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8.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1.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15.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drawings/drawing16.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drawings/drawing17.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18.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drawings/drawing19.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drawings/drawing20.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drawings/drawing21.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drawings/drawing22.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drawings/drawing23.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drawings/drawing24.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drawings/drawing25.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drawings/drawing26.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drawings/drawing2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drawings/drawing28.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drawings/drawing29.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7065" yWindow="-225" windowWidth="5625" windowHeight="6120" tabRatio="932" firstSheet="10" activeTab="10"/>
  </bookViews>
  <sheets>
    <sheet name="Proposed All Funds Summary" sheetId="75" state="hidden" r:id="rId1"/>
    <sheet name="Program by Fund Type" sheetId="83" state="hidden" r:id="rId2"/>
    <sheet name="All Funds Sch A Left" sheetId="68" state="hidden" r:id="rId3"/>
    <sheet name="All Funds Sch A Right" sheetId="72" state="hidden" r:id="rId4"/>
    <sheet name="All Funds Sch A" sheetId="73" state="hidden" r:id="rId5"/>
    <sheet name="All Funds Sch A Page" sheetId="81" state="hidden" r:id="rId6"/>
    <sheet name="Budget Summary Ad-Fort Lauderda" sheetId="109" state="hidden" r:id="rId7"/>
    <sheet name="Ad Cognos File" sheetId="110" state="hidden" r:id="rId8"/>
    <sheet name="All Funds SchA Adopted 2014 1pg" sheetId="105" state="hidden" r:id="rId9"/>
    <sheet name="All Funds Sch A Tentative 2 (2" sheetId="107" state="hidden" r:id="rId10"/>
    <sheet name="FY 2015 Proposed All Funds -pg1" sheetId="111" r:id="rId11"/>
    <sheet name="FY2015 Proposed All Funds-pg2" sheetId="112" r:id="rId12"/>
    <sheet name="Changes" sheetId="106" state="hidden" r:id="rId13"/>
    <sheet name="All Funds Sch A 2014 Page (1)" sheetId="92" state="hidden" r:id="rId14"/>
    <sheet name="All Funds Sch A Comparison" sheetId="84" state="hidden" r:id="rId15"/>
    <sheet name="GF Comparison" sheetId="80" state="hidden" r:id="rId16"/>
    <sheet name="All Funds Sch A 2014 Page (2)" sheetId="93" state="hidden" r:id="rId17"/>
    <sheet name="All Funds Sch A 2013 Page -1" sheetId="91" state="hidden" r:id="rId18"/>
    <sheet name="All Funds Sch A 2013 Page (2)" sheetId="90" state="hidden" r:id="rId19"/>
    <sheet name="Internal Service" sheetId="69" state="hidden" r:id="rId20"/>
    <sheet name="All Funds Sch A 2013 Page - 2" sheetId="114" state="hidden" r:id="rId21"/>
    <sheet name="FY2014 Adopted pg1" sheetId="125" r:id="rId22"/>
    <sheet name="FY2014 Adopted pg2" sheetId="126" r:id="rId23"/>
    <sheet name="All Funds Summary1" sheetId="99" r:id="rId24"/>
    <sheet name="All Funds Summary2" sheetId="131" r:id="rId25"/>
    <sheet name="General Fund Revenue" sheetId="133" r:id="rId26"/>
    <sheet name="General Fund Expenses" sheetId="134" r:id="rId27"/>
    <sheet name="Where Money Goes &amp; Comes Pie" sheetId="97" state="hidden" r:id="rId28"/>
    <sheet name="All Funds Pie Chart - No Pie" sheetId="130" state="hidden" r:id="rId29"/>
    <sheet name="General Fund Transfers" sheetId="94" r:id="rId30"/>
    <sheet name="001 General Fund" sheetId="50" r:id="rId31"/>
    <sheet name="Airport" sheetId="43" r:id="rId32"/>
    <sheet name="Arts Science District Garage" sheetId="49" r:id="rId33"/>
    <sheet name="Beach Bus Improv District" sheetId="57" r:id="rId34"/>
    <sheet name="Building Funds" sheetId="96" r:id="rId35"/>
    <sheet name="Cemtery" sheetId="48" r:id="rId36"/>
    <sheet name="Central Region" sheetId="41" r:id="rId37"/>
    <sheet name="Central Service" sheetId="47" r:id="rId38"/>
    <sheet name="City Insurance" sheetId="45" r:id="rId39"/>
    <sheet name="CRA-Beach" sheetId="51" r:id="rId40"/>
    <sheet name="CRA-Central City" sheetId="54" r:id="rId41"/>
    <sheet name="CRA-NW Progresso" sheetId="52" r:id="rId42"/>
    <sheet name="Drug Enforcement Agency" sheetId="88" r:id="rId43"/>
    <sheet name="Housing and Community Dev" sheetId="53" r:id="rId44"/>
    <sheet name="Nuisance Abatement" sheetId="121" r:id="rId45"/>
    <sheet name="Parking System" sheetId="42" r:id="rId46"/>
    <sheet name="Police" sheetId="89" r:id="rId47"/>
    <sheet name="Sanitation" sheetId="39" r:id="rId48"/>
    <sheet name="School Crossing Guard" sheetId="87" r:id="rId49"/>
    <sheet name="Self-Insured Health" sheetId="46" r:id="rId50"/>
    <sheet name="State Housing Imp Program" sheetId="128" r:id="rId51"/>
    <sheet name="Stormwater" sheetId="44" r:id="rId52"/>
    <sheet name="Sunrise Key" sheetId="55" r:id="rId53"/>
    <sheet name="Vehicle Rental" sheetId="15" r:id="rId54"/>
    <sheet name="Water and Sewer" sheetId="40" r:id="rId55"/>
    <sheet name="Transfers" sheetId="70" state="hidden" r:id="rId56"/>
    <sheet name="Budget Balancing I&amp;O" sheetId="76" state="hidden" r:id="rId57"/>
    <sheet name="Dept" sheetId="78" state="hidden" r:id="rId58"/>
    <sheet name="Sheet1" sheetId="122" state="hidden" r:id="rId59"/>
    <sheet name="454 Water Sewer" sheetId="115" state="hidden" r:id="rId60"/>
    <sheet name="331 GF Capital" sheetId="116" state="hidden" r:id="rId61"/>
    <sheet name="346 Community Redv Cap" sheetId="117" state="hidden" r:id="rId62"/>
    <sheet name="106.01 old" sheetId="18" state="hidden" r:id="rId63"/>
    <sheet name="106.02 old" sheetId="19" state="hidden" r:id="rId64"/>
    <sheet name="108 old" sheetId="20" state="hidden" r:id="rId65"/>
    <sheet name="135 OLD" sheetId="23" state="hidden" r:id="rId66"/>
    <sheet name="141 old" sheetId="25" state="hidden" r:id="rId67"/>
    <sheet name="142 OLD" sheetId="26" state="hidden" r:id="rId68"/>
    <sheet name="Special Revenue Funds" sheetId="27" state="hidden" r:id="rId69"/>
    <sheet name="Total Debt Service" sheetId="35" state="hidden" r:id="rId70"/>
    <sheet name="112 old" sheetId="21" state="hidden" r:id="rId71"/>
    <sheet name="130 old" sheetId="22" state="hidden" r:id="rId72"/>
    <sheet name="140 OLD" sheetId="24" state="hidden" r:id="rId73"/>
    <sheet name="130 No Data" sheetId="56" state="hidden" r:id="rId74"/>
    <sheet name="236.04 OLD" sheetId="28" state="hidden" r:id="rId75"/>
    <sheet name="236.05 old" sheetId="29" state="hidden" r:id="rId76"/>
    <sheet name="236.06 old" sheetId="30" state="hidden" r:id="rId77"/>
    <sheet name="236.07 old" sheetId="31" state="hidden" r:id="rId78"/>
    <sheet name="236.08 old" sheetId="32" state="hidden" r:id="rId79"/>
    <sheet name="243 OLD" sheetId="33" state="hidden" r:id="rId80"/>
    <sheet name="288 old" sheetId="34" state="hidden" r:id="rId81"/>
    <sheet name="List of all debt Types" sheetId="36" state="hidden" r:id="rId82"/>
  </sheets>
  <externalReferences>
    <externalReference r:id="rId83"/>
    <externalReference r:id="rId84"/>
    <externalReference r:id="rId85"/>
    <externalReference r:id="rId86"/>
    <externalReference r:id="rId87"/>
  </externalReferences>
  <definedNames>
    <definedName name="_xlnm.Print_Area" localSheetId="30">'001 General Fund'!$B$3:$M$76</definedName>
    <definedName name="_xlnm.Print_Area" localSheetId="73">'130 No Data'!$B$1:$I$36</definedName>
    <definedName name="_xlnm.Print_Area" localSheetId="31">Airport!$B$1:$N$59</definedName>
    <definedName name="_xlnm.Print_Area" localSheetId="28">'All Funds Pie Chart - No Pie'!$B$3:$M$60</definedName>
    <definedName name="_xlnm.Print_Area" localSheetId="4">'All Funds Sch A'!$A$1:$AG$81</definedName>
    <definedName name="_xlnm.Print_Area" localSheetId="20">'All Funds Sch A 2013 Page - 2'!$A$2:$AN$85</definedName>
    <definedName name="_xlnm.Print_Area" localSheetId="18">'All Funds Sch A 2013 Page (2)'!$A$2:$Z$83</definedName>
    <definedName name="_xlnm.Print_Area" localSheetId="17">'All Funds Sch A 2013 Page -1'!$A$2:$AN$86</definedName>
    <definedName name="_xlnm.Print_Area" localSheetId="13">'All Funds Sch A 2014 Page (1)'!$A$2:$Z$69</definedName>
    <definedName name="_xlnm.Print_Area" localSheetId="16">'All Funds Sch A 2014 Page (2)'!$A$2:$Z$69</definedName>
    <definedName name="_xlnm.Print_Area" localSheetId="14">'All Funds Sch A Comparison'!$A$2:$T$73</definedName>
    <definedName name="_xlnm.Print_Area" localSheetId="2">'All Funds Sch A Left'!$A$1:$J$83</definedName>
    <definedName name="_xlnm.Print_Area" localSheetId="5">'All Funds Sch A Page'!$A$2:$Z$83</definedName>
    <definedName name="_xlnm.Print_Area" localSheetId="3">'All Funds Sch A Right'!$A$1:$Q$82</definedName>
    <definedName name="_xlnm.Print_Area" localSheetId="9">'All Funds Sch A Tentative 2 (2'!$A$2:$T$71</definedName>
    <definedName name="_xlnm.Print_Area" localSheetId="8">'All Funds SchA Adopted 2014 1pg'!$A$2:$X$78</definedName>
    <definedName name="_xlnm.Print_Area" localSheetId="23">'All Funds Summary1'!$B$3:$M$60</definedName>
    <definedName name="_xlnm.Print_Area" localSheetId="24">'All Funds Summary2'!$A$1:$J$52</definedName>
    <definedName name="_xlnm.Print_Area" localSheetId="32">'Arts Science District Garage'!$B$1:$N$58</definedName>
    <definedName name="_xlnm.Print_Area" localSheetId="33">'Beach Bus Improv District'!$B$1:$N$54</definedName>
    <definedName name="_xlnm.Print_Area" localSheetId="6">'Budget Summary Ad-Fort Lauderda'!$A$3:$P$50</definedName>
    <definedName name="_xlnm.Print_Area" localSheetId="34">'Building Funds'!$B$1:$N$60</definedName>
    <definedName name="_xlnm.Print_Area" localSheetId="35">Cemtery!$B$1:$N$56</definedName>
    <definedName name="_xlnm.Print_Area" localSheetId="36">'Central Region'!$B$1:$N$60</definedName>
    <definedName name="_xlnm.Print_Area" localSheetId="37">'Central Service'!$B$1:$N$59</definedName>
    <definedName name="_xlnm.Print_Area" localSheetId="12">Changes!$A$2:$R$72</definedName>
    <definedName name="_xlnm.Print_Area" localSheetId="38">'City Insurance'!$B$1:$N$61</definedName>
    <definedName name="_xlnm.Print_Area" localSheetId="39">'CRA-Beach'!$B$1:$N$61</definedName>
    <definedName name="_xlnm.Print_Area" localSheetId="40">'CRA-Central City'!$B$1:$N$59</definedName>
    <definedName name="_xlnm.Print_Area" localSheetId="41">'CRA-NW Progresso'!$B$1:$N$63</definedName>
    <definedName name="_xlnm.Print_Area" localSheetId="42">'Drug Enforcement Agency'!$B$1:$N$60</definedName>
    <definedName name="_xlnm.Print_Area" localSheetId="10">'FY 2015 Proposed All Funds -pg1'!$A$2:$O$79</definedName>
    <definedName name="_xlnm.Print_Area" localSheetId="21">'FY2014 Adopted pg1'!$A$2:$M$78</definedName>
    <definedName name="_xlnm.Print_Area" localSheetId="22">'FY2014 Adopted pg2'!$A$2:$N$78</definedName>
    <definedName name="_xlnm.Print_Area" localSheetId="11">'FY2015 Proposed All Funds-pg2'!$A$2:$N$79</definedName>
    <definedName name="_xlnm.Print_Area" localSheetId="26">'General Fund Expenses'!$A$1:$I$72</definedName>
    <definedName name="_xlnm.Print_Area" localSheetId="25">'General Fund Revenue'!$A$1:$J$71</definedName>
    <definedName name="_xlnm.Print_Area" localSheetId="29">'General Fund Transfers'!$A$1:$G$32</definedName>
    <definedName name="_xlnm.Print_Area" localSheetId="15">'GF Comparison'!$A$2:$F$62</definedName>
    <definedName name="_xlnm.Print_Area" localSheetId="43">'Housing and Community Dev'!$B$1:$N$60</definedName>
    <definedName name="_xlnm.Print_Area" localSheetId="19">'Internal Service'!$A$1:$H$59</definedName>
    <definedName name="_xlnm.Print_Area" localSheetId="44">'Nuisance Abatement'!$B$1:$N$55</definedName>
    <definedName name="_xlnm.Print_Area" localSheetId="45">'Parking System'!$B$1:$N$61</definedName>
    <definedName name="_xlnm.Print_Area" localSheetId="46">Police!$B$1:$N$63</definedName>
    <definedName name="_xlnm.Print_Area" localSheetId="1">'Program by Fund Type'!$A$1:$M$13</definedName>
    <definedName name="_xlnm.Print_Area" localSheetId="0">'Proposed All Funds Summary'!$A$3:$N$52</definedName>
    <definedName name="_xlnm.Print_Area" localSheetId="47">Sanitation!$B$1:$N$61</definedName>
    <definedName name="_xlnm.Print_Area" localSheetId="48">'School Crossing Guard'!$B$1:$N$58</definedName>
    <definedName name="_xlnm.Print_Area" localSheetId="49">'Self-Insured Health'!$B$1:$N$62</definedName>
    <definedName name="_xlnm.Print_Area" localSheetId="50">'State Housing Imp Program'!$B$1:$N$58</definedName>
    <definedName name="_xlnm.Print_Area" localSheetId="51">Stormwater!$B$1:$N$61</definedName>
    <definedName name="_xlnm.Print_Area" localSheetId="52">'Sunrise Key'!$B$1:$N$58</definedName>
    <definedName name="_xlnm.Print_Area" localSheetId="55">Transfers!$A$1:$K$62</definedName>
    <definedName name="_xlnm.Print_Area" localSheetId="53">'Vehicle Rental'!$B$1:$N$61</definedName>
    <definedName name="_xlnm.Print_Area" localSheetId="54">'Water and Sewer'!$B$1:$N$61</definedName>
    <definedName name="_xlnm.Print_Area" localSheetId="27">'Where Money Goes &amp; Comes Pie'!$F$1:$O$70</definedName>
    <definedName name="Z_20D5FB18_2FAE_4D83_BF94_A00B522BD190_.wvu.Cols" localSheetId="62" hidden="1">'106.01 old'!#REF!,'106.01 old'!$E:$E</definedName>
    <definedName name="Z_20D5FB18_2FAE_4D83_BF94_A00B522BD190_.wvu.Cols" localSheetId="63" hidden="1">'106.02 old'!#REF!,'106.02 old'!#REF!</definedName>
    <definedName name="Z_20D5FB18_2FAE_4D83_BF94_A00B522BD190_.wvu.Cols" localSheetId="71" hidden="1">'130 old'!#REF!</definedName>
    <definedName name="Z_20D5FB18_2FAE_4D83_BF94_A00B522BD190_.wvu.Cols" localSheetId="74" hidden="1">'236.04 OLD'!#REF!</definedName>
    <definedName name="Z_20D5FB18_2FAE_4D83_BF94_A00B522BD190_.wvu.Cols" localSheetId="75" hidden="1">'236.05 old'!#REF!,'236.05 old'!$E:$E</definedName>
    <definedName name="Z_20D5FB18_2FAE_4D83_BF94_A00B522BD190_.wvu.Cols" localSheetId="76" hidden="1">'236.06 old'!#REF!</definedName>
    <definedName name="Z_20D5FB18_2FAE_4D83_BF94_A00B522BD190_.wvu.Cols" localSheetId="77" hidden="1">'236.07 old'!#REF!</definedName>
    <definedName name="Z_20D5FB18_2FAE_4D83_BF94_A00B522BD190_.wvu.Cols" localSheetId="78" hidden="1">'236.08 old'!#REF!</definedName>
    <definedName name="Z_20D5FB18_2FAE_4D83_BF94_A00B522BD190_.wvu.Cols" localSheetId="79" hidden="1">'243 OLD'!$E:$E</definedName>
    <definedName name="Z_20D5FB18_2FAE_4D83_BF94_A00B522BD190_.wvu.Cols" localSheetId="80" hidden="1">'288 old'!#REF!</definedName>
    <definedName name="Z_20D5FB18_2FAE_4D83_BF94_A00B522BD190_.wvu.Cols" localSheetId="69" hidden="1">'Total Debt Service'!#REF!,'Total Debt Service'!#REF!</definedName>
    <definedName name="Z_68F431EA_F536_4821_8019_62330D48D8F1_.wvu.PrintArea" localSheetId="26" hidden="1">'General Fund Expenses'!$A$1:$J$73</definedName>
    <definedName name="Z_68F431EA_F536_4821_8019_62330D48D8F1_.wvu.PrintArea" localSheetId="25" hidden="1">'General Fund Revenue'!$A$1:$K$72</definedName>
    <definedName name="Z_68F431EA_F536_4821_8019_62330D48D8F1_.wvu.Rows" localSheetId="25" hidden="1">'General Fund Revenue'!$9:$9</definedName>
    <definedName name="Z_6F41311F_2270_450A_A26B_FA887A989CC9_.wvu.Cols" localSheetId="30" hidden="1">'001 General Fund'!#REF!,'001 General Fund'!#REF!</definedName>
    <definedName name="Z_6F41311F_2270_450A_A26B_FA887A989CC9_.wvu.Cols" localSheetId="73" hidden="1">'130 No Data'!#REF!,'130 No Data'!#REF!</definedName>
    <definedName name="Z_6F41311F_2270_450A_A26B_FA887A989CC9_.wvu.Cols" localSheetId="71" hidden="1">'130 old'!#REF!</definedName>
    <definedName name="Z_6F41311F_2270_450A_A26B_FA887A989CC9_.wvu.Cols" localSheetId="31" hidden="1">Airport!#REF!,Airport!#REF!</definedName>
    <definedName name="Z_6F41311F_2270_450A_A26B_FA887A989CC9_.wvu.Cols" localSheetId="28" hidden="1">'All Funds Pie Chart - No Pie'!#REF!,'All Funds Pie Chart - No Pie'!#REF!</definedName>
    <definedName name="Z_6F41311F_2270_450A_A26B_FA887A989CC9_.wvu.Cols" localSheetId="23" hidden="1">'All Funds Summary1'!#REF!,'All Funds Summary1'!#REF!</definedName>
    <definedName name="Z_6F41311F_2270_450A_A26B_FA887A989CC9_.wvu.Cols" localSheetId="32" hidden="1">'Arts Science District Garage'!#REF!,'Arts Science District Garage'!#REF!</definedName>
    <definedName name="Z_6F41311F_2270_450A_A26B_FA887A989CC9_.wvu.Cols" localSheetId="33" hidden="1">'Beach Bus Improv District'!#REF!,'Beach Bus Improv District'!#REF!</definedName>
    <definedName name="Z_6F41311F_2270_450A_A26B_FA887A989CC9_.wvu.Cols" localSheetId="34" hidden="1">'Building Funds'!#REF!,'Building Funds'!#REF!</definedName>
    <definedName name="Z_6F41311F_2270_450A_A26B_FA887A989CC9_.wvu.Cols" localSheetId="35" hidden="1">Cemtery!#REF!,Cemtery!#REF!</definedName>
    <definedName name="Z_6F41311F_2270_450A_A26B_FA887A989CC9_.wvu.Cols" localSheetId="36" hidden="1">'Central Region'!#REF!,'Central Region'!#REF!</definedName>
    <definedName name="Z_6F41311F_2270_450A_A26B_FA887A989CC9_.wvu.Cols" localSheetId="37" hidden="1">'Central Service'!#REF!,'Central Service'!#REF!</definedName>
    <definedName name="Z_6F41311F_2270_450A_A26B_FA887A989CC9_.wvu.Cols" localSheetId="38" hidden="1">'City Insurance'!#REF!,'City Insurance'!#REF!</definedName>
    <definedName name="Z_6F41311F_2270_450A_A26B_FA887A989CC9_.wvu.Cols" localSheetId="39" hidden="1">'CRA-Beach'!#REF!,'CRA-Beach'!#REF!</definedName>
    <definedName name="Z_6F41311F_2270_450A_A26B_FA887A989CC9_.wvu.Cols" localSheetId="40" hidden="1">'CRA-Central City'!#REF!,'CRA-Central City'!#REF!</definedName>
    <definedName name="Z_6F41311F_2270_450A_A26B_FA887A989CC9_.wvu.Cols" localSheetId="41" hidden="1">'CRA-NW Progresso'!#REF!,'CRA-NW Progresso'!#REF!</definedName>
    <definedName name="Z_6F41311F_2270_450A_A26B_FA887A989CC9_.wvu.Cols" localSheetId="42" hidden="1">'Drug Enforcement Agency'!#REF!,'Drug Enforcement Agency'!#REF!</definedName>
    <definedName name="Z_6F41311F_2270_450A_A26B_FA887A989CC9_.wvu.Cols" localSheetId="43" hidden="1">'Housing and Community Dev'!#REF!,'Housing and Community Dev'!#REF!</definedName>
    <definedName name="Z_6F41311F_2270_450A_A26B_FA887A989CC9_.wvu.Cols" localSheetId="44" hidden="1">'Nuisance Abatement'!#REF!,'Nuisance Abatement'!#REF!</definedName>
    <definedName name="Z_6F41311F_2270_450A_A26B_FA887A989CC9_.wvu.Cols" localSheetId="45" hidden="1">'Parking System'!#REF!,'Parking System'!#REF!</definedName>
    <definedName name="Z_6F41311F_2270_450A_A26B_FA887A989CC9_.wvu.Cols" localSheetId="46" hidden="1">Police!#REF!,Police!#REF!</definedName>
    <definedName name="Z_6F41311F_2270_450A_A26B_FA887A989CC9_.wvu.Cols" localSheetId="47" hidden="1">Sanitation!#REF!,Sanitation!#REF!</definedName>
    <definedName name="Z_6F41311F_2270_450A_A26B_FA887A989CC9_.wvu.Cols" localSheetId="48" hidden="1">'School Crossing Guard'!#REF!,'School Crossing Guard'!#REF!</definedName>
    <definedName name="Z_6F41311F_2270_450A_A26B_FA887A989CC9_.wvu.Cols" localSheetId="49" hidden="1">'Self-Insured Health'!#REF!,'Self-Insured Health'!#REF!</definedName>
    <definedName name="Z_6F41311F_2270_450A_A26B_FA887A989CC9_.wvu.Cols" localSheetId="50" hidden="1">'State Housing Imp Program'!#REF!,'State Housing Imp Program'!#REF!</definedName>
    <definedName name="Z_6F41311F_2270_450A_A26B_FA887A989CC9_.wvu.Cols" localSheetId="51" hidden="1">Stormwater!#REF!,Stormwater!#REF!</definedName>
    <definedName name="Z_6F41311F_2270_450A_A26B_FA887A989CC9_.wvu.Cols" localSheetId="52" hidden="1">'Sunrise Key'!#REF!,'Sunrise Key'!#REF!</definedName>
    <definedName name="Z_6F41311F_2270_450A_A26B_FA887A989CC9_.wvu.Cols" localSheetId="53" hidden="1">'Vehicle Rental'!#REF!,'Vehicle Rental'!#REF!</definedName>
    <definedName name="Z_6F41311F_2270_450A_A26B_FA887A989CC9_.wvu.Cols" localSheetId="54" hidden="1">'Water and Sewer'!#REF!,'Water and Sewer'!#REF!</definedName>
    <definedName name="Z_6F41311F_2270_450A_A26B_FA887A989CC9_.wvu.PrintArea" localSheetId="30" hidden="1">'001 General Fund'!$B$1:$K$101</definedName>
    <definedName name="Z_6F41311F_2270_450A_A26B_FA887A989CC9_.wvu.PrintArea" localSheetId="73" hidden="1">'130 No Data'!$B$1:$I$36</definedName>
    <definedName name="Z_6F41311F_2270_450A_A26B_FA887A989CC9_.wvu.PrintArea" localSheetId="76" hidden="1">'236.06 old'!$A$1:$H$45</definedName>
    <definedName name="Z_6F41311F_2270_450A_A26B_FA887A989CC9_.wvu.PrintArea" localSheetId="77" hidden="1">'236.07 old'!$A$1:$H$45</definedName>
    <definedName name="Z_6F41311F_2270_450A_A26B_FA887A989CC9_.wvu.PrintArea" localSheetId="78" hidden="1">'236.08 old'!$A$1:$H$45</definedName>
    <definedName name="Z_6F41311F_2270_450A_A26B_FA887A989CC9_.wvu.PrintArea" localSheetId="31" hidden="1">Airport!$B$1:$L$69</definedName>
    <definedName name="Z_6F41311F_2270_450A_A26B_FA887A989CC9_.wvu.PrintArea" localSheetId="28" hidden="1">'All Funds Pie Chart - No Pie'!$B$1:$K$79</definedName>
    <definedName name="Z_6F41311F_2270_450A_A26B_FA887A989CC9_.wvu.PrintArea" localSheetId="23" hidden="1">'All Funds Summary1'!$B$1:$K$60</definedName>
    <definedName name="Z_6F41311F_2270_450A_A26B_FA887A989CC9_.wvu.PrintArea" localSheetId="32" hidden="1">'Arts Science District Garage'!$B$1:$L$70</definedName>
    <definedName name="Z_6F41311F_2270_450A_A26B_FA887A989CC9_.wvu.PrintArea" localSheetId="33" hidden="1">'Beach Bus Improv District'!$B$1:$L$65</definedName>
    <definedName name="Z_6F41311F_2270_450A_A26B_FA887A989CC9_.wvu.PrintArea" localSheetId="34" hidden="1">'Building Funds'!$B$1:$L$74</definedName>
    <definedName name="Z_6F41311F_2270_450A_A26B_FA887A989CC9_.wvu.PrintArea" localSheetId="35" hidden="1">Cemtery!$B$1:$L$81</definedName>
    <definedName name="Z_6F41311F_2270_450A_A26B_FA887A989CC9_.wvu.PrintArea" localSheetId="36" hidden="1">'Central Region'!$B$1:$L$65</definedName>
    <definedName name="Z_6F41311F_2270_450A_A26B_FA887A989CC9_.wvu.PrintArea" localSheetId="37" hidden="1">'Central Service'!$B$1:$L$67</definedName>
    <definedName name="Z_6F41311F_2270_450A_A26B_FA887A989CC9_.wvu.PrintArea" localSheetId="38" hidden="1">'City Insurance'!$B$1:$L$69</definedName>
    <definedName name="Z_6F41311F_2270_450A_A26B_FA887A989CC9_.wvu.PrintArea" localSheetId="39" hidden="1">'CRA-Beach'!$B$1:$L$73</definedName>
    <definedName name="Z_6F41311F_2270_450A_A26B_FA887A989CC9_.wvu.PrintArea" localSheetId="40" hidden="1">'CRA-Central City'!$B$1:$L$43</definedName>
    <definedName name="Z_6F41311F_2270_450A_A26B_FA887A989CC9_.wvu.PrintArea" localSheetId="41" hidden="1">'CRA-NW Progresso'!$B$1:$L$73</definedName>
    <definedName name="Z_6F41311F_2270_450A_A26B_FA887A989CC9_.wvu.PrintArea" localSheetId="42" hidden="1">'Drug Enforcement Agency'!$B$1:$L$65</definedName>
    <definedName name="Z_6F41311F_2270_450A_A26B_FA887A989CC9_.wvu.PrintArea" localSheetId="43" hidden="1">'Housing and Community Dev'!$B$1:$L$70</definedName>
    <definedName name="Z_6F41311F_2270_450A_A26B_FA887A989CC9_.wvu.PrintArea" localSheetId="44" hidden="1">'Nuisance Abatement'!$B$1:$L$70</definedName>
    <definedName name="Z_6F41311F_2270_450A_A26B_FA887A989CC9_.wvu.PrintArea" localSheetId="45" hidden="1">'Parking System'!$B$1:$L$69</definedName>
    <definedName name="Z_6F41311F_2270_450A_A26B_FA887A989CC9_.wvu.PrintArea" localSheetId="46" hidden="1">Police!$B$1:$L$74</definedName>
    <definedName name="Z_6F41311F_2270_450A_A26B_FA887A989CC9_.wvu.PrintArea" localSheetId="47" hidden="1">Sanitation!$B$1:$L$66</definedName>
    <definedName name="Z_6F41311F_2270_450A_A26B_FA887A989CC9_.wvu.PrintArea" localSheetId="48" hidden="1">'School Crossing Guard'!$B$1:$L$73</definedName>
    <definedName name="Z_6F41311F_2270_450A_A26B_FA887A989CC9_.wvu.PrintArea" localSheetId="49" hidden="1">'Self-Insured Health'!$B$1:$L$72</definedName>
    <definedName name="Z_6F41311F_2270_450A_A26B_FA887A989CC9_.wvu.PrintArea" localSheetId="50" hidden="1">'State Housing Imp Program'!$B$1:$L$68</definedName>
    <definedName name="Z_6F41311F_2270_450A_A26B_FA887A989CC9_.wvu.PrintArea" localSheetId="51" hidden="1">Stormwater!$B$1:$L$72</definedName>
    <definedName name="Z_6F41311F_2270_450A_A26B_FA887A989CC9_.wvu.PrintArea" localSheetId="52" hidden="1">'Sunrise Key'!$B$1:$L$64</definedName>
    <definedName name="Z_6F41311F_2270_450A_A26B_FA887A989CC9_.wvu.PrintArea" localSheetId="53" hidden="1">'Vehicle Rental'!$B$1:$L$73</definedName>
    <definedName name="Z_6F41311F_2270_450A_A26B_FA887A989CC9_.wvu.PrintArea" localSheetId="54" hidden="1">'Water and Sewer'!$B$1:$L$70</definedName>
    <definedName name="Z_7FD41845_6BD4_448F_810C_049EFA55EC1B_.wvu.PrintArea" localSheetId="78" hidden="1">'236.08 old'!$A$1:$H$52</definedName>
    <definedName name="Z_9456C1E9_89BB_4E93_9AFD_5A49DBF97574_.wvu.PrintArea" localSheetId="72" hidden="1">'140 OLD'!$A$1:$H$41</definedName>
    <definedName name="Z_9F62FB59_F471_497B_8464_A1F026EE1693_.wvu.Cols" localSheetId="71" hidden="1">'130 old'!#REF!</definedName>
    <definedName name="Z_B0917042_EC27_420A_B709_840D8B518B92_.wvu.PrintArea" localSheetId="26" hidden="1">'General Fund Expenses'!$A$1:$J$73</definedName>
    <definedName name="Z_B0917042_EC27_420A_B709_840D8B518B92_.wvu.PrintArea" localSheetId="25" hidden="1">'General Fund Revenue'!$A$1:$K$73</definedName>
    <definedName name="Z_E88939A6_6891_4611_9F3D_869C152B6DF3_.wvu.PrintArea" localSheetId="30" hidden="1">'001 General Fund'!$B$1:$K$101</definedName>
    <definedName name="Z_E88939A6_6891_4611_9F3D_869C152B6DF3_.wvu.PrintArea" localSheetId="62" hidden="1">'106.01 old'!$A$1:$H$41</definedName>
    <definedName name="Z_E88939A6_6891_4611_9F3D_869C152B6DF3_.wvu.PrintArea" localSheetId="63" hidden="1">'106.02 old'!$A$1:$H$41</definedName>
    <definedName name="Z_E88939A6_6891_4611_9F3D_869C152B6DF3_.wvu.PrintArea" localSheetId="64" hidden="1">'108 old'!$A$1:$H$42</definedName>
    <definedName name="Z_E88939A6_6891_4611_9F3D_869C152B6DF3_.wvu.PrintArea" localSheetId="70" hidden="1">'112 old'!$A$1:$H$42</definedName>
    <definedName name="Z_E88939A6_6891_4611_9F3D_869C152B6DF3_.wvu.PrintArea" localSheetId="73" hidden="1">'130 No Data'!$B$1:$I$36</definedName>
    <definedName name="Z_E88939A6_6891_4611_9F3D_869C152B6DF3_.wvu.PrintArea" localSheetId="71" hidden="1">'130 old'!$A$1:$H$42</definedName>
    <definedName name="Z_E88939A6_6891_4611_9F3D_869C152B6DF3_.wvu.PrintArea" localSheetId="65" hidden="1">'135 OLD'!$A$1:$H$41</definedName>
    <definedName name="Z_E88939A6_6891_4611_9F3D_869C152B6DF3_.wvu.PrintArea" localSheetId="72" hidden="1">'140 OLD'!$A$1:$H$41</definedName>
    <definedName name="Z_E88939A6_6891_4611_9F3D_869C152B6DF3_.wvu.PrintArea" localSheetId="67" hidden="1">'142 OLD'!$A$1:$H$41</definedName>
    <definedName name="Z_E88939A6_6891_4611_9F3D_869C152B6DF3_.wvu.PrintArea" localSheetId="74" hidden="1">'236.04 OLD'!$A$1:$H$55</definedName>
    <definedName name="Z_E88939A6_6891_4611_9F3D_869C152B6DF3_.wvu.PrintArea" localSheetId="75" hidden="1">'236.05 old'!$A$1:$H$51</definedName>
    <definedName name="Z_E88939A6_6891_4611_9F3D_869C152B6DF3_.wvu.PrintArea" localSheetId="76" hidden="1">'236.06 old'!$A$1:$H$54</definedName>
    <definedName name="Z_E88939A6_6891_4611_9F3D_869C152B6DF3_.wvu.PrintArea" localSheetId="77" hidden="1">'236.07 old'!$A$1:$I$54</definedName>
    <definedName name="Z_E88939A6_6891_4611_9F3D_869C152B6DF3_.wvu.PrintArea" localSheetId="78" hidden="1">'236.08 old'!$A$1:$I$54</definedName>
    <definedName name="Z_E88939A6_6891_4611_9F3D_869C152B6DF3_.wvu.PrintArea" localSheetId="79" hidden="1">'243 OLD'!$A$1:$H$72</definedName>
    <definedName name="Z_E88939A6_6891_4611_9F3D_869C152B6DF3_.wvu.PrintArea" localSheetId="80" hidden="1">'288 old'!$A$1:$H$57</definedName>
    <definedName name="Z_E88939A6_6891_4611_9F3D_869C152B6DF3_.wvu.PrintArea" localSheetId="31" hidden="1">Airport!$B$1:$L$69</definedName>
    <definedName name="Z_E88939A6_6891_4611_9F3D_869C152B6DF3_.wvu.PrintArea" localSheetId="28" hidden="1">'All Funds Pie Chart - No Pie'!$B$1:$K$79</definedName>
    <definedName name="Z_E88939A6_6891_4611_9F3D_869C152B6DF3_.wvu.PrintArea" localSheetId="23" hidden="1">'All Funds Summary1'!$B$1:$K$60</definedName>
    <definedName name="Z_E88939A6_6891_4611_9F3D_869C152B6DF3_.wvu.PrintArea" localSheetId="32" hidden="1">'Arts Science District Garage'!$B$1:$L$70</definedName>
    <definedName name="Z_E88939A6_6891_4611_9F3D_869C152B6DF3_.wvu.PrintArea" localSheetId="33" hidden="1">'Beach Bus Improv District'!$B$1:$L$65</definedName>
    <definedName name="Z_E88939A6_6891_4611_9F3D_869C152B6DF3_.wvu.PrintArea" localSheetId="34" hidden="1">'Building Funds'!$B$1:$L$74</definedName>
    <definedName name="Z_E88939A6_6891_4611_9F3D_869C152B6DF3_.wvu.PrintArea" localSheetId="35" hidden="1">Cemtery!$B$1:$L$81</definedName>
    <definedName name="Z_E88939A6_6891_4611_9F3D_869C152B6DF3_.wvu.PrintArea" localSheetId="36" hidden="1">'Central Region'!$B$1:$L$65</definedName>
    <definedName name="Z_E88939A6_6891_4611_9F3D_869C152B6DF3_.wvu.PrintArea" localSheetId="37" hidden="1">'Central Service'!$B$1:$L$67</definedName>
    <definedName name="Z_E88939A6_6891_4611_9F3D_869C152B6DF3_.wvu.PrintArea" localSheetId="38" hidden="1">'City Insurance'!$B$1:$L$69</definedName>
    <definedName name="Z_E88939A6_6891_4611_9F3D_869C152B6DF3_.wvu.PrintArea" localSheetId="39" hidden="1">'CRA-Beach'!$B$1:$L$73</definedName>
    <definedName name="Z_E88939A6_6891_4611_9F3D_869C152B6DF3_.wvu.PrintArea" localSheetId="40" hidden="1">'CRA-Central City'!$B$1:$L$43</definedName>
    <definedName name="Z_E88939A6_6891_4611_9F3D_869C152B6DF3_.wvu.PrintArea" localSheetId="41" hidden="1">'CRA-NW Progresso'!$B$1:$L$73</definedName>
    <definedName name="Z_E88939A6_6891_4611_9F3D_869C152B6DF3_.wvu.PrintArea" localSheetId="42" hidden="1">'Drug Enforcement Agency'!$B$1:$L$65</definedName>
    <definedName name="Z_E88939A6_6891_4611_9F3D_869C152B6DF3_.wvu.PrintArea" localSheetId="43" hidden="1">'Housing and Community Dev'!$B$1:$L$70</definedName>
    <definedName name="Z_E88939A6_6891_4611_9F3D_869C152B6DF3_.wvu.PrintArea" localSheetId="44" hidden="1">'Nuisance Abatement'!$B$1:$L$70</definedName>
    <definedName name="Z_E88939A6_6891_4611_9F3D_869C152B6DF3_.wvu.PrintArea" localSheetId="45" hidden="1">'Parking System'!$B$1:$L$69</definedName>
    <definedName name="Z_E88939A6_6891_4611_9F3D_869C152B6DF3_.wvu.PrintArea" localSheetId="46" hidden="1">Police!$B$1:$L$74</definedName>
    <definedName name="Z_E88939A6_6891_4611_9F3D_869C152B6DF3_.wvu.PrintArea" localSheetId="47" hidden="1">Sanitation!$B$1:$L$66</definedName>
    <definedName name="Z_E88939A6_6891_4611_9F3D_869C152B6DF3_.wvu.PrintArea" localSheetId="48" hidden="1">'School Crossing Guard'!$B$1:$L$73</definedName>
    <definedName name="Z_E88939A6_6891_4611_9F3D_869C152B6DF3_.wvu.PrintArea" localSheetId="49" hidden="1">'Self-Insured Health'!$B$1:$L$72</definedName>
    <definedName name="Z_E88939A6_6891_4611_9F3D_869C152B6DF3_.wvu.PrintArea" localSheetId="68" hidden="1">'Special Revenue Funds'!$A$1:$H$54</definedName>
    <definedName name="Z_E88939A6_6891_4611_9F3D_869C152B6DF3_.wvu.PrintArea" localSheetId="50" hidden="1">'State Housing Imp Program'!$B$1:$L$68</definedName>
    <definedName name="Z_E88939A6_6891_4611_9F3D_869C152B6DF3_.wvu.PrintArea" localSheetId="51" hidden="1">Stormwater!$B$1:$L$72</definedName>
    <definedName name="Z_E88939A6_6891_4611_9F3D_869C152B6DF3_.wvu.PrintArea" localSheetId="52" hidden="1">'Sunrise Key'!$B$1:$L$64</definedName>
    <definedName name="Z_E88939A6_6891_4611_9F3D_869C152B6DF3_.wvu.PrintArea" localSheetId="69" hidden="1">'Total Debt Service'!$A$1:$H$53</definedName>
    <definedName name="Z_E88939A6_6891_4611_9F3D_869C152B6DF3_.wvu.PrintArea" localSheetId="53" hidden="1">'Vehicle Rental'!$B$1:$L$73</definedName>
    <definedName name="Z_E88939A6_6891_4611_9F3D_869C152B6DF3_.wvu.PrintArea" localSheetId="54" hidden="1">'Water and Sewer'!$B$1:$L$70</definedName>
    <definedName name="Z_F6C6EE71_BD53_4936_B216_39CA405E3890_.wvu.PrintArea" localSheetId="26" hidden="1">'General Fund Expenses'!$A$1:$J$74</definedName>
    <definedName name="Z_F6C6EE71_BD53_4936_B216_39CA405E3890_.wvu.PrintArea" localSheetId="25" hidden="1">'General Fund Revenue'!$A$1:$K$73</definedName>
  </definedNames>
  <calcPr calcId="144525"/>
  <customWorkbookViews>
    <customWorkbookView name="DianeL - Personal View" guid="{C8E99144-FF29-42D8-8D33-2038AA9D760E}" mergeInterval="0" personalView="1" maximized="1" windowWidth="1020" windowHeight="540" tabRatio="779" activeSheetId="29"/>
    <customWorkbookView name="NormM - Personal View" guid="{6F41311F-2270-450A-A26B-FA887A989CC9}" mergeInterval="0" personalView="1" maximized="1" windowWidth="1020" windowHeight="596" activeSheetId="23"/>
    <customWorkbookView name="ColletteO - Personal View" guid="{9F62FB59-F471-497B-8464-A1F026EE1693}" mergeInterval="0" personalView="1" maximized="1" windowWidth="1020" windowHeight="597" tabRatio="909" activeSheetId="7" showComments="commIndAndComment"/>
    <customWorkbookView name="ShondaS - Personal View" guid="{20D5FB18-2FAE-4D83-BF94-A00B522BD190}" mergeInterval="0" personalView="1" xWindow="6" yWindow="38" windowWidth="796" windowHeight="542" tabRatio="736" activeSheetId="4" showComments="commIndAndComment"/>
    <customWorkbookView name="StaceyB - Personal View" guid="{9456C1E9-89BB-4E93-9AFD-5A49DBF97574}" mergeInterval="0" personalView="1" maximized="1" windowWidth="1020" windowHeight="537" tabRatio="767" activeSheetId="22"/>
    <customWorkbookView name="bobbiw - Personal View" guid="{E88939A6-6891-4611-9F3D-869C152B6DF3}" mergeInterval="0" personalView="1" maximized="1" windowWidth="1020" windowHeight="509" tabRatio="779" activeSheetId="29"/>
    <customWorkbookView name="City of Fort Lauderdale - Personal View" guid="{7FD41845-6BD4-448F-810C-049EFA55EC1B}" mergeInterval="0" personalView="1" maximized="1" windowWidth="1020" windowHeight="496" tabRatio="779" activeSheetId="24"/>
    <customWorkbookView name="MargaretE - Personal View" guid="{8B0AB125-4209-45BF-9ABD-74BE01FD7C48}" mergeInterval="0" personalView="1" maximized="1" windowWidth="1266" windowHeight="453" tabRatio="779" activeSheetId="31"/>
  </customWorkbookViews>
</workbook>
</file>

<file path=xl/calcChain.xml><?xml version="1.0" encoding="utf-8"?>
<calcChain xmlns="http://schemas.openxmlformats.org/spreadsheetml/2006/main">
  <c r="L80" i="130" l="1"/>
  <c r="J80" i="130"/>
  <c r="H80" i="130"/>
  <c r="E80" i="130"/>
  <c r="O71" i="130"/>
  <c r="O70" i="130"/>
  <c r="Q60" i="130"/>
  <c r="O58" i="130"/>
  <c r="O54" i="130"/>
  <c r="O53" i="130"/>
  <c r="I48" i="130"/>
  <c r="K47" i="130"/>
  <c r="C46" i="130"/>
  <c r="C48" i="130" s="1"/>
  <c r="P44" i="130"/>
  <c r="G44" i="130"/>
  <c r="D44" i="130"/>
  <c r="O42" i="130"/>
  <c r="O36" i="130"/>
  <c r="P29" i="130"/>
  <c r="O27" i="130"/>
  <c r="O26" i="130"/>
  <c r="H26" i="130"/>
  <c r="G24" i="130"/>
  <c r="G28" i="130" s="1"/>
  <c r="D24" i="130"/>
  <c r="D56" i="130" s="1"/>
  <c r="D57" i="130" s="1"/>
  <c r="O23" i="130"/>
  <c r="O22" i="130"/>
  <c r="O21" i="130"/>
  <c r="O19" i="130"/>
  <c r="O18" i="130"/>
  <c r="G16" i="130"/>
  <c r="D16" i="130"/>
  <c r="D28" i="130" s="1"/>
  <c r="O15" i="130"/>
  <c r="O14" i="130"/>
  <c r="D14" i="130"/>
  <c r="O13" i="130"/>
  <c r="D13" i="130"/>
  <c r="O12" i="130"/>
  <c r="D12" i="130"/>
  <c r="O11" i="130"/>
  <c r="D11" i="130"/>
  <c r="S10" i="130"/>
  <c r="O10" i="130"/>
  <c r="D10" i="130"/>
  <c r="D9" i="130"/>
  <c r="D8" i="130"/>
  <c r="O7" i="130"/>
  <c r="S6" i="130"/>
  <c r="O6" i="130"/>
  <c r="O5" i="130"/>
  <c r="D59" i="130" l="1"/>
  <c r="D80" i="130"/>
  <c r="C22" i="96" l="1"/>
  <c r="C21" i="96"/>
  <c r="C20" i="96"/>
  <c r="C23" i="96"/>
  <c r="C24" i="96"/>
  <c r="C26" i="96" l="1"/>
  <c r="C27" i="96" s="1"/>
  <c r="C30" i="96" l="1"/>
  <c r="K43" i="130"/>
  <c r="I43" i="130"/>
  <c r="K38" i="130" l="1"/>
  <c r="F46" i="130"/>
  <c r="F47" i="130"/>
  <c r="M47" i="130" s="1"/>
  <c r="I40" i="130"/>
  <c r="K40" i="130"/>
  <c r="F48" i="130" l="1"/>
  <c r="F38" i="130" l="1"/>
  <c r="M38" i="130" s="1"/>
  <c r="C38" i="130"/>
  <c r="F40" i="130"/>
  <c r="M40" i="130" s="1"/>
  <c r="C40" i="130"/>
  <c r="I38" i="130" l="1"/>
  <c r="L26" i="96" l="1"/>
  <c r="I26" i="96"/>
  <c r="F26" i="96"/>
  <c r="N26" i="96" l="1"/>
  <c r="P12" i="96"/>
  <c r="C39" i="130" l="1"/>
  <c r="I39" i="130"/>
  <c r="F39" i="130"/>
  <c r="F24" i="96" l="1"/>
  <c r="F22" i="96" l="1"/>
  <c r="F23" i="96"/>
  <c r="C43" i="130" l="1"/>
  <c r="F43" i="130" l="1"/>
  <c r="M43" i="130" s="1"/>
  <c r="K39" i="130"/>
  <c r="M39" i="130" s="1"/>
  <c r="C37" i="130" l="1"/>
  <c r="F37" i="130"/>
  <c r="F26" i="130"/>
  <c r="C26" i="130" l="1"/>
  <c r="F21" i="96" l="1"/>
  <c r="F20" i="96"/>
  <c r="F27" i="96" s="1"/>
  <c r="O26" i="105" l="1"/>
  <c r="D100" i="114" l="1"/>
  <c r="D99" i="114"/>
  <c r="AC94" i="114"/>
  <c r="W94" i="114"/>
  <c r="V94" i="114"/>
  <c r="U94" i="114"/>
  <c r="S94" i="114"/>
  <c r="R94" i="114"/>
  <c r="Q94" i="114"/>
  <c r="N94" i="114"/>
  <c r="D94" i="114"/>
  <c r="D95" i="114" s="1"/>
  <c r="AK85" i="114"/>
  <c r="AK94" i="114" s="1"/>
  <c r="AI85" i="114"/>
  <c r="AI94" i="114" s="1"/>
  <c r="AG85" i="114"/>
  <c r="AG94" i="114" s="1"/>
  <c r="AE85" i="114"/>
  <c r="AE94" i="114" s="1"/>
  <c r="P83" i="114"/>
  <c r="L83" i="114"/>
  <c r="H83" i="114"/>
  <c r="G83" i="114"/>
  <c r="AD82" i="114"/>
  <c r="X82" i="114"/>
  <c r="Y82" i="114" s="1"/>
  <c r="Y81" i="114"/>
  <c r="X81" i="114"/>
  <c r="AM80" i="114"/>
  <c r="AL80" i="114"/>
  <c r="AK80" i="114"/>
  <c r="AJ80" i="114"/>
  <c r="AI80" i="114"/>
  <c r="AH80" i="114"/>
  <c r="AG80" i="114"/>
  <c r="AF80" i="114"/>
  <c r="AE80" i="114"/>
  <c r="AD80" i="114"/>
  <c r="AC80" i="114"/>
  <c r="AB80" i="114"/>
  <c r="AB83" i="114" s="1"/>
  <c r="X80" i="114"/>
  <c r="X79" i="114"/>
  <c r="X83" i="114" s="1"/>
  <c r="Y83" i="114" s="1"/>
  <c r="W76" i="114"/>
  <c r="V76" i="114"/>
  <c r="U76" i="114"/>
  <c r="T76" i="114"/>
  <c r="S76" i="114"/>
  <c r="R76" i="114"/>
  <c r="Q76" i="114"/>
  <c r="O76" i="114"/>
  <c r="N76" i="114"/>
  <c r="M76" i="114"/>
  <c r="K76" i="114"/>
  <c r="J76" i="114"/>
  <c r="I76" i="114"/>
  <c r="F76" i="114"/>
  <c r="E76" i="114"/>
  <c r="D76" i="114"/>
  <c r="AB74" i="114"/>
  <c r="AA74" i="114"/>
  <c r="P74" i="114"/>
  <c r="L74" i="114"/>
  <c r="H74" i="114"/>
  <c r="G74" i="114"/>
  <c r="X73" i="114"/>
  <c r="Y73" i="114" s="1"/>
  <c r="X72" i="114"/>
  <c r="Y72" i="114" s="1"/>
  <c r="AL71" i="114"/>
  <c r="AH71" i="114"/>
  <c r="AF71" i="114"/>
  <c r="X71" i="114"/>
  <c r="Y71" i="114" s="1"/>
  <c r="AM68" i="114"/>
  <c r="AM74" i="114" s="1"/>
  <c r="AM85" i="114" s="1"/>
  <c r="AM94" i="114" s="1"/>
  <c r="AK68" i="114"/>
  <c r="AK74" i="114" s="1"/>
  <c r="AI68" i="114"/>
  <c r="AI74" i="114" s="1"/>
  <c r="AG68" i="114"/>
  <c r="AG74" i="114" s="1"/>
  <c r="AE68" i="114"/>
  <c r="AE74" i="114" s="1"/>
  <c r="AC68" i="114"/>
  <c r="P68" i="114"/>
  <c r="P76" i="114" s="1"/>
  <c r="L68" i="114"/>
  <c r="L85" i="114" s="1"/>
  <c r="H68" i="114"/>
  <c r="H85" i="114" s="1"/>
  <c r="X67" i="114"/>
  <c r="Y67" i="114" s="1"/>
  <c r="AN67" i="114" s="1"/>
  <c r="X66" i="114"/>
  <c r="Y66" i="114" s="1"/>
  <c r="X65" i="114"/>
  <c r="Y65" i="114" s="1"/>
  <c r="AN65" i="114" s="1"/>
  <c r="Y64" i="114"/>
  <c r="AN64" i="114" s="1"/>
  <c r="X64" i="114"/>
  <c r="X63" i="114"/>
  <c r="X62" i="114"/>
  <c r="Y62" i="114" s="1"/>
  <c r="AD61" i="114"/>
  <c r="G61" i="114"/>
  <c r="G68" i="114" s="1"/>
  <c r="G76" i="114" s="1"/>
  <c r="Y60" i="114"/>
  <c r="X60" i="114"/>
  <c r="X59" i="114"/>
  <c r="Y58" i="114"/>
  <c r="AN58" i="114" s="1"/>
  <c r="X58" i="114"/>
  <c r="X57" i="114"/>
  <c r="AD56" i="114"/>
  <c r="AD68" i="114" s="1"/>
  <c r="X56" i="114"/>
  <c r="Y56" i="114" s="1"/>
  <c r="X55" i="114"/>
  <c r="Y54" i="114"/>
  <c r="X54" i="114"/>
  <c r="X53" i="114"/>
  <c r="Y52" i="114"/>
  <c r="X52" i="114"/>
  <c r="AN52" i="114" s="1"/>
  <c r="X51" i="114"/>
  <c r="Y50" i="114"/>
  <c r="X50" i="114"/>
  <c r="X49" i="114"/>
  <c r="Y48" i="114"/>
  <c r="AN48" i="114" s="1"/>
  <c r="X48" i="114"/>
  <c r="X47" i="114"/>
  <c r="Y47" i="114" s="1"/>
  <c r="X46" i="114"/>
  <c r="X45" i="114"/>
  <c r="X44" i="114"/>
  <c r="Y44" i="114" s="1"/>
  <c r="AN44" i="114" s="1"/>
  <c r="AN43" i="114"/>
  <c r="Y43" i="114"/>
  <c r="X43" i="114"/>
  <c r="X42" i="114"/>
  <c r="Y42" i="114" s="1"/>
  <c r="X41" i="114"/>
  <c r="X40" i="114"/>
  <c r="AN39" i="114"/>
  <c r="AN38" i="114"/>
  <c r="W31" i="114"/>
  <c r="V31" i="114"/>
  <c r="U31" i="114"/>
  <c r="T31" i="114"/>
  <c r="S31" i="114"/>
  <c r="R31" i="114"/>
  <c r="Q31" i="114"/>
  <c r="O31" i="114"/>
  <c r="N31" i="114"/>
  <c r="M31" i="114"/>
  <c r="K31" i="114"/>
  <c r="J31" i="114"/>
  <c r="I31" i="114"/>
  <c r="F31" i="114"/>
  <c r="E31" i="114"/>
  <c r="D31" i="114"/>
  <c r="X29" i="114"/>
  <c r="Y29" i="114" s="1"/>
  <c r="AK27" i="114"/>
  <c r="AI27" i="114"/>
  <c r="AG27" i="114"/>
  <c r="AE27" i="114"/>
  <c r="AC27" i="114"/>
  <c r="P27" i="114"/>
  <c r="P31" i="114" s="1"/>
  <c r="L27" i="114"/>
  <c r="L31" i="114" s="1"/>
  <c r="H27" i="114"/>
  <c r="H31" i="114" s="1"/>
  <c r="G27" i="114"/>
  <c r="G31" i="114" s="1"/>
  <c r="AM26" i="114"/>
  <c r="AM27" i="114" s="1"/>
  <c r="AK26" i="114"/>
  <c r="AI26" i="114"/>
  <c r="AG26" i="114"/>
  <c r="AE26" i="114"/>
  <c r="AC26" i="114"/>
  <c r="Y26" i="114"/>
  <c r="AD25" i="114"/>
  <c r="X25" i="114"/>
  <c r="Y25" i="114" s="1"/>
  <c r="Y24" i="114"/>
  <c r="X24" i="114"/>
  <c r="Y23" i="114"/>
  <c r="X23" i="114"/>
  <c r="Y22" i="114"/>
  <c r="X22" i="114"/>
  <c r="X21" i="114"/>
  <c r="Y20" i="114"/>
  <c r="X20" i="114"/>
  <c r="AN20" i="114" s="1"/>
  <c r="X19" i="114"/>
  <c r="Y18" i="114"/>
  <c r="X18" i="114"/>
  <c r="X17" i="114"/>
  <c r="AN16" i="114"/>
  <c r="Y16" i="114"/>
  <c r="X16" i="114"/>
  <c r="Y15" i="114"/>
  <c r="X15" i="114"/>
  <c r="AM11" i="114"/>
  <c r="AM33" i="114" s="1"/>
  <c r="AK11" i="114"/>
  <c r="AI11" i="114"/>
  <c r="AI33" i="114" s="1"/>
  <c r="AG11" i="114"/>
  <c r="AE11" i="114"/>
  <c r="AE33" i="114" s="1"/>
  <c r="AC11" i="114"/>
  <c r="P11" i="114"/>
  <c r="P33" i="114" s="1"/>
  <c r="L11" i="114"/>
  <c r="L33" i="114" s="1"/>
  <c r="H11" i="114"/>
  <c r="X10" i="114"/>
  <c r="AB9" i="114"/>
  <c r="AB11" i="114" s="1"/>
  <c r="Y9" i="114"/>
  <c r="X9" i="114"/>
  <c r="X11" i="114" s="1"/>
  <c r="G9" i="114"/>
  <c r="G11" i="114" s="1"/>
  <c r="G33" i="114" s="1"/>
  <c r="B3" i="114"/>
  <c r="E76" i="91"/>
  <c r="F76" i="91"/>
  <c r="I76" i="91"/>
  <c r="J76" i="91"/>
  <c r="K76" i="91"/>
  <c r="M76" i="91"/>
  <c r="N76" i="91"/>
  <c r="O76" i="91"/>
  <c r="Q76" i="91"/>
  <c r="R76" i="91"/>
  <c r="S76" i="91"/>
  <c r="T76" i="91"/>
  <c r="U76" i="91"/>
  <c r="V76" i="91"/>
  <c r="W76" i="91"/>
  <c r="D76" i="91"/>
  <c r="E31" i="91"/>
  <c r="F31" i="91"/>
  <c r="I31" i="91"/>
  <c r="J31" i="91"/>
  <c r="K31" i="91"/>
  <c r="M31" i="91"/>
  <c r="N31" i="91"/>
  <c r="O31" i="91"/>
  <c r="P31" i="91"/>
  <c r="Q31" i="91"/>
  <c r="R31" i="91"/>
  <c r="S31" i="91"/>
  <c r="T31" i="91"/>
  <c r="U31" i="91"/>
  <c r="V31" i="91"/>
  <c r="W31" i="91"/>
  <c r="D31" i="91"/>
  <c r="X16" i="91"/>
  <c r="X82" i="91"/>
  <c r="X81" i="91"/>
  <c r="X80" i="91"/>
  <c r="X79" i="91"/>
  <c r="X73" i="91"/>
  <c r="X72" i="91"/>
  <c r="X71" i="91"/>
  <c r="X67" i="91"/>
  <c r="X66" i="91"/>
  <c r="X65" i="91"/>
  <c r="X64" i="91"/>
  <c r="X63" i="91"/>
  <c r="X62" i="91"/>
  <c r="X60" i="91"/>
  <c r="X59" i="91"/>
  <c r="X58" i="91"/>
  <c r="X57" i="91"/>
  <c r="X56" i="91"/>
  <c r="X55" i="91"/>
  <c r="X54" i="91"/>
  <c r="X53" i="91"/>
  <c r="X52" i="91"/>
  <c r="X51" i="91"/>
  <c r="X50" i="91"/>
  <c r="X49" i="91"/>
  <c r="X48" i="91"/>
  <c r="X47" i="91"/>
  <c r="X46" i="91"/>
  <c r="X45" i="91"/>
  <c r="X44" i="91"/>
  <c r="X43" i="91"/>
  <c r="X42" i="91"/>
  <c r="X41" i="91"/>
  <c r="X40" i="91"/>
  <c r="X29" i="91"/>
  <c r="X25" i="91"/>
  <c r="X24" i="91"/>
  <c r="X23" i="91"/>
  <c r="X22" i="91"/>
  <c r="X21" i="91"/>
  <c r="X20" i="91"/>
  <c r="X19" i="91"/>
  <c r="X18" i="91"/>
  <c r="X17" i="91"/>
  <c r="X15" i="91"/>
  <c r="X10" i="91"/>
  <c r="P11" i="91"/>
  <c r="P27" i="91"/>
  <c r="P68" i="91"/>
  <c r="P74" i="91"/>
  <c r="P76" i="91" s="1"/>
  <c r="P83" i="91"/>
  <c r="L83" i="91"/>
  <c r="H83" i="91"/>
  <c r="L74" i="91"/>
  <c r="L76" i="91" s="1"/>
  <c r="H74" i="91"/>
  <c r="H76" i="91" s="1"/>
  <c r="L68" i="91"/>
  <c r="H68" i="91"/>
  <c r="G9" i="91"/>
  <c r="G11" i="91" s="1"/>
  <c r="L27" i="91"/>
  <c r="L31" i="91" s="1"/>
  <c r="L11" i="91"/>
  <c r="H11" i="91"/>
  <c r="H27" i="91"/>
  <c r="H31" i="91" s="1"/>
  <c r="G61" i="91"/>
  <c r="G68" i="91" s="1"/>
  <c r="G76" i="91" s="1"/>
  <c r="G83" i="91"/>
  <c r="G74" i="91"/>
  <c r="G27" i="91"/>
  <c r="G31" i="91" s="1"/>
  <c r="Y10" i="114" l="1"/>
  <c r="AN10" i="114" s="1"/>
  <c r="Y19" i="114"/>
  <c r="AN19" i="114" s="1"/>
  <c r="Y40" i="114"/>
  <c r="AN40" i="114" s="1"/>
  <c r="AN47" i="114"/>
  <c r="Y51" i="114"/>
  <c r="AN51" i="114" s="1"/>
  <c r="Y57" i="114"/>
  <c r="AN57" i="114" s="1"/>
  <c r="AN62" i="114"/>
  <c r="P85" i="114"/>
  <c r="X83" i="91"/>
  <c r="AN18" i="114"/>
  <c r="AG33" i="114"/>
  <c r="Y46" i="114"/>
  <c r="AN46" i="114" s="1"/>
  <c r="AN50" i="114"/>
  <c r="Y55" i="114"/>
  <c r="AN55" i="114" s="1"/>
  <c r="X61" i="114"/>
  <c r="L93" i="114"/>
  <c r="AN81" i="114"/>
  <c r="AN22" i="114"/>
  <c r="AN54" i="114"/>
  <c r="AN60" i="114"/>
  <c r="Y61" i="114"/>
  <c r="AC33" i="114"/>
  <c r="AK33" i="114"/>
  <c r="AN42" i="114"/>
  <c r="X74" i="114"/>
  <c r="Y74" i="114" s="1"/>
  <c r="P93" i="114"/>
  <c r="X27" i="114"/>
  <c r="H33" i="114"/>
  <c r="H76" i="114"/>
  <c r="L76" i="114"/>
  <c r="Y11" i="114"/>
  <c r="Y17" i="114"/>
  <c r="AN17" i="114" s="1"/>
  <c r="Y21" i="114"/>
  <c r="AN21" i="114" s="1"/>
  <c r="Y41" i="114"/>
  <c r="AN41" i="114" s="1"/>
  <c r="Y45" i="114"/>
  <c r="AN45" i="114" s="1"/>
  <c r="Y49" i="114"/>
  <c r="AN49" i="114" s="1"/>
  <c r="Y53" i="114"/>
  <c r="AN53" i="114" s="1"/>
  <c r="Y59" i="114"/>
  <c r="AN59" i="114" s="1"/>
  <c r="Y63" i="114"/>
  <c r="Y79" i="114"/>
  <c r="Y80" i="114"/>
  <c r="AN80" i="114" s="1"/>
  <c r="G85" i="114"/>
  <c r="G93" i="114" s="1"/>
  <c r="X68" i="114"/>
  <c r="AC98" i="114" s="1"/>
  <c r="X74" i="91"/>
  <c r="X27" i="91"/>
  <c r="X31" i="91" s="1"/>
  <c r="X9" i="91"/>
  <c r="X11" i="91" s="1"/>
  <c r="X33" i="91" s="1"/>
  <c r="X61" i="91"/>
  <c r="X68" i="91" s="1"/>
  <c r="P33" i="91"/>
  <c r="P85" i="91"/>
  <c r="G85" i="91"/>
  <c r="H85" i="91"/>
  <c r="L85" i="91"/>
  <c r="H33" i="91"/>
  <c r="L33" i="91"/>
  <c r="G33" i="91"/>
  <c r="Y83" i="91"/>
  <c r="Y82" i="91"/>
  <c r="Y81" i="91"/>
  <c r="Y80" i="91"/>
  <c r="Y79" i="91"/>
  <c r="Y74" i="91"/>
  <c r="Y73" i="91"/>
  <c r="Y72" i="91"/>
  <c r="Y71" i="91"/>
  <c r="Y67" i="91"/>
  <c r="Y66" i="91"/>
  <c r="Y65" i="91"/>
  <c r="Y64" i="91"/>
  <c r="Y63" i="91"/>
  <c r="Y62" i="91"/>
  <c r="Y61" i="91"/>
  <c r="Y60" i="91"/>
  <c r="Y59" i="91"/>
  <c r="Y58" i="91"/>
  <c r="Y57" i="91"/>
  <c r="Y56" i="91"/>
  <c r="Y55" i="91"/>
  <c r="Y54" i="91"/>
  <c r="Y53" i="91"/>
  <c r="Y52" i="91"/>
  <c r="Y51" i="91"/>
  <c r="Y50" i="91"/>
  <c r="Y49" i="91"/>
  <c r="Y48" i="91"/>
  <c r="Y47" i="91"/>
  <c r="Y46" i="91"/>
  <c r="Y45" i="91"/>
  <c r="Y44" i="91"/>
  <c r="Y43" i="91"/>
  <c r="Y42" i="91"/>
  <c r="Y41" i="91"/>
  <c r="Y40" i="91"/>
  <c r="Y29" i="91"/>
  <c r="Y27" i="91"/>
  <c r="Y26" i="91"/>
  <c r="Y25" i="91"/>
  <c r="Y24" i="91"/>
  <c r="Y23" i="91"/>
  <c r="Y22" i="91"/>
  <c r="Y21" i="91"/>
  <c r="Y20" i="91"/>
  <c r="Y19" i="91"/>
  <c r="Y18" i="91"/>
  <c r="Y17" i="91"/>
  <c r="Y16" i="91"/>
  <c r="Y15" i="91"/>
  <c r="Y10" i="91"/>
  <c r="Y9" i="91"/>
  <c r="X92" i="91" l="1"/>
  <c r="J92" i="91"/>
  <c r="E92" i="91"/>
  <c r="T92" i="91"/>
  <c r="F92" i="91"/>
  <c r="O92" i="91"/>
  <c r="I92" i="91"/>
  <c r="M92" i="91"/>
  <c r="K92" i="91"/>
  <c r="Y11" i="91"/>
  <c r="P93" i="91"/>
  <c r="AM98" i="114"/>
  <c r="AG98" i="114"/>
  <c r="AK98" i="114"/>
  <c r="S98" i="114"/>
  <c r="D98" i="114"/>
  <c r="M92" i="114"/>
  <c r="F92" i="114"/>
  <c r="W98" i="114"/>
  <c r="R98" i="114"/>
  <c r="X92" i="114"/>
  <c r="K92" i="114"/>
  <c r="E92" i="114"/>
  <c r="X85" i="114"/>
  <c r="Y68" i="114"/>
  <c r="V98" i="114"/>
  <c r="Q98" i="114"/>
  <c r="T92" i="114"/>
  <c r="J92" i="114"/>
  <c r="U98" i="114"/>
  <c r="N98" i="114"/>
  <c r="O92" i="114"/>
  <c r="I92" i="114"/>
  <c r="X76" i="114"/>
  <c r="AI98" i="114"/>
  <c r="AE98" i="114"/>
  <c r="Y27" i="114"/>
  <c r="X31" i="114"/>
  <c r="X33" i="114"/>
  <c r="Y33" i="114" s="1"/>
  <c r="AD98" i="114"/>
  <c r="X85" i="91"/>
  <c r="Y85" i="91" s="1"/>
  <c r="X76" i="91"/>
  <c r="Y68" i="91"/>
  <c r="G93" i="91"/>
  <c r="L93" i="91"/>
  <c r="Y33" i="91"/>
  <c r="X93" i="91" l="1"/>
  <c r="Y85" i="114"/>
  <c r="X93" i="114"/>
  <c r="D100" i="91" l="1"/>
  <c r="D99" i="91"/>
  <c r="W94" i="105" l="1"/>
  <c r="V94" i="105"/>
  <c r="U94" i="105"/>
  <c r="T94" i="105"/>
  <c r="S94" i="105"/>
  <c r="R94" i="105"/>
  <c r="Q94" i="105"/>
  <c r="P94" i="105"/>
  <c r="O94" i="105"/>
  <c r="M94" i="105"/>
  <c r="L94" i="105"/>
  <c r="K94" i="105"/>
  <c r="I94" i="105"/>
  <c r="J94" i="105"/>
  <c r="H94" i="105"/>
  <c r="G94" i="105"/>
  <c r="F94" i="105"/>
  <c r="E94" i="105"/>
  <c r="D94" i="105"/>
  <c r="N82" i="109" l="1"/>
  <c r="E75" i="109"/>
  <c r="I75" i="109"/>
  <c r="G74" i="109"/>
  <c r="G75" i="109" s="1"/>
  <c r="P74" i="106"/>
  <c r="L74" i="106"/>
  <c r="J43" i="109"/>
  <c r="S95" i="110"/>
  <c r="R95" i="110"/>
  <c r="Q95" i="110"/>
  <c r="P95" i="110"/>
  <c r="O95" i="110"/>
  <c r="N95" i="110"/>
  <c r="M95" i="110"/>
  <c r="W65" i="105" l="1"/>
  <c r="V65" i="105"/>
  <c r="U65" i="105"/>
  <c r="T65" i="105"/>
  <c r="N65" i="105"/>
  <c r="H65" i="105"/>
  <c r="I51" i="105" l="1"/>
  <c r="I53" i="105"/>
  <c r="I73" i="105"/>
  <c r="I75" i="105"/>
  <c r="I58" i="105" l="1"/>
  <c r="X94" i="105"/>
  <c r="D126" i="105"/>
  <c r="D128" i="105" s="1"/>
  <c r="I93" i="105" l="1"/>
  <c r="Y94" i="105"/>
  <c r="X33" i="105"/>
  <c r="Q28" i="106" l="1"/>
  <c r="R28" i="106" s="1"/>
  <c r="Q71" i="106"/>
  <c r="R71" i="106" s="1"/>
  <c r="I95" i="105"/>
  <c r="I98" i="105"/>
  <c r="J4" i="110"/>
  <c r="J5" i="110"/>
  <c r="J6" i="110"/>
  <c r="J7" i="110"/>
  <c r="J8" i="110"/>
  <c r="J9" i="110"/>
  <c r="J10" i="110"/>
  <c r="J11" i="110"/>
  <c r="J12" i="110"/>
  <c r="J13" i="110"/>
  <c r="J14" i="110"/>
  <c r="J15" i="110"/>
  <c r="J16" i="110"/>
  <c r="J17" i="110"/>
  <c r="J18" i="110"/>
  <c r="J19" i="110"/>
  <c r="J20" i="110"/>
  <c r="J21" i="110"/>
  <c r="J22" i="110"/>
  <c r="J23" i="110"/>
  <c r="J24" i="110"/>
  <c r="J25" i="110"/>
  <c r="J26" i="110"/>
  <c r="J27" i="110"/>
  <c r="J28" i="110"/>
  <c r="J29" i="110"/>
  <c r="J30" i="110"/>
  <c r="J31" i="110"/>
  <c r="J32" i="110"/>
  <c r="J33" i="110"/>
  <c r="J34" i="110"/>
  <c r="J35" i="110"/>
  <c r="J36" i="110"/>
  <c r="J37" i="110"/>
  <c r="J38" i="110"/>
  <c r="J39" i="110"/>
  <c r="J40" i="110"/>
  <c r="J41" i="110"/>
  <c r="J42" i="110"/>
  <c r="J43" i="110"/>
  <c r="J44" i="110"/>
  <c r="J45" i="110"/>
  <c r="J46" i="110"/>
  <c r="J47" i="110"/>
  <c r="J48" i="110"/>
  <c r="J49" i="110"/>
  <c r="J50" i="110"/>
  <c r="J51" i="110"/>
  <c r="J52" i="110"/>
  <c r="J53" i="110"/>
  <c r="J54" i="110"/>
  <c r="J55" i="110"/>
  <c r="J56" i="110"/>
  <c r="J57" i="110"/>
  <c r="J58" i="110"/>
  <c r="J59" i="110"/>
  <c r="J60" i="110"/>
  <c r="J61" i="110"/>
  <c r="J62" i="110"/>
  <c r="J63" i="110"/>
  <c r="J64" i="110"/>
  <c r="J65" i="110"/>
  <c r="J66" i="110"/>
  <c r="J67" i="110"/>
  <c r="J68" i="110"/>
  <c r="J69" i="110"/>
  <c r="J70" i="110"/>
  <c r="J71" i="110"/>
  <c r="J72" i="110"/>
  <c r="J73" i="110"/>
  <c r="J74" i="110"/>
  <c r="J75" i="110"/>
  <c r="J76" i="110"/>
  <c r="J77" i="110"/>
  <c r="J78" i="110"/>
  <c r="J79" i="110"/>
  <c r="J80" i="110"/>
  <c r="J81" i="110"/>
  <c r="J82" i="110"/>
  <c r="J83" i="110"/>
  <c r="J84" i="110"/>
  <c r="J85" i="110"/>
  <c r="J86" i="110"/>
  <c r="J87" i="110"/>
  <c r="J88" i="110"/>
  <c r="J89" i="110"/>
  <c r="J90" i="110"/>
  <c r="J91" i="110"/>
  <c r="J92" i="110"/>
  <c r="J93" i="110"/>
  <c r="J3" i="110"/>
  <c r="S123" i="105" l="1"/>
  <c r="E118" i="105"/>
  <c r="F118" i="105"/>
  <c r="G118" i="105"/>
  <c r="H118" i="105"/>
  <c r="J118" i="105"/>
  <c r="K118" i="105"/>
  <c r="L118" i="105"/>
  <c r="M118" i="105"/>
  <c r="O118" i="105"/>
  <c r="N118" i="105"/>
  <c r="P118" i="105"/>
  <c r="Q118" i="105"/>
  <c r="R118" i="105"/>
  <c r="S118" i="105"/>
  <c r="T118" i="105"/>
  <c r="U118" i="105"/>
  <c r="V118" i="105"/>
  <c r="W118" i="105"/>
  <c r="X117" i="105"/>
  <c r="X116" i="105"/>
  <c r="D118" i="105"/>
  <c r="Z65" i="105"/>
  <c r="X118" i="105" l="1"/>
  <c r="N43" i="109" l="1"/>
  <c r="N39" i="109"/>
  <c r="N38" i="109"/>
  <c r="L39" i="109"/>
  <c r="L38" i="109"/>
  <c r="J36" i="109"/>
  <c r="J27" i="109"/>
  <c r="H36" i="109"/>
  <c r="F40" i="109"/>
  <c r="F37" i="109"/>
  <c r="D41" i="109"/>
  <c r="D40" i="109"/>
  <c r="D39" i="109"/>
  <c r="D38" i="109"/>
  <c r="D37" i="109"/>
  <c r="D36" i="109"/>
  <c r="AE45" i="109"/>
  <c r="AE43" i="109"/>
  <c r="L43" i="109"/>
  <c r="H43" i="109"/>
  <c r="F43" i="109"/>
  <c r="D43" i="109"/>
  <c r="D56" i="109" s="1"/>
  <c r="AE41" i="109"/>
  <c r="N41" i="109"/>
  <c r="L41" i="109"/>
  <c r="H41" i="109"/>
  <c r="F41" i="109"/>
  <c r="N40" i="109"/>
  <c r="L40" i="109"/>
  <c r="H40" i="109"/>
  <c r="H39" i="109"/>
  <c r="F39" i="109"/>
  <c r="H38" i="109"/>
  <c r="F38" i="109"/>
  <c r="N37" i="109"/>
  <c r="AF37" i="109" s="1"/>
  <c r="L37" i="109"/>
  <c r="J37" i="109"/>
  <c r="H37" i="109"/>
  <c r="N36" i="109"/>
  <c r="AF36" i="109" s="1"/>
  <c r="L36" i="109"/>
  <c r="F36" i="109"/>
  <c r="AF35" i="109"/>
  <c r="AF34" i="109"/>
  <c r="AF33" i="109"/>
  <c r="AF31" i="109"/>
  <c r="AE30" i="109"/>
  <c r="L30" i="109"/>
  <c r="AE28" i="109"/>
  <c r="H28" i="109"/>
  <c r="AE27" i="109"/>
  <c r="L27" i="109"/>
  <c r="H27" i="109"/>
  <c r="AE26" i="109"/>
  <c r="H26" i="109"/>
  <c r="N25" i="109"/>
  <c r="L25" i="109"/>
  <c r="J25" i="109"/>
  <c r="H25" i="109"/>
  <c r="N24" i="109"/>
  <c r="L24" i="109"/>
  <c r="J24" i="109"/>
  <c r="H24" i="109"/>
  <c r="N23" i="109"/>
  <c r="L23" i="109"/>
  <c r="J23" i="109"/>
  <c r="H23" i="109"/>
  <c r="F23" i="109"/>
  <c r="N22" i="109"/>
  <c r="L22" i="109"/>
  <c r="J22" i="109"/>
  <c r="H22" i="109"/>
  <c r="F22" i="109"/>
  <c r="N21" i="109"/>
  <c r="L21" i="109"/>
  <c r="J21" i="109"/>
  <c r="H21" i="109"/>
  <c r="F21" i="109"/>
  <c r="N20" i="109"/>
  <c r="L20" i="109"/>
  <c r="H20" i="109"/>
  <c r="N19" i="109"/>
  <c r="L19" i="109"/>
  <c r="F19" i="109"/>
  <c r="N18" i="109"/>
  <c r="L18" i="109"/>
  <c r="F18" i="109"/>
  <c r="AE4" i="109"/>
  <c r="P41" i="109" l="1"/>
  <c r="AE29" i="109"/>
  <c r="P39" i="109"/>
  <c r="P40" i="109"/>
  <c r="P37" i="109"/>
  <c r="P38" i="109"/>
  <c r="P36" i="109"/>
  <c r="P43" i="109"/>
  <c r="H44" i="109"/>
  <c r="L23" i="96" l="1"/>
  <c r="L22" i="96"/>
  <c r="P76" i="106"/>
  <c r="L76" i="106"/>
  <c r="P60" i="106"/>
  <c r="P62" i="106" s="1"/>
  <c r="L62" i="106"/>
  <c r="L60" i="106"/>
  <c r="H60" i="107"/>
  <c r="P60" i="107"/>
  <c r="Q60" i="107"/>
  <c r="R60" i="107"/>
  <c r="S60" i="107"/>
  <c r="M58" i="106"/>
  <c r="M45" i="106"/>
  <c r="M17" i="106"/>
  <c r="M16" i="106"/>
  <c r="L10" i="96"/>
  <c r="L9" i="96"/>
  <c r="P13" i="105"/>
  <c r="O13" i="105"/>
  <c r="M13" i="105"/>
  <c r="K13" i="105"/>
  <c r="J13" i="105" l="1"/>
  <c r="M75" i="105" l="1"/>
  <c r="P75" i="105" l="1"/>
  <c r="Z64" i="105"/>
  <c r="K75" i="105"/>
  <c r="T83" i="107" l="1"/>
  <c r="I81" i="107"/>
  <c r="E81" i="107"/>
  <c r="K78" i="107"/>
  <c r="L68" i="107"/>
  <c r="D67" i="107"/>
  <c r="T67" i="107" s="1"/>
  <c r="Q66" i="107"/>
  <c r="Q69" i="107" s="1"/>
  <c r="L66" i="107"/>
  <c r="K66" i="107"/>
  <c r="J66" i="107"/>
  <c r="I66" i="107"/>
  <c r="E66" i="107"/>
  <c r="D59" i="107"/>
  <c r="T58" i="107"/>
  <c r="D57" i="107"/>
  <c r="T57" i="107" s="1"/>
  <c r="E56" i="107"/>
  <c r="D52" i="107"/>
  <c r="D51" i="107"/>
  <c r="D50" i="107"/>
  <c r="D49" i="107"/>
  <c r="D48" i="107"/>
  <c r="D47" i="107"/>
  <c r="D46" i="107"/>
  <c r="D45" i="107"/>
  <c r="T45" i="107" s="1"/>
  <c r="D44" i="107"/>
  <c r="T44" i="107" s="1"/>
  <c r="D43" i="107"/>
  <c r="T43" i="107" s="1"/>
  <c r="D42" i="107"/>
  <c r="T42" i="107" s="1"/>
  <c r="D41" i="107"/>
  <c r="T41" i="107" s="1"/>
  <c r="D40" i="107"/>
  <c r="T40" i="107" s="1"/>
  <c r="D39" i="107"/>
  <c r="T39" i="107" s="1"/>
  <c r="D38" i="107"/>
  <c r="D31" i="107"/>
  <c r="D11" i="107"/>
  <c r="T11" i="107" s="1"/>
  <c r="Q9" i="107"/>
  <c r="Q14" i="107" s="1"/>
  <c r="B3" i="107"/>
  <c r="D53" i="107" l="1"/>
  <c r="T38" i="107"/>
  <c r="P26" i="105" l="1"/>
  <c r="D23" i="107" l="1"/>
  <c r="T23" i="107" s="1"/>
  <c r="D22" i="107"/>
  <c r="T22" i="107" s="1"/>
  <c r="D21" i="107"/>
  <c r="T21" i="107" s="1"/>
  <c r="D18" i="107"/>
  <c r="T18" i="107" l="1"/>
  <c r="D24" i="107" l="1"/>
  <c r="D25" i="107"/>
  <c r="D28" i="107"/>
  <c r="D27" i="107" l="1"/>
  <c r="D26" i="107"/>
  <c r="D29" i="107" l="1"/>
  <c r="D77" i="107" s="1"/>
  <c r="P17" i="96" l="1"/>
  <c r="O17" i="96"/>
  <c r="D57" i="105" l="1"/>
  <c r="M52" i="106" s="1"/>
  <c r="D56" i="107" l="1"/>
  <c r="D60" i="107" s="1"/>
  <c r="D62" i="107" s="1"/>
  <c r="D95" i="107" l="1"/>
  <c r="D89" i="107"/>
  <c r="X90" i="105"/>
  <c r="P15" i="106" l="1"/>
  <c r="N12" i="106"/>
  <c r="N13" i="106"/>
  <c r="N14" i="106"/>
  <c r="N16" i="106"/>
  <c r="N17" i="106"/>
  <c r="N58" i="106"/>
  <c r="N64" i="106"/>
  <c r="N70" i="106"/>
  <c r="X63" i="105"/>
  <c r="Q58" i="106" s="1"/>
  <c r="R58" i="106" s="1"/>
  <c r="U9" i="105"/>
  <c r="U14" i="105" s="1"/>
  <c r="U73" i="105"/>
  <c r="U76" i="105" s="1"/>
  <c r="U113" i="105" s="1"/>
  <c r="U121" i="105" s="1"/>
  <c r="O75" i="105"/>
  <c r="O73" i="105"/>
  <c r="L73" i="105"/>
  <c r="J73" i="105"/>
  <c r="E73" i="105"/>
  <c r="E61" i="105"/>
  <c r="J69" i="106"/>
  <c r="H69" i="106"/>
  <c r="D67" i="106"/>
  <c r="I65" i="106"/>
  <c r="I69" i="106" s="1"/>
  <c r="E65" i="106"/>
  <c r="E69" i="106" s="1"/>
  <c r="J60" i="106"/>
  <c r="G60" i="106"/>
  <c r="F60" i="106"/>
  <c r="D59" i="106"/>
  <c r="D57" i="106"/>
  <c r="D56" i="106"/>
  <c r="R85" i="106"/>
  <c r="D52" i="106"/>
  <c r="D51" i="106"/>
  <c r="D50" i="106"/>
  <c r="D49" i="106"/>
  <c r="D48" i="106"/>
  <c r="D47" i="106"/>
  <c r="D46" i="106"/>
  <c r="D44" i="106"/>
  <c r="D43" i="106"/>
  <c r="D42" i="106"/>
  <c r="D41" i="106"/>
  <c r="D40" i="106"/>
  <c r="D39" i="106"/>
  <c r="D38" i="106"/>
  <c r="D37" i="106"/>
  <c r="D53" i="106" s="1"/>
  <c r="D30" i="106"/>
  <c r="K26" i="106"/>
  <c r="D25" i="106"/>
  <c r="D24" i="106"/>
  <c r="D23" i="106"/>
  <c r="D22" i="106"/>
  <c r="D21" i="106"/>
  <c r="D20" i="106"/>
  <c r="D19" i="106"/>
  <c r="D18" i="106"/>
  <c r="D16" i="106"/>
  <c r="J11" i="106"/>
  <c r="D74" i="105"/>
  <c r="D64" i="105"/>
  <c r="D56" i="105"/>
  <c r="D55" i="105"/>
  <c r="M50" i="106" s="1"/>
  <c r="D54" i="105"/>
  <c r="D53" i="105"/>
  <c r="D52" i="105"/>
  <c r="D51" i="105"/>
  <c r="D49" i="105"/>
  <c r="M44" i="106" s="1"/>
  <c r="D48" i="105"/>
  <c r="D47" i="105"/>
  <c r="D46" i="105"/>
  <c r="D45" i="105"/>
  <c r="D44" i="105"/>
  <c r="D43" i="105"/>
  <c r="D42" i="105"/>
  <c r="M37" i="106" s="1"/>
  <c r="D31" i="105"/>
  <c r="D28" i="105"/>
  <c r="D27" i="105"/>
  <c r="D26" i="105"/>
  <c r="D25" i="105"/>
  <c r="D24" i="105"/>
  <c r="D23" i="105"/>
  <c r="D22" i="105"/>
  <c r="D21" i="105"/>
  <c r="D18" i="105"/>
  <c r="D11" i="105"/>
  <c r="B3" i="105"/>
  <c r="D52" i="92"/>
  <c r="Z58" i="93"/>
  <c r="O29" i="93"/>
  <c r="Q29" i="93"/>
  <c r="S29" i="93"/>
  <c r="U29" i="93"/>
  <c r="W29" i="93"/>
  <c r="Y29" i="93"/>
  <c r="O69" i="93"/>
  <c r="Q69" i="93"/>
  <c r="S69" i="93"/>
  <c r="U69" i="93"/>
  <c r="W69" i="93"/>
  <c r="Y69" i="93"/>
  <c r="O60" i="93"/>
  <c r="Q60" i="93"/>
  <c r="S60" i="93"/>
  <c r="U60" i="93"/>
  <c r="W60" i="93"/>
  <c r="Y60" i="93"/>
  <c r="D59" i="92"/>
  <c r="M59" i="106" l="1"/>
  <c r="X23" i="105"/>
  <c r="Q20" i="106" s="1"/>
  <c r="R20" i="106" s="1"/>
  <c r="D23" i="109"/>
  <c r="P23" i="109" s="1"/>
  <c r="M20" i="106"/>
  <c r="N23" i="106"/>
  <c r="D26" i="109"/>
  <c r="M23" i="106"/>
  <c r="X47" i="105"/>
  <c r="Q42" i="106" s="1"/>
  <c r="R42" i="106" s="1"/>
  <c r="M42" i="106"/>
  <c r="X74" i="105"/>
  <c r="Q67" i="106" s="1"/>
  <c r="R67" i="106" s="1"/>
  <c r="M67" i="106"/>
  <c r="X11" i="105"/>
  <c r="Q8" i="106" s="1"/>
  <c r="R8" i="106" s="1"/>
  <c r="D13" i="109"/>
  <c r="P13" i="109" s="1"/>
  <c r="M8" i="106"/>
  <c r="N21" i="106"/>
  <c r="D24" i="109"/>
  <c r="M21" i="106"/>
  <c r="N24" i="106"/>
  <c r="D27" i="109"/>
  <c r="M24" i="106"/>
  <c r="X44" i="105"/>
  <c r="Q39" i="106" s="1"/>
  <c r="R39" i="106" s="1"/>
  <c r="M39" i="106"/>
  <c r="X48" i="105"/>
  <c r="Q43" i="106" s="1"/>
  <c r="R43" i="106" s="1"/>
  <c r="M43" i="106"/>
  <c r="X18" i="105"/>
  <c r="Q15" i="106" s="1"/>
  <c r="R15" i="106" s="1"/>
  <c r="D18" i="109"/>
  <c r="M15" i="106"/>
  <c r="X43" i="105"/>
  <c r="Q38" i="106" s="1"/>
  <c r="R38" i="106" s="1"/>
  <c r="M38" i="106"/>
  <c r="N47" i="106"/>
  <c r="M47" i="106"/>
  <c r="X21" i="105"/>
  <c r="Q18" i="106" s="1"/>
  <c r="R18" i="106" s="1"/>
  <c r="D21" i="109"/>
  <c r="P21" i="109" s="1"/>
  <c r="M18" i="106"/>
  <c r="N22" i="106"/>
  <c r="D25" i="109"/>
  <c r="M22" i="106"/>
  <c r="N30" i="106"/>
  <c r="D30" i="109"/>
  <c r="M30" i="106"/>
  <c r="X45" i="105"/>
  <c r="Q40" i="106" s="1"/>
  <c r="R40" i="106" s="1"/>
  <c r="M40" i="106"/>
  <c r="N48" i="106"/>
  <c r="M48" i="106"/>
  <c r="X22" i="105"/>
  <c r="Q19" i="106" s="1"/>
  <c r="R19" i="106" s="1"/>
  <c r="D22" i="109"/>
  <c r="P22" i="109" s="1"/>
  <c r="M19" i="106"/>
  <c r="N25" i="106"/>
  <c r="D28" i="109"/>
  <c r="M25" i="106"/>
  <c r="X46" i="105"/>
  <c r="Q41" i="106" s="1"/>
  <c r="R41" i="106" s="1"/>
  <c r="M41" i="106"/>
  <c r="N46" i="106"/>
  <c r="M46" i="106"/>
  <c r="N49" i="106"/>
  <c r="M49" i="106"/>
  <c r="N51" i="106"/>
  <c r="M51" i="106"/>
  <c r="I46" i="107"/>
  <c r="I48" i="107"/>
  <c r="N8" i="106"/>
  <c r="N67" i="106"/>
  <c r="X42" i="105"/>
  <c r="Q37" i="106" s="1"/>
  <c r="R37" i="106" s="1"/>
  <c r="D58" i="105"/>
  <c r="D93" i="105" s="1"/>
  <c r="N19" i="106"/>
  <c r="N59" i="106"/>
  <c r="N50" i="106"/>
  <c r="N41" i="106"/>
  <c r="N37" i="106"/>
  <c r="N44" i="106"/>
  <c r="N40" i="106"/>
  <c r="N52" i="106"/>
  <c r="N43" i="106"/>
  <c r="N39" i="106"/>
  <c r="N42" i="106"/>
  <c r="N38" i="106"/>
  <c r="N18" i="106"/>
  <c r="N20" i="106"/>
  <c r="N15" i="106"/>
  <c r="D26" i="106"/>
  <c r="D60" i="106"/>
  <c r="D29" i="105"/>
  <c r="E80" i="105" s="1"/>
  <c r="D95" i="105" l="1"/>
  <c r="D98" i="105"/>
  <c r="D84" i="105"/>
  <c r="D35" i="105"/>
  <c r="N53" i="106"/>
  <c r="N26" i="106"/>
  <c r="M53" i="106"/>
  <c r="D29" i="109"/>
  <c r="P18" i="109"/>
  <c r="M26" i="106"/>
  <c r="I53" i="107"/>
  <c r="I80" i="107" s="1"/>
  <c r="I82" i="107" s="1"/>
  <c r="M32" i="106" l="1"/>
  <c r="D21" i="92"/>
  <c r="D18" i="92"/>
  <c r="Z18" i="93" s="1"/>
  <c r="D73" i="90"/>
  <c r="D72" i="90"/>
  <c r="D59" i="93"/>
  <c r="D57" i="93"/>
  <c r="E50" i="80"/>
  <c r="E49" i="80"/>
  <c r="E48" i="80"/>
  <c r="D73" i="81"/>
  <c r="D72" i="81"/>
  <c r="D78" i="73"/>
  <c r="D76" i="73"/>
  <c r="D72" i="73"/>
  <c r="D71" i="73"/>
  <c r="D70" i="73"/>
  <c r="D73" i="68"/>
  <c r="D72" i="68"/>
  <c r="D71" i="68"/>
  <c r="D31" i="90"/>
  <c r="D27" i="90"/>
  <c r="D26" i="90"/>
  <c r="D25" i="90"/>
  <c r="D24" i="90"/>
  <c r="D23" i="90"/>
  <c r="D22" i="90"/>
  <c r="D21" i="90"/>
  <c r="D20" i="90"/>
  <c r="D15" i="90"/>
  <c r="D31" i="93"/>
  <c r="D28" i="93"/>
  <c r="D27" i="93"/>
  <c r="D26" i="93"/>
  <c r="D25" i="93"/>
  <c r="D24" i="93"/>
  <c r="D23" i="93"/>
  <c r="D22" i="93"/>
  <c r="D21" i="93"/>
  <c r="D19" i="93"/>
  <c r="E24" i="80"/>
  <c r="E20" i="80"/>
  <c r="E19" i="80"/>
  <c r="E18" i="80"/>
  <c r="E17" i="80"/>
  <c r="E16" i="80"/>
  <c r="E15" i="80"/>
  <c r="E14" i="80"/>
  <c r="E13" i="80"/>
  <c r="E12" i="80"/>
  <c r="D31" i="81"/>
  <c r="D27" i="81"/>
  <c r="D26" i="81"/>
  <c r="D25" i="81"/>
  <c r="D24" i="81"/>
  <c r="D23" i="81"/>
  <c r="D22" i="81"/>
  <c r="D21" i="81"/>
  <c r="D20" i="81"/>
  <c r="D15" i="81"/>
  <c r="D30" i="73"/>
  <c r="D27" i="73"/>
  <c r="D26" i="73"/>
  <c r="D25" i="73"/>
  <c r="D24" i="73"/>
  <c r="D23" i="73"/>
  <c r="D22" i="73"/>
  <c r="D21" i="73"/>
  <c r="D20" i="73"/>
  <c r="D19" i="73"/>
  <c r="D14" i="73"/>
  <c r="D9" i="73"/>
  <c r="D31" i="68"/>
  <c r="D27" i="68"/>
  <c r="D26" i="68"/>
  <c r="D25" i="68"/>
  <c r="D24" i="68"/>
  <c r="D23" i="68"/>
  <c r="D22" i="68"/>
  <c r="D21" i="68"/>
  <c r="D20" i="68"/>
  <c r="D15" i="68"/>
  <c r="D32" i="75"/>
  <c r="D30" i="75"/>
  <c r="D29" i="75"/>
  <c r="D28" i="75"/>
  <c r="D27" i="75"/>
  <c r="D26" i="75"/>
  <c r="D25" i="75"/>
  <c r="D24" i="75"/>
  <c r="D23" i="75"/>
  <c r="D18" i="75"/>
  <c r="O90" i="90" l="1"/>
  <c r="Q90" i="90"/>
  <c r="S90" i="90"/>
  <c r="U90" i="90"/>
  <c r="W90" i="90"/>
  <c r="Y90" i="90"/>
  <c r="S98" i="91"/>
  <c r="U98" i="91"/>
  <c r="N98" i="91"/>
  <c r="Q98" i="91"/>
  <c r="V98" i="91"/>
  <c r="W98" i="91"/>
  <c r="R98" i="91"/>
  <c r="D98" i="91"/>
  <c r="R56" i="93" l="1"/>
  <c r="S4" i="97" l="1"/>
  <c r="C9" i="97" l="1"/>
  <c r="E9" i="97" l="1"/>
  <c r="AB53" i="92" l="1"/>
  <c r="D31" i="92"/>
  <c r="D28" i="92"/>
  <c r="D27" i="92"/>
  <c r="D26" i="92"/>
  <c r="D25" i="92"/>
  <c r="D24" i="92"/>
  <c r="D23" i="92"/>
  <c r="D22" i="92"/>
  <c r="C10" i="97" l="1"/>
  <c r="E10" i="97" s="1"/>
  <c r="C3" i="97"/>
  <c r="E3" i="97" s="1"/>
  <c r="T66" i="93" l="1"/>
  <c r="I26" i="105" l="1"/>
  <c r="AD23" i="114"/>
  <c r="AD27" i="114" s="1"/>
  <c r="I28" i="105"/>
  <c r="I26" i="107"/>
  <c r="I28" i="107"/>
  <c r="P28" i="93"/>
  <c r="I29" i="105" l="1"/>
  <c r="O15" i="96" l="1"/>
  <c r="F8" i="96"/>
  <c r="F9" i="96"/>
  <c r="K54" i="130" l="1"/>
  <c r="K21" i="130"/>
  <c r="F20" i="130"/>
  <c r="C53" i="130"/>
  <c r="K55" i="130"/>
  <c r="K52" i="130"/>
  <c r="F53" i="130"/>
  <c r="C20" i="130"/>
  <c r="F54" i="130"/>
  <c r="M54" i="130" s="1"/>
  <c r="F21" i="130"/>
  <c r="C22" i="130"/>
  <c r="C21" i="130"/>
  <c r="C54" i="130"/>
  <c r="F55" i="130"/>
  <c r="F52" i="130"/>
  <c r="AA65" i="93"/>
  <c r="M21" i="130" l="1"/>
  <c r="I53" i="130"/>
  <c r="I52" i="130"/>
  <c r="I21" i="130"/>
  <c r="I54" i="130"/>
  <c r="M52" i="130"/>
  <c r="M55" i="130"/>
  <c r="I20" i="130"/>
  <c r="I55" i="130"/>
  <c r="F42" i="130" l="1"/>
  <c r="N9" i="93" l="1"/>
  <c r="D65" i="92"/>
  <c r="D50" i="92"/>
  <c r="X56" i="92"/>
  <c r="T56" i="92"/>
  <c r="R56" i="92"/>
  <c r="D51" i="92"/>
  <c r="D49" i="92"/>
  <c r="P48" i="92"/>
  <c r="D48" i="92"/>
  <c r="D47" i="92"/>
  <c r="P46" i="92"/>
  <c r="D46" i="92"/>
  <c r="D45" i="92"/>
  <c r="D44" i="92"/>
  <c r="D43" i="92"/>
  <c r="D42" i="92"/>
  <c r="D41" i="92"/>
  <c r="D40" i="92"/>
  <c r="D39" i="92"/>
  <c r="D38" i="92"/>
  <c r="P28" i="92"/>
  <c r="D11" i="92"/>
  <c r="N9" i="92"/>
  <c r="P46" i="93"/>
  <c r="P48" i="93"/>
  <c r="C19" i="97" l="1"/>
  <c r="E19" i="97" s="1"/>
  <c r="C17" i="97"/>
  <c r="E17" i="97" s="1"/>
  <c r="C16" i="97"/>
  <c r="E16" i="97" s="1"/>
  <c r="C18" i="97"/>
  <c r="E18" i="97" s="1"/>
  <c r="C15" i="97"/>
  <c r="E15" i="97" s="1"/>
  <c r="Z65" i="93"/>
  <c r="Z45" i="93"/>
  <c r="Z44" i="93"/>
  <c r="Z43" i="93"/>
  <c r="Z42" i="93"/>
  <c r="Z41" i="93"/>
  <c r="Z40" i="93"/>
  <c r="Z39" i="93"/>
  <c r="Z38" i="93"/>
  <c r="Z11" i="93"/>
  <c r="AB65" i="93"/>
  <c r="AB51" i="93"/>
  <c r="AB50" i="93"/>
  <c r="AB48" i="93"/>
  <c r="AB46" i="93"/>
  <c r="AB45" i="93"/>
  <c r="AB44" i="93"/>
  <c r="AB43" i="93"/>
  <c r="AB42" i="93"/>
  <c r="AB41" i="93"/>
  <c r="AB40" i="93"/>
  <c r="AB39" i="93"/>
  <c r="AB38" i="93"/>
  <c r="AB11" i="93"/>
  <c r="AA11" i="93" l="1"/>
  <c r="AC11" i="93" s="1"/>
  <c r="AC39" i="93"/>
  <c r="AC44" i="93"/>
  <c r="AC40" i="93"/>
  <c r="AC45" i="93"/>
  <c r="AC42" i="93"/>
  <c r="AC41" i="93"/>
  <c r="AC65" i="93"/>
  <c r="AC38" i="93"/>
  <c r="AC43" i="93"/>
  <c r="I24" i="96" l="1"/>
  <c r="L24" i="96"/>
  <c r="I23" i="96"/>
  <c r="I22" i="96"/>
  <c r="C10" i="96"/>
  <c r="I20" i="96"/>
  <c r="I9" i="96"/>
  <c r="C9" i="96"/>
  <c r="I10" i="96"/>
  <c r="F10" i="96"/>
  <c r="L8" i="96"/>
  <c r="I8" i="96"/>
  <c r="C8" i="96"/>
  <c r="G27" i="96"/>
  <c r="O25" i="96"/>
  <c r="O24" i="96"/>
  <c r="P23" i="96"/>
  <c r="O23" i="96"/>
  <c r="O22" i="96"/>
  <c r="O21" i="96"/>
  <c r="L21" i="96"/>
  <c r="I21" i="96"/>
  <c r="O20" i="96"/>
  <c r="O14" i="96"/>
  <c r="O13" i="96"/>
  <c r="O10" i="96"/>
  <c r="N11" i="96"/>
  <c r="G11" i="96"/>
  <c r="G12" i="96" s="1"/>
  <c r="O9" i="96"/>
  <c r="O8" i="96"/>
  <c r="O7" i="96"/>
  <c r="O6" i="96"/>
  <c r="I27" i="96" l="1"/>
  <c r="P10" i="96"/>
  <c r="P9" i="96"/>
  <c r="N22" i="96"/>
  <c r="J22" i="96"/>
  <c r="J25" i="96"/>
  <c r="J10" i="96"/>
  <c r="P7" i="96"/>
  <c r="N25" i="96"/>
  <c r="N23" i="96"/>
  <c r="P20" i="96"/>
  <c r="P22" i="96"/>
  <c r="J20" i="96"/>
  <c r="N24" i="96"/>
  <c r="N21" i="96"/>
  <c r="J21" i="96"/>
  <c r="J24" i="96"/>
  <c r="P8" i="96"/>
  <c r="J23" i="96"/>
  <c r="N9" i="96"/>
  <c r="I12" i="96"/>
  <c r="J9" i="96"/>
  <c r="F12" i="96"/>
  <c r="C12" i="96"/>
  <c r="J8" i="96"/>
  <c r="N8" i="96"/>
  <c r="N10" i="96"/>
  <c r="L12" i="96"/>
  <c r="P21" i="96"/>
  <c r="K9" i="130" l="1"/>
  <c r="Q7" i="130" s="1"/>
  <c r="F9" i="130"/>
  <c r="I9" i="130"/>
  <c r="C9" i="130"/>
  <c r="J27" i="96"/>
  <c r="J12" i="96"/>
  <c r="N12" i="96"/>
  <c r="M9" i="130" l="1"/>
  <c r="L20" i="96"/>
  <c r="L27" i="96" l="1"/>
  <c r="N20" i="96"/>
  <c r="P6" i="96"/>
  <c r="C32" i="96" l="1"/>
  <c r="N27" i="96"/>
  <c r="T11" i="96"/>
  <c r="I15" i="96" l="1"/>
  <c r="F15" i="96"/>
  <c r="C33" i="96"/>
  <c r="C15" i="96" s="1"/>
  <c r="C16" i="96" s="1"/>
  <c r="C17" i="96" l="1"/>
  <c r="F16" i="96"/>
  <c r="G15" i="96"/>
  <c r="G16" i="96" s="1"/>
  <c r="G17" i="96" s="1"/>
  <c r="I16" i="96"/>
  <c r="J15" i="96"/>
  <c r="J16" i="96" l="1"/>
  <c r="I17" i="96"/>
  <c r="F17" i="96"/>
  <c r="J17" i="96" l="1"/>
  <c r="P26" i="93" l="1"/>
  <c r="P26" i="92"/>
  <c r="M26" i="107" l="1"/>
  <c r="D66" i="107"/>
  <c r="T66" i="107" s="1"/>
  <c r="D73" i="105"/>
  <c r="D10" i="107"/>
  <c r="T10" i="107" s="1"/>
  <c r="D10" i="105"/>
  <c r="D12" i="107"/>
  <c r="T12" i="107" s="1"/>
  <c r="D12" i="105"/>
  <c r="Q26" i="105"/>
  <c r="E26" i="92"/>
  <c r="D64" i="92"/>
  <c r="D10" i="92"/>
  <c r="D12" i="92"/>
  <c r="K22" i="130" l="1"/>
  <c r="K53" i="130"/>
  <c r="M53" i="130" s="1"/>
  <c r="K20" i="130"/>
  <c r="M20" i="130" s="1"/>
  <c r="C55" i="130"/>
  <c r="X10" i="105"/>
  <c r="Q7" i="106" s="1"/>
  <c r="R7" i="106" s="1"/>
  <c r="N7" i="106"/>
  <c r="M7" i="106"/>
  <c r="M9" i="106"/>
  <c r="N9" i="106"/>
  <c r="X12" i="105"/>
  <c r="Q9" i="106" s="1"/>
  <c r="R9" i="106" s="1"/>
  <c r="N66" i="106"/>
  <c r="X73" i="105"/>
  <c r="Q66" i="106" s="1"/>
  <c r="R66" i="106" s="1"/>
  <c r="M66" i="106"/>
  <c r="Z12" i="93"/>
  <c r="AB12" i="93"/>
  <c r="AB64" i="93"/>
  <c r="AB10" i="93"/>
  <c r="Z10" i="93"/>
  <c r="F22" i="130" l="1"/>
  <c r="M22" i="130"/>
  <c r="AA64" i="93"/>
  <c r="AA10" i="93"/>
  <c r="AC10" i="93" s="1"/>
  <c r="AA12" i="93"/>
  <c r="AC12" i="93" s="1"/>
  <c r="I22" i="130" l="1"/>
  <c r="I31" i="105" l="1"/>
  <c r="I35" i="105" s="1"/>
  <c r="I27" i="107"/>
  <c r="P27" i="93"/>
  <c r="P29" i="93" s="1"/>
  <c r="N30" i="109" l="1"/>
  <c r="AF30" i="109" s="1"/>
  <c r="D62" i="105"/>
  <c r="N57" i="106" s="1"/>
  <c r="I13" i="105"/>
  <c r="I29" i="107"/>
  <c r="D61" i="105" l="1"/>
  <c r="N56" i="106" s="1"/>
  <c r="N60" i="106" s="1"/>
  <c r="N74" i="106" s="1"/>
  <c r="X62" i="105"/>
  <c r="Q57" i="106" s="1"/>
  <c r="R57" i="106" s="1"/>
  <c r="M57" i="106"/>
  <c r="M56" i="106" l="1"/>
  <c r="M60" i="106" s="1"/>
  <c r="M74" i="106" s="1"/>
  <c r="D65" i="105"/>
  <c r="D99" i="105" s="1"/>
  <c r="N62" i="106"/>
  <c r="D13" i="105" l="1"/>
  <c r="D8" i="106"/>
  <c r="D13" i="107"/>
  <c r="M62" i="106"/>
  <c r="D68" i="107"/>
  <c r="D75" i="105"/>
  <c r="D66" i="106"/>
  <c r="D66" i="92"/>
  <c r="N10" i="106"/>
  <c r="M10" i="106"/>
  <c r="D13" i="92"/>
  <c r="D11" i="93"/>
  <c r="N68" i="106" l="1"/>
  <c r="M68" i="106"/>
  <c r="E56" i="106" l="1"/>
  <c r="Z71" i="114" l="1"/>
  <c r="Z74" i="114" s="1"/>
  <c r="Z15" i="114"/>
  <c r="F19" i="107"/>
  <c r="F19" i="105"/>
  <c r="F56" i="107"/>
  <c r="F60" i="107" s="1"/>
  <c r="F61" i="105"/>
  <c r="F65" i="105" s="1"/>
  <c r="L19" i="93"/>
  <c r="L56" i="93"/>
  <c r="L56" i="92"/>
  <c r="L18" i="92"/>
  <c r="Z27" i="114" l="1"/>
  <c r="AN15" i="114"/>
  <c r="Z19" i="93"/>
  <c r="L29" i="93"/>
  <c r="F29" i="105"/>
  <c r="H19" i="109"/>
  <c r="X19" i="105"/>
  <c r="Q16" i="106" s="1"/>
  <c r="R16" i="106" s="1"/>
  <c r="L31" i="93"/>
  <c r="F31" i="107"/>
  <c r="F31" i="105"/>
  <c r="F29" i="107"/>
  <c r="T19" i="107"/>
  <c r="G28" i="107" l="1"/>
  <c r="G24" i="107"/>
  <c r="T24" i="107" s="1"/>
  <c r="G56" i="107"/>
  <c r="G60" i="107" s="1"/>
  <c r="G26" i="107"/>
  <c r="F35" i="105"/>
  <c r="H30" i="109"/>
  <c r="R27" i="107"/>
  <c r="R29" i="107" s="1"/>
  <c r="J24" i="106"/>
  <c r="J26" i="106" s="1"/>
  <c r="J32" i="106" s="1"/>
  <c r="V27" i="105"/>
  <c r="V29" i="105" s="1"/>
  <c r="V35" i="105" s="1"/>
  <c r="R47" i="107"/>
  <c r="R53" i="107" s="1"/>
  <c r="J47" i="106"/>
  <c r="J53" i="106" s="1"/>
  <c r="J72" i="106" s="1"/>
  <c r="J85" i="106" s="1"/>
  <c r="V52" i="105"/>
  <c r="V58" i="105" s="1"/>
  <c r="V93" i="105" s="1"/>
  <c r="H29" i="109"/>
  <c r="P19" i="109"/>
  <c r="I24" i="92"/>
  <c r="I21" i="106"/>
  <c r="G24" i="105"/>
  <c r="F24" i="109" s="1"/>
  <c r="I56" i="106"/>
  <c r="I60" i="106" s="1"/>
  <c r="G61" i="105"/>
  <c r="G65" i="105" s="1"/>
  <c r="I26" i="92"/>
  <c r="I23" i="106"/>
  <c r="G26" i="105"/>
  <c r="F26" i="109" s="1"/>
  <c r="G28" i="105"/>
  <c r="I25" i="106"/>
  <c r="I56" i="92"/>
  <c r="J47" i="92"/>
  <c r="J27" i="92"/>
  <c r="I28" i="92"/>
  <c r="G29" i="107" l="1"/>
  <c r="V95" i="105"/>
  <c r="V98" i="105"/>
  <c r="J76" i="106"/>
  <c r="R62" i="107"/>
  <c r="P24" i="109"/>
  <c r="X24" i="105"/>
  <c r="Q21" i="106" s="1"/>
  <c r="R21" i="106" s="1"/>
  <c r="G29" i="105"/>
  <c r="G35" i="105" s="1"/>
  <c r="I26" i="106"/>
  <c r="I8" i="130" l="1"/>
  <c r="F8" i="130"/>
  <c r="N59" i="107"/>
  <c r="N60" i="107" s="1"/>
  <c r="R64" i="105"/>
  <c r="R65" i="105" s="1"/>
  <c r="H59" i="106"/>
  <c r="H60" i="106" s="1"/>
  <c r="K8" i="130"/>
  <c r="S20" i="107"/>
  <c r="F17" i="106"/>
  <c r="W20" i="105"/>
  <c r="P28" i="107"/>
  <c r="P29" i="107" s="1"/>
  <c r="T28" i="105"/>
  <c r="T29" i="105" s="1"/>
  <c r="T35" i="105" s="1"/>
  <c r="G25" i="106"/>
  <c r="G26" i="106" s="1"/>
  <c r="N25" i="107"/>
  <c r="N29" i="107" s="1"/>
  <c r="H22" i="106"/>
  <c r="H26" i="106" s="1"/>
  <c r="R25" i="105"/>
  <c r="R29" i="105" s="1"/>
  <c r="R35" i="105" s="1"/>
  <c r="S28" i="107"/>
  <c r="W28" i="105"/>
  <c r="F25" i="106"/>
  <c r="G28" i="92"/>
  <c r="H25" i="92"/>
  <c r="H59" i="92"/>
  <c r="F28" i="92"/>
  <c r="F20" i="92"/>
  <c r="F20" i="93"/>
  <c r="Q6" i="130" l="1"/>
  <c r="M8" i="130"/>
  <c r="K37" i="130"/>
  <c r="I37" i="130"/>
  <c r="S52" i="107"/>
  <c r="W57" i="105"/>
  <c r="F52" i="106"/>
  <c r="F53" i="106" s="1"/>
  <c r="F20" i="109"/>
  <c r="P20" i="109" s="1"/>
  <c r="X20" i="105"/>
  <c r="Q17" i="106" s="1"/>
  <c r="R17" i="106" s="1"/>
  <c r="W29" i="105"/>
  <c r="W35" i="105" s="1"/>
  <c r="F26" i="106"/>
  <c r="S29" i="107"/>
  <c r="T20" i="107"/>
  <c r="AB20" i="93"/>
  <c r="Z20" i="93"/>
  <c r="Q24" i="130" l="1"/>
  <c r="M37" i="130"/>
  <c r="C42" i="130"/>
  <c r="M28" i="107"/>
  <c r="O28" i="107"/>
  <c r="O56" i="107"/>
  <c r="O60" i="107" s="1"/>
  <c r="O27" i="107"/>
  <c r="M59" i="107"/>
  <c r="M60" i="107" s="1"/>
  <c r="M25" i="107"/>
  <c r="T25" i="107" s="1"/>
  <c r="W58" i="105"/>
  <c r="W93" i="105" s="1"/>
  <c r="X57" i="105"/>
  <c r="Q52" i="106" s="1"/>
  <c r="R52" i="106" s="1"/>
  <c r="M31" i="107"/>
  <c r="E30" i="106"/>
  <c r="Q31" i="105"/>
  <c r="S53" i="107"/>
  <c r="T52" i="107"/>
  <c r="K27" i="92"/>
  <c r="S27" i="105"/>
  <c r="F27" i="109" s="1"/>
  <c r="K28" i="92"/>
  <c r="S28" i="105"/>
  <c r="S61" i="105"/>
  <c r="S65" i="105" s="1"/>
  <c r="K56" i="106"/>
  <c r="K60" i="106" s="1"/>
  <c r="Q64" i="105"/>
  <c r="Q65" i="105" s="1"/>
  <c r="E59" i="106"/>
  <c r="E60" i="106" s="1"/>
  <c r="E22" i="106"/>
  <c r="Q25" i="105"/>
  <c r="F25" i="109" s="1"/>
  <c r="Q28" i="105"/>
  <c r="E25" i="106"/>
  <c r="E25" i="92"/>
  <c r="E59" i="92"/>
  <c r="AC20" i="93"/>
  <c r="E28" i="92"/>
  <c r="K56" i="92"/>
  <c r="C10" i="130" l="1"/>
  <c r="K42" i="130"/>
  <c r="I42" i="130"/>
  <c r="O29" i="107"/>
  <c r="W95" i="105"/>
  <c r="W98" i="105"/>
  <c r="M29" i="107"/>
  <c r="F30" i="109"/>
  <c r="P30" i="109" s="1"/>
  <c r="F28" i="109"/>
  <c r="F29" i="109" s="1"/>
  <c r="S62" i="107"/>
  <c r="P25" i="109"/>
  <c r="S29" i="105"/>
  <c r="S35" i="105" s="1"/>
  <c r="E26" i="106"/>
  <c r="X25" i="105"/>
  <c r="Q22" i="106" s="1"/>
  <c r="R22" i="106" s="1"/>
  <c r="Q29" i="105"/>
  <c r="Q35" i="105" s="1"/>
  <c r="M42" i="130" l="1"/>
  <c r="AH73" i="114"/>
  <c r="AH74" i="114" s="1"/>
  <c r="L59" i="107"/>
  <c r="O64" i="105"/>
  <c r="O65" i="105" s="1"/>
  <c r="T59" i="92"/>
  <c r="P61" i="105" l="1"/>
  <c r="P65" i="105" s="1"/>
  <c r="L60" i="107"/>
  <c r="AB23" i="114" l="1"/>
  <c r="Q26" i="107"/>
  <c r="Q29" i="107" s="1"/>
  <c r="Q33" i="107" s="1"/>
  <c r="U26" i="105"/>
  <c r="N26" i="93"/>
  <c r="N29" i="93" s="1"/>
  <c r="N26" i="92"/>
  <c r="M61" i="105"/>
  <c r="M65" i="105" s="1"/>
  <c r="F41" i="130" l="1"/>
  <c r="K28" i="107"/>
  <c r="AL25" i="114"/>
  <c r="AH23" i="114"/>
  <c r="K61" i="105"/>
  <c r="K65" i="105" s="1"/>
  <c r="AJ71" i="114"/>
  <c r="AJ74" i="114" s="1"/>
  <c r="AH25" i="114"/>
  <c r="P28" i="105"/>
  <c r="P29" i="105" s="1"/>
  <c r="P35" i="105" s="1"/>
  <c r="AJ24" i="114"/>
  <c r="AN24" i="114" s="1"/>
  <c r="K59" i="107"/>
  <c r="K60" i="107" s="1"/>
  <c r="AL73" i="114"/>
  <c r="AL74" i="114" s="1"/>
  <c r="M26" i="105"/>
  <c r="N26" i="105"/>
  <c r="AJ23" i="114"/>
  <c r="AJ25" i="114"/>
  <c r="K26" i="107"/>
  <c r="AL23" i="114"/>
  <c r="M28" i="105"/>
  <c r="N28" i="105"/>
  <c r="K26" i="105"/>
  <c r="K28" i="105"/>
  <c r="AA25" i="114"/>
  <c r="AB27" i="114"/>
  <c r="AB33" i="114" s="1"/>
  <c r="U29" i="105"/>
  <c r="U35" i="105" s="1"/>
  <c r="L26" i="109"/>
  <c r="J28" i="107"/>
  <c r="J28" i="105"/>
  <c r="H28" i="107"/>
  <c r="H29" i="107" s="1"/>
  <c r="H28" i="105"/>
  <c r="J26" i="107"/>
  <c r="J26" i="105"/>
  <c r="J59" i="107"/>
  <c r="J60" i="107" s="1"/>
  <c r="J64" i="105"/>
  <c r="J65" i="105" s="1"/>
  <c r="J27" i="107"/>
  <c r="T27" i="107" s="1"/>
  <c r="J27" i="105"/>
  <c r="L26" i="107"/>
  <c r="L28" i="107"/>
  <c r="O28" i="105"/>
  <c r="L64" i="105"/>
  <c r="L65" i="105" s="1"/>
  <c r="L26" i="105"/>
  <c r="L28" i="105"/>
  <c r="V59" i="93"/>
  <c r="T26" i="92"/>
  <c r="T26" i="93"/>
  <c r="X26" i="92"/>
  <c r="X26" i="93"/>
  <c r="X28" i="93"/>
  <c r="X28" i="92"/>
  <c r="X59" i="93"/>
  <c r="X59" i="92"/>
  <c r="V27" i="92"/>
  <c r="V27" i="93"/>
  <c r="V28" i="93"/>
  <c r="V28" i="92"/>
  <c r="V56" i="92"/>
  <c r="M28" i="93"/>
  <c r="M29" i="93" s="1"/>
  <c r="M28" i="92"/>
  <c r="T28" i="93"/>
  <c r="T28" i="92"/>
  <c r="V26" i="92"/>
  <c r="V26" i="93"/>
  <c r="K10" i="130" l="1"/>
  <c r="Q8" i="130" s="1"/>
  <c r="F14" i="130"/>
  <c r="C14" i="130"/>
  <c r="K12" i="130"/>
  <c r="Q10" i="130" s="1"/>
  <c r="C41" i="130"/>
  <c r="V66" i="92"/>
  <c r="V66" i="93"/>
  <c r="AJ82" i="114"/>
  <c r="J68" i="107"/>
  <c r="J75" i="105"/>
  <c r="N29" i="105"/>
  <c r="N35" i="105" s="1"/>
  <c r="K29" i="107"/>
  <c r="AL27" i="114"/>
  <c r="J26" i="109"/>
  <c r="K29" i="105"/>
  <c r="K35" i="105" s="1"/>
  <c r="J28" i="109"/>
  <c r="M29" i="105"/>
  <c r="M35" i="105" s="1"/>
  <c r="AJ27" i="114"/>
  <c r="AF66" i="114"/>
  <c r="T29" i="93"/>
  <c r="AF25" i="114"/>
  <c r="E31" i="107"/>
  <c r="T31" i="107" s="1"/>
  <c r="AF29" i="114"/>
  <c r="AF23" i="114"/>
  <c r="AN23" i="114" s="1"/>
  <c r="AF73" i="114"/>
  <c r="AF74" i="114" s="1"/>
  <c r="AA27" i="114"/>
  <c r="AN25" i="114"/>
  <c r="AH27" i="114"/>
  <c r="E26" i="107"/>
  <c r="T26" i="107" s="1"/>
  <c r="E56" i="105"/>
  <c r="E51" i="107"/>
  <c r="E64" i="105"/>
  <c r="E65" i="105" s="1"/>
  <c r="E59" i="107"/>
  <c r="V29" i="93"/>
  <c r="X29" i="93"/>
  <c r="J29" i="105"/>
  <c r="J35" i="105" s="1"/>
  <c r="N27" i="109"/>
  <c r="X27" i="105"/>
  <c r="Q24" i="106" s="1"/>
  <c r="R24" i="106" s="1"/>
  <c r="J29" i="107"/>
  <c r="E28" i="107"/>
  <c r="L28" i="109"/>
  <c r="L29" i="109" s="1"/>
  <c r="H29" i="105"/>
  <c r="H35" i="105" s="1"/>
  <c r="O29" i="105"/>
  <c r="O35" i="105" s="1"/>
  <c r="L29" i="107"/>
  <c r="E31" i="105"/>
  <c r="E28" i="105"/>
  <c r="E26" i="105"/>
  <c r="N26" i="109" s="1"/>
  <c r="L29" i="105"/>
  <c r="L35" i="105" s="1"/>
  <c r="AF50" i="93"/>
  <c r="AF48" i="93"/>
  <c r="AF49" i="93"/>
  <c r="R59" i="93"/>
  <c r="R59" i="92"/>
  <c r="R51" i="92"/>
  <c r="R51" i="93"/>
  <c r="R28" i="92"/>
  <c r="R28" i="93"/>
  <c r="R26" i="92"/>
  <c r="R26" i="93"/>
  <c r="K35" i="130" l="1"/>
  <c r="Q22" i="130" s="1"/>
  <c r="K34" i="130"/>
  <c r="Q21" i="130" s="1"/>
  <c r="K14" i="130"/>
  <c r="I14" i="130"/>
  <c r="I41" i="130"/>
  <c r="K32" i="130"/>
  <c r="K13" i="130"/>
  <c r="AF82" i="114"/>
  <c r="P26" i="109"/>
  <c r="J29" i="109"/>
  <c r="AF27" i="114"/>
  <c r="E29" i="107"/>
  <c r="AD71" i="114"/>
  <c r="AD74" i="114" s="1"/>
  <c r="AN27" i="114"/>
  <c r="I56" i="107"/>
  <c r="I60" i="107" s="1"/>
  <c r="I62" i="107" s="1"/>
  <c r="I61" i="105"/>
  <c r="I65" i="105" s="1"/>
  <c r="I99" i="105" s="1"/>
  <c r="I100" i="105" s="1"/>
  <c r="R29" i="93"/>
  <c r="T28" i="107"/>
  <c r="T29" i="107" s="1"/>
  <c r="E60" i="107"/>
  <c r="T59" i="107"/>
  <c r="X31" i="105"/>
  <c r="X64" i="105"/>
  <c r="Q59" i="106" s="1"/>
  <c r="R59" i="106" s="1"/>
  <c r="AF27" i="109"/>
  <c r="P27" i="109"/>
  <c r="X28" i="105"/>
  <c r="Q25" i="106" s="1"/>
  <c r="R25" i="106" s="1"/>
  <c r="N28" i="109"/>
  <c r="N29" i="109" s="1"/>
  <c r="AF26" i="109"/>
  <c r="E29" i="105"/>
  <c r="E35" i="105" s="1"/>
  <c r="X26" i="105"/>
  <c r="Q23" i="106" s="1"/>
  <c r="P56" i="93"/>
  <c r="P56" i="92"/>
  <c r="K36" i="130" l="1"/>
  <c r="K41" i="130"/>
  <c r="Q12" i="130"/>
  <c r="M14" i="130"/>
  <c r="K33" i="130"/>
  <c r="Q20" i="130" s="1"/>
  <c r="Q11" i="130"/>
  <c r="S13" i="130"/>
  <c r="K11" i="130"/>
  <c r="Q19" i="130"/>
  <c r="T56" i="107"/>
  <c r="T60" i="107" s="1"/>
  <c r="AA64" i="105"/>
  <c r="Q30" i="106"/>
  <c r="R30" i="106" s="1"/>
  <c r="AF29" i="109"/>
  <c r="AF28" i="109"/>
  <c r="P28" i="109"/>
  <c r="P29" i="109" s="1"/>
  <c r="X29" i="105"/>
  <c r="X35" i="105" s="1"/>
  <c r="X61" i="105"/>
  <c r="X65" i="105" s="1"/>
  <c r="R23" i="106"/>
  <c r="R26" i="106" s="1"/>
  <c r="Q26" i="106"/>
  <c r="M41" i="130" l="1"/>
  <c r="Q25" i="130"/>
  <c r="Q23" i="130"/>
  <c r="Q9" i="130"/>
  <c r="Q56" i="106"/>
  <c r="H39" i="76"/>
  <c r="H30" i="76"/>
  <c r="H34" i="76" s="1"/>
  <c r="H40" i="76" s="1"/>
  <c r="R56" i="106" l="1"/>
  <c r="R60" i="106" s="1"/>
  <c r="R74" i="106" s="1"/>
  <c r="Q60" i="106"/>
  <c r="Q74" i="106" s="1"/>
  <c r="H17" i="76"/>
  <c r="D54" i="69" l="1"/>
  <c r="O56" i="69"/>
  <c r="O58" i="69" s="1"/>
  <c r="M56" i="69"/>
  <c r="M58" i="69" s="1"/>
  <c r="K56" i="69"/>
  <c r="K58" i="69" s="1"/>
  <c r="O22" i="69"/>
  <c r="M22" i="69"/>
  <c r="K18" i="69"/>
  <c r="K22" i="69" s="1"/>
  <c r="N49" i="107" l="1"/>
  <c r="N53" i="107" s="1"/>
  <c r="R54" i="105"/>
  <c r="R58" i="105" s="1"/>
  <c r="H49" i="106"/>
  <c r="H53" i="106" s="1"/>
  <c r="H72" i="106" s="1"/>
  <c r="H85" i="106" s="1"/>
  <c r="H49" i="92"/>
  <c r="R93" i="105" l="1"/>
  <c r="R98" i="105" s="1"/>
  <c r="N62" i="107"/>
  <c r="R95" i="105" l="1"/>
  <c r="E23" i="70" l="1"/>
  <c r="G18" i="70"/>
  <c r="G14" i="70"/>
  <c r="G13" i="70"/>
  <c r="D36" i="69" l="1"/>
  <c r="I11" i="130" l="1"/>
  <c r="I34" i="130"/>
  <c r="C34" i="130"/>
  <c r="D53" i="69"/>
  <c r="I10" i="130" l="1"/>
  <c r="C12" i="130"/>
  <c r="AA56" i="114"/>
  <c r="H46" i="107"/>
  <c r="H51" i="105"/>
  <c r="H58" i="105" s="1"/>
  <c r="M46" i="92"/>
  <c r="M46" i="93"/>
  <c r="Z46" i="93" s="1"/>
  <c r="C11" i="130" l="1"/>
  <c r="I13" i="130"/>
  <c r="I31" i="130"/>
  <c r="C36" i="130"/>
  <c r="I36" i="130"/>
  <c r="I33" i="130"/>
  <c r="I35" i="130"/>
  <c r="C13" i="130"/>
  <c r="I12" i="130"/>
  <c r="C35" i="130"/>
  <c r="E13" i="105"/>
  <c r="H93" i="105"/>
  <c r="H95" i="105" s="1"/>
  <c r="AA68" i="114"/>
  <c r="AN56" i="114"/>
  <c r="H53" i="107"/>
  <c r="H62" i="107" s="1"/>
  <c r="T46" i="107"/>
  <c r="AC46" i="93"/>
  <c r="I32" i="130" l="1"/>
  <c r="I44" i="130" s="1"/>
  <c r="H98" i="105"/>
  <c r="AA98" i="114"/>
  <c r="C32" i="130"/>
  <c r="C31" i="130" l="1"/>
  <c r="O82" i="93"/>
  <c r="W82" i="93"/>
  <c r="U82" i="93"/>
  <c r="S82" i="93"/>
  <c r="Q82" i="93"/>
  <c r="J67" i="93"/>
  <c r="H67" i="93"/>
  <c r="D65" i="93"/>
  <c r="Y64" i="93"/>
  <c r="X64" i="93"/>
  <c r="W64" i="93"/>
  <c r="V64" i="93"/>
  <c r="U64" i="93"/>
  <c r="T64" i="93"/>
  <c r="S64" i="93"/>
  <c r="R64" i="93"/>
  <c r="Q64" i="93"/>
  <c r="P64" i="93"/>
  <c r="O64" i="93"/>
  <c r="N64" i="93"/>
  <c r="N67" i="93" s="1"/>
  <c r="I63" i="93"/>
  <c r="E63" i="93"/>
  <c r="E67" i="93" s="1"/>
  <c r="J60" i="93"/>
  <c r="G60" i="93"/>
  <c r="F60" i="93"/>
  <c r="K56" i="93"/>
  <c r="K60" i="93" s="1"/>
  <c r="Y53" i="93"/>
  <c r="Y82" i="93" s="1"/>
  <c r="W53" i="93"/>
  <c r="U53" i="93"/>
  <c r="S53" i="93"/>
  <c r="Q53" i="93"/>
  <c r="O53" i="93"/>
  <c r="D51" i="93"/>
  <c r="D50" i="93"/>
  <c r="D49" i="93"/>
  <c r="D48" i="93"/>
  <c r="J47" i="93"/>
  <c r="J53" i="93" s="1"/>
  <c r="D47" i="93"/>
  <c r="P53" i="93"/>
  <c r="P60" i="93" s="1"/>
  <c r="D46" i="93"/>
  <c r="D44" i="93"/>
  <c r="D43" i="93"/>
  <c r="D42" i="93"/>
  <c r="D41" i="93"/>
  <c r="D40" i="93"/>
  <c r="D39" i="93"/>
  <c r="D38" i="93"/>
  <c r="K29" i="93"/>
  <c r="J27" i="93"/>
  <c r="J29" i="93" s="1"/>
  <c r="Y14" i="93"/>
  <c r="W14" i="93"/>
  <c r="U14" i="93"/>
  <c r="S14" i="93"/>
  <c r="Q14" i="93"/>
  <c r="O14" i="93"/>
  <c r="J14" i="93"/>
  <c r="N14" i="93"/>
  <c r="B3" i="93"/>
  <c r="O82" i="92"/>
  <c r="W69" i="92"/>
  <c r="W82" i="92" s="1"/>
  <c r="U69" i="92"/>
  <c r="U82" i="92" s="1"/>
  <c r="S69" i="92"/>
  <c r="S82" i="92" s="1"/>
  <c r="Q69" i="92"/>
  <c r="Q82" i="92" s="1"/>
  <c r="Y64" i="92"/>
  <c r="X64" i="92"/>
  <c r="W64" i="92"/>
  <c r="V64" i="92"/>
  <c r="U64" i="92"/>
  <c r="T64" i="92"/>
  <c r="S64" i="92"/>
  <c r="R64" i="92"/>
  <c r="Q64" i="92"/>
  <c r="P64" i="92"/>
  <c r="O64" i="92"/>
  <c r="N64" i="92"/>
  <c r="N67" i="92" s="1"/>
  <c r="N60" i="92"/>
  <c r="M60" i="92"/>
  <c r="P60" i="92"/>
  <c r="Y53" i="92"/>
  <c r="Y60" i="92" s="1"/>
  <c r="Y69" i="92" s="1"/>
  <c r="Y82" i="92" s="1"/>
  <c r="W53" i="92"/>
  <c r="W60" i="92" s="1"/>
  <c r="U53" i="92"/>
  <c r="U60" i="92" s="1"/>
  <c r="S53" i="92"/>
  <c r="S60" i="92" s="1"/>
  <c r="Q53" i="92"/>
  <c r="Q60" i="92" s="1"/>
  <c r="O53" i="92"/>
  <c r="J53" i="92"/>
  <c r="J60" i="92" s="1"/>
  <c r="W29" i="92"/>
  <c r="U29" i="92"/>
  <c r="S29" i="92"/>
  <c r="Q29" i="92"/>
  <c r="O29" i="92"/>
  <c r="K29" i="92"/>
  <c r="Y29" i="92"/>
  <c r="J29" i="92"/>
  <c r="Z19" i="92"/>
  <c r="Y14" i="92"/>
  <c r="W14" i="92"/>
  <c r="U14" i="92"/>
  <c r="S14" i="92"/>
  <c r="Q14" i="92"/>
  <c r="O14" i="92"/>
  <c r="N14" i="92"/>
  <c r="B3" i="92"/>
  <c r="AC94" i="91"/>
  <c r="AK85" i="91"/>
  <c r="AK94" i="91" s="1"/>
  <c r="AI85" i="91"/>
  <c r="AI94" i="91" s="1"/>
  <c r="AG85" i="91"/>
  <c r="AG94" i="91" s="1"/>
  <c r="AE85" i="91"/>
  <c r="AE94" i="91" s="1"/>
  <c r="AN81" i="91"/>
  <c r="AM80" i="91"/>
  <c r="AL80" i="91"/>
  <c r="AK80" i="91"/>
  <c r="AJ80" i="91"/>
  <c r="AI80" i="91"/>
  <c r="AH80" i="91"/>
  <c r="AG80" i="91"/>
  <c r="AF80" i="91"/>
  <c r="AE80" i="91"/>
  <c r="AD80" i="91"/>
  <c r="AC80" i="91"/>
  <c r="AB80" i="91"/>
  <c r="AB83" i="91" s="1"/>
  <c r="AB74" i="91"/>
  <c r="AA74" i="91"/>
  <c r="Q94" i="91"/>
  <c r="AL71" i="91"/>
  <c r="AH71" i="91"/>
  <c r="AF71" i="91"/>
  <c r="AD71" i="91"/>
  <c r="AD74" i="91" s="1"/>
  <c r="AM68" i="91"/>
  <c r="AK68" i="91"/>
  <c r="AI68" i="91"/>
  <c r="AG68" i="91"/>
  <c r="AE68" i="91"/>
  <c r="AC68" i="91"/>
  <c r="AC98" i="91" s="1"/>
  <c r="AN65" i="91"/>
  <c r="AN64" i="91"/>
  <c r="AD61" i="91"/>
  <c r="AN60" i="91"/>
  <c r="AN59" i="91"/>
  <c r="AN58" i="91"/>
  <c r="AN57" i="91"/>
  <c r="AD56" i="91"/>
  <c r="AN55" i="91"/>
  <c r="AN54" i="91"/>
  <c r="AN53" i="91"/>
  <c r="AN52" i="91"/>
  <c r="AN51" i="91"/>
  <c r="AN50" i="91"/>
  <c r="AN49" i="91"/>
  <c r="AN48" i="91"/>
  <c r="AN47" i="91"/>
  <c r="AN46" i="91"/>
  <c r="AN45" i="91"/>
  <c r="AN44" i="91"/>
  <c r="AN43" i="91"/>
  <c r="AN42" i="91"/>
  <c r="AN41" i="91"/>
  <c r="AN40" i="91"/>
  <c r="AN39" i="91"/>
  <c r="AN38" i="91"/>
  <c r="AK27" i="91"/>
  <c r="AI27" i="91"/>
  <c r="AG27" i="91"/>
  <c r="AE27" i="91"/>
  <c r="AC27" i="91"/>
  <c r="AM26" i="91"/>
  <c r="AM27" i="91" s="1"/>
  <c r="AK26" i="91"/>
  <c r="AI26" i="91"/>
  <c r="AG26" i="91"/>
  <c r="AE26" i="91"/>
  <c r="AC26" i="91"/>
  <c r="AD25" i="91"/>
  <c r="AD23" i="91"/>
  <c r="AN22" i="91"/>
  <c r="AN21" i="91"/>
  <c r="AN20" i="91"/>
  <c r="AN19" i="91"/>
  <c r="AN18" i="91"/>
  <c r="AN17" i="91"/>
  <c r="AN16" i="91"/>
  <c r="AM11" i="91"/>
  <c r="AK11" i="91"/>
  <c r="AI11" i="91"/>
  <c r="AG11" i="91"/>
  <c r="AE11" i="91"/>
  <c r="AC11" i="91"/>
  <c r="AN10" i="91"/>
  <c r="AB9" i="91"/>
  <c r="AB11" i="91" s="1"/>
  <c r="B3" i="91"/>
  <c r="J81" i="90"/>
  <c r="H81" i="90"/>
  <c r="D79" i="90"/>
  <c r="I77" i="90"/>
  <c r="E77" i="90"/>
  <c r="E81" i="90" s="1"/>
  <c r="J74" i="90"/>
  <c r="G74" i="90"/>
  <c r="F74" i="90"/>
  <c r="K71" i="90"/>
  <c r="K74" i="90" s="1"/>
  <c r="D66" i="90"/>
  <c r="D63" i="90"/>
  <c r="D62" i="90"/>
  <c r="D61" i="90"/>
  <c r="J58" i="90"/>
  <c r="J68" i="90" s="1"/>
  <c r="D58" i="90"/>
  <c r="D56" i="90"/>
  <c r="D49" i="90"/>
  <c r="D48" i="90"/>
  <c r="D44" i="90"/>
  <c r="D43" i="90"/>
  <c r="D42" i="90"/>
  <c r="D41" i="90"/>
  <c r="D40" i="90"/>
  <c r="K29" i="90"/>
  <c r="J26" i="90"/>
  <c r="J29" i="90" s="1"/>
  <c r="J11" i="90"/>
  <c r="D10" i="90"/>
  <c r="B3" i="90"/>
  <c r="C33" i="130" l="1"/>
  <c r="C44" i="130" s="1"/>
  <c r="O33" i="93"/>
  <c r="O73" i="93" s="1"/>
  <c r="W33" i="93"/>
  <c r="S33" i="93"/>
  <c r="S73" i="93" s="1"/>
  <c r="W73" i="93"/>
  <c r="AE74" i="91"/>
  <c r="AE98" i="91"/>
  <c r="AM74" i="91"/>
  <c r="AM85" i="91" s="1"/>
  <c r="AM94" i="91" s="1"/>
  <c r="AM98" i="91"/>
  <c r="AG74" i="91"/>
  <c r="AG98" i="91"/>
  <c r="AI74" i="91"/>
  <c r="AI98" i="91"/>
  <c r="AK74" i="91"/>
  <c r="AK98" i="91"/>
  <c r="Z64" i="93"/>
  <c r="U33" i="92"/>
  <c r="U73" i="92" s="1"/>
  <c r="O33" i="92"/>
  <c r="O73" i="92" s="1"/>
  <c r="U94" i="91"/>
  <c r="Z40" i="92"/>
  <c r="AG33" i="91"/>
  <c r="U33" i="93"/>
  <c r="U73" i="93" s="1"/>
  <c r="J69" i="93"/>
  <c r="J82" i="93" s="1"/>
  <c r="P29" i="92"/>
  <c r="Z65" i="92"/>
  <c r="AI33" i="91"/>
  <c r="R94" i="91"/>
  <c r="S94" i="91"/>
  <c r="Z38" i="92"/>
  <c r="Z41" i="92"/>
  <c r="Z39" i="92"/>
  <c r="Z42" i="92"/>
  <c r="Z43" i="92"/>
  <c r="J83" i="90"/>
  <c r="AE33" i="91"/>
  <c r="AM33" i="91"/>
  <c r="V94" i="91"/>
  <c r="Z44" i="92"/>
  <c r="AN80" i="91"/>
  <c r="S33" i="92"/>
  <c r="S73" i="92" s="1"/>
  <c r="D29" i="93"/>
  <c r="D29" i="90"/>
  <c r="AC33" i="91"/>
  <c r="AK33" i="91"/>
  <c r="AD68" i="91"/>
  <c r="AD98" i="91" s="1"/>
  <c r="Q33" i="92"/>
  <c r="Q73" i="92" s="1"/>
  <c r="W33" i="92"/>
  <c r="W73" i="92" s="1"/>
  <c r="P53" i="92"/>
  <c r="Q33" i="93"/>
  <c r="Q73" i="93" s="1"/>
  <c r="J33" i="93"/>
  <c r="AD27" i="91"/>
  <c r="J33" i="90"/>
  <c r="N94" i="91"/>
  <c r="Y33" i="92"/>
  <c r="Y73" i="92" s="1"/>
  <c r="Y33" i="93"/>
  <c r="Y73" i="93" s="1"/>
  <c r="AN62" i="91"/>
  <c r="AC64" i="93" l="1"/>
  <c r="J73" i="93"/>
  <c r="D94" i="91" l="1"/>
  <c r="D95" i="91" s="1"/>
  <c r="D52" i="93" l="1"/>
  <c r="D67" i="90"/>
  <c r="D50" i="90"/>
  <c r="D45" i="93"/>
  <c r="S67" i="84"/>
  <c r="T67" i="84"/>
  <c r="S68" i="84"/>
  <c r="T68" i="84"/>
  <c r="D68" i="90" l="1"/>
  <c r="Z45" i="92"/>
  <c r="D53" i="92"/>
  <c r="D53" i="93"/>
  <c r="G27" i="36"/>
  <c r="E27" i="36"/>
  <c r="J23" i="36"/>
  <c r="J19" i="36"/>
  <c r="B18" i="36"/>
  <c r="B17" i="36"/>
  <c r="J14" i="36"/>
  <c r="B13" i="36"/>
  <c r="B12" i="36"/>
  <c r="D8" i="36"/>
  <c r="D10" i="36" s="1"/>
  <c r="M1" i="36"/>
  <c r="L1" i="36"/>
  <c r="K1" i="36"/>
  <c r="J1" i="36"/>
  <c r="I1" i="36"/>
  <c r="H1" i="36"/>
  <c r="G1" i="36"/>
  <c r="F1" i="36"/>
  <c r="E1" i="36"/>
  <c r="D1" i="36"/>
  <c r="C1" i="36"/>
  <c r="B1" i="36"/>
  <c r="B3" i="36" s="1"/>
  <c r="J57" i="34"/>
  <c r="E56" i="34"/>
  <c r="D55" i="34"/>
  <c r="G54" i="34"/>
  <c r="G56" i="34" s="1"/>
  <c r="G22" i="34" s="1"/>
  <c r="H52" i="34"/>
  <c r="D52" i="34"/>
  <c r="E33" i="18" s="1"/>
  <c r="G43" i="34"/>
  <c r="E43" i="34"/>
  <c r="D43" i="34"/>
  <c r="C43" i="34"/>
  <c r="B43" i="34"/>
  <c r="H41" i="34"/>
  <c r="F41" i="34"/>
  <c r="H40" i="34"/>
  <c r="F40" i="34"/>
  <c r="E37" i="34"/>
  <c r="E44" i="34" s="1"/>
  <c r="D37" i="34"/>
  <c r="D44" i="34" s="1"/>
  <c r="B37" i="34"/>
  <c r="B44" i="34" s="1"/>
  <c r="G36" i="34"/>
  <c r="G37" i="34" s="1"/>
  <c r="G44" i="34" s="1"/>
  <c r="C36" i="34"/>
  <c r="C37" i="34" s="1"/>
  <c r="H35" i="34"/>
  <c r="F35" i="34"/>
  <c r="H34" i="34"/>
  <c r="F34" i="34"/>
  <c r="H33" i="34"/>
  <c r="F33" i="34"/>
  <c r="H32" i="34"/>
  <c r="F32" i="34"/>
  <c r="H31" i="34"/>
  <c r="F31" i="34"/>
  <c r="H30" i="34"/>
  <c r="F30" i="34"/>
  <c r="E26" i="34"/>
  <c r="D26" i="34"/>
  <c r="C26" i="34"/>
  <c r="B26" i="34"/>
  <c r="G25" i="34"/>
  <c r="H25" i="34" s="1"/>
  <c r="F25" i="34"/>
  <c r="H24" i="34"/>
  <c r="F24" i="34"/>
  <c r="H23" i="34"/>
  <c r="F23" i="34"/>
  <c r="F22" i="34"/>
  <c r="H21" i="34"/>
  <c r="F21" i="34"/>
  <c r="H20" i="34"/>
  <c r="F20" i="34"/>
  <c r="H19" i="34"/>
  <c r="F19" i="34"/>
  <c r="H18" i="34"/>
  <c r="F18" i="34"/>
  <c r="G16" i="34"/>
  <c r="E16" i="34"/>
  <c r="E27" i="34" s="1"/>
  <c r="D16" i="34"/>
  <c r="D27" i="34" s="1"/>
  <c r="C16" i="34"/>
  <c r="C27" i="34" s="1"/>
  <c r="B16" i="34"/>
  <c r="H15" i="34"/>
  <c r="F15" i="34"/>
  <c r="H14" i="34"/>
  <c r="F14" i="34"/>
  <c r="H13" i="34"/>
  <c r="F13" i="34"/>
  <c r="H12" i="34"/>
  <c r="F12" i="34"/>
  <c r="H11" i="34"/>
  <c r="F11" i="34"/>
  <c r="H10" i="34"/>
  <c r="F10" i="34"/>
  <c r="H9" i="34"/>
  <c r="F9" i="34"/>
  <c r="H8" i="34"/>
  <c r="B3" i="34"/>
  <c r="N1" i="34"/>
  <c r="E73" i="33"/>
  <c r="G69" i="33"/>
  <c r="G68" i="33"/>
  <c r="G67" i="33"/>
  <c r="J65" i="33"/>
  <c r="B64" i="33"/>
  <c r="B63" i="33"/>
  <c r="J60" i="33"/>
  <c r="B59" i="33"/>
  <c r="B60" i="33" s="1"/>
  <c r="B61" i="33" s="1"/>
  <c r="G22" i="33" s="1"/>
  <c r="G33" i="20" s="1"/>
  <c r="G34" i="27" s="1"/>
  <c r="B58" i="33"/>
  <c r="D54" i="33"/>
  <c r="D56" i="33" s="1"/>
  <c r="G45" i="33"/>
  <c r="C45" i="33"/>
  <c r="B45" i="33"/>
  <c r="H43" i="33"/>
  <c r="F43" i="33"/>
  <c r="H42" i="33"/>
  <c r="E42" i="33"/>
  <c r="E45" i="33" s="1"/>
  <c r="D42" i="33"/>
  <c r="D45" i="33" s="1"/>
  <c r="C39" i="33"/>
  <c r="B39" i="33"/>
  <c r="E38" i="33"/>
  <c r="F38" i="33" s="1"/>
  <c r="D38" i="33"/>
  <c r="D39" i="33" s="1"/>
  <c r="D46" i="33" s="1"/>
  <c r="H37" i="33"/>
  <c r="F37" i="33"/>
  <c r="H36" i="33"/>
  <c r="F36" i="33"/>
  <c r="H35" i="33"/>
  <c r="F35" i="33"/>
  <c r="H34" i="33"/>
  <c r="F34" i="33"/>
  <c r="H33" i="33"/>
  <c r="F33" i="33"/>
  <c r="H32" i="33"/>
  <c r="F32" i="33"/>
  <c r="E28" i="33"/>
  <c r="D28" i="33"/>
  <c r="B28" i="33"/>
  <c r="H27" i="33"/>
  <c r="F27" i="33"/>
  <c r="H26" i="33"/>
  <c r="F26" i="33"/>
  <c r="H25" i="33"/>
  <c r="F25" i="33"/>
  <c r="H24" i="33"/>
  <c r="F24" i="33"/>
  <c r="H23" i="33"/>
  <c r="F23" i="33"/>
  <c r="C22" i="33"/>
  <c r="F22" i="33" s="1"/>
  <c r="H21" i="33"/>
  <c r="F21" i="33"/>
  <c r="L20" i="33"/>
  <c r="C20" i="33"/>
  <c r="F20" i="33" s="1"/>
  <c r="H19" i="33"/>
  <c r="F19" i="33"/>
  <c r="C18" i="33"/>
  <c r="F18" i="33" s="1"/>
  <c r="G16" i="33"/>
  <c r="E16" i="33"/>
  <c r="D16" i="33"/>
  <c r="C16" i="33"/>
  <c r="B16" i="33"/>
  <c r="H15" i="33"/>
  <c r="F15" i="33"/>
  <c r="H14" i="33"/>
  <c r="F14" i="33"/>
  <c r="H13" i="33"/>
  <c r="F13" i="33"/>
  <c r="H12" i="33"/>
  <c r="F12" i="33"/>
  <c r="H11" i="33"/>
  <c r="F11" i="33"/>
  <c r="H10" i="33"/>
  <c r="F10" i="33"/>
  <c r="H9" i="33"/>
  <c r="F9" i="33"/>
  <c r="H8" i="33"/>
  <c r="B3" i="33"/>
  <c r="N1" i="33"/>
  <c r="G52" i="32"/>
  <c r="E52" i="32"/>
  <c r="G43" i="32"/>
  <c r="E43" i="32"/>
  <c r="D43" i="32"/>
  <c r="C43" i="32"/>
  <c r="B43" i="32"/>
  <c r="H41" i="32"/>
  <c r="F41" i="32"/>
  <c r="H40" i="32"/>
  <c r="F40" i="32"/>
  <c r="G37" i="32"/>
  <c r="E37" i="32"/>
  <c r="D37" i="32"/>
  <c r="C37" i="32"/>
  <c r="B37" i="32"/>
  <c r="H36" i="32"/>
  <c r="F36" i="32"/>
  <c r="H35" i="32"/>
  <c r="F35" i="32"/>
  <c r="H34" i="32"/>
  <c r="F34" i="32"/>
  <c r="H33" i="32"/>
  <c r="F33" i="32"/>
  <c r="H32" i="32"/>
  <c r="F32" i="32"/>
  <c r="H31" i="32"/>
  <c r="F31" i="32"/>
  <c r="H30" i="32"/>
  <c r="F30" i="32"/>
  <c r="E26" i="32"/>
  <c r="D26" i="32"/>
  <c r="C26" i="32"/>
  <c r="B26" i="32"/>
  <c r="F25" i="32"/>
  <c r="H24" i="32"/>
  <c r="F24" i="32"/>
  <c r="H23" i="32"/>
  <c r="F23" i="32"/>
  <c r="H22" i="32"/>
  <c r="F22" i="32"/>
  <c r="H21" i="32"/>
  <c r="F21" i="32"/>
  <c r="H20" i="32"/>
  <c r="F20" i="32"/>
  <c r="H19" i="32"/>
  <c r="F19" i="32"/>
  <c r="H18" i="32"/>
  <c r="F18" i="32"/>
  <c r="G16" i="32"/>
  <c r="E16" i="32"/>
  <c r="E27" i="32" s="1"/>
  <c r="D16" i="32"/>
  <c r="D27" i="32" s="1"/>
  <c r="C16" i="32"/>
  <c r="B16" i="32"/>
  <c r="B27" i="32" s="1"/>
  <c r="H15" i="32"/>
  <c r="F15" i="32"/>
  <c r="H14" i="32"/>
  <c r="F14" i="32"/>
  <c r="H13" i="32"/>
  <c r="F13" i="32"/>
  <c r="H12" i="32"/>
  <c r="F12" i="32"/>
  <c r="H11" i="32"/>
  <c r="F11" i="32"/>
  <c r="H10" i="32"/>
  <c r="F10" i="32"/>
  <c r="H9" i="32"/>
  <c r="F9" i="32"/>
  <c r="H8" i="32"/>
  <c r="F8" i="32"/>
  <c r="B3" i="32"/>
  <c r="N1" i="32"/>
  <c r="E52" i="31"/>
  <c r="G50" i="31"/>
  <c r="G52" i="31" s="1"/>
  <c r="E43" i="31"/>
  <c r="D43" i="31"/>
  <c r="C43" i="31"/>
  <c r="B43" i="31"/>
  <c r="H41" i="31"/>
  <c r="G41" i="31"/>
  <c r="G43" i="31" s="1"/>
  <c r="F41" i="31"/>
  <c r="H40" i="31"/>
  <c r="F40" i="31"/>
  <c r="G37" i="31"/>
  <c r="E37" i="31"/>
  <c r="D37" i="31"/>
  <c r="D44" i="31" s="1"/>
  <c r="C37" i="31"/>
  <c r="H37" i="31" s="1"/>
  <c r="B37" i="31"/>
  <c r="H36" i="31"/>
  <c r="F36" i="31"/>
  <c r="H35" i="31"/>
  <c r="F35" i="31"/>
  <c r="H34" i="31"/>
  <c r="F34" i="31"/>
  <c r="H33" i="31"/>
  <c r="F33" i="31"/>
  <c r="H32" i="31"/>
  <c r="F32" i="31"/>
  <c r="H31" i="31"/>
  <c r="F31" i="31"/>
  <c r="H30" i="31"/>
  <c r="F30" i="31"/>
  <c r="E26" i="31"/>
  <c r="D26" i="31"/>
  <c r="C26" i="31"/>
  <c r="B26" i="31"/>
  <c r="G25" i="31"/>
  <c r="H25" i="31" s="1"/>
  <c r="F25" i="31"/>
  <c r="H24" i="31"/>
  <c r="F24" i="31"/>
  <c r="H23" i="31"/>
  <c r="F23" i="31"/>
  <c r="H22" i="31"/>
  <c r="F22" i="31"/>
  <c r="H21" i="31"/>
  <c r="F21" i="31"/>
  <c r="H20" i="31"/>
  <c r="F20" i="31"/>
  <c r="H19" i="31"/>
  <c r="F19" i="31"/>
  <c r="H18" i="31"/>
  <c r="F18" i="31"/>
  <c r="G16" i="31"/>
  <c r="E16" i="31"/>
  <c r="D16" i="31"/>
  <c r="C16" i="31"/>
  <c r="B16" i="31"/>
  <c r="H15" i="31"/>
  <c r="F15" i="31"/>
  <c r="H14" i="31"/>
  <c r="F14" i="31"/>
  <c r="H13" i="31"/>
  <c r="F13" i="31"/>
  <c r="H12" i="31"/>
  <c r="F12" i="31"/>
  <c r="H11" i="31"/>
  <c r="F11" i="31"/>
  <c r="H10" i="31"/>
  <c r="F10" i="31"/>
  <c r="H9" i="31"/>
  <c r="F9" i="31"/>
  <c r="H8" i="31"/>
  <c r="F8" i="31"/>
  <c r="B3" i="31"/>
  <c r="N1" i="31"/>
  <c r="G52" i="30"/>
  <c r="E52" i="30"/>
  <c r="G43" i="30"/>
  <c r="E43" i="30"/>
  <c r="D43" i="30"/>
  <c r="C43" i="30"/>
  <c r="H43" i="30" s="1"/>
  <c r="B43" i="30"/>
  <c r="H41" i="30"/>
  <c r="F41" i="30"/>
  <c r="H40" i="30"/>
  <c r="F40" i="30"/>
  <c r="G37" i="30"/>
  <c r="E37" i="30"/>
  <c r="D37" i="30"/>
  <c r="B37" i="30"/>
  <c r="B44" i="30" s="1"/>
  <c r="C36" i="30"/>
  <c r="H35" i="30"/>
  <c r="F35" i="30"/>
  <c r="H34" i="30"/>
  <c r="F34" i="30"/>
  <c r="N33" i="30"/>
  <c r="H33" i="30"/>
  <c r="F33" i="30"/>
  <c r="H32" i="30"/>
  <c r="F32" i="30"/>
  <c r="H31" i="30"/>
  <c r="F31" i="30"/>
  <c r="H30" i="30"/>
  <c r="F30" i="30"/>
  <c r="G26" i="30"/>
  <c r="E26" i="30"/>
  <c r="D26" i="30"/>
  <c r="B26" i="30"/>
  <c r="H25" i="30"/>
  <c r="F25" i="30"/>
  <c r="H24" i="30"/>
  <c r="F24" i="30"/>
  <c r="H23" i="30"/>
  <c r="F23" i="30"/>
  <c r="H22" i="30"/>
  <c r="F22" i="30"/>
  <c r="H21" i="30"/>
  <c r="F21" i="30"/>
  <c r="H20" i="30"/>
  <c r="F20" i="30"/>
  <c r="H19" i="30"/>
  <c r="F19" i="30"/>
  <c r="C18" i="30"/>
  <c r="G16" i="30"/>
  <c r="E16" i="30"/>
  <c r="E27" i="30" s="1"/>
  <c r="D16" i="30"/>
  <c r="C16" i="30"/>
  <c r="B16" i="30"/>
  <c r="B27" i="30" s="1"/>
  <c r="B45" i="30" s="1"/>
  <c r="H15" i="30"/>
  <c r="F15" i="30"/>
  <c r="H14" i="30"/>
  <c r="F14" i="30"/>
  <c r="H13" i="30"/>
  <c r="F13" i="30"/>
  <c r="H12" i="30"/>
  <c r="F12" i="30"/>
  <c r="H11" i="30"/>
  <c r="F11" i="30"/>
  <c r="H10" i="30"/>
  <c r="F10" i="30"/>
  <c r="H9" i="30"/>
  <c r="F9" i="30"/>
  <c r="H8" i="30"/>
  <c r="F8" i="30"/>
  <c r="B3" i="30"/>
  <c r="N1" i="30"/>
  <c r="G51" i="29"/>
  <c r="G36" i="29" s="1"/>
  <c r="E51" i="29"/>
  <c r="E36" i="29" s="1"/>
  <c r="E43" i="29"/>
  <c r="D43" i="29"/>
  <c r="C43" i="29"/>
  <c r="B43" i="29"/>
  <c r="H41" i="29"/>
  <c r="F41" i="29"/>
  <c r="G40" i="29"/>
  <c r="G43" i="29" s="1"/>
  <c r="F40" i="29"/>
  <c r="F43" i="29" s="1"/>
  <c r="D37" i="29"/>
  <c r="D44" i="29" s="1"/>
  <c r="C37" i="29"/>
  <c r="B37" i="29"/>
  <c r="H35" i="29"/>
  <c r="F35" i="29"/>
  <c r="H34" i="29"/>
  <c r="F34" i="29"/>
  <c r="H33" i="29"/>
  <c r="F33" i="29"/>
  <c r="H32" i="29"/>
  <c r="F32" i="29"/>
  <c r="H31" i="29"/>
  <c r="F31" i="29"/>
  <c r="H30" i="29"/>
  <c r="F30" i="29"/>
  <c r="C26" i="29"/>
  <c r="B26" i="29"/>
  <c r="G25" i="29"/>
  <c r="H25" i="29" s="1"/>
  <c r="E25" i="29"/>
  <c r="D25" i="29"/>
  <c r="D26" i="29" s="1"/>
  <c r="G24" i="29"/>
  <c r="H24" i="29" s="1"/>
  <c r="F24" i="29"/>
  <c r="G23" i="29"/>
  <c r="F23" i="29"/>
  <c r="G22" i="29"/>
  <c r="H22" i="29" s="1"/>
  <c r="F22" i="29"/>
  <c r="G21" i="29"/>
  <c r="H21" i="29" s="1"/>
  <c r="F21" i="29"/>
  <c r="G20" i="29"/>
  <c r="H20" i="29" s="1"/>
  <c r="F20" i="29"/>
  <c r="G19" i="29"/>
  <c r="H19" i="29" s="1"/>
  <c r="F19" i="29"/>
  <c r="H18" i="29"/>
  <c r="E18" i="29"/>
  <c r="E17" i="35" s="1"/>
  <c r="G16" i="29"/>
  <c r="E16" i="29"/>
  <c r="D16" i="29"/>
  <c r="C16" i="29"/>
  <c r="B16" i="29"/>
  <c r="G15" i="29"/>
  <c r="H15" i="29" s="1"/>
  <c r="F15" i="29"/>
  <c r="H14" i="29"/>
  <c r="F14" i="29"/>
  <c r="H13" i="29"/>
  <c r="F13" i="29"/>
  <c r="H12" i="29"/>
  <c r="F12" i="29"/>
  <c r="H11" i="29"/>
  <c r="F11" i="29"/>
  <c r="H10" i="29"/>
  <c r="F10" i="29"/>
  <c r="H9" i="29"/>
  <c r="F9" i="29"/>
  <c r="B3" i="29"/>
  <c r="N1" i="29"/>
  <c r="G55" i="28"/>
  <c r="H55" i="28" s="1"/>
  <c r="E51" i="28"/>
  <c r="G50" i="28"/>
  <c r="G51" i="28" s="1"/>
  <c r="G43" i="28"/>
  <c r="D43" i="28"/>
  <c r="C43" i="28"/>
  <c r="B43" i="28"/>
  <c r="H41" i="28"/>
  <c r="E41" i="28"/>
  <c r="G25" i="32" s="1"/>
  <c r="G26" i="32" s="1"/>
  <c r="H26" i="32" s="1"/>
  <c r="H40" i="28"/>
  <c r="F40" i="28"/>
  <c r="G37" i="28"/>
  <c r="G44" i="28" s="1"/>
  <c r="E37" i="28"/>
  <c r="C37" i="28"/>
  <c r="C44" i="28" s="1"/>
  <c r="B37" i="28"/>
  <c r="B44" i="28" s="1"/>
  <c r="H36" i="28"/>
  <c r="F36" i="28"/>
  <c r="D36" i="28"/>
  <c r="H35" i="28"/>
  <c r="F35" i="28"/>
  <c r="H34" i="28"/>
  <c r="F34" i="28"/>
  <c r="H33" i="28"/>
  <c r="F33" i="28"/>
  <c r="H32" i="28"/>
  <c r="F32" i="28"/>
  <c r="H31" i="28"/>
  <c r="F31" i="28"/>
  <c r="H30" i="28"/>
  <c r="F30" i="28"/>
  <c r="G26" i="28"/>
  <c r="E26" i="28"/>
  <c r="D26" i="28"/>
  <c r="C26" i="28"/>
  <c r="B26" i="28"/>
  <c r="H25" i="28"/>
  <c r="F25" i="28"/>
  <c r="H24" i="28"/>
  <c r="F24" i="28"/>
  <c r="H23" i="28"/>
  <c r="F23" i="28"/>
  <c r="H22" i="28"/>
  <c r="F22" i="28"/>
  <c r="H21" i="28"/>
  <c r="F21" i="28"/>
  <c r="H20" i="28"/>
  <c r="F20" i="28"/>
  <c r="H19" i="28"/>
  <c r="F19" i="28"/>
  <c r="H18" i="28"/>
  <c r="F18" i="28"/>
  <c r="G16" i="28"/>
  <c r="E16" i="28"/>
  <c r="D16" i="28"/>
  <c r="C16" i="28"/>
  <c r="B16" i="28"/>
  <c r="H15" i="28"/>
  <c r="F15" i="28"/>
  <c r="H14" i="28"/>
  <c r="F14" i="28"/>
  <c r="H13" i="28"/>
  <c r="F13" i="28"/>
  <c r="H12" i="28"/>
  <c r="F12" i="28"/>
  <c r="H11" i="28"/>
  <c r="F11" i="28"/>
  <c r="H10" i="28"/>
  <c r="F10" i="28"/>
  <c r="H9" i="28"/>
  <c r="F9" i="28"/>
  <c r="H8" i="28"/>
  <c r="F8" i="28"/>
  <c r="B3" i="28"/>
  <c r="N1" i="28"/>
  <c r="F26" i="56"/>
  <c r="I25" i="56"/>
  <c r="G25" i="56"/>
  <c r="E25" i="56"/>
  <c r="D25" i="56"/>
  <c r="C25" i="56"/>
  <c r="I24" i="56"/>
  <c r="G24" i="56"/>
  <c r="E24" i="56"/>
  <c r="D24" i="56"/>
  <c r="C24" i="56"/>
  <c r="I23" i="56"/>
  <c r="G23" i="56"/>
  <c r="E23" i="56"/>
  <c r="D23" i="56"/>
  <c r="C23" i="56"/>
  <c r="I22" i="56"/>
  <c r="G22" i="56"/>
  <c r="E22" i="56"/>
  <c r="D22" i="56"/>
  <c r="C22" i="56"/>
  <c r="I21" i="56"/>
  <c r="G21" i="56"/>
  <c r="E21" i="56"/>
  <c r="D21" i="56"/>
  <c r="C21" i="56"/>
  <c r="C16" i="56"/>
  <c r="C17" i="56" s="1"/>
  <c r="F13" i="56"/>
  <c r="G11" i="56"/>
  <c r="E11" i="56"/>
  <c r="D11" i="56"/>
  <c r="C11" i="56"/>
  <c r="I10" i="56"/>
  <c r="G10" i="56"/>
  <c r="E10" i="56"/>
  <c r="D10" i="56"/>
  <c r="C10" i="56"/>
  <c r="G9" i="56"/>
  <c r="E9" i="56"/>
  <c r="D9" i="56"/>
  <c r="C9" i="56"/>
  <c r="B3" i="56"/>
  <c r="N1" i="56"/>
  <c r="G51" i="24"/>
  <c r="G45" i="24"/>
  <c r="G36" i="24"/>
  <c r="E36" i="24"/>
  <c r="D36" i="24"/>
  <c r="C36" i="24"/>
  <c r="B36" i="24"/>
  <c r="H35" i="24"/>
  <c r="F35" i="24"/>
  <c r="H34" i="24"/>
  <c r="F34" i="24"/>
  <c r="H33" i="24"/>
  <c r="F33" i="24"/>
  <c r="H32" i="24"/>
  <c r="F32" i="24"/>
  <c r="E30" i="24"/>
  <c r="D30" i="24"/>
  <c r="D37" i="24" s="1"/>
  <c r="C30" i="24"/>
  <c r="B30" i="24"/>
  <c r="B37" i="24" s="1"/>
  <c r="H29" i="24"/>
  <c r="F29" i="24"/>
  <c r="H28" i="24"/>
  <c r="F28" i="24"/>
  <c r="H27" i="24"/>
  <c r="F27" i="24"/>
  <c r="G26" i="24"/>
  <c r="H26" i="24" s="1"/>
  <c r="F26" i="24"/>
  <c r="G25" i="24"/>
  <c r="H25" i="24" s="1"/>
  <c r="F25" i="24"/>
  <c r="G24" i="24"/>
  <c r="H24" i="24" s="1"/>
  <c r="F24" i="24"/>
  <c r="G23" i="24"/>
  <c r="H23" i="24" s="1"/>
  <c r="F23" i="24"/>
  <c r="F19" i="24"/>
  <c r="B19" i="24"/>
  <c r="G18" i="24"/>
  <c r="C18" i="24"/>
  <c r="H17" i="24"/>
  <c r="H16" i="24"/>
  <c r="E14" i="24"/>
  <c r="D14" i="24"/>
  <c r="C14" i="24"/>
  <c r="B14" i="24"/>
  <c r="H13" i="24"/>
  <c r="F13" i="24"/>
  <c r="H12" i="24"/>
  <c r="F12" i="24"/>
  <c r="H11" i="24"/>
  <c r="F11" i="24"/>
  <c r="G10" i="24"/>
  <c r="H10" i="24" s="1"/>
  <c r="F10" i="24"/>
  <c r="H9" i="24"/>
  <c r="F9" i="24"/>
  <c r="G8" i="24"/>
  <c r="G14" i="24" s="1"/>
  <c r="F8" i="24"/>
  <c r="H7" i="24"/>
  <c r="F7" i="24"/>
  <c r="E54" i="22"/>
  <c r="C53" i="22"/>
  <c r="G36" i="22"/>
  <c r="E36" i="22"/>
  <c r="C36" i="22"/>
  <c r="B36" i="22"/>
  <c r="H34" i="22"/>
  <c r="F34" i="22"/>
  <c r="H33" i="22"/>
  <c r="F33" i="22"/>
  <c r="D33" i="22"/>
  <c r="D36" i="22" s="1"/>
  <c r="F32" i="22"/>
  <c r="G30" i="22"/>
  <c r="E30" i="22"/>
  <c r="D30" i="22"/>
  <c r="D37" i="22" s="1"/>
  <c r="C30" i="22"/>
  <c r="B30" i="22"/>
  <c r="H29" i="22"/>
  <c r="F29" i="22"/>
  <c r="H28" i="22"/>
  <c r="F28" i="22"/>
  <c r="H27" i="22"/>
  <c r="F27" i="22"/>
  <c r="H26" i="22"/>
  <c r="F26" i="22"/>
  <c r="H25" i="22"/>
  <c r="F25" i="22"/>
  <c r="H24" i="22"/>
  <c r="F24" i="22"/>
  <c r="H23" i="22"/>
  <c r="F23" i="22"/>
  <c r="H22" i="22"/>
  <c r="F22" i="22"/>
  <c r="G18" i="22"/>
  <c r="H18" i="22" s="1"/>
  <c r="H16" i="22"/>
  <c r="G14" i="22"/>
  <c r="E14" i="22"/>
  <c r="E19" i="22" s="1"/>
  <c r="D14" i="22"/>
  <c r="D19" i="22" s="1"/>
  <c r="C14" i="22"/>
  <c r="C19" i="22" s="1"/>
  <c r="B14" i="22"/>
  <c r="B19" i="22" s="1"/>
  <c r="H13" i="22"/>
  <c r="F13" i="22"/>
  <c r="H12" i="22"/>
  <c r="F12" i="22"/>
  <c r="H11" i="22"/>
  <c r="F11" i="22"/>
  <c r="F10" i="22"/>
  <c r="H9" i="22"/>
  <c r="F9" i="22"/>
  <c r="H8" i="22"/>
  <c r="F8" i="22"/>
  <c r="H7" i="22"/>
  <c r="F7" i="22"/>
  <c r="D36" i="21"/>
  <c r="C36" i="21"/>
  <c r="B36" i="21"/>
  <c r="H34" i="21"/>
  <c r="F34" i="21"/>
  <c r="G33" i="21"/>
  <c r="G36" i="21" s="1"/>
  <c r="E33" i="21"/>
  <c r="E36" i="21" s="1"/>
  <c r="G30" i="21"/>
  <c r="E30" i="21"/>
  <c r="D30" i="21"/>
  <c r="C30" i="21"/>
  <c r="B30" i="21"/>
  <c r="H29" i="21"/>
  <c r="F29" i="21"/>
  <c r="H28" i="21"/>
  <c r="F28" i="21"/>
  <c r="H27" i="21"/>
  <c r="F27" i="21"/>
  <c r="H26" i="21"/>
  <c r="F26" i="21"/>
  <c r="H25" i="21"/>
  <c r="F25" i="21"/>
  <c r="H24" i="21"/>
  <c r="F24" i="21"/>
  <c r="H23" i="21"/>
  <c r="F23" i="21"/>
  <c r="P21" i="21"/>
  <c r="C18" i="21"/>
  <c r="B18" i="21"/>
  <c r="E16" i="21"/>
  <c r="E18" i="21" s="1"/>
  <c r="D16" i="21"/>
  <c r="D18" i="21" s="1"/>
  <c r="E13" i="21"/>
  <c r="D13" i="21"/>
  <c r="C13" i="21"/>
  <c r="B13" i="21"/>
  <c r="H12" i="21"/>
  <c r="F12" i="21"/>
  <c r="H11" i="21"/>
  <c r="F11" i="21"/>
  <c r="H10" i="21"/>
  <c r="F10" i="21"/>
  <c r="H9" i="21"/>
  <c r="F9" i="21"/>
  <c r="H8" i="21"/>
  <c r="F8" i="21"/>
  <c r="G7" i="21"/>
  <c r="G13" i="21" s="1"/>
  <c r="F7" i="21"/>
  <c r="G66" i="35"/>
  <c r="G64" i="35"/>
  <c r="G63" i="35"/>
  <c r="G62" i="35"/>
  <c r="G61" i="35"/>
  <c r="G60" i="35"/>
  <c r="G45" i="35"/>
  <c r="D45" i="35"/>
  <c r="C45" i="35"/>
  <c r="B45" i="35"/>
  <c r="G44" i="35"/>
  <c r="E44" i="35"/>
  <c r="D44" i="35"/>
  <c r="C44" i="35"/>
  <c r="B44" i="35"/>
  <c r="G43" i="35"/>
  <c r="E43" i="35"/>
  <c r="D43" i="35"/>
  <c r="C43" i="35"/>
  <c r="B43" i="35"/>
  <c r="B39" i="35"/>
  <c r="G38" i="35"/>
  <c r="E38" i="35"/>
  <c r="D38" i="35"/>
  <c r="C38" i="35"/>
  <c r="B38" i="35"/>
  <c r="G37" i="35"/>
  <c r="E37" i="35"/>
  <c r="D37" i="35"/>
  <c r="C37" i="35"/>
  <c r="B37" i="35"/>
  <c r="G36" i="35"/>
  <c r="E36" i="35"/>
  <c r="D36" i="35"/>
  <c r="C36" i="35"/>
  <c r="B36" i="35"/>
  <c r="G35" i="35"/>
  <c r="E35" i="35"/>
  <c r="D35" i="35"/>
  <c r="C35" i="35"/>
  <c r="B35" i="35"/>
  <c r="G34" i="35"/>
  <c r="E34" i="35"/>
  <c r="D34" i="35"/>
  <c r="C34" i="35"/>
  <c r="B34" i="35"/>
  <c r="G33" i="35"/>
  <c r="E33" i="35"/>
  <c r="D33" i="35"/>
  <c r="C33" i="35"/>
  <c r="B33" i="35"/>
  <c r="C28" i="35"/>
  <c r="B28" i="35"/>
  <c r="E27" i="35"/>
  <c r="D27" i="35"/>
  <c r="C27" i="35"/>
  <c r="B27" i="35"/>
  <c r="G26" i="35"/>
  <c r="E26" i="35"/>
  <c r="D26" i="35"/>
  <c r="C26" i="35"/>
  <c r="B26" i="35"/>
  <c r="E25" i="35"/>
  <c r="D25" i="35"/>
  <c r="C25" i="35"/>
  <c r="B25" i="35"/>
  <c r="E24" i="35"/>
  <c r="D24" i="35"/>
  <c r="C24" i="35"/>
  <c r="B24" i="35"/>
  <c r="H23" i="35"/>
  <c r="F23" i="35"/>
  <c r="G22" i="35"/>
  <c r="E22" i="35"/>
  <c r="D22" i="35"/>
  <c r="C22" i="35"/>
  <c r="B22" i="35"/>
  <c r="E21" i="35"/>
  <c r="D21" i="35"/>
  <c r="B21" i="35"/>
  <c r="G20" i="35"/>
  <c r="E20" i="35"/>
  <c r="D20" i="35"/>
  <c r="C20" i="35"/>
  <c r="B20" i="35"/>
  <c r="E19" i="35"/>
  <c r="D19" i="35"/>
  <c r="B19" i="35"/>
  <c r="G18" i="35"/>
  <c r="E18" i="35"/>
  <c r="D18" i="35"/>
  <c r="C18" i="35"/>
  <c r="B18" i="35"/>
  <c r="D17" i="35"/>
  <c r="B17" i="35"/>
  <c r="H16" i="35"/>
  <c r="G14" i="35"/>
  <c r="E14" i="35"/>
  <c r="D14" i="35"/>
  <c r="C14" i="35"/>
  <c r="B14" i="35"/>
  <c r="G13" i="35"/>
  <c r="E13" i="35"/>
  <c r="D13" i="35"/>
  <c r="C13" i="35"/>
  <c r="B13" i="35"/>
  <c r="G12" i="35"/>
  <c r="E12" i="35"/>
  <c r="D12" i="35"/>
  <c r="C12" i="35"/>
  <c r="B12" i="35"/>
  <c r="G11" i="35"/>
  <c r="E11" i="35"/>
  <c r="D11" i="35"/>
  <c r="C11" i="35"/>
  <c r="B11" i="35"/>
  <c r="G10" i="35"/>
  <c r="E10" i="35"/>
  <c r="D10" i="35"/>
  <c r="C10" i="35"/>
  <c r="B10" i="35"/>
  <c r="G9" i="35"/>
  <c r="E9" i="35"/>
  <c r="D9" i="35"/>
  <c r="C9" i="35"/>
  <c r="B9" i="35"/>
  <c r="G8" i="35"/>
  <c r="E8" i="35"/>
  <c r="D8" i="35"/>
  <c r="C8" i="35"/>
  <c r="B8" i="35"/>
  <c r="G7" i="35"/>
  <c r="E7" i="35"/>
  <c r="D7" i="35"/>
  <c r="C7" i="35"/>
  <c r="B7" i="35"/>
  <c r="F80" i="27"/>
  <c r="G79" i="27"/>
  <c r="C79" i="27"/>
  <c r="G78" i="27"/>
  <c r="C78" i="27"/>
  <c r="G76" i="27"/>
  <c r="C76" i="27"/>
  <c r="G75" i="27"/>
  <c r="C75" i="27"/>
  <c r="F69" i="27"/>
  <c r="F70" i="27" s="1"/>
  <c r="C69" i="27"/>
  <c r="G68" i="27"/>
  <c r="C68" i="27"/>
  <c r="G66" i="27"/>
  <c r="C66" i="27"/>
  <c r="G65" i="27"/>
  <c r="C65" i="27"/>
  <c r="B48" i="27"/>
  <c r="I47" i="27"/>
  <c r="F47" i="27"/>
  <c r="G46" i="27"/>
  <c r="E46" i="27"/>
  <c r="D46" i="27"/>
  <c r="C46" i="27"/>
  <c r="B46" i="27"/>
  <c r="I45" i="27"/>
  <c r="F45" i="27"/>
  <c r="G44" i="27"/>
  <c r="E44" i="27"/>
  <c r="D44" i="27"/>
  <c r="C44" i="27"/>
  <c r="B44" i="27"/>
  <c r="L43" i="27"/>
  <c r="I43" i="27"/>
  <c r="F43" i="27"/>
  <c r="I42" i="27"/>
  <c r="F42" i="27"/>
  <c r="D41" i="27"/>
  <c r="C41" i="27"/>
  <c r="B41" i="27"/>
  <c r="D40" i="27"/>
  <c r="C40" i="27"/>
  <c r="B40" i="27"/>
  <c r="G36" i="27"/>
  <c r="E36" i="27"/>
  <c r="D36" i="27"/>
  <c r="C36" i="27"/>
  <c r="B36" i="27"/>
  <c r="C35" i="27"/>
  <c r="B35" i="27"/>
  <c r="E34" i="27"/>
  <c r="D34" i="27"/>
  <c r="C34" i="27"/>
  <c r="B34" i="27"/>
  <c r="G33" i="27"/>
  <c r="E33" i="27"/>
  <c r="D33" i="27"/>
  <c r="C33" i="27"/>
  <c r="B33" i="27"/>
  <c r="E32" i="27"/>
  <c r="D32" i="27"/>
  <c r="C32" i="27"/>
  <c r="B32" i="27"/>
  <c r="E31" i="27"/>
  <c r="D31" i="27"/>
  <c r="C31" i="27"/>
  <c r="B31" i="27"/>
  <c r="G30" i="27"/>
  <c r="E30" i="27"/>
  <c r="D30" i="27"/>
  <c r="C30" i="27"/>
  <c r="B30" i="27"/>
  <c r="G29" i="27"/>
  <c r="E29" i="27"/>
  <c r="D29" i="27"/>
  <c r="C29" i="27"/>
  <c r="B29" i="27"/>
  <c r="L23" i="27"/>
  <c r="B21" i="27"/>
  <c r="I20" i="27"/>
  <c r="F20" i="27"/>
  <c r="I19" i="27"/>
  <c r="F19" i="27"/>
  <c r="L18" i="27"/>
  <c r="D18" i="27"/>
  <c r="C18" i="27"/>
  <c r="B18" i="27"/>
  <c r="F17" i="27"/>
  <c r="D16" i="27"/>
  <c r="C16" i="27"/>
  <c r="B16" i="27"/>
  <c r="I15" i="27"/>
  <c r="I14" i="27"/>
  <c r="G12" i="27"/>
  <c r="E12" i="27"/>
  <c r="D12" i="27"/>
  <c r="C12" i="27"/>
  <c r="B12" i="27"/>
  <c r="G11" i="27"/>
  <c r="E11" i="27"/>
  <c r="D11" i="27"/>
  <c r="C11" i="27"/>
  <c r="B11" i="27"/>
  <c r="G10" i="27"/>
  <c r="E10" i="27"/>
  <c r="D10" i="27"/>
  <c r="C10" i="27"/>
  <c r="B10" i="27"/>
  <c r="L9" i="27"/>
  <c r="L12" i="27" s="1"/>
  <c r="E9" i="27"/>
  <c r="D9" i="27"/>
  <c r="C9" i="27"/>
  <c r="B9" i="27"/>
  <c r="G8" i="27"/>
  <c r="E8" i="27"/>
  <c r="D8" i="27"/>
  <c r="C8" i="27"/>
  <c r="B8" i="27"/>
  <c r="E7" i="27"/>
  <c r="D7" i="27"/>
  <c r="C7" i="27"/>
  <c r="B7" i="27"/>
  <c r="G36" i="26"/>
  <c r="E36" i="26"/>
  <c r="D36" i="26"/>
  <c r="C36" i="26"/>
  <c r="B36" i="26"/>
  <c r="H35" i="26"/>
  <c r="F35" i="26"/>
  <c r="H34" i="26"/>
  <c r="F34" i="26"/>
  <c r="H33" i="26"/>
  <c r="F33" i="26"/>
  <c r="H32" i="26"/>
  <c r="F32" i="26"/>
  <c r="G30" i="26"/>
  <c r="E30" i="26"/>
  <c r="D30" i="26"/>
  <c r="C30" i="26"/>
  <c r="B30" i="26"/>
  <c r="H29" i="26"/>
  <c r="F29" i="26"/>
  <c r="H28" i="26"/>
  <c r="F28" i="26"/>
  <c r="H27" i="26"/>
  <c r="F27" i="26"/>
  <c r="H26" i="26"/>
  <c r="F26" i="26"/>
  <c r="H25" i="26"/>
  <c r="F25" i="26"/>
  <c r="H24" i="26"/>
  <c r="F24" i="26"/>
  <c r="H23" i="26"/>
  <c r="F23" i="26"/>
  <c r="F19" i="26"/>
  <c r="C19" i="26"/>
  <c r="B19" i="26"/>
  <c r="G18" i="26"/>
  <c r="H18" i="26" s="1"/>
  <c r="D18" i="26"/>
  <c r="E18" i="26" s="1"/>
  <c r="E19" i="26" s="1"/>
  <c r="H17" i="26"/>
  <c r="H16" i="26"/>
  <c r="G14" i="26"/>
  <c r="E14" i="26"/>
  <c r="D14" i="26"/>
  <c r="C14" i="26"/>
  <c r="B14" i="26"/>
  <c r="H13" i="26"/>
  <c r="F13" i="26"/>
  <c r="H12" i="26"/>
  <c r="F12" i="26"/>
  <c r="H11" i="26"/>
  <c r="F11" i="26"/>
  <c r="H10" i="26"/>
  <c r="F10" i="26"/>
  <c r="H9" i="26"/>
  <c r="F9" i="26"/>
  <c r="H8" i="26"/>
  <c r="F8" i="26"/>
  <c r="H7" i="26"/>
  <c r="F7" i="26"/>
  <c r="G36" i="25"/>
  <c r="E36" i="25"/>
  <c r="D36" i="25"/>
  <c r="C36" i="25"/>
  <c r="B36" i="25"/>
  <c r="H35" i="25"/>
  <c r="F35" i="25"/>
  <c r="H34" i="25"/>
  <c r="F34" i="25"/>
  <c r="H33" i="25"/>
  <c r="F33" i="25"/>
  <c r="F32" i="25"/>
  <c r="G30" i="25"/>
  <c r="E30" i="25"/>
  <c r="E37" i="25" s="1"/>
  <c r="D30" i="25"/>
  <c r="D37" i="25" s="1"/>
  <c r="C30" i="25"/>
  <c r="B30" i="25"/>
  <c r="B37" i="25" s="1"/>
  <c r="H29" i="25"/>
  <c r="F29" i="25"/>
  <c r="H28" i="25"/>
  <c r="F28" i="25"/>
  <c r="H27" i="25"/>
  <c r="F27" i="25"/>
  <c r="H26" i="25"/>
  <c r="F26" i="25"/>
  <c r="H25" i="25"/>
  <c r="F25" i="25"/>
  <c r="H24" i="25"/>
  <c r="F24" i="25"/>
  <c r="H23" i="25"/>
  <c r="F23" i="25"/>
  <c r="F19" i="25"/>
  <c r="C19" i="25"/>
  <c r="B19" i="25"/>
  <c r="G18" i="25"/>
  <c r="H18" i="25" s="1"/>
  <c r="D18" i="25"/>
  <c r="D19" i="25" s="1"/>
  <c r="H17" i="25"/>
  <c r="H16" i="25"/>
  <c r="G14" i="25"/>
  <c r="E14" i="25"/>
  <c r="D14" i="25"/>
  <c r="C14" i="25"/>
  <c r="B14" i="25"/>
  <c r="H13" i="25"/>
  <c r="F13" i="25"/>
  <c r="H12" i="25"/>
  <c r="F12" i="25"/>
  <c r="H11" i="25"/>
  <c r="F11" i="25"/>
  <c r="H10" i="25"/>
  <c r="F10" i="25"/>
  <c r="H9" i="25"/>
  <c r="F9" i="25"/>
  <c r="H8" i="25"/>
  <c r="F8" i="25"/>
  <c r="H7" i="25"/>
  <c r="F7" i="25"/>
  <c r="B36" i="23"/>
  <c r="G35" i="23"/>
  <c r="E35" i="23"/>
  <c r="D35" i="23"/>
  <c r="C35" i="23"/>
  <c r="C48" i="27" s="1"/>
  <c r="H34" i="23"/>
  <c r="F34" i="23"/>
  <c r="H33" i="23"/>
  <c r="F33" i="23"/>
  <c r="H32" i="23"/>
  <c r="F32" i="23"/>
  <c r="E30" i="23"/>
  <c r="D30" i="23"/>
  <c r="C30" i="23"/>
  <c r="B30" i="23"/>
  <c r="B37" i="23" s="1"/>
  <c r="H29" i="23"/>
  <c r="F29" i="23"/>
  <c r="H28" i="23"/>
  <c r="F28" i="23"/>
  <c r="H27" i="23"/>
  <c r="F27" i="23"/>
  <c r="H26" i="23"/>
  <c r="F26" i="23"/>
  <c r="G25" i="23"/>
  <c r="G30" i="23" s="1"/>
  <c r="F25" i="23"/>
  <c r="H24" i="23"/>
  <c r="F24" i="23"/>
  <c r="H23" i="23"/>
  <c r="F23" i="23"/>
  <c r="C19" i="23"/>
  <c r="B19" i="23"/>
  <c r="E18" i="23"/>
  <c r="E19" i="23" s="1"/>
  <c r="D18" i="23"/>
  <c r="D19" i="23" s="1"/>
  <c r="H17" i="23"/>
  <c r="H16" i="23"/>
  <c r="G14" i="23"/>
  <c r="E14" i="23"/>
  <c r="D14" i="23"/>
  <c r="C14" i="23"/>
  <c r="B14" i="23"/>
  <c r="H13" i="23"/>
  <c r="F13" i="23"/>
  <c r="H12" i="23"/>
  <c r="F12" i="23"/>
  <c r="H11" i="23"/>
  <c r="F11" i="23"/>
  <c r="H10" i="23"/>
  <c r="F10" i="23"/>
  <c r="H9" i="23"/>
  <c r="F9" i="23"/>
  <c r="H8" i="23"/>
  <c r="F8" i="23"/>
  <c r="H7" i="23"/>
  <c r="F7" i="23"/>
  <c r="F53" i="20"/>
  <c r="F55" i="20" s="1"/>
  <c r="F58" i="20" s="1"/>
  <c r="F59" i="20" s="1"/>
  <c r="C53" i="20"/>
  <c r="K42" i="20"/>
  <c r="E36" i="20"/>
  <c r="D36" i="20"/>
  <c r="C36" i="20"/>
  <c r="B36" i="20"/>
  <c r="H34" i="20"/>
  <c r="H46" i="27" s="1"/>
  <c r="F34" i="20"/>
  <c r="F33" i="20"/>
  <c r="H32" i="20"/>
  <c r="F32" i="20"/>
  <c r="C29" i="20"/>
  <c r="B29" i="20"/>
  <c r="B37" i="20" s="1"/>
  <c r="G28" i="20"/>
  <c r="G35" i="27" s="1"/>
  <c r="E28" i="20"/>
  <c r="E35" i="27" s="1"/>
  <c r="D28" i="20"/>
  <c r="D35" i="27" s="1"/>
  <c r="H27" i="20"/>
  <c r="F27" i="20"/>
  <c r="K26" i="20"/>
  <c r="H26" i="20"/>
  <c r="F26" i="20"/>
  <c r="H25" i="20"/>
  <c r="F25" i="20"/>
  <c r="H24" i="20"/>
  <c r="F24" i="20"/>
  <c r="H23" i="20"/>
  <c r="F23" i="20"/>
  <c r="H22" i="20"/>
  <c r="F22" i="20"/>
  <c r="K19" i="20"/>
  <c r="G18" i="20"/>
  <c r="H18" i="20" s="1"/>
  <c r="H17" i="20"/>
  <c r="H16" i="20"/>
  <c r="G14" i="20"/>
  <c r="E14" i="20"/>
  <c r="E19" i="20" s="1"/>
  <c r="D14" i="20"/>
  <c r="D19" i="20" s="1"/>
  <c r="C14" i="20"/>
  <c r="B14" i="20"/>
  <c r="B19" i="20" s="1"/>
  <c r="H13" i="20"/>
  <c r="F13" i="20"/>
  <c r="H12" i="20"/>
  <c r="F12" i="20"/>
  <c r="H11" i="20"/>
  <c r="F11" i="20"/>
  <c r="F10" i="20"/>
  <c r="H9" i="20"/>
  <c r="F9" i="20"/>
  <c r="H8" i="20"/>
  <c r="F8" i="20"/>
  <c r="H7" i="20"/>
  <c r="F7" i="20"/>
  <c r="D36" i="19"/>
  <c r="C36" i="19"/>
  <c r="B36" i="19"/>
  <c r="F35" i="19"/>
  <c r="H34" i="19"/>
  <c r="E34" i="19"/>
  <c r="F34" i="19" s="1"/>
  <c r="E33" i="19"/>
  <c r="E30" i="19"/>
  <c r="D30" i="19"/>
  <c r="D37" i="19" s="1"/>
  <c r="C30" i="19"/>
  <c r="B30" i="19"/>
  <c r="F29" i="19"/>
  <c r="H28" i="19"/>
  <c r="F28" i="19"/>
  <c r="H27" i="19"/>
  <c r="F27" i="19"/>
  <c r="G26" i="19"/>
  <c r="H26" i="19" s="1"/>
  <c r="F26" i="19"/>
  <c r="G25" i="19"/>
  <c r="H25" i="19" s="1"/>
  <c r="F25" i="19"/>
  <c r="H24" i="19"/>
  <c r="F24" i="19"/>
  <c r="H23" i="19"/>
  <c r="F23" i="19"/>
  <c r="G19" i="19"/>
  <c r="C19" i="19"/>
  <c r="B19" i="19"/>
  <c r="H18" i="19"/>
  <c r="E18" i="19"/>
  <c r="D18" i="19"/>
  <c r="D19" i="19" s="1"/>
  <c r="H17" i="19"/>
  <c r="H16" i="19"/>
  <c r="E16" i="19"/>
  <c r="E19" i="19" s="1"/>
  <c r="G14" i="19"/>
  <c r="E14" i="19"/>
  <c r="D14" i="19"/>
  <c r="C14" i="19"/>
  <c r="B14" i="19"/>
  <c r="H13" i="19"/>
  <c r="F13" i="19"/>
  <c r="H12" i="19"/>
  <c r="F12" i="19"/>
  <c r="H11" i="19"/>
  <c r="F11" i="19"/>
  <c r="H10" i="19"/>
  <c r="F10" i="19"/>
  <c r="H9" i="19"/>
  <c r="F9" i="19"/>
  <c r="H8" i="19"/>
  <c r="F8" i="19"/>
  <c r="H7" i="19"/>
  <c r="F7" i="19"/>
  <c r="D36" i="18"/>
  <c r="C36" i="18"/>
  <c r="B36" i="18"/>
  <c r="G34" i="18"/>
  <c r="G40" i="27" s="1"/>
  <c r="E34" i="18"/>
  <c r="G33" i="18"/>
  <c r="H33" i="18" s="1"/>
  <c r="J32" i="18"/>
  <c r="H32" i="18"/>
  <c r="F32" i="18"/>
  <c r="E30" i="18"/>
  <c r="D30" i="18"/>
  <c r="C30" i="18"/>
  <c r="B30" i="18"/>
  <c r="J29" i="18"/>
  <c r="H29" i="18"/>
  <c r="F29" i="18"/>
  <c r="J28" i="18"/>
  <c r="H28" i="18"/>
  <c r="F28" i="18"/>
  <c r="J27" i="18"/>
  <c r="H27" i="18"/>
  <c r="F27" i="18"/>
  <c r="G26" i="18"/>
  <c r="F26" i="18"/>
  <c r="G25" i="18"/>
  <c r="F25" i="18"/>
  <c r="J24" i="18"/>
  <c r="H24" i="18"/>
  <c r="F24" i="18"/>
  <c r="J23" i="18"/>
  <c r="H23" i="18"/>
  <c r="F23" i="18"/>
  <c r="C19" i="18"/>
  <c r="B19" i="18"/>
  <c r="J18" i="18"/>
  <c r="H18" i="18"/>
  <c r="E18" i="18"/>
  <c r="D18" i="18"/>
  <c r="G17" i="18"/>
  <c r="G18" i="27" s="1"/>
  <c r="E17" i="18"/>
  <c r="E18" i="27" s="1"/>
  <c r="G16" i="18"/>
  <c r="G16" i="27" s="1"/>
  <c r="E16" i="18"/>
  <c r="E14" i="18"/>
  <c r="D14" i="18"/>
  <c r="C14" i="18"/>
  <c r="B14" i="18"/>
  <c r="H13" i="18"/>
  <c r="F13" i="18"/>
  <c r="J12" i="18"/>
  <c r="H12" i="18"/>
  <c r="F12" i="18"/>
  <c r="H11" i="18"/>
  <c r="F11" i="18"/>
  <c r="H10" i="18"/>
  <c r="F10" i="18"/>
  <c r="G9" i="18"/>
  <c r="G9" i="27" s="1"/>
  <c r="F9" i="18"/>
  <c r="H8" i="18"/>
  <c r="F8" i="18"/>
  <c r="H7" i="18"/>
  <c r="F7" i="18"/>
  <c r="L71" i="81"/>
  <c r="L74" i="81" s="1"/>
  <c r="N70" i="73"/>
  <c r="N73" i="73" s="1"/>
  <c r="I25" i="68"/>
  <c r="F28" i="75" s="1"/>
  <c r="H26" i="73"/>
  <c r="F19" i="68"/>
  <c r="H24" i="81"/>
  <c r="H29" i="81" s="1"/>
  <c r="J49" i="76"/>
  <c r="J31" i="76"/>
  <c r="J25" i="76"/>
  <c r="H54" i="69"/>
  <c r="F49" i="69"/>
  <c r="D16" i="69"/>
  <c r="E56" i="80"/>
  <c r="F56" i="80" s="1"/>
  <c r="T60" i="70"/>
  <c r="K59" i="70"/>
  <c r="I59" i="70"/>
  <c r="G59" i="70"/>
  <c r="C51" i="70"/>
  <c r="C66" i="70" s="1"/>
  <c r="O47" i="70"/>
  <c r="P46" i="70"/>
  <c r="E46" i="70"/>
  <c r="E59" i="70" s="1"/>
  <c r="C45" i="70"/>
  <c r="C44" i="70"/>
  <c r="C43" i="70"/>
  <c r="C42" i="70"/>
  <c r="N41" i="70"/>
  <c r="N47" i="70" s="1"/>
  <c r="C41" i="70"/>
  <c r="Q40" i="70"/>
  <c r="C48" i="70" s="1"/>
  <c r="P40" i="70"/>
  <c r="C40" i="70"/>
  <c r="K35" i="70"/>
  <c r="I35" i="70"/>
  <c r="G35" i="70"/>
  <c r="E35" i="70"/>
  <c r="C28" i="70"/>
  <c r="P27" i="70"/>
  <c r="C27" i="70"/>
  <c r="C26" i="70"/>
  <c r="C24" i="70"/>
  <c r="L1" i="70"/>
  <c r="B3" i="69"/>
  <c r="F58" i="80"/>
  <c r="F55" i="80"/>
  <c r="G51" i="80"/>
  <c r="F50" i="80"/>
  <c r="F48" i="80"/>
  <c r="E44" i="80"/>
  <c r="F44" i="80" s="1"/>
  <c r="E43" i="80"/>
  <c r="F43" i="80" s="1"/>
  <c r="G42" i="80"/>
  <c r="G45" i="80" s="1"/>
  <c r="E42" i="80"/>
  <c r="F42" i="80" s="1"/>
  <c r="E41" i="80"/>
  <c r="F41" i="80" s="1"/>
  <c r="E40" i="80"/>
  <c r="F40" i="80" s="1"/>
  <c r="E39" i="80"/>
  <c r="F39" i="80" s="1"/>
  <c r="E38" i="80"/>
  <c r="F38" i="80" s="1"/>
  <c r="E37" i="80"/>
  <c r="F37" i="80" s="1"/>
  <c r="E36" i="80"/>
  <c r="F36" i="80" s="1"/>
  <c r="E35" i="80"/>
  <c r="F35" i="80" s="1"/>
  <c r="E34" i="80"/>
  <c r="F34" i="80" s="1"/>
  <c r="E33" i="80"/>
  <c r="F33" i="80" s="1"/>
  <c r="E32" i="80"/>
  <c r="F32" i="80" s="1"/>
  <c r="E31" i="80"/>
  <c r="F24" i="80"/>
  <c r="F21" i="80"/>
  <c r="F20" i="80"/>
  <c r="F19" i="80"/>
  <c r="F18" i="80"/>
  <c r="F17" i="80"/>
  <c r="F16" i="80"/>
  <c r="F15" i="80"/>
  <c r="F14" i="80"/>
  <c r="F12" i="80"/>
  <c r="D8" i="80"/>
  <c r="F7" i="80"/>
  <c r="G70" i="84"/>
  <c r="T70" i="84" s="1"/>
  <c r="F70" i="84"/>
  <c r="S70" i="84" s="1"/>
  <c r="D70" i="84"/>
  <c r="C70" i="84"/>
  <c r="T69" i="84"/>
  <c r="S69" i="84"/>
  <c r="J69" i="84"/>
  <c r="I69" i="84"/>
  <c r="J68" i="84"/>
  <c r="I68" i="84"/>
  <c r="J67" i="84"/>
  <c r="I67" i="84"/>
  <c r="T66" i="84"/>
  <c r="S66" i="84"/>
  <c r="J66" i="84"/>
  <c r="I66" i="84"/>
  <c r="G63" i="84"/>
  <c r="T63" i="84" s="1"/>
  <c r="F63" i="84"/>
  <c r="S63" i="84" s="1"/>
  <c r="D63" i="84"/>
  <c r="C63" i="84"/>
  <c r="T62" i="84"/>
  <c r="S62" i="84"/>
  <c r="J62" i="84"/>
  <c r="I62" i="84"/>
  <c r="T61" i="84"/>
  <c r="S61" i="84"/>
  <c r="J61" i="84"/>
  <c r="I61" i="84"/>
  <c r="T60" i="84"/>
  <c r="S60" i="84"/>
  <c r="J60" i="84"/>
  <c r="J63" i="84" s="1"/>
  <c r="I60" i="84"/>
  <c r="I63" i="84" s="1"/>
  <c r="G57" i="84"/>
  <c r="G72" i="84" s="1"/>
  <c r="T72" i="84" s="1"/>
  <c r="F57" i="84"/>
  <c r="F72" i="84" s="1"/>
  <c r="S72" i="84" s="1"/>
  <c r="D57" i="84"/>
  <c r="D72" i="84" s="1"/>
  <c r="C57" i="84"/>
  <c r="C72" i="84" s="1"/>
  <c r="T56" i="84"/>
  <c r="S56" i="84"/>
  <c r="J56" i="84"/>
  <c r="I56" i="84"/>
  <c r="T55" i="84"/>
  <c r="S55" i="84"/>
  <c r="J55" i="84"/>
  <c r="I55" i="84"/>
  <c r="T54" i="84"/>
  <c r="S54" i="84"/>
  <c r="J54" i="84"/>
  <c r="I54" i="84"/>
  <c r="T53" i="84"/>
  <c r="S53" i="84"/>
  <c r="J53" i="84"/>
  <c r="I53" i="84"/>
  <c r="T52" i="84"/>
  <c r="S52" i="84"/>
  <c r="J52" i="84"/>
  <c r="I52" i="84"/>
  <c r="T51" i="84"/>
  <c r="S51" i="84"/>
  <c r="J51" i="84"/>
  <c r="I51" i="84"/>
  <c r="T50" i="84"/>
  <c r="S50" i="84"/>
  <c r="J50" i="84"/>
  <c r="I50" i="84"/>
  <c r="T49" i="84"/>
  <c r="S49" i="84"/>
  <c r="J49" i="84"/>
  <c r="I49" i="84"/>
  <c r="T48" i="84"/>
  <c r="S48" i="84"/>
  <c r="J48" i="84"/>
  <c r="I48" i="84"/>
  <c r="T47" i="84"/>
  <c r="S47" i="84"/>
  <c r="J47" i="84"/>
  <c r="I47" i="84"/>
  <c r="T46" i="84"/>
  <c r="S46" i="84"/>
  <c r="J46" i="84"/>
  <c r="I46" i="84"/>
  <c r="T45" i="84"/>
  <c r="S45" i="84"/>
  <c r="J45" i="84"/>
  <c r="I45" i="84"/>
  <c r="T44" i="84"/>
  <c r="S44" i="84"/>
  <c r="J44" i="84"/>
  <c r="I44" i="84"/>
  <c r="T43" i="84"/>
  <c r="S43" i="84"/>
  <c r="J43" i="84"/>
  <c r="I43" i="84"/>
  <c r="T42" i="84"/>
  <c r="S42" i="84"/>
  <c r="J42" i="84"/>
  <c r="I42" i="84"/>
  <c r="T41" i="84"/>
  <c r="S41" i="84"/>
  <c r="J41" i="84"/>
  <c r="I41" i="84"/>
  <c r="T40" i="84"/>
  <c r="S40" i="84"/>
  <c r="J40" i="84"/>
  <c r="I40" i="84"/>
  <c r="T39" i="84"/>
  <c r="S39" i="84"/>
  <c r="J39" i="84"/>
  <c r="I39" i="84"/>
  <c r="T38" i="84"/>
  <c r="S38" i="84"/>
  <c r="J38" i="84"/>
  <c r="I38" i="84"/>
  <c r="T37" i="84"/>
  <c r="S37" i="84"/>
  <c r="J37" i="84"/>
  <c r="I37" i="84"/>
  <c r="T36" i="84"/>
  <c r="S36" i="84"/>
  <c r="J36" i="84"/>
  <c r="I36" i="84"/>
  <c r="T35" i="84"/>
  <c r="S35" i="84"/>
  <c r="J35" i="84"/>
  <c r="I35" i="84"/>
  <c r="T34" i="84"/>
  <c r="S34" i="84"/>
  <c r="J34" i="84"/>
  <c r="I34" i="84"/>
  <c r="I57" i="84" s="1"/>
  <c r="T29" i="84"/>
  <c r="S29" i="84"/>
  <c r="J29" i="84"/>
  <c r="I29" i="84"/>
  <c r="G27" i="84"/>
  <c r="T27" i="84" s="1"/>
  <c r="F27" i="84"/>
  <c r="S27" i="84" s="1"/>
  <c r="D27" i="84"/>
  <c r="C27" i="84"/>
  <c r="T26" i="84"/>
  <c r="S26" i="84"/>
  <c r="J26" i="84"/>
  <c r="I26" i="84"/>
  <c r="T25" i="84"/>
  <c r="S25" i="84"/>
  <c r="J25" i="84"/>
  <c r="I25" i="84"/>
  <c r="T24" i="84"/>
  <c r="S24" i="84"/>
  <c r="J24" i="84"/>
  <c r="I24" i="84"/>
  <c r="T23" i="84"/>
  <c r="S23" i="84"/>
  <c r="J23" i="84"/>
  <c r="I23" i="84"/>
  <c r="T22" i="84"/>
  <c r="S22" i="84"/>
  <c r="J22" i="84"/>
  <c r="I22" i="84"/>
  <c r="T21" i="84"/>
  <c r="S21" i="84"/>
  <c r="J21" i="84"/>
  <c r="I21" i="84"/>
  <c r="T20" i="84"/>
  <c r="S20" i="84"/>
  <c r="J20" i="84"/>
  <c r="I20" i="84"/>
  <c r="T19" i="84"/>
  <c r="S19" i="84"/>
  <c r="J19" i="84"/>
  <c r="I19" i="84"/>
  <c r="T18" i="84"/>
  <c r="S18" i="84"/>
  <c r="J18" i="84"/>
  <c r="I18" i="84"/>
  <c r="T17" i="84"/>
  <c r="S17" i="84"/>
  <c r="J17" i="84"/>
  <c r="I17" i="84"/>
  <c r="T16" i="84"/>
  <c r="S16" i="84"/>
  <c r="J16" i="84"/>
  <c r="I16" i="84"/>
  <c r="T15" i="84"/>
  <c r="S15" i="84"/>
  <c r="J15" i="84"/>
  <c r="I15" i="84"/>
  <c r="I27" i="84" s="1"/>
  <c r="G11" i="84"/>
  <c r="G31" i="84" s="1"/>
  <c r="T31" i="84" s="1"/>
  <c r="F11" i="84"/>
  <c r="F31" i="84" s="1"/>
  <c r="S31" i="84" s="1"/>
  <c r="D11" i="84"/>
  <c r="D31" i="84" s="1"/>
  <c r="C11" i="84"/>
  <c r="C31" i="84" s="1"/>
  <c r="T10" i="84"/>
  <c r="S10" i="84"/>
  <c r="J10" i="84"/>
  <c r="I10" i="84"/>
  <c r="T9" i="84"/>
  <c r="S9" i="84"/>
  <c r="J9" i="84"/>
  <c r="I9" i="84"/>
  <c r="T8" i="84"/>
  <c r="S8" i="84"/>
  <c r="J8" i="84"/>
  <c r="J11" i="84" s="1"/>
  <c r="I8" i="84"/>
  <c r="I11" i="84" s="1"/>
  <c r="I31" i="84" s="1"/>
  <c r="B3" i="84"/>
  <c r="O96" i="81"/>
  <c r="W83" i="81"/>
  <c r="W96" i="81" s="1"/>
  <c r="U83" i="81"/>
  <c r="U96" i="81" s="1"/>
  <c r="S83" i="81"/>
  <c r="S96" i="81" s="1"/>
  <c r="Q83" i="81"/>
  <c r="Q96" i="81" s="1"/>
  <c r="J81" i="81"/>
  <c r="H81" i="81"/>
  <c r="D79" i="81"/>
  <c r="D78" i="81" s="1"/>
  <c r="Y78" i="81"/>
  <c r="X78" i="81"/>
  <c r="W78" i="81"/>
  <c r="V78" i="81"/>
  <c r="U78" i="81"/>
  <c r="T78" i="81"/>
  <c r="S78" i="81"/>
  <c r="R78" i="81"/>
  <c r="Q78" i="81"/>
  <c r="P78" i="81"/>
  <c r="O78" i="81"/>
  <c r="N78" i="81"/>
  <c r="N81" i="81" s="1"/>
  <c r="I77" i="81"/>
  <c r="E77" i="81"/>
  <c r="E81" i="81" s="1"/>
  <c r="N74" i="81"/>
  <c r="M74" i="81"/>
  <c r="J74" i="81"/>
  <c r="G74" i="81"/>
  <c r="F74" i="81"/>
  <c r="Z72" i="81"/>
  <c r="X71" i="81"/>
  <c r="X73" i="81" s="1"/>
  <c r="V71" i="81"/>
  <c r="V74" i="81" s="1"/>
  <c r="T71" i="81"/>
  <c r="T73" i="81" s="1"/>
  <c r="R71" i="81"/>
  <c r="P71" i="81"/>
  <c r="P74" i="81" s="1"/>
  <c r="K71" i="81"/>
  <c r="K74" i="81" s="1"/>
  <c r="Y68" i="81"/>
  <c r="Y74" i="81" s="1"/>
  <c r="Y83" i="81" s="1"/>
  <c r="Y96" i="81" s="1"/>
  <c r="W68" i="81"/>
  <c r="W74" i="81" s="1"/>
  <c r="U68" i="81"/>
  <c r="U74" i="81" s="1"/>
  <c r="S68" i="81"/>
  <c r="S74" i="81" s="1"/>
  <c r="Q68" i="81"/>
  <c r="Q74" i="81" s="1"/>
  <c r="O68" i="81"/>
  <c r="D67" i="81"/>
  <c r="D66" i="81"/>
  <c r="Z65" i="81"/>
  <c r="Z64" i="81"/>
  <c r="D63" i="81"/>
  <c r="D62" i="81"/>
  <c r="P61" i="81"/>
  <c r="D61" i="81"/>
  <c r="Z60" i="81"/>
  <c r="Z59" i="81"/>
  <c r="J58" i="81"/>
  <c r="J68" i="81" s="1"/>
  <c r="D58" i="81"/>
  <c r="Z57" i="81"/>
  <c r="P56" i="81"/>
  <c r="D56" i="81"/>
  <c r="Z55" i="81"/>
  <c r="Z54" i="81"/>
  <c r="Z53" i="81"/>
  <c r="Z52" i="81"/>
  <c r="Z51" i="81"/>
  <c r="D50" i="81"/>
  <c r="Z50" i="81" s="1"/>
  <c r="D49" i="81"/>
  <c r="Z49" i="81" s="1"/>
  <c r="D48" i="81"/>
  <c r="Z48" i="81" s="1"/>
  <c r="Z47" i="81"/>
  <c r="Z46" i="81"/>
  <c r="Z45" i="81"/>
  <c r="D44" i="81"/>
  <c r="Z44" i="81" s="1"/>
  <c r="D43" i="81"/>
  <c r="Z43" i="81" s="1"/>
  <c r="D42" i="81"/>
  <c r="Z42" i="81" s="1"/>
  <c r="D41" i="81"/>
  <c r="Z41" i="81" s="1"/>
  <c r="D40" i="81"/>
  <c r="Z39" i="81"/>
  <c r="Z38" i="81"/>
  <c r="R31" i="81"/>
  <c r="W29" i="81"/>
  <c r="U29" i="81"/>
  <c r="S29" i="81"/>
  <c r="Q29" i="81"/>
  <c r="O29" i="81"/>
  <c r="K29" i="81"/>
  <c r="Y28" i="81"/>
  <c r="Y29" i="81" s="1"/>
  <c r="W28" i="81"/>
  <c r="U28" i="81"/>
  <c r="S28" i="81"/>
  <c r="Q28" i="81"/>
  <c r="O28" i="81"/>
  <c r="X27" i="81"/>
  <c r="V27" i="81"/>
  <c r="T27" i="81"/>
  <c r="R27" i="81"/>
  <c r="P27" i="81"/>
  <c r="M27" i="81"/>
  <c r="M29" i="81" s="1"/>
  <c r="J26" i="81"/>
  <c r="J29" i="81" s="1"/>
  <c r="X25" i="81"/>
  <c r="V25" i="81"/>
  <c r="T25" i="81"/>
  <c r="R25" i="81"/>
  <c r="P25" i="81"/>
  <c r="N25" i="81"/>
  <c r="N29" i="81" s="1"/>
  <c r="Z22" i="81"/>
  <c r="Z21" i="81"/>
  <c r="Z20" i="81"/>
  <c r="Z18" i="81"/>
  <c r="Z17" i="81"/>
  <c r="Z16" i="81"/>
  <c r="Y11" i="81"/>
  <c r="W11" i="81"/>
  <c r="U11" i="81"/>
  <c r="S11" i="81"/>
  <c r="Q11" i="81"/>
  <c r="O11" i="81"/>
  <c r="J11" i="81"/>
  <c r="D10" i="81"/>
  <c r="Z10" i="81" s="1"/>
  <c r="N9" i="81"/>
  <c r="N11" i="81" s="1"/>
  <c r="B3" i="81"/>
  <c r="AD81" i="73"/>
  <c r="AB81" i="73"/>
  <c r="Z81" i="73"/>
  <c r="Z84" i="73" s="1"/>
  <c r="X81" i="73"/>
  <c r="X84" i="73" s="1"/>
  <c r="K81" i="73"/>
  <c r="G81" i="73"/>
  <c r="L79" i="73"/>
  <c r="AF77" i="73"/>
  <c r="AE77" i="73"/>
  <c r="AD77" i="73"/>
  <c r="AC77" i="73"/>
  <c r="AB77" i="73"/>
  <c r="AA77" i="73"/>
  <c r="Z77" i="73"/>
  <c r="Y77" i="73"/>
  <c r="X77" i="73"/>
  <c r="W77" i="73"/>
  <c r="V77" i="73"/>
  <c r="U77" i="73"/>
  <c r="U79" i="73" s="1"/>
  <c r="N76" i="73"/>
  <c r="F76" i="73"/>
  <c r="F79" i="73" s="1"/>
  <c r="W73" i="73"/>
  <c r="U73" i="73"/>
  <c r="T73" i="73"/>
  <c r="O73" i="73"/>
  <c r="J73" i="73"/>
  <c r="H73" i="73"/>
  <c r="AE72" i="73"/>
  <c r="AE73" i="73" s="1"/>
  <c r="AC72" i="73"/>
  <c r="AC73" i="73" s="1"/>
  <c r="AA72" i="73"/>
  <c r="AA73" i="73" s="1"/>
  <c r="AG71" i="73"/>
  <c r="AF67" i="73"/>
  <c r="AF73" i="73" s="1"/>
  <c r="AF81" i="73" s="1"/>
  <c r="AD67" i="73"/>
  <c r="AD73" i="73" s="1"/>
  <c r="AB67" i="73"/>
  <c r="AB73" i="73" s="1"/>
  <c r="Z67" i="73"/>
  <c r="Z73" i="73" s="1"/>
  <c r="X67" i="73"/>
  <c r="X73" i="73" s="1"/>
  <c r="V67" i="73"/>
  <c r="P67" i="73"/>
  <c r="M67" i="73"/>
  <c r="K67" i="73"/>
  <c r="K73" i="73" s="1"/>
  <c r="I67" i="73"/>
  <c r="G67" i="73"/>
  <c r="G73" i="73" s="1"/>
  <c r="E67" i="73"/>
  <c r="D66" i="73"/>
  <c r="AG64" i="73"/>
  <c r="AG63" i="73"/>
  <c r="AG59" i="73"/>
  <c r="AG58" i="73"/>
  <c r="D57" i="73"/>
  <c r="AG57" i="73" s="1"/>
  <c r="AG56" i="73"/>
  <c r="AG54" i="73"/>
  <c r="AG53" i="73"/>
  <c r="AG52" i="73"/>
  <c r="AG51" i="73"/>
  <c r="AG50" i="73"/>
  <c r="D49" i="73"/>
  <c r="AG49" i="73" s="1"/>
  <c r="AG48" i="73"/>
  <c r="AG47" i="73"/>
  <c r="AG46" i="73"/>
  <c r="AG45" i="73"/>
  <c r="AG44" i="73"/>
  <c r="AG43" i="73"/>
  <c r="D42" i="73"/>
  <c r="AG41" i="73"/>
  <c r="AG40" i="73"/>
  <c r="AG39" i="73"/>
  <c r="AG38" i="73"/>
  <c r="AG37" i="73"/>
  <c r="Y30" i="73"/>
  <c r="AF28" i="73"/>
  <c r="AD28" i="73"/>
  <c r="AB28" i="73"/>
  <c r="Z28" i="73"/>
  <c r="X28" i="73"/>
  <c r="V28" i="73"/>
  <c r="P28" i="73"/>
  <c r="M28" i="73"/>
  <c r="K28" i="73"/>
  <c r="I28" i="73"/>
  <c r="G28" i="73"/>
  <c r="E28" i="73"/>
  <c r="U27" i="73"/>
  <c r="T27" i="73"/>
  <c r="L27" i="73"/>
  <c r="H27" i="73"/>
  <c r="AE26" i="73"/>
  <c r="AC26" i="73"/>
  <c r="AA26" i="73"/>
  <c r="Y26" i="73"/>
  <c r="W26" i="73"/>
  <c r="T26" i="73"/>
  <c r="AE24" i="73"/>
  <c r="AA24" i="73"/>
  <c r="Y24" i="73"/>
  <c r="W24" i="73"/>
  <c r="U24" i="73"/>
  <c r="AG21" i="73"/>
  <c r="AG20" i="73"/>
  <c r="AG19" i="73"/>
  <c r="R18" i="73"/>
  <c r="AG17" i="73"/>
  <c r="AG16" i="73"/>
  <c r="AG15" i="73"/>
  <c r="R14" i="73"/>
  <c r="U9" i="73"/>
  <c r="U10" i="73" s="1"/>
  <c r="D10" i="73"/>
  <c r="Q4" i="73"/>
  <c r="B3" i="73"/>
  <c r="Q2" i="73"/>
  <c r="J88" i="72"/>
  <c r="N82" i="72"/>
  <c r="L82" i="72"/>
  <c r="J82" i="72"/>
  <c r="J86" i="72" s="1"/>
  <c r="H82" i="72"/>
  <c r="H86" i="72" s="1"/>
  <c r="P77" i="72"/>
  <c r="O77" i="72"/>
  <c r="N77" i="72"/>
  <c r="M77" i="72"/>
  <c r="L77" i="72"/>
  <c r="K77" i="72"/>
  <c r="J77" i="72"/>
  <c r="I77" i="72"/>
  <c r="H77" i="72"/>
  <c r="G77" i="72"/>
  <c r="F77" i="72"/>
  <c r="E77" i="72"/>
  <c r="E80" i="72" s="1"/>
  <c r="G73" i="72"/>
  <c r="E73" i="72"/>
  <c r="D73" i="72"/>
  <c r="O72" i="72"/>
  <c r="O73" i="72" s="1"/>
  <c r="M72" i="72"/>
  <c r="M73" i="72" s="1"/>
  <c r="K72" i="72"/>
  <c r="K73" i="72" s="1"/>
  <c r="I72" i="72"/>
  <c r="I73" i="72" s="1"/>
  <c r="P67" i="72"/>
  <c r="P73" i="72" s="1"/>
  <c r="P82" i="72" s="1"/>
  <c r="N67" i="72"/>
  <c r="N73" i="72" s="1"/>
  <c r="L67" i="72"/>
  <c r="L73" i="72" s="1"/>
  <c r="J67" i="72"/>
  <c r="J73" i="72" s="1"/>
  <c r="H67" i="72"/>
  <c r="H73" i="72" s="1"/>
  <c r="F67" i="72"/>
  <c r="Q64" i="72"/>
  <c r="S64" i="72" s="1"/>
  <c r="Q63" i="72"/>
  <c r="S63" i="72" s="1"/>
  <c r="G60" i="72"/>
  <c r="Q59" i="72"/>
  <c r="S59" i="72" s="1"/>
  <c r="Q58" i="72"/>
  <c r="S58" i="72" s="1"/>
  <c r="Q56" i="72"/>
  <c r="S56" i="72" s="1"/>
  <c r="G55" i="72"/>
  <c r="G67" i="72" s="1"/>
  <c r="Q54" i="72"/>
  <c r="S54" i="72" s="1"/>
  <c r="Q53" i="72"/>
  <c r="S53" i="72" s="1"/>
  <c r="Q52" i="72"/>
  <c r="S52" i="72" s="1"/>
  <c r="Q51" i="72"/>
  <c r="S51" i="72" s="1"/>
  <c r="Q50" i="72"/>
  <c r="S50" i="72" s="1"/>
  <c r="Q46" i="72"/>
  <c r="S46" i="72" s="1"/>
  <c r="Q45" i="72"/>
  <c r="S45" i="72" s="1"/>
  <c r="Q44" i="72"/>
  <c r="S44" i="72" s="1"/>
  <c r="Q38" i="72"/>
  <c r="Q37" i="72"/>
  <c r="I30" i="72"/>
  <c r="L32" i="75" s="1"/>
  <c r="R28" i="72"/>
  <c r="P28" i="72"/>
  <c r="N28" i="72"/>
  <c r="L28" i="72"/>
  <c r="J28" i="72"/>
  <c r="H28" i="72"/>
  <c r="F28" i="72"/>
  <c r="O27" i="72"/>
  <c r="M27" i="72"/>
  <c r="K27" i="72"/>
  <c r="I27" i="72"/>
  <c r="G27" i="72"/>
  <c r="D27" i="72"/>
  <c r="J30" i="75" s="1"/>
  <c r="O25" i="72"/>
  <c r="M25" i="72"/>
  <c r="K25" i="72"/>
  <c r="I25" i="72"/>
  <c r="G25" i="72"/>
  <c r="E25" i="72"/>
  <c r="B19" i="72"/>
  <c r="Q18" i="72"/>
  <c r="S18" i="72" s="1"/>
  <c r="Q17" i="72"/>
  <c r="S17" i="72" s="1"/>
  <c r="Q16" i="72"/>
  <c r="S16" i="72" s="1"/>
  <c r="B15" i="72"/>
  <c r="P11" i="72"/>
  <c r="N11" i="72"/>
  <c r="L11" i="72"/>
  <c r="J11" i="72"/>
  <c r="H11" i="72"/>
  <c r="F11" i="72"/>
  <c r="Q10" i="72"/>
  <c r="S10" i="72" s="1"/>
  <c r="R9" i="72"/>
  <c r="R11" i="72" s="1"/>
  <c r="E9" i="72"/>
  <c r="E11" i="72" s="1"/>
  <c r="A2" i="72"/>
  <c r="H81" i="68"/>
  <c r="I77" i="68"/>
  <c r="E77" i="68"/>
  <c r="E81" i="68" s="1"/>
  <c r="J74" i="68"/>
  <c r="G74" i="68"/>
  <c r="F74" i="68"/>
  <c r="Q71" i="72"/>
  <c r="D67" i="68"/>
  <c r="D66" i="68"/>
  <c r="D63" i="68"/>
  <c r="D62" i="68"/>
  <c r="D61" i="68"/>
  <c r="D58" i="68"/>
  <c r="Q57" i="72" s="1"/>
  <c r="S57" i="72" s="1"/>
  <c r="D56" i="68"/>
  <c r="D50" i="68"/>
  <c r="Q49" i="72" s="1"/>
  <c r="S49" i="72" s="1"/>
  <c r="D49" i="68"/>
  <c r="Q48" i="72" s="1"/>
  <c r="S48" i="72" s="1"/>
  <c r="D48" i="68"/>
  <c r="Q47" i="72" s="1"/>
  <c r="S47" i="72" s="1"/>
  <c r="D44" i="68"/>
  <c r="Q43" i="72" s="1"/>
  <c r="S43" i="72" s="1"/>
  <c r="D43" i="68"/>
  <c r="Q42" i="72" s="1"/>
  <c r="S42" i="72" s="1"/>
  <c r="D42" i="68"/>
  <c r="Q41" i="72" s="1"/>
  <c r="S41" i="72" s="1"/>
  <c r="D41" i="68"/>
  <c r="Q40" i="72" s="1"/>
  <c r="S40" i="72" s="1"/>
  <c r="D40" i="68"/>
  <c r="Q39" i="72" s="1"/>
  <c r="Q22" i="72"/>
  <c r="S22" i="72" s="1"/>
  <c r="L21" i="68"/>
  <c r="Q20" i="72"/>
  <c r="S20" i="72" s="1"/>
  <c r="L10" i="68"/>
  <c r="B3" i="68"/>
  <c r="H15" i="83"/>
  <c r="J12" i="83"/>
  <c r="H12" i="83"/>
  <c r="F12" i="83"/>
  <c r="D12" i="83"/>
  <c r="B8" i="83"/>
  <c r="B12" i="83" s="1"/>
  <c r="Q46" i="75"/>
  <c r="L45" i="75"/>
  <c r="J45" i="75"/>
  <c r="H45" i="75"/>
  <c r="F45" i="75"/>
  <c r="D45" i="75"/>
  <c r="L43" i="75"/>
  <c r="J43" i="75"/>
  <c r="H43" i="75"/>
  <c r="F43" i="75"/>
  <c r="D43" i="75"/>
  <c r="L42" i="75"/>
  <c r="J42" i="75"/>
  <c r="H42" i="75"/>
  <c r="F42" i="75"/>
  <c r="D42" i="75"/>
  <c r="L41" i="75"/>
  <c r="J41" i="75"/>
  <c r="H41" i="75"/>
  <c r="F41" i="75"/>
  <c r="D41" i="75"/>
  <c r="L40" i="75"/>
  <c r="J40" i="75"/>
  <c r="H40" i="75"/>
  <c r="F40" i="75"/>
  <c r="D40" i="75"/>
  <c r="L39" i="75"/>
  <c r="J39" i="75"/>
  <c r="H39" i="75"/>
  <c r="F39" i="75"/>
  <c r="D39" i="75"/>
  <c r="L38" i="75"/>
  <c r="J38" i="75"/>
  <c r="H38" i="75"/>
  <c r="F38" i="75"/>
  <c r="D38" i="75"/>
  <c r="J32" i="75"/>
  <c r="H30" i="75"/>
  <c r="J29" i="75"/>
  <c r="H29" i="75"/>
  <c r="F29" i="75"/>
  <c r="H28" i="75"/>
  <c r="L27" i="75"/>
  <c r="J27" i="75"/>
  <c r="H27" i="75"/>
  <c r="L26" i="75"/>
  <c r="J26" i="75"/>
  <c r="H26" i="75"/>
  <c r="L25" i="75"/>
  <c r="J25" i="75"/>
  <c r="H25" i="75"/>
  <c r="F25" i="75"/>
  <c r="L24" i="75"/>
  <c r="J24" i="75"/>
  <c r="H24" i="75"/>
  <c r="F24" i="75"/>
  <c r="L23" i="75"/>
  <c r="J23" i="75"/>
  <c r="H23" i="75"/>
  <c r="F23" i="75"/>
  <c r="L22" i="75"/>
  <c r="J22" i="75"/>
  <c r="H22" i="75"/>
  <c r="L21" i="75"/>
  <c r="J21" i="75"/>
  <c r="H21" i="75"/>
  <c r="F21" i="75"/>
  <c r="R20" i="75"/>
  <c r="L20" i="75"/>
  <c r="J20" i="75"/>
  <c r="F20" i="75"/>
  <c r="L19" i="75"/>
  <c r="J19" i="75"/>
  <c r="H19" i="75"/>
  <c r="F19" i="75"/>
  <c r="L18" i="75"/>
  <c r="J18" i="75"/>
  <c r="F18" i="75"/>
  <c r="D13" i="75"/>
  <c r="N13" i="75" s="1"/>
  <c r="R12" i="75"/>
  <c r="O47" i="107" l="1"/>
  <c r="O53" i="107" s="1"/>
  <c r="N49" i="105"/>
  <c r="N58" i="105" s="1"/>
  <c r="N93" i="105" s="1"/>
  <c r="K47" i="106"/>
  <c r="K53" i="106" s="1"/>
  <c r="S52" i="105"/>
  <c r="C20" i="97"/>
  <c r="E20" i="97" s="1"/>
  <c r="K47" i="92"/>
  <c r="D48" i="27"/>
  <c r="D49" i="27" s="1"/>
  <c r="E45" i="35"/>
  <c r="F45" i="35" s="1"/>
  <c r="D44" i="30"/>
  <c r="B27" i="31"/>
  <c r="H16" i="31"/>
  <c r="D45" i="34"/>
  <c r="G48" i="27"/>
  <c r="G7" i="27"/>
  <c r="G13" i="27" s="1"/>
  <c r="D28" i="35"/>
  <c r="C19" i="35"/>
  <c r="G21" i="35"/>
  <c r="G24" i="35"/>
  <c r="C21" i="35"/>
  <c r="J27" i="84"/>
  <c r="J31" i="84" s="1"/>
  <c r="J57" i="84"/>
  <c r="C35" i="70"/>
  <c r="F35" i="23"/>
  <c r="H14" i="25"/>
  <c r="G27" i="35"/>
  <c r="G28" i="35"/>
  <c r="D79" i="68"/>
  <c r="Q78" i="72" s="1"/>
  <c r="S78" i="72" s="1"/>
  <c r="L72" i="73"/>
  <c r="L73" i="73" s="1"/>
  <c r="C20" i="18"/>
  <c r="P68" i="81"/>
  <c r="F14" i="25"/>
  <c r="B20" i="18"/>
  <c r="J17" i="18"/>
  <c r="G19" i="20"/>
  <c r="K44" i="20"/>
  <c r="K46" i="20" s="1"/>
  <c r="E18" i="25"/>
  <c r="E19" i="25" s="1"/>
  <c r="I9" i="56"/>
  <c r="H30" i="25"/>
  <c r="H36" i="25"/>
  <c r="E37" i="26"/>
  <c r="D38" i="22"/>
  <c r="B27" i="28"/>
  <c r="B45" i="28" s="1"/>
  <c r="G27" i="28"/>
  <c r="G45" i="28" s="1"/>
  <c r="H16" i="32"/>
  <c r="I11" i="56"/>
  <c r="B20" i="36"/>
  <c r="B21" i="36" s="1"/>
  <c r="J34" i="76"/>
  <c r="J16" i="18"/>
  <c r="H30" i="21"/>
  <c r="F36" i="21"/>
  <c r="H34" i="35"/>
  <c r="I23" i="68"/>
  <c r="Q23" i="72" s="1"/>
  <c r="S23" i="72" s="1"/>
  <c r="L23" i="73"/>
  <c r="L28" i="73" s="1"/>
  <c r="H24" i="68"/>
  <c r="H29" i="68" s="1"/>
  <c r="I71" i="68"/>
  <c r="I74" i="68" s="1"/>
  <c r="N22" i="73"/>
  <c r="AG22" i="73" s="1"/>
  <c r="F27" i="81"/>
  <c r="I71" i="81"/>
  <c r="I74" i="81" s="1"/>
  <c r="F27" i="68"/>
  <c r="F29" i="68" s="1"/>
  <c r="J26" i="73"/>
  <c r="G27" i="68"/>
  <c r="G29" i="68" s="1"/>
  <c r="G27" i="81"/>
  <c r="G29" i="81" s="1"/>
  <c r="N26" i="73"/>
  <c r="H73" i="68"/>
  <c r="H74" i="68" s="1"/>
  <c r="H73" i="81"/>
  <c r="H74" i="81" s="1"/>
  <c r="I27" i="68"/>
  <c r="B22" i="27"/>
  <c r="T28" i="73"/>
  <c r="F15" i="69"/>
  <c r="Q19" i="72"/>
  <c r="S19" i="72" s="1"/>
  <c r="F22" i="75"/>
  <c r="N22" i="75" s="1"/>
  <c r="I27" i="81"/>
  <c r="F18" i="27"/>
  <c r="F19" i="35"/>
  <c r="Z79" i="81"/>
  <c r="G22" i="27"/>
  <c r="F19" i="81"/>
  <c r="K58" i="81"/>
  <c r="K68" i="81" s="1"/>
  <c r="H18" i="73"/>
  <c r="AG18" i="73" s="1"/>
  <c r="F18" i="35"/>
  <c r="H33" i="35"/>
  <c r="D67" i="73"/>
  <c r="P47" i="70"/>
  <c r="G29" i="20"/>
  <c r="H21" i="35"/>
  <c r="F34" i="35"/>
  <c r="F16" i="34"/>
  <c r="F14" i="22"/>
  <c r="H43" i="32"/>
  <c r="D31" i="75"/>
  <c r="E40" i="27"/>
  <c r="F40" i="27" s="1"/>
  <c r="H19" i="19"/>
  <c r="F11" i="35"/>
  <c r="F13" i="35"/>
  <c r="F38" i="35"/>
  <c r="G16" i="21"/>
  <c r="H16" i="21" s="1"/>
  <c r="H18" i="21" s="1"/>
  <c r="F30" i="22"/>
  <c r="H24" i="56"/>
  <c r="H26" i="28"/>
  <c r="F37" i="28"/>
  <c r="H43" i="28"/>
  <c r="B44" i="29"/>
  <c r="E44" i="31"/>
  <c r="F26" i="32"/>
  <c r="F16" i="33"/>
  <c r="D29" i="33"/>
  <c r="D47" i="33" s="1"/>
  <c r="N19" i="75"/>
  <c r="N25" i="75"/>
  <c r="H11" i="27"/>
  <c r="H16" i="18"/>
  <c r="H16" i="27" s="1"/>
  <c r="I16" i="27" s="1"/>
  <c r="H17" i="18"/>
  <c r="H18" i="27" s="1"/>
  <c r="I18" i="27" s="1"/>
  <c r="F30" i="18"/>
  <c r="C37" i="18"/>
  <c r="H44" i="27"/>
  <c r="I44" i="27" s="1"/>
  <c r="H14" i="26"/>
  <c r="F14" i="26"/>
  <c r="F12" i="35"/>
  <c r="H36" i="24"/>
  <c r="D27" i="29"/>
  <c r="D45" i="29" s="1"/>
  <c r="F43" i="30"/>
  <c r="F26" i="31"/>
  <c r="B44" i="32"/>
  <c r="G44" i="32"/>
  <c r="U33" i="81"/>
  <c r="U87" i="81" s="1"/>
  <c r="V80" i="81"/>
  <c r="C19" i="21"/>
  <c r="H46" i="75"/>
  <c r="N40" i="75"/>
  <c r="O33" i="81"/>
  <c r="O87" i="81" s="1"/>
  <c r="W33" i="81"/>
  <c r="W87" i="81" s="1"/>
  <c r="E18" i="24"/>
  <c r="E19" i="24" s="1"/>
  <c r="E20" i="24" s="1"/>
  <c r="C21" i="27"/>
  <c r="D37" i="28"/>
  <c r="D44" i="28" s="1"/>
  <c r="D39" i="35"/>
  <c r="H23" i="29"/>
  <c r="H26" i="29" s="1"/>
  <c r="G25" i="35"/>
  <c r="H25" i="35" s="1"/>
  <c r="F25" i="29"/>
  <c r="E28" i="35"/>
  <c r="E29" i="35" s="1"/>
  <c r="C26" i="30"/>
  <c r="C27" i="30" s="1"/>
  <c r="C17" i="35"/>
  <c r="F17" i="35" s="1"/>
  <c r="C37" i="30"/>
  <c r="C44" i="30" s="1"/>
  <c r="C39" i="35"/>
  <c r="H30" i="27"/>
  <c r="I30" i="27" s="1"/>
  <c r="E51" i="80"/>
  <c r="F51" i="80" s="1"/>
  <c r="G32" i="27"/>
  <c r="D37" i="18"/>
  <c r="C37" i="20"/>
  <c r="B20" i="26"/>
  <c r="C37" i="26"/>
  <c r="H11" i="35"/>
  <c r="H14" i="35"/>
  <c r="H24" i="35"/>
  <c r="B40" i="35"/>
  <c r="H35" i="35"/>
  <c r="H44" i="35"/>
  <c r="B37" i="21"/>
  <c r="E27" i="28"/>
  <c r="C44" i="29"/>
  <c r="G44" i="30"/>
  <c r="E27" i="31"/>
  <c r="D44" i="32"/>
  <c r="D45" i="32" s="1"/>
  <c r="E45" i="34"/>
  <c r="H10" i="27"/>
  <c r="H12" i="27"/>
  <c r="I12" i="27" s="1"/>
  <c r="E16" i="27"/>
  <c r="F16" i="27" s="1"/>
  <c r="E20" i="19"/>
  <c r="B37" i="19"/>
  <c r="B20" i="25"/>
  <c r="B38" i="25" s="1"/>
  <c r="F9" i="27"/>
  <c r="B49" i="27"/>
  <c r="F44" i="27"/>
  <c r="F16" i="31"/>
  <c r="F27" i="31" s="1"/>
  <c r="F43" i="31"/>
  <c r="F37" i="32"/>
  <c r="E29" i="33"/>
  <c r="C44" i="34"/>
  <c r="C45" i="34" s="1"/>
  <c r="G31" i="27"/>
  <c r="F30" i="19"/>
  <c r="H14" i="23"/>
  <c r="C20" i="23"/>
  <c r="H25" i="23"/>
  <c r="F30" i="23"/>
  <c r="C36" i="23"/>
  <c r="C37" i="23" s="1"/>
  <c r="H19" i="25"/>
  <c r="H20" i="25" s="1"/>
  <c r="F36" i="25"/>
  <c r="B37" i="26"/>
  <c r="G37" i="26"/>
  <c r="F10" i="27"/>
  <c r="F31" i="27"/>
  <c r="F33" i="27"/>
  <c r="H20" i="35"/>
  <c r="H64" i="35"/>
  <c r="D37" i="21"/>
  <c r="B37" i="22"/>
  <c r="B38" i="22" s="1"/>
  <c r="F16" i="29"/>
  <c r="F16" i="30"/>
  <c r="E44" i="30"/>
  <c r="E45" i="30" s="1"/>
  <c r="C27" i="31"/>
  <c r="C45" i="31" s="1"/>
  <c r="F37" i="31"/>
  <c r="C44" i="31"/>
  <c r="C44" i="32"/>
  <c r="H44" i="32" s="1"/>
  <c r="F42" i="33"/>
  <c r="F45" i="33" s="1"/>
  <c r="F26" i="34"/>
  <c r="F43" i="34"/>
  <c r="B14" i="36"/>
  <c r="B15" i="36" s="1"/>
  <c r="T29" i="81"/>
  <c r="X29" i="81"/>
  <c r="AC78" i="73"/>
  <c r="M79" i="72"/>
  <c r="I28" i="72"/>
  <c r="H18" i="75"/>
  <c r="H31" i="75" s="1"/>
  <c r="N23" i="75"/>
  <c r="AG42" i="73"/>
  <c r="L12" i="83"/>
  <c r="L19" i="68"/>
  <c r="S33" i="81"/>
  <c r="S87" i="81" s="1"/>
  <c r="J70" i="84"/>
  <c r="J72" i="84" s="1"/>
  <c r="Q33" i="81"/>
  <c r="Q87" i="81" s="1"/>
  <c r="Y33" i="81"/>
  <c r="Y87" i="81" s="1"/>
  <c r="I70" i="84"/>
  <c r="I72" i="84" s="1"/>
  <c r="F37" i="69"/>
  <c r="F36" i="29"/>
  <c r="F37" i="29" s="1"/>
  <c r="F44" i="29" s="1"/>
  <c r="E39" i="35"/>
  <c r="F37" i="26"/>
  <c r="H10" i="35"/>
  <c r="D19" i="21"/>
  <c r="H18" i="24"/>
  <c r="H19" i="24" s="1"/>
  <c r="E37" i="24"/>
  <c r="H16" i="29"/>
  <c r="H16" i="30"/>
  <c r="E44" i="32"/>
  <c r="E45" i="32" s="1"/>
  <c r="F39" i="33"/>
  <c r="C46" i="33"/>
  <c r="H16" i="34"/>
  <c r="H29" i="27"/>
  <c r="I29" i="27" s="1"/>
  <c r="H30" i="19"/>
  <c r="D19" i="26"/>
  <c r="D20" i="26" s="1"/>
  <c r="H30" i="24"/>
  <c r="D27" i="28"/>
  <c r="E39" i="33"/>
  <c r="E46" i="33" s="1"/>
  <c r="E47" i="33" s="1"/>
  <c r="H22" i="33"/>
  <c r="H36" i="27"/>
  <c r="I36" i="27" s="1"/>
  <c r="E41" i="27"/>
  <c r="F41" i="27" s="1"/>
  <c r="F34" i="18"/>
  <c r="B20" i="19"/>
  <c r="G20" i="19"/>
  <c r="G36" i="23"/>
  <c r="G37" i="23" s="1"/>
  <c r="C20" i="25"/>
  <c r="F30" i="26"/>
  <c r="H30" i="26"/>
  <c r="H36" i="26"/>
  <c r="F36" i="26"/>
  <c r="G69" i="27"/>
  <c r="F24" i="35"/>
  <c r="H26" i="35"/>
  <c r="H36" i="35"/>
  <c r="F13" i="21"/>
  <c r="B19" i="21"/>
  <c r="H14" i="22"/>
  <c r="E37" i="22"/>
  <c r="E38" i="22" s="1"/>
  <c r="B20" i="24"/>
  <c r="B38" i="24" s="1"/>
  <c r="F14" i="24"/>
  <c r="D18" i="24"/>
  <c r="D19" i="24" s="1"/>
  <c r="D20" i="24" s="1"/>
  <c r="D38" i="24" s="1"/>
  <c r="C19" i="24"/>
  <c r="C20" i="24" s="1"/>
  <c r="F36" i="24"/>
  <c r="H9" i="56"/>
  <c r="H10" i="56"/>
  <c r="F16" i="28"/>
  <c r="H37" i="28"/>
  <c r="B27" i="29"/>
  <c r="B45" i="29" s="1"/>
  <c r="D27" i="30"/>
  <c r="D45" i="30" s="1"/>
  <c r="F18" i="30"/>
  <c r="F26" i="30" s="1"/>
  <c r="H26" i="30"/>
  <c r="F36" i="30"/>
  <c r="F37" i="30" s="1"/>
  <c r="G26" i="31"/>
  <c r="H26" i="31" s="1"/>
  <c r="B44" i="31"/>
  <c r="B45" i="31" s="1"/>
  <c r="F16" i="32"/>
  <c r="B45" i="32"/>
  <c r="F43" i="32"/>
  <c r="F44" i="32" s="1"/>
  <c r="B29" i="33"/>
  <c r="J69" i="33"/>
  <c r="J73" i="33" s="1"/>
  <c r="H43" i="34"/>
  <c r="F14" i="18"/>
  <c r="H33" i="27"/>
  <c r="B37" i="18"/>
  <c r="B38" i="18" s="1"/>
  <c r="F33" i="18"/>
  <c r="H14" i="19"/>
  <c r="C20" i="19"/>
  <c r="G30" i="19"/>
  <c r="H33" i="20"/>
  <c r="H34" i="27" s="1"/>
  <c r="F36" i="20"/>
  <c r="B20" i="23"/>
  <c r="B38" i="23" s="1"/>
  <c r="F19" i="23"/>
  <c r="H30" i="23"/>
  <c r="H35" i="23"/>
  <c r="H36" i="23" s="1"/>
  <c r="D20" i="25"/>
  <c r="D38" i="25" s="1"/>
  <c r="F30" i="25"/>
  <c r="C37" i="25"/>
  <c r="F37" i="25" s="1"/>
  <c r="G37" i="25"/>
  <c r="C20" i="26"/>
  <c r="H19" i="26"/>
  <c r="D37" i="26"/>
  <c r="B13" i="27"/>
  <c r="B23" i="27" s="1"/>
  <c r="F12" i="27"/>
  <c r="F29" i="27"/>
  <c r="F10" i="35"/>
  <c r="F14" i="35"/>
  <c r="F22" i="35"/>
  <c r="F25" i="35"/>
  <c r="D47" i="35"/>
  <c r="E19" i="21"/>
  <c r="F19" i="21" s="1"/>
  <c r="G37" i="22"/>
  <c r="F36" i="22"/>
  <c r="G57" i="24"/>
  <c r="H11" i="56"/>
  <c r="C26" i="56"/>
  <c r="H16" i="28"/>
  <c r="C27" i="28"/>
  <c r="C45" i="28" s="1"/>
  <c r="F26" i="28"/>
  <c r="C27" i="29"/>
  <c r="C45" i="29" s="1"/>
  <c r="E26" i="29"/>
  <c r="E27" i="29" s="1"/>
  <c r="H18" i="30"/>
  <c r="H36" i="30"/>
  <c r="D27" i="31"/>
  <c r="D45" i="31" s="1"/>
  <c r="C27" i="32"/>
  <c r="H16" i="33"/>
  <c r="F28" i="33"/>
  <c r="F29" i="33" s="1"/>
  <c r="B46" i="33"/>
  <c r="B66" i="33"/>
  <c r="B67" i="33" s="1"/>
  <c r="G20" i="33" s="1"/>
  <c r="B27" i="34"/>
  <c r="B45" i="34" s="1"/>
  <c r="J27" i="36"/>
  <c r="U28" i="73"/>
  <c r="U32" i="73" s="1"/>
  <c r="N33" i="81"/>
  <c r="D28" i="72"/>
  <c r="C59" i="70"/>
  <c r="N45" i="75"/>
  <c r="N41" i="75"/>
  <c r="N24" i="75"/>
  <c r="N20" i="75"/>
  <c r="K28" i="72"/>
  <c r="O28" i="72"/>
  <c r="D79" i="73"/>
  <c r="T74" i="81"/>
  <c r="AJ82" i="91"/>
  <c r="P29" i="81"/>
  <c r="S11" i="84"/>
  <c r="S57" i="84"/>
  <c r="Q47" i="70"/>
  <c r="Q77" i="72"/>
  <c r="S77" i="72" s="1"/>
  <c r="J33" i="81"/>
  <c r="R29" i="81"/>
  <c r="J83" i="81"/>
  <c r="J96" i="81" s="1"/>
  <c r="T11" i="84"/>
  <c r="T57" i="84"/>
  <c r="E22" i="80"/>
  <c r="F22" i="80" s="1"/>
  <c r="K47" i="93"/>
  <c r="K58" i="90"/>
  <c r="D71" i="90"/>
  <c r="D74" i="90" s="1"/>
  <c r="D56" i="93"/>
  <c r="D60" i="93" s="1"/>
  <c r="D20" i="19"/>
  <c r="D38" i="19" s="1"/>
  <c r="H9" i="18"/>
  <c r="H9" i="27" s="1"/>
  <c r="I9" i="27" s="1"/>
  <c r="G14" i="18"/>
  <c r="G19" i="18"/>
  <c r="J25" i="18"/>
  <c r="J26" i="18"/>
  <c r="H34" i="18"/>
  <c r="H40" i="27" s="1"/>
  <c r="I40" i="27" s="1"/>
  <c r="D20" i="23"/>
  <c r="H20" i="26"/>
  <c r="J9" i="18"/>
  <c r="D19" i="18"/>
  <c r="D20" i="18" s="1"/>
  <c r="J34" i="18"/>
  <c r="E36" i="18"/>
  <c r="E37" i="18" s="1"/>
  <c r="F14" i="19"/>
  <c r="F19" i="19"/>
  <c r="C37" i="19"/>
  <c r="B38" i="20"/>
  <c r="E20" i="23"/>
  <c r="F35" i="27"/>
  <c r="H36" i="21"/>
  <c r="E19" i="18"/>
  <c r="F19" i="18" s="1"/>
  <c r="C19" i="20"/>
  <c r="C38" i="20" s="1"/>
  <c r="F14" i="20"/>
  <c r="H14" i="20"/>
  <c r="E37" i="21"/>
  <c r="E38" i="21" s="1"/>
  <c r="H25" i="18"/>
  <c r="H31" i="27" s="1"/>
  <c r="H26" i="18"/>
  <c r="H32" i="27" s="1"/>
  <c r="G30" i="18"/>
  <c r="G37" i="21"/>
  <c r="D29" i="20"/>
  <c r="D37" i="20" s="1"/>
  <c r="D38" i="20" s="1"/>
  <c r="G18" i="23"/>
  <c r="D36" i="23"/>
  <c r="D37" i="23" s="1"/>
  <c r="F8" i="27"/>
  <c r="F36" i="27"/>
  <c r="F46" i="27"/>
  <c r="B15" i="35"/>
  <c r="G15" i="35"/>
  <c r="F8" i="35"/>
  <c r="H12" i="35"/>
  <c r="F20" i="35"/>
  <c r="F27" i="35"/>
  <c r="H28" i="35"/>
  <c r="D40" i="35"/>
  <c r="F43" i="35"/>
  <c r="H43" i="35"/>
  <c r="F44" i="35"/>
  <c r="H7" i="21"/>
  <c r="H13" i="21" s="1"/>
  <c r="F16" i="21"/>
  <c r="F18" i="21" s="1"/>
  <c r="G18" i="21"/>
  <c r="G19" i="21" s="1"/>
  <c r="F30" i="21"/>
  <c r="F33" i="21"/>
  <c r="G19" i="22"/>
  <c r="G19" i="24"/>
  <c r="G20" i="24" s="1"/>
  <c r="G37" i="29"/>
  <c r="G44" i="29" s="1"/>
  <c r="H36" i="29"/>
  <c r="H37" i="29" s="1"/>
  <c r="H37" i="30"/>
  <c r="H28" i="20"/>
  <c r="H35" i="27" s="1"/>
  <c r="I35" i="27" s="1"/>
  <c r="E29" i="20"/>
  <c r="E37" i="20" s="1"/>
  <c r="F37" i="20" s="1"/>
  <c r="G36" i="20"/>
  <c r="H36" i="20" s="1"/>
  <c r="F14" i="23"/>
  <c r="E36" i="23"/>
  <c r="E37" i="23" s="1"/>
  <c r="G19" i="25"/>
  <c r="G20" i="25" s="1"/>
  <c r="G19" i="26"/>
  <c r="G20" i="26" s="1"/>
  <c r="C13" i="27"/>
  <c r="F11" i="27"/>
  <c r="F30" i="27"/>
  <c r="F34" i="27"/>
  <c r="C47" i="35"/>
  <c r="C37" i="21"/>
  <c r="E20" i="25"/>
  <c r="E20" i="26"/>
  <c r="E48" i="27"/>
  <c r="F48" i="27" s="1"/>
  <c r="B29" i="35"/>
  <c r="F35" i="35"/>
  <c r="H33" i="21"/>
  <c r="H30" i="22"/>
  <c r="H36" i="22"/>
  <c r="C37" i="22"/>
  <c r="C38" i="22" s="1"/>
  <c r="H8" i="24"/>
  <c r="H8" i="27" s="1"/>
  <c r="I8" i="27" s="1"/>
  <c r="G30" i="24"/>
  <c r="G37" i="24" s="1"/>
  <c r="G44" i="31"/>
  <c r="H44" i="31" s="1"/>
  <c r="H43" i="31"/>
  <c r="F28" i="20"/>
  <c r="F29" i="20" s="1"/>
  <c r="D37" i="27"/>
  <c r="E37" i="27"/>
  <c r="F7" i="35"/>
  <c r="F9" i="35"/>
  <c r="H18" i="35"/>
  <c r="H22" i="35"/>
  <c r="F37" i="35"/>
  <c r="H37" i="35"/>
  <c r="B47" i="35"/>
  <c r="F19" i="22"/>
  <c r="F30" i="24"/>
  <c r="C37" i="24"/>
  <c r="G26" i="34"/>
  <c r="G27" i="34" s="1"/>
  <c r="G45" i="34" s="1"/>
  <c r="H22" i="34"/>
  <c r="H26" i="34" s="1"/>
  <c r="H27" i="34" s="1"/>
  <c r="C13" i="56"/>
  <c r="C18" i="56" s="1"/>
  <c r="H21" i="56"/>
  <c r="F41" i="28"/>
  <c r="F43" i="28" s="1"/>
  <c r="H37" i="32"/>
  <c r="G73" i="33"/>
  <c r="H55" i="34"/>
  <c r="G33" i="19" s="1"/>
  <c r="G41" i="27" s="1"/>
  <c r="N1" i="36"/>
  <c r="E43" i="28"/>
  <c r="E44" i="28" s="1"/>
  <c r="E45" i="28" s="1"/>
  <c r="G26" i="29"/>
  <c r="G27" i="29" s="1"/>
  <c r="E37" i="29"/>
  <c r="E44" i="29" s="1"/>
  <c r="G27" i="30"/>
  <c r="H36" i="34"/>
  <c r="H37" i="34" s="1"/>
  <c r="C28" i="33"/>
  <c r="C29" i="33" s="1"/>
  <c r="D26" i="56"/>
  <c r="D13" i="56" s="1"/>
  <c r="F18" i="29"/>
  <c r="H40" i="29"/>
  <c r="H43" i="29" s="1"/>
  <c r="F36" i="34"/>
  <c r="F37" i="34" s="1"/>
  <c r="H22" i="56"/>
  <c r="G26" i="56"/>
  <c r="AF73" i="91"/>
  <c r="AF74" i="91" s="1"/>
  <c r="R60" i="92"/>
  <c r="R73" i="81"/>
  <c r="R74" i="81" s="1"/>
  <c r="Y72" i="73"/>
  <c r="Y73" i="73" s="1"/>
  <c r="AJ23" i="91"/>
  <c r="AC24" i="73"/>
  <c r="E27" i="81"/>
  <c r="E27" i="68"/>
  <c r="F26" i="73"/>
  <c r="H45" i="35"/>
  <c r="G47" i="35"/>
  <c r="C37" i="27"/>
  <c r="Z78" i="81"/>
  <c r="B37" i="27"/>
  <c r="B50" i="27" s="1"/>
  <c r="D15" i="35"/>
  <c r="AJ24" i="91"/>
  <c r="AN24" i="91" s="1"/>
  <c r="AC25" i="73"/>
  <c r="AG25" i="73" s="1"/>
  <c r="M26" i="72"/>
  <c r="L29" i="75" s="1"/>
  <c r="N29" i="75" s="1"/>
  <c r="H15" i="69"/>
  <c r="E28" i="72"/>
  <c r="E32" i="72" s="1"/>
  <c r="J28" i="75"/>
  <c r="J31" i="75" s="1"/>
  <c r="F36" i="35"/>
  <c r="C40" i="35"/>
  <c r="D13" i="27"/>
  <c r="N42" i="75"/>
  <c r="D58" i="75"/>
  <c r="J15" i="68"/>
  <c r="Q15" i="72" s="1"/>
  <c r="S15" i="72" s="1"/>
  <c r="L30" i="75"/>
  <c r="L15" i="81"/>
  <c r="V26" i="81"/>
  <c r="V29" i="81" s="1"/>
  <c r="H9" i="35"/>
  <c r="I26" i="56"/>
  <c r="I25" i="90"/>
  <c r="I26" i="93"/>
  <c r="N24" i="73"/>
  <c r="I23" i="81"/>
  <c r="Z23" i="81" s="1"/>
  <c r="L28" i="75"/>
  <c r="O14" i="73"/>
  <c r="O28" i="73" s="1"/>
  <c r="F32" i="27"/>
  <c r="H13" i="35"/>
  <c r="G29" i="92"/>
  <c r="G27" i="90"/>
  <c r="G29" i="90" s="1"/>
  <c r="G28" i="93"/>
  <c r="G29" i="93" s="1"/>
  <c r="X74" i="81"/>
  <c r="N39" i="75"/>
  <c r="AG77" i="73"/>
  <c r="I25" i="81"/>
  <c r="Z25" i="81" s="1"/>
  <c r="N21" i="75"/>
  <c r="N43" i="75"/>
  <c r="V60" i="92"/>
  <c r="AJ71" i="91"/>
  <c r="AJ74" i="91" s="1"/>
  <c r="F54" i="69"/>
  <c r="E27" i="90"/>
  <c r="E28" i="93"/>
  <c r="L60" i="92"/>
  <c r="Z71" i="91"/>
  <c r="G36" i="18"/>
  <c r="D29" i="35"/>
  <c r="H23" i="56"/>
  <c r="AF25" i="91"/>
  <c r="AL73" i="91"/>
  <c r="AL74" i="91" s="1"/>
  <c r="X60" i="92"/>
  <c r="D15" i="69"/>
  <c r="H16" i="69"/>
  <c r="F33" i="19"/>
  <c r="E36" i="19"/>
  <c r="N38" i="75"/>
  <c r="I10" i="27"/>
  <c r="C49" i="27"/>
  <c r="D64" i="93"/>
  <c r="D78" i="90"/>
  <c r="AF23" i="91"/>
  <c r="AF29" i="91"/>
  <c r="R31" i="92"/>
  <c r="R31" i="93"/>
  <c r="AH25" i="91"/>
  <c r="E13" i="27"/>
  <c r="F7" i="27"/>
  <c r="I46" i="27"/>
  <c r="H8" i="35"/>
  <c r="E15" i="35"/>
  <c r="F26" i="35"/>
  <c r="H27" i="35"/>
  <c r="E26" i="56"/>
  <c r="G27" i="32"/>
  <c r="AJ25" i="91"/>
  <c r="AL23" i="91"/>
  <c r="F16" i="69"/>
  <c r="I71" i="90"/>
  <c r="I74" i="90" s="1"/>
  <c r="I56" i="93"/>
  <c r="I60" i="93" s="1"/>
  <c r="C22" i="27"/>
  <c r="I33" i="27"/>
  <c r="C15" i="35"/>
  <c r="F33" i="35"/>
  <c r="H25" i="56"/>
  <c r="AL25" i="91"/>
  <c r="T60" i="92"/>
  <c r="AH73" i="91"/>
  <c r="N33" i="93"/>
  <c r="N29" i="92"/>
  <c r="N33" i="92" s="1"/>
  <c r="AB23" i="91"/>
  <c r="AB27" i="91" s="1"/>
  <c r="AB33" i="91" s="1"/>
  <c r="I28" i="93"/>
  <c r="I27" i="90"/>
  <c r="H59" i="93"/>
  <c r="H60" i="93" s="1"/>
  <c r="H73" i="90"/>
  <c r="H74" i="90" s="1"/>
  <c r="F27" i="90"/>
  <c r="F28" i="93"/>
  <c r="Z15" i="91"/>
  <c r="H7" i="35"/>
  <c r="H38" i="35"/>
  <c r="H25" i="32"/>
  <c r="AH23" i="91"/>
  <c r="M29" i="92"/>
  <c r="AA25" i="91"/>
  <c r="H29" i="92"/>
  <c r="H25" i="93"/>
  <c r="H29" i="93" s="1"/>
  <c r="H24" i="90"/>
  <c r="H29" i="90" s="1"/>
  <c r="F19" i="90"/>
  <c r="I23" i="90"/>
  <c r="I24" i="93"/>
  <c r="G28" i="72"/>
  <c r="Q25" i="72"/>
  <c r="S25" i="72" s="1"/>
  <c r="D68" i="81"/>
  <c r="E45" i="80"/>
  <c r="Z40" i="81"/>
  <c r="S39" i="72"/>
  <c r="D68" i="68"/>
  <c r="F31" i="80"/>
  <c r="D73" i="73"/>
  <c r="D29" i="81"/>
  <c r="F13" i="80"/>
  <c r="S71" i="72"/>
  <c r="L20" i="68"/>
  <c r="L22" i="68"/>
  <c r="L26" i="68"/>
  <c r="D29" i="68"/>
  <c r="Q21" i="72"/>
  <c r="S21" i="72" s="1"/>
  <c r="D28" i="73"/>
  <c r="D32" i="73" s="1"/>
  <c r="D85" i="73"/>
  <c r="F49" i="80"/>
  <c r="D74" i="68"/>
  <c r="L25" i="68"/>
  <c r="F10" i="130" l="1"/>
  <c r="M10" i="130" s="1"/>
  <c r="F36" i="130"/>
  <c r="M36" i="130" s="1"/>
  <c r="F13" i="130"/>
  <c r="M13" i="130" s="1"/>
  <c r="C52" i="130"/>
  <c r="F34" i="130"/>
  <c r="M34" i="130" s="1"/>
  <c r="F12" i="130"/>
  <c r="M12" i="130" s="1"/>
  <c r="T47" i="107"/>
  <c r="G49" i="107"/>
  <c r="G53" i="107" s="1"/>
  <c r="M49" i="107"/>
  <c r="M53" i="107" s="1"/>
  <c r="M77" i="107" s="1"/>
  <c r="M79" i="107" s="1"/>
  <c r="Z66" i="114"/>
  <c r="AB63" i="114"/>
  <c r="K50" i="107"/>
  <c r="K53" i="107" s="1"/>
  <c r="K77" i="107" s="1"/>
  <c r="K79" i="107" s="1"/>
  <c r="AL63" i="114"/>
  <c r="AL68" i="114" s="1"/>
  <c r="N95" i="105"/>
  <c r="N98" i="105"/>
  <c r="Q50" i="107"/>
  <c r="Q53" i="107" s="1"/>
  <c r="U55" i="105"/>
  <c r="U58" i="105" s="1"/>
  <c r="O62" i="107"/>
  <c r="O80" i="107"/>
  <c r="F56" i="105"/>
  <c r="P49" i="107"/>
  <c r="P53" i="107" s="1"/>
  <c r="T54" i="105"/>
  <c r="T58" i="105" s="1"/>
  <c r="T93" i="105" s="1"/>
  <c r="G49" i="106"/>
  <c r="G53" i="106" s="1"/>
  <c r="F51" i="107"/>
  <c r="I49" i="106"/>
  <c r="I53" i="106" s="1"/>
  <c r="I72" i="106" s="1"/>
  <c r="I85" i="106" s="1"/>
  <c r="G54" i="105"/>
  <c r="G58" i="105" s="1"/>
  <c r="S58" i="105"/>
  <c r="S93" i="105" s="1"/>
  <c r="X52" i="105"/>
  <c r="Q47" i="106" s="1"/>
  <c r="R47" i="106" s="1"/>
  <c r="Q54" i="105"/>
  <c r="E49" i="106"/>
  <c r="E53" i="106" s="1"/>
  <c r="E72" i="106" s="1"/>
  <c r="E85" i="106" s="1"/>
  <c r="L55" i="105"/>
  <c r="AF46" i="93"/>
  <c r="G49" i="92"/>
  <c r="G53" i="92" s="1"/>
  <c r="G60" i="92" s="1"/>
  <c r="E49" i="92"/>
  <c r="C38" i="18"/>
  <c r="AB47" i="93"/>
  <c r="Z47" i="93"/>
  <c r="X50" i="93"/>
  <c r="X53" i="93" s="1"/>
  <c r="X60" i="93" s="1"/>
  <c r="X50" i="92"/>
  <c r="X53" i="92" s="1"/>
  <c r="L51" i="93"/>
  <c r="L53" i="93" s="1"/>
  <c r="N50" i="92"/>
  <c r="N50" i="93"/>
  <c r="C29" i="35"/>
  <c r="F29" i="35" s="1"/>
  <c r="L51" i="92"/>
  <c r="L53" i="92" s="1"/>
  <c r="G38" i="26"/>
  <c r="F44" i="30"/>
  <c r="F46" i="33"/>
  <c r="F21" i="35"/>
  <c r="H37" i="25"/>
  <c r="E47" i="35"/>
  <c r="F27" i="30"/>
  <c r="H44" i="28"/>
  <c r="B38" i="26"/>
  <c r="J30" i="18"/>
  <c r="E21" i="27"/>
  <c r="F21" i="27" s="1"/>
  <c r="L25" i="27" s="1"/>
  <c r="F44" i="28"/>
  <c r="D45" i="28"/>
  <c r="B61" i="27"/>
  <c r="F37" i="24"/>
  <c r="H48" i="27"/>
  <c r="I48" i="27" s="1"/>
  <c r="G38" i="25"/>
  <c r="H17" i="27"/>
  <c r="I17" i="27" s="1"/>
  <c r="C38" i="26"/>
  <c r="F27" i="32"/>
  <c r="E73" i="68"/>
  <c r="Q72" i="72" s="1"/>
  <c r="S72" i="72" s="1"/>
  <c r="I49" i="92"/>
  <c r="I53" i="92" s="1"/>
  <c r="I60" i="92" s="1"/>
  <c r="F36" i="23"/>
  <c r="B56" i="27"/>
  <c r="G45" i="29"/>
  <c r="H44" i="34"/>
  <c r="F20" i="19"/>
  <c r="H37" i="24"/>
  <c r="F26" i="29"/>
  <c r="F27" i="29" s="1"/>
  <c r="B30" i="35"/>
  <c r="B56" i="35" s="1"/>
  <c r="F37" i="23"/>
  <c r="F20" i="18"/>
  <c r="C45" i="32"/>
  <c r="H27" i="28"/>
  <c r="H20" i="19"/>
  <c r="B38" i="21"/>
  <c r="D38" i="21"/>
  <c r="F27" i="34"/>
  <c r="E45" i="31"/>
  <c r="D71" i="81"/>
  <c r="D74" i="81" s="1"/>
  <c r="E49" i="27"/>
  <c r="E50" i="27" s="1"/>
  <c r="L26" i="27"/>
  <c r="F39" i="35"/>
  <c r="G37" i="27"/>
  <c r="F23" i="73"/>
  <c r="E31" i="93"/>
  <c r="F26" i="75"/>
  <c r="N26" i="75" s="1"/>
  <c r="F30" i="73"/>
  <c r="L23" i="68"/>
  <c r="I29" i="68"/>
  <c r="E31" i="92"/>
  <c r="E31" i="81"/>
  <c r="E31" i="68"/>
  <c r="F32" i="75" s="1"/>
  <c r="E31" i="90"/>
  <c r="E24" i="81"/>
  <c r="Z24" i="81" s="1"/>
  <c r="E25" i="93"/>
  <c r="E29" i="93" s="1"/>
  <c r="F29" i="81"/>
  <c r="E24" i="90"/>
  <c r="E29" i="90" s="1"/>
  <c r="E24" i="68"/>
  <c r="L27" i="68"/>
  <c r="F67" i="90"/>
  <c r="F68" i="90" s="1"/>
  <c r="H28" i="73"/>
  <c r="I32" i="27"/>
  <c r="F52" i="93"/>
  <c r="F53" i="93" s="1"/>
  <c r="E40" i="35"/>
  <c r="Z58" i="81"/>
  <c r="B48" i="35"/>
  <c r="B57" i="35" s="1"/>
  <c r="I31" i="27"/>
  <c r="C33" i="56"/>
  <c r="G49" i="93"/>
  <c r="G53" i="93" s="1"/>
  <c r="J33" i="18"/>
  <c r="F47" i="35"/>
  <c r="G27" i="31"/>
  <c r="H27" i="31" s="1"/>
  <c r="G62" i="90"/>
  <c r="G68" i="90" s="1"/>
  <c r="F52" i="92"/>
  <c r="Z27" i="81"/>
  <c r="Z19" i="81"/>
  <c r="F15" i="35"/>
  <c r="G23" i="27"/>
  <c r="H13" i="56"/>
  <c r="Z66" i="91"/>
  <c r="Z68" i="91" s="1"/>
  <c r="Z98" i="91" s="1"/>
  <c r="F50" i="69"/>
  <c r="I34" i="27"/>
  <c r="H37" i="27"/>
  <c r="Q27" i="72"/>
  <c r="S27" i="72" s="1"/>
  <c r="C29" i="56"/>
  <c r="C48" i="35"/>
  <c r="C57" i="35" s="1"/>
  <c r="F28" i="35"/>
  <c r="L66" i="81"/>
  <c r="L68" i="81" s="1"/>
  <c r="B57" i="27"/>
  <c r="F37" i="27"/>
  <c r="F36" i="18"/>
  <c r="F37" i="18" s="1"/>
  <c r="H37" i="26"/>
  <c r="H14" i="24"/>
  <c r="H20" i="24" s="1"/>
  <c r="D50" i="69"/>
  <c r="E38" i="24"/>
  <c r="D48" i="35"/>
  <c r="D57" i="35" s="1"/>
  <c r="F45" i="80"/>
  <c r="D38" i="26"/>
  <c r="D81" i="73"/>
  <c r="D84" i="73" s="1"/>
  <c r="G37" i="20"/>
  <c r="H37" i="20" s="1"/>
  <c r="E30" i="35"/>
  <c r="E56" i="35" s="1"/>
  <c r="F44" i="34"/>
  <c r="H44" i="30"/>
  <c r="E22" i="27"/>
  <c r="E23" i="27" s="1"/>
  <c r="C38" i="25"/>
  <c r="B38" i="19"/>
  <c r="AF66" i="91"/>
  <c r="N18" i="75"/>
  <c r="C30" i="35"/>
  <c r="C56" i="35" s="1"/>
  <c r="F13" i="27"/>
  <c r="F22" i="27"/>
  <c r="N28" i="75"/>
  <c r="H47" i="35"/>
  <c r="C47" i="33"/>
  <c r="B58" i="27"/>
  <c r="B59" i="27" s="1"/>
  <c r="F44" i="31"/>
  <c r="F45" i="31" s="1"/>
  <c r="C38" i="23"/>
  <c r="H46" i="69"/>
  <c r="H50" i="69" s="1"/>
  <c r="Z26" i="81"/>
  <c r="Q26" i="72"/>
  <c r="S26" i="72" s="1"/>
  <c r="R66" i="81"/>
  <c r="AF27" i="91"/>
  <c r="F40" i="35"/>
  <c r="F48" i="35" s="1"/>
  <c r="D21" i="27"/>
  <c r="D22" i="27" s="1"/>
  <c r="D23" i="27" s="1"/>
  <c r="H27" i="29"/>
  <c r="AG14" i="73"/>
  <c r="E45" i="29"/>
  <c r="D50" i="27"/>
  <c r="C45" i="30"/>
  <c r="H20" i="33"/>
  <c r="G19" i="35"/>
  <c r="H19" i="35" s="1"/>
  <c r="H37" i="23"/>
  <c r="B47" i="33"/>
  <c r="F45" i="32"/>
  <c r="G62" i="81"/>
  <c r="G68" i="81" s="1"/>
  <c r="J61" i="73"/>
  <c r="J67" i="73" s="1"/>
  <c r="G62" i="68"/>
  <c r="G68" i="68" s="1"/>
  <c r="H7" i="27"/>
  <c r="I7" i="27" s="1"/>
  <c r="C58" i="27"/>
  <c r="H22" i="27"/>
  <c r="I22" i="27" s="1"/>
  <c r="F27" i="28"/>
  <c r="Y65" i="73"/>
  <c r="I65" i="72"/>
  <c r="T29" i="92"/>
  <c r="AH27" i="91"/>
  <c r="F49" i="27"/>
  <c r="G38" i="21"/>
  <c r="H19" i="21"/>
  <c r="D56" i="27"/>
  <c r="D38" i="18"/>
  <c r="O65" i="73"/>
  <c r="J66" i="68"/>
  <c r="D38" i="23"/>
  <c r="E38" i="20"/>
  <c r="C38" i="19"/>
  <c r="K53" i="93"/>
  <c r="L31" i="75"/>
  <c r="H26" i="56"/>
  <c r="H33" i="19"/>
  <c r="G36" i="19"/>
  <c r="G37" i="19" s="1"/>
  <c r="G38" i="19" s="1"/>
  <c r="C38" i="24"/>
  <c r="G38" i="24"/>
  <c r="G38" i="22"/>
  <c r="H19" i="22"/>
  <c r="D58" i="27"/>
  <c r="J19" i="18"/>
  <c r="H19" i="18"/>
  <c r="H19" i="20"/>
  <c r="D30" i="35"/>
  <c r="D56" i="35" s="1"/>
  <c r="G38" i="33"/>
  <c r="G18" i="33"/>
  <c r="F20" i="26"/>
  <c r="E38" i="26"/>
  <c r="H37" i="21"/>
  <c r="F37" i="21"/>
  <c r="C38" i="21"/>
  <c r="E38" i="23"/>
  <c r="F20" i="23"/>
  <c r="F20" i="24"/>
  <c r="H29" i="20"/>
  <c r="H30" i="18"/>
  <c r="J14" i="18"/>
  <c r="H14" i="18"/>
  <c r="G20" i="18"/>
  <c r="C56" i="27"/>
  <c r="K53" i="92"/>
  <c r="K60" i="92" s="1"/>
  <c r="Z47" i="92"/>
  <c r="E20" i="18"/>
  <c r="J87" i="81"/>
  <c r="G49" i="27"/>
  <c r="H27" i="30"/>
  <c r="G45" i="30"/>
  <c r="H44" i="29"/>
  <c r="F37" i="22"/>
  <c r="H37" i="22"/>
  <c r="E38" i="25"/>
  <c r="F20" i="25"/>
  <c r="G19" i="23"/>
  <c r="G20" i="23" s="1"/>
  <c r="G38" i="23" s="1"/>
  <c r="G21" i="27"/>
  <c r="H18" i="23"/>
  <c r="F19" i="20"/>
  <c r="F67" i="81"/>
  <c r="H66" i="73"/>
  <c r="F67" i="68"/>
  <c r="K68" i="90"/>
  <c r="AA27" i="91"/>
  <c r="AN25" i="91"/>
  <c r="H53" i="92"/>
  <c r="H62" i="90"/>
  <c r="H68" i="90" s="1"/>
  <c r="H83" i="90" s="1"/>
  <c r="H49" i="93"/>
  <c r="H53" i="93" s="1"/>
  <c r="H69" i="93" s="1"/>
  <c r="H82" i="93" s="1"/>
  <c r="H62" i="81"/>
  <c r="H68" i="81" s="1"/>
  <c r="H83" i="81" s="1"/>
  <c r="H96" i="81" s="1"/>
  <c r="L61" i="73"/>
  <c r="L67" i="73" s="1"/>
  <c r="L81" i="73" s="1"/>
  <c r="H62" i="68"/>
  <c r="H68" i="68" s="1"/>
  <c r="H83" i="68" s="1"/>
  <c r="G37" i="18"/>
  <c r="H36" i="18"/>
  <c r="F29" i="93"/>
  <c r="E71" i="90"/>
  <c r="E56" i="93"/>
  <c r="E71" i="68"/>
  <c r="O30" i="73"/>
  <c r="E71" i="81"/>
  <c r="F70" i="73"/>
  <c r="F72" i="73"/>
  <c r="AG72" i="73" s="1"/>
  <c r="Z74" i="91"/>
  <c r="D12" i="56"/>
  <c r="AL27" i="91"/>
  <c r="C23" i="27"/>
  <c r="F29" i="92"/>
  <c r="Z20" i="92"/>
  <c r="H27" i="32"/>
  <c r="G45" i="32"/>
  <c r="I29" i="90"/>
  <c r="AH74" i="91"/>
  <c r="I62" i="90"/>
  <c r="I68" i="90" s="1"/>
  <c r="I49" i="93"/>
  <c r="I53" i="93" s="1"/>
  <c r="I62" i="81"/>
  <c r="I68" i="81" s="1"/>
  <c r="N61" i="73"/>
  <c r="N67" i="73" s="1"/>
  <c r="I62" i="68"/>
  <c r="I68" i="68" s="1"/>
  <c r="I12" i="56"/>
  <c r="I13" i="56" s="1"/>
  <c r="AG24" i="73"/>
  <c r="V29" i="92"/>
  <c r="M28" i="72"/>
  <c r="E13" i="56"/>
  <c r="AL63" i="91"/>
  <c r="AL68" i="91" s="1"/>
  <c r="AL98" i="91" s="1"/>
  <c r="X63" i="81"/>
  <c r="X68" i="81" s="1"/>
  <c r="AE62" i="73"/>
  <c r="AE67" i="73" s="1"/>
  <c r="O62" i="72"/>
  <c r="O67" i="72" s="1"/>
  <c r="Z27" i="91"/>
  <c r="AN15" i="91"/>
  <c r="E49" i="93"/>
  <c r="E62" i="90"/>
  <c r="F61" i="73"/>
  <c r="E62" i="68"/>
  <c r="E62" i="81"/>
  <c r="E37" i="19"/>
  <c r="F36" i="19"/>
  <c r="AN23" i="91"/>
  <c r="L15" i="68"/>
  <c r="J29" i="68"/>
  <c r="AJ27" i="91"/>
  <c r="C50" i="27"/>
  <c r="Z64" i="92"/>
  <c r="F29" i="90"/>
  <c r="I29" i="92"/>
  <c r="L29" i="81"/>
  <c r="Z15" i="81"/>
  <c r="I29" i="93"/>
  <c r="L29" i="92"/>
  <c r="AB63" i="91"/>
  <c r="U62" i="73"/>
  <c r="E62" i="72"/>
  <c r="N63" i="81"/>
  <c r="AA56" i="91"/>
  <c r="M56" i="81"/>
  <c r="D55" i="72"/>
  <c r="T55" i="73"/>
  <c r="B51" i="27"/>
  <c r="F30" i="75"/>
  <c r="AG26" i="73"/>
  <c r="H15" i="35"/>
  <c r="X29" i="92"/>
  <c r="R29" i="92"/>
  <c r="I29" i="81"/>
  <c r="F11" i="130" l="1"/>
  <c r="M11" i="130" s="1"/>
  <c r="F31" i="130"/>
  <c r="F35" i="130"/>
  <c r="M35" i="130" s="1"/>
  <c r="F32" i="130"/>
  <c r="M32" i="130" s="1"/>
  <c r="F33" i="130"/>
  <c r="M33" i="130" s="1"/>
  <c r="Y27" i="73"/>
  <c r="Y28" i="73" s="1"/>
  <c r="E53" i="105"/>
  <c r="E58" i="105" s="1"/>
  <c r="E93" i="105" s="1"/>
  <c r="E98" i="105" s="1"/>
  <c r="H17" i="69"/>
  <c r="H18" i="69" s="1"/>
  <c r="G93" i="105"/>
  <c r="G95" i="105" s="1"/>
  <c r="U93" i="105"/>
  <c r="U98" i="105" s="1"/>
  <c r="M62" i="107"/>
  <c r="M80" i="107"/>
  <c r="Z68" i="114"/>
  <c r="AN66" i="114"/>
  <c r="K80" i="107"/>
  <c r="K62" i="107"/>
  <c r="AH61" i="114"/>
  <c r="AH68" i="114" s="1"/>
  <c r="M49" i="105"/>
  <c r="AF61" i="114"/>
  <c r="AJ63" i="114"/>
  <c r="AJ68" i="114" s="1"/>
  <c r="AB68" i="114"/>
  <c r="AL98" i="114"/>
  <c r="S95" i="105"/>
  <c r="S98" i="105"/>
  <c r="T95" i="105"/>
  <c r="T98" i="105"/>
  <c r="Q71" i="107"/>
  <c r="Q62" i="107"/>
  <c r="J50" i="107"/>
  <c r="J55" i="105"/>
  <c r="J58" i="105" s="1"/>
  <c r="P50" i="105"/>
  <c r="E48" i="107"/>
  <c r="E53" i="107" s="1"/>
  <c r="L60" i="93"/>
  <c r="P62" i="107"/>
  <c r="F53" i="107"/>
  <c r="F62" i="107" s="1"/>
  <c r="T51" i="107"/>
  <c r="F58" i="105"/>
  <c r="X56" i="105"/>
  <c r="Q51" i="106" s="1"/>
  <c r="R51" i="106" s="1"/>
  <c r="T49" i="107"/>
  <c r="G62" i="107"/>
  <c r="G80" i="107"/>
  <c r="L48" i="107"/>
  <c r="O53" i="105"/>
  <c r="O58" i="105" s="1"/>
  <c r="K53" i="105"/>
  <c r="Q58" i="105"/>
  <c r="Q93" i="105" s="1"/>
  <c r="X54" i="105"/>
  <c r="Q49" i="106" s="1"/>
  <c r="R49" i="106" s="1"/>
  <c r="L58" i="105"/>
  <c r="H60" i="92"/>
  <c r="AF47" i="93"/>
  <c r="AF51" i="93" s="1"/>
  <c r="J27" i="73"/>
  <c r="J28" i="73" s="1"/>
  <c r="R48" i="92"/>
  <c r="R53" i="92" s="1"/>
  <c r="Z51" i="93"/>
  <c r="AB52" i="93"/>
  <c r="Z52" i="93"/>
  <c r="G45" i="31"/>
  <c r="D59" i="27"/>
  <c r="Z49" i="93"/>
  <c r="AB49" i="93"/>
  <c r="V50" i="93"/>
  <c r="V53" i="93" s="1"/>
  <c r="V60" i="93" s="1"/>
  <c r="V50" i="92"/>
  <c r="V53" i="92" s="1"/>
  <c r="AC47" i="93"/>
  <c r="T48" i="92"/>
  <c r="T53" i="92" s="1"/>
  <c r="T48" i="93"/>
  <c r="T53" i="93" s="1"/>
  <c r="E48" i="35"/>
  <c r="E57" i="35" s="1"/>
  <c r="I37" i="27"/>
  <c r="G50" i="27"/>
  <c r="F57" i="35"/>
  <c r="I30" i="96"/>
  <c r="AE27" i="73"/>
  <c r="AE28" i="73" s="1"/>
  <c r="R48" i="93"/>
  <c r="J36" i="18"/>
  <c r="F50" i="27"/>
  <c r="F71" i="27" s="1"/>
  <c r="B49" i="35"/>
  <c r="E51" i="27"/>
  <c r="AG23" i="73"/>
  <c r="AG30" i="73"/>
  <c r="E29" i="92"/>
  <c r="E29" i="81"/>
  <c r="AN67" i="91"/>
  <c r="L24" i="68"/>
  <c r="F27" i="75"/>
  <c r="N27" i="75" s="1"/>
  <c r="Q24" i="72"/>
  <c r="S24" i="72" s="1"/>
  <c r="Z51" i="92"/>
  <c r="D16" i="56"/>
  <c r="D17" i="56" s="1"/>
  <c r="D29" i="56" s="1"/>
  <c r="D31" i="56" s="1"/>
  <c r="D32" i="56" s="1"/>
  <c r="C31" i="56"/>
  <c r="C32" i="56" s="1"/>
  <c r="AN66" i="91"/>
  <c r="F53" i="92"/>
  <c r="F60" i="92" s="1"/>
  <c r="F30" i="35"/>
  <c r="F56" i="35" s="1"/>
  <c r="Z52" i="92"/>
  <c r="D49" i="35"/>
  <c r="AC62" i="73"/>
  <c r="AC67" i="73" s="1"/>
  <c r="Z66" i="81"/>
  <c r="C49" i="35"/>
  <c r="C59" i="27"/>
  <c r="M62" i="72"/>
  <c r="M67" i="72" s="1"/>
  <c r="AJ63" i="91"/>
  <c r="AJ68" i="91" s="1"/>
  <c r="AJ98" i="91" s="1"/>
  <c r="V63" i="81"/>
  <c r="V68" i="81" s="1"/>
  <c r="F23" i="27"/>
  <c r="J31" i="68"/>
  <c r="Q30" i="72" s="1"/>
  <c r="S30" i="72" s="1"/>
  <c r="W60" i="73"/>
  <c r="W67" i="73" s="1"/>
  <c r="G38" i="20"/>
  <c r="F56" i="27"/>
  <c r="Y60" i="73"/>
  <c r="Y67" i="73" s="1"/>
  <c r="Z29" i="81"/>
  <c r="AF61" i="91"/>
  <c r="AF68" i="91" s="1"/>
  <c r="AF98" i="91" s="1"/>
  <c r="I60" i="72"/>
  <c r="R61" i="81"/>
  <c r="AA60" i="73"/>
  <c r="AA67" i="73" s="1"/>
  <c r="T61" i="81"/>
  <c r="T68" i="81" s="1"/>
  <c r="K60" i="72"/>
  <c r="K67" i="72" s="1"/>
  <c r="AH61" i="91"/>
  <c r="AH68" i="91" s="1"/>
  <c r="AH98" i="91" s="1"/>
  <c r="H13" i="27"/>
  <c r="AN27" i="91"/>
  <c r="AG66" i="73"/>
  <c r="H67" i="73"/>
  <c r="H38" i="33"/>
  <c r="H39" i="33" s="1"/>
  <c r="H46" i="33" s="1"/>
  <c r="G39" i="33"/>
  <c r="G46" i="33" s="1"/>
  <c r="G39" i="35"/>
  <c r="O67" i="73"/>
  <c r="AG65" i="73"/>
  <c r="F68" i="81"/>
  <c r="Z67" i="81"/>
  <c r="E56" i="27"/>
  <c r="E57" i="27" s="1"/>
  <c r="E38" i="18"/>
  <c r="G56" i="27"/>
  <c r="G57" i="27" s="1"/>
  <c r="J20" i="18"/>
  <c r="H20" i="18"/>
  <c r="F68" i="68"/>
  <c r="Q66" i="72"/>
  <c r="S66" i="72" s="1"/>
  <c r="H21" i="27"/>
  <c r="I21" i="27" s="1"/>
  <c r="J21" i="27" s="1"/>
  <c r="H19" i="23"/>
  <c r="H20" i="23" s="1"/>
  <c r="G28" i="33"/>
  <c r="G29" i="33" s="1"/>
  <c r="H18" i="33"/>
  <c r="H28" i="33" s="1"/>
  <c r="H29" i="33" s="1"/>
  <c r="G17" i="35"/>
  <c r="G65" i="35"/>
  <c r="G67" i="35" s="1"/>
  <c r="H36" i="19"/>
  <c r="H37" i="19" s="1"/>
  <c r="H41" i="27"/>
  <c r="J68" i="68"/>
  <c r="Q65" i="72"/>
  <c r="S65" i="72" s="1"/>
  <c r="AG55" i="73"/>
  <c r="T67" i="73"/>
  <c r="AA68" i="91"/>
  <c r="AA98" i="91" s="1"/>
  <c r="AN56" i="91"/>
  <c r="Z71" i="81"/>
  <c r="E73" i="81"/>
  <c r="Z73" i="81" s="1"/>
  <c r="E73" i="90"/>
  <c r="E74" i="90" s="1"/>
  <c r="AB68" i="91"/>
  <c r="E38" i="19"/>
  <c r="F37" i="19"/>
  <c r="F58" i="27" s="1"/>
  <c r="E58" i="27"/>
  <c r="E59" i="27" s="1"/>
  <c r="E53" i="93"/>
  <c r="E12" i="56"/>
  <c r="F73" i="73"/>
  <c r="AG70" i="73"/>
  <c r="AG73" i="73" s="1"/>
  <c r="H37" i="18"/>
  <c r="J37" i="18"/>
  <c r="G38" i="18"/>
  <c r="G58" i="27"/>
  <c r="G59" i="27" s="1"/>
  <c r="N30" i="75"/>
  <c r="E68" i="81"/>
  <c r="Z62" i="81"/>
  <c r="C57" i="27"/>
  <c r="C51" i="27"/>
  <c r="M68" i="81"/>
  <c r="Z56" i="81"/>
  <c r="D67" i="72"/>
  <c r="Q55" i="72"/>
  <c r="U67" i="73"/>
  <c r="U81" i="73" s="1"/>
  <c r="U84" i="73" s="1"/>
  <c r="E53" i="92"/>
  <c r="E60" i="92" s="1"/>
  <c r="Z49" i="92"/>
  <c r="G51" i="27"/>
  <c r="N53" i="92"/>
  <c r="N69" i="92" s="1"/>
  <c r="E67" i="72"/>
  <c r="E82" i="72" s="1"/>
  <c r="E86" i="72" s="1"/>
  <c r="Z46" i="92"/>
  <c r="M53" i="92"/>
  <c r="E68" i="68"/>
  <c r="Q61" i="72"/>
  <c r="S61" i="72" s="1"/>
  <c r="N53" i="93"/>
  <c r="N60" i="93" s="1"/>
  <c r="N69" i="93" s="1"/>
  <c r="M53" i="93"/>
  <c r="M60" i="93" s="1"/>
  <c r="E68" i="90"/>
  <c r="E59" i="93"/>
  <c r="N68" i="81"/>
  <c r="N83" i="81" s="1"/>
  <c r="AG61" i="73"/>
  <c r="F67" i="73"/>
  <c r="D57" i="27"/>
  <c r="D61" i="27"/>
  <c r="D51" i="27"/>
  <c r="Q70" i="72"/>
  <c r="E74" i="68"/>
  <c r="Q84" i="107" l="1"/>
  <c r="Q75" i="107"/>
  <c r="F44" i="130"/>
  <c r="I31" i="96"/>
  <c r="G98" i="105"/>
  <c r="F93" i="105"/>
  <c r="F98" i="105" s="1"/>
  <c r="U95" i="105"/>
  <c r="E95" i="105"/>
  <c r="O93" i="105"/>
  <c r="O95" i="105" s="1"/>
  <c r="J93" i="105"/>
  <c r="J95" i="105" s="1"/>
  <c r="L93" i="105"/>
  <c r="L95" i="105" s="1"/>
  <c r="G9" i="107"/>
  <c r="Z98" i="114"/>
  <c r="AN63" i="114"/>
  <c r="AF68" i="114"/>
  <c r="AN61" i="114"/>
  <c r="AB85" i="114"/>
  <c r="AB94" i="114" s="1"/>
  <c r="AB98" i="114"/>
  <c r="AJ98" i="114"/>
  <c r="AH98" i="114"/>
  <c r="Q95" i="105"/>
  <c r="Q98" i="105"/>
  <c r="X55" i="105"/>
  <c r="Q50" i="106" s="1"/>
  <c r="E62" i="107"/>
  <c r="E80" i="107"/>
  <c r="J53" i="107"/>
  <c r="J62" i="107" s="1"/>
  <c r="T50" i="107"/>
  <c r="P58" i="105"/>
  <c r="P93" i="105" s="1"/>
  <c r="X50" i="105"/>
  <c r="Q45" i="106" s="1"/>
  <c r="R45" i="106" s="1"/>
  <c r="L53" i="107"/>
  <c r="L62" i="107" s="1"/>
  <c r="T48" i="107"/>
  <c r="X51" i="105"/>
  <c r="Q46" i="106" s="1"/>
  <c r="R46" i="106" s="1"/>
  <c r="K58" i="105"/>
  <c r="X53" i="105"/>
  <c r="Q48" i="106" s="1"/>
  <c r="R48" i="106" s="1"/>
  <c r="G9" i="105"/>
  <c r="AB85" i="91"/>
  <c r="AB94" i="91" s="1"/>
  <c r="AB98" i="91"/>
  <c r="I9" i="92"/>
  <c r="AC52" i="93"/>
  <c r="Z50" i="93"/>
  <c r="AC50" i="93" s="1"/>
  <c r="AC49" i="93"/>
  <c r="AC51" i="93"/>
  <c r="F61" i="27"/>
  <c r="Z48" i="93"/>
  <c r="AB53" i="93"/>
  <c r="F59" i="27"/>
  <c r="E49" i="35"/>
  <c r="W27" i="73"/>
  <c r="W28" i="73" s="1"/>
  <c r="AA27" i="73"/>
  <c r="AA28" i="73" s="1"/>
  <c r="F17" i="69"/>
  <c r="F18" i="69" s="1"/>
  <c r="AC27" i="73"/>
  <c r="W94" i="91"/>
  <c r="D18" i="56"/>
  <c r="D33" i="56" s="1"/>
  <c r="N31" i="75"/>
  <c r="F31" i="75"/>
  <c r="H58" i="27"/>
  <c r="F57" i="27"/>
  <c r="H32" i="75"/>
  <c r="N32" i="75" s="1"/>
  <c r="L31" i="68"/>
  <c r="AG62" i="73"/>
  <c r="F81" i="73"/>
  <c r="Q62" i="72"/>
  <c r="S62" i="72" s="1"/>
  <c r="AN63" i="91"/>
  <c r="Z63" i="81"/>
  <c r="Z50" i="92"/>
  <c r="E83" i="90"/>
  <c r="AG60" i="73"/>
  <c r="AN61" i="91"/>
  <c r="Z61" i="81"/>
  <c r="Q60" i="72"/>
  <c r="S60" i="72" s="1"/>
  <c r="R68" i="81"/>
  <c r="R53" i="93"/>
  <c r="R60" i="93" s="1"/>
  <c r="Z48" i="92"/>
  <c r="I67" i="72"/>
  <c r="H23" i="27"/>
  <c r="I23" i="27" s="1"/>
  <c r="I13" i="27"/>
  <c r="H56" i="27"/>
  <c r="E74" i="81"/>
  <c r="E83" i="81" s="1"/>
  <c r="H49" i="27"/>
  <c r="I41" i="27"/>
  <c r="G47" i="33"/>
  <c r="G29" i="35"/>
  <c r="G30" i="35" s="1"/>
  <c r="H17" i="35"/>
  <c r="H29" i="35" s="1"/>
  <c r="H30" i="35" s="1"/>
  <c r="H56" i="35" s="1"/>
  <c r="G40" i="35"/>
  <c r="G48" i="35" s="1"/>
  <c r="G57" i="35" s="1"/>
  <c r="H39" i="35"/>
  <c r="H40" i="35" s="1"/>
  <c r="H48" i="35" s="1"/>
  <c r="H57" i="35" s="1"/>
  <c r="S55" i="72"/>
  <c r="Z74" i="81"/>
  <c r="N96" i="81"/>
  <c r="N87" i="81"/>
  <c r="G12" i="56"/>
  <c r="E16" i="56"/>
  <c r="N82" i="93"/>
  <c r="N73" i="93"/>
  <c r="E60" i="93"/>
  <c r="E69" i="93" s="1"/>
  <c r="N82" i="92"/>
  <c r="N73" i="92"/>
  <c r="S70" i="72"/>
  <c r="Q73" i="72"/>
  <c r="S73" i="72" s="1"/>
  <c r="E83" i="68"/>
  <c r="I15" i="130" l="1"/>
  <c r="I16" i="130" s="1"/>
  <c r="O44" i="130"/>
  <c r="I32" i="96"/>
  <c r="I33" i="96" s="1"/>
  <c r="F95" i="105"/>
  <c r="D9" i="72"/>
  <c r="J12" i="75" s="1"/>
  <c r="J14" i="75" s="1"/>
  <c r="J34" i="75" s="1"/>
  <c r="H13" i="105"/>
  <c r="H14" i="105" s="1"/>
  <c r="L12" i="109" s="1"/>
  <c r="L14" i="109" s="1"/>
  <c r="L32" i="109" s="1"/>
  <c r="AA9" i="114"/>
  <c r="K9" i="105"/>
  <c r="K14" i="105" s="1"/>
  <c r="AA9" i="91"/>
  <c r="AA11" i="91" s="1"/>
  <c r="AA33" i="91" s="1"/>
  <c r="M9" i="81"/>
  <c r="M11" i="81" s="1"/>
  <c r="M33" i="81" s="1"/>
  <c r="AA82" i="114"/>
  <c r="AA83" i="114" s="1"/>
  <c r="AA85" i="114" s="1"/>
  <c r="AA94" i="114" s="1"/>
  <c r="M9" i="93"/>
  <c r="M14" i="93" s="1"/>
  <c r="M33" i="93" s="1"/>
  <c r="T9" i="73"/>
  <c r="T10" i="73" s="1"/>
  <c r="T32" i="73" s="1"/>
  <c r="M9" i="92"/>
  <c r="M14" i="92" s="1"/>
  <c r="M33" i="92" s="1"/>
  <c r="H9" i="107"/>
  <c r="H14" i="107" s="1"/>
  <c r="H33" i="107" s="1"/>
  <c r="J98" i="105"/>
  <c r="L98" i="105"/>
  <c r="O98" i="105"/>
  <c r="AN68" i="114"/>
  <c r="AN98" i="114" s="1"/>
  <c r="K93" i="105"/>
  <c r="K95" i="105" s="1"/>
  <c r="Z29" i="114"/>
  <c r="AN29" i="114" s="1"/>
  <c r="AF98" i="114"/>
  <c r="AA11" i="114"/>
  <c r="AA33" i="114" s="1"/>
  <c r="P95" i="105"/>
  <c r="P98" i="105"/>
  <c r="T53" i="107"/>
  <c r="T81" i="107" s="1"/>
  <c r="H68" i="107"/>
  <c r="H69" i="107" s="1"/>
  <c r="H71" i="107" s="1"/>
  <c r="H84" i="107" s="1"/>
  <c r="O9" i="105"/>
  <c r="O14" i="105" s="1"/>
  <c r="R50" i="106"/>
  <c r="L15" i="96"/>
  <c r="AC48" i="93"/>
  <c r="D11" i="72"/>
  <c r="D32" i="72" s="1"/>
  <c r="AA82" i="91"/>
  <c r="AA83" i="91" s="1"/>
  <c r="AA85" i="91" s="1"/>
  <c r="AA94" i="91" s="1"/>
  <c r="Z29" i="91"/>
  <c r="AN29" i="91" s="1"/>
  <c r="L31" i="81"/>
  <c r="Z31" i="81" s="1"/>
  <c r="L31" i="92"/>
  <c r="F30" i="96"/>
  <c r="AC28" i="73"/>
  <c r="AG67" i="73"/>
  <c r="Z68" i="81"/>
  <c r="Z53" i="93"/>
  <c r="AN68" i="91"/>
  <c r="AN98" i="91" s="1"/>
  <c r="Z53" i="92"/>
  <c r="H57" i="27"/>
  <c r="Q67" i="72"/>
  <c r="S67" i="72" s="1"/>
  <c r="G49" i="35"/>
  <c r="G56" i="35"/>
  <c r="H50" i="27"/>
  <c r="I49" i="27"/>
  <c r="E17" i="56"/>
  <c r="F16" i="56"/>
  <c r="F17" i="56" s="1"/>
  <c r="F18" i="56" s="1"/>
  <c r="E82" i="93"/>
  <c r="G13" i="56"/>
  <c r="G16" i="56"/>
  <c r="E96" i="81"/>
  <c r="Q45" i="130" l="1"/>
  <c r="F31" i="96"/>
  <c r="F32" i="96" s="1"/>
  <c r="G30" i="96"/>
  <c r="G32" i="96" s="1"/>
  <c r="G33" i="96" s="1"/>
  <c r="J30" i="96"/>
  <c r="J32" i="96" s="1"/>
  <c r="T78" i="73"/>
  <c r="T79" i="73" s="1"/>
  <c r="T81" i="73" s="1"/>
  <c r="T84" i="73" s="1"/>
  <c r="D79" i="72"/>
  <c r="D80" i="72" s="1"/>
  <c r="M80" i="81"/>
  <c r="M81" i="81" s="1"/>
  <c r="M83" i="81" s="1"/>
  <c r="M96" i="81" s="1"/>
  <c r="M66" i="93"/>
  <c r="M67" i="93" s="1"/>
  <c r="M69" i="93" s="1"/>
  <c r="M73" i="93" s="1"/>
  <c r="M66" i="92"/>
  <c r="M67" i="92" s="1"/>
  <c r="M69" i="92" s="1"/>
  <c r="M82" i="92" s="1"/>
  <c r="H75" i="105"/>
  <c r="H76" i="105" s="1"/>
  <c r="H113" i="105" s="1"/>
  <c r="H121" i="105" s="1"/>
  <c r="K98" i="105"/>
  <c r="I63" i="92"/>
  <c r="G72" i="105"/>
  <c r="G65" i="107"/>
  <c r="T62" i="107"/>
  <c r="T77" i="107"/>
  <c r="T79" i="107" s="1"/>
  <c r="J9" i="105"/>
  <c r="J14" i="105" s="1"/>
  <c r="H75" i="107"/>
  <c r="V9" i="105"/>
  <c r="V14" i="105" s="1"/>
  <c r="R9" i="107"/>
  <c r="R14" i="107" s="1"/>
  <c r="R33" i="107" s="1"/>
  <c r="AC53" i="93"/>
  <c r="J9" i="92"/>
  <c r="J14" i="92" s="1"/>
  <c r="J33" i="92" s="1"/>
  <c r="H11" i="69"/>
  <c r="H12" i="69" s="1"/>
  <c r="H22" i="69" s="1"/>
  <c r="J47" i="75"/>
  <c r="J44" i="75" s="1"/>
  <c r="J46" i="75" s="1"/>
  <c r="J49" i="75" s="1"/>
  <c r="J54" i="75" s="1"/>
  <c r="D82" i="72"/>
  <c r="D86" i="72" s="1"/>
  <c r="I50" i="27"/>
  <c r="H59" i="27"/>
  <c r="E29" i="56"/>
  <c r="E18" i="56"/>
  <c r="G33" i="56"/>
  <c r="H16" i="56"/>
  <c r="G17" i="56"/>
  <c r="F33" i="96" l="1"/>
  <c r="T77" i="81"/>
  <c r="T81" i="81" s="1"/>
  <c r="T83" i="81" s="1"/>
  <c r="T96" i="81" s="1"/>
  <c r="M87" i="81"/>
  <c r="M73" i="92"/>
  <c r="L73" i="109"/>
  <c r="AJ9" i="114"/>
  <c r="AJ11" i="114" s="1"/>
  <c r="AJ33" i="114" s="1"/>
  <c r="AH9" i="114"/>
  <c r="AH11" i="114" s="1"/>
  <c r="AH33" i="114" s="1"/>
  <c r="L42" i="109"/>
  <c r="L44" i="109" s="1"/>
  <c r="L45" i="109"/>
  <c r="E68" i="107"/>
  <c r="E75" i="105"/>
  <c r="R66" i="93"/>
  <c r="R66" i="92"/>
  <c r="AF82" i="91"/>
  <c r="Y78" i="73"/>
  <c r="R80" i="81"/>
  <c r="I79" i="72"/>
  <c r="J9" i="107"/>
  <c r="J14" i="107" s="1"/>
  <c r="J33" i="107" s="1"/>
  <c r="AA9" i="73"/>
  <c r="AA10" i="73" s="1"/>
  <c r="AA32" i="73" s="1"/>
  <c r="L9" i="107"/>
  <c r="T9" i="92"/>
  <c r="T14" i="92" s="1"/>
  <c r="T33" i="92" s="1"/>
  <c r="AH9" i="91"/>
  <c r="AH11" i="91" s="1"/>
  <c r="AH33" i="91" s="1"/>
  <c r="T9" i="93"/>
  <c r="T14" i="93" s="1"/>
  <c r="T33" i="93" s="1"/>
  <c r="T9" i="81"/>
  <c r="T11" i="81" s="1"/>
  <c r="T33" i="81" s="1"/>
  <c r="K9" i="72"/>
  <c r="K11" i="72" s="1"/>
  <c r="K32" i="72" s="1"/>
  <c r="L16" i="96"/>
  <c r="N15" i="96"/>
  <c r="M82" i="93"/>
  <c r="V9" i="93"/>
  <c r="V14" i="93" s="1"/>
  <c r="V33" i="93" s="1"/>
  <c r="V9" i="92"/>
  <c r="V14" i="92" s="1"/>
  <c r="V33" i="92" s="1"/>
  <c r="M9" i="72"/>
  <c r="M11" i="72" s="1"/>
  <c r="M32" i="72" s="1"/>
  <c r="AJ9" i="91"/>
  <c r="AJ11" i="91" s="1"/>
  <c r="AJ33" i="91" s="1"/>
  <c r="V9" i="81"/>
  <c r="V11" i="81" s="1"/>
  <c r="V33" i="81" s="1"/>
  <c r="AC9" i="73"/>
  <c r="AC10" i="73" s="1"/>
  <c r="AC32" i="73" s="1"/>
  <c r="G29" i="56"/>
  <c r="H29" i="56" s="1"/>
  <c r="H31" i="56" s="1"/>
  <c r="H17" i="56"/>
  <c r="G18" i="56"/>
  <c r="H18" i="56" s="1"/>
  <c r="F29" i="56"/>
  <c r="F31" i="56" s="1"/>
  <c r="F32" i="56" s="1"/>
  <c r="F33" i="56" s="1"/>
  <c r="E31" i="56"/>
  <c r="E32" i="56" s="1"/>
  <c r="J33" i="96" l="1"/>
  <c r="L76" i="109"/>
  <c r="K72" i="105"/>
  <c r="K76" i="105" s="1"/>
  <c r="K113" i="105" s="1"/>
  <c r="K121" i="105" s="1"/>
  <c r="AH79" i="91"/>
  <c r="AH83" i="91" s="1"/>
  <c r="AH85" i="91" s="1"/>
  <c r="AH94" i="91" s="1"/>
  <c r="L47" i="109"/>
  <c r="L71" i="109" s="1"/>
  <c r="T63" i="93"/>
  <c r="T67" i="93" s="1"/>
  <c r="AH79" i="114"/>
  <c r="AH83" i="114" s="1"/>
  <c r="AH85" i="114" s="1"/>
  <c r="AH94" i="114" s="1"/>
  <c r="AJ79" i="114"/>
  <c r="AJ83" i="114" s="1"/>
  <c r="AJ85" i="114" s="1"/>
  <c r="AJ94" i="114" s="1"/>
  <c r="T63" i="92"/>
  <c r="T67" i="92" s="1"/>
  <c r="T69" i="92" s="1"/>
  <c r="T82" i="92" s="1"/>
  <c r="J63" i="92"/>
  <c r="J67" i="92" s="1"/>
  <c r="J69" i="92" s="1"/>
  <c r="J82" i="92" s="1"/>
  <c r="V72" i="105"/>
  <c r="V76" i="105" s="1"/>
  <c r="R65" i="107"/>
  <c r="R69" i="107" s="1"/>
  <c r="R71" i="107" s="1"/>
  <c r="K76" i="72"/>
  <c r="K80" i="72" s="1"/>
  <c r="K82" i="72" s="1"/>
  <c r="J65" i="107"/>
  <c r="J69" i="107" s="1"/>
  <c r="J71" i="107" s="1"/>
  <c r="J84" i="107" s="1"/>
  <c r="J72" i="105"/>
  <c r="J76" i="105" s="1"/>
  <c r="L14" i="107"/>
  <c r="L33" i="107" s="1"/>
  <c r="AA76" i="73"/>
  <c r="AA79" i="73" s="1"/>
  <c r="AA81" i="73" s="1"/>
  <c r="L65" i="107"/>
  <c r="O72" i="105"/>
  <c r="O76" i="105" s="1"/>
  <c r="H55" i="69"/>
  <c r="T87" i="81"/>
  <c r="P24" i="96"/>
  <c r="N16" i="96"/>
  <c r="L17" i="96"/>
  <c r="V63" i="93"/>
  <c r="V67" i="93" s="1"/>
  <c r="V63" i="92"/>
  <c r="V67" i="92" s="1"/>
  <c r="V69" i="92" s="1"/>
  <c r="V82" i="92" s="1"/>
  <c r="H52" i="69"/>
  <c r="H56" i="69" s="1"/>
  <c r="H58" i="69" s="1"/>
  <c r="H61" i="69" s="1"/>
  <c r="AJ79" i="91"/>
  <c r="AJ83" i="91" s="1"/>
  <c r="AJ85" i="91" s="1"/>
  <c r="AJ94" i="91" s="1"/>
  <c r="AC76" i="73"/>
  <c r="AC79" i="73" s="1"/>
  <c r="AC81" i="73" s="1"/>
  <c r="AC96" i="73" s="1"/>
  <c r="V77" i="81"/>
  <c r="V81" i="81" s="1"/>
  <c r="V83" i="81" s="1"/>
  <c r="V96" i="81" s="1"/>
  <c r="M76" i="72"/>
  <c r="M80" i="72" s="1"/>
  <c r="M82" i="72" s="1"/>
  <c r="M98" i="72" s="1"/>
  <c r="G31" i="56"/>
  <c r="G32" i="56" s="1"/>
  <c r="H32" i="56" s="1"/>
  <c r="I16" i="56"/>
  <c r="I17" i="56" s="1"/>
  <c r="E33" i="56"/>
  <c r="P9" i="105" l="1"/>
  <c r="P14" i="105" s="1"/>
  <c r="L52" i="109"/>
  <c r="O9" i="107"/>
  <c r="O14" i="107" s="1"/>
  <c r="O33" i="107" s="1"/>
  <c r="T73" i="92"/>
  <c r="O113" i="105"/>
  <c r="O121" i="105" s="1"/>
  <c r="J113" i="105"/>
  <c r="J121" i="105" s="1"/>
  <c r="V113" i="105"/>
  <c r="V121" i="105" s="1"/>
  <c r="R84" i="107"/>
  <c r="R75" i="107"/>
  <c r="K98" i="72"/>
  <c r="K86" i="72"/>
  <c r="V69" i="93"/>
  <c r="V82" i="93" s="1"/>
  <c r="J75" i="107"/>
  <c r="L69" i="107"/>
  <c r="L71" i="107" s="1"/>
  <c r="AA96" i="73"/>
  <c r="AA84" i="73"/>
  <c r="K6" i="106"/>
  <c r="K11" i="106" s="1"/>
  <c r="K32" i="106" s="1"/>
  <c r="S9" i="105"/>
  <c r="J73" i="92"/>
  <c r="K9" i="92"/>
  <c r="N17" i="96"/>
  <c r="P25" i="96"/>
  <c r="Q24" i="96" s="1"/>
  <c r="K9" i="93"/>
  <c r="K14" i="93" s="1"/>
  <c r="K33" i="93" s="1"/>
  <c r="K9" i="90"/>
  <c r="K11" i="90" s="1"/>
  <c r="K33" i="90" s="1"/>
  <c r="K9" i="81"/>
  <c r="K11" i="81" s="1"/>
  <c r="K33" i="81" s="1"/>
  <c r="AC84" i="73"/>
  <c r="V73" i="92"/>
  <c r="M86" i="72"/>
  <c r="V87" i="81"/>
  <c r="I29" i="56"/>
  <c r="I31" i="56" s="1"/>
  <c r="I32" i="56" s="1"/>
  <c r="I18" i="56"/>
  <c r="H9" i="73" l="1"/>
  <c r="H10" i="73" s="1"/>
  <c r="H32" i="73" s="1"/>
  <c r="F6" i="106"/>
  <c r="F11" i="106" s="1"/>
  <c r="F32" i="106" s="1"/>
  <c r="F9" i="92"/>
  <c r="F14" i="92" s="1"/>
  <c r="F33" i="92" s="1"/>
  <c r="S9" i="107"/>
  <c r="S14" i="107" s="1"/>
  <c r="S33" i="107" s="1"/>
  <c r="W9" i="105"/>
  <c r="W14" i="105" s="1"/>
  <c r="F9" i="93"/>
  <c r="F14" i="93" s="1"/>
  <c r="F33" i="93" s="1"/>
  <c r="F9" i="68"/>
  <c r="F11" i="68" s="1"/>
  <c r="F33" i="68" s="1"/>
  <c r="F9" i="81"/>
  <c r="F11" i="81" s="1"/>
  <c r="F33" i="81" s="1"/>
  <c r="F9" i="90"/>
  <c r="F11" i="90" s="1"/>
  <c r="F33" i="90" s="1"/>
  <c r="F11" i="69"/>
  <c r="F12" i="69" s="1"/>
  <c r="F22" i="69" s="1"/>
  <c r="V73" i="93"/>
  <c r="O65" i="107"/>
  <c r="O69" i="107" s="1"/>
  <c r="O71" i="107" s="1"/>
  <c r="S14" i="105"/>
  <c r="L84" i="107"/>
  <c r="L75" i="107"/>
  <c r="S72" i="105"/>
  <c r="S76" i="105" s="1"/>
  <c r="K65" i="106"/>
  <c r="K69" i="106" s="1"/>
  <c r="K72" i="106" s="1"/>
  <c r="K85" i="106" s="1"/>
  <c r="Q21" i="96"/>
  <c r="Q22" i="96"/>
  <c r="Q20" i="96"/>
  <c r="Q23" i="96"/>
  <c r="K14" i="92"/>
  <c r="K33" i="92" s="1"/>
  <c r="K63" i="92"/>
  <c r="D66" i="69"/>
  <c r="Q100" i="72"/>
  <c r="AG98" i="73"/>
  <c r="I33" i="56"/>
  <c r="O78" i="73" l="1"/>
  <c r="O79" i="73" s="1"/>
  <c r="O81" i="73" s="1"/>
  <c r="Z82" i="91"/>
  <c r="Z83" i="91" s="1"/>
  <c r="Z85" i="91" s="1"/>
  <c r="Z94" i="91" s="1"/>
  <c r="L66" i="92"/>
  <c r="L67" i="92" s="1"/>
  <c r="L69" i="92" s="1"/>
  <c r="L82" i="92" s="1"/>
  <c r="Z82" i="114"/>
  <c r="Z83" i="114" s="1"/>
  <c r="Z85" i="114" s="1"/>
  <c r="Z94" i="114" s="1"/>
  <c r="L80" i="81"/>
  <c r="L81" i="81" s="1"/>
  <c r="L83" i="81" s="1"/>
  <c r="L96" i="81" s="1"/>
  <c r="J80" i="68"/>
  <c r="J81" i="68" s="1"/>
  <c r="J9" i="73"/>
  <c r="J10" i="73" s="1"/>
  <c r="J32" i="73" s="1"/>
  <c r="P9" i="107"/>
  <c r="P14" i="107" s="1"/>
  <c r="P33" i="107" s="1"/>
  <c r="G9" i="81"/>
  <c r="G11" i="81" s="1"/>
  <c r="G33" i="81" s="1"/>
  <c r="T9" i="105"/>
  <c r="T14" i="105" s="1"/>
  <c r="G6" i="106"/>
  <c r="G11" i="106" s="1"/>
  <c r="G32" i="106" s="1"/>
  <c r="G9" i="93"/>
  <c r="G14" i="93" s="1"/>
  <c r="G33" i="93" s="1"/>
  <c r="G9" i="92"/>
  <c r="G14" i="92" s="1"/>
  <c r="G33" i="92" s="1"/>
  <c r="G9" i="68"/>
  <c r="G11" i="68" s="1"/>
  <c r="G33" i="68" s="1"/>
  <c r="G9" i="90"/>
  <c r="G11" i="90" s="1"/>
  <c r="G33" i="90" s="1"/>
  <c r="S113" i="105"/>
  <c r="S121" i="105" s="1"/>
  <c r="O84" i="107"/>
  <c r="O75" i="107"/>
  <c r="K76" i="106"/>
  <c r="Q25" i="96"/>
  <c r="K63" i="93"/>
  <c r="K67" i="93" s="1"/>
  <c r="K69" i="93" s="1"/>
  <c r="K77" i="90"/>
  <c r="K81" i="90" s="1"/>
  <c r="K83" i="90" s="1"/>
  <c r="K77" i="81"/>
  <c r="K81" i="81" s="1"/>
  <c r="K83" i="81" s="1"/>
  <c r="K67" i="92"/>
  <c r="K69" i="92" s="1"/>
  <c r="H47" i="75" l="1"/>
  <c r="H49" i="75" s="1"/>
  <c r="J83" i="68"/>
  <c r="F52" i="69"/>
  <c r="F56" i="69" s="1"/>
  <c r="F58" i="69" s="1"/>
  <c r="P72" i="105"/>
  <c r="P76" i="105" s="1"/>
  <c r="P113" i="105" s="1"/>
  <c r="P121" i="105" s="1"/>
  <c r="K82" i="92"/>
  <c r="K73" i="92"/>
  <c r="K96" i="81"/>
  <c r="K87" i="81"/>
  <c r="K82" i="93"/>
  <c r="K73" i="93"/>
  <c r="W72" i="105" l="1"/>
  <c r="W76" i="105" s="1"/>
  <c r="W113" i="105" s="1"/>
  <c r="W121" i="105" s="1"/>
  <c r="F63" i="93"/>
  <c r="F67" i="93" s="1"/>
  <c r="F69" i="93" s="1"/>
  <c r="F65" i="106"/>
  <c r="F69" i="106" s="1"/>
  <c r="F72" i="106" s="1"/>
  <c r="F77" i="68"/>
  <c r="F81" i="68" s="1"/>
  <c r="F83" i="68" s="1"/>
  <c r="F87" i="68" s="1"/>
  <c r="S65" i="107"/>
  <c r="S69" i="107" s="1"/>
  <c r="S71" i="107" s="1"/>
  <c r="F63" i="92"/>
  <c r="F67" i="92" s="1"/>
  <c r="F69" i="92" s="1"/>
  <c r="H76" i="73"/>
  <c r="H79" i="73" s="1"/>
  <c r="H81" i="73" s="1"/>
  <c r="H84" i="73" s="1"/>
  <c r="F77" i="81"/>
  <c r="F81" i="81" s="1"/>
  <c r="F83" i="81" s="1"/>
  <c r="F77" i="90"/>
  <c r="F81" i="90" s="1"/>
  <c r="F83" i="90" s="1"/>
  <c r="F82" i="92" l="1"/>
  <c r="F73" i="92"/>
  <c r="F96" i="81"/>
  <c r="F87" i="81"/>
  <c r="F85" i="106"/>
  <c r="F76" i="106"/>
  <c r="S84" i="107"/>
  <c r="S75" i="107"/>
  <c r="F82" i="93"/>
  <c r="F73" i="93"/>
  <c r="T72" i="105"/>
  <c r="T76" i="105" s="1"/>
  <c r="T113" i="105" s="1"/>
  <c r="T121" i="105" s="1"/>
  <c r="J76" i="73"/>
  <c r="J79" i="73" s="1"/>
  <c r="J81" i="73" s="1"/>
  <c r="J84" i="73" s="1"/>
  <c r="G65" i="106"/>
  <c r="G69" i="106" s="1"/>
  <c r="G72" i="106" s="1"/>
  <c r="G63" i="92"/>
  <c r="G67" i="92" s="1"/>
  <c r="G69" i="92" s="1"/>
  <c r="P65" i="107"/>
  <c r="P69" i="107" s="1"/>
  <c r="P71" i="107" s="1"/>
  <c r="G77" i="90"/>
  <c r="G81" i="90" s="1"/>
  <c r="G83" i="90" s="1"/>
  <c r="G63" i="93"/>
  <c r="G67" i="93" s="1"/>
  <c r="G69" i="93" s="1"/>
  <c r="G77" i="68"/>
  <c r="G81" i="68" s="1"/>
  <c r="G77" i="81"/>
  <c r="G81" i="81" s="1"/>
  <c r="G83" i="81" s="1"/>
  <c r="F61" i="69"/>
  <c r="D65" i="69"/>
  <c r="D17" i="69"/>
  <c r="D18" i="69" s="1"/>
  <c r="P75" i="107" l="1"/>
  <c r="P84" i="107"/>
  <c r="G82" i="92"/>
  <c r="G73" i="92"/>
  <c r="G73" i="93"/>
  <c r="G82" i="93"/>
  <c r="G83" i="68"/>
  <c r="G87" i="68" s="1"/>
  <c r="G96" i="81"/>
  <c r="G87" i="81"/>
  <c r="G76" i="106"/>
  <c r="G85" i="106"/>
  <c r="I9" i="105" l="1"/>
  <c r="I14" i="105" s="1"/>
  <c r="AD9" i="114" l="1"/>
  <c r="AD11" i="114" s="1"/>
  <c r="AD33" i="114" s="1"/>
  <c r="W9" i="73"/>
  <c r="W10" i="73" s="1"/>
  <c r="W32" i="73" s="1"/>
  <c r="P9" i="92"/>
  <c r="P14" i="92" s="1"/>
  <c r="P33" i="92" s="1"/>
  <c r="P9" i="81"/>
  <c r="P11" i="81" s="1"/>
  <c r="P33" i="81" s="1"/>
  <c r="AD9" i="91"/>
  <c r="AD11" i="91" s="1"/>
  <c r="AD33" i="91" s="1"/>
  <c r="G9" i="72"/>
  <c r="G11" i="72" s="1"/>
  <c r="G32" i="72" s="1"/>
  <c r="P9" i="93"/>
  <c r="P14" i="93" s="1"/>
  <c r="P33" i="93" s="1"/>
  <c r="I9" i="107"/>
  <c r="I14" i="107" s="1"/>
  <c r="I33" i="107" s="1"/>
  <c r="AG76" i="73"/>
  <c r="AG79" i="73" s="1"/>
  <c r="AG81" i="73" s="1"/>
  <c r="AG102" i="73" s="1"/>
  <c r="P77" i="81" l="1"/>
  <c r="AD79" i="91"/>
  <c r="P63" i="92"/>
  <c r="W76" i="73"/>
  <c r="P63" i="93"/>
  <c r="AD79" i="114"/>
  <c r="AD83" i="114" s="1"/>
  <c r="AD85" i="114" s="1"/>
  <c r="AD94" i="114" s="1"/>
  <c r="G76" i="72"/>
  <c r="I72" i="105"/>
  <c r="I65" i="107"/>
  <c r="I76" i="105" l="1"/>
  <c r="I26" i="130" l="1"/>
  <c r="G26" i="130"/>
  <c r="N9" i="105" l="1"/>
  <c r="N14" i="105" s="1"/>
  <c r="K26" i="130" l="1"/>
  <c r="D69" i="105"/>
  <c r="X69" i="105" s="1"/>
  <c r="N72" i="105"/>
  <c r="N76" i="105" s="1"/>
  <c r="N113" i="105" s="1"/>
  <c r="N121" i="105" s="1"/>
  <c r="M26" i="130" l="1"/>
  <c r="Q15" i="130"/>
  <c r="K46" i="130"/>
  <c r="K48" i="130" l="1"/>
  <c r="M48" i="130" s="1"/>
  <c r="Q26" i="130"/>
  <c r="M46" i="130"/>
  <c r="D64" i="69"/>
  <c r="M9" i="105" l="1"/>
  <c r="M14" i="105" s="1"/>
  <c r="J12" i="109" s="1"/>
  <c r="J14" i="109" s="1"/>
  <c r="J32" i="109" s="1"/>
  <c r="D11" i="69" l="1"/>
  <c r="D12" i="69" s="1"/>
  <c r="D22" i="69" s="1"/>
  <c r="M72" i="105" l="1"/>
  <c r="J73" i="109" s="1"/>
  <c r="M76" i="105" l="1"/>
  <c r="M113" i="105" s="1"/>
  <c r="M121" i="105" s="1"/>
  <c r="J42" i="109"/>
  <c r="J44" i="109" s="1"/>
  <c r="D52" i="69"/>
  <c r="D56" i="69" s="1"/>
  <c r="D58" i="69" s="1"/>
  <c r="J45" i="109" l="1"/>
  <c r="J76" i="109" s="1"/>
  <c r="J47" i="109" l="1"/>
  <c r="J52" i="109" s="1"/>
  <c r="D63" i="69"/>
  <c r="D61" i="69"/>
  <c r="J71" i="109" l="1"/>
  <c r="D67" i="69"/>
  <c r="D68" i="69" s="1"/>
  <c r="F64" i="69"/>
  <c r="Z9" i="114" l="1"/>
  <c r="Z11" i="114" s="1"/>
  <c r="Z33" i="114" s="1"/>
  <c r="F9" i="107"/>
  <c r="F13" i="105"/>
  <c r="L9" i="93"/>
  <c r="L14" i="93" s="1"/>
  <c r="L33" i="93" s="1"/>
  <c r="Z9" i="91"/>
  <c r="L9" i="81"/>
  <c r="L11" i="81" s="1"/>
  <c r="L33" i="81" s="1"/>
  <c r="L87" i="81" s="1"/>
  <c r="L9" i="92"/>
  <c r="L14" i="92" s="1"/>
  <c r="L33" i="92" s="1"/>
  <c r="L73" i="92" s="1"/>
  <c r="O9" i="73"/>
  <c r="O10" i="73" s="1"/>
  <c r="O32" i="73" s="1"/>
  <c r="O84" i="73" s="1"/>
  <c r="J9" i="68"/>
  <c r="H12" i="109" l="1"/>
  <c r="H14" i="109" s="1"/>
  <c r="H32" i="109" s="1"/>
  <c r="F14" i="105"/>
  <c r="F14" i="107"/>
  <c r="F33" i="107" s="1"/>
  <c r="Z11" i="91"/>
  <c r="Z33" i="91" s="1"/>
  <c r="J11" i="68"/>
  <c r="J33" i="68" s="1"/>
  <c r="J87" i="68" s="1"/>
  <c r="H12" i="75"/>
  <c r="H14" i="75" s="1"/>
  <c r="H34" i="75" s="1"/>
  <c r="H54" i="75" s="1"/>
  <c r="F75" i="105" l="1"/>
  <c r="H73" i="109" s="1"/>
  <c r="F68" i="107"/>
  <c r="L66" i="93"/>
  <c r="F69" i="107" l="1"/>
  <c r="F71" i="107" s="1"/>
  <c r="H45" i="109"/>
  <c r="H47" i="109" s="1"/>
  <c r="F76" i="105"/>
  <c r="L67" i="93"/>
  <c r="L69" i="93" s="1"/>
  <c r="H76" i="109" l="1"/>
  <c r="F113" i="105"/>
  <c r="F121" i="105" s="1"/>
  <c r="H52" i="109"/>
  <c r="H71" i="109"/>
  <c r="F84" i="107"/>
  <c r="F75" i="107"/>
  <c r="L73" i="93"/>
  <c r="L82" i="93"/>
  <c r="T59" i="93" l="1"/>
  <c r="AN73" i="114" s="1"/>
  <c r="Z59" i="93" l="1"/>
  <c r="T60" i="93"/>
  <c r="T69" i="93" s="1"/>
  <c r="T73" i="93" s="1"/>
  <c r="T82" i="93" l="1"/>
  <c r="D57" i="92" l="1"/>
  <c r="AN72" i="114" s="1"/>
  <c r="AB57" i="93" l="1"/>
  <c r="D56" i="92"/>
  <c r="AB59" i="93"/>
  <c r="Z57" i="92"/>
  <c r="Z59" i="92"/>
  <c r="AN72" i="91"/>
  <c r="AN73" i="91"/>
  <c r="Z57" i="93"/>
  <c r="AC57" i="93" s="1"/>
  <c r="D60" i="92" l="1"/>
  <c r="AN71" i="114"/>
  <c r="AN74" i="114" s="1"/>
  <c r="AC59" i="93"/>
  <c r="AB56" i="93"/>
  <c r="Z56" i="93"/>
  <c r="Z60" i="93" s="1"/>
  <c r="Z56" i="92"/>
  <c r="Z60" i="92" s="1"/>
  <c r="AN71" i="91"/>
  <c r="AN74" i="91" s="1"/>
  <c r="D93" i="92" l="1"/>
  <c r="AB54" i="92"/>
  <c r="AB55" i="92" s="1"/>
  <c r="AB56" i="92" s="1"/>
  <c r="AB60" i="93"/>
  <c r="AC60" i="93" s="1"/>
  <c r="AC56" i="93"/>
  <c r="D87" i="92"/>
  <c r="Z23" i="93" l="1"/>
  <c r="AB23" i="93"/>
  <c r="Z23" i="92"/>
  <c r="Z31" i="93"/>
  <c r="AB31" i="93"/>
  <c r="Z31" i="92"/>
  <c r="AB19" i="93"/>
  <c r="Z18" i="92"/>
  <c r="Z21" i="93"/>
  <c r="AB21" i="93"/>
  <c r="Z21" i="92"/>
  <c r="C4" i="97"/>
  <c r="Z22" i="93"/>
  <c r="AB22" i="93"/>
  <c r="Z22" i="92"/>
  <c r="E4" i="97" l="1"/>
  <c r="AA31" i="93"/>
  <c r="AC31" i="93" s="1"/>
  <c r="AA23" i="93"/>
  <c r="AC23" i="93" s="1"/>
  <c r="AC22" i="93"/>
  <c r="AC21" i="93"/>
  <c r="AC19" i="93"/>
  <c r="C5" i="97" l="1"/>
  <c r="AB24" i="93"/>
  <c r="Z24" i="93"/>
  <c r="Z24" i="92"/>
  <c r="AB28" i="93"/>
  <c r="Z28" i="93"/>
  <c r="Z28" i="92"/>
  <c r="C6" i="97"/>
  <c r="Z25" i="93"/>
  <c r="AB25" i="93"/>
  <c r="Z25" i="92"/>
  <c r="E5" i="97" l="1"/>
  <c r="E6" i="97"/>
  <c r="AA28" i="93"/>
  <c r="AC28" i="93" s="1"/>
  <c r="AA24" i="93"/>
  <c r="AA25" i="93"/>
  <c r="AC25" i="93" s="1"/>
  <c r="C7" i="97"/>
  <c r="AB26" i="93"/>
  <c r="Z26" i="93"/>
  <c r="Z26" i="92"/>
  <c r="C8" i="97"/>
  <c r="AB27" i="93"/>
  <c r="Z27" i="93"/>
  <c r="Z27" i="92"/>
  <c r="D29" i="92"/>
  <c r="Z29" i="93" l="1"/>
  <c r="E7" i="97"/>
  <c r="E8" i="97"/>
  <c r="AA29" i="92"/>
  <c r="D75" i="92"/>
  <c r="AA27" i="93"/>
  <c r="AC27" i="93" s="1"/>
  <c r="AA26" i="93"/>
  <c r="AC26" i="93" s="1"/>
  <c r="AC24" i="93"/>
  <c r="Z29" i="92"/>
  <c r="AB29" i="93"/>
  <c r="AA29" i="93" l="1"/>
  <c r="AC29" i="93" s="1"/>
  <c r="C8" i="130" l="1"/>
  <c r="AL9" i="114" l="1"/>
  <c r="L13" i="105"/>
  <c r="K9" i="107"/>
  <c r="AL9" i="91"/>
  <c r="O9" i="72"/>
  <c r="X9" i="92"/>
  <c r="AE9" i="73"/>
  <c r="X9" i="81"/>
  <c r="X9" i="93"/>
  <c r="AL11" i="114" l="1"/>
  <c r="AL33" i="114" s="1"/>
  <c r="K14" i="107"/>
  <c r="K33" i="107" s="1"/>
  <c r="K68" i="107"/>
  <c r="L14" i="105"/>
  <c r="X14" i="92"/>
  <c r="X33" i="92" s="1"/>
  <c r="X11" i="81"/>
  <c r="X33" i="81" s="1"/>
  <c r="X14" i="93"/>
  <c r="X33" i="93" s="1"/>
  <c r="O11" i="72"/>
  <c r="O32" i="72" s="1"/>
  <c r="AE10" i="73"/>
  <c r="AE32" i="73" s="1"/>
  <c r="AL11" i="91"/>
  <c r="AL33" i="91" s="1"/>
  <c r="X66" i="93" l="1"/>
  <c r="L75" i="105"/>
  <c r="L76" i="105" s="1"/>
  <c r="L113" i="105" s="1"/>
  <c r="L121" i="105" s="1"/>
  <c r="AL79" i="114"/>
  <c r="AL83" i="114" s="1"/>
  <c r="AL85" i="114" s="1"/>
  <c r="AL94" i="114" s="1"/>
  <c r="K69" i="107"/>
  <c r="K71" i="107" s="1"/>
  <c r="K84" i="107" s="1"/>
  <c r="X63" i="92"/>
  <c r="X67" i="92" s="1"/>
  <c r="X69" i="92" s="1"/>
  <c r="X82" i="92" s="1"/>
  <c r="AE76" i="73"/>
  <c r="AE79" i="73" s="1"/>
  <c r="AE81" i="73" s="1"/>
  <c r="AE96" i="73" s="1"/>
  <c r="AL79" i="91"/>
  <c r="AL83" i="91" s="1"/>
  <c r="AL85" i="91" s="1"/>
  <c r="AL94" i="91" s="1"/>
  <c r="X77" i="81"/>
  <c r="X81" i="81" s="1"/>
  <c r="X83" i="81" s="1"/>
  <c r="X96" i="81" s="1"/>
  <c r="O76" i="72"/>
  <c r="K75" i="107" l="1"/>
  <c r="X87" i="81"/>
  <c r="X73" i="92"/>
  <c r="O80" i="72"/>
  <c r="X67" i="93"/>
  <c r="X69" i="93" s="1"/>
  <c r="AE84" i="73"/>
  <c r="X82" i="93" l="1"/>
  <c r="X73" i="93"/>
  <c r="O82" i="72"/>
  <c r="O98" i="72" l="1"/>
  <c r="O86" i="72"/>
  <c r="K31" i="130" l="1"/>
  <c r="K44" i="130" l="1"/>
  <c r="Q18" i="130"/>
  <c r="M31" i="130"/>
  <c r="M44" i="130" s="1"/>
  <c r="Q44" i="130" l="1"/>
  <c r="M58" i="105"/>
  <c r="X49" i="105"/>
  <c r="X58" i="105" s="1"/>
  <c r="X93" i="105" s="1"/>
  <c r="O45" i="130" l="1"/>
  <c r="Q46" i="130"/>
  <c r="M93" i="105"/>
  <c r="M95" i="105" s="1"/>
  <c r="X95" i="105"/>
  <c r="X98" i="105"/>
  <c r="Q44" i="106"/>
  <c r="R44" i="106" s="1"/>
  <c r="O46" i="130" l="1"/>
  <c r="O47" i="130"/>
  <c r="Y93" i="105"/>
  <c r="Y95" i="105" s="1"/>
  <c r="M98" i="105"/>
  <c r="Y98" i="105" s="1"/>
  <c r="Q53" i="106"/>
  <c r="Q62" i="106" s="1"/>
  <c r="R53" i="106" l="1"/>
  <c r="R62" i="106" s="1"/>
  <c r="I68" i="107" l="1"/>
  <c r="AD82" i="91"/>
  <c r="AD83" i="91" s="1"/>
  <c r="AD85" i="91" s="1"/>
  <c r="AD94" i="91" s="1"/>
  <c r="P66" i="92"/>
  <c r="P67" i="92" s="1"/>
  <c r="P69" i="92" s="1"/>
  <c r="P80" i="81"/>
  <c r="W78" i="73"/>
  <c r="P66" i="93"/>
  <c r="G79" i="72"/>
  <c r="G80" i="72" l="1"/>
  <c r="W79" i="73"/>
  <c r="W81" i="73" s="1"/>
  <c r="W96" i="73" s="1"/>
  <c r="I69" i="107"/>
  <c r="I71" i="107" s="1"/>
  <c r="I84" i="107" s="1"/>
  <c r="P81" i="81"/>
  <c r="P83" i="81" s="1"/>
  <c r="P87" i="81" s="1"/>
  <c r="P82" i="92"/>
  <c r="P73" i="92"/>
  <c r="P67" i="93"/>
  <c r="P69" i="93" s="1"/>
  <c r="G82" i="72" l="1"/>
  <c r="G98" i="72" s="1"/>
  <c r="I75" i="107"/>
  <c r="W84" i="73"/>
  <c r="P96" i="81"/>
  <c r="P82" i="93"/>
  <c r="P73" i="93"/>
  <c r="G86" i="72" l="1"/>
  <c r="D100" i="105" l="1"/>
  <c r="D67" i="105"/>
  <c r="D72" i="109" l="1"/>
  <c r="D112" i="105"/>
  <c r="D120" i="105" s="1"/>
  <c r="D123" i="105" s="1"/>
  <c r="D107" i="105"/>
  <c r="E99" i="105" l="1"/>
  <c r="E100" i="105" s="1"/>
  <c r="R99" i="105"/>
  <c r="R100" i="105" s="1"/>
  <c r="T99" i="105"/>
  <c r="T100" i="105" s="1"/>
  <c r="M99" i="105"/>
  <c r="M100" i="105" s="1"/>
  <c r="K99" i="105"/>
  <c r="K100" i="105" s="1"/>
  <c r="I67" i="105"/>
  <c r="S99" i="105"/>
  <c r="S100" i="105" s="1"/>
  <c r="L67" i="105"/>
  <c r="P67" i="105"/>
  <c r="V67" i="105"/>
  <c r="E67" i="105"/>
  <c r="G67" i="105"/>
  <c r="M67" i="105"/>
  <c r="W67" i="105"/>
  <c r="F99" i="105"/>
  <c r="F100" i="105" s="1"/>
  <c r="L99" i="105"/>
  <c r="L100" i="105" s="1"/>
  <c r="R67" i="105"/>
  <c r="F67" i="105"/>
  <c r="H72" i="109" s="1"/>
  <c r="X67" i="105"/>
  <c r="J99" i="105"/>
  <c r="J100" i="105" s="1"/>
  <c r="G99" i="105"/>
  <c r="G100" i="105" s="1"/>
  <c r="Q99" i="105"/>
  <c r="Q100" i="105" s="1"/>
  <c r="N99" i="105"/>
  <c r="N100" i="105" s="1"/>
  <c r="Q67" i="105"/>
  <c r="J67" i="105"/>
  <c r="P99" i="105"/>
  <c r="P100" i="105" s="1"/>
  <c r="X99" i="105"/>
  <c r="X100" i="105" s="1"/>
  <c r="U99" i="105"/>
  <c r="U100" i="105" s="1"/>
  <c r="W99" i="105"/>
  <c r="W100" i="105" s="1"/>
  <c r="T67" i="105"/>
  <c r="S67" i="105"/>
  <c r="O99" i="105"/>
  <c r="O100" i="105" s="1"/>
  <c r="V99" i="105"/>
  <c r="V100" i="105" s="1"/>
  <c r="U67" i="105"/>
  <c r="K67" i="105"/>
  <c r="O67" i="105"/>
  <c r="H67" i="105"/>
  <c r="N67" i="105"/>
  <c r="H99" i="105"/>
  <c r="H100" i="105" s="1"/>
  <c r="I102" i="105" l="1"/>
  <c r="N78" i="105"/>
  <c r="N91" i="105" s="1"/>
  <c r="O78" i="105"/>
  <c r="O91" i="105" s="1"/>
  <c r="H74" i="109"/>
  <c r="H77" i="109" s="1"/>
  <c r="H75" i="109"/>
  <c r="L72" i="109"/>
  <c r="F72" i="109"/>
  <c r="J72" i="109"/>
  <c r="N72" i="109"/>
  <c r="T78" i="105"/>
  <c r="F112" i="105"/>
  <c r="F120" i="105" s="1"/>
  <c r="F78" i="105"/>
  <c r="W78" i="105"/>
  <c r="W91" i="105" s="1"/>
  <c r="V112" i="105"/>
  <c r="V120" i="105" s="1"/>
  <c r="V78" i="105"/>
  <c r="Q112" i="105"/>
  <c r="Q120" i="105" s="1"/>
  <c r="L78" i="105"/>
  <c r="U78" i="105"/>
  <c r="H78" i="105"/>
  <c r="J78" i="105"/>
  <c r="M78" i="105"/>
  <c r="P112" i="105"/>
  <c r="P120" i="105" s="1"/>
  <c r="P78" i="105"/>
  <c r="K78" i="105"/>
  <c r="S78" i="105"/>
  <c r="I78" i="105"/>
  <c r="X112" i="105"/>
  <c r="X120" i="105" s="1"/>
  <c r="J112" i="105"/>
  <c r="J120" i="105" s="1"/>
  <c r="W112" i="105"/>
  <c r="W120" i="105" s="1"/>
  <c r="L112" i="105"/>
  <c r="L120" i="105" s="1"/>
  <c r="Y99" i="105"/>
  <c r="Y100" i="105"/>
  <c r="R112" i="105"/>
  <c r="R120" i="105" s="1"/>
  <c r="E112" i="105"/>
  <c r="E120" i="105" s="1"/>
  <c r="K112" i="105"/>
  <c r="K120" i="105" s="1"/>
  <c r="G112" i="105"/>
  <c r="G120" i="105" s="1"/>
  <c r="S112" i="105"/>
  <c r="S120" i="105" s="1"/>
  <c r="H112" i="105"/>
  <c r="H120" i="105" s="1"/>
  <c r="T112" i="105"/>
  <c r="T120" i="105" s="1"/>
  <c r="U112" i="105"/>
  <c r="U120" i="105" s="1"/>
  <c r="O112" i="105"/>
  <c r="O120" i="105" s="1"/>
  <c r="N112" i="105"/>
  <c r="N120" i="105" s="1"/>
  <c r="M112" i="105"/>
  <c r="M120" i="105" s="1"/>
  <c r="N114" i="105" l="1"/>
  <c r="N122" i="105" s="1"/>
  <c r="O114" i="105"/>
  <c r="O122" i="105" s="1"/>
  <c r="W114" i="105"/>
  <c r="W122" i="105" s="1"/>
  <c r="P72" i="109"/>
  <c r="L74" i="109"/>
  <c r="L77" i="109" s="1"/>
  <c r="L75" i="109"/>
  <c r="J74" i="109"/>
  <c r="J77" i="109" s="1"/>
  <c r="J75" i="109"/>
  <c r="P91" i="105"/>
  <c r="P114" i="105"/>
  <c r="P122" i="105" s="1"/>
  <c r="T114" i="105"/>
  <c r="T122" i="105" s="1"/>
  <c r="T91" i="105"/>
  <c r="U91" i="105"/>
  <c r="U114" i="105"/>
  <c r="U122" i="105" s="1"/>
  <c r="M91" i="105"/>
  <c r="M114" i="105"/>
  <c r="M122" i="105" s="1"/>
  <c r="J114" i="105"/>
  <c r="J122" i="105" s="1"/>
  <c r="J91" i="105"/>
  <c r="H114" i="105"/>
  <c r="H122" i="105" s="1"/>
  <c r="H91" i="105"/>
  <c r="V91" i="105"/>
  <c r="V114" i="105"/>
  <c r="V122" i="105" s="1"/>
  <c r="K114" i="105"/>
  <c r="K122" i="105" s="1"/>
  <c r="K91" i="105"/>
  <c r="F91" i="105"/>
  <c r="F114" i="105"/>
  <c r="F122" i="105" s="1"/>
  <c r="L91" i="105"/>
  <c r="L114" i="105"/>
  <c r="L122" i="105" s="1"/>
  <c r="S91" i="105"/>
  <c r="S114" i="105"/>
  <c r="S122" i="105" s="1"/>
  <c r="D102" i="105"/>
  <c r="N102" i="105" l="1"/>
  <c r="O37" i="105"/>
  <c r="O82" i="105" s="1"/>
  <c r="L37" i="105"/>
  <c r="L82" i="105" s="1"/>
  <c r="J102" i="105"/>
  <c r="O102" i="105"/>
  <c r="T102" i="105"/>
  <c r="I37" i="105"/>
  <c r="U102" i="105"/>
  <c r="T37" i="105"/>
  <c r="T82" i="105" s="1"/>
  <c r="H102" i="105"/>
  <c r="X102" i="105"/>
  <c r="F102" i="105"/>
  <c r="F37" i="105"/>
  <c r="F82" i="105" s="1"/>
  <c r="M102" i="105"/>
  <c r="M37" i="105"/>
  <c r="M82" i="105" s="1"/>
  <c r="R102" i="105"/>
  <c r="S102" i="105"/>
  <c r="Q102" i="105"/>
  <c r="P102" i="105"/>
  <c r="V102" i="105"/>
  <c r="W37" i="105"/>
  <c r="W82" i="105" s="1"/>
  <c r="K102" i="105"/>
  <c r="G102" i="105"/>
  <c r="K37" i="105" l="1"/>
  <c r="K82" i="105" s="1"/>
  <c r="U37" i="105"/>
  <c r="U82" i="105" s="1"/>
  <c r="E102" i="105"/>
  <c r="L102" i="105"/>
  <c r="V37" i="105"/>
  <c r="V82" i="105" s="1"/>
  <c r="H37" i="105"/>
  <c r="H82" i="105" s="1"/>
  <c r="W102" i="105"/>
  <c r="S37" i="105"/>
  <c r="S82" i="105" s="1"/>
  <c r="J37" i="105"/>
  <c r="J82" i="105" s="1"/>
  <c r="N37" i="105"/>
  <c r="N82" i="105" s="1"/>
  <c r="P37" i="105"/>
  <c r="P82" i="105" s="1"/>
  <c r="C15" i="130" l="1"/>
  <c r="C16" i="130" s="1"/>
  <c r="F15" i="130" l="1"/>
  <c r="F16" i="130"/>
  <c r="D9" i="68" l="1"/>
  <c r="D9" i="107"/>
  <c r="D9" i="93"/>
  <c r="D14" i="93" s="1"/>
  <c r="D33" i="93" s="1"/>
  <c r="E6" i="80"/>
  <c r="D9" i="92"/>
  <c r="D6" i="106"/>
  <c r="D11" i="106" s="1"/>
  <c r="D32" i="106" s="1"/>
  <c r="D9" i="81"/>
  <c r="D9" i="105"/>
  <c r="D9" i="90"/>
  <c r="D11" i="90" s="1"/>
  <c r="D33" i="90" s="1"/>
  <c r="D12" i="75"/>
  <c r="D14" i="107" l="1"/>
  <c r="D33" i="107" s="1"/>
  <c r="D14" i="92"/>
  <c r="D11" i="81"/>
  <c r="D33" i="81" s="1"/>
  <c r="D14" i="75"/>
  <c r="N6" i="106"/>
  <c r="M6" i="106"/>
  <c r="D14" i="105"/>
  <c r="F6" i="80"/>
  <c r="E8" i="80"/>
  <c r="D11" i="68"/>
  <c r="D33" i="68" l="1"/>
  <c r="D34" i="75"/>
  <c r="F8" i="80"/>
  <c r="E26" i="80"/>
  <c r="N11" i="106"/>
  <c r="D37" i="105"/>
  <c r="D12" i="109"/>
  <c r="D33" i="92"/>
  <c r="C11" i="97"/>
  <c r="D14" i="109" l="1"/>
  <c r="D80" i="105"/>
  <c r="N32" i="106"/>
  <c r="F26" i="80"/>
  <c r="E11" i="97"/>
  <c r="C12" i="97"/>
  <c r="D11" i="97" s="1"/>
  <c r="D32" i="109" l="1"/>
  <c r="D10" i="97"/>
  <c r="R6" i="97"/>
  <c r="D8" i="97"/>
  <c r="R7" i="97"/>
  <c r="D6" i="97"/>
  <c r="R5" i="97"/>
  <c r="D9" i="97"/>
  <c r="D4" i="97"/>
  <c r="R9" i="97"/>
  <c r="R4" i="97"/>
  <c r="D7" i="97"/>
  <c r="E12" i="97"/>
  <c r="R10" i="97"/>
  <c r="R8" i="97"/>
  <c r="D5" i="97"/>
  <c r="D3" i="97"/>
  <c r="R3" i="97"/>
  <c r="R12" i="97" l="1"/>
  <c r="D12" i="97"/>
  <c r="E54" i="80" l="1"/>
  <c r="D77" i="68"/>
  <c r="D77" i="90"/>
  <c r="D81" i="90" s="1"/>
  <c r="D83" i="90" s="1"/>
  <c r="D65" i="107"/>
  <c r="D65" i="106"/>
  <c r="D72" i="105"/>
  <c r="D63" i="92"/>
  <c r="D77" i="81"/>
  <c r="D63" i="93"/>
  <c r="D85" i="90" l="1"/>
  <c r="D67" i="93"/>
  <c r="D69" i="93" s="1"/>
  <c r="D74" i="93"/>
  <c r="D77" i="106"/>
  <c r="D69" i="106"/>
  <c r="D72" i="106" s="1"/>
  <c r="D92" i="107"/>
  <c r="D94" i="107"/>
  <c r="D76" i="107"/>
  <c r="M89" i="107"/>
  <c r="D69" i="107"/>
  <c r="D71" i="107" s="1"/>
  <c r="D81" i="68"/>
  <c r="D83" i="68" s="1"/>
  <c r="D47" i="75"/>
  <c r="D88" i="68"/>
  <c r="E87" i="92"/>
  <c r="D67" i="92"/>
  <c r="D90" i="92"/>
  <c r="D92" i="92"/>
  <c r="D74" i="92"/>
  <c r="E57" i="80"/>
  <c r="F54" i="80"/>
  <c r="F63" i="80" s="1"/>
  <c r="E63" i="80"/>
  <c r="Z77" i="81"/>
  <c r="Z81" i="81" s="1"/>
  <c r="Z83" i="81" s="1"/>
  <c r="D81" i="81"/>
  <c r="D83" i="81" s="1"/>
  <c r="D88" i="81"/>
  <c r="B100" i="105"/>
  <c r="D106" i="105"/>
  <c r="D76" i="105"/>
  <c r="N65" i="106"/>
  <c r="D83" i="105"/>
  <c r="M65" i="106"/>
  <c r="M69" i="106" s="1"/>
  <c r="M72" i="106" s="1"/>
  <c r="M76" i="106" s="1"/>
  <c r="N69" i="106" l="1"/>
  <c r="D78" i="105"/>
  <c r="D45" i="109"/>
  <c r="D42" i="109"/>
  <c r="D73" i="109"/>
  <c r="D113" i="105"/>
  <c r="D121" i="105" s="1"/>
  <c r="Z96" i="81"/>
  <c r="D69" i="92"/>
  <c r="C21" i="97"/>
  <c r="D75" i="107"/>
  <c r="D73" i="107"/>
  <c r="D84" i="107"/>
  <c r="D71" i="93"/>
  <c r="D73" i="93"/>
  <c r="D82" i="93"/>
  <c r="D83" i="93" s="1"/>
  <c r="D44" i="75"/>
  <c r="D74" i="106"/>
  <c r="D85" i="106"/>
  <c r="D86" i="106" s="1"/>
  <c r="D76" i="106"/>
  <c r="D87" i="68"/>
  <c r="D85" i="68"/>
  <c r="D87" i="81"/>
  <c r="D96" i="81"/>
  <c r="D97" i="81" s="1"/>
  <c r="D85" i="81"/>
  <c r="E59" i="80"/>
  <c r="F57" i="80"/>
  <c r="D82" i="92" l="1"/>
  <c r="D83" i="92" s="1"/>
  <c r="D73" i="92"/>
  <c r="D71" i="92"/>
  <c r="AB69" i="93"/>
  <c r="D44" i="109"/>
  <c r="D53" i="109" s="1"/>
  <c r="D46" i="75"/>
  <c r="E62" i="80"/>
  <c r="F59" i="80"/>
  <c r="F62" i="80" s="1"/>
  <c r="E60" i="80"/>
  <c r="D82" i="105"/>
  <c r="D114" i="105"/>
  <c r="D122" i="105" s="1"/>
  <c r="N72" i="106"/>
  <c r="N76" i="106" s="1"/>
  <c r="D91" i="105"/>
  <c r="C22" i="97"/>
  <c r="E21" i="97"/>
  <c r="D76" i="109"/>
  <c r="D74" i="109"/>
  <c r="D75" i="109" l="1"/>
  <c r="D47" i="109"/>
  <c r="D77" i="109" s="1"/>
  <c r="D20" i="97"/>
  <c r="D19" i="97"/>
  <c r="D15" i="97"/>
  <c r="D18" i="97"/>
  <c r="D17" i="97"/>
  <c r="D16" i="97"/>
  <c r="P74" i="109"/>
  <c r="D21" i="97"/>
  <c r="D49" i="75"/>
  <c r="D55" i="75"/>
  <c r="D22" i="97" l="1"/>
  <c r="D54" i="75"/>
  <c r="D71" i="109"/>
  <c r="D52" i="109"/>
  <c r="AG28" i="73" l="1"/>
  <c r="F27" i="73"/>
  <c r="E28" i="68"/>
  <c r="E29" i="68"/>
  <c r="F28" i="73" l="1"/>
  <c r="M9" i="107"/>
  <c r="E9" i="92"/>
  <c r="E9" i="81"/>
  <c r="Q9" i="105"/>
  <c r="F9" i="73"/>
  <c r="E9" i="93"/>
  <c r="E14" i="93" s="1"/>
  <c r="E33" i="93" s="1"/>
  <c r="E73" i="93" s="1"/>
  <c r="E6" i="106"/>
  <c r="E11" i="106" s="1"/>
  <c r="E32" i="106" s="1"/>
  <c r="E76" i="106" s="1"/>
  <c r="Q28" i="72"/>
  <c r="S28" i="72" s="1"/>
  <c r="L29" i="68"/>
  <c r="E9" i="68"/>
  <c r="E9" i="90"/>
  <c r="E11" i="90" s="1"/>
  <c r="E33" i="90" s="1"/>
  <c r="K15" i="130" l="1"/>
  <c r="E11" i="68"/>
  <c r="E11" i="81"/>
  <c r="E33" i="81" s="1"/>
  <c r="E87" i="81" s="1"/>
  <c r="F10" i="73"/>
  <c r="F32" i="73" s="1"/>
  <c r="F84" i="73" s="1"/>
  <c r="E14" i="92"/>
  <c r="Q14" i="105"/>
  <c r="M14" i="107"/>
  <c r="M33" i="107" s="1"/>
  <c r="K19" i="130" l="1"/>
  <c r="P58" i="130" s="1"/>
  <c r="Q13" i="130"/>
  <c r="K16" i="130"/>
  <c r="M15" i="130"/>
  <c r="M16" i="130" s="1"/>
  <c r="Q37" i="105"/>
  <c r="E33" i="68"/>
  <c r="Q72" i="105"/>
  <c r="E63" i="92"/>
  <c r="M65" i="107"/>
  <c r="E33" i="92"/>
  <c r="M69" i="107" l="1"/>
  <c r="M71" i="107" s="1"/>
  <c r="Q76" i="105"/>
  <c r="E87" i="68"/>
  <c r="AB63" i="93"/>
  <c r="E67" i="92"/>
  <c r="Q113" i="105" l="1"/>
  <c r="Q121" i="105" s="1"/>
  <c r="Q78" i="105"/>
  <c r="E69" i="92"/>
  <c r="M84" i="107"/>
  <c r="M75" i="107"/>
  <c r="Q114" i="105" l="1"/>
  <c r="Q122" i="105" s="1"/>
  <c r="Q91" i="105"/>
  <c r="Q82" i="105"/>
  <c r="E82" i="92"/>
  <c r="E73" i="92"/>
  <c r="I81" i="68" l="1"/>
  <c r="F47" i="75" s="1"/>
  <c r="I81" i="81"/>
  <c r="I83" i="81" s="1"/>
  <c r="I96" i="81" s="1"/>
  <c r="N79" i="73"/>
  <c r="N81" i="73" s="1"/>
  <c r="I83" i="68"/>
  <c r="I67" i="93"/>
  <c r="I69" i="93"/>
  <c r="I82" i="93" s="1"/>
  <c r="I81" i="90"/>
  <c r="I83" i="90" s="1"/>
  <c r="N27" i="73"/>
  <c r="N28" i="73" s="1"/>
  <c r="F44" i="75" l="1"/>
  <c r="N44" i="75" s="1"/>
  <c r="N46" i="75" s="1"/>
  <c r="N47" i="75"/>
  <c r="N9" i="73"/>
  <c r="G13" i="107"/>
  <c r="I9" i="90"/>
  <c r="I11" i="90" s="1"/>
  <c r="I33" i="90" s="1"/>
  <c r="I9" i="81"/>
  <c r="I9" i="68"/>
  <c r="I9" i="93"/>
  <c r="I14" i="93" s="1"/>
  <c r="I33" i="93" s="1"/>
  <c r="I73" i="93" s="1"/>
  <c r="G13" i="105"/>
  <c r="I6" i="106"/>
  <c r="I11" i="106" s="1"/>
  <c r="I32" i="106" s="1"/>
  <c r="I76" i="106" s="1"/>
  <c r="I13" i="92"/>
  <c r="AG27" i="73"/>
  <c r="F46" i="75" l="1"/>
  <c r="F49" i="75" s="1"/>
  <c r="N49" i="75" s="1"/>
  <c r="N10" i="73"/>
  <c r="N32" i="73" s="1"/>
  <c r="N84" i="73" s="1"/>
  <c r="I11" i="81"/>
  <c r="I33" i="81" s="1"/>
  <c r="I87" i="81" s="1"/>
  <c r="G14" i="105"/>
  <c r="AB13" i="93"/>
  <c r="AB13" i="92"/>
  <c r="Z13" i="92"/>
  <c r="I14" i="92"/>
  <c r="Z13" i="93"/>
  <c r="I11" i="68"/>
  <c r="T13" i="107"/>
  <c r="G14" i="107"/>
  <c r="G33" i="107" s="1"/>
  <c r="AA13" i="93" l="1"/>
  <c r="AC13" i="93" s="1"/>
  <c r="I33" i="92"/>
  <c r="G37" i="105"/>
  <c r="I66" i="93"/>
  <c r="I80" i="90"/>
  <c r="N78" i="73"/>
  <c r="AG78" i="73" s="1"/>
  <c r="I68" i="106"/>
  <c r="I80" i="68"/>
  <c r="Q79" i="72" s="1"/>
  <c r="S79" i="72" s="1"/>
  <c r="G68" i="107"/>
  <c r="L30" i="96"/>
  <c r="I80" i="81"/>
  <c r="Z80" i="81" s="1"/>
  <c r="I66" i="92"/>
  <c r="G75" i="105"/>
  <c r="I33" i="68"/>
  <c r="G69" i="107" l="1"/>
  <c r="G71" i="107" s="1"/>
  <c r="G76" i="105"/>
  <c r="I67" i="92"/>
  <c r="N30" i="96"/>
  <c r="L32" i="96"/>
  <c r="I87" i="68"/>
  <c r="N31" i="96" l="1"/>
  <c r="G78" i="105"/>
  <c r="G113" i="105"/>
  <c r="G121" i="105" s="1"/>
  <c r="I69" i="92"/>
  <c r="G84" i="107"/>
  <c r="G75" i="107"/>
  <c r="N32" i="96"/>
  <c r="L33" i="96"/>
  <c r="P13" i="96"/>
  <c r="P14" i="96" l="1"/>
  <c r="I82" i="92"/>
  <c r="I73" i="92"/>
  <c r="G91" i="105"/>
  <c r="G114" i="105"/>
  <c r="G122" i="105" s="1"/>
  <c r="G82" i="105"/>
  <c r="N33" i="96"/>
  <c r="Q10" i="96" l="1"/>
  <c r="Q7" i="96"/>
  <c r="Q8" i="96"/>
  <c r="Q9" i="96"/>
  <c r="Q12" i="96"/>
  <c r="Q6" i="96"/>
  <c r="Q13" i="96"/>
  <c r="Q14" i="96" l="1"/>
  <c r="C23" i="130" l="1"/>
  <c r="C56" i="130" l="1"/>
  <c r="F23" i="130" l="1"/>
  <c r="I23" i="130"/>
  <c r="H9" i="93" l="1"/>
  <c r="H14" i="93" s="1"/>
  <c r="H33" i="93" s="1"/>
  <c r="H73" i="93" s="1"/>
  <c r="H6" i="106"/>
  <c r="H11" i="106" s="1"/>
  <c r="H32" i="106" s="1"/>
  <c r="H76" i="106" s="1"/>
  <c r="H9" i="90"/>
  <c r="H11" i="90" s="1"/>
  <c r="H33" i="90" s="1"/>
  <c r="H9" i="81"/>
  <c r="H9" i="92"/>
  <c r="L9" i="73"/>
  <c r="H9" i="68"/>
  <c r="N9" i="107"/>
  <c r="R13" i="105"/>
  <c r="F56" i="130" l="1"/>
  <c r="G56" i="130" s="1"/>
  <c r="G57" i="130" s="1"/>
  <c r="G59" i="130" s="1"/>
  <c r="G80" i="130" s="1"/>
  <c r="I56" i="130"/>
  <c r="N14" i="107"/>
  <c r="N33" i="107" s="1"/>
  <c r="AB9" i="93"/>
  <c r="H14" i="92"/>
  <c r="H11" i="81"/>
  <c r="H33" i="81" s="1"/>
  <c r="H87" i="81" s="1"/>
  <c r="L10" i="73"/>
  <c r="L32" i="73" s="1"/>
  <c r="L84" i="73" s="1"/>
  <c r="X13" i="105"/>
  <c r="R14" i="105"/>
  <c r="L9" i="68"/>
  <c r="H11" i="68"/>
  <c r="F12" i="75"/>
  <c r="AB14" i="93" l="1"/>
  <c r="H33" i="92"/>
  <c r="F14" i="75"/>
  <c r="Q10" i="106"/>
  <c r="H33" i="68"/>
  <c r="L11" i="68"/>
  <c r="R37" i="105"/>
  <c r="F12" i="109"/>
  <c r="L33" i="68" l="1"/>
  <c r="H87" i="68"/>
  <c r="N68" i="107"/>
  <c r="H66" i="92"/>
  <c r="R75" i="105"/>
  <c r="AB33" i="93"/>
  <c r="F14" i="109"/>
  <c r="R10" i="106"/>
  <c r="F34" i="75"/>
  <c r="F54" i="75" s="1"/>
  <c r="R76" i="105" l="1"/>
  <c r="F73" i="109"/>
  <c r="X75" i="105"/>
  <c r="AN82" i="91"/>
  <c r="AB66" i="93"/>
  <c r="H67" i="92"/>
  <c r="AN82" i="114"/>
  <c r="Z66" i="93"/>
  <c r="Z66" i="92"/>
  <c r="F32" i="109"/>
  <c r="T68" i="107"/>
  <c r="N69" i="107"/>
  <c r="N71" i="107" s="1"/>
  <c r="K56" i="130" l="1"/>
  <c r="M56" i="130" s="1"/>
  <c r="R113" i="105"/>
  <c r="R121" i="105" s="1"/>
  <c r="F45" i="109"/>
  <c r="R78" i="105"/>
  <c r="F42" i="109"/>
  <c r="Q68" i="106"/>
  <c r="N84" i="107"/>
  <c r="N75" i="107"/>
  <c r="H69" i="92"/>
  <c r="AB67" i="93"/>
  <c r="F74" i="109"/>
  <c r="F76" i="109" l="1"/>
  <c r="AA66" i="93"/>
  <c r="F44" i="109"/>
  <c r="R68" i="106"/>
  <c r="H82" i="92"/>
  <c r="H73" i="92"/>
  <c r="R114" i="105"/>
  <c r="R122" i="105" s="1"/>
  <c r="R91" i="105"/>
  <c r="R82" i="105"/>
  <c r="AC66" i="93" l="1"/>
  <c r="F75" i="109"/>
  <c r="F47" i="109"/>
  <c r="F71" i="109" l="1"/>
  <c r="F52" i="109"/>
  <c r="F77" i="109"/>
  <c r="E9" i="105" l="1"/>
  <c r="C51" i="130" l="1"/>
  <c r="C57" i="130" s="1"/>
  <c r="C59" i="130" s="1"/>
  <c r="X9" i="105"/>
  <c r="E14" i="105"/>
  <c r="I19" i="130"/>
  <c r="I24" i="130" s="1"/>
  <c r="I28" i="130" s="1"/>
  <c r="R9" i="81"/>
  <c r="R9" i="93"/>
  <c r="E9" i="107"/>
  <c r="AF9" i="91"/>
  <c r="Y9" i="73"/>
  <c r="R9" i="92"/>
  <c r="I9" i="72"/>
  <c r="AF9" i="114"/>
  <c r="R14" i="92" l="1"/>
  <c r="R33" i="92" s="1"/>
  <c r="Z9" i="92"/>
  <c r="Z14" i="92" s="1"/>
  <c r="Z33" i="92" s="1"/>
  <c r="AF11" i="114"/>
  <c r="AF33" i="114" s="1"/>
  <c r="AN9" i="114"/>
  <c r="AN11" i="114" s="1"/>
  <c r="AN33" i="114" s="1"/>
  <c r="AG9" i="73"/>
  <c r="AG10" i="73" s="1"/>
  <c r="AG32" i="73" s="1"/>
  <c r="AG84" i="73" s="1"/>
  <c r="Y10" i="73"/>
  <c r="Y32" i="73" s="1"/>
  <c r="E37" i="105"/>
  <c r="N12" i="109"/>
  <c r="Q9" i="72"/>
  <c r="I11" i="72"/>
  <c r="I32" i="72" s="1"/>
  <c r="L12" i="75"/>
  <c r="T9" i="107"/>
  <c r="T14" i="107" s="1"/>
  <c r="T33" i="107" s="1"/>
  <c r="E14" i="107"/>
  <c r="E33" i="107" s="1"/>
  <c r="AF79" i="91"/>
  <c r="AF83" i="91" s="1"/>
  <c r="AF85" i="91" s="1"/>
  <c r="AF94" i="91" s="1"/>
  <c r="AF79" i="114"/>
  <c r="AF83" i="114" s="1"/>
  <c r="AF85" i="114" s="1"/>
  <c r="AF94" i="114" s="1"/>
  <c r="R77" i="81"/>
  <c r="R81" i="81" s="1"/>
  <c r="R83" i="81" s="1"/>
  <c r="R96" i="81" s="1"/>
  <c r="E65" i="107"/>
  <c r="I76" i="72"/>
  <c r="R63" i="92"/>
  <c r="R67" i="92" s="1"/>
  <c r="R69" i="92" s="1"/>
  <c r="R82" i="92" s="1"/>
  <c r="R63" i="93"/>
  <c r="Y76" i="73"/>
  <c r="Y79" i="73" s="1"/>
  <c r="Y81" i="73" s="1"/>
  <c r="Y96" i="73" s="1"/>
  <c r="AG96" i="73" s="1"/>
  <c r="AG100" i="73" s="1"/>
  <c r="AG104" i="73" s="1"/>
  <c r="E72" i="105"/>
  <c r="AN9" i="91"/>
  <c r="AN11" i="91" s="1"/>
  <c r="AN33" i="91" s="1"/>
  <c r="AF11" i="91"/>
  <c r="AF33" i="91" s="1"/>
  <c r="R14" i="93"/>
  <c r="R33" i="93" s="1"/>
  <c r="Z9" i="93"/>
  <c r="R11" i="81"/>
  <c r="R33" i="81" s="1"/>
  <c r="Z9" i="81"/>
  <c r="Z11" i="81" s="1"/>
  <c r="Z33" i="81" s="1"/>
  <c r="Z87" i="81" s="1"/>
  <c r="I51" i="130"/>
  <c r="I57" i="130" s="1"/>
  <c r="I59" i="130" s="1"/>
  <c r="O57" i="130" s="1"/>
  <c r="Q6" i="106"/>
  <c r="X14" i="105"/>
  <c r="X37" i="105" s="1"/>
  <c r="R87" i="81" l="1"/>
  <c r="P12" i="109"/>
  <c r="N14" i="109"/>
  <c r="I80" i="130"/>
  <c r="K23" i="130"/>
  <c r="C19" i="130"/>
  <c r="C24" i="130" s="1"/>
  <c r="C28" i="130" s="1"/>
  <c r="C80" i="130" s="1"/>
  <c r="AA9" i="93"/>
  <c r="AC9" i="93" s="1"/>
  <c r="AD9" i="93" s="1"/>
  <c r="Z14" i="93"/>
  <c r="E83" i="105"/>
  <c r="N73" i="109"/>
  <c r="X72" i="105"/>
  <c r="E76" i="105"/>
  <c r="I80" i="72"/>
  <c r="Q76" i="72"/>
  <c r="T65" i="107"/>
  <c r="T69" i="107" s="1"/>
  <c r="T71" i="107" s="1"/>
  <c r="T75" i="107" s="1"/>
  <c r="E69" i="107"/>
  <c r="E71" i="107" s="1"/>
  <c r="E84" i="107" s="1"/>
  <c r="Y84" i="73"/>
  <c r="R73" i="92"/>
  <c r="N12" i="75"/>
  <c r="L14" i="75"/>
  <c r="F19" i="130"/>
  <c r="Q11" i="106"/>
  <c r="Q32" i="106" s="1"/>
  <c r="R6" i="106"/>
  <c r="R11" i="106" s="1"/>
  <c r="R67" i="93"/>
  <c r="R69" i="93" s="1"/>
  <c r="R82" i="93" s="1"/>
  <c r="AN79" i="114"/>
  <c r="AN83" i="114" s="1"/>
  <c r="AN85" i="114" s="1"/>
  <c r="AN94" i="114" s="1"/>
  <c r="Z63" i="93"/>
  <c r="Z67" i="93" s="1"/>
  <c r="Z69" i="93" s="1"/>
  <c r="AN79" i="91"/>
  <c r="AN83" i="91" s="1"/>
  <c r="AN85" i="91" s="1"/>
  <c r="AN94" i="91" s="1"/>
  <c r="Z63" i="92"/>
  <c r="Z67" i="92" s="1"/>
  <c r="Z69" i="92" s="1"/>
  <c r="Z82" i="92" s="1"/>
  <c r="S9" i="72"/>
  <c r="Q11" i="72"/>
  <c r="Q32" i="72" l="1"/>
  <c r="S11" i="72"/>
  <c r="K51" i="130"/>
  <c r="M19" i="130"/>
  <c r="F24" i="130"/>
  <c r="N45" i="109"/>
  <c r="P45" i="109" s="1"/>
  <c r="E113" i="105"/>
  <c r="E121" i="105" s="1"/>
  <c r="E78" i="105"/>
  <c r="N42" i="109"/>
  <c r="AC14" i="93"/>
  <c r="Z33" i="93"/>
  <c r="M23" i="130"/>
  <c r="K24" i="130"/>
  <c r="L34" i="75"/>
  <c r="N14" i="75"/>
  <c r="N34" i="75" s="1"/>
  <c r="Z73" i="92"/>
  <c r="E75" i="107"/>
  <c r="S76" i="72"/>
  <c r="Q80" i="72"/>
  <c r="N76" i="109"/>
  <c r="N74" i="109"/>
  <c r="P73" i="109"/>
  <c r="P76" i="109" s="1"/>
  <c r="T80" i="107"/>
  <c r="T84" i="107"/>
  <c r="X76" i="105"/>
  <c r="Q65" i="106"/>
  <c r="AB70" i="93"/>
  <c r="D78" i="107"/>
  <c r="AC69" i="93"/>
  <c r="Z82" i="93"/>
  <c r="D85" i="105"/>
  <c r="D76" i="92"/>
  <c r="R32" i="106"/>
  <c r="L47" i="75"/>
  <c r="L44" i="75" s="1"/>
  <c r="L46" i="75" s="1"/>
  <c r="L49" i="75" s="1"/>
  <c r="I82" i="72"/>
  <c r="AF4" i="109"/>
  <c r="AE32" i="109"/>
  <c r="P14" i="109"/>
  <c r="P32" i="109" s="1"/>
  <c r="N32" i="109"/>
  <c r="F51" i="130"/>
  <c r="F57" i="130" s="1"/>
  <c r="F59" i="130" s="1"/>
  <c r="R73" i="93"/>
  <c r="AF32" i="109" l="1"/>
  <c r="AC33" i="93"/>
  <c r="Z73" i="93"/>
  <c r="O32" i="130"/>
  <c r="F28" i="130"/>
  <c r="F80" i="130" s="1"/>
  <c r="N54" i="75"/>
  <c r="R11" i="75"/>
  <c r="M24" i="130"/>
  <c r="M28" i="130" s="1"/>
  <c r="K28" i="130"/>
  <c r="Q14" i="130"/>
  <c r="R65" i="106"/>
  <c r="Q69" i="106"/>
  <c r="S80" i="72"/>
  <c r="Q82" i="72"/>
  <c r="Q86" i="72" s="1"/>
  <c r="L54" i="75"/>
  <c r="P42" i="109"/>
  <c r="P44" i="109" s="1"/>
  <c r="P75" i="109" s="1"/>
  <c r="N44" i="109"/>
  <c r="AA63" i="93"/>
  <c r="I98" i="72"/>
  <c r="Q98" i="72" s="1"/>
  <c r="Q102" i="72" s="1"/>
  <c r="I86" i="72"/>
  <c r="X113" i="105"/>
  <c r="X121" i="105" s="1"/>
  <c r="X78" i="105"/>
  <c r="E91" i="105"/>
  <c r="E114" i="105"/>
  <c r="E122" i="105" s="1"/>
  <c r="E82" i="105"/>
  <c r="K57" i="130"/>
  <c r="M51" i="130"/>
  <c r="M57" i="130" s="1"/>
  <c r="M59" i="130" s="1"/>
  <c r="S32" i="72"/>
  <c r="K59" i="130" l="1"/>
  <c r="K80" i="130" s="1"/>
  <c r="Q27" i="130"/>
  <c r="Q104" i="72"/>
  <c r="Q106" i="72" s="1"/>
  <c r="S82" i="72"/>
  <c r="N75" i="109"/>
  <c r="N47" i="109"/>
  <c r="N28" i="130"/>
  <c r="R69" i="106"/>
  <c r="Q72" i="106"/>
  <c r="M80" i="130"/>
  <c r="X114" i="105"/>
  <c r="X122" i="105" s="1"/>
  <c r="X91" i="105"/>
  <c r="X82" i="105"/>
  <c r="AC63" i="93"/>
  <c r="AA67" i="93"/>
  <c r="AC67" i="93" s="1"/>
  <c r="R13" i="75"/>
  <c r="R14" i="75" s="1"/>
  <c r="R19" i="75"/>
  <c r="R21" i="75" s="1"/>
  <c r="R22" i="75" s="1"/>
  <c r="Q16" i="130"/>
  <c r="P14" i="130" s="1"/>
  <c r="Q77" i="106" l="1"/>
  <c r="R72" i="106"/>
  <c r="R76" i="106" s="1"/>
  <c r="Q76" i="106"/>
  <c r="P47" i="109"/>
  <c r="N71" i="109"/>
  <c r="N77" i="109"/>
  <c r="N52" i="109"/>
  <c r="Q28" i="130"/>
  <c r="P27" i="130" s="1"/>
  <c r="P12" i="130"/>
  <c r="P7" i="130"/>
  <c r="P8" i="130"/>
  <c r="P13" i="130"/>
  <c r="P9" i="130"/>
  <c r="P10" i="130"/>
  <c r="P11" i="130"/>
  <c r="P6" i="130"/>
  <c r="P15" i="130"/>
  <c r="O60" i="130"/>
  <c r="P57" i="130"/>
  <c r="O59" i="130"/>
  <c r="N59" i="130"/>
  <c r="P16" i="130" l="1"/>
  <c r="P19" i="130"/>
  <c r="P21" i="130"/>
  <c r="P18" i="130"/>
  <c r="P26" i="130"/>
  <c r="P24" i="130"/>
  <c r="P23" i="130"/>
  <c r="P25" i="130"/>
  <c r="P22" i="130"/>
  <c r="P20" i="130"/>
  <c r="Q47" i="109"/>
  <c r="P77" i="109"/>
  <c r="P52" i="109"/>
  <c r="P71" i="109"/>
  <c r="P28" i="130" l="1"/>
</calcChain>
</file>

<file path=xl/comments1.xml><?xml version="1.0" encoding="utf-8"?>
<comments xmlns="http://schemas.openxmlformats.org/spreadsheetml/2006/main">
  <authors>
    <author>DianeL</author>
    <author>Bobbi Williams</author>
  </authors>
  <commentList>
    <comment ref="A21" authorId="0">
      <text>
        <r>
          <rPr>
            <b/>
            <sz val="8"/>
            <color indexed="81"/>
            <rFont val="Tahoma"/>
            <family val="2"/>
          </rPr>
          <t>DianeL:</t>
        </r>
        <r>
          <rPr>
            <sz val="8"/>
            <color indexed="81"/>
            <rFont val="Tahoma"/>
            <family val="2"/>
          </rPr>
          <t xml:space="preserve">
Remove when zero
</t>
        </r>
      </text>
    </comment>
    <comment ref="L29" authorId="1">
      <text>
        <r>
          <rPr>
            <b/>
            <sz val="9"/>
            <color indexed="81"/>
            <rFont val="Tahoma"/>
            <family val="2"/>
          </rPr>
          <t>Bobbi Williams:</t>
        </r>
        <r>
          <rPr>
            <sz val="9"/>
            <color indexed="81"/>
            <rFont val="Tahoma"/>
            <family val="2"/>
          </rPr>
          <t xml:space="preserve">
Additional revenue of $160,000 approved by City Commission</t>
        </r>
      </text>
    </comment>
    <comment ref="D30" authorId="1">
      <text>
        <r>
          <rPr>
            <b/>
            <sz val="9"/>
            <color indexed="81"/>
            <rFont val="Tahoma"/>
            <family val="2"/>
          </rPr>
          <t>Bobbi Williams:
Additional revenue of $160,000 approved at City Commission meeting</t>
        </r>
      </text>
    </comment>
    <comment ref="D39" authorId="1">
      <text>
        <r>
          <rPr>
            <b/>
            <sz val="9"/>
            <color indexed="81"/>
            <rFont val="Tahoma"/>
            <family val="2"/>
          </rPr>
          <t>Bobbi Williams:</t>
        </r>
        <r>
          <rPr>
            <sz val="9"/>
            <color indexed="81"/>
            <rFont val="Tahoma"/>
            <family val="2"/>
          </rPr>
          <t xml:space="preserve">
Additional revenue of $160,000 approved by City Commission</t>
        </r>
      </text>
    </comment>
    <comment ref="L45" authorId="1">
      <text>
        <r>
          <rPr>
            <b/>
            <sz val="9"/>
            <color indexed="81"/>
            <rFont val="Tahoma"/>
            <family val="2"/>
          </rPr>
          <t>Bobbi Williams:</t>
        </r>
        <r>
          <rPr>
            <sz val="9"/>
            <color indexed="81"/>
            <rFont val="Tahoma"/>
            <family val="2"/>
          </rPr>
          <t xml:space="preserve">
Additional $160,000 approved by City Commission
</t>
        </r>
      </text>
    </comment>
  </commentList>
</comments>
</file>

<file path=xl/comments2.xml><?xml version="1.0" encoding="utf-8"?>
<comments xmlns="http://schemas.openxmlformats.org/spreadsheetml/2006/main">
  <authors>
    <author>DianeL</author>
  </authors>
  <commentList>
    <comment ref="A18" authorId="0">
      <text>
        <r>
          <rPr>
            <b/>
            <sz val="8"/>
            <color indexed="81"/>
            <rFont val="Tahoma"/>
            <family val="2"/>
          </rPr>
          <t>DianeL:</t>
        </r>
        <r>
          <rPr>
            <sz val="8"/>
            <color indexed="81"/>
            <rFont val="Tahoma"/>
            <family val="2"/>
          </rPr>
          <t xml:space="preserve">
Remove when zero
</t>
        </r>
      </text>
    </comment>
    <comment ref="D65" authorId="0">
      <text>
        <r>
          <rPr>
            <b/>
            <sz val="8"/>
            <color indexed="81"/>
            <rFont val="Tahoma"/>
            <family val="2"/>
          </rPr>
          <t>DianeL:</t>
        </r>
        <r>
          <rPr>
            <b/>
            <sz val="8"/>
            <color indexed="81"/>
            <rFont val="Tahoma"/>
            <family val="2"/>
          </rPr>
          <t xml:space="preserve">
FD001 Subobject 2405 not in Operating GF</t>
        </r>
      </text>
    </comment>
  </commentList>
</comments>
</file>

<file path=xl/comments3.xml><?xml version="1.0" encoding="utf-8"?>
<comments xmlns="http://schemas.openxmlformats.org/spreadsheetml/2006/main">
  <authors>
    <author>DianeL</author>
  </authors>
  <commentList>
    <comment ref="A18" authorId="0">
      <text>
        <r>
          <rPr>
            <b/>
            <sz val="8"/>
            <color indexed="81"/>
            <rFont val="Tahoma"/>
            <family val="2"/>
          </rPr>
          <t>DianeL:</t>
        </r>
        <r>
          <rPr>
            <sz val="8"/>
            <color indexed="81"/>
            <rFont val="Tahoma"/>
            <family val="2"/>
          </rPr>
          <t xml:space="preserve">
Remove when zero
</t>
        </r>
      </text>
    </comment>
  </commentList>
</comments>
</file>

<file path=xl/comments4.xml><?xml version="1.0" encoding="utf-8"?>
<comments xmlns="http://schemas.openxmlformats.org/spreadsheetml/2006/main">
  <authors>
    <author>DianeL</author>
  </authors>
  <commentList>
    <comment ref="A17" authorId="0">
      <text>
        <r>
          <rPr>
            <b/>
            <sz val="8"/>
            <color indexed="81"/>
            <rFont val="Tahoma"/>
            <family val="2"/>
          </rPr>
          <t>DianeL:</t>
        </r>
        <r>
          <rPr>
            <sz val="8"/>
            <color indexed="81"/>
            <rFont val="Tahoma"/>
            <family val="2"/>
          </rPr>
          <t xml:space="preserve">
Remove when zero
</t>
        </r>
      </text>
    </comment>
    <comment ref="Q17" authorId="0">
      <text>
        <r>
          <rPr>
            <b/>
            <sz val="8"/>
            <color indexed="81"/>
            <rFont val="Tahoma"/>
            <family val="2"/>
          </rPr>
          <t>DianeL:</t>
        </r>
        <r>
          <rPr>
            <sz val="8"/>
            <color indexed="81"/>
            <rFont val="Tahoma"/>
            <family val="2"/>
          </rPr>
          <t xml:space="preserve">
Remove when zero
</t>
        </r>
      </text>
    </comment>
    <comment ref="D64" authorId="0">
      <text>
        <r>
          <rPr>
            <b/>
            <sz val="8"/>
            <color indexed="81"/>
            <rFont val="Tahoma"/>
            <family val="2"/>
          </rPr>
          <t>DianeL:</t>
        </r>
        <r>
          <rPr>
            <b/>
            <sz val="8"/>
            <color indexed="81"/>
            <rFont val="Tahoma"/>
            <family val="2"/>
          </rPr>
          <t xml:space="preserve">
FD001 Subobject 2405 not in Operating GF</t>
        </r>
      </text>
    </comment>
  </commentList>
</comments>
</file>

<file path=xl/comments5.xml><?xml version="1.0" encoding="utf-8"?>
<comments xmlns="http://schemas.openxmlformats.org/spreadsheetml/2006/main">
  <authors>
    <author>DianeL</author>
  </authors>
  <commentList>
    <comment ref="A18" authorId="0">
      <text>
        <r>
          <rPr>
            <b/>
            <sz val="8"/>
            <color indexed="81"/>
            <rFont val="Tahoma"/>
            <family val="2"/>
          </rPr>
          <t>DianeL:</t>
        </r>
        <r>
          <rPr>
            <sz val="8"/>
            <color indexed="81"/>
            <rFont val="Tahoma"/>
            <family val="2"/>
          </rPr>
          <t xml:space="preserve">
Remove when zero
</t>
        </r>
      </text>
    </comment>
    <comment ref="D65" authorId="0">
      <text>
        <r>
          <rPr>
            <b/>
            <sz val="8"/>
            <color indexed="81"/>
            <rFont val="Tahoma"/>
            <family val="2"/>
          </rPr>
          <t>DianeL:</t>
        </r>
        <r>
          <rPr>
            <b/>
            <sz val="8"/>
            <color indexed="81"/>
            <rFont val="Tahoma"/>
            <family val="2"/>
          </rPr>
          <t xml:space="preserve">
FD001 Subobject 2405 not in Operating GF</t>
        </r>
      </text>
    </comment>
  </commentList>
</comments>
</file>

<file path=xl/comments6.xml><?xml version="1.0" encoding="utf-8"?>
<comments xmlns="http://schemas.openxmlformats.org/spreadsheetml/2006/main">
  <authors>
    <author>DianeL</author>
  </authors>
  <commentList>
    <comment ref="M17" authorId="0">
      <text>
        <r>
          <rPr>
            <b/>
            <sz val="8"/>
            <color indexed="81"/>
            <rFont val="Tahoma"/>
            <family val="2"/>
          </rPr>
          <t>DianeL:</t>
        </r>
        <r>
          <rPr>
            <sz val="8"/>
            <color indexed="81"/>
            <rFont val="Tahoma"/>
            <family val="2"/>
          </rPr>
          <t xml:space="preserve">
Remove when zero
</t>
        </r>
      </text>
    </comment>
  </commentList>
</comments>
</file>

<file path=xl/comments7.xml><?xml version="1.0" encoding="utf-8"?>
<comments xmlns="http://schemas.openxmlformats.org/spreadsheetml/2006/main">
  <authors>
    <author>DianeL</author>
  </authors>
  <commentList>
    <comment ref="D65" authorId="0">
      <text>
        <r>
          <rPr>
            <b/>
            <sz val="8"/>
            <color indexed="81"/>
            <rFont val="Tahoma"/>
            <family val="2"/>
          </rPr>
          <t>DianeL:</t>
        </r>
        <r>
          <rPr>
            <b/>
            <sz val="8"/>
            <color indexed="81"/>
            <rFont val="Tahoma"/>
            <family val="2"/>
          </rPr>
          <t xml:space="preserve">
FD001 Subobject 2405 not in Operating GF</t>
        </r>
      </text>
    </comment>
  </commentList>
</comments>
</file>

<file path=xl/comments8.xml><?xml version="1.0" encoding="utf-8"?>
<comments xmlns="http://schemas.openxmlformats.org/spreadsheetml/2006/main">
  <authors>
    <author>DianeL</author>
  </authors>
  <commentList>
    <comment ref="A18" authorId="0">
      <text>
        <r>
          <rPr>
            <b/>
            <sz val="8"/>
            <color indexed="81"/>
            <rFont val="Tahoma"/>
            <family val="2"/>
          </rPr>
          <t>DianeL:</t>
        </r>
        <r>
          <rPr>
            <sz val="8"/>
            <color indexed="81"/>
            <rFont val="Tahoma"/>
            <family val="2"/>
          </rPr>
          <t xml:space="preserve">
Remove when zero
</t>
        </r>
      </text>
    </comment>
    <comment ref="D65" authorId="0">
      <text>
        <r>
          <rPr>
            <b/>
            <sz val="8"/>
            <color indexed="81"/>
            <rFont val="Tahoma"/>
            <family val="2"/>
          </rPr>
          <t>DianeL:</t>
        </r>
        <r>
          <rPr>
            <b/>
            <sz val="8"/>
            <color indexed="81"/>
            <rFont val="Tahoma"/>
            <family val="2"/>
          </rPr>
          <t xml:space="preserve">
FD001 Subobject 2405 not in Operating GF</t>
        </r>
      </text>
    </comment>
  </commentList>
</comments>
</file>

<file path=xl/comments9.xml><?xml version="1.0" encoding="utf-8"?>
<comments xmlns="http://schemas.openxmlformats.org/spreadsheetml/2006/main">
  <authors>
    <author>DianeL</author>
  </authors>
  <commentList>
    <comment ref="D34" authorId="0">
      <text>
        <r>
          <rPr>
            <b/>
            <sz val="8"/>
            <color indexed="81"/>
            <rFont val="Tahoma"/>
            <family val="2"/>
          </rPr>
          <t>DianeL:</t>
        </r>
        <r>
          <rPr>
            <b/>
            <sz val="8"/>
            <color indexed="81"/>
            <rFont val="Tahoma"/>
            <family val="2"/>
          </rPr>
          <t xml:space="preserve">
FAMIS 6400 
FIN 50543</t>
        </r>
      </text>
    </comment>
    <comment ref="H40" authorId="0">
      <text>
        <r>
          <rPr>
            <b/>
            <sz val="8"/>
            <color indexed="81"/>
            <rFont val="Tahoma"/>
            <family val="2"/>
          </rPr>
          <t>DianeL: Famis 6400</t>
        </r>
        <r>
          <rPr>
            <b/>
            <sz val="8"/>
            <color indexed="81"/>
            <rFont val="Tahoma"/>
            <family val="2"/>
          </rPr>
          <t xml:space="preserve">
par PAR 50583</t>
        </r>
      </text>
    </comment>
  </commentList>
</comments>
</file>

<file path=xl/comments10.xml><?xml version="1.0" encoding="utf-8"?>
<comments xmlns="http://schemas.openxmlformats.org/spreadsheetml/2006/main">
  <authors>
    <author>DianeL</author>
  </authors>
  <commentList>
    <comment ref="D65" authorId="0">
      <text>
        <r>
          <rPr>
            <b/>
            <sz val="8"/>
            <color indexed="81"/>
            <rFont val="Tahoma"/>
            <family val="2"/>
          </rPr>
          <t>DianeL:</t>
        </r>
        <r>
          <rPr>
            <b/>
            <sz val="8"/>
            <color indexed="81"/>
            <rFont val="Tahoma"/>
            <family val="2"/>
          </rPr>
          <t xml:space="preserve">
FD001 Subobject 2405 not in Operating GF</t>
        </r>
      </text>
    </comment>
  </commentList>
</comments>
</file>

<file path=xl/comments11.xml><?xml version="1.0" encoding="utf-8"?>
<comments xmlns="http://schemas.openxmlformats.org/spreadsheetml/2006/main">
  <authors>
    <author>ColletteO</author>
    <author>DianeL</author>
    <author>MargaretE</author>
  </authors>
  <commentList>
    <comment ref="C40" authorId="0">
      <text>
        <r>
          <rPr>
            <b/>
            <sz val="8"/>
            <color indexed="81"/>
            <rFont val="Tahoma"/>
            <family val="2"/>
          </rPr>
          <t>ColletteO:</t>
        </r>
        <r>
          <rPr>
            <b/>
            <sz val="8"/>
            <color indexed="81"/>
            <rFont val="Tahoma"/>
            <family val="2"/>
          </rPr>
          <t xml:space="preserve">
This has a plug because I can not find the $8. I have looked everywhere. It has to do with FD236.04 sub 9236.</t>
        </r>
      </text>
    </comment>
    <comment ref="C48" authorId="1">
      <text>
        <r>
          <rPr>
            <b/>
            <sz val="8"/>
            <color indexed="81"/>
            <rFont val="Tahoma"/>
            <family val="2"/>
          </rPr>
          <t>DianeL:</t>
        </r>
        <r>
          <rPr>
            <sz val="8"/>
            <color indexed="81"/>
            <rFont val="Tahoma"/>
            <family val="2"/>
          </rPr>
          <t xml:space="preserve">
FD001 Subobject 9129</t>
        </r>
      </text>
    </comment>
    <comment ref="E49" authorId="2">
      <text>
        <r>
          <rPr>
            <b/>
            <sz val="8"/>
            <color indexed="81"/>
            <rFont val="Tahoma"/>
            <family val="2"/>
          </rPr>
          <t>MargaretE:</t>
        </r>
        <r>
          <rPr>
            <b/>
            <sz val="8"/>
            <color indexed="81"/>
            <rFont val="Tahoma"/>
            <family val="2"/>
          </rPr>
          <t xml:space="preserve">
Add $75,795 for CR08 Deputy CRA Dir.  Removed from oper. Budget. New total $8,818,271.  9/15/09</t>
        </r>
      </text>
    </comment>
  </commentList>
</comments>
</file>

<file path=xl/comments12.xml><?xml version="1.0" encoding="utf-8"?>
<comments xmlns="http://schemas.openxmlformats.org/spreadsheetml/2006/main">
  <authors>
    <author>DianeL</author>
  </authors>
  <commentList>
    <comment ref="G16" authorId="0">
      <text>
        <r>
          <rPr>
            <b/>
            <sz val="8"/>
            <color indexed="81"/>
            <rFont val="Tahoma"/>
            <family val="2"/>
          </rPr>
          <t>DianeL:</t>
        </r>
        <r>
          <rPr>
            <b/>
            <sz val="8"/>
            <color indexed="81"/>
            <rFont val="Tahoma"/>
            <family val="2"/>
          </rPr>
          <t xml:space="preserve">
Tax Increment Sheet
95% Property Taxes Due
</t>
        </r>
      </text>
    </comment>
  </commentList>
</comments>
</file>

<file path=xl/comments13.xml><?xml version="1.0" encoding="utf-8"?>
<comments xmlns="http://schemas.openxmlformats.org/spreadsheetml/2006/main">
  <authors>
    <author>DianeL</author>
  </authors>
  <commentList>
    <comment ref="G16" authorId="0">
      <text>
        <r>
          <rPr>
            <b/>
            <sz val="8"/>
            <color indexed="81"/>
            <rFont val="Tahoma"/>
            <family val="2"/>
          </rPr>
          <t>DianeL:</t>
        </r>
        <r>
          <rPr>
            <b/>
            <sz val="8"/>
            <color indexed="81"/>
            <rFont val="Tahoma"/>
            <family val="2"/>
          </rPr>
          <t xml:space="preserve">
Tax Increment Sheet
95% Property Taxes Due
</t>
        </r>
      </text>
    </comment>
  </commentList>
</comments>
</file>

<file path=xl/comments14.xml><?xml version="1.0" encoding="utf-8"?>
<comments xmlns="http://schemas.openxmlformats.org/spreadsheetml/2006/main">
  <authors>
    <author>MargaretE</author>
  </authors>
  <commentList>
    <comment ref="G23" authorId="0">
      <text>
        <r>
          <rPr>
            <b/>
            <sz val="8"/>
            <color indexed="81"/>
            <rFont val="Tahoma"/>
            <family val="2"/>
          </rPr>
          <t>MargaretE:</t>
        </r>
        <r>
          <rPr>
            <b/>
            <sz val="8"/>
            <color indexed="81"/>
            <rFont val="Tahoma"/>
            <family val="2"/>
          </rPr>
          <t xml:space="preserve">
prorated based on payroll projection but Pam's char 10 does not reconcile to payroll projection.  plugged
</t>
        </r>
      </text>
    </comment>
    <comment ref="G24" authorId="0">
      <text>
        <r>
          <rPr>
            <b/>
            <sz val="8"/>
            <color indexed="81"/>
            <rFont val="Tahoma"/>
            <family val="2"/>
          </rPr>
          <t xml:space="preserve">MargaretE:
In order to balance fund level, and not having any of the grant exp index codes valid, I put all dollars here.  With an adjustment to provide Char. 20 estimate.  
7/10/09
</t>
        </r>
      </text>
    </comment>
  </commentList>
</comments>
</file>

<file path=xl/comments15.xml><?xml version="1.0" encoding="utf-8"?>
<comments xmlns="http://schemas.openxmlformats.org/spreadsheetml/2006/main">
  <authors>
    <author>MargaretE</author>
  </authors>
  <commentList>
    <comment ref="B12" authorId="0">
      <text>
        <r>
          <rPr>
            <b/>
            <sz val="8"/>
            <color indexed="81"/>
            <rFont val="Tahoma"/>
            <family val="2"/>
          </rPr>
          <t>MargaretE:</t>
        </r>
        <r>
          <rPr>
            <b/>
            <sz val="8"/>
            <color indexed="81"/>
            <rFont val="Tahoma"/>
            <family val="2"/>
          </rPr>
          <t xml:space="preserve">
Sum of Char. 06 for Fund 106,112 and 135 and 108</t>
        </r>
      </text>
    </comment>
    <comment ref="C12" authorId="0">
      <text>
        <r>
          <rPr>
            <b/>
            <sz val="8"/>
            <color indexed="81"/>
            <rFont val="Tahoma"/>
            <family val="2"/>
          </rPr>
          <t>MargaretE:</t>
        </r>
        <r>
          <rPr>
            <b/>
            <sz val="8"/>
            <color indexed="81"/>
            <rFont val="Tahoma"/>
            <family val="2"/>
          </rPr>
          <t xml:space="preserve">
Sum of Char. 06 for Fund 106,112 and 135 and 108</t>
        </r>
      </text>
    </comment>
    <comment ref="D12" authorId="0">
      <text>
        <r>
          <rPr>
            <b/>
            <sz val="8"/>
            <color indexed="81"/>
            <rFont val="Tahoma"/>
            <family val="2"/>
          </rPr>
          <t>MargaretE:</t>
        </r>
        <r>
          <rPr>
            <b/>
            <sz val="8"/>
            <color indexed="81"/>
            <rFont val="Tahoma"/>
            <family val="2"/>
          </rPr>
          <t xml:space="preserve">
Sum of Char. 06 for Fund 106,112 and 135 and 108</t>
        </r>
      </text>
    </comment>
    <comment ref="E12" authorId="0">
      <text>
        <r>
          <rPr>
            <b/>
            <sz val="8"/>
            <color indexed="81"/>
            <rFont val="Tahoma"/>
            <family val="2"/>
          </rPr>
          <t>MargaretE:</t>
        </r>
        <r>
          <rPr>
            <b/>
            <sz val="8"/>
            <color indexed="81"/>
            <rFont val="Tahoma"/>
            <family val="2"/>
          </rPr>
          <t xml:space="preserve">
Sum of Char. 06 for Fund 106,112 and 135 and 108</t>
        </r>
      </text>
    </comment>
    <comment ref="F12" authorId="0">
      <text>
        <r>
          <rPr>
            <b/>
            <sz val="8"/>
            <color indexed="81"/>
            <rFont val="Tahoma"/>
            <family val="2"/>
          </rPr>
          <t>MargaretE:</t>
        </r>
        <r>
          <rPr>
            <b/>
            <sz val="8"/>
            <color indexed="81"/>
            <rFont val="Tahoma"/>
            <family val="2"/>
          </rPr>
          <t xml:space="preserve">
Sum of Char. 06 for Fund 106,112 and 135 and 108</t>
        </r>
      </text>
    </comment>
    <comment ref="G12" authorId="0">
      <text>
        <r>
          <rPr>
            <b/>
            <sz val="8"/>
            <color indexed="81"/>
            <rFont val="Tahoma"/>
            <family val="2"/>
          </rPr>
          <t>MargaretE:</t>
        </r>
        <r>
          <rPr>
            <b/>
            <sz val="8"/>
            <color indexed="81"/>
            <rFont val="Tahoma"/>
            <family val="2"/>
          </rPr>
          <t xml:space="preserve">
Sum of Char. 06 for Fund 106,112 and 135 and 108</t>
        </r>
      </text>
    </comment>
    <comment ref="H12" authorId="0">
      <text>
        <r>
          <rPr>
            <b/>
            <sz val="8"/>
            <color indexed="81"/>
            <rFont val="Tahoma"/>
            <family val="2"/>
          </rPr>
          <t>MargaretE:</t>
        </r>
        <r>
          <rPr>
            <b/>
            <sz val="8"/>
            <color indexed="81"/>
            <rFont val="Tahoma"/>
            <family val="2"/>
          </rPr>
          <t xml:space="preserve">
Sum of Char. 06 for Fund 106,112 and 135 and 108</t>
        </r>
      </text>
    </comment>
    <comment ref="F16" authorId="0">
      <text>
        <r>
          <rPr>
            <b/>
            <sz val="8"/>
            <color indexed="81"/>
            <rFont val="Tahoma"/>
            <family val="2"/>
          </rPr>
          <t>MargaretE:</t>
        </r>
        <r>
          <rPr>
            <b/>
            <sz val="8"/>
            <color indexed="81"/>
            <rFont val="Tahoma"/>
            <family val="2"/>
          </rPr>
          <t xml:space="preserve">
Sum of Char. 06 for Fund 106,112 and 135 and 108
</t>
        </r>
      </text>
    </comment>
    <comment ref="F17" authorId="0">
      <text>
        <r>
          <rPr>
            <b/>
            <sz val="8"/>
            <color indexed="81"/>
            <rFont val="Tahoma"/>
            <family val="2"/>
          </rPr>
          <t>MargaretE:</t>
        </r>
        <r>
          <rPr>
            <b/>
            <sz val="8"/>
            <color indexed="81"/>
            <rFont val="Tahoma"/>
            <family val="2"/>
          </rPr>
          <t xml:space="preserve">
Sum of Char. 06 for Fund 106,112 and 135 and 108
</t>
        </r>
      </text>
    </comment>
    <comment ref="F18" authorId="0">
      <text>
        <r>
          <rPr>
            <b/>
            <sz val="8"/>
            <color indexed="81"/>
            <rFont val="Tahoma"/>
            <family val="2"/>
          </rPr>
          <t>MargaretE:</t>
        </r>
        <r>
          <rPr>
            <b/>
            <sz val="8"/>
            <color indexed="81"/>
            <rFont val="Tahoma"/>
            <family val="2"/>
          </rPr>
          <t xml:space="preserve">
Sum of Char. 06 for Fund 106,112 and 135 and 108
</t>
        </r>
      </text>
    </comment>
    <comment ref="F19" authorId="0">
      <text>
        <r>
          <rPr>
            <b/>
            <sz val="8"/>
            <color indexed="81"/>
            <rFont val="Tahoma"/>
            <family val="2"/>
          </rPr>
          <t>MargaretE:</t>
        </r>
        <r>
          <rPr>
            <b/>
            <sz val="8"/>
            <color indexed="81"/>
            <rFont val="Tahoma"/>
            <family val="2"/>
          </rPr>
          <t xml:space="preserve">
Sum of Char. 06 for Fund 106,112 and 135 and 108
</t>
        </r>
      </text>
    </comment>
    <comment ref="F20" authorId="0">
      <text>
        <r>
          <rPr>
            <b/>
            <sz val="8"/>
            <color indexed="81"/>
            <rFont val="Tahoma"/>
            <family val="2"/>
          </rPr>
          <t>MargaretE:</t>
        </r>
        <r>
          <rPr>
            <b/>
            <sz val="8"/>
            <color indexed="81"/>
            <rFont val="Tahoma"/>
            <family val="2"/>
          </rPr>
          <t xml:space="preserve">
Sum of Char. 06 for Fund 106,112 and 135 and 108
</t>
        </r>
      </text>
    </comment>
    <comment ref="B21" authorId="0">
      <text>
        <r>
          <rPr>
            <b/>
            <sz val="8"/>
            <color indexed="81"/>
            <rFont val="Tahoma"/>
            <family val="2"/>
          </rPr>
          <t>MargaretE:</t>
        </r>
        <r>
          <rPr>
            <b/>
            <sz val="8"/>
            <color indexed="81"/>
            <rFont val="Tahoma"/>
            <family val="2"/>
          </rPr>
          <t xml:space="preserve">
Previous Year June Est. plus plug</t>
        </r>
      </text>
    </comment>
    <comment ref="C21" authorId="0">
      <text>
        <r>
          <rPr>
            <b/>
            <sz val="8"/>
            <color indexed="81"/>
            <rFont val="Tahoma"/>
            <family val="2"/>
          </rPr>
          <t>MargaretE:</t>
        </r>
        <r>
          <rPr>
            <b/>
            <sz val="8"/>
            <color indexed="81"/>
            <rFont val="Tahoma"/>
            <family val="2"/>
          </rPr>
          <t xml:space="preserve">
Previous Year June Est. plus plug</t>
        </r>
      </text>
    </comment>
    <comment ref="D21" authorId="0">
      <text>
        <r>
          <rPr>
            <b/>
            <sz val="8"/>
            <color indexed="81"/>
            <rFont val="Tahoma"/>
            <family val="2"/>
          </rPr>
          <t>MargaretE:</t>
        </r>
        <r>
          <rPr>
            <b/>
            <sz val="8"/>
            <color indexed="81"/>
            <rFont val="Tahoma"/>
            <family val="2"/>
          </rPr>
          <t xml:space="preserve">
Previous Year June Est. plus plug</t>
        </r>
      </text>
    </comment>
    <comment ref="E21" authorId="0">
      <text>
        <r>
          <rPr>
            <b/>
            <sz val="8"/>
            <color indexed="81"/>
            <rFont val="Tahoma"/>
            <family val="2"/>
          </rPr>
          <t>MargaretE:</t>
        </r>
        <r>
          <rPr>
            <b/>
            <sz val="8"/>
            <color indexed="81"/>
            <rFont val="Tahoma"/>
            <family val="2"/>
          </rPr>
          <t xml:space="preserve">
Previous Year June Est. plus plug</t>
        </r>
      </text>
    </comment>
    <comment ref="F21" authorId="0">
      <text>
        <r>
          <rPr>
            <b/>
            <sz val="8"/>
            <color indexed="81"/>
            <rFont val="Tahoma"/>
            <family val="2"/>
          </rPr>
          <t>MargaretE:</t>
        </r>
        <r>
          <rPr>
            <b/>
            <sz val="8"/>
            <color indexed="81"/>
            <rFont val="Tahoma"/>
            <family val="2"/>
          </rPr>
          <t xml:space="preserve">
Sum of Char. 06 for Fund 106,112 and 135 and 108
</t>
        </r>
      </text>
    </comment>
    <comment ref="G21" authorId="0">
      <text>
        <r>
          <rPr>
            <b/>
            <sz val="8"/>
            <color indexed="81"/>
            <rFont val="Tahoma"/>
            <family val="2"/>
          </rPr>
          <t>MargaretE:</t>
        </r>
        <r>
          <rPr>
            <b/>
            <sz val="8"/>
            <color indexed="81"/>
            <rFont val="Tahoma"/>
            <family val="2"/>
          </rPr>
          <t xml:space="preserve">
Previous Year June Est. plus plug</t>
        </r>
      </text>
    </comment>
    <comment ref="H21" authorId="0">
      <text>
        <r>
          <rPr>
            <b/>
            <sz val="8"/>
            <color indexed="81"/>
            <rFont val="Tahoma"/>
            <family val="2"/>
          </rPr>
          <t>MargaretE:</t>
        </r>
        <r>
          <rPr>
            <b/>
            <sz val="8"/>
            <color indexed="81"/>
            <rFont val="Tahoma"/>
            <family val="2"/>
          </rPr>
          <t xml:space="preserve">
Previous Year June Est. plus plug</t>
        </r>
      </text>
    </comment>
    <comment ref="B23" authorId="0">
      <text>
        <r>
          <rPr>
            <b/>
            <sz val="8"/>
            <color indexed="81"/>
            <rFont val="Tahoma"/>
            <family val="2"/>
          </rPr>
          <t>MargaretE:</t>
        </r>
        <r>
          <rPr>
            <b/>
            <sz val="8"/>
            <color indexed="81"/>
            <rFont val="Tahoma"/>
            <family val="2"/>
          </rPr>
          <t xml:space="preserve">
BEFORE PLUG this balances to FAMIS fund 106+112+135.   4/1/08
</t>
        </r>
      </text>
    </comment>
    <comment ref="C23" authorId="0">
      <text>
        <r>
          <rPr>
            <b/>
            <sz val="8"/>
            <color indexed="81"/>
            <rFont val="Tahoma"/>
            <family val="2"/>
          </rPr>
          <t>MargaretE:</t>
        </r>
        <r>
          <rPr>
            <b/>
            <sz val="8"/>
            <color indexed="81"/>
            <rFont val="Tahoma"/>
            <family val="2"/>
          </rPr>
          <t xml:space="preserve">
BEFORE PLUG this balances to FAMIS fund 106+112+135.   4/1/08
</t>
        </r>
      </text>
    </comment>
    <comment ref="D23" authorId="0">
      <text>
        <r>
          <rPr>
            <b/>
            <sz val="8"/>
            <color indexed="81"/>
            <rFont val="Tahoma"/>
            <family val="2"/>
          </rPr>
          <t>MargaretE:</t>
        </r>
        <r>
          <rPr>
            <b/>
            <sz val="8"/>
            <color indexed="81"/>
            <rFont val="Tahoma"/>
            <family val="2"/>
          </rPr>
          <t xml:space="preserve">
BEFORE PLUG this balances to FAMIS fund 106+112+135.   4/1/08
</t>
        </r>
      </text>
    </comment>
    <comment ref="E23" authorId="0">
      <text>
        <r>
          <rPr>
            <b/>
            <sz val="8"/>
            <color indexed="81"/>
            <rFont val="Tahoma"/>
            <family val="2"/>
          </rPr>
          <t>MargaretE:</t>
        </r>
        <r>
          <rPr>
            <b/>
            <sz val="8"/>
            <color indexed="81"/>
            <rFont val="Tahoma"/>
            <family val="2"/>
          </rPr>
          <t xml:space="preserve">
BEFORE PLUG this balances to FAMIS fund 106+112+135.   4/1/08
</t>
        </r>
      </text>
    </comment>
    <comment ref="F23" authorId="0">
      <text>
        <r>
          <rPr>
            <b/>
            <sz val="8"/>
            <color indexed="81"/>
            <rFont val="Tahoma"/>
            <family val="2"/>
          </rPr>
          <t>MargaretE:</t>
        </r>
        <r>
          <rPr>
            <b/>
            <sz val="8"/>
            <color indexed="81"/>
            <rFont val="Tahoma"/>
            <family val="2"/>
          </rPr>
          <t xml:space="preserve">
BEFORE PLUG this balances to FAMIS fund 106+112+135.   4/1/08
</t>
        </r>
      </text>
    </comment>
    <comment ref="G23" authorId="0">
      <text>
        <r>
          <rPr>
            <b/>
            <sz val="8"/>
            <color indexed="81"/>
            <rFont val="Tahoma"/>
            <family val="2"/>
          </rPr>
          <t>MargaretE:</t>
        </r>
        <r>
          <rPr>
            <b/>
            <sz val="8"/>
            <color indexed="81"/>
            <rFont val="Tahoma"/>
            <family val="2"/>
          </rPr>
          <t xml:space="preserve">
BEFORE PLUG this balances to FAMIS fund 106+112+135.   4/1/08
</t>
        </r>
      </text>
    </comment>
    <comment ref="H23" authorId="0">
      <text>
        <r>
          <rPr>
            <b/>
            <sz val="8"/>
            <color indexed="81"/>
            <rFont val="Tahoma"/>
            <family val="2"/>
          </rPr>
          <t>MargaretE:</t>
        </r>
        <r>
          <rPr>
            <b/>
            <sz val="8"/>
            <color indexed="81"/>
            <rFont val="Tahoma"/>
            <family val="2"/>
          </rPr>
          <t xml:space="preserve">
BEFORE PLUG this balances to FAMIS fund 106+112+135.   4/1/08
</t>
        </r>
      </text>
    </comment>
  </commentList>
</comments>
</file>

<file path=xl/comments16.xml><?xml version="1.0" encoding="utf-8"?>
<comments xmlns="http://schemas.openxmlformats.org/spreadsheetml/2006/main">
  <authors>
    <author>MargaretE</author>
  </authors>
  <commentList>
    <comment ref="G7" authorId="0">
      <text>
        <r>
          <rPr>
            <b/>
            <sz val="8"/>
            <color indexed="81"/>
            <rFont val="Tahoma"/>
            <family val="2"/>
          </rPr>
          <t>MargaretE:
dr420  revenue - 5% discounts  74533-3,727 = 70,806</t>
        </r>
      </text>
    </comment>
    <comment ref="G12" authorId="0">
      <text>
        <r>
          <rPr>
            <b/>
            <sz val="8"/>
            <color indexed="81"/>
            <rFont val="Tahoma"/>
            <family val="2"/>
          </rPr>
          <t xml:space="preserve">MargaretE:
BASED ON ACTUALS FOR FY11, GUESS 100
</t>
        </r>
      </text>
    </comment>
  </commentList>
</comments>
</file>

<file path=xl/comments17.xml><?xml version="1.0" encoding="utf-8"?>
<comments xmlns="http://schemas.openxmlformats.org/spreadsheetml/2006/main">
  <authors>
    <author>MargaretE</author>
  </authors>
  <commentList>
    <comment ref="G24" authorId="0">
      <text>
        <r>
          <rPr>
            <b/>
            <sz val="8"/>
            <color indexed="81"/>
            <rFont val="Tahoma"/>
            <family val="2"/>
          </rPr>
          <t xml:space="preserve">MargaretE:
In order to balance fund level, and not having any of the grant exp index codes valid, I put all dollars here.  Mpe 6/27/08
</t>
        </r>
      </text>
    </comment>
  </commentList>
</comments>
</file>

<file path=xl/comments18.xml><?xml version="1.0" encoding="utf-8"?>
<comments xmlns="http://schemas.openxmlformats.org/spreadsheetml/2006/main">
  <authors>
    <author>margarete</author>
  </authors>
  <commentList>
    <comment ref="B38" authorId="0">
      <text>
        <r>
          <rPr>
            <b/>
            <sz val="8"/>
            <color indexed="81"/>
            <rFont val="Tahoma"/>
            <family val="2"/>
          </rPr>
          <t>margarete:</t>
        </r>
        <r>
          <rPr>
            <b/>
            <sz val="8"/>
            <color indexed="81"/>
            <rFont val="Tahoma"/>
            <family val="2"/>
          </rPr>
          <t xml:space="preserve">
finance provides
</t>
        </r>
      </text>
    </comment>
    <comment ref="C38" authorId="0">
      <text>
        <r>
          <rPr>
            <b/>
            <sz val="8"/>
            <color indexed="81"/>
            <rFont val="Tahoma"/>
            <family val="2"/>
          </rPr>
          <t>margarete:</t>
        </r>
        <r>
          <rPr>
            <b/>
            <sz val="8"/>
            <color indexed="81"/>
            <rFont val="Tahoma"/>
            <family val="2"/>
          </rPr>
          <t xml:space="preserve">
finance provides
</t>
        </r>
      </text>
    </comment>
    <comment ref="G38" authorId="0">
      <text>
        <r>
          <rPr>
            <b/>
            <sz val="8"/>
            <color indexed="81"/>
            <rFont val="Tahoma"/>
            <family val="2"/>
          </rPr>
          <t>margarete:</t>
        </r>
        <r>
          <rPr>
            <b/>
            <sz val="8"/>
            <color indexed="81"/>
            <rFont val="Tahoma"/>
            <family val="2"/>
          </rPr>
          <t xml:space="preserve">
finance provides
</t>
        </r>
      </text>
    </comment>
  </commentList>
</comments>
</file>

<file path=xl/sharedStrings.xml><?xml version="1.0" encoding="utf-8"?>
<sst xmlns="http://schemas.openxmlformats.org/spreadsheetml/2006/main" count="6892" uniqueCount="1123">
  <si>
    <t>CHARACTER</t>
  </si>
  <si>
    <t>Variance</t>
  </si>
  <si>
    <t>REVENUES</t>
  </si>
  <si>
    <t>Taxes</t>
  </si>
  <si>
    <t>Licenses &amp; Permits</t>
  </si>
  <si>
    <t>Intergovernmental</t>
  </si>
  <si>
    <t>Charges For Services</t>
  </si>
  <si>
    <t>Fines &amp; Forfeitures</t>
  </si>
  <si>
    <t>Miscellaneous</t>
  </si>
  <si>
    <t>Total Revenues</t>
  </si>
  <si>
    <t>EXPENDITURES</t>
  </si>
  <si>
    <t>Salaries &amp; Wages</t>
  </si>
  <si>
    <t>Fringe Benefits</t>
  </si>
  <si>
    <t>Services/Materials</t>
  </si>
  <si>
    <t>Other Operating Expenses</t>
  </si>
  <si>
    <t>Capital Outlay</t>
  </si>
  <si>
    <t>Debt Service</t>
  </si>
  <si>
    <t>Excess Revenues Over/(Under) Expenditures</t>
  </si>
  <si>
    <t>Sources:  BPREP Organization Mass Inquiry Screen</t>
  </si>
  <si>
    <t>Other Resources</t>
  </si>
  <si>
    <t>Total Other Resources</t>
  </si>
  <si>
    <t>Total Resources Available</t>
  </si>
  <si>
    <t>Total Expenses</t>
  </si>
  <si>
    <t>Other Uses</t>
  </si>
  <si>
    <t>Total Uses</t>
  </si>
  <si>
    <t>Total Resources Allocated</t>
  </si>
  <si>
    <t>Non Operating Expenses</t>
  </si>
  <si>
    <t>Prior Year Operating Balance</t>
  </si>
  <si>
    <t>Other Sources</t>
  </si>
  <si>
    <t>Reserves</t>
  </si>
  <si>
    <t>Transfers to CIP</t>
  </si>
  <si>
    <t>Year End Balance</t>
  </si>
  <si>
    <t>Transfer from General Fund</t>
  </si>
  <si>
    <t>Transfers In General Fund</t>
  </si>
  <si>
    <t>Transfers to General Fund</t>
  </si>
  <si>
    <t>Transfers to Tax Increment Debt</t>
  </si>
  <si>
    <t>Anticipated Year End Balance</t>
  </si>
  <si>
    <t>Contingencies</t>
  </si>
  <si>
    <t>Transfers Out</t>
  </si>
  <si>
    <t>Interest Earnings</t>
  </si>
  <si>
    <t>Transfer from Water and Sewer</t>
  </si>
  <si>
    <t>Transfer from Central Services</t>
  </si>
  <si>
    <t>Bond Proceeds</t>
  </si>
  <si>
    <t>Transfer from CRA</t>
  </si>
  <si>
    <t>Transfer from Parking</t>
  </si>
  <si>
    <t>Transfer from General CIP</t>
  </si>
  <si>
    <t>DEBT SERVICE FUND OUTLOOK</t>
  </si>
  <si>
    <t>ok</t>
  </si>
  <si>
    <t>FAMIS</t>
  </si>
  <si>
    <t xml:space="preserve">ok </t>
  </si>
  <si>
    <t>Misc Revenue</t>
  </si>
  <si>
    <t>HOME 10%</t>
  </si>
  <si>
    <t>ES Entitlement</t>
  </si>
  <si>
    <t>CDBG 20%</t>
  </si>
  <si>
    <t>SHIP   10%</t>
  </si>
  <si>
    <t>CDBG - Program</t>
  </si>
  <si>
    <t>GF B-7</t>
  </si>
  <si>
    <t xml:space="preserve">   Total revenue</t>
  </si>
  <si>
    <t xml:space="preserve"> </t>
  </si>
  <si>
    <t>Additional Prog. Inc.</t>
  </si>
  <si>
    <t>HOPWA</t>
  </si>
  <si>
    <t>x</t>
  </si>
  <si>
    <t xml:space="preserve">Includes ES, HOME HOPWA, CDBG.  SHIP is Fund 130 </t>
  </si>
  <si>
    <t>Fund 130</t>
  </si>
  <si>
    <t>FAMIS 6750</t>
  </si>
  <si>
    <t>OK B BOOK</t>
  </si>
  <si>
    <t>Debt Subfund</t>
  </si>
  <si>
    <t>YE = Plug</t>
  </si>
  <si>
    <t>Transfer from FIFC</t>
  </si>
  <si>
    <t>Transfer from GOB 1992 &amp; 1998</t>
  </si>
  <si>
    <t>Based on CRA Properties</t>
  </si>
  <si>
    <t>Misc Income</t>
  </si>
  <si>
    <t>`</t>
  </si>
  <si>
    <t>FY10</t>
  </si>
  <si>
    <t>FY09</t>
  </si>
  <si>
    <t>SPECIAL REVENUE FUND OUTLOOK - SHIP STATE HOUSING IMPROVEMENT PROGRAM - FUND 130</t>
  </si>
  <si>
    <t>FY10 - work plan approved 7/07/09</t>
  </si>
  <si>
    <t>ES</t>
  </si>
  <si>
    <t>HOME</t>
  </si>
  <si>
    <t>CDBG</t>
  </si>
  <si>
    <t xml:space="preserve">total HUD </t>
  </si>
  <si>
    <t>program Income</t>
  </si>
  <si>
    <t>BPREP REV</t>
  </si>
  <si>
    <t>expenditures</t>
  </si>
  <si>
    <t>PLUG</t>
  </si>
  <si>
    <t>Grant Services</t>
  </si>
  <si>
    <t>E-C</t>
  </si>
  <si>
    <t>FD236.05</t>
  </si>
  <si>
    <t>Refinancing GOB Special Loans</t>
  </si>
  <si>
    <t>FD236.06</t>
  </si>
  <si>
    <t>FD236.06  NEW $20 Million Loan to payoff  :________________</t>
  </si>
  <si>
    <t>FD243</t>
  </si>
  <si>
    <t>Misc Rev</t>
  </si>
  <si>
    <t>SOL2008IB</t>
  </si>
  <si>
    <t>SOL2008IA</t>
  </si>
  <si>
    <t>SOL2008PA    Refunding 2008</t>
  </si>
  <si>
    <t xml:space="preserve">     "</t>
  </si>
  <si>
    <t>FIRE BOND</t>
  </si>
  <si>
    <t>GOB2005I</t>
  </si>
  <si>
    <t>GOB2005P</t>
  </si>
  <si>
    <t xml:space="preserve">    "</t>
  </si>
  <si>
    <t>TIR04P</t>
  </si>
  <si>
    <t>TIR04I</t>
  </si>
  <si>
    <t xml:space="preserve">      "</t>
  </si>
  <si>
    <t>TIR03I</t>
  </si>
  <si>
    <t>TIR03P</t>
  </si>
  <si>
    <t xml:space="preserve">   "</t>
  </si>
  <si>
    <t xml:space="preserve"> means the links done for  total debt</t>
  </si>
  <si>
    <t>Set up links to cells in debt spreadsheets</t>
  </si>
  <si>
    <t>tax value x millage/1000  and take 95%</t>
  </si>
  <si>
    <t>G-C</t>
  </si>
  <si>
    <t>SPECIAL REVENUE FUNDS*</t>
  </si>
  <si>
    <t>B</t>
  </si>
  <si>
    <t>cdgb</t>
  </si>
  <si>
    <t>Charges for Services</t>
  </si>
  <si>
    <t>cra</t>
  </si>
  <si>
    <t>Miscellaneous Revenue</t>
  </si>
  <si>
    <t xml:space="preserve">  Total Revenues</t>
  </si>
  <si>
    <t>Other Financial Resources:</t>
  </si>
  <si>
    <t>Transfer from General Fund**</t>
  </si>
  <si>
    <t>C</t>
  </si>
  <si>
    <t>Transfer from CRA Fund</t>
  </si>
  <si>
    <t>Transfer from Parking Fund</t>
  </si>
  <si>
    <t>2004 TIR Bond</t>
  </si>
  <si>
    <t>CIP Subfund</t>
  </si>
  <si>
    <t xml:space="preserve">  Total Other Financial Resources</t>
  </si>
  <si>
    <t xml:space="preserve">  Total Resources Available</t>
  </si>
  <si>
    <t>RESOURCES ALLOCATED</t>
  </si>
  <si>
    <t>Expenses:</t>
  </si>
  <si>
    <t>Salaries and Wages</t>
  </si>
  <si>
    <t>Non-Operating Expenses</t>
  </si>
  <si>
    <t xml:space="preserve">  Total Expenses</t>
  </si>
  <si>
    <t>Other Financial Uses:</t>
  </si>
  <si>
    <t>Transfer to Capital Projects</t>
  </si>
  <si>
    <t>Transfer to Tax Increment</t>
  </si>
  <si>
    <t>Transfer to Grants</t>
  </si>
  <si>
    <t>Transfer to the CRA</t>
  </si>
  <si>
    <t>Transfer to General Fund</t>
  </si>
  <si>
    <t>Transfer to Insurance Fund</t>
  </si>
  <si>
    <t>Debt Service Reserve</t>
  </si>
  <si>
    <t xml:space="preserve">  Total Other Financial Uses</t>
  </si>
  <si>
    <t xml:space="preserve">  Total Resources Allocated</t>
  </si>
  <si>
    <t>*This schedule includes resources for the Beach Redevelopment Area, the North West Progresso Flagler Heights Redevelopment Area, the CRA Business
   Improvement District, Housing and Community Development and Sunrise Key.</t>
  </si>
  <si>
    <t xml:space="preserve">**The Intergovernmental and Transfer from General Fund revenues are based upon current tax rates.  </t>
  </si>
  <si>
    <t>revised 7/13/09 mpe</t>
  </si>
  <si>
    <t>rev - exp</t>
  </si>
  <si>
    <t>plug added to C21</t>
  </si>
  <si>
    <t>C20 = FY07 June EST from Budget Doc + plug</t>
  </si>
  <si>
    <t>Running total</t>
  </si>
  <si>
    <t>CRA Beach</t>
  </si>
  <si>
    <t>C47 = G21</t>
  </si>
  <si>
    <t>CRA NWPFH</t>
  </si>
  <si>
    <t>HCD</t>
  </si>
  <si>
    <t>SHIP</t>
  </si>
  <si>
    <t>Sunrise Key</t>
  </si>
  <si>
    <t>BID</t>
  </si>
  <si>
    <t>Schedue A</t>
  </si>
  <si>
    <t>variance to A</t>
  </si>
  <si>
    <t>current year</t>
  </si>
  <si>
    <t>E137</t>
  </si>
  <si>
    <t>E499</t>
  </si>
  <si>
    <t>E500</t>
  </si>
  <si>
    <t>E501</t>
  </si>
  <si>
    <t>E520</t>
  </si>
  <si>
    <t>E524</t>
  </si>
  <si>
    <t>E529</t>
  </si>
  <si>
    <t>E485</t>
  </si>
  <si>
    <t>E487</t>
  </si>
  <si>
    <t>E496</t>
  </si>
  <si>
    <t>E497</t>
  </si>
  <si>
    <t>E527</t>
  </si>
  <si>
    <t>License &amp; Permits</t>
  </si>
  <si>
    <t>Total Resources</t>
  </si>
  <si>
    <t>Intergovernmental*</t>
  </si>
  <si>
    <t>No reserves for SOL</t>
  </si>
  <si>
    <t xml:space="preserve">No Bond costs - they come from Project </t>
  </si>
  <si>
    <t>CY</t>
  </si>
  <si>
    <t>NY</t>
  </si>
  <si>
    <t>Enter the reserves in G39, and plug the transfer from GF to balance.</t>
  </si>
  <si>
    <t>G17 will be updated after the Taxable Value is done!!!</t>
  </si>
  <si>
    <t>Debt for CY and NY provided by Finance E35 &amp; G35</t>
  </si>
  <si>
    <t>E24 is provided by Finance</t>
  </si>
  <si>
    <t>G24 come from  E40</t>
  </si>
  <si>
    <t>E40 is a plug</t>
  </si>
  <si>
    <t>G17 is a plug, Shonda will adjust millage rate to generate revenue</t>
  </si>
  <si>
    <t>do not need any contingency, remove and add to fund balance</t>
  </si>
  <si>
    <t>FY 2012</t>
  </si>
  <si>
    <t>FD236.04</t>
  </si>
  <si>
    <t>FD288 TIR</t>
  </si>
  <si>
    <t>CY FY11</t>
  </si>
  <si>
    <t>NY FY12</t>
  </si>
  <si>
    <t>E40 PLUG</t>
  </si>
  <si>
    <t>D40 PLUG</t>
  </si>
  <si>
    <t>YE = D33</t>
  </si>
  <si>
    <t>E33 = G16</t>
  </si>
  <si>
    <t>BPREP Data:  As of   6/7/11</t>
  </si>
  <si>
    <t>REVISED 6/07/2011</t>
  </si>
  <si>
    <t>FY12 Adopted Millage Rate at 1.0000</t>
  </si>
  <si>
    <t>D/E16 provided by Central Accounting</t>
  </si>
  <si>
    <t>Interest earnings</t>
  </si>
  <si>
    <t>G25 =FY12 Adopted SKNID Budget</t>
  </si>
  <si>
    <t>BPREP Data:  As of June 2011</t>
  </si>
  <si>
    <t>mpe 6/10/2011</t>
  </si>
  <si>
    <t>PARKS BOND</t>
  </si>
  <si>
    <t>MPE</t>
  </si>
  <si>
    <t>SUBOBJECT</t>
  </si>
  <si>
    <t>E40 is a plug; g40 from FIN</t>
  </si>
  <si>
    <t>BPREP Data:  As of June 10, 2011</t>
  </si>
  <si>
    <t>add the new 236.07 debt</t>
  </si>
  <si>
    <t>refinanced</t>
  </si>
  <si>
    <t>to 236.07</t>
  </si>
  <si>
    <t>Refinancing GOB Special Loans $20 million</t>
  </si>
  <si>
    <t>FD236.07</t>
  </si>
  <si>
    <t>FD236.07  NEW $20 Million Loan to payoff  :________________</t>
  </si>
  <si>
    <t>No bond costs budgeted, take from proceeds</t>
  </si>
  <si>
    <t>No reserves identified at this time, per Lynda amend  if needed.</t>
  </si>
  <si>
    <t>see noha</t>
  </si>
  <si>
    <t>Actual 
YTD 6/15/11</t>
  </si>
  <si>
    <t>BPREP Data:  As of 6/16/11</t>
  </si>
  <si>
    <t>BPREP Data:  As of June 16, 2011</t>
  </si>
  <si>
    <t>H19 is 1.5% of SOL2008Ia &amp; PA only. tansferred from Fund 581 &amp; reduces the GF transfer.</t>
  </si>
  <si>
    <t>SOL2010IA</t>
  </si>
  <si>
    <t>7305 - OTHER DEBT COST</t>
  </si>
  <si>
    <t>SOL2010PA</t>
  </si>
  <si>
    <t>9801 - ADV. DEBT REPAY</t>
  </si>
  <si>
    <t>SOL2010IB</t>
  </si>
  <si>
    <t>"</t>
  </si>
  <si>
    <t>SOL2010PB</t>
  </si>
  <si>
    <t>BPREP Data:  As of June 15, 2011</t>
  </si>
  <si>
    <t xml:space="preserve">CDBG - TRANSFER FROM CDBG  TO 243   0.67% of SOL2010IA and SOL2010PA Interest and Principal.  For FY12   ($299,223 + 1,687,800) x 0.617% = $122,599.32 </t>
  </si>
  <si>
    <t>Transfer from CDBG</t>
  </si>
  <si>
    <t>times 1.5%</t>
  </si>
  <si>
    <t>Transfer in  from CDBG  6.17%</t>
  </si>
  <si>
    <t>Transfer in FROM Fund 581  1.5%</t>
  </si>
  <si>
    <t>back out the CDBG Contribution</t>
  </si>
  <si>
    <t>No decision on Refinancing the Fire Trucks at this time per  L. Flynn 6/15/2011</t>
  </si>
  <si>
    <t>Link to 581; on SOL2010IA and08A only</t>
  </si>
  <si>
    <t>NO reserves for SOL accounts, excess revenue $1,843,013 in CY will be a trans. To the CIP for CY</t>
  </si>
  <si>
    <t>FY11 added $132,045 to misc. rev, cannot keep reserves.   Tran. To CIP?</t>
  </si>
  <si>
    <t>Reduced Other uses by $132,045 additional revenue that will go back to the GF, CY changed due to refinancing.</t>
  </si>
  <si>
    <t>DIANE;  NEW INFO</t>
  </si>
  <si>
    <t>GENERAL FUND TRANSFERS TO DEBT</t>
  </si>
  <si>
    <t>Link to 108</t>
  </si>
  <si>
    <t>Link to 106.01</t>
  </si>
  <si>
    <t>Link to 106.02</t>
  </si>
  <si>
    <t>E21 and G21 are links for transfer IN fromCRA to cover debt</t>
  </si>
  <si>
    <t>SOL2011I</t>
  </si>
  <si>
    <t>SOL2011P</t>
  </si>
  <si>
    <t>TIF</t>
  </si>
  <si>
    <t>SOL</t>
  </si>
  <si>
    <t>$20m REFINANCE</t>
  </si>
  <si>
    <t>Refin to236.07</t>
  </si>
  <si>
    <t>Fire Bond</t>
  </si>
  <si>
    <t>2002 Refinance</t>
  </si>
  <si>
    <t>CIP Cont. $7</t>
  </si>
  <si>
    <t>7201 - INTEREST</t>
  </si>
  <si>
    <t>7101 -  PRINCIPAL</t>
  </si>
  <si>
    <t>Per FY11 doc.</t>
  </si>
  <si>
    <t>Fines &amp; Forefeitures</t>
  </si>
  <si>
    <t>TIF CRA</t>
  </si>
  <si>
    <t>Advanced Debt</t>
  </si>
  <si>
    <t>Prior Year Operating Balance (X902)</t>
  </si>
  <si>
    <t>Transfers to CIP (9699)</t>
  </si>
  <si>
    <t>Year End Balance (9901)</t>
  </si>
  <si>
    <t>Prior Year Balance (X902)</t>
  </si>
  <si>
    <t>SPECIAL REVENUE FUND OUTLOOK - CRA BEACH (FD106.01)</t>
  </si>
  <si>
    <t>Transfers In General Fund (Q001)</t>
  </si>
  <si>
    <t>Transfers In Parking Enterprise (Q461)</t>
  </si>
  <si>
    <t>Transfers to Tax Increment Debt (9288)</t>
  </si>
  <si>
    <t>SPECIAL REVENUE FUND OUTLOOK - CRA NW PROGRESSO FLAGLER HEIGHTS (FD106.02)</t>
  </si>
  <si>
    <t>SPECIAL REVENUE FUND OUTLOOK -  BUSINESS IMPROVEMENT DISTRICT (BID) (FD135.01)</t>
  </si>
  <si>
    <t>SPECIAL REVENUE FUND OUTLOOK - HOUSING AND COMMUNITY DEVELOPMENT - FUND 108 (FD108.02)</t>
  </si>
  <si>
    <t>Grant Services (8301 PLN050103)</t>
  </si>
  <si>
    <t>Transfer to Special Obligation Debt (9243)</t>
  </si>
  <si>
    <t>SPECIAL REVENUE FUND OUTLOOK - SUNRISE KEY (FD112)</t>
  </si>
  <si>
    <t>Transfers In General Fund (9001)</t>
  </si>
  <si>
    <t>Anticipated Year End Balance (9901)</t>
  </si>
  <si>
    <t>SPECIAL REVENUE FUND OUTLOOK -  BUILDING PERMITS (FD140.01)</t>
  </si>
  <si>
    <t>SPECIAL REVENUE FUND OUTLOOK -  CERTIFICATION MAINTENANCE (FD141.01)</t>
  </si>
  <si>
    <t>SPECIAL REVENUE FUND OUTLOOK -  TECHNOLOGY (FD142.01)</t>
  </si>
  <si>
    <t>Transfer from General Fund (Q001)</t>
  </si>
  <si>
    <t>Misc Revenue (N103)</t>
  </si>
  <si>
    <t>Reserves (X101)</t>
  </si>
  <si>
    <t>Reserves (9910)</t>
  </si>
  <si>
    <t>SPECIAL OBLIGATION LOANS - 2010 (FD243)</t>
  </si>
  <si>
    <t>Transfer from Central Services (Q581)</t>
  </si>
  <si>
    <t>Transfer from CRA (Q106)</t>
  </si>
  <si>
    <t>mpe 6/24/2011</t>
  </si>
  <si>
    <t>7203 - INTEREST</t>
  </si>
  <si>
    <t>7103 -  PRINCIPAL</t>
  </si>
  <si>
    <t>DEBT SERVICE FUND OUTLOOK - GENERAL OBLIGATION LOANS 2010</t>
  </si>
  <si>
    <t>no debt service payment</t>
  </si>
  <si>
    <t>refinanced.  Revenue goes</t>
  </si>
  <si>
    <t>See  236.07</t>
  </si>
  <si>
    <t>DEBT SERVICE FUND OUTLOOK - GOB - 2002 Refunded 2011B (FD236.04)</t>
  </si>
  <si>
    <t>to Reserves for FY11</t>
  </si>
  <si>
    <t>DEBT SERVICE FUND OUTLOOK - GENERAL OBLIGATION BONDS  FIRE DEBT 2011A   (FD236.07)</t>
  </si>
  <si>
    <t>DEBT SERVICE FUND OUTLOOK - GOB - 2005 Fire Bond (FD236.05)  GOB2005</t>
  </si>
  <si>
    <t>MOVED TO FD236.08 PER DON AND NOHA  2011B</t>
  </si>
  <si>
    <t>FD236.08</t>
  </si>
  <si>
    <t>DEBT SERVICE FUND OUTLOOK - GENERAL OBLIGATION BONDS  FIRE DEBT 2011B   (FD236.08)</t>
  </si>
  <si>
    <t>Reserves FROM fd236.04 REFINANCE</t>
  </si>
  <si>
    <t>GOB2011IA</t>
  </si>
  <si>
    <t>GOB2011PA</t>
  </si>
  <si>
    <t>GOB2011IB</t>
  </si>
  <si>
    <t>GOB2011PB</t>
  </si>
  <si>
    <t>NEW SCHEDULES</t>
  </si>
  <si>
    <t>DEBT SERVICE FUND OUTLOOK - TAX INCREMENT FINANCING CRA (FD288)</t>
  </si>
  <si>
    <t xml:space="preserve">Added $1,756,506 to payment for debt 106.02 </t>
  </si>
  <si>
    <t>includes $700K for permit increase</t>
  </si>
  <si>
    <t>includes $201,600 rent increase</t>
  </si>
  <si>
    <t>Removed V.Bohlander</t>
  </si>
  <si>
    <t>includes $75,397 for interfund/$145198 Dir of Planning Allocation $96,781 Dep Dir of Pln &amp; Zoning</t>
  </si>
  <si>
    <t>FY2013</t>
  </si>
  <si>
    <t xml:space="preserve">FY 2012                  Adopted Budget </t>
  </si>
  <si>
    <t>FY 2012       Ammended Budget</t>
  </si>
  <si>
    <t>FY2012 Estimated</t>
  </si>
  <si>
    <t>FY2013              Budget</t>
  </si>
  <si>
    <t>FY 2013</t>
  </si>
  <si>
    <t>Appropriated Fund Balance</t>
  </si>
  <si>
    <t>OTHER RESOURCES</t>
  </si>
  <si>
    <t>OTHER USES</t>
  </si>
  <si>
    <t xml:space="preserve">Reserves </t>
  </si>
  <si>
    <t>Total Other Uses</t>
  </si>
  <si>
    <t>FY 2012
Amended Budget</t>
  </si>
  <si>
    <t xml:space="preserve">FY 2012
Estimated Actual </t>
  </si>
  <si>
    <t>FY 2011                  Actual</t>
  </si>
  <si>
    <t xml:space="preserve">Prior Year Operating Balance/Reserves </t>
  </si>
  <si>
    <t>FY 2013
Proposed Budget</t>
  </si>
  <si>
    <t>Undesignated Fund Balance</t>
  </si>
  <si>
    <t>Budget Balancing</t>
  </si>
  <si>
    <t>Budget Amount</t>
  </si>
  <si>
    <t>FY 2011 ACTUALS</t>
  </si>
  <si>
    <t>FY 2012 ADOPTED</t>
  </si>
  <si>
    <t>FY 2012 AMENDED BUDGET</t>
  </si>
  <si>
    <t>409 SANITATION</t>
  </si>
  <si>
    <t>04 CHGS FOR SERVICE</t>
  </si>
  <si>
    <t>05 FINES AND FORFEITS</t>
  </si>
  <si>
    <t>06 MISC REVENUES</t>
  </si>
  <si>
    <t>E</t>
  </si>
  <si>
    <t>10 SALARIES &amp; WAGES</t>
  </si>
  <si>
    <t>20 FRINGE BENEFITS</t>
  </si>
  <si>
    <t>30 SERVICES/MATERIALS</t>
  </si>
  <si>
    <t>40 OTHER OPER EXP</t>
  </si>
  <si>
    <t>50 NON-OPER EXP</t>
  </si>
  <si>
    <t>O</t>
  </si>
  <si>
    <t>90 OTHER USES</t>
  </si>
  <si>
    <t>450 WATER AND SEWER</t>
  </si>
  <si>
    <t>I</t>
  </si>
  <si>
    <t>08 OTHER SOURCES</t>
  </si>
  <si>
    <t>60 CAPITAL OUTLAY</t>
  </si>
  <si>
    <t>70 DEBT SERVICE</t>
  </si>
  <si>
    <t>451 CENTRAL REGIONAL WASTEWATER SYSTEM</t>
  </si>
  <si>
    <t>461 PARKING SYSTEM</t>
  </si>
  <si>
    <t>02 LICENSES &amp; PERMITS</t>
  </si>
  <si>
    <t>468 AIRPORT</t>
  </si>
  <si>
    <t>470 STORMWATER</t>
  </si>
  <si>
    <t>543 CITY INSURANCE</t>
  </si>
  <si>
    <t>545 SELF-INSURED HEALTH BENEFITS</t>
  </si>
  <si>
    <t>581 CENTRAL SERVICES</t>
  </si>
  <si>
    <t>583 VEHICLE RENTAL</t>
  </si>
  <si>
    <t>Summary</t>
  </si>
  <si>
    <t xml:space="preserve"> -  1  - </t>
  </si>
  <si>
    <t>627 CEMETERY PERPETUAL CARE</t>
  </si>
  <si>
    <t>643 ARTS AND SCIENCE DISTRICT GARAGE</t>
  </si>
  <si>
    <t>001 GENERAL FUND</t>
  </si>
  <si>
    <t>01 TAXES</t>
  </si>
  <si>
    <t>03 INTERGOVT REVENUE</t>
  </si>
  <si>
    <t>Fines and Forfeits</t>
  </si>
  <si>
    <t>WATER &amp; SEWER FUND  - 450</t>
  </si>
  <si>
    <t>STORMWATER FUND  - 470.01</t>
  </si>
  <si>
    <t>PARKING SYSTEM FUND  - 461.01</t>
  </si>
  <si>
    <t>CENTRAL REGIONAL W/W SYSTEM FUND  - 451.01</t>
  </si>
  <si>
    <t>CITY INSURANCE FUND  - 543</t>
  </si>
  <si>
    <t>SELF-INSURED HEALTH BENEFITS INSURANCE FUND  - 545</t>
  </si>
  <si>
    <t>CENTRAL SERVICES FUND  - 581</t>
  </si>
  <si>
    <t>ARTS &amp; SCIENCE DISTRICT GARAGE (PACA) FUND - 643</t>
  </si>
  <si>
    <t>106 FT LAUDERDALE COMMUNITY REDEVELOP AGENCY</t>
  </si>
  <si>
    <t>1010601</t>
  </si>
  <si>
    <t>1010602</t>
  </si>
  <si>
    <t>108 HOUSING AND COMMUINTY DEVELOPMENT GRANTS</t>
  </si>
  <si>
    <t>1010802</t>
  </si>
  <si>
    <t>80 GRANT SERVICES</t>
  </si>
  <si>
    <t>112 SUNRISE KEY SAFE NEIGHBORHOOD DISTRICT</t>
  </si>
  <si>
    <t>1011201</t>
  </si>
  <si>
    <t>135 BEACH BUSINESS IMPROVEMENT DISTRICT</t>
  </si>
  <si>
    <t>1013501</t>
  </si>
  <si>
    <t>140 BUILDING PERMITS</t>
  </si>
  <si>
    <t>1014001</t>
  </si>
  <si>
    <t>141 BUILDING CERTIFICATION MAINTENANCE</t>
  </si>
  <si>
    <t>1014101</t>
  </si>
  <si>
    <t>142 BUILDING TECHNOLOGY</t>
  </si>
  <si>
    <t>1014201</t>
  </si>
  <si>
    <t>236 GENERAL OBLIGATION BONDS</t>
  </si>
  <si>
    <t>2023605</t>
  </si>
  <si>
    <t>2023608</t>
  </si>
  <si>
    <t>2023607</t>
  </si>
  <si>
    <t>243 SPECIAL OBLIGATION LOANS</t>
  </si>
  <si>
    <t>2024301</t>
  </si>
  <si>
    <t>288 TAX INCREMENT REVENUE BONDS</t>
  </si>
  <si>
    <t>2028801</t>
  </si>
  <si>
    <t>Intergovt Revenue</t>
  </si>
  <si>
    <t>HOUSING &amp; COMMUNITY DEVELOPMENT GRANTS  FUND  - 108.02</t>
  </si>
  <si>
    <t>SUNRISE KEY SAFE NEIGHBORHOOD DISTRICT  FUND  - 112</t>
  </si>
  <si>
    <t>SHIP STATE HOUSING IMPROVEMENT PROGRAM FUND  - 130</t>
  </si>
  <si>
    <t>BEACH BUSINESS IMPROVEMENT DISTRICT FUND  - 135</t>
  </si>
  <si>
    <t>BUILDING PERMITS FUND  - 140</t>
  </si>
  <si>
    <t>Actual 
YTD 6/8/12</t>
  </si>
  <si>
    <t xml:space="preserve">Intergovernmental </t>
  </si>
  <si>
    <t>General Fund</t>
  </si>
  <si>
    <t>Community Redevelopment</t>
  </si>
  <si>
    <t>Beach Business Improvement
District</t>
  </si>
  <si>
    <t xml:space="preserve">Housing &amp; Community Development </t>
  </si>
  <si>
    <t>Building
Funds</t>
  </si>
  <si>
    <t>Debt Service
Funds</t>
  </si>
  <si>
    <t>Cemetery Perpetual Care Fund</t>
  </si>
  <si>
    <t>Arts &amp; Science District Garage</t>
  </si>
  <si>
    <t>Sanitation</t>
  </si>
  <si>
    <t>Water &amp; Sewer &amp; Central Regional Wastewater</t>
  </si>
  <si>
    <t>Stormwater</t>
  </si>
  <si>
    <t>Parking</t>
  </si>
  <si>
    <t>Airport</t>
  </si>
  <si>
    <t>Total Operating Funds</t>
  </si>
  <si>
    <t>Projected Cash Balances Brought Forward:</t>
  </si>
  <si>
    <t>$</t>
  </si>
  <si>
    <t xml:space="preserve">  Total Cash Balances Brought Forward</t>
  </si>
  <si>
    <t>Estimated Revenues:</t>
  </si>
  <si>
    <t xml:space="preserve">  Ad Valorem Taxes - Operating              </t>
  </si>
  <si>
    <t xml:space="preserve">  Ad Valorem Taxes - 1997/2002/2011B Bonds            </t>
  </si>
  <si>
    <t xml:space="preserve">  Ad Valorem Taxes - 2005 Bonds            </t>
  </si>
  <si>
    <t xml:space="preserve">  Ad Valorem Taxes - 2011 Bonds</t>
  </si>
  <si>
    <t xml:space="preserve">  Ad Valorem Taxes - Sunrise Key           </t>
  </si>
  <si>
    <t xml:space="preserve">  Sales and Use Tax</t>
  </si>
  <si>
    <t xml:space="preserve">  Franchise Fees</t>
  </si>
  <si>
    <t xml:space="preserve">  Utility Service Taxes</t>
  </si>
  <si>
    <t>Licenses and Permits</t>
  </si>
  <si>
    <t>Fines and Forfeitures</t>
  </si>
  <si>
    <t>Other</t>
  </si>
  <si>
    <t xml:space="preserve">  Total Estimated Revenues</t>
  </si>
  <si>
    <t>Estimated Transfers and Other Sources</t>
  </si>
  <si>
    <t>Building Services</t>
  </si>
  <si>
    <t>Business Enterprises</t>
  </si>
  <si>
    <t>City Attorney</t>
  </si>
  <si>
    <t>City Auditor</t>
  </si>
  <si>
    <t>City Clerk</t>
  </si>
  <si>
    <t>City Commission</t>
  </si>
  <si>
    <t>City Manager</t>
  </si>
  <si>
    <t>Economic Development</t>
  </si>
  <si>
    <t>Finance</t>
  </si>
  <si>
    <t xml:space="preserve">Fire-Rescue </t>
  </si>
  <si>
    <t>Human Resources</t>
  </si>
  <si>
    <t>Information Systems</t>
  </si>
  <si>
    <t>Office of Management and Budget</t>
  </si>
  <si>
    <t>Office of Professional Standards</t>
  </si>
  <si>
    <t>Parks and Recreation</t>
  </si>
  <si>
    <t>Planning and Zoning</t>
  </si>
  <si>
    <t>Police</t>
  </si>
  <si>
    <t>Procurement</t>
  </si>
  <si>
    <t>Public Information</t>
  </si>
  <si>
    <t>Public Works</t>
  </si>
  <si>
    <t>Other General Government</t>
  </si>
  <si>
    <t>Other *</t>
  </si>
  <si>
    <t>Other Resources Allocated:</t>
  </si>
  <si>
    <t>Required Transfers Out</t>
  </si>
  <si>
    <t>Discretionary Transfers Out</t>
  </si>
  <si>
    <t>Capital Transfers Out</t>
  </si>
  <si>
    <t>Projected Balances and Reserves:</t>
  </si>
  <si>
    <t>Required Reserves - Ending</t>
  </si>
  <si>
    <t xml:space="preserve">  Total Balances and Reserves</t>
  </si>
  <si>
    <t>Balance check</t>
  </si>
  <si>
    <t xml:space="preserve">BACKUP  Enterprise section of Budgetary Policies and Procedures </t>
  </si>
  <si>
    <t>Parking System</t>
  </si>
  <si>
    <t>Remove 451 Central Region</t>
  </si>
  <si>
    <t>Total of 409, 450, 468 &amp; 470</t>
  </si>
  <si>
    <t>Total All Funds Budget</t>
  </si>
  <si>
    <t>% of Enterprise funds  of All Funds  Budget</t>
  </si>
  <si>
    <t>Transportation &amp; Mobility</t>
  </si>
  <si>
    <t>Central</t>
  </si>
  <si>
    <t>Vehicle</t>
  </si>
  <si>
    <t>Services</t>
  </si>
  <si>
    <t>Rental</t>
  </si>
  <si>
    <t>Estimated Transfers</t>
  </si>
  <si>
    <t>Estimated Resources Allocated:</t>
  </si>
  <si>
    <t>Information Technology Services</t>
  </si>
  <si>
    <t>Parking and Fleet Services</t>
  </si>
  <si>
    <t>Year End Operating Balance/Reserves</t>
  </si>
  <si>
    <t>Claims</t>
  </si>
  <si>
    <t>Transfers</t>
  </si>
  <si>
    <t>Prior Year Operating Balance / Reserves</t>
  </si>
  <si>
    <t>ALL FUNDS BUDGETED TRANSFERS - FISCAL YEAR 2012</t>
  </si>
  <si>
    <t>TRANSFERS IN</t>
  </si>
  <si>
    <t>Revenue</t>
  </si>
  <si>
    <t>Required:</t>
  </si>
  <si>
    <t>From General Fund:</t>
  </si>
  <si>
    <t xml:space="preserve">    GOB 2002 Refunded Debt Service</t>
  </si>
  <si>
    <t xml:space="preserve">    GOB 2005 Debt Service Fire Bond</t>
  </si>
  <si>
    <t xml:space="preserve">    GOB 2010 Debt Service Fire Bond</t>
  </si>
  <si>
    <t xml:space="preserve">    GOB 2011 Debt Service Fire Bond</t>
  </si>
  <si>
    <t xml:space="preserve">    GOB 2011 Refunded Debt Service</t>
  </si>
  <si>
    <t>Special Obligation Loans</t>
  </si>
  <si>
    <t xml:space="preserve">    From General Fund</t>
  </si>
  <si>
    <t xml:space="preserve">    From Central Services Fund</t>
  </si>
  <si>
    <t xml:space="preserve">    From CDBG</t>
  </si>
  <si>
    <t xml:space="preserve">    From Sunshine State Loans</t>
  </si>
  <si>
    <t>Tax Increment Debt Service:</t>
  </si>
  <si>
    <t xml:space="preserve">    From CRA</t>
  </si>
  <si>
    <t xml:space="preserve">    From General Capital Projects</t>
  </si>
  <si>
    <t>Central Region</t>
  </si>
  <si>
    <t>Other:</t>
  </si>
  <si>
    <t>General Capital Projects</t>
  </si>
  <si>
    <t xml:space="preserve">    From Debt Service</t>
  </si>
  <si>
    <t xml:space="preserve">    From Parking Fund (Bond Pledge)</t>
  </si>
  <si>
    <t xml:space="preserve">    From Parking</t>
  </si>
  <si>
    <t>Storm Water</t>
  </si>
  <si>
    <t xml:space="preserve">    From Vehicle Rental</t>
  </si>
  <si>
    <t>Vehicle Rental</t>
  </si>
  <si>
    <t xml:space="preserve">    From Water &amp; Sewer</t>
  </si>
  <si>
    <t>Water &amp; Sewer</t>
  </si>
  <si>
    <t xml:space="preserve">    From Central Region</t>
  </si>
  <si>
    <t xml:space="preserve">    From Storm Water</t>
  </si>
  <si>
    <t xml:space="preserve">    Tax Increment  (Beach)</t>
  </si>
  <si>
    <t xml:space="preserve">    Tax Increment (NWPFH)</t>
  </si>
  <si>
    <t>Discretionary:</t>
  </si>
  <si>
    <t xml:space="preserve">    Beach CRA Loan Repayment</t>
  </si>
  <si>
    <t xml:space="preserve">    Confiscated Property Fund</t>
  </si>
  <si>
    <t xml:space="preserve">    Vehicle Rental</t>
  </si>
  <si>
    <t>Total Transfers In</t>
  </si>
  <si>
    <t>Actual</t>
  </si>
  <si>
    <t>Budget</t>
  </si>
  <si>
    <t>Est Actual</t>
  </si>
  <si>
    <t>FY2009/2010</t>
  </si>
  <si>
    <t>FY 2010/2011</t>
  </si>
  <si>
    <t>FY2011/2012</t>
  </si>
  <si>
    <t>TRANSFERS OUT</t>
  </si>
  <si>
    <t>CRA</t>
  </si>
  <si>
    <t xml:space="preserve">   GOB 2002 Refunded Debt Service</t>
  </si>
  <si>
    <t>Miscellaneous Grants</t>
  </si>
  <si>
    <t xml:space="preserve">   GOB 2005 Debt Service Fire Bond</t>
  </si>
  <si>
    <t>General Obiligation Bonds</t>
  </si>
  <si>
    <t xml:space="preserve">   GOB 2010 Debt Service Fire Bond</t>
  </si>
  <si>
    <t>Special Obligation Bonds</t>
  </si>
  <si>
    <t xml:space="preserve">   GOB 2011A Debt Service Fire Bond</t>
  </si>
  <si>
    <t>Transfer to FIFC</t>
  </si>
  <si>
    <t>Sunshine State</t>
  </si>
  <si>
    <t xml:space="preserve">   Special Obligation Loans</t>
  </si>
  <si>
    <t>Excise Tax Bonds</t>
  </si>
  <si>
    <t xml:space="preserve">   Tax Increment</t>
  </si>
  <si>
    <t xml:space="preserve">   Grant Match</t>
  </si>
  <si>
    <t xml:space="preserve">   Capital Improvements</t>
  </si>
  <si>
    <t>Central Regional</t>
  </si>
  <si>
    <t xml:space="preserve">   Vehicle Rental </t>
  </si>
  <si>
    <t>.</t>
  </si>
  <si>
    <t xml:space="preserve">   Community Redevelopment</t>
  </si>
  <si>
    <t xml:space="preserve">   Repayment to Vehicle Rental Fund</t>
  </si>
  <si>
    <t xml:space="preserve">   Repayment to General Fund</t>
  </si>
  <si>
    <t xml:space="preserve">   ROI Parking</t>
  </si>
  <si>
    <t xml:space="preserve">   ROI W&amp;S</t>
  </si>
  <si>
    <t xml:space="preserve">   ROI Central Region</t>
  </si>
  <si>
    <t xml:space="preserve">   ROI Storm Water</t>
  </si>
  <si>
    <t xml:space="preserve">   Transfer to Excise Tax Bonds</t>
  </si>
  <si>
    <t>Total Transfers Out</t>
  </si>
  <si>
    <t>PACA</t>
  </si>
  <si>
    <t>Total CIP Spreasdsheet</t>
  </si>
  <si>
    <t>Transfers in and out do not balance, since this table only includes budgeted funds.  Grant, Capital Project, and Trust Funds are not approriated in the Operating Budget and therefore transfers involving those funds account for the apparent imbalance.</t>
  </si>
  <si>
    <t>Building Funds</t>
  </si>
  <si>
    <t>City Insurance</t>
  </si>
  <si>
    <t>Self-Insured Health Benefits</t>
  </si>
  <si>
    <t>VEHICLE RENTAL (FLEET) FUND  - 583</t>
  </si>
  <si>
    <t>Intergovernment Revenue</t>
  </si>
  <si>
    <t>AIRPORT SYSTEM FUND  - 468.01</t>
  </si>
  <si>
    <t>Sustainable Development</t>
  </si>
  <si>
    <t>Proposed</t>
  </si>
  <si>
    <t>Cemeteries</t>
  </si>
  <si>
    <t>General 
Fund</t>
  </si>
  <si>
    <t xml:space="preserve">  Total Operating Expenditures</t>
  </si>
  <si>
    <t>Water &amp; Sewer/ 
Central Regional Wastewater</t>
  </si>
  <si>
    <t>FY 2013 Proposed All Funds Budget</t>
  </si>
  <si>
    <t>Proposed Expenditures by Department:</t>
  </si>
  <si>
    <t>Utility Service Taxes</t>
  </si>
  <si>
    <t>Franchise Fees</t>
  </si>
  <si>
    <t>Sales and Use Tax</t>
  </si>
  <si>
    <t xml:space="preserve">Ad Valorem Taxes - Sunrise Key           </t>
  </si>
  <si>
    <t xml:space="preserve">Ad Valorem Taxes - Operating              </t>
  </si>
  <si>
    <t>Total Cash Balances Brought Forward</t>
  </si>
  <si>
    <t xml:space="preserve">Taxes:                                                </t>
  </si>
  <si>
    <t>Millage</t>
  </si>
  <si>
    <t xml:space="preserve">      </t>
  </si>
  <si>
    <t xml:space="preserve">  Total Expenditures Allocated</t>
  </si>
  <si>
    <t>Insurance
Funds</t>
  </si>
  <si>
    <t>Sanitation Fund  - 409</t>
  </si>
  <si>
    <t>CRA NW PROGRESSO FLAGLER HEIGHTS - 106.02</t>
  </si>
  <si>
    <t>COMMUNITY REDEVLOPMENT AGENCY BEACH  - 106.01</t>
  </si>
  <si>
    <t>MIDDLE RIVER REDEVELOPMENT AREA  - 106.03</t>
  </si>
  <si>
    <t>Estimated
Actual
FY 2012</t>
  </si>
  <si>
    <t>General Government Services</t>
  </si>
  <si>
    <t>Expenditures/Expenses</t>
  </si>
  <si>
    <t>Public Safety</t>
  </si>
  <si>
    <t>Physical Environment</t>
  </si>
  <si>
    <t>Transportation</t>
  </si>
  <si>
    <t>Economic Environment</t>
  </si>
  <si>
    <t>Culture and Recreation</t>
  </si>
  <si>
    <t>Other Financing Uses</t>
  </si>
  <si>
    <t>Other Non-Operating Expenditures</t>
  </si>
  <si>
    <t>Special Revenue Funds</t>
  </si>
  <si>
    <t>Debt Service Funds</t>
  </si>
  <si>
    <t>Trust &amp; Agency Funds</t>
  </si>
  <si>
    <t>Enterprise Funds</t>
  </si>
  <si>
    <t>Total</t>
  </si>
  <si>
    <t>FY 2013 BUDGET MESSAGE</t>
  </si>
  <si>
    <t>FY 2013 BUDGET MESSAGE ADJUSTMENTS</t>
  </si>
  <si>
    <t>FY 2013 BUDGET MESSAGE  POST ADJUSTMENTS</t>
  </si>
  <si>
    <t>09 BALANCES &amp; RESERVES</t>
  </si>
  <si>
    <t>A80 OPERATING TRANSFERS</t>
  </si>
  <si>
    <t>Q140 BUILDING PERMIT  FUND</t>
  </si>
  <si>
    <t>Q331 GENERAL CAPITAL PROJECTS</t>
  </si>
  <si>
    <t>Q339 GRANTS/OTHER 1997 GOB</t>
  </si>
  <si>
    <t>Q409 SANITATION ENTERPRISE FUND</t>
  </si>
  <si>
    <t>Q450 WATER &amp; SEWER ENTERPRISE</t>
  </si>
  <si>
    <t>Q451 CENTRAL REGIONAL WASTWATER SYSTEM</t>
  </si>
  <si>
    <t>Q461 PARKING ENTERPRISE FUND</t>
  </si>
  <si>
    <t>Q468 AIRPORT ENTERPRISE FUND</t>
  </si>
  <si>
    <t>Q470 STORMWATER FUND</t>
  </si>
  <si>
    <t>Q583 VEHICLE RENTAL FUND</t>
  </si>
  <si>
    <t>Q001 GENERAL FUND</t>
  </si>
  <si>
    <t>B90 BEGINNING BALANCES</t>
  </si>
  <si>
    <t>X902 PRIOR YEAR OPER BALANCES</t>
  </si>
  <si>
    <t>X901 APPROPRIATED FUND BALANCE</t>
  </si>
  <si>
    <t>900 TRANSFERS OUT</t>
  </si>
  <si>
    <t>9106 TR TO CRA</t>
  </si>
  <si>
    <t>9129 TR TO MISC. GRANTS</t>
  </si>
  <si>
    <t>9141 TR TO BUILDING CERTIFICATION MAINTENANCE</t>
  </si>
  <si>
    <t>9142 TR TO BUILDING TECHNOLOGY</t>
  </si>
  <si>
    <t>9236 TR TO GOB DEBT SERVICE</t>
  </si>
  <si>
    <t>9243 TR TO SPECIAL OBLIGATION LOANS</t>
  </si>
  <si>
    <t>9331 TR TO GENL CAP PROJECTS</t>
  </si>
  <si>
    <t>990 BALANCES &amp; RESERVES</t>
  </si>
  <si>
    <t>9901 ANTICIPATED YR END BAL</t>
  </si>
  <si>
    <t>9946 RES FOR OTHER POST EMPL BENEFITS</t>
  </si>
  <si>
    <t>9950 CONTINGENCIES</t>
  </si>
  <si>
    <t>9001 TR TO GENERAL FUND</t>
  </si>
  <si>
    <t>9699 TR TO CIP SUBFUND</t>
  </si>
  <si>
    <t>9918 RES FOR OPERATIONS</t>
  </si>
  <si>
    <t>X918 RES FOR OPERATIONS</t>
  </si>
  <si>
    <t>Q454 WATER &amp; SEWER GEN CAP PROJECTS</t>
  </si>
  <si>
    <t>Q698 DEBT SUBFUND TRANS IN</t>
  </si>
  <si>
    <t>A90 RESERVES</t>
  </si>
  <si>
    <t>X101 DEBT SERVICE RESERVE</t>
  </si>
  <si>
    <t>X102 REPLAC/IMPRVMT RESERVE</t>
  </si>
  <si>
    <t>X110 W/C RESERVE</t>
  </si>
  <si>
    <t>9454 TR TO W&amp;S GEN CAP PROJ</t>
  </si>
  <si>
    <t>9698 TR TO DEBT SUBFUND</t>
  </si>
  <si>
    <t>9910 RES FOR DEBT SERVICE</t>
  </si>
  <si>
    <t>9922 RES FOR REPLACE/IMPR</t>
  </si>
  <si>
    <t>9926 RES FOR WORK CAPITAL</t>
  </si>
  <si>
    <t>All Funds Subobject Budget</t>
  </si>
  <si>
    <t>0100101</t>
  </si>
  <si>
    <t>4040901</t>
  </si>
  <si>
    <t>4045001</t>
  </si>
  <si>
    <t>4045002</t>
  </si>
  <si>
    <t>4045101</t>
  </si>
  <si>
    <t>4046101</t>
  </si>
  <si>
    <t>4046801</t>
  </si>
  <si>
    <t>4047001</t>
  </si>
  <si>
    <t>6062701</t>
  </si>
  <si>
    <t>6064301</t>
  </si>
  <si>
    <t>333 FY 2013 RECOMMENDED</t>
  </si>
  <si>
    <t>343 FY 2013 BUDGET MESSAGE  POST ADJUSTMENTS</t>
  </si>
  <si>
    <t>ATT CITY ATTORNEY</t>
  </si>
  <si>
    <t>AUD CITY AUDITOR</t>
  </si>
  <si>
    <t>CLK CITY CLERK</t>
  </si>
  <si>
    <t>COM CITY COMMISSION</t>
  </si>
  <si>
    <t>DSD SUSTAINABLE DEVELOPMENT</t>
  </si>
  <si>
    <t>FIN FINANCE</t>
  </si>
  <si>
    <t>FIR FIRE-RESCUE</t>
  </si>
  <si>
    <t>GEN OTHER GENERAL GOVERNMENT EXPENDITURES</t>
  </si>
  <si>
    <t>HRD HUMAN RESOURCES DEPARTMENT</t>
  </si>
  <si>
    <t>MGR CITY MANAGER</t>
  </si>
  <si>
    <t>PBS PUBLIC WORKS</t>
  </si>
  <si>
    <t>PKR PARKS AND RECREATION</t>
  </si>
  <si>
    <t>POL POLICE</t>
  </si>
  <si>
    <t>TAM TRANSPORTATION &amp; MOBILITY</t>
  </si>
  <si>
    <t>CEM CEMETERIES</t>
  </si>
  <si>
    <t>DBT DEBT SERVICE</t>
  </si>
  <si>
    <t>Fire-Rescue</t>
  </si>
  <si>
    <t xml:space="preserve">  Ad Valorem Taxes - 1997/2002 Bonds            </t>
  </si>
  <si>
    <t xml:space="preserve">  Ad Valorem Taxes - 2010 Bonds</t>
  </si>
  <si>
    <t>Difference</t>
  </si>
  <si>
    <t>FY 2013 Prior Proposed Total Operating Funds</t>
  </si>
  <si>
    <t>Total Balances Brought Forward</t>
  </si>
  <si>
    <t xml:space="preserve">  Total Balances Brought Forward</t>
  </si>
  <si>
    <t>Reserves - OPEB</t>
  </si>
  <si>
    <t>Public Hearing 1</t>
  </si>
  <si>
    <t>OPEB</t>
  </si>
  <si>
    <t>Communication Srvc Tax</t>
  </si>
  <si>
    <t>Business Tax</t>
  </si>
  <si>
    <t>Gas Tax</t>
  </si>
  <si>
    <t>Fire Assessment</t>
  </si>
  <si>
    <t>Fleet</t>
  </si>
  <si>
    <t>POB Savings</t>
  </si>
  <si>
    <t>Fixed Assets</t>
  </si>
  <si>
    <t>Personnel Adj</t>
  </si>
  <si>
    <t>Oper Exp</t>
  </si>
  <si>
    <t>City Hall</t>
  </si>
  <si>
    <t>15th Avenue</t>
  </si>
  <si>
    <t>Middle River</t>
  </si>
  <si>
    <t>Birch State Park</t>
  </si>
  <si>
    <t>Riverwalk Seawall</t>
  </si>
  <si>
    <t>Bunker Gear</t>
  </si>
  <si>
    <t>Shade Structures</t>
  </si>
  <si>
    <t>Defibrilators</t>
  </si>
  <si>
    <t>Snyder Park</t>
  </si>
  <si>
    <t>K-9 Dogs</t>
  </si>
  <si>
    <t>Laptops</t>
  </si>
  <si>
    <t>Medians</t>
  </si>
  <si>
    <t>Mgmt  Category 1 &amp; 2</t>
  </si>
  <si>
    <t>TMD Personnel Adj</t>
  </si>
  <si>
    <t>X946 RES FOR OTHER POST EMPL BENEFITS</t>
  </si>
  <si>
    <t>FY 2013 Tentative All Funds Budget</t>
  </si>
  <si>
    <t>Community Redevelopment
Agency</t>
  </si>
  <si>
    <t>Community Redevelopment Agency</t>
  </si>
  <si>
    <t>CULTURE/RECREATION</t>
  </si>
  <si>
    <t>ECONOMIC ENVIRONMENT</t>
  </si>
  <si>
    <t>GENERAL GOVERNMENT</t>
  </si>
  <si>
    <t>OTHER NONOPERATING</t>
  </si>
  <si>
    <t>OTHER SERVICES</t>
  </si>
  <si>
    <t>PHYSICAL ENVIRONMENT</t>
  </si>
  <si>
    <t>PUBLIC SAFETY</t>
  </si>
  <si>
    <t>TRANSPORTATION</t>
  </si>
  <si>
    <t>01 GENERAL FUND</t>
  </si>
  <si>
    <t>10 SPECIAL REVENUE</t>
  </si>
  <si>
    <t>20 DEBT SERVICE</t>
  </si>
  <si>
    <t>40 ENTERPRISE</t>
  </si>
  <si>
    <t>60 TRUST AND AGENCY</t>
  </si>
  <si>
    <t>CASH BALANCE BROUGHT FORWARD</t>
  </si>
  <si>
    <t>Tentative All Funds Operating Budget Summary</t>
  </si>
  <si>
    <t>ESTIMATED REVENUES:</t>
  </si>
  <si>
    <t>TOTAL CASH BALANCES BROUGHT FORWARD</t>
  </si>
  <si>
    <t>TOTAL ESTIMATED REVENUES AND BALANCES</t>
  </si>
  <si>
    <t>Miscellaneous Other</t>
  </si>
  <si>
    <t>TOTAL REVENUES AND OTHER FINANCING SOURCES</t>
  </si>
  <si>
    <t>Estimated Transfers/Other Sources</t>
  </si>
  <si>
    <t>TOTAL EXPENDITURES/EXPENSES AND OTHER USES</t>
  </si>
  <si>
    <t>TOTAL APPROPRIATED EXPENDITURES/EXPENSES</t>
  </si>
  <si>
    <t xml:space="preserve">  AND RESERVES </t>
  </si>
  <si>
    <t>BUDGET SUMMARY</t>
  </si>
  <si>
    <t>CITY OF FORT LAUDERDALE</t>
  </si>
  <si>
    <t>FISCAL YEAR 2013</t>
  </si>
  <si>
    <t xml:space="preserve">Taxes:                                                              Millage Per $1,000                                   </t>
  </si>
  <si>
    <t>Fund Balances/Reserves</t>
  </si>
  <si>
    <t>Required Reserves</t>
  </si>
  <si>
    <t xml:space="preserve">Parking and Fleet </t>
  </si>
  <si>
    <t xml:space="preserve">Ad Valorem Taxes - 1997/2002/2011B Bonds            </t>
  </si>
  <si>
    <t xml:space="preserve">Ad Valorem Taxes - 2005 Bonds            </t>
  </si>
  <si>
    <t xml:space="preserve">THE TENTATIVE, ADOPTED, AND/OR FINAL BUDGETS ARE ON FILE IN THE </t>
  </si>
  <si>
    <t>OFFICE OF THE ABOVE MENTIONED TAXING AUTHORITY AS A PUBLIC RECORD</t>
  </si>
  <si>
    <t xml:space="preserve">THE PROPOSED OPERATING BUDGET EXPENDITURES OF </t>
  </si>
  <si>
    <t xml:space="preserve"> LAST YEAR'S TOTAL OPERATING EXPENDITURES.</t>
  </si>
  <si>
    <t>TRIM Method</t>
  </si>
  <si>
    <t>Prior Yr Adopted</t>
  </si>
  <si>
    <t>All Funds Change</t>
  </si>
  <si>
    <t>Diff/Prior Yr</t>
  </si>
  <si>
    <t>FY2013 Proposed Budget</t>
  </si>
  <si>
    <t xml:space="preserve">  Ad Valorem Taxes - 2011A Bonds            </t>
  </si>
  <si>
    <t xml:space="preserve">  Ad Valorem Taxes - 2011B Bonds</t>
  </si>
  <si>
    <t>Prior Yr Amended</t>
  </si>
  <si>
    <t xml:space="preserve">THE CITY OF FORT LAUDERDALE ARE 3.1% MORE THAN </t>
  </si>
  <si>
    <t>Q237 SPECIAL OBLIGATION BONDS</t>
  </si>
  <si>
    <t>9237 TR TO SPECIAL OBLIGATION BONDS</t>
  </si>
  <si>
    <t>9948 BUDGET STABILIZATION</t>
  </si>
  <si>
    <t>GENERAL FUND - 001</t>
  </si>
  <si>
    <t>237 SPECIAL OBLIGATION BONDS</t>
  </si>
  <si>
    <t>SCHOOL CROSSING GUARDS FUND  - 146</t>
  </si>
  <si>
    <t>School Crossing Guard Fund</t>
  </si>
  <si>
    <t>DEA Confiscated Property - 107.01</t>
  </si>
  <si>
    <t/>
  </si>
  <si>
    <t>FY 2013 PH 2</t>
  </si>
  <si>
    <t>FY 2013 PH1</t>
  </si>
  <si>
    <t>TR TO SCHOOL CROSSING GUARD FUND</t>
  </si>
  <si>
    <t>FY 2013 All Funds Budget Final</t>
  </si>
  <si>
    <t>Prior Year Operating Balance/Reserves</t>
  </si>
  <si>
    <t>Reserves - Other Post Employment Benefits (OPEB)</t>
  </si>
  <si>
    <t>Police Confiscation Funds</t>
  </si>
  <si>
    <t>Reserves - Budget Stabilization</t>
  </si>
  <si>
    <t>Total Resources Allocated PH1</t>
  </si>
  <si>
    <t>FPL Franchise Fees</t>
  </si>
  <si>
    <t xml:space="preserve">Interfacility </t>
  </si>
  <si>
    <t>School Crossing Guards</t>
  </si>
  <si>
    <t>POB One Time Transfer</t>
  </si>
  <si>
    <t>POB</t>
  </si>
  <si>
    <t>E911/POB</t>
  </si>
  <si>
    <t>E911</t>
  </si>
  <si>
    <t>POB/ROI</t>
  </si>
  <si>
    <t>POB Transfer</t>
  </si>
  <si>
    <t>CIP ADA TROLLEY</t>
  </si>
  <si>
    <t>Two new Police Confiscation Funds added</t>
  </si>
  <si>
    <t>FY 2013 Adopted All Funds Budget</t>
  </si>
  <si>
    <t>Parking and Fleet</t>
  </si>
  <si>
    <t>General Fund Transfers</t>
  </si>
  <si>
    <t>Total Transfer In</t>
  </si>
  <si>
    <t xml:space="preserve">Salaries &amp; Wages                       </t>
  </si>
  <si>
    <t xml:space="preserve">Fringe Benefits            </t>
  </si>
  <si>
    <t>Services &amp; Materials</t>
  </si>
  <si>
    <t>104 LAW ENFORCEMENT CONFISCATED PROPERTY</t>
  </si>
  <si>
    <t>107 DEA CONFISCATED PROPERTY</t>
  </si>
  <si>
    <t>INTERNAL SERVICE FUNDS</t>
  </si>
  <si>
    <t>Cemetery Perpetual Care
 Fund</t>
  </si>
  <si>
    <t>Police Confiscation - 104.01</t>
  </si>
  <si>
    <t>Total Transfer Out</t>
  </si>
  <si>
    <r>
      <t xml:space="preserve">  </t>
    </r>
    <r>
      <rPr>
        <i/>
        <sz val="12"/>
        <rFont val="Calibri"/>
        <family val="2"/>
        <scheme val="minor"/>
      </rPr>
      <t>Total of Other Financial Uses</t>
    </r>
  </si>
  <si>
    <t xml:space="preserve">FY 2013 Adopted Budget ~ Internal Service Funds </t>
  </si>
  <si>
    <t>9350 TR TO PARKS</t>
  </si>
  <si>
    <t>Expenditures by Department:</t>
  </si>
  <si>
    <t>146 SCHOOL CROSSING GUARDS</t>
  </si>
  <si>
    <t>Wilton Manors Pumper Truck</t>
  </si>
  <si>
    <t>Department Breakout</t>
  </si>
  <si>
    <t>PKR/PBS</t>
  </si>
  <si>
    <t>Rollover</t>
  </si>
  <si>
    <t>Appropriation</t>
  </si>
  <si>
    <t>Unassigned</t>
  </si>
  <si>
    <t>Pension Contribution available 10-1</t>
  </si>
  <si>
    <t>Inventories?</t>
  </si>
  <si>
    <t>Endowments</t>
  </si>
  <si>
    <t>Grant &amp; Special Programs</t>
  </si>
  <si>
    <t>added to FY 2013</t>
  </si>
  <si>
    <t>Comitted Grants</t>
  </si>
  <si>
    <t>Assigned Grants</t>
  </si>
  <si>
    <t>Total Prior Year</t>
  </si>
  <si>
    <t>Rollover plust $6,0000+10000+1808648</t>
  </si>
  <si>
    <t>FY 2011 CAFR</t>
  </si>
  <si>
    <t>FY 2012 CAFR</t>
  </si>
  <si>
    <t>Reserves - Prepaid Pension</t>
  </si>
  <si>
    <t>Inventories</t>
  </si>
  <si>
    <t>Advances to Other Funds</t>
  </si>
  <si>
    <t>Chaz PIO</t>
  </si>
  <si>
    <t>Not Pumper Truck</t>
  </si>
  <si>
    <t>Centenial Committee</t>
  </si>
  <si>
    <t>Leaving Wilton Manors out until a analysis can be done</t>
  </si>
  <si>
    <t>Committed Grants</t>
  </si>
  <si>
    <t>Total Reserves FY 2011</t>
  </si>
  <si>
    <t>Total Reserves FY 2012</t>
  </si>
  <si>
    <t>12 Months</t>
  </si>
  <si>
    <t>Reserves - Other</t>
  </si>
  <si>
    <t>FY 2013 
Amended</t>
  </si>
  <si>
    <t>FY 2013
Estimate</t>
  </si>
  <si>
    <t>FY 2012
Actual</t>
  </si>
  <si>
    <t>FY 2013 Amended
vs. FY 2014</t>
  </si>
  <si>
    <t>Sanitation Fund</t>
  </si>
  <si>
    <t>Water &amp; Sewer Fund</t>
  </si>
  <si>
    <t>Central Regional Wastewater System Fund</t>
  </si>
  <si>
    <t>Parking System Fund</t>
  </si>
  <si>
    <t>Airport System Fund</t>
  </si>
  <si>
    <t>Stormwater Fund</t>
  </si>
  <si>
    <t>City Insurance Fund</t>
  </si>
  <si>
    <t>Self-Insured Health Benefits Fund</t>
  </si>
  <si>
    <t>Vehicle Rental (Fleet) Fund</t>
  </si>
  <si>
    <t>Police Confiscation Fund</t>
  </si>
  <si>
    <t>Sunrise Key Safe Neighborhood District Fund</t>
  </si>
  <si>
    <t>Housing &amp; Community Development Grants Fund</t>
  </si>
  <si>
    <t>Beach Business Improvement District Fund</t>
  </si>
  <si>
    <t>School Crossing Guards Fund</t>
  </si>
  <si>
    <t>Inter-
governmental</t>
  </si>
  <si>
    <t>FY 2014 Proposed</t>
  </si>
  <si>
    <t>FY 2014                   Proposed</t>
  </si>
  <si>
    <t>rounding</t>
  </si>
  <si>
    <t>$31015 HUD</t>
  </si>
  <si>
    <t>All Funds Summary</t>
  </si>
  <si>
    <t>School Crossing Guard</t>
  </si>
  <si>
    <t>Gas Tax Fund</t>
  </si>
  <si>
    <t>Miscellaneous Federal/State/County Grants</t>
  </si>
  <si>
    <t>Debt Special Obligation Bonds</t>
  </si>
  <si>
    <t>Parking Fund</t>
  </si>
  <si>
    <t>Central Services Fund</t>
  </si>
  <si>
    <t>Community Redevelopment Agency (CRA) Fund</t>
  </si>
  <si>
    <t xml:space="preserve">Ad Valorem Taxes - Debt Service              </t>
  </si>
  <si>
    <t>q237</t>
  </si>
  <si>
    <t>x902</t>
  </si>
  <si>
    <t>X946</t>
  </si>
  <si>
    <t>X940</t>
  </si>
  <si>
    <t>X918</t>
  </si>
  <si>
    <t xml:space="preserve">  </t>
  </si>
  <si>
    <t>FY 2013 Amended</t>
  </si>
  <si>
    <t>FY 2013 Estimate</t>
  </si>
  <si>
    <t>1801 changes</t>
  </si>
  <si>
    <t>Taxes 
$51.8</t>
  </si>
  <si>
    <t>Inter-governmental 
$17.4</t>
  </si>
  <si>
    <t>Misc. 
Revenues 
$46.5</t>
  </si>
  <si>
    <t>Fire 
Assessment Fee 
$32.3</t>
  </si>
  <si>
    <t>Property Taxes $96.6</t>
  </si>
  <si>
    <t>Sustainable 
Development 
$7.6</t>
  </si>
  <si>
    <t>Other 
$38.4</t>
  </si>
  <si>
    <t>Balances, Reserves 
&amp; Transfers 
$61.1</t>
  </si>
  <si>
    <t>Balances, Reserves
&amp; Transfers 
$92.4</t>
  </si>
  <si>
    <t>Licenses 
&amp; Permits 
$2.9</t>
  </si>
  <si>
    <t>Charges 
&amp; Services 
$22.4</t>
  </si>
  <si>
    <t>Fines 
&amp; Forfeitures 
$4.8</t>
  </si>
  <si>
    <t>Public Works 
$5.1</t>
  </si>
  <si>
    <t>Property Tax</t>
  </si>
  <si>
    <t>Police
$92.1</t>
  </si>
  <si>
    <t>Fire-Rescue 
$61.0</t>
  </si>
  <si>
    <t>Parks &amp; Recreation
$39.2</t>
  </si>
  <si>
    <t>Community Redevelopment Agency 
Central Beach Area Fund</t>
  </si>
  <si>
    <t>Community Redevelopment Agency 
NW Progresso Flagler Heights Area Fund</t>
  </si>
  <si>
    <t>Drug Enforcement Agency Confiscated Property Fund</t>
  </si>
  <si>
    <t>Arts &amp; Science District Garage Fund</t>
  </si>
  <si>
    <t>Central Services Fund
 (Information Technology Services)</t>
  </si>
  <si>
    <t>FY 2014 Tentative All Funds Budget</t>
  </si>
  <si>
    <t>Capital Maintenance Transfers Out</t>
  </si>
  <si>
    <t>FY 2014 Proposed 
vs. FY 2014 Tentative</t>
  </si>
  <si>
    <t>Insurance Premium Tax</t>
  </si>
  <si>
    <t>FY 2014 Tentative General 
Fund</t>
  </si>
  <si>
    <t>FY 2014 Proposed General 
Fund</t>
  </si>
  <si>
    <t>FY 2014 Tentative 
Total Operating Funds</t>
  </si>
  <si>
    <t>FY 2014 Proposed 
Total Operating Funds</t>
  </si>
  <si>
    <t>POB FY 2013</t>
  </si>
  <si>
    <t>95% to 96% increase</t>
  </si>
  <si>
    <t>Auditor Reduction</t>
  </si>
  <si>
    <t>Auditor Increase</t>
  </si>
  <si>
    <t>Half Cent Sales Tax</t>
  </si>
  <si>
    <t>Total Revenue Adjustments</t>
  </si>
  <si>
    <t>Premium Insurance Tax</t>
  </si>
  <si>
    <t>Maintenance Plan</t>
  </si>
  <si>
    <t>NCIP &amp;BCIP/General CIP Projects</t>
  </si>
  <si>
    <t>Total Expenditure Adjustments</t>
  </si>
  <si>
    <t>Changes to FY 2014 Proposed Budget</t>
  </si>
  <si>
    <t>Expense</t>
  </si>
  <si>
    <t>Central Services</t>
  </si>
  <si>
    <t>Cemetery Perpetual Care</t>
  </si>
  <si>
    <t>Reserve???</t>
  </si>
  <si>
    <t xml:space="preserve">  Total Other Resources</t>
  </si>
  <si>
    <t>Private Franchise fees from Sanitation</t>
  </si>
  <si>
    <t>Fire Assessment Less GF Cost Allocation and Sanitation ROI</t>
  </si>
  <si>
    <t>Information Technology</t>
  </si>
  <si>
    <t xml:space="preserve">  Total Operating Resources</t>
  </si>
  <si>
    <t>FISCAL YEAR 2014</t>
  </si>
  <si>
    <t>Internal Service Funds</t>
  </si>
  <si>
    <t>Reserves-Other Post Employment Benefits</t>
  </si>
  <si>
    <t>All Funds Schedule A by Program</t>
  </si>
  <si>
    <t>50 INTERNAL SERVICE</t>
  </si>
  <si>
    <r>
      <rPr>
        <sz val="10"/>
        <rFont val="Arial"/>
        <family val="2"/>
      </rPr>
      <t xml:space="preserve"> - </t>
    </r>
    <r>
      <rPr>
        <sz val="10"/>
        <rFont val="Arial"/>
        <family val="2"/>
      </rPr>
      <t>1</t>
    </r>
    <r>
      <rPr>
        <sz val="10"/>
        <rFont val="Arial"/>
        <family val="2"/>
      </rPr>
      <t xml:space="preserve"> - </t>
    </r>
  </si>
  <si>
    <t xml:space="preserve">  Ad Valorem Taxes - Debt Service              </t>
  </si>
  <si>
    <t>Total Revenues and Other Sources</t>
  </si>
  <si>
    <t>Total Transfers and Other Sources</t>
  </si>
  <si>
    <t>TOTAL RESOURCES ALLOCATED</t>
  </si>
  <si>
    <t>Total Operating Expenditures</t>
  </si>
  <si>
    <t>Total Expenditures Allocated</t>
  </si>
  <si>
    <t>Total Balances and Reserves</t>
  </si>
  <si>
    <t>TOTAL RESOURCES AVAILABLE</t>
  </si>
  <si>
    <t>Taxes:</t>
  </si>
  <si>
    <t>Sanitation Fund Stabilization/TMA Transfer</t>
  </si>
  <si>
    <t>Due To/From General Fund</t>
  </si>
  <si>
    <t>Due To/From Health Benefits Fund</t>
  </si>
  <si>
    <t>Expense/Year End Balance</t>
  </si>
  <si>
    <t>Ad Valorem/Total Revenue</t>
  </si>
  <si>
    <r>
      <rPr>
        <sz val="10"/>
        <color theme="1"/>
        <rFont val="Tahoma"/>
        <family val="2"/>
      </rPr>
      <t xml:space="preserve"> - </t>
    </r>
    <r>
      <rPr>
        <sz val="10"/>
        <color theme="1"/>
        <rFont val="Tahoma"/>
        <family val="2"/>
      </rPr>
      <t>1</t>
    </r>
    <r>
      <rPr>
        <sz val="10"/>
        <color theme="1"/>
        <rFont val="Tahoma"/>
        <family val="2"/>
      </rPr>
      <t xml:space="preserve"> - </t>
    </r>
  </si>
  <si>
    <t>Fund Balances and Reserves</t>
  </si>
  <si>
    <t>Prior Year Operating Balance and Reserves</t>
  </si>
  <si>
    <t>THE TENTATIVE, ADOPTED, AND/OR FINAL BUDGETS ARE ON FILE IN THE</t>
  </si>
  <si>
    <t>Other 
Operating
Expenses</t>
  </si>
  <si>
    <t>Transfers 
Out</t>
  </si>
  <si>
    <t>Other 
Sources</t>
  </si>
  <si>
    <t>Capital 
Outlay</t>
  </si>
  <si>
    <t>Transfer Out to Tax Increment Revenue Bonds</t>
  </si>
  <si>
    <t>FY 2014 Adopted All Funds Budget</t>
  </si>
  <si>
    <t>Vehicle 
Rental</t>
  </si>
  <si>
    <t>City 
Insurance</t>
  </si>
  <si>
    <t>Self-Insured 
Health
Benefits</t>
  </si>
  <si>
    <t>FY 2014
Adopted</t>
  </si>
  <si>
    <t>Fringe 
Benefits</t>
  </si>
  <si>
    <t>Capital
Outlay</t>
  </si>
  <si>
    <t>Due To/From Special Assessments Fund</t>
  </si>
  <si>
    <t>Total Due To/From</t>
  </si>
  <si>
    <t>DUE TO/FROM</t>
  </si>
  <si>
    <t>Due To/From</t>
  </si>
  <si>
    <t>Due To/From Special Assessments</t>
  </si>
  <si>
    <t>Community Redevelopment Agency
Central City Area Fund</t>
  </si>
  <si>
    <r>
      <t>Required Transfers Out</t>
    </r>
    <r>
      <rPr>
        <vertAlign val="superscript"/>
        <sz val="14"/>
        <rFont val="Calibri"/>
        <family val="2"/>
        <scheme val="minor"/>
      </rPr>
      <t>1</t>
    </r>
  </si>
  <si>
    <r>
      <rPr>
        <i/>
        <vertAlign val="superscript"/>
        <sz val="14"/>
        <rFont val="Calibri"/>
        <family val="2"/>
        <scheme val="minor"/>
      </rPr>
      <t>1</t>
    </r>
    <r>
      <rPr>
        <i/>
        <sz val="14"/>
        <rFont val="Calibri"/>
        <family val="2"/>
        <scheme val="minor"/>
      </rPr>
      <t>Includes a one-time transfer from the Special Obligation Bond proceeds in the amount of $33.9MM in FY 2013</t>
    </r>
  </si>
  <si>
    <t>Appropriated
Fund
Balance</t>
  </si>
  <si>
    <t>FY 2013
Actual</t>
  </si>
  <si>
    <t>FY 2014
Amended</t>
  </si>
  <si>
    <t>FY 2014
Estimate</t>
  </si>
  <si>
    <t>FY 2013 
Actual</t>
  </si>
  <si>
    <t>FY 2014 
Amended</t>
  </si>
  <si>
    <t>A108</t>
  </si>
  <si>
    <t>Due To General Fund</t>
  </si>
  <si>
    <t>FY 2014 Amended 
vs. FY 2015</t>
  </si>
  <si>
    <t>Inter-
Governmental</t>
  </si>
  <si>
    <t>50 NON-ope exp</t>
  </si>
  <si>
    <t xml:space="preserve">Transfers Out </t>
  </si>
  <si>
    <t>FY 2015
Proposed</t>
  </si>
  <si>
    <t>Nuisance Abatement</t>
  </si>
  <si>
    <t>FY 2015 Proposed All Funds Budget</t>
  </si>
  <si>
    <t>FY 2014 Amended Budget</t>
  </si>
  <si>
    <t>FY 2015 Proposed 
Budget</t>
  </si>
  <si>
    <t>A110</t>
  </si>
  <si>
    <t>Self-
Insured
Health
Benefits</t>
  </si>
  <si>
    <t>State Housing Improvement Program</t>
  </si>
  <si>
    <t>Transfer Out to CRA</t>
  </si>
  <si>
    <t>Transfer Out to Misc. Grants</t>
  </si>
  <si>
    <t>Transfer Out to Special Obligation</t>
  </si>
  <si>
    <t>Transfer Out to Other Funds</t>
  </si>
  <si>
    <t>Transfer Out to Capital Projects</t>
  </si>
  <si>
    <t>Wilton Manors Pumper</t>
  </si>
  <si>
    <t>Debt Services</t>
  </si>
  <si>
    <r>
      <rPr>
        <i/>
        <vertAlign val="superscript"/>
        <sz val="11"/>
        <color indexed="8"/>
        <rFont val="Calibri"/>
        <family val="2"/>
        <scheme val="minor"/>
      </rPr>
      <t>1</t>
    </r>
    <r>
      <rPr>
        <i/>
        <sz val="11"/>
        <color indexed="8"/>
        <rFont val="Calibri"/>
        <family val="2"/>
        <scheme val="minor"/>
      </rPr>
      <t>Fund reserves returned to the proprietary funds in FY 2013 in the amount of $11.5MM for proper accounting purposes.</t>
    </r>
  </si>
  <si>
    <t>State Housing Improvement Program (SHIP)</t>
  </si>
  <si>
    <t>Intergovernmental Revenue</t>
  </si>
  <si>
    <r>
      <t>Transfer Out to Other Funds</t>
    </r>
    <r>
      <rPr>
        <vertAlign val="superscript"/>
        <sz val="12"/>
        <color indexed="8"/>
        <rFont val="Calibri"/>
        <family val="2"/>
        <scheme val="minor"/>
      </rPr>
      <t>1</t>
    </r>
  </si>
  <si>
    <t>Nuisance Abatement Fund</t>
  </si>
  <si>
    <t>Due From Health Benefits Fund</t>
  </si>
  <si>
    <t>Transfer Out to Tax Increment</t>
  </si>
  <si>
    <t>Due From Health Benefits</t>
  </si>
  <si>
    <t>VEBA - PREPAID PENSION</t>
  </si>
  <si>
    <t>voluntary employee benefit</t>
  </si>
  <si>
    <t>NW Progresso CRA CIP Fund</t>
  </si>
  <si>
    <t>FY 2014 Estimate</t>
  </si>
  <si>
    <t>45 Days of Working Capital</t>
  </si>
  <si>
    <t xml:space="preserve">Ad Valorem - Operating              </t>
  </si>
  <si>
    <t xml:space="preserve">Ad Valorem - Debt Service              </t>
  </si>
  <si>
    <t xml:space="preserve">Ad Valorem - Sunrise Key           </t>
  </si>
  <si>
    <t>Building Permits Fund*</t>
  </si>
  <si>
    <t>*Building Permits Fund Transfer In were moved in FY 2014 Estimate to the Building/Economic Development Interfund Service Charges.</t>
  </si>
  <si>
    <t>Airport System Fund  - 468.01</t>
  </si>
  <si>
    <t>Central Regional W/W System Fund  - 451.01</t>
  </si>
  <si>
    <t>Parking System Fund  - 461.01</t>
  </si>
  <si>
    <t>Water &amp; Sewer Fund  - 450</t>
  </si>
  <si>
    <t>General Fund Revenue Summary</t>
  </si>
  <si>
    <t xml:space="preserve">Amended </t>
  </si>
  <si>
    <t>YTD</t>
  </si>
  <si>
    <t>FY 2014 
Amended 
vs. FY 2015</t>
  </si>
  <si>
    <t>Actuals</t>
  </si>
  <si>
    <t>Percent</t>
  </si>
  <si>
    <t>Property Taxes - Operating</t>
  </si>
  <si>
    <t>77 General Obligation Debt Taxes</t>
  </si>
  <si>
    <t>87/92/98 General Obligation Debt Taxes</t>
  </si>
  <si>
    <t>1997/2002/11 General Ob Debt Taxes</t>
  </si>
  <si>
    <t xml:space="preserve"> 2005 General Obligation Debt Taxes</t>
  </si>
  <si>
    <t xml:space="preserve"> 2010 General Obligation Debt Taxes</t>
  </si>
  <si>
    <t xml:space="preserve"> 2011 General Obligation Debt Taxes</t>
  </si>
  <si>
    <t xml:space="preserve"> Sales and Use Tax</t>
  </si>
  <si>
    <t>Utility Taxes</t>
  </si>
  <si>
    <t xml:space="preserve">     Total Taxes</t>
  </si>
  <si>
    <t>Local Business Taxes</t>
  </si>
  <si>
    <t>Building Permits</t>
  </si>
  <si>
    <t xml:space="preserve">     Total Licenses/Permits</t>
  </si>
  <si>
    <t>Intergovernmental:</t>
  </si>
  <si>
    <t>Federal Grants</t>
  </si>
  <si>
    <t>State-Shared Revenues</t>
  </si>
  <si>
    <t>Other Local Grants</t>
  </si>
  <si>
    <t xml:space="preserve">   Total Intergovernmental</t>
  </si>
  <si>
    <t>Charges for Services:</t>
  </si>
  <si>
    <t>General Government</t>
  </si>
  <si>
    <t>Special Events</t>
  </si>
  <si>
    <t>Special Facilities</t>
  </si>
  <si>
    <t>Pools</t>
  </si>
  <si>
    <t xml:space="preserve">     Total Charges for Services</t>
  </si>
  <si>
    <t>Fines and Forfeits:</t>
  </si>
  <si>
    <t>Judgement and Fines</t>
  </si>
  <si>
    <t>Violations of Local Ordinances</t>
  </si>
  <si>
    <t xml:space="preserve">     Total Fines and Forfeitures</t>
  </si>
  <si>
    <t>Miscellaneous:</t>
  </si>
  <si>
    <t>Rents and Royalties</t>
  </si>
  <si>
    <t>Special Assessments</t>
  </si>
  <si>
    <t>Disposal of Fixed Assets</t>
  </si>
  <si>
    <t>Contributions/Donations</t>
  </si>
  <si>
    <t>Other Miscellaneous</t>
  </si>
  <si>
    <t xml:space="preserve">     Total Miscellaneous</t>
  </si>
  <si>
    <t>Other Sources:</t>
  </si>
  <si>
    <t>Operating Transfers</t>
  </si>
  <si>
    <t xml:space="preserve">     Total Other Sources</t>
  </si>
  <si>
    <t>Loans &amp; Note Proceeds</t>
  </si>
  <si>
    <t xml:space="preserve">     Total Appropriated Fund Balance</t>
  </si>
  <si>
    <t>Balances and Reserves:</t>
  </si>
  <si>
    <t>Prior Year Operating Balances</t>
  </si>
  <si>
    <t xml:space="preserve">     Total Balances and Reserves</t>
  </si>
  <si>
    <t xml:space="preserve">     Total Resources</t>
  </si>
  <si>
    <t>General Fund Expenditure Summary</t>
  </si>
  <si>
    <t>Adopted</t>
  </si>
  <si>
    <t>Salaries and Wages:</t>
  </si>
  <si>
    <t>Regular Salaries</t>
  </si>
  <si>
    <t>Longevity</t>
  </si>
  <si>
    <t>Other Wages</t>
  </si>
  <si>
    <t>Employee Allowances</t>
  </si>
  <si>
    <t>Overtime</t>
  </si>
  <si>
    <t>Distributive Labor</t>
  </si>
  <si>
    <t>Termination Pay</t>
  </si>
  <si>
    <t xml:space="preserve"> Core Adjustment</t>
  </si>
  <si>
    <t xml:space="preserve">     Total Salaries and Wages</t>
  </si>
  <si>
    <t>Fringe Benefits:</t>
  </si>
  <si>
    <t>Employee Benefits</t>
  </si>
  <si>
    <t>Pension/Deferred Comp.</t>
  </si>
  <si>
    <t>FICA Taxes</t>
  </si>
  <si>
    <t>Insurance Premiums</t>
  </si>
  <si>
    <t xml:space="preserve">     Total Fringe Benefits</t>
  </si>
  <si>
    <t>Services/Materials:</t>
  </si>
  <si>
    <t>Professional Services</t>
  </si>
  <si>
    <t>Other Services</t>
  </si>
  <si>
    <t>Leases and Rentals</t>
  </si>
  <si>
    <t>Repair and Maintenance</t>
  </si>
  <si>
    <t>Photo/Printing</t>
  </si>
  <si>
    <t>Utilities, Communication</t>
  </si>
  <si>
    <t>Chemicals</t>
  </si>
  <si>
    <t>Fuel &amp; Oil</t>
  </si>
  <si>
    <t>Supplies</t>
  </si>
  <si>
    <t xml:space="preserve">   Total Services/Materials</t>
  </si>
  <si>
    <t>Other Operating Expenditures:</t>
  </si>
  <si>
    <t>Meetings/Schools</t>
  </si>
  <si>
    <t>Contributions/Subsidies</t>
  </si>
  <si>
    <t>Intragovernmental Charges</t>
  </si>
  <si>
    <t xml:space="preserve">     Total Other Expenditures</t>
  </si>
  <si>
    <t xml:space="preserve">     Total Nonoperating Expenditures</t>
  </si>
  <si>
    <t>Capital Outlay:</t>
  </si>
  <si>
    <t>Equipment</t>
  </si>
  <si>
    <t xml:space="preserve">     Total Capital Outlay</t>
  </si>
  <si>
    <t xml:space="preserve">     Total Debt Service</t>
  </si>
  <si>
    <t>Grant Service</t>
  </si>
  <si>
    <t>Other Uses:</t>
  </si>
  <si>
    <t>Discretionary Tranfers Out</t>
  </si>
  <si>
    <t xml:space="preserve">     Total Other Uses</t>
  </si>
  <si>
    <t>Projected Balances and Reserves</t>
  </si>
  <si>
    <t xml:space="preserve">  Total Balances &amp; Reserves</t>
  </si>
  <si>
    <t xml:space="preserve">     Total Expenditures</t>
  </si>
  <si>
    <t>G</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</si>
</sst>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m/dd/yy"/>
    <numFmt numFmtId="165" formatCode="_(* #,##0_);_(* \(#,##0\);_(* &quot;-&quot;??_);_(@_)"/>
    <numFmt numFmtId="166" formatCode="0%;\(0%\)"/>
    <numFmt numFmtId="167" formatCode="#,##0.0"/>
    <numFmt numFmtId="168" formatCode="0_);\(0\)"/>
    <numFmt numFmtId="169" formatCode="#,##0;&quot;-&quot;#,##0"/>
    <numFmt numFmtId="170" formatCode="mmm\ d\,\ yyyy;@"/>
    <numFmt numFmtId="171" formatCode="h\:mm\:ss\ AM/PM;@"/>
    <numFmt numFmtId="172" formatCode="0.0000"/>
    <numFmt numFmtId="173" formatCode="0.0%"/>
    <numFmt numFmtId="174" formatCode="_(* #,##0.0000_);_(* \(#,##0.0000\);_(* &quot;-&quot;??_);_(@_)"/>
    <numFmt numFmtId="175" formatCode="0.000"/>
    <numFmt numFmtId="176" formatCode="_(* #,##0.0_);_(* \(#,##0.0\);_(* &quot;-&quot;??_);_(@_)"/>
    <numFmt numFmtId="177" formatCode="_(* #,##0.000_);_(* \(#,##0.000\);_(* &quot;-&quot;??_);_(@_)"/>
    <numFmt numFmtId="178" formatCode="#,##0.0000000000_);[Red]\(#,##0.0000000000\)"/>
    <numFmt numFmtId="181" formatCode="0.0"/>
    <numFmt numFmtId="182" formatCode="mmm\ d\,\ yyyy"/>
    <numFmt numFmtId="183" formatCode="_(&quot;$&quot;* #,##0_);_(&quot;$&quot;* \(#,##0\);_(&quot;$&quot;* &quot;-&quot;??_);_(@_)"/>
    <numFmt numFmtId="184" formatCode="_(&quot;$&quot;* #,##0.0_);_(&quot;$&quot;* \(#,##0.0\);_(&quot;$&quot;* &quot;-&quot;??_);_(@_)"/>
    <numFmt numFmtId="186" formatCode="0.0%;\(0.0%\)"/>
  </numFmts>
  <fonts count="15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4"/>
      <name val="Arial"/>
      <family val="2"/>
    </font>
    <font>
      <sz val="10"/>
      <color indexed="8"/>
      <name val="Arial"/>
      <family val="2"/>
    </font>
    <font>
      <b/>
      <sz val="12"/>
      <name val="Arial"/>
      <family val="2"/>
    </font>
    <font>
      <b/>
      <sz val="10"/>
      <name val="Arial"/>
      <family val="2"/>
    </font>
    <font>
      <b/>
      <sz val="10"/>
      <color indexed="8"/>
      <name val="Arial"/>
      <family val="2"/>
    </font>
    <font>
      <b/>
      <sz val="10"/>
      <color indexed="17"/>
      <name val="Arial"/>
      <family val="2"/>
    </font>
    <font>
      <sz val="8"/>
      <color indexed="8"/>
      <name val="Arial"/>
      <family val="2"/>
    </font>
    <font>
      <b/>
      <sz val="8"/>
      <color indexed="8"/>
      <name val="Arial"/>
      <family val="2"/>
    </font>
    <font>
      <sz val="10"/>
      <color indexed="8"/>
      <name val="Arial"/>
      <family val="2"/>
    </font>
    <font>
      <sz val="10"/>
      <name val="Arial"/>
      <family val="2"/>
    </font>
    <font>
      <i/>
      <sz val="10"/>
      <name val="Arial"/>
      <family val="2"/>
    </font>
    <font>
      <sz val="14"/>
      <name val="Arial"/>
      <family val="2"/>
    </font>
    <font>
      <b/>
      <sz val="10"/>
      <color indexed="8"/>
      <name val="Arial"/>
      <family val="2"/>
    </font>
    <font>
      <sz val="10"/>
      <name val="Times New Roman"/>
      <family val="1"/>
    </font>
    <font>
      <i/>
      <sz val="10"/>
      <name val="Times New Roman"/>
      <family val="1"/>
    </font>
    <font>
      <b/>
      <sz val="18"/>
      <name val="Times New Roman"/>
      <family val="1"/>
    </font>
    <font>
      <sz val="14"/>
      <name val="Times New Roman"/>
      <family val="1"/>
    </font>
    <font>
      <sz val="10"/>
      <color indexed="10"/>
      <name val="Arial"/>
      <family val="2"/>
    </font>
    <font>
      <sz val="10"/>
      <color indexed="11"/>
      <name val="Times New Roman"/>
      <family val="1"/>
    </font>
    <font>
      <sz val="10"/>
      <name val="Arial"/>
      <family val="2"/>
    </font>
    <font>
      <b/>
      <u/>
      <sz val="10"/>
      <color indexed="8"/>
      <name val="Arial"/>
      <family val="2"/>
    </font>
    <font>
      <sz val="8"/>
      <color indexed="81"/>
      <name val="Tahoma"/>
      <family val="2"/>
    </font>
    <font>
      <b/>
      <sz val="8"/>
      <color indexed="81"/>
      <name val="Tahoma"/>
      <family val="2"/>
    </font>
    <font>
      <sz val="10"/>
      <color indexed="8"/>
      <name val="Calibri"/>
      <family val="2"/>
      <scheme val="minor"/>
    </font>
    <font>
      <b/>
      <sz val="14"/>
      <name val="Calibri"/>
      <family val="2"/>
      <scheme val="minor"/>
    </font>
    <font>
      <b/>
      <sz val="12"/>
      <name val="Calibri"/>
      <family val="2"/>
      <scheme val="minor"/>
    </font>
    <font>
      <b/>
      <sz val="10"/>
      <color indexed="8"/>
      <name val="Calibri"/>
      <family val="2"/>
      <scheme val="minor"/>
    </font>
    <font>
      <b/>
      <sz val="18"/>
      <name val="Calibri"/>
      <family val="2"/>
      <scheme val="minor"/>
    </font>
    <font>
      <b/>
      <sz val="12"/>
      <color indexed="8"/>
      <name val="Calibri"/>
      <family val="2"/>
      <scheme val="minor"/>
    </font>
    <font>
      <sz val="12"/>
      <color indexed="8"/>
      <name val="Calibri"/>
      <family val="2"/>
      <scheme val="minor"/>
    </font>
    <font>
      <b/>
      <u/>
      <sz val="14"/>
      <color rgb="FF000000"/>
      <name val="Tahoma"/>
      <family val="2"/>
    </font>
    <font>
      <sz val="8"/>
      <color rgb="FF000000"/>
      <name val="Tahoma"/>
      <family val="2"/>
    </font>
    <font>
      <b/>
      <sz val="8"/>
      <color rgb="FF000000"/>
      <name val="Tahoma"/>
      <family val="2"/>
    </font>
    <font>
      <sz val="10"/>
      <color rgb="FF000000"/>
      <name val="Tahoma"/>
      <family val="2"/>
    </font>
    <font>
      <sz val="8"/>
      <name val="Calibri"/>
      <family val="2"/>
      <scheme val="minor"/>
    </font>
    <font>
      <sz val="9"/>
      <name val="Calibri"/>
      <family val="2"/>
      <scheme val="minor"/>
    </font>
    <font>
      <b/>
      <sz val="9"/>
      <name val="Calibri"/>
      <family val="2"/>
      <scheme val="minor"/>
    </font>
    <font>
      <sz val="8"/>
      <color indexed="8"/>
      <name val="Calibri"/>
      <family val="2"/>
      <scheme val="minor"/>
    </font>
    <font>
      <sz val="16"/>
      <name val="Calibri"/>
      <family val="2"/>
      <scheme val="minor"/>
    </font>
    <font>
      <sz val="10"/>
      <name val="Calibri"/>
      <family val="2"/>
      <scheme val="minor"/>
    </font>
    <font>
      <sz val="12"/>
      <name val="Calibri"/>
      <family val="2"/>
      <scheme val="minor"/>
    </font>
    <font>
      <i/>
      <sz val="12"/>
      <name val="Calibri"/>
      <family val="2"/>
      <scheme val="minor"/>
    </font>
    <font>
      <b/>
      <u/>
      <sz val="12"/>
      <name val="Calibri"/>
      <family val="2"/>
      <scheme val="minor"/>
    </font>
    <font>
      <u/>
      <sz val="12"/>
      <name val="Calibri"/>
      <family val="2"/>
      <scheme val="minor"/>
    </font>
    <font>
      <sz val="10"/>
      <color indexed="10"/>
      <name val="Calibri"/>
      <family val="2"/>
      <scheme val="minor"/>
    </font>
    <font>
      <sz val="18"/>
      <name val="Calibri"/>
      <family val="2"/>
      <scheme val="minor"/>
    </font>
    <font>
      <b/>
      <sz val="10"/>
      <name val="Calibri"/>
      <family val="2"/>
      <scheme val="minor"/>
    </font>
    <font>
      <sz val="14"/>
      <name val="Calibri"/>
      <family val="2"/>
      <scheme val="minor"/>
    </font>
    <font>
      <b/>
      <sz val="15"/>
      <name val="Calibri"/>
      <family val="2"/>
      <scheme val="minor"/>
    </font>
    <font>
      <sz val="11"/>
      <name val="Calibri"/>
      <family val="2"/>
      <scheme val="minor"/>
    </font>
    <font>
      <b/>
      <sz val="11"/>
      <name val="Calibri"/>
      <family val="2"/>
      <scheme val="minor"/>
    </font>
    <font>
      <i/>
      <sz val="11"/>
      <name val="Calibri"/>
      <family val="2"/>
      <scheme val="minor"/>
    </font>
    <font>
      <u/>
      <sz val="11"/>
      <name val="Calibri"/>
      <family val="2"/>
      <scheme val="minor"/>
    </font>
    <font>
      <sz val="10.5"/>
      <color indexed="8"/>
      <name val="Calibri"/>
      <family val="2"/>
      <scheme val="minor"/>
    </font>
    <font>
      <b/>
      <sz val="10.5"/>
      <color indexed="8"/>
      <name val="Calibri"/>
      <family val="2"/>
      <scheme val="minor"/>
    </font>
    <font>
      <i/>
      <sz val="10"/>
      <name val="Calibri"/>
      <family val="2"/>
      <scheme val="minor"/>
    </font>
    <font>
      <sz val="10.5"/>
      <name val="Calibri"/>
      <family val="2"/>
      <scheme val="minor"/>
    </font>
    <font>
      <b/>
      <sz val="16"/>
      <name val="Calibri"/>
      <family val="2"/>
      <scheme val="minor"/>
    </font>
    <font>
      <b/>
      <sz val="20"/>
      <name val="Calibri"/>
      <family val="2"/>
      <scheme val="minor"/>
    </font>
    <font>
      <i/>
      <sz val="14"/>
      <name val="Calibri"/>
      <family val="2"/>
      <scheme val="minor"/>
    </font>
    <font>
      <i/>
      <sz val="16"/>
      <name val="Calibri"/>
      <family val="2"/>
      <scheme val="minor"/>
    </font>
    <font>
      <b/>
      <u/>
      <sz val="16"/>
      <name val="Calibri"/>
      <family val="2"/>
      <scheme val="minor"/>
    </font>
    <font>
      <u/>
      <sz val="14"/>
      <name val="Calibri"/>
      <family val="2"/>
      <scheme val="minor"/>
    </font>
    <font>
      <b/>
      <i/>
      <sz val="14"/>
      <name val="Calibri"/>
      <family val="2"/>
      <scheme val="minor"/>
    </font>
    <font>
      <u val="doubleAccounting"/>
      <sz val="14"/>
      <name val="Calibri"/>
      <family val="2"/>
      <scheme val="minor"/>
    </font>
    <font>
      <sz val="30"/>
      <name val="Brush Script MT"/>
      <family val="4"/>
    </font>
    <font>
      <b/>
      <sz val="20"/>
      <color theme="0"/>
      <name val="Calibri"/>
      <family val="2"/>
      <scheme val="minor"/>
    </font>
    <font>
      <sz val="35"/>
      <name val="Brush Script MT"/>
      <family val="4"/>
    </font>
    <font>
      <sz val="28"/>
      <name val="Brush Script MT"/>
      <family val="4"/>
    </font>
    <font>
      <sz val="30"/>
      <color indexed="8"/>
      <name val="Brush Script MT"/>
      <family val="4"/>
    </font>
    <font>
      <sz val="32"/>
      <color indexed="8"/>
      <name val="Brush Script MT"/>
      <family val="4"/>
    </font>
    <font>
      <b/>
      <sz val="32"/>
      <color indexed="8"/>
      <name val="Brush Script MT"/>
      <family val="4"/>
    </font>
    <font>
      <sz val="10"/>
      <color rgb="FFFF0000"/>
      <name val="Calibri"/>
      <family val="2"/>
      <scheme val="minor"/>
    </font>
    <font>
      <b/>
      <sz val="10"/>
      <color rgb="FFFF0000"/>
      <name val="Calibri"/>
      <family val="2"/>
      <scheme val="minor"/>
    </font>
    <font>
      <b/>
      <sz val="10"/>
      <color indexed="10"/>
      <name val="Calibri"/>
      <family val="2"/>
      <scheme val="minor"/>
    </font>
    <font>
      <sz val="9"/>
      <color rgb="FF0000FF"/>
      <name val="Verdana"/>
      <family val="2"/>
    </font>
    <font>
      <b/>
      <u val="doubleAccounting"/>
      <sz val="14"/>
      <name val="Calibri"/>
      <family val="2"/>
      <scheme val="minor"/>
    </font>
    <font>
      <sz val="48"/>
      <name val="Brush Script MT"/>
      <family val="4"/>
    </font>
    <font>
      <b/>
      <sz val="30"/>
      <name val="Calibri"/>
      <family val="2"/>
      <scheme val="minor"/>
    </font>
    <font>
      <b/>
      <sz val="18"/>
      <name val="Arial"/>
      <family val="2"/>
    </font>
    <font>
      <sz val="10"/>
      <name val="Courier 17cpi"/>
    </font>
    <font>
      <sz val="9"/>
      <color indexed="81"/>
      <name val="Tahoma"/>
      <family val="2"/>
    </font>
    <font>
      <b/>
      <sz val="9"/>
      <color indexed="81"/>
      <name val="Tahom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10"/>
      <name val="Calibri"/>
      <family val="2"/>
      <scheme val="minor"/>
    </font>
    <font>
      <sz val="72"/>
      <name val="Brush Script MT"/>
      <family val="4"/>
    </font>
    <font>
      <u val="doubleAccounting"/>
      <sz val="12"/>
      <name val="Calibri"/>
      <family val="2"/>
      <scheme val="minor"/>
    </font>
    <font>
      <sz val="12"/>
      <color theme="1"/>
      <name val="Calibri"/>
      <family val="2"/>
      <scheme val="minor"/>
    </font>
    <font>
      <b/>
      <sz val="12"/>
      <color theme="1"/>
      <name val="Calibri"/>
      <family val="2"/>
      <scheme val="minor"/>
    </font>
    <font>
      <b/>
      <i/>
      <sz val="12"/>
      <name val="Calibri"/>
      <family val="2"/>
      <scheme val="minor"/>
    </font>
    <font>
      <b/>
      <sz val="12"/>
      <color indexed="8"/>
      <name val="Leelawadee"/>
      <family val="2"/>
    </font>
    <font>
      <b/>
      <sz val="27"/>
      <name val="Leelawadee"/>
      <family val="2"/>
    </font>
    <font>
      <b/>
      <sz val="8"/>
      <color theme="1"/>
      <name val="Tahoma"/>
      <family val="2"/>
    </font>
    <font>
      <sz val="8"/>
      <color theme="1"/>
      <name val="Tahoma"/>
      <family val="2"/>
    </font>
    <font>
      <sz val="10"/>
      <color theme="1"/>
      <name val="Tahoma"/>
      <family val="2"/>
    </font>
    <font>
      <b/>
      <u/>
      <sz val="14"/>
      <color theme="1"/>
      <name val="Tahoma"/>
      <family val="2"/>
    </font>
    <font>
      <b/>
      <sz val="28"/>
      <name val="Leelawadee"/>
      <family val="2"/>
    </font>
    <font>
      <sz val="13"/>
      <color indexed="8"/>
      <name val="Calibri"/>
      <family val="2"/>
      <scheme val="minor"/>
    </font>
    <font>
      <b/>
      <sz val="13"/>
      <name val="Calibri"/>
      <family val="2"/>
      <scheme val="minor"/>
    </font>
    <font>
      <b/>
      <sz val="13"/>
      <color indexed="8"/>
      <name val="Calibri"/>
      <family val="2"/>
      <scheme val="minor"/>
    </font>
    <font>
      <b/>
      <sz val="13"/>
      <name val="Leelawadee"/>
      <family val="2"/>
    </font>
    <font>
      <b/>
      <sz val="13"/>
      <color indexed="8"/>
      <name val="Leelawadee"/>
      <family val="2"/>
    </font>
    <font>
      <b/>
      <sz val="26"/>
      <name val="Leelawadee"/>
      <family val="2"/>
    </font>
    <font>
      <vertAlign val="superscript"/>
      <sz val="12"/>
      <color indexed="8"/>
      <name val="Calibri"/>
      <family val="2"/>
      <scheme val="minor"/>
    </font>
    <font>
      <i/>
      <sz val="11"/>
      <color indexed="8"/>
      <name val="Calibri"/>
      <family val="2"/>
      <scheme val="minor"/>
    </font>
    <font>
      <i/>
      <vertAlign val="superscript"/>
      <sz val="11"/>
      <color indexed="8"/>
      <name val="Calibri"/>
      <family val="2"/>
      <scheme val="minor"/>
    </font>
    <font>
      <b/>
      <sz val="12"/>
      <color rgb="FFFF0000"/>
      <name val="Calibri"/>
      <family val="2"/>
      <scheme val="minor"/>
    </font>
    <font>
      <b/>
      <sz val="48"/>
      <name val="Leelawadee"/>
      <family val="2"/>
    </font>
    <font>
      <b/>
      <sz val="8"/>
      <name val="Calibri"/>
      <family val="2"/>
      <scheme val="minor"/>
    </font>
    <font>
      <sz val="10"/>
      <name val="Arial"/>
      <family val="2"/>
    </font>
    <font>
      <sz val="11"/>
      <color indexed="8"/>
      <name val="Calibri"/>
      <family val="2"/>
    </font>
    <font>
      <sz val="10"/>
      <color theme="0"/>
      <name val="Times New Roman"/>
      <family val="2"/>
    </font>
    <font>
      <sz val="10"/>
      <color theme="1"/>
      <name val="Times New Roman"/>
      <family val="2"/>
    </font>
    <font>
      <b/>
      <sz val="13"/>
      <color theme="3"/>
      <name val="Calibri"/>
      <family val="2"/>
    </font>
    <font>
      <b/>
      <sz val="11"/>
      <color theme="3"/>
      <name val="Calibri"/>
      <family val="2"/>
    </font>
    <font>
      <b/>
      <sz val="11"/>
      <color theme="1"/>
      <name val="Calibri"/>
      <family val="2"/>
    </font>
    <font>
      <b/>
      <i/>
      <sz val="12"/>
      <color indexed="8"/>
      <name val="Calibri"/>
      <family val="2"/>
      <scheme val="minor"/>
    </font>
    <font>
      <b/>
      <sz val="30"/>
      <name val="Leelawadee"/>
      <family val="2"/>
    </font>
    <font>
      <b/>
      <sz val="16"/>
      <name val="Leelawadee"/>
      <family val="2"/>
    </font>
    <font>
      <b/>
      <u/>
      <sz val="16"/>
      <name val="Leelawadee"/>
      <family val="2"/>
    </font>
    <font>
      <sz val="16"/>
      <name val="Leelawadee"/>
      <family val="2"/>
    </font>
    <font>
      <b/>
      <i/>
      <sz val="16"/>
      <name val="Leelawadee"/>
      <family val="2"/>
    </font>
    <font>
      <b/>
      <sz val="15"/>
      <name val="Leelawadee"/>
      <family val="2"/>
    </font>
    <font>
      <i/>
      <vertAlign val="superscript"/>
      <sz val="14"/>
      <name val="Calibri"/>
      <family val="2"/>
      <scheme val="minor"/>
    </font>
    <font>
      <vertAlign val="superscript"/>
      <sz val="14"/>
      <name val="Calibri"/>
      <family val="2"/>
      <scheme val="minor"/>
    </font>
    <font>
      <b/>
      <sz val="10"/>
      <color theme="0"/>
      <name val="Calibri"/>
      <family val="2"/>
      <scheme val="minor"/>
    </font>
    <font>
      <b/>
      <i/>
      <sz val="16"/>
      <name val="Calibri"/>
      <family val="2"/>
      <scheme val="minor"/>
    </font>
    <font>
      <u/>
      <sz val="16"/>
      <name val="Calibri"/>
      <family val="2"/>
      <scheme val="minor"/>
    </font>
    <font>
      <sz val="11"/>
      <color indexed="8"/>
      <name val="Calibri"/>
      <family val="2"/>
      <scheme val="minor"/>
    </font>
    <font>
      <b/>
      <sz val="10"/>
      <color rgb="FFFFFF99"/>
      <name val="Calibri"/>
      <family val="2"/>
      <scheme val="minor"/>
    </font>
  </fonts>
  <fills count="61">
    <fill>
      <patternFill patternType="none"/>
    </fill>
    <fill>
      <patternFill patternType="gray125"/>
    </fill>
    <fill>
      <patternFill patternType="solid">
        <fgColor indexed="22"/>
        <bgColor indexed="9"/>
      </patternFill>
    </fill>
    <fill>
      <patternFill patternType="solid">
        <fgColor indexed="42"/>
        <bgColor indexed="9"/>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3"/>
        <bgColor indexed="9"/>
      </patternFill>
    </fill>
    <fill>
      <patternFill patternType="solid">
        <fgColor indexed="47"/>
        <bgColor indexed="9"/>
      </patternFill>
    </fill>
    <fill>
      <patternFill patternType="solid">
        <fgColor indexed="13"/>
        <bgColor indexed="9"/>
      </patternFill>
    </fill>
    <fill>
      <patternFill patternType="solid">
        <fgColor indexed="41"/>
        <bgColor indexed="9"/>
      </patternFill>
    </fill>
    <fill>
      <patternFill patternType="solid">
        <fgColor indexed="65"/>
        <bgColor indexed="64"/>
      </patternFill>
    </fill>
    <fill>
      <patternFill patternType="solid">
        <fgColor indexed="45"/>
        <bgColor indexed="64"/>
      </patternFill>
    </fill>
    <fill>
      <patternFill patternType="solid">
        <fgColor indexed="47"/>
        <bgColor indexed="64"/>
      </patternFill>
    </fill>
    <fill>
      <patternFill patternType="solid">
        <fgColor indexed="51"/>
        <bgColor indexed="64"/>
      </patternFill>
    </fill>
    <fill>
      <patternFill patternType="solid">
        <fgColor rgb="FFBFD2E2"/>
        <bgColor indexed="64"/>
      </patternFill>
    </fill>
    <fill>
      <patternFill patternType="solid">
        <fgColor rgb="FFF2F1F1"/>
        <bgColor indexed="64"/>
      </patternFill>
    </fill>
    <fill>
      <patternFill patternType="solid">
        <fgColor rgb="FFDFDFDF"/>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FD2E2"/>
      </patternFill>
    </fill>
    <fill>
      <patternFill patternType="solid">
        <fgColor rgb="FFF2F1F1"/>
      </patternFill>
    </fill>
    <fill>
      <patternFill patternType="solid">
        <fgColor rgb="FFDFDFDF"/>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11"/>
      </patternFill>
    </fill>
    <fill>
      <patternFill patternType="solid">
        <fgColor rgb="FFFFFF99"/>
        <bgColor indexed="64"/>
      </patternFill>
    </fill>
  </fills>
  <borders count="81">
    <border>
      <left/>
      <right/>
      <top/>
      <bottom/>
      <diagonal/>
    </border>
    <border>
      <left/>
      <right/>
      <top/>
      <bottom style="medium">
        <color indexed="64"/>
      </bottom>
      <diagonal/>
    </border>
    <border>
      <left/>
      <right/>
      <top style="thin">
        <color indexed="64"/>
      </top>
      <bottom style="double">
        <color indexed="64"/>
      </bottom>
      <diagonal/>
    </border>
    <border>
      <left/>
      <right/>
      <top style="thin">
        <color indexed="64"/>
      </top>
      <bottom style="thin">
        <color indexed="64"/>
      </bottom>
      <diagonal/>
    </border>
    <border>
      <left/>
      <right/>
      <top/>
      <bottom style="thin">
        <color indexed="64"/>
      </bottom>
      <diagonal/>
    </border>
    <border>
      <left/>
      <right/>
      <top/>
      <bottom style="double">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bottom style="double">
        <color indexed="64"/>
      </bottom>
      <diagonal/>
    </border>
    <border>
      <left style="medium">
        <color indexed="64"/>
      </left>
      <right/>
      <top/>
      <bottom/>
      <diagonal/>
    </border>
    <border>
      <left style="medium">
        <color indexed="64"/>
      </left>
      <right/>
      <top/>
      <bottom style="medium">
        <color indexed="64"/>
      </bottom>
      <diagonal/>
    </border>
    <border>
      <left/>
      <right/>
      <top style="thin">
        <color indexed="64"/>
      </top>
      <bottom style="medium">
        <color indexed="64"/>
      </bottom>
      <diagonal/>
    </border>
    <border>
      <left style="medium">
        <color indexed="8"/>
      </left>
      <right/>
      <top style="thin">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8"/>
      </left>
      <right/>
      <top/>
      <bottom/>
      <diagonal/>
    </border>
    <border>
      <left style="medium">
        <color indexed="8"/>
      </left>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thin">
        <color indexed="64"/>
      </bottom>
      <diagonal/>
    </border>
    <border>
      <left style="thin">
        <color rgb="FFCFCFCF"/>
      </left>
      <right/>
      <top style="thin">
        <color rgb="FFCFCFCF"/>
      </top>
      <bottom style="thin">
        <color rgb="FF93B1CD"/>
      </bottom>
      <diagonal/>
    </border>
    <border>
      <left/>
      <right/>
      <top style="thin">
        <color rgb="FFCFCFCF"/>
      </top>
      <bottom style="thin">
        <color rgb="FF93B1CD"/>
      </bottom>
      <diagonal/>
    </border>
    <border>
      <left/>
      <right style="thin">
        <color rgb="FF93B1CD"/>
      </right>
      <top style="thin">
        <color rgb="FFCFCFCF"/>
      </top>
      <bottom style="thin">
        <color rgb="FF93B1CD"/>
      </bottom>
      <diagonal/>
    </border>
    <border>
      <left style="thin">
        <color rgb="FF93B1CD"/>
      </left>
      <right style="thin">
        <color rgb="FF93B1CD"/>
      </right>
      <top style="thin">
        <color rgb="FF93B1CD"/>
      </top>
      <bottom style="thin">
        <color rgb="FF93B1CD"/>
      </bottom>
      <diagonal/>
    </border>
    <border>
      <left style="thin">
        <color rgb="FF93B1CD"/>
      </left>
      <right style="thin">
        <color rgb="FF93B1CD"/>
      </right>
      <top style="thin">
        <color rgb="FF93B1CD"/>
      </top>
      <bottom/>
      <diagonal/>
    </border>
    <border>
      <left style="thin">
        <color rgb="FFCCCCCC"/>
      </left>
      <right style="thin">
        <color rgb="FFCCCCCC"/>
      </right>
      <top style="thin">
        <color rgb="FFCCCCCC"/>
      </top>
      <bottom style="thin">
        <color rgb="FFCCCCCC"/>
      </bottom>
      <diagonal/>
    </border>
    <border>
      <left style="thin">
        <color rgb="FF93B1CD"/>
      </left>
      <right style="thin">
        <color rgb="FF93B1CD"/>
      </right>
      <top/>
      <bottom/>
      <diagonal/>
    </border>
    <border>
      <left style="thin">
        <color rgb="FF93B1CD"/>
      </left>
      <right style="thin">
        <color rgb="FF93B1CD"/>
      </right>
      <top/>
      <bottom style="thin">
        <color rgb="FF93B1CD"/>
      </bottom>
      <diagonal/>
    </border>
    <border>
      <left style="thin">
        <color rgb="FFA2C4E0"/>
      </left>
      <right style="thin">
        <color rgb="FFA2C4E0"/>
      </right>
      <top style="thin">
        <color rgb="FFA2C4E0"/>
      </top>
      <bottom style="thin">
        <color rgb="FFA2C4E0"/>
      </bottom>
      <diagonal/>
    </border>
    <border>
      <left style="thin">
        <color rgb="FF93B1CD"/>
      </left>
      <right/>
      <top style="thin">
        <color rgb="FF93B1CD"/>
      </top>
      <bottom style="thin">
        <color rgb="FF93B1CD"/>
      </bottom>
      <diagonal/>
    </border>
    <border>
      <left/>
      <right style="thin">
        <color rgb="FF93B1CD"/>
      </right>
      <top style="thin">
        <color rgb="FF93B1CD"/>
      </top>
      <bottom style="thin">
        <color rgb="FF93B1CD"/>
      </bottom>
      <diagonal/>
    </border>
    <border>
      <left/>
      <right/>
      <top style="thin">
        <color rgb="FF93B1CD"/>
      </top>
      <bottom style="thin">
        <color rgb="FF93B1CD"/>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ck">
        <color indexed="64"/>
      </top>
      <bottom style="thick">
        <color indexed="64"/>
      </bottom>
      <diagonal/>
    </border>
    <border>
      <left/>
      <right style="thin">
        <color rgb="FF93B1CD"/>
      </right>
      <top/>
      <bottom style="thin">
        <color rgb="FF93B1CD"/>
      </bottom>
      <diagonal/>
    </border>
    <border>
      <left style="thin">
        <color rgb="FFCFCFCF"/>
      </left>
      <right/>
      <top style="thin">
        <color rgb="FFCFCFCF"/>
      </top>
      <bottom/>
      <diagonal/>
    </border>
    <border>
      <left/>
      <right/>
      <top style="thin">
        <color rgb="FFCFCFCF"/>
      </top>
      <bottom/>
      <diagonal/>
    </border>
    <border>
      <left/>
      <right style="thin">
        <color rgb="FF93B1CD"/>
      </right>
      <top style="thin">
        <color rgb="FFCFCFCF"/>
      </top>
      <bottom/>
      <diagonal/>
    </border>
    <border>
      <left style="thin">
        <color rgb="FFCFCFCF"/>
      </left>
      <right/>
      <top/>
      <bottom style="thin">
        <color rgb="FF93B1CD"/>
      </bottom>
      <diagonal/>
    </border>
    <border>
      <left/>
      <right/>
      <top/>
      <bottom style="thin">
        <color rgb="FF93B1CD"/>
      </bottom>
      <diagonal/>
    </border>
    <border>
      <left style="thin">
        <color rgb="FFCFCFCF"/>
      </left>
      <right style="thin">
        <color rgb="FF93B1CD"/>
      </right>
      <top style="thin">
        <color rgb="FFCFCFCF"/>
      </top>
      <bottom/>
      <diagonal/>
    </border>
    <border>
      <left style="thin">
        <color rgb="FFCFCFCF"/>
      </left>
      <right style="thin">
        <color rgb="FF93B1CD"/>
      </right>
      <top/>
      <bottom style="thin">
        <color rgb="FF93B1CD"/>
      </bottom>
      <diagonal/>
    </border>
    <border>
      <left/>
      <right style="medium">
        <color indexed="64"/>
      </right>
      <top/>
      <bottom style="thin">
        <color indexed="64"/>
      </bottom>
      <diagonal/>
    </border>
    <border>
      <left style="thin">
        <color rgb="FFCCCCCC"/>
      </left>
      <right style="thin">
        <color rgb="FFCCCCCC"/>
      </right>
      <top style="thin">
        <color rgb="FFCCCCCC"/>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FCFCF"/>
      </left>
      <right style="medium">
        <color rgb="FFCFCFCF"/>
      </right>
      <top style="medium">
        <color rgb="FFCFCFCF"/>
      </top>
      <bottom style="medium">
        <color rgb="FFCFCFCF"/>
      </bottom>
      <diagonal/>
    </border>
    <border>
      <left/>
      <right style="medium">
        <color rgb="FFCFCFCF"/>
      </right>
      <top style="medium">
        <color rgb="FFCFCFCF"/>
      </top>
      <bottom style="medium">
        <color rgb="FFCFCFCF"/>
      </bottom>
      <diagonal/>
    </border>
    <border>
      <left style="medium">
        <color rgb="FF93B1CD"/>
      </left>
      <right style="medium">
        <color rgb="FF93B1CD"/>
      </right>
      <top style="medium">
        <color rgb="FF93B1CD"/>
      </top>
      <bottom style="medium">
        <color rgb="FF93B1CD"/>
      </bottom>
      <diagonal/>
    </border>
    <border>
      <left style="medium">
        <color rgb="FFCCCCCC"/>
      </left>
      <right style="medium">
        <color rgb="FFCCCCCC"/>
      </right>
      <top style="medium">
        <color rgb="FFCCCCCC"/>
      </top>
      <bottom style="medium">
        <color rgb="FFCCCCCC"/>
      </bottom>
      <diagonal/>
    </border>
    <border>
      <left style="medium">
        <color rgb="FF93B1CD"/>
      </left>
      <right style="medium">
        <color rgb="FF93B1CD"/>
      </right>
      <top/>
      <bottom/>
      <diagonal/>
    </border>
    <border>
      <left style="medium">
        <color rgb="FF93B1CD"/>
      </left>
      <right style="medium">
        <color rgb="FF93B1CD"/>
      </right>
      <top/>
      <bottom style="medium">
        <color rgb="FF93B1CD"/>
      </bottom>
      <diagonal/>
    </border>
    <border>
      <left style="medium">
        <color rgb="FFA2C4E0"/>
      </left>
      <right style="medium">
        <color rgb="FFA2C4E0"/>
      </right>
      <top style="medium">
        <color rgb="FFA2C4E0"/>
      </top>
      <bottom style="medium">
        <color rgb="FFA2C4E0"/>
      </bottom>
      <diagonal/>
    </border>
    <border>
      <left/>
      <right style="medium">
        <color rgb="FF93B1CD"/>
      </right>
      <top style="medium">
        <color rgb="FF93B1CD"/>
      </top>
      <bottom style="medium">
        <color rgb="FF93B1CD"/>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double">
        <color indexed="64"/>
      </top>
      <bottom/>
      <diagonal/>
    </border>
  </borders>
  <cellStyleXfs count="38186">
    <xf numFmtId="0" fontId="0" fillId="0" borderId="0"/>
    <xf numFmtId="43" fontId="11" fillId="0" borderId="0" applyFont="0" applyFill="0" applyBorder="0" applyAlignment="0" applyProtection="0"/>
    <xf numFmtId="44" fontId="11" fillId="0" borderId="0" applyFont="0" applyFill="0" applyBorder="0" applyAlignment="0" applyProtection="0"/>
    <xf numFmtId="38" fontId="21" fillId="0" borderId="0">
      <protection locked="0"/>
    </xf>
    <xf numFmtId="0" fontId="13" fillId="0" borderId="0">
      <alignment vertical="top"/>
    </xf>
    <xf numFmtId="0" fontId="13" fillId="0" borderId="0">
      <alignment vertical="top"/>
    </xf>
    <xf numFmtId="9" fontId="11" fillId="0" borderId="0" applyFont="0" applyFill="0" applyBorder="0" applyAlignment="0" applyProtection="0"/>
    <xf numFmtId="0" fontId="22" fillId="0" borderId="0">
      <protection locked="0"/>
    </xf>
    <xf numFmtId="0" fontId="10" fillId="0" borderId="0"/>
    <xf numFmtId="43" fontId="10" fillId="0" borderId="0" applyFont="0" applyFill="0" applyBorder="0" applyAlignment="0" applyProtection="0"/>
    <xf numFmtId="0" fontId="92" fillId="0" borderId="0"/>
    <xf numFmtId="0" fontId="95" fillId="0" borderId="0" applyNumberFormat="0" applyFill="0" applyBorder="0" applyAlignment="0" applyProtection="0"/>
    <xf numFmtId="0" fontId="96" fillId="0" borderId="61" applyNumberFormat="0" applyFill="0" applyAlignment="0" applyProtection="0"/>
    <xf numFmtId="0" fontId="97" fillId="0" borderId="62" applyNumberFormat="0" applyFill="0" applyAlignment="0" applyProtection="0"/>
    <xf numFmtId="0" fontId="98" fillId="0" borderId="63" applyNumberFormat="0" applyFill="0" applyAlignment="0" applyProtection="0"/>
    <xf numFmtId="0" fontId="98" fillId="0" borderId="0" applyNumberFormat="0" applyFill="0" applyBorder="0" applyAlignment="0" applyProtection="0"/>
    <xf numFmtId="0" fontId="99" fillId="21" borderId="0" applyNumberFormat="0" applyBorder="0" applyAlignment="0" applyProtection="0"/>
    <xf numFmtId="0" fontId="100" fillId="22" borderId="0" applyNumberFormat="0" applyBorder="0" applyAlignment="0" applyProtection="0"/>
    <xf numFmtId="0" fontId="101" fillId="23" borderId="0" applyNumberFormat="0" applyBorder="0" applyAlignment="0" applyProtection="0"/>
    <xf numFmtId="0" fontId="102" fillId="24" borderId="64" applyNumberFormat="0" applyAlignment="0" applyProtection="0"/>
    <xf numFmtId="0" fontId="103" fillId="25" borderId="65" applyNumberFormat="0" applyAlignment="0" applyProtection="0"/>
    <xf numFmtId="0" fontId="104" fillId="25" borderId="64" applyNumberFormat="0" applyAlignment="0" applyProtection="0"/>
    <xf numFmtId="0" fontId="105" fillId="0" borderId="66" applyNumberFormat="0" applyFill="0" applyAlignment="0" applyProtection="0"/>
    <xf numFmtId="0" fontId="106" fillId="26" borderId="67" applyNumberFormat="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9" fillId="0" borderId="69" applyNumberFormat="0" applyFill="0" applyAlignment="0" applyProtection="0"/>
    <xf numFmtId="0" fontId="110"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110" fillId="35" borderId="0" applyNumberFormat="0" applyBorder="0" applyAlignment="0" applyProtection="0"/>
    <xf numFmtId="0" fontId="110"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110" fillId="39" borderId="0" applyNumberFormat="0" applyBorder="0" applyAlignment="0" applyProtection="0"/>
    <xf numFmtId="0" fontId="110" fillId="40"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110" fillId="43" borderId="0" applyNumberFormat="0" applyBorder="0" applyAlignment="0" applyProtection="0"/>
    <xf numFmtId="0" fontId="110"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110" fillId="47" borderId="0" applyNumberFormat="0" applyBorder="0" applyAlignment="0" applyProtection="0"/>
    <xf numFmtId="0" fontId="110" fillId="48" borderId="0" applyNumberFormat="0" applyBorder="0" applyAlignment="0" applyProtection="0"/>
    <xf numFmtId="0" fontId="9" fillId="49" borderId="0" applyNumberFormat="0" applyBorder="0" applyAlignment="0" applyProtection="0"/>
    <xf numFmtId="0" fontId="9" fillId="50" borderId="0" applyNumberFormat="0" applyBorder="0" applyAlignment="0" applyProtection="0"/>
    <xf numFmtId="0" fontId="110" fillId="51" borderId="0" applyNumberFormat="0" applyBorder="0" applyAlignment="0" applyProtection="0"/>
    <xf numFmtId="0" fontId="11" fillId="0" borderId="0">
      <alignment vertical="top"/>
    </xf>
    <xf numFmtId="0" fontId="9" fillId="27" borderId="68" applyNumberFormat="0" applyFont="0" applyAlignment="0" applyProtection="0"/>
    <xf numFmtId="0" fontId="8" fillId="0" borderId="0"/>
    <xf numFmtId="0" fontId="8" fillId="27" borderId="68" applyNumberFormat="0" applyFont="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49" borderId="0" applyNumberFormat="0" applyBorder="0" applyAlignment="0" applyProtection="0"/>
    <xf numFmtId="0" fontId="8" fillId="50" borderId="0" applyNumberFormat="0" applyBorder="0" applyAlignment="0" applyProtection="0"/>
    <xf numFmtId="0" fontId="11" fillId="0" borderId="0">
      <alignment vertical="top"/>
    </xf>
    <xf numFmtId="0" fontId="121" fillId="0" borderId="0"/>
    <xf numFmtId="0" fontId="11" fillId="0" borderId="0"/>
    <xf numFmtId="38" fontId="11" fillId="0" borderId="0">
      <protection locked="0"/>
    </xf>
    <xf numFmtId="0" fontId="7" fillId="0" borderId="0"/>
    <xf numFmtId="43" fontId="7" fillId="0" borderId="0" applyFont="0" applyFill="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68" applyNumberFormat="0" applyFont="0" applyAlignment="0" applyProtection="0"/>
    <xf numFmtId="0" fontId="7" fillId="0" borderId="0"/>
    <xf numFmtId="0" fontId="7" fillId="27" borderId="68" applyNumberFormat="0" applyFont="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36" fillId="0" borderId="0">
      <alignment vertical="top"/>
    </xf>
    <xf numFmtId="43" fontId="6" fillId="0" borderId="0" applyFont="0" applyFill="0" applyBorder="0" applyAlignment="0" applyProtection="0"/>
    <xf numFmtId="0" fontId="6" fillId="27" borderId="68" applyNumberFormat="0" applyFont="0" applyAlignment="0" applyProtection="0"/>
    <xf numFmtId="0" fontId="136" fillId="0" borderId="0">
      <alignment vertical="top"/>
    </xf>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11" fillId="0" borderId="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137" fillId="27" borderId="68" applyNumberFormat="0" applyFont="0" applyAlignment="0" applyProtection="0"/>
    <xf numFmtId="0" fontId="137" fillId="27" borderId="68" applyNumberFormat="0" applyFont="0" applyAlignment="0" applyProtection="0"/>
    <xf numFmtId="0" fontId="137" fillId="27" borderId="68" applyNumberFormat="0" applyFont="0" applyAlignment="0" applyProtection="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44" fontId="11" fillId="0" borderId="0" applyFont="0" applyFill="0" applyBorder="0" applyAlignment="0" applyProtection="0"/>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alignment vertical="top"/>
    </xf>
    <xf numFmtId="0" fontId="11" fillId="0" borderId="0"/>
    <xf numFmtId="0" fontId="6" fillId="27" borderId="68" applyNumberFormat="0" applyFont="0" applyAlignment="0" applyProtection="0"/>
    <xf numFmtId="9" fontId="11" fillId="0" borderId="0" applyFont="0" applyFill="0" applyBorder="0" applyAlignment="0" applyProtection="0"/>
    <xf numFmtId="9" fontId="11"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44" fontId="11"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11" fillId="0" borderId="0">
      <alignment vertical="top"/>
    </xf>
    <xf numFmtId="0" fontId="6" fillId="27" borderId="68" applyNumberFormat="0" applyFont="0" applyAlignment="0" applyProtection="0"/>
    <xf numFmtId="9" fontId="11"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11" fillId="0" borderId="0">
      <alignment vertical="top"/>
    </xf>
    <xf numFmtId="0" fontId="6" fillId="0" borderId="0"/>
    <xf numFmtId="44" fontId="6" fillId="0" borderId="0" applyFont="0" applyFill="0" applyBorder="0" applyAlignment="0" applyProtection="0"/>
    <xf numFmtId="43" fontId="6" fillId="0" borderId="0" applyFont="0" applyFill="0" applyBorder="0" applyAlignment="0" applyProtection="0"/>
    <xf numFmtId="0" fontId="121" fillId="0" borderId="0"/>
    <xf numFmtId="0" fontId="6" fillId="0" borderId="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44" fontId="6" fillId="0" borderId="0" applyFont="0" applyFill="0" applyBorder="0" applyAlignment="0" applyProtection="0"/>
    <xf numFmtId="0" fontId="6" fillId="57" borderId="0" applyNumberFormat="0" applyBorder="0" applyAlignment="0" applyProtection="0"/>
    <xf numFmtId="0" fontId="6" fillId="45" borderId="0" applyNumberFormat="0" applyBorder="0" applyAlignment="0" applyProtection="0"/>
    <xf numFmtId="0" fontId="6" fillId="55" borderId="0" applyNumberFormat="0" applyBorder="0" applyAlignment="0" applyProtection="0"/>
    <xf numFmtId="0" fontId="6" fillId="27" borderId="68" applyNumberFormat="0" applyFont="0" applyAlignment="0" applyProtection="0"/>
    <xf numFmtId="0" fontId="6" fillId="5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57" borderId="0" applyNumberFormat="0" applyBorder="0" applyAlignment="0" applyProtection="0"/>
    <xf numFmtId="0" fontId="6" fillId="49"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59" borderId="0" applyNumberFormat="0" applyBorder="0" applyAlignment="0" applyProtection="0"/>
    <xf numFmtId="0" fontId="6" fillId="34"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7" borderId="0" applyNumberFormat="0" applyBorder="0" applyAlignment="0" applyProtection="0"/>
    <xf numFmtId="0" fontId="6" fillId="42" borderId="0" applyNumberFormat="0" applyBorder="0" applyAlignment="0" applyProtection="0"/>
    <xf numFmtId="0" fontId="6" fillId="55" borderId="0" applyNumberFormat="0" applyBorder="0" applyAlignment="0" applyProtection="0"/>
    <xf numFmtId="0" fontId="6" fillId="0" borderId="0"/>
    <xf numFmtId="0" fontId="6" fillId="55" borderId="0" applyNumberFormat="0" applyBorder="0" applyAlignment="0" applyProtection="0"/>
    <xf numFmtId="0" fontId="6" fillId="30"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56"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42"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43" fontId="6" fillId="0" borderId="0" applyFont="0" applyFill="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11" fillId="0" borderId="0"/>
    <xf numFmtId="0" fontId="11" fillId="0" borderId="0">
      <alignment vertical="top"/>
    </xf>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11" fillId="0" borderId="0"/>
    <xf numFmtId="0" fontId="138" fillId="28"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9" fillId="0" borderId="0" applyFont="0" applyFill="0" applyBorder="0" applyAlignment="0" applyProtection="0"/>
    <xf numFmtId="43" fontId="13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11"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11" fillId="0" borderId="0" applyFont="0" applyFill="0" applyBorder="0" applyAlignment="0" applyProtection="0"/>
    <xf numFmtId="0" fontId="140" fillId="0" borderId="62" applyNumberFormat="0" applyFill="0" applyAlignment="0" applyProtection="0"/>
    <xf numFmtId="0" fontId="141" fillId="0" borderId="0" applyNumberFormat="0" applyFill="0" applyBorder="0" applyAlignment="0" applyProtection="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0" fontId="13" fillId="0" borderId="0" applyNumberFormat="0" applyBorder="0" applyAlignment="0"/>
    <xf numFmtId="0" fontId="142" fillId="0" borderId="69" applyNumberFormat="0" applyFill="0" applyAlignment="0" applyProtection="0"/>
    <xf numFmtId="0" fontId="142" fillId="0" borderId="69" applyNumberFormat="0" applyFill="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11" fillId="0" borderId="0">
      <alignment vertical="top"/>
    </xf>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44" fontId="6" fillId="0" borderId="0" applyFont="0" applyFill="0" applyBorder="0" applyAlignment="0" applyProtection="0"/>
    <xf numFmtId="0" fontId="6" fillId="57" borderId="0" applyNumberFormat="0" applyBorder="0" applyAlignment="0" applyProtection="0"/>
    <xf numFmtId="0" fontId="6" fillId="45" borderId="0" applyNumberFormat="0" applyBorder="0" applyAlignment="0" applyProtection="0"/>
    <xf numFmtId="0" fontId="6" fillId="55" borderId="0" applyNumberFormat="0" applyBorder="0" applyAlignment="0" applyProtection="0"/>
    <xf numFmtId="0" fontId="6" fillId="27" borderId="68" applyNumberFormat="0" applyFont="0" applyAlignment="0" applyProtection="0"/>
    <xf numFmtId="0" fontId="6" fillId="5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57" borderId="0" applyNumberFormat="0" applyBorder="0" applyAlignment="0" applyProtection="0"/>
    <xf numFmtId="0" fontId="6" fillId="49"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59" borderId="0" applyNumberFormat="0" applyBorder="0" applyAlignment="0" applyProtection="0"/>
    <xf numFmtId="0" fontId="6" fillId="34"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7" borderId="0" applyNumberFormat="0" applyBorder="0" applyAlignment="0" applyProtection="0"/>
    <xf numFmtId="0" fontId="6" fillId="42" borderId="0" applyNumberFormat="0" applyBorder="0" applyAlignment="0" applyProtection="0"/>
    <xf numFmtId="0" fontId="6" fillId="55" borderId="0" applyNumberFormat="0" applyBorder="0" applyAlignment="0" applyProtection="0"/>
    <xf numFmtId="0" fontId="6" fillId="0" borderId="0"/>
    <xf numFmtId="0" fontId="6" fillId="55" borderId="0" applyNumberFormat="0" applyBorder="0" applyAlignment="0" applyProtection="0"/>
    <xf numFmtId="0" fontId="6" fillId="30"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56"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42"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43" fontId="6" fillId="0" borderId="0" applyFont="0" applyFill="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43"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11" fillId="0" borderId="0">
      <alignment vertical="top"/>
    </xf>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44" fontId="11"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44" fontId="6" fillId="0" borderId="0" applyFont="0" applyFill="0" applyBorder="0" applyAlignment="0" applyProtection="0"/>
    <xf numFmtId="0" fontId="6" fillId="57" borderId="0" applyNumberFormat="0" applyBorder="0" applyAlignment="0" applyProtection="0"/>
    <xf numFmtId="0" fontId="6" fillId="45" borderId="0" applyNumberFormat="0" applyBorder="0" applyAlignment="0" applyProtection="0"/>
    <xf numFmtId="0" fontId="6" fillId="55" borderId="0" applyNumberFormat="0" applyBorder="0" applyAlignment="0" applyProtection="0"/>
    <xf numFmtId="0" fontId="6" fillId="27" borderId="68" applyNumberFormat="0" applyFont="0" applyAlignment="0" applyProtection="0"/>
    <xf numFmtId="0" fontId="6" fillId="5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57" borderId="0" applyNumberFormat="0" applyBorder="0" applyAlignment="0" applyProtection="0"/>
    <xf numFmtId="0" fontId="6" fillId="49"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59" borderId="0" applyNumberFormat="0" applyBorder="0" applyAlignment="0" applyProtection="0"/>
    <xf numFmtId="0" fontId="6" fillId="34"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7" borderId="0" applyNumberFormat="0" applyBorder="0" applyAlignment="0" applyProtection="0"/>
    <xf numFmtId="0" fontId="6" fillId="42" borderId="0" applyNumberFormat="0" applyBorder="0" applyAlignment="0" applyProtection="0"/>
    <xf numFmtId="0" fontId="6" fillId="55" borderId="0" applyNumberFormat="0" applyBorder="0" applyAlignment="0" applyProtection="0"/>
    <xf numFmtId="0" fontId="6" fillId="0" borderId="0"/>
    <xf numFmtId="0" fontId="6" fillId="55" borderId="0" applyNumberFormat="0" applyBorder="0" applyAlignment="0" applyProtection="0"/>
    <xf numFmtId="0" fontId="6" fillId="30"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56"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42"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43" fontId="6" fillId="0" borderId="0" applyFont="0" applyFill="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0" fontId="6" fillId="29" borderId="0" applyNumberFormat="0" applyBorder="0" applyAlignment="0" applyProtection="0"/>
    <xf numFmtId="0" fontId="6" fillId="29" borderId="0" applyNumberFormat="0" applyBorder="0" applyAlignment="0" applyProtection="0"/>
    <xf numFmtId="0" fontId="6" fillId="33" borderId="0" applyNumberFormat="0" applyBorder="0" applyAlignment="0" applyProtection="0"/>
    <xf numFmtId="0" fontId="6" fillId="33" borderId="0" applyNumberFormat="0" applyBorder="0" applyAlignment="0" applyProtection="0"/>
    <xf numFmtId="0" fontId="6" fillId="37" borderId="0" applyNumberFormat="0" applyBorder="0" applyAlignment="0" applyProtection="0"/>
    <xf numFmtId="0" fontId="6" fillId="37" borderId="0" applyNumberFormat="0" applyBorder="0" applyAlignment="0" applyProtection="0"/>
    <xf numFmtId="0" fontId="6" fillId="41" borderId="0" applyNumberFormat="0" applyBorder="0" applyAlignment="0" applyProtection="0"/>
    <xf numFmtId="0" fontId="6" fillId="41" borderId="0" applyNumberFormat="0" applyBorder="0" applyAlignment="0" applyProtection="0"/>
    <xf numFmtId="0" fontId="6" fillId="38" borderId="0" applyNumberFormat="0" applyBorder="0" applyAlignment="0" applyProtection="0"/>
    <xf numFmtId="0" fontId="6" fillId="38" borderId="0" applyNumberFormat="0" applyBorder="0" applyAlignment="0" applyProtection="0"/>
    <xf numFmtId="0" fontId="6" fillId="27" borderId="68" applyNumberFormat="0" applyFont="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44" fontId="6" fillId="0" borderId="0" applyFont="0" applyFill="0" applyBorder="0" applyAlignment="0" applyProtection="0"/>
    <xf numFmtId="0" fontId="6" fillId="57" borderId="0" applyNumberFormat="0" applyBorder="0" applyAlignment="0" applyProtection="0"/>
    <xf numFmtId="0" fontId="6" fillId="45" borderId="0" applyNumberFormat="0" applyBorder="0" applyAlignment="0" applyProtection="0"/>
    <xf numFmtId="0" fontId="6" fillId="55" borderId="0" applyNumberFormat="0" applyBorder="0" applyAlignment="0" applyProtection="0"/>
    <xf numFmtId="0" fontId="6" fillId="27" borderId="68" applyNumberFormat="0" applyFont="0" applyAlignment="0" applyProtection="0"/>
    <xf numFmtId="0" fontId="6" fillId="5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57" borderId="0" applyNumberFormat="0" applyBorder="0" applyAlignment="0" applyProtection="0"/>
    <xf numFmtId="0" fontId="6" fillId="49"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59" borderId="0" applyNumberFormat="0" applyBorder="0" applyAlignment="0" applyProtection="0"/>
    <xf numFmtId="0" fontId="6" fillId="34"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7" borderId="0" applyNumberFormat="0" applyBorder="0" applyAlignment="0" applyProtection="0"/>
    <xf numFmtId="0" fontId="6" fillId="42" borderId="0" applyNumberFormat="0" applyBorder="0" applyAlignment="0" applyProtection="0"/>
    <xf numFmtId="0" fontId="6" fillId="55" borderId="0" applyNumberFormat="0" applyBorder="0" applyAlignment="0" applyProtection="0"/>
    <xf numFmtId="0" fontId="6" fillId="0" borderId="0"/>
    <xf numFmtId="0" fontId="6" fillId="55" borderId="0" applyNumberFormat="0" applyBorder="0" applyAlignment="0" applyProtection="0"/>
    <xf numFmtId="0" fontId="6" fillId="30"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56"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46"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42"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43" fontId="6" fillId="0" borderId="0" applyFont="0" applyFill="0" applyBorder="0" applyAlignment="0" applyProtection="0"/>
    <xf numFmtId="0" fontId="6" fillId="49" borderId="0" applyNumberFormat="0" applyBorder="0" applyAlignment="0" applyProtection="0"/>
    <xf numFmtId="0" fontId="6" fillId="50" borderId="0" applyNumberFormat="0" applyBorder="0" applyAlignment="0" applyProtection="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58"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34"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5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0" borderId="0"/>
    <xf numFmtId="43" fontId="6" fillId="0" borderId="0" applyFont="0" applyFill="0" applyBorder="0" applyAlignment="0" applyProtection="0"/>
    <xf numFmtId="0" fontId="6" fillId="27" borderId="68" applyNumberFormat="0" applyFont="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0" borderId="0"/>
    <xf numFmtId="44"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0" fontId="6" fillId="27" borderId="6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43" fontId="121" fillId="0" borderId="0" applyFont="0" applyFill="0" applyBorder="0" applyAlignment="0" applyProtection="0"/>
    <xf numFmtId="0" fontId="5" fillId="0" borderId="0"/>
    <xf numFmtId="43" fontId="5" fillId="0" borderId="0" applyFont="0" applyFill="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0" fontId="5" fillId="27" borderId="68" applyNumberFormat="0" applyFont="0" applyAlignment="0" applyProtection="0"/>
    <xf numFmtId="0" fontId="5" fillId="0" borderId="0"/>
    <xf numFmtId="0" fontId="5" fillId="27" borderId="68" applyNumberFormat="0" applyFont="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49" borderId="0" applyNumberFormat="0" applyBorder="0" applyAlignment="0" applyProtection="0"/>
    <xf numFmtId="0" fontId="5"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43" fontId="4" fillId="0" borderId="0" applyFont="0" applyFill="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43" fontId="4" fillId="0" borderId="0" applyFont="0" applyFill="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0" fontId="4" fillId="29" borderId="0" applyNumberFormat="0" applyBorder="0" applyAlignment="0" applyProtection="0"/>
    <xf numFmtId="0" fontId="4" fillId="29" borderId="0" applyNumberFormat="0" applyBorder="0" applyAlignment="0" applyProtection="0"/>
    <xf numFmtId="0" fontId="4" fillId="33" borderId="0" applyNumberFormat="0" applyBorder="0" applyAlignment="0" applyProtection="0"/>
    <xf numFmtId="0" fontId="4" fillId="33" borderId="0" applyNumberFormat="0" applyBorder="0" applyAlignment="0" applyProtection="0"/>
    <xf numFmtId="0" fontId="4" fillId="37" borderId="0" applyNumberFormat="0" applyBorder="0" applyAlignment="0" applyProtection="0"/>
    <xf numFmtId="0" fontId="4" fillId="37" borderId="0" applyNumberFormat="0" applyBorder="0" applyAlignment="0" applyProtection="0"/>
    <xf numFmtId="0" fontId="4" fillId="41" borderId="0" applyNumberFormat="0" applyBorder="0" applyAlignment="0" applyProtection="0"/>
    <xf numFmtId="0" fontId="4" fillId="41"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7" borderId="68" applyNumberFormat="0" applyFont="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44" fontId="4" fillId="0" borderId="0" applyFont="0" applyFill="0" applyBorder="0" applyAlignment="0" applyProtection="0"/>
    <xf numFmtId="0" fontId="4" fillId="57" borderId="0" applyNumberFormat="0" applyBorder="0" applyAlignment="0" applyProtection="0"/>
    <xf numFmtId="0" fontId="4" fillId="45" borderId="0" applyNumberFormat="0" applyBorder="0" applyAlignment="0" applyProtection="0"/>
    <xf numFmtId="0" fontId="4" fillId="55" borderId="0" applyNumberFormat="0" applyBorder="0" applyAlignment="0" applyProtection="0"/>
    <xf numFmtId="0" fontId="4" fillId="27" borderId="68" applyNumberFormat="0" applyFont="0" applyAlignment="0" applyProtection="0"/>
    <xf numFmtId="0" fontId="4" fillId="5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57" borderId="0" applyNumberFormat="0" applyBorder="0" applyAlignment="0" applyProtection="0"/>
    <xf numFmtId="0" fontId="4" fillId="49"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6"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59" borderId="0" applyNumberFormat="0" applyBorder="0" applyAlignment="0" applyProtection="0"/>
    <xf numFmtId="0" fontId="4" fillId="34"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57" borderId="0" applyNumberFormat="0" applyBorder="0" applyAlignment="0" applyProtection="0"/>
    <xf numFmtId="0" fontId="4" fillId="42" borderId="0" applyNumberFormat="0" applyBorder="0" applyAlignment="0" applyProtection="0"/>
    <xf numFmtId="0" fontId="4" fillId="55" borderId="0" applyNumberFormat="0" applyBorder="0" applyAlignment="0" applyProtection="0"/>
    <xf numFmtId="0" fontId="4" fillId="0" borderId="0"/>
    <xf numFmtId="0" fontId="4" fillId="55" borderId="0" applyNumberFormat="0" applyBorder="0" applyAlignment="0" applyProtection="0"/>
    <xf numFmtId="0" fontId="4" fillId="30"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56"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46"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42"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43" fontId="4" fillId="0" borderId="0" applyFont="0" applyFill="0" applyBorder="0" applyAlignment="0" applyProtection="0"/>
    <xf numFmtId="0" fontId="4" fillId="49" borderId="0" applyNumberFormat="0" applyBorder="0" applyAlignment="0" applyProtection="0"/>
    <xf numFmtId="0" fontId="4" fillId="50" borderId="0" applyNumberFormat="0" applyBorder="0" applyAlignment="0" applyProtection="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5"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58"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5"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34"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59"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46"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0" borderId="0"/>
    <xf numFmtId="43" fontId="4" fillId="0" borderId="0" applyFont="0" applyFill="0" applyBorder="0" applyAlignment="0" applyProtection="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0" fontId="4" fillId="27" borderId="6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27" borderId="68" applyNumberFormat="0" applyFont="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49" borderId="0" applyNumberFormat="0" applyBorder="0" applyAlignment="0" applyProtection="0"/>
    <xf numFmtId="0" fontId="4"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42"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5" borderId="0" applyNumberFormat="0" applyBorder="0" applyAlignment="0" applyProtection="0"/>
    <xf numFmtId="44" fontId="3" fillId="0" borderId="0" applyFont="0" applyFill="0" applyBorder="0" applyAlignment="0" applyProtection="0"/>
    <xf numFmtId="0" fontId="3" fillId="0" borderId="0"/>
    <xf numFmtId="0" fontId="3" fillId="38"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37"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42"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6" borderId="0" applyNumberFormat="0" applyBorder="0" applyAlignment="0" applyProtection="0"/>
    <xf numFmtId="0" fontId="3" fillId="55" borderId="0" applyNumberFormat="0" applyBorder="0" applyAlignment="0" applyProtection="0"/>
    <xf numFmtId="0" fontId="3" fillId="38" borderId="0" applyNumberFormat="0" applyBorder="0" applyAlignment="0" applyProtection="0"/>
    <xf numFmtId="0" fontId="3" fillId="29" borderId="0" applyNumberFormat="0" applyBorder="0" applyAlignment="0" applyProtection="0"/>
    <xf numFmtId="0" fontId="3" fillId="58" borderId="0" applyNumberFormat="0" applyBorder="0" applyAlignment="0" applyProtection="0"/>
    <xf numFmtId="0" fontId="11" fillId="0" borderId="0">
      <alignment vertical="top"/>
    </xf>
    <xf numFmtId="43" fontId="3" fillId="0" borderId="0" applyFont="0" applyFill="0" applyBorder="0" applyAlignment="0" applyProtection="0"/>
    <xf numFmtId="0" fontId="3" fillId="27" borderId="68" applyNumberFormat="0" applyFont="0" applyAlignment="0" applyProtection="0"/>
    <xf numFmtId="0" fontId="3" fillId="57" borderId="0" applyNumberFormat="0" applyBorder="0" applyAlignment="0" applyProtection="0"/>
    <xf numFmtId="0" fontId="3" fillId="57" borderId="0" applyNumberFormat="0" applyBorder="0" applyAlignment="0" applyProtection="0"/>
    <xf numFmtId="0" fontId="3" fillId="33"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37" borderId="0" applyNumberFormat="0" applyBorder="0" applyAlignment="0" applyProtection="0"/>
    <xf numFmtId="44" fontId="11" fillId="0" borderId="0" applyFont="0" applyFill="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41" borderId="0" applyNumberFormat="0" applyBorder="0" applyAlignment="0" applyProtection="0"/>
    <xf numFmtId="0" fontId="3" fillId="33"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58" borderId="0" applyNumberFormat="0" applyBorder="0" applyAlignment="0" applyProtection="0"/>
    <xf numFmtId="0" fontId="11" fillId="0" borderId="0">
      <alignment vertical="top"/>
    </xf>
    <xf numFmtId="0" fontId="11" fillId="0" borderId="0">
      <alignment vertical="top"/>
    </xf>
    <xf numFmtId="0" fontId="3" fillId="38" borderId="0" applyNumberFormat="0" applyBorder="0" applyAlignment="0" applyProtection="0"/>
    <xf numFmtId="0" fontId="3" fillId="3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5" borderId="0" applyNumberFormat="0" applyBorder="0" applyAlignment="0" applyProtection="0"/>
    <xf numFmtId="0" fontId="3" fillId="37" borderId="0" applyNumberFormat="0" applyBorder="0" applyAlignment="0" applyProtection="0"/>
    <xf numFmtId="0" fontId="11" fillId="0" borderId="0">
      <alignment vertical="top"/>
    </xf>
    <xf numFmtId="0" fontId="3" fillId="41" borderId="0" applyNumberFormat="0" applyBorder="0" applyAlignment="0" applyProtection="0"/>
    <xf numFmtId="0" fontId="3" fillId="37" borderId="0" applyNumberFormat="0" applyBorder="0" applyAlignment="0" applyProtection="0"/>
    <xf numFmtId="0" fontId="3" fillId="56" borderId="0" applyNumberFormat="0" applyBorder="0" applyAlignment="0" applyProtection="0"/>
    <xf numFmtId="0" fontId="3" fillId="30" borderId="0" applyNumberFormat="0" applyBorder="0" applyAlignment="0" applyProtection="0"/>
    <xf numFmtId="0" fontId="3" fillId="29" borderId="0" applyNumberFormat="0" applyBorder="0" applyAlignment="0" applyProtection="0"/>
    <xf numFmtId="0" fontId="3" fillId="46" borderId="0" applyNumberFormat="0" applyBorder="0" applyAlignment="0" applyProtection="0"/>
    <xf numFmtId="0" fontId="3" fillId="37" borderId="0" applyNumberFormat="0" applyBorder="0" applyAlignment="0" applyProtection="0"/>
    <xf numFmtId="0" fontId="3" fillId="42" borderId="0" applyNumberFormat="0" applyBorder="0" applyAlignment="0" applyProtection="0"/>
    <xf numFmtId="0" fontId="11" fillId="0" borderId="0">
      <alignment vertical="top"/>
    </xf>
    <xf numFmtId="0" fontId="3" fillId="41" borderId="0" applyNumberFormat="0" applyBorder="0" applyAlignment="0" applyProtection="0"/>
    <xf numFmtId="0" fontId="3" fillId="29" borderId="0" applyNumberFormat="0" applyBorder="0" applyAlignment="0" applyProtection="0"/>
    <xf numFmtId="0" fontId="3" fillId="49" borderId="0" applyNumberFormat="0" applyBorder="0" applyAlignment="0" applyProtection="0"/>
    <xf numFmtId="0" fontId="3" fillId="42" borderId="0" applyNumberFormat="0" applyBorder="0" applyAlignment="0" applyProtection="0"/>
    <xf numFmtId="0" fontId="3" fillId="29" borderId="0" applyNumberFormat="0" applyBorder="0" applyAlignment="0" applyProtection="0"/>
    <xf numFmtId="0" fontId="3" fillId="45" borderId="0" applyNumberFormat="0" applyBorder="0" applyAlignment="0" applyProtection="0"/>
    <xf numFmtId="0" fontId="3" fillId="58" borderId="0" applyNumberFormat="0" applyBorder="0" applyAlignment="0" applyProtection="0"/>
    <xf numFmtId="0" fontId="11" fillId="0" borderId="0">
      <alignment vertical="top"/>
    </xf>
    <xf numFmtId="43" fontId="3" fillId="0" borderId="0" applyFont="0" applyFill="0" applyBorder="0" applyAlignment="0" applyProtection="0"/>
    <xf numFmtId="0" fontId="3" fillId="55" borderId="0" applyNumberFormat="0" applyBorder="0" applyAlignment="0" applyProtection="0"/>
    <xf numFmtId="0" fontId="3" fillId="50" borderId="0" applyNumberFormat="0" applyBorder="0" applyAlignment="0" applyProtection="0"/>
    <xf numFmtId="0" fontId="3" fillId="5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50" borderId="0" applyNumberFormat="0" applyBorder="0" applyAlignment="0" applyProtection="0"/>
    <xf numFmtId="0" fontId="3" fillId="5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58" borderId="0" applyNumberFormat="0" applyBorder="0" applyAlignment="0" applyProtection="0"/>
    <xf numFmtId="43" fontId="11" fillId="0" borderId="0" applyFont="0" applyFill="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45" borderId="0" applyNumberFormat="0" applyBorder="0" applyAlignment="0" applyProtection="0"/>
    <xf numFmtId="0" fontId="3" fillId="42"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7" borderId="0" applyNumberFormat="0" applyBorder="0" applyAlignment="0" applyProtection="0"/>
    <xf numFmtId="0" fontId="3" fillId="34" borderId="0" applyNumberFormat="0" applyBorder="0" applyAlignment="0" applyProtection="0"/>
    <xf numFmtId="0" fontId="3" fillId="33" borderId="0" applyNumberFormat="0" applyBorder="0" applyAlignment="0" applyProtection="0"/>
    <xf numFmtId="0" fontId="3" fillId="30" borderId="0" applyNumberFormat="0" applyBorder="0" applyAlignment="0" applyProtection="0"/>
    <xf numFmtId="0" fontId="3" fillId="29" borderId="0" applyNumberFormat="0" applyBorder="0" applyAlignment="0" applyProtection="0"/>
    <xf numFmtId="0" fontId="3" fillId="27" borderId="68" applyNumberFormat="0" applyFont="0" applyAlignment="0" applyProtection="0"/>
    <xf numFmtId="0" fontId="3" fillId="0" borderId="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0" borderId="0" applyNumberFormat="0" applyBorder="0" applyAlignment="0" applyProtection="0"/>
    <xf numFmtId="0" fontId="3" fillId="49"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44" fontId="3" fillId="0" borderId="0" applyFont="0" applyFill="0" applyBorder="0" applyAlignment="0" applyProtection="0"/>
    <xf numFmtId="0" fontId="3" fillId="0" borderId="0"/>
    <xf numFmtId="9" fontId="11" fillId="0" borderId="0" applyFont="0" applyFill="0" applyBorder="0" applyAlignment="0" applyProtection="0"/>
    <xf numFmtId="0" fontId="11" fillId="0" borderId="0">
      <alignment vertical="top"/>
    </xf>
    <xf numFmtId="0" fontId="11" fillId="0" borderId="0">
      <alignment vertical="top"/>
    </xf>
    <xf numFmtId="0" fontId="3" fillId="41" borderId="0" applyNumberFormat="0" applyBorder="0" applyAlignment="0" applyProtection="0"/>
    <xf numFmtId="0" fontId="3" fillId="37"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49"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6" borderId="0" applyNumberFormat="0" applyBorder="0" applyAlignment="0" applyProtection="0"/>
    <xf numFmtId="0" fontId="3" fillId="30" borderId="0" applyNumberFormat="0" applyBorder="0" applyAlignment="0" applyProtection="0"/>
    <xf numFmtId="0" fontId="3" fillId="45" borderId="0" applyNumberFormat="0" applyBorder="0" applyAlignment="0" applyProtection="0"/>
    <xf numFmtId="0" fontId="3" fillId="30" borderId="0" applyNumberFormat="0" applyBorder="0" applyAlignment="0" applyProtection="0"/>
    <xf numFmtId="44" fontId="3" fillId="0" borderId="0" applyFont="0" applyFill="0" applyBorder="0" applyAlignment="0" applyProtection="0"/>
    <xf numFmtId="0" fontId="3" fillId="59" borderId="0" applyNumberFormat="0" applyBorder="0" applyAlignment="0" applyProtection="0"/>
    <xf numFmtId="0" fontId="3" fillId="56" borderId="0" applyNumberFormat="0" applyBorder="0" applyAlignment="0" applyProtection="0"/>
    <xf numFmtId="0" fontId="3" fillId="50" borderId="0" applyNumberFormat="0" applyBorder="0" applyAlignment="0" applyProtection="0"/>
    <xf numFmtId="0" fontId="3" fillId="38" borderId="0" applyNumberFormat="0" applyBorder="0" applyAlignment="0" applyProtection="0"/>
    <xf numFmtId="0" fontId="3" fillId="37"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55" borderId="0" applyNumberFormat="0" applyBorder="0" applyAlignment="0" applyProtection="0"/>
    <xf numFmtId="0" fontId="3" fillId="29" borderId="0" applyNumberFormat="0" applyBorder="0" applyAlignment="0" applyProtection="0"/>
    <xf numFmtId="0" fontId="3" fillId="41" borderId="0" applyNumberFormat="0" applyBorder="0" applyAlignment="0" applyProtection="0"/>
    <xf numFmtId="0" fontId="3" fillId="57" borderId="0" applyNumberFormat="0" applyBorder="0" applyAlignment="0" applyProtection="0"/>
    <xf numFmtId="0" fontId="3" fillId="56" borderId="0" applyNumberFormat="0" applyBorder="0" applyAlignment="0" applyProtection="0"/>
    <xf numFmtId="0" fontId="11" fillId="0" borderId="0">
      <alignment vertical="top"/>
    </xf>
    <xf numFmtId="0" fontId="3" fillId="49" borderId="0" applyNumberFormat="0" applyBorder="0" applyAlignment="0" applyProtection="0"/>
    <xf numFmtId="0" fontId="3" fillId="45" borderId="0" applyNumberFormat="0" applyBorder="0" applyAlignment="0" applyProtection="0"/>
    <xf numFmtId="0" fontId="3" fillId="56" borderId="0" applyNumberFormat="0" applyBorder="0" applyAlignment="0" applyProtection="0"/>
    <xf numFmtId="0" fontId="3" fillId="38" borderId="0" applyNumberFormat="0" applyBorder="0" applyAlignment="0" applyProtection="0"/>
    <xf numFmtId="0" fontId="3" fillId="57"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49" borderId="0" applyNumberFormat="0" applyBorder="0" applyAlignment="0" applyProtection="0"/>
    <xf numFmtId="0" fontId="3" fillId="45" borderId="0" applyNumberFormat="0" applyBorder="0" applyAlignment="0" applyProtection="0"/>
    <xf numFmtId="0" fontId="11" fillId="0" borderId="0">
      <alignment vertical="top"/>
    </xf>
    <xf numFmtId="0" fontId="3" fillId="34" borderId="0" applyNumberFormat="0" applyBorder="0" applyAlignment="0" applyProtection="0"/>
    <xf numFmtId="0" fontId="3" fillId="27" borderId="68" applyNumberFormat="0" applyFont="0" applyAlignment="0" applyProtection="0"/>
    <xf numFmtId="0" fontId="3" fillId="37" borderId="0" applyNumberFormat="0" applyBorder="0" applyAlignment="0" applyProtection="0"/>
    <xf numFmtId="0" fontId="3" fillId="30" borderId="0" applyNumberFormat="0" applyBorder="0" applyAlignment="0" applyProtection="0"/>
    <xf numFmtId="0" fontId="3" fillId="29" borderId="0" applyNumberFormat="0" applyBorder="0" applyAlignment="0" applyProtection="0"/>
    <xf numFmtId="0" fontId="3" fillId="49"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11" fillId="0" borderId="0">
      <alignment vertical="top"/>
    </xf>
    <xf numFmtId="44" fontId="3" fillId="0" borderId="0" applyFont="0" applyFill="0" applyBorder="0" applyAlignment="0" applyProtection="0"/>
    <xf numFmtId="43" fontId="3" fillId="0" borderId="0" applyFont="0" applyFill="0" applyBorder="0" applyAlignment="0" applyProtection="0"/>
    <xf numFmtId="0" fontId="121" fillId="0" borderId="0"/>
    <xf numFmtId="0" fontId="3" fillId="0" borderId="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44" fontId="3" fillId="0" borderId="0" applyFont="0" applyFill="0" applyBorder="0" applyAlignment="0" applyProtection="0"/>
    <xf numFmtId="0" fontId="3" fillId="57" borderId="0" applyNumberFormat="0" applyBorder="0" applyAlignment="0" applyProtection="0"/>
    <xf numFmtId="0" fontId="3" fillId="45" borderId="0" applyNumberFormat="0" applyBorder="0" applyAlignment="0" applyProtection="0"/>
    <xf numFmtId="0" fontId="3" fillId="55" borderId="0" applyNumberFormat="0" applyBorder="0" applyAlignment="0" applyProtection="0"/>
    <xf numFmtId="0" fontId="3" fillId="27" borderId="68" applyNumberFormat="0" applyFont="0" applyAlignment="0" applyProtection="0"/>
    <xf numFmtId="0" fontId="3" fillId="5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57" borderId="0" applyNumberFormat="0" applyBorder="0" applyAlignment="0" applyProtection="0"/>
    <xf numFmtId="0" fontId="3" fillId="49"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7" borderId="0" applyNumberFormat="0" applyBorder="0" applyAlignment="0" applyProtection="0"/>
    <xf numFmtId="0" fontId="3" fillId="42" borderId="0" applyNumberFormat="0" applyBorder="0" applyAlignment="0" applyProtection="0"/>
    <xf numFmtId="0" fontId="3" fillId="55" borderId="0" applyNumberFormat="0" applyBorder="0" applyAlignment="0" applyProtection="0"/>
    <xf numFmtId="0" fontId="3" fillId="0" borderId="0"/>
    <xf numFmtId="0" fontId="3" fillId="55" borderId="0" applyNumberFormat="0" applyBorder="0" applyAlignment="0" applyProtection="0"/>
    <xf numFmtId="0" fontId="3" fillId="30"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56"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42"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43" fontId="3" fillId="0" borderId="0" applyFont="0" applyFill="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1" fillId="0" borderId="0"/>
    <xf numFmtId="0" fontId="11" fillId="0" borderId="0">
      <alignment vertical="top"/>
    </xf>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44" fontId="3" fillId="0" borderId="0" applyFont="0" applyFill="0" applyBorder="0" applyAlignment="0" applyProtection="0"/>
    <xf numFmtId="0" fontId="3" fillId="57" borderId="0" applyNumberFormat="0" applyBorder="0" applyAlignment="0" applyProtection="0"/>
    <xf numFmtId="0" fontId="3" fillId="45" borderId="0" applyNumberFormat="0" applyBorder="0" applyAlignment="0" applyProtection="0"/>
    <xf numFmtId="0" fontId="3" fillId="55" borderId="0" applyNumberFormat="0" applyBorder="0" applyAlignment="0" applyProtection="0"/>
    <xf numFmtId="0" fontId="3" fillId="27" borderId="68" applyNumberFormat="0" applyFont="0" applyAlignment="0" applyProtection="0"/>
    <xf numFmtId="0" fontId="3" fillId="5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57" borderId="0" applyNumberFormat="0" applyBorder="0" applyAlignment="0" applyProtection="0"/>
    <xf numFmtId="0" fontId="3" fillId="49"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7" borderId="0" applyNumberFormat="0" applyBorder="0" applyAlignment="0" applyProtection="0"/>
    <xf numFmtId="0" fontId="3" fillId="42" borderId="0" applyNumberFormat="0" applyBorder="0" applyAlignment="0" applyProtection="0"/>
    <xf numFmtId="0" fontId="3" fillId="55" borderId="0" applyNumberFormat="0" applyBorder="0" applyAlignment="0" applyProtection="0"/>
    <xf numFmtId="0" fontId="3" fillId="0" borderId="0"/>
    <xf numFmtId="0" fontId="3" fillId="55" borderId="0" applyNumberFormat="0" applyBorder="0" applyAlignment="0" applyProtection="0"/>
    <xf numFmtId="0" fontId="3" fillId="30"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56"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42"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43" fontId="3" fillId="0" borderId="0" applyFont="0" applyFill="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43" fontId="3" fillId="0" borderId="0" applyFont="0" applyFill="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44" fontId="3" fillId="0" borderId="0" applyFont="0" applyFill="0" applyBorder="0" applyAlignment="0" applyProtection="0"/>
    <xf numFmtId="0" fontId="3" fillId="57" borderId="0" applyNumberFormat="0" applyBorder="0" applyAlignment="0" applyProtection="0"/>
    <xf numFmtId="0" fontId="3" fillId="45" borderId="0" applyNumberFormat="0" applyBorder="0" applyAlignment="0" applyProtection="0"/>
    <xf numFmtId="0" fontId="3" fillId="55" borderId="0" applyNumberFormat="0" applyBorder="0" applyAlignment="0" applyProtection="0"/>
    <xf numFmtId="0" fontId="3" fillId="27" borderId="68" applyNumberFormat="0" applyFont="0" applyAlignment="0" applyProtection="0"/>
    <xf numFmtId="0" fontId="3" fillId="5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57" borderId="0" applyNumberFormat="0" applyBorder="0" applyAlignment="0" applyProtection="0"/>
    <xf numFmtId="0" fontId="3" fillId="49"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7" borderId="0" applyNumberFormat="0" applyBorder="0" applyAlignment="0" applyProtection="0"/>
    <xf numFmtId="0" fontId="3" fillId="42" borderId="0" applyNumberFormat="0" applyBorder="0" applyAlignment="0" applyProtection="0"/>
    <xf numFmtId="0" fontId="3" fillId="55" borderId="0" applyNumberFormat="0" applyBorder="0" applyAlignment="0" applyProtection="0"/>
    <xf numFmtId="0" fontId="3" fillId="0" borderId="0"/>
    <xf numFmtId="0" fontId="3" fillId="55" borderId="0" applyNumberFormat="0" applyBorder="0" applyAlignment="0" applyProtection="0"/>
    <xf numFmtId="0" fontId="3" fillId="30"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56"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42"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43" fontId="3" fillId="0" borderId="0" applyFont="0" applyFill="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41" borderId="0" applyNumberFormat="0" applyBorder="0" applyAlignment="0" applyProtection="0"/>
    <xf numFmtId="0" fontId="3" fillId="41"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7" borderId="68" applyNumberFormat="0" applyFont="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44" fontId="3" fillId="0" borderId="0" applyFont="0" applyFill="0" applyBorder="0" applyAlignment="0" applyProtection="0"/>
    <xf numFmtId="0" fontId="3" fillId="57" borderId="0" applyNumberFormat="0" applyBorder="0" applyAlignment="0" applyProtection="0"/>
    <xf numFmtId="0" fontId="3" fillId="45" borderId="0" applyNumberFormat="0" applyBorder="0" applyAlignment="0" applyProtection="0"/>
    <xf numFmtId="0" fontId="3" fillId="55" borderId="0" applyNumberFormat="0" applyBorder="0" applyAlignment="0" applyProtection="0"/>
    <xf numFmtId="0" fontId="3" fillId="27" borderId="68" applyNumberFormat="0" applyFont="0" applyAlignment="0" applyProtection="0"/>
    <xf numFmtId="0" fontId="3" fillId="5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57" borderId="0" applyNumberFormat="0" applyBorder="0" applyAlignment="0" applyProtection="0"/>
    <xf numFmtId="0" fontId="3" fillId="49"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59" borderId="0" applyNumberFormat="0" applyBorder="0" applyAlignment="0" applyProtection="0"/>
    <xf numFmtId="0" fontId="3" fillId="34"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7" borderId="0" applyNumberFormat="0" applyBorder="0" applyAlignment="0" applyProtection="0"/>
    <xf numFmtId="0" fontId="3" fillId="42" borderId="0" applyNumberFormat="0" applyBorder="0" applyAlignment="0" applyProtection="0"/>
    <xf numFmtId="0" fontId="3" fillId="55" borderId="0" applyNumberFormat="0" applyBorder="0" applyAlignment="0" applyProtection="0"/>
    <xf numFmtId="0" fontId="3" fillId="0" borderId="0"/>
    <xf numFmtId="0" fontId="3" fillId="55" borderId="0" applyNumberFormat="0" applyBorder="0" applyAlignment="0" applyProtection="0"/>
    <xf numFmtId="0" fontId="3" fillId="30"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56"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4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42"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43" fontId="3" fillId="0" borderId="0" applyFont="0" applyFill="0" applyBorder="0" applyAlignment="0" applyProtection="0"/>
    <xf numFmtId="0" fontId="3" fillId="49" borderId="0" applyNumberFormat="0" applyBorder="0" applyAlignment="0" applyProtection="0"/>
    <xf numFmtId="0" fontId="3" fillId="50" borderId="0" applyNumberFormat="0" applyBorder="0" applyAlignment="0" applyProtection="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4" fontId="3" fillId="0" borderId="0" applyFont="0" applyFill="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58"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5"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49"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59"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46"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50" borderId="0" applyNumberFormat="0" applyBorder="0" applyAlignment="0" applyProtection="0"/>
    <xf numFmtId="0" fontId="3" fillId="0" borderId="0"/>
    <xf numFmtId="43" fontId="3" fillId="0" borderId="0" applyFont="0" applyFill="0" applyBorder="0" applyAlignment="0" applyProtection="0"/>
    <xf numFmtId="0" fontId="3" fillId="27" borderId="68" applyNumberFormat="0" applyFont="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0" fontId="3" fillId="27" borderId="68"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3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 fillId="0" borderId="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 fillId="0" borderId="0"/>
    <xf numFmtId="0" fontId="1" fillId="0" borderId="0"/>
    <xf numFmtId="0" fontId="1" fillId="0" borderId="0"/>
    <xf numFmtId="0" fontId="1" fillId="27" borderId="68" applyNumberFormat="0" applyFont="0" applyAlignment="0" applyProtection="0"/>
    <xf numFmtId="0" fontId="1" fillId="27" borderId="68" applyNumberFormat="0" applyFont="0" applyAlignment="0" applyProtection="0"/>
    <xf numFmtId="0" fontId="1" fillId="27" borderId="6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21" fillId="0" borderId="0" applyFont="0" applyFill="0" applyBorder="0" applyAlignment="0" applyProtection="0"/>
    <xf numFmtId="9" fontId="1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1" fillId="27" borderId="68" applyNumberFormat="0" applyFont="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4" fontId="1" fillId="0" borderId="0" applyFont="0" applyFill="0" applyBorder="0" applyAlignment="0" applyProtection="0"/>
    <xf numFmtId="0" fontId="1" fillId="27" borderId="68" applyNumberFormat="0" applyFont="0" applyAlignment="0" applyProtection="0"/>
    <xf numFmtId="9" fontId="1" fillId="0" borderId="0" applyFont="0" applyFill="0" applyBorder="0" applyAlignment="0" applyProtection="0"/>
  </cellStyleXfs>
  <cellXfs count="1880">
    <xf numFmtId="0" fontId="0" fillId="0" borderId="0" xfId="0"/>
    <xf numFmtId="0" fontId="13" fillId="0" borderId="0" xfId="4">
      <alignment vertical="top"/>
    </xf>
    <xf numFmtId="0" fontId="13" fillId="0" borderId="0" xfId="4" applyBorder="1">
      <alignment vertical="top"/>
    </xf>
    <xf numFmtId="0" fontId="15" fillId="0" borderId="1" xfId="4" applyFont="1" applyFill="1" applyBorder="1" applyAlignment="1">
      <alignment horizontal="center"/>
    </xf>
    <xf numFmtId="0" fontId="15" fillId="0" borderId="1" xfId="4" applyFont="1" applyFill="1" applyBorder="1" applyAlignment="1">
      <alignment horizontal="center" wrapText="1"/>
    </xf>
    <xf numFmtId="49" fontId="15" fillId="0" borderId="1" xfId="5" applyNumberFormat="1" applyFont="1" applyFill="1" applyBorder="1" applyAlignment="1">
      <alignment horizontal="center" wrapText="1"/>
    </xf>
    <xf numFmtId="0" fontId="16" fillId="0" borderId="1" xfId="4" applyFont="1" applyBorder="1" applyAlignment="1">
      <alignment wrapText="1"/>
    </xf>
    <xf numFmtId="38" fontId="17" fillId="0" borderId="0" xfId="5" applyNumberFormat="1" applyFont="1" applyBorder="1" applyAlignment="1">
      <alignment horizontal="center" vertical="top"/>
    </xf>
    <xf numFmtId="164" fontId="13" fillId="0" borderId="0" xfId="4" applyNumberFormat="1" applyBorder="1" applyAlignment="1">
      <alignment horizontal="right" vertical="top"/>
    </xf>
    <xf numFmtId="38" fontId="13" fillId="0" borderId="0" xfId="4" applyNumberFormat="1">
      <alignment vertical="top"/>
    </xf>
    <xf numFmtId="38" fontId="13" fillId="0" borderId="0" xfId="4" applyNumberFormat="1" applyBorder="1">
      <alignment vertical="top"/>
    </xf>
    <xf numFmtId="0" fontId="16" fillId="0" borderId="0" xfId="4" applyFont="1">
      <alignment vertical="top"/>
    </xf>
    <xf numFmtId="38" fontId="13" fillId="0" borderId="0" xfId="4" applyNumberFormat="1" applyFont="1">
      <alignment vertical="top"/>
    </xf>
    <xf numFmtId="38" fontId="13" fillId="0" borderId="0" xfId="4" applyNumberFormat="1" applyFont="1" applyBorder="1">
      <alignment vertical="top"/>
    </xf>
    <xf numFmtId="38" fontId="13" fillId="0" borderId="0" xfId="5" applyNumberFormat="1" applyFont="1" applyBorder="1">
      <alignment vertical="top"/>
    </xf>
    <xf numFmtId="164" fontId="13" fillId="0" borderId="0" xfId="4" applyNumberFormat="1" applyAlignment="1">
      <alignment horizontal="right" vertical="top"/>
    </xf>
    <xf numFmtId="0" fontId="13" fillId="0" borderId="0" xfId="4" applyFont="1">
      <alignment vertical="top"/>
    </xf>
    <xf numFmtId="38" fontId="13" fillId="0" borderId="0" xfId="4" applyNumberFormat="1" applyAlignment="1">
      <alignment horizontal="right" vertical="top"/>
    </xf>
    <xf numFmtId="0" fontId="16" fillId="0" borderId="0" xfId="4" applyFont="1" applyBorder="1">
      <alignment vertical="top"/>
    </xf>
    <xf numFmtId="38" fontId="16" fillId="0" borderId="0" xfId="4" applyNumberFormat="1" applyFont="1" applyBorder="1">
      <alignment vertical="top"/>
    </xf>
    <xf numFmtId="0" fontId="16" fillId="2" borderId="2" xfId="4" applyFont="1" applyFill="1" applyBorder="1">
      <alignment vertical="top"/>
    </xf>
    <xf numFmtId="38" fontId="16" fillId="2" borderId="2" xfId="4" applyNumberFormat="1" applyFont="1" applyFill="1" applyBorder="1">
      <alignment vertical="top"/>
    </xf>
    <xf numFmtId="38" fontId="13" fillId="0" borderId="0" xfId="5" applyNumberFormat="1" applyBorder="1">
      <alignment vertical="top"/>
    </xf>
    <xf numFmtId="38" fontId="13" fillId="0" borderId="0" xfId="4" applyNumberFormat="1" applyBorder="1" applyAlignment="1">
      <alignment horizontal="right" vertical="top"/>
    </xf>
    <xf numFmtId="0" fontId="13" fillId="0" borderId="0" xfId="4" applyFont="1" applyBorder="1">
      <alignment vertical="top"/>
    </xf>
    <xf numFmtId="38" fontId="15" fillId="2" borderId="2" xfId="1" applyNumberFormat="1" applyFont="1" applyFill="1" applyBorder="1" applyAlignment="1">
      <alignment vertical="top"/>
    </xf>
    <xf numFmtId="0" fontId="16" fillId="0" borderId="0" xfId="4" applyFont="1" applyFill="1" applyBorder="1">
      <alignment vertical="top"/>
    </xf>
    <xf numFmtId="38" fontId="16" fillId="0" borderId="0" xfId="2" applyNumberFormat="1" applyFont="1" applyFill="1" applyBorder="1" applyAlignment="1">
      <alignment vertical="top"/>
    </xf>
    <xf numFmtId="38" fontId="16" fillId="0" borderId="0" xfId="4" applyNumberFormat="1" applyFont="1" applyFill="1" applyBorder="1">
      <alignment vertical="top"/>
    </xf>
    <xf numFmtId="38" fontId="16" fillId="0" borderId="0" xfId="5" applyNumberFormat="1" applyFont="1" applyFill="1" applyBorder="1">
      <alignment vertical="top"/>
    </xf>
    <xf numFmtId="0" fontId="18" fillId="0" borderId="0" xfId="4" applyFont="1">
      <alignment vertical="top"/>
    </xf>
    <xf numFmtId="38" fontId="13" fillId="0" borderId="0" xfId="5" applyNumberFormat="1">
      <alignment vertical="top"/>
    </xf>
    <xf numFmtId="41" fontId="13" fillId="0" borderId="0" xfId="4" applyNumberFormat="1">
      <alignment vertical="top"/>
    </xf>
    <xf numFmtId="0" fontId="19" fillId="0" borderId="0" xfId="4" applyFont="1">
      <alignment vertical="top"/>
    </xf>
    <xf numFmtId="164" fontId="13" fillId="0" borderId="0" xfId="4" applyNumberFormat="1">
      <alignment vertical="top"/>
    </xf>
    <xf numFmtId="38" fontId="13" fillId="0" borderId="0" xfId="4" applyNumberFormat="1" applyFont="1" applyBorder="1" applyAlignment="1">
      <alignment horizontal="right" vertical="top"/>
    </xf>
    <xf numFmtId="0" fontId="20" fillId="0" borderId="0" xfId="4" applyFont="1">
      <alignment vertical="top"/>
    </xf>
    <xf numFmtId="0" fontId="16" fillId="0" borderId="3" xfId="4" applyFont="1" applyBorder="1">
      <alignment vertical="top"/>
    </xf>
    <xf numFmtId="38" fontId="13" fillId="0" borderId="3" xfId="4" applyNumberFormat="1" applyFont="1" applyBorder="1">
      <alignment vertical="top"/>
    </xf>
    <xf numFmtId="38" fontId="13" fillId="0" borderId="3" xfId="5" applyNumberFormat="1" applyFont="1" applyBorder="1">
      <alignment vertical="top"/>
    </xf>
    <xf numFmtId="38" fontId="13" fillId="0" borderId="3" xfId="4" applyNumberFormat="1" applyBorder="1">
      <alignment vertical="top"/>
    </xf>
    <xf numFmtId="0" fontId="20" fillId="0" borderId="0" xfId="4" applyFont="1" applyBorder="1">
      <alignment vertical="top"/>
    </xf>
    <xf numFmtId="38" fontId="13" fillId="0" borderId="0" xfId="4" applyNumberFormat="1" applyFont="1" applyFill="1" applyBorder="1" applyAlignment="1">
      <alignment horizontal="right" vertical="top"/>
    </xf>
    <xf numFmtId="165" fontId="0" fillId="0" borderId="0" xfId="1" applyNumberFormat="1" applyFont="1"/>
    <xf numFmtId="0" fontId="15" fillId="0" borderId="0" xfId="0" applyFont="1"/>
    <xf numFmtId="38" fontId="13" fillId="0" borderId="0" xfId="4" applyNumberFormat="1" applyFill="1" applyAlignment="1">
      <alignment horizontal="right" vertical="top"/>
    </xf>
    <xf numFmtId="38" fontId="13" fillId="0" borderId="3" xfId="4" applyNumberFormat="1" applyFont="1" applyFill="1" applyBorder="1">
      <alignment vertical="top"/>
    </xf>
    <xf numFmtId="38" fontId="16" fillId="0" borderId="3" xfId="4" applyNumberFormat="1" applyFont="1" applyFill="1" applyBorder="1">
      <alignment vertical="top"/>
    </xf>
    <xf numFmtId="38" fontId="13" fillId="0" borderId="0" xfId="4" applyNumberFormat="1" applyFill="1" applyBorder="1">
      <alignment vertical="top"/>
    </xf>
    <xf numFmtId="38" fontId="13" fillId="0" borderId="0" xfId="4" applyNumberFormat="1" applyFill="1">
      <alignment vertical="top"/>
    </xf>
    <xf numFmtId="38" fontId="13" fillId="0" borderId="0" xfId="4" applyNumberFormat="1" applyFont="1" applyFill="1" applyBorder="1">
      <alignment vertical="top"/>
    </xf>
    <xf numFmtId="165" fontId="13" fillId="0" borderId="0" xfId="1" applyNumberFormat="1" applyFont="1" applyBorder="1" applyAlignment="1">
      <alignment vertical="top"/>
    </xf>
    <xf numFmtId="165" fontId="16" fillId="0" borderId="0" xfId="1" applyNumberFormat="1" applyFont="1" applyBorder="1" applyAlignment="1">
      <alignment vertical="top"/>
    </xf>
    <xf numFmtId="165" fontId="16" fillId="0" borderId="0" xfId="1" applyNumberFormat="1" applyFont="1" applyAlignment="1">
      <alignment vertical="top"/>
    </xf>
    <xf numFmtId="165" fontId="20" fillId="0" borderId="0" xfId="1" applyNumberFormat="1" applyFont="1" applyBorder="1" applyAlignment="1">
      <alignment vertical="top"/>
    </xf>
    <xf numFmtId="0" fontId="16" fillId="3" borderId="2" xfId="4" applyFont="1" applyFill="1" applyBorder="1">
      <alignment vertical="top"/>
    </xf>
    <xf numFmtId="38" fontId="16" fillId="3" borderId="2" xfId="4" applyNumberFormat="1" applyFont="1" applyFill="1" applyBorder="1">
      <alignment vertical="top"/>
    </xf>
    <xf numFmtId="38" fontId="16" fillId="4" borderId="2" xfId="4" applyNumberFormat="1" applyFont="1" applyFill="1" applyBorder="1">
      <alignment vertical="top"/>
    </xf>
    <xf numFmtId="38" fontId="16" fillId="3" borderId="2" xfId="5" applyNumberFormat="1" applyFont="1" applyFill="1" applyBorder="1">
      <alignment vertical="top"/>
    </xf>
    <xf numFmtId="38" fontId="15" fillId="3" borderId="2" xfId="1" applyNumberFormat="1" applyFont="1" applyFill="1" applyBorder="1" applyAlignment="1">
      <alignment vertical="top"/>
    </xf>
    <xf numFmtId="38" fontId="13" fillId="0" borderId="0" xfId="5" applyNumberFormat="1" applyFont="1" applyFill="1" applyBorder="1">
      <alignment vertical="top"/>
    </xf>
    <xf numFmtId="38" fontId="13" fillId="0" borderId="3" xfId="5" applyNumberFormat="1" applyFont="1" applyFill="1" applyBorder="1">
      <alignment vertical="top"/>
    </xf>
    <xf numFmtId="38" fontId="13" fillId="0" borderId="0" xfId="5" applyNumberFormat="1" applyFill="1" applyBorder="1">
      <alignment vertical="top"/>
    </xf>
    <xf numFmtId="38" fontId="13" fillId="0" borderId="0" xfId="4" applyNumberFormat="1" applyFill="1" applyBorder="1" applyAlignment="1">
      <alignment horizontal="right" vertical="top"/>
    </xf>
    <xf numFmtId="165" fontId="20" fillId="0" borderId="3" xfId="1" applyNumberFormat="1" applyFont="1" applyBorder="1" applyAlignment="1">
      <alignment vertical="top"/>
    </xf>
    <xf numFmtId="38" fontId="16" fillId="0" borderId="3" xfId="4" applyNumberFormat="1" applyFont="1" applyBorder="1">
      <alignment vertical="top"/>
    </xf>
    <xf numFmtId="0" fontId="13" fillId="0" borderId="0" xfId="4" applyFont="1" applyFill="1">
      <alignment vertical="top"/>
    </xf>
    <xf numFmtId="165" fontId="0" fillId="0" borderId="0" xfId="0" applyNumberFormat="1"/>
    <xf numFmtId="165" fontId="13" fillId="0" borderId="0" xfId="1" applyNumberFormat="1" applyFont="1" applyAlignment="1">
      <alignment vertical="top"/>
    </xf>
    <xf numFmtId="0" fontId="25" fillId="0" borderId="0" xfId="0" applyFont="1"/>
    <xf numFmtId="165" fontId="25" fillId="0" borderId="0" xfId="1" applyNumberFormat="1" applyFont="1" applyFill="1"/>
    <xf numFmtId="0" fontId="25" fillId="0" borderId="0" xfId="0" applyFont="1" applyFill="1"/>
    <xf numFmtId="165" fontId="25" fillId="0" borderId="4" xfId="1" applyNumberFormat="1" applyFont="1" applyFill="1" applyBorder="1"/>
    <xf numFmtId="38" fontId="13" fillId="5" borderId="0" xfId="4" applyNumberFormat="1" applyFont="1" applyFill="1" applyBorder="1">
      <alignment vertical="top"/>
    </xf>
    <xf numFmtId="38" fontId="13" fillId="0" borderId="0" xfId="4" applyNumberFormat="1" applyFont="1" applyFill="1" applyAlignment="1">
      <alignment horizontal="right" vertical="top"/>
    </xf>
    <xf numFmtId="165" fontId="13" fillId="0" borderId="2" xfId="4" applyNumberFormat="1" applyBorder="1">
      <alignment vertical="top"/>
    </xf>
    <xf numFmtId="165" fontId="16" fillId="0" borderId="4" xfId="1" applyNumberFormat="1" applyFont="1" applyBorder="1" applyAlignment="1">
      <alignment vertical="top"/>
    </xf>
    <xf numFmtId="165" fontId="13" fillId="0" borderId="0" xfId="4" applyNumberFormat="1">
      <alignment vertical="top"/>
    </xf>
    <xf numFmtId="38" fontId="13" fillId="5" borderId="0" xfId="4" applyNumberFormat="1" applyFont="1" applyFill="1" applyBorder="1" applyAlignment="1">
      <alignment horizontal="right" vertical="top"/>
    </xf>
    <xf numFmtId="165" fontId="13" fillId="0" borderId="0" xfId="4" applyNumberFormat="1" applyFill="1">
      <alignment vertical="top"/>
    </xf>
    <xf numFmtId="165" fontId="13" fillId="0" borderId="0" xfId="4" applyNumberFormat="1" applyBorder="1">
      <alignment vertical="top"/>
    </xf>
    <xf numFmtId="0" fontId="13" fillId="0" borderId="4" xfId="4" applyBorder="1">
      <alignment vertical="top"/>
    </xf>
    <xf numFmtId="38" fontId="13" fillId="0" borderId="0" xfId="0" applyNumberFormat="1" applyFont="1" applyFill="1" applyBorder="1" applyAlignment="1" applyProtection="1">
      <alignment horizontal="right" vertical="top"/>
    </xf>
    <xf numFmtId="165" fontId="13" fillId="0" borderId="0" xfId="1" applyNumberFormat="1" applyFont="1" applyFill="1" applyAlignment="1">
      <alignment vertical="top"/>
    </xf>
    <xf numFmtId="38" fontId="13" fillId="6" borderId="0" xfId="4" applyNumberFormat="1" applyFont="1" applyFill="1" applyBorder="1" applyAlignment="1">
      <alignment horizontal="right" vertical="top"/>
    </xf>
    <xf numFmtId="0" fontId="16" fillId="0" borderId="0" xfId="4" applyFont="1" applyAlignment="1">
      <alignment horizontal="center" vertical="top"/>
    </xf>
    <xf numFmtId="0" fontId="13" fillId="0" borderId="0" xfId="4" applyBorder="1" applyAlignment="1">
      <alignment horizontal="center" vertical="top"/>
    </xf>
    <xf numFmtId="0" fontId="13" fillId="0" borderId="0" xfId="4" applyAlignment="1">
      <alignment horizontal="center" vertical="top"/>
    </xf>
    <xf numFmtId="0" fontId="13" fillId="0" borderId="0" xfId="4" applyFill="1" applyBorder="1">
      <alignment vertical="top"/>
    </xf>
    <xf numFmtId="0" fontId="13" fillId="0" borderId="0" xfId="4" applyFill="1">
      <alignment vertical="top"/>
    </xf>
    <xf numFmtId="3" fontId="13" fillId="0" borderId="0" xfId="4" applyNumberFormat="1">
      <alignment vertical="top"/>
    </xf>
    <xf numFmtId="0" fontId="13" fillId="0" borderId="0" xfId="4" applyFont="1" applyBorder="1" applyAlignment="1">
      <alignment horizontal="center" vertical="top"/>
    </xf>
    <xf numFmtId="41" fontId="13" fillId="0" borderId="0" xfId="4" applyNumberFormat="1" applyFont="1">
      <alignment vertical="top"/>
    </xf>
    <xf numFmtId="0" fontId="13" fillId="0" borderId="0" xfId="4" applyFont="1" applyFill="1" applyBorder="1">
      <alignment vertical="top"/>
    </xf>
    <xf numFmtId="43" fontId="13" fillId="0" borderId="0" xfId="4" applyNumberFormat="1" applyFont="1" applyFill="1" applyBorder="1">
      <alignment vertical="top"/>
    </xf>
    <xf numFmtId="0" fontId="16" fillId="0" borderId="3" xfId="4" applyFont="1" applyFill="1" applyBorder="1">
      <alignment vertical="top"/>
    </xf>
    <xf numFmtId="0" fontId="20" fillId="0" borderId="0" xfId="4" applyFont="1" applyFill="1" applyBorder="1">
      <alignment vertical="top"/>
    </xf>
    <xf numFmtId="0" fontId="20" fillId="0" borderId="0" xfId="4" applyFont="1" applyFill="1">
      <alignment vertical="top"/>
    </xf>
    <xf numFmtId="38" fontId="13" fillId="5" borderId="0" xfId="4" applyNumberFormat="1" applyFill="1" applyBorder="1">
      <alignment vertical="top"/>
    </xf>
    <xf numFmtId="0" fontId="13" fillId="9" borderId="0" xfId="4" applyFill="1">
      <alignment vertical="top"/>
    </xf>
    <xf numFmtId="38" fontId="13" fillId="0" borderId="4" xfId="5" applyNumberFormat="1" applyBorder="1">
      <alignment vertical="top"/>
    </xf>
    <xf numFmtId="38" fontId="16" fillId="0" borderId="0" xfId="5" applyNumberFormat="1" applyFont="1" applyBorder="1">
      <alignment vertical="top"/>
    </xf>
    <xf numFmtId="165" fontId="13" fillId="0" borderId="0" xfId="4" applyNumberFormat="1" applyFont="1">
      <alignment vertical="top"/>
    </xf>
    <xf numFmtId="38" fontId="16" fillId="0" borderId="2" xfId="5" applyNumberFormat="1" applyFont="1" applyBorder="1">
      <alignment vertical="top"/>
    </xf>
    <xf numFmtId="43" fontId="13" fillId="0" borderId="0" xfId="4" applyNumberFormat="1">
      <alignment vertical="top"/>
    </xf>
    <xf numFmtId="38" fontId="13" fillId="5" borderId="0" xfId="4" applyNumberFormat="1" applyFont="1" applyFill="1" applyAlignment="1">
      <alignment horizontal="right" vertical="top"/>
    </xf>
    <xf numFmtId="38" fontId="13" fillId="5" borderId="0" xfId="4" applyNumberFormat="1" applyFill="1" applyAlignment="1">
      <alignment horizontal="right" vertical="top"/>
    </xf>
    <xf numFmtId="38" fontId="13" fillId="5" borderId="3" xfId="4" applyNumberFormat="1" applyFont="1" applyFill="1" applyBorder="1">
      <alignment vertical="top"/>
    </xf>
    <xf numFmtId="38" fontId="13" fillId="9" borderId="3" xfId="4" applyNumberFormat="1" applyFont="1" applyFill="1" applyBorder="1">
      <alignment vertical="top"/>
    </xf>
    <xf numFmtId="38" fontId="15" fillId="9" borderId="2" xfId="1" applyNumberFormat="1" applyFont="1" applyFill="1" applyBorder="1" applyAlignment="1">
      <alignment vertical="top"/>
    </xf>
    <xf numFmtId="0" fontId="13" fillId="9" borderId="0" xfId="4" applyFont="1" applyFill="1" applyBorder="1">
      <alignment vertical="top"/>
    </xf>
    <xf numFmtId="165" fontId="13" fillId="0" borderId="0" xfId="1" applyNumberFormat="1" applyFont="1" applyFill="1" applyBorder="1" applyAlignment="1">
      <alignment vertical="top"/>
    </xf>
    <xf numFmtId="165" fontId="13" fillId="0" borderId="2" xfId="1" applyNumberFormat="1" applyFont="1" applyFill="1" applyBorder="1" applyAlignment="1">
      <alignment vertical="top"/>
    </xf>
    <xf numFmtId="165" fontId="13" fillId="0" borderId="2" xfId="1" applyNumberFormat="1" applyFont="1" applyBorder="1" applyAlignment="1">
      <alignment vertical="top"/>
    </xf>
    <xf numFmtId="38" fontId="13" fillId="6" borderId="0" xfId="4" applyNumberFormat="1" applyFont="1" applyFill="1" applyBorder="1">
      <alignment vertical="top"/>
    </xf>
    <xf numFmtId="0" fontId="16" fillId="3" borderId="0" xfId="4" applyFont="1" applyFill="1" applyBorder="1">
      <alignment vertical="top"/>
    </xf>
    <xf numFmtId="38" fontId="16" fillId="4" borderId="0" xfId="4" applyNumberFormat="1" applyFont="1" applyFill="1" applyBorder="1">
      <alignment vertical="top"/>
    </xf>
    <xf numFmtId="38" fontId="16" fillId="3" borderId="0" xfId="5" applyNumberFormat="1" applyFont="1" applyFill="1" applyBorder="1">
      <alignment vertical="top"/>
    </xf>
    <xf numFmtId="0" fontId="13" fillId="0" borderId="6" xfId="4" applyBorder="1">
      <alignment vertical="top"/>
    </xf>
    <xf numFmtId="0" fontId="13" fillId="0" borderId="7" xfId="4" applyFont="1" applyBorder="1">
      <alignment vertical="top"/>
    </xf>
    <xf numFmtId="41" fontId="13" fillId="0" borderId="0" xfId="4" applyNumberFormat="1" applyBorder="1">
      <alignment vertical="top"/>
    </xf>
    <xf numFmtId="165" fontId="13" fillId="0" borderId="8" xfId="1" applyNumberFormat="1" applyFont="1" applyBorder="1" applyAlignment="1">
      <alignment vertical="top"/>
    </xf>
    <xf numFmtId="0" fontId="16" fillId="0" borderId="9" xfId="4" applyFont="1" applyBorder="1">
      <alignment vertical="top"/>
    </xf>
    <xf numFmtId="0" fontId="16" fillId="0" borderId="10" xfId="4" applyFont="1" applyBorder="1">
      <alignment vertical="top"/>
    </xf>
    <xf numFmtId="165" fontId="13" fillId="0" borderId="8" xfId="1" applyNumberFormat="1" applyFont="1" applyFill="1" applyBorder="1" applyAlignment="1">
      <alignment vertical="top"/>
    </xf>
    <xf numFmtId="0" fontId="13" fillId="7" borderId="0" xfId="4" applyFont="1" applyFill="1" applyBorder="1">
      <alignment vertical="top"/>
    </xf>
    <xf numFmtId="0" fontId="13" fillId="0" borderId="11" xfId="4" applyBorder="1">
      <alignment vertical="top"/>
    </xf>
    <xf numFmtId="38" fontId="16" fillId="11" borderId="0" xfId="5" applyNumberFormat="1" applyFont="1" applyFill="1" applyBorder="1">
      <alignment vertical="top"/>
    </xf>
    <xf numFmtId="38" fontId="13" fillId="12" borderId="0" xfId="4" applyNumberFormat="1" applyFont="1" applyFill="1" applyBorder="1">
      <alignment vertical="top"/>
    </xf>
    <xf numFmtId="0" fontId="16" fillId="0" borderId="1" xfId="4" applyFont="1" applyBorder="1" applyAlignment="1">
      <alignment horizontal="center" wrapText="1"/>
    </xf>
    <xf numFmtId="3" fontId="13" fillId="0" borderId="0" xfId="4" applyNumberFormat="1" applyFont="1">
      <alignment vertical="top"/>
    </xf>
    <xf numFmtId="41" fontId="13" fillId="0" borderId="6" xfId="4" applyNumberFormat="1" applyBorder="1">
      <alignment vertical="top"/>
    </xf>
    <xf numFmtId="0" fontId="13" fillId="0" borderId="7" xfId="4" applyFont="1" applyBorder="1" applyAlignment="1">
      <alignment horizontal="left" vertical="top"/>
    </xf>
    <xf numFmtId="0" fontId="27" fillId="0" borderId="0" xfId="0" applyFont="1" applyAlignment="1">
      <alignment horizontal="centerContinuous"/>
    </xf>
    <xf numFmtId="0" fontId="25" fillId="0" borderId="0" xfId="0" applyFont="1" applyAlignment="1">
      <alignment horizontal="centerContinuous"/>
    </xf>
    <xf numFmtId="0" fontId="25" fillId="0" borderId="0" xfId="0" applyFont="1" applyFill="1" applyAlignment="1">
      <alignment horizontal="centerContinuous"/>
    </xf>
    <xf numFmtId="166" fontId="25" fillId="0" borderId="0" xfId="6" applyNumberFormat="1" applyFont="1" applyAlignment="1">
      <alignment horizontal="centerContinuous"/>
    </xf>
    <xf numFmtId="0" fontId="28" fillId="0" borderId="0" xfId="0" applyFont="1" applyAlignment="1">
      <alignment horizontal="centerContinuous"/>
    </xf>
    <xf numFmtId="166" fontId="25" fillId="0" borderId="0" xfId="6" applyNumberFormat="1" applyFont="1" applyFill="1"/>
    <xf numFmtId="165" fontId="0" fillId="0" borderId="0" xfId="1" applyNumberFormat="1" applyFont="1" applyFill="1"/>
    <xf numFmtId="165" fontId="0" fillId="0" borderId="3" xfId="1" applyNumberFormat="1" applyFont="1" applyBorder="1"/>
    <xf numFmtId="165" fontId="0" fillId="0" borderId="2" xfId="1" applyNumberFormat="1" applyFont="1" applyBorder="1"/>
    <xf numFmtId="0" fontId="26" fillId="0" borderId="0" xfId="0" applyFont="1" applyFill="1"/>
    <xf numFmtId="165" fontId="15" fillId="0" borderId="0" xfId="1" applyNumberFormat="1" applyFont="1"/>
    <xf numFmtId="166" fontId="25" fillId="0" borderId="0" xfId="6" applyNumberFormat="1" applyFont="1" applyFill="1" applyBorder="1"/>
    <xf numFmtId="165" fontId="25" fillId="0" borderId="5" xfId="1" applyNumberFormat="1" applyFont="1" applyFill="1" applyBorder="1"/>
    <xf numFmtId="165" fontId="0" fillId="0" borderId="2" xfId="0" applyNumberFormat="1" applyBorder="1"/>
    <xf numFmtId="165" fontId="25" fillId="0" borderId="0" xfId="1" applyNumberFormat="1" applyFont="1" applyFill="1" applyBorder="1"/>
    <xf numFmtId="0" fontId="0" fillId="0" borderId="0" xfId="0" applyFill="1"/>
    <xf numFmtId="0" fontId="25" fillId="0" borderId="0" xfId="0" applyFont="1" applyAlignment="1">
      <alignment wrapText="1"/>
    </xf>
    <xf numFmtId="166" fontId="25" fillId="0" borderId="0" xfId="6" applyNumberFormat="1" applyFont="1"/>
    <xf numFmtId="165" fontId="0" fillId="0" borderId="0" xfId="0" applyNumberFormat="1" applyFill="1"/>
    <xf numFmtId="165" fontId="0" fillId="6" borderId="0" xfId="0" applyNumberFormat="1" applyFill="1"/>
    <xf numFmtId="166" fontId="0" fillId="0" borderId="0" xfId="6" applyNumberFormat="1" applyFont="1" applyFill="1"/>
    <xf numFmtId="166" fontId="0" fillId="0" borderId="0" xfId="6" applyNumberFormat="1" applyFont="1"/>
    <xf numFmtId="0" fontId="0" fillId="0" borderId="0" xfId="0" applyFill="1" applyAlignment="1">
      <alignment horizontal="right"/>
    </xf>
    <xf numFmtId="165" fontId="15" fillId="0" borderId="2" xfId="1" applyNumberFormat="1" applyFont="1" applyFill="1" applyBorder="1"/>
    <xf numFmtId="0" fontId="0" fillId="6" borderId="0" xfId="0" applyFill="1"/>
    <xf numFmtId="165" fontId="0" fillId="0" borderId="0" xfId="1" applyNumberFormat="1" applyFont="1" applyFill="1" applyAlignment="1">
      <alignment horizontal="right"/>
    </xf>
    <xf numFmtId="38" fontId="29" fillId="9" borderId="0" xfId="4" applyNumberFormat="1" applyFont="1" applyFill="1">
      <alignment vertical="top"/>
    </xf>
    <xf numFmtId="38" fontId="29" fillId="0" borderId="0" xfId="4" applyNumberFormat="1" applyFont="1">
      <alignment vertical="top"/>
    </xf>
    <xf numFmtId="38" fontId="25" fillId="0" borderId="0" xfId="0" applyNumberFormat="1" applyFont="1" applyFill="1"/>
    <xf numFmtId="38" fontId="13" fillId="13" borderId="0" xfId="4" applyNumberFormat="1" applyFont="1" applyFill="1" applyBorder="1">
      <alignment vertical="top"/>
    </xf>
    <xf numFmtId="0" fontId="16" fillId="0" borderId="10" xfId="4" applyFont="1" applyBorder="1" applyAlignment="1">
      <alignment horizontal="center" vertical="top"/>
    </xf>
    <xf numFmtId="38" fontId="13" fillId="12" borderId="0" xfId="4" applyNumberFormat="1" applyFont="1" applyFill="1" applyBorder="1" applyAlignment="1">
      <alignment horizontal="right" vertical="top"/>
    </xf>
    <xf numFmtId="38" fontId="30" fillId="0" borderId="0" xfId="0" applyNumberFormat="1" applyFont="1" applyFill="1"/>
    <xf numFmtId="1" fontId="30" fillId="0" borderId="0" xfId="1" applyNumberFormat="1" applyFont="1" applyFill="1"/>
    <xf numFmtId="0" fontId="16" fillId="0" borderId="1" xfId="4" applyFont="1" applyBorder="1">
      <alignment vertical="top"/>
    </xf>
    <xf numFmtId="40" fontId="16" fillId="0" borderId="0" xfId="2" applyNumberFormat="1" applyFont="1" applyFill="1" applyBorder="1" applyAlignment="1">
      <alignment vertical="top"/>
    </xf>
    <xf numFmtId="38" fontId="13" fillId="9" borderId="0" xfId="4" applyNumberFormat="1" applyFill="1" applyBorder="1">
      <alignment vertical="top"/>
    </xf>
    <xf numFmtId="165" fontId="13" fillId="9" borderId="7" xfId="4" applyNumberFormat="1" applyFont="1" applyFill="1" applyBorder="1">
      <alignment vertical="top"/>
    </xf>
    <xf numFmtId="38" fontId="13" fillId="3" borderId="0" xfId="4" applyNumberFormat="1" applyFill="1" applyBorder="1">
      <alignment vertical="top"/>
    </xf>
    <xf numFmtId="165" fontId="13" fillId="3" borderId="7" xfId="4" applyNumberFormat="1" applyFont="1" applyFill="1" applyBorder="1">
      <alignment vertical="top"/>
    </xf>
    <xf numFmtId="0" fontId="19" fillId="0" borderId="0" xfId="4" applyFont="1" applyBorder="1">
      <alignment vertical="top"/>
    </xf>
    <xf numFmtId="0" fontId="13" fillId="0" borderId="9" xfId="4" applyBorder="1">
      <alignment vertical="top"/>
    </xf>
    <xf numFmtId="0" fontId="13" fillId="0" borderId="10" xfId="4" applyBorder="1">
      <alignment vertical="top"/>
    </xf>
    <xf numFmtId="0" fontId="13" fillId="0" borderId="12" xfId="4" applyBorder="1">
      <alignment vertical="top"/>
    </xf>
    <xf numFmtId="0" fontId="13" fillId="9" borderId="12" xfId="4" applyFill="1" applyBorder="1">
      <alignment vertical="top"/>
    </xf>
    <xf numFmtId="0" fontId="13" fillId="3" borderId="12" xfId="4" applyFill="1" applyBorder="1">
      <alignment vertical="top"/>
    </xf>
    <xf numFmtId="0" fontId="13" fillId="0" borderId="13" xfId="4" applyBorder="1">
      <alignment vertical="top"/>
    </xf>
    <xf numFmtId="0" fontId="13" fillId="0" borderId="1" xfId="4" applyBorder="1">
      <alignment vertical="top"/>
    </xf>
    <xf numFmtId="38" fontId="13" fillId="0" borderId="14" xfId="5" applyNumberFormat="1" applyBorder="1">
      <alignment vertical="top"/>
    </xf>
    <xf numFmtId="165" fontId="13" fillId="0" borderId="15" xfId="1" applyNumberFormat="1" applyFont="1" applyBorder="1" applyAlignment="1">
      <alignment vertical="top"/>
    </xf>
    <xf numFmtId="0" fontId="13" fillId="0" borderId="16" xfId="4" applyBorder="1">
      <alignment vertical="top"/>
    </xf>
    <xf numFmtId="38" fontId="16" fillId="0" borderId="10" xfId="5" applyNumberFormat="1" applyFont="1" applyBorder="1" applyAlignment="1">
      <alignment horizontal="center" vertical="top"/>
    </xf>
    <xf numFmtId="165" fontId="13" fillId="9" borderId="0" xfId="1" applyNumberFormat="1" applyFont="1" applyFill="1" applyBorder="1" applyAlignment="1">
      <alignment vertical="top"/>
    </xf>
    <xf numFmtId="165" fontId="13" fillId="3" borderId="0" xfId="1" applyNumberFormat="1" applyFont="1" applyFill="1" applyBorder="1" applyAlignment="1">
      <alignment vertical="top"/>
    </xf>
    <xf numFmtId="0" fontId="13" fillId="0" borderId="17" xfId="4" applyBorder="1">
      <alignment vertical="top"/>
    </xf>
    <xf numFmtId="0" fontId="13" fillId="0" borderId="18" xfId="4" applyFont="1" applyBorder="1" applyAlignment="1">
      <alignment horizontal="center" vertical="top"/>
    </xf>
    <xf numFmtId="0" fontId="13" fillId="9" borderId="18" xfId="4" applyFont="1" applyFill="1" applyBorder="1" applyAlignment="1">
      <alignment horizontal="center" vertical="top"/>
    </xf>
    <xf numFmtId="0" fontId="13" fillId="3" borderId="19" xfId="4" applyFont="1" applyFill="1" applyBorder="1" applyAlignment="1">
      <alignment horizontal="center" vertical="top"/>
    </xf>
    <xf numFmtId="0" fontId="16" fillId="0" borderId="9" xfId="4" applyFont="1" applyBorder="1" applyAlignment="1">
      <alignment horizontal="center" vertical="top"/>
    </xf>
    <xf numFmtId="165" fontId="16" fillId="0" borderId="20" xfId="1" applyNumberFormat="1" applyFont="1" applyBorder="1" applyAlignment="1">
      <alignment vertical="top"/>
    </xf>
    <xf numFmtId="0" fontId="16" fillId="9" borderId="21" xfId="4" applyFont="1" applyFill="1" applyBorder="1">
      <alignment vertical="top"/>
    </xf>
    <xf numFmtId="0" fontId="16" fillId="9" borderId="21" xfId="4" applyFont="1" applyFill="1" applyBorder="1" applyAlignment="1">
      <alignment vertical="top" wrapText="1"/>
    </xf>
    <xf numFmtId="165" fontId="13" fillId="0" borderId="21" xfId="1" applyNumberFormat="1" applyFont="1" applyBorder="1" applyAlignment="1">
      <alignment vertical="top"/>
    </xf>
    <xf numFmtId="0" fontId="16" fillId="0" borderId="22" xfId="4" applyFont="1" applyBorder="1" applyAlignment="1">
      <alignment horizontal="right" vertical="top"/>
    </xf>
    <xf numFmtId="165" fontId="16" fillId="0" borderId="23" xfId="1" applyNumberFormat="1" applyFont="1" applyBorder="1" applyAlignment="1">
      <alignment vertical="top"/>
    </xf>
    <xf numFmtId="40" fontId="16" fillId="5" borderId="0" xfId="2" applyNumberFormat="1" applyFont="1" applyFill="1" applyBorder="1" applyAlignment="1">
      <alignment vertical="top"/>
    </xf>
    <xf numFmtId="2" fontId="16" fillId="0" borderId="0" xfId="2" applyNumberFormat="1" applyFont="1" applyFill="1" applyBorder="1" applyAlignment="1">
      <alignment vertical="top"/>
    </xf>
    <xf numFmtId="2" fontId="16" fillId="0" borderId="0" xfId="1" applyNumberFormat="1" applyFont="1" applyFill="1" applyBorder="1" applyAlignment="1">
      <alignment vertical="top"/>
    </xf>
    <xf numFmtId="39" fontId="16" fillId="0" borderId="0" xfId="1" applyNumberFormat="1" applyFont="1" applyFill="1" applyBorder="1" applyAlignment="1">
      <alignment vertical="top"/>
    </xf>
    <xf numFmtId="4" fontId="16" fillId="0" borderId="0" xfId="2" applyNumberFormat="1" applyFont="1" applyFill="1" applyBorder="1" applyAlignment="1">
      <alignment vertical="top"/>
    </xf>
    <xf numFmtId="4" fontId="25" fillId="0" borderId="0" xfId="0" applyNumberFormat="1" applyFont="1" applyFill="1"/>
    <xf numFmtId="4" fontId="13" fillId="0" borderId="0" xfId="4" applyNumberFormat="1">
      <alignment vertical="top"/>
    </xf>
    <xf numFmtId="4" fontId="16" fillId="0" borderId="0" xfId="4" applyNumberFormat="1" applyFont="1">
      <alignment vertical="top"/>
    </xf>
    <xf numFmtId="38" fontId="13" fillId="13" borderId="0" xfId="4" applyNumberFormat="1" applyFill="1" applyBorder="1">
      <alignment vertical="top"/>
    </xf>
    <xf numFmtId="165" fontId="13" fillId="0" borderId="24" xfId="1" applyNumberFormat="1" applyFont="1" applyBorder="1" applyAlignment="1">
      <alignment vertical="top"/>
    </xf>
    <xf numFmtId="165" fontId="13" fillId="0" borderId="25" xfId="1" applyNumberFormat="1" applyFont="1" applyBorder="1" applyAlignment="1">
      <alignment vertical="top"/>
    </xf>
    <xf numFmtId="38" fontId="13" fillId="7" borderId="0" xfId="4" applyNumberFormat="1" applyFont="1" applyFill="1" applyBorder="1">
      <alignment vertical="top"/>
    </xf>
    <xf numFmtId="165" fontId="13" fillId="0" borderId="12" xfId="1" applyNumberFormat="1" applyFont="1" applyBorder="1" applyAlignment="1">
      <alignment vertical="top"/>
    </xf>
    <xf numFmtId="165" fontId="13" fillId="0" borderId="12" xfId="1" applyNumberFormat="1" applyFont="1" applyFill="1" applyBorder="1" applyAlignment="1">
      <alignment vertical="top"/>
    </xf>
    <xf numFmtId="165" fontId="13" fillId="0" borderId="26" xfId="1" applyNumberFormat="1" applyFont="1" applyFill="1" applyBorder="1" applyAlignment="1">
      <alignment vertical="top"/>
    </xf>
    <xf numFmtId="38" fontId="13" fillId="7" borderId="0" xfId="5" applyNumberFormat="1" applyFont="1" applyFill="1" applyBorder="1">
      <alignment vertical="top"/>
    </xf>
    <xf numFmtId="38" fontId="13" fillId="0" borderId="0" xfId="5" applyNumberFormat="1" applyFill="1">
      <alignment vertical="top"/>
    </xf>
    <xf numFmtId="0" fontId="13" fillId="0" borderId="0" xfId="4" applyFont="1" applyAlignment="1">
      <alignment horizontal="right" vertical="top"/>
    </xf>
    <xf numFmtId="165" fontId="13" fillId="0" borderId="21" xfId="1" applyNumberFormat="1" applyFont="1" applyFill="1" applyBorder="1" applyAlignment="1">
      <alignment vertical="top"/>
    </xf>
    <xf numFmtId="0" fontId="13" fillId="0" borderId="0" xfId="4" applyFont="1" applyAlignment="1">
      <alignment vertical="top" wrapText="1"/>
    </xf>
    <xf numFmtId="168" fontId="13" fillId="0" borderId="0" xfId="1" applyNumberFormat="1" applyFont="1" applyBorder="1" applyAlignment="1">
      <alignment horizontal="center" vertical="top"/>
    </xf>
    <xf numFmtId="168" fontId="13" fillId="0" borderId="0" xfId="1" applyNumberFormat="1" applyFont="1" applyFill="1" applyBorder="1" applyAlignment="1">
      <alignment horizontal="center" vertical="top"/>
    </xf>
    <xf numFmtId="0" fontId="13" fillId="0" borderId="0" xfId="4" applyFont="1" applyFill="1" applyAlignment="1">
      <alignment vertical="top" wrapText="1"/>
    </xf>
    <xf numFmtId="14" fontId="13" fillId="0" borderId="0" xfId="4" applyNumberFormat="1" applyAlignment="1">
      <alignment horizontal="left" vertical="top"/>
    </xf>
    <xf numFmtId="0" fontId="13" fillId="0" borderId="6" xfId="4" applyBorder="1" applyAlignment="1">
      <alignment horizontal="center" vertical="top"/>
    </xf>
    <xf numFmtId="6" fontId="16" fillId="0" borderId="0" xfId="4" applyNumberFormat="1" applyFont="1" applyBorder="1" applyAlignment="1">
      <alignment horizontal="center" vertical="top"/>
    </xf>
    <xf numFmtId="0" fontId="16" fillId="0" borderId="22" xfId="4" applyFont="1" applyBorder="1" applyAlignment="1">
      <alignment horizontal="center" vertical="top"/>
    </xf>
    <xf numFmtId="0" fontId="13" fillId="0" borderId="0" xfId="4" applyAlignment="1">
      <alignment vertical="top" wrapText="1"/>
    </xf>
    <xf numFmtId="0" fontId="13" fillId="0" borderId="0" xfId="4" applyFont="1" applyAlignment="1">
      <alignment horizontal="left" vertical="top"/>
    </xf>
    <xf numFmtId="14" fontId="13" fillId="0" borderId="0" xfId="4" applyNumberFormat="1" applyFont="1" applyAlignment="1">
      <alignment horizontal="left" vertical="top"/>
    </xf>
    <xf numFmtId="165" fontId="13" fillId="13" borderId="0" xfId="1" applyNumberFormat="1" applyFont="1" applyFill="1" applyBorder="1" applyAlignment="1">
      <alignment vertical="top"/>
    </xf>
    <xf numFmtId="0" fontId="13" fillId="13" borderId="0" xfId="4" applyFont="1" applyFill="1" applyBorder="1">
      <alignment vertical="top"/>
    </xf>
    <xf numFmtId="10" fontId="13" fillId="0" borderId="0" xfId="6" applyNumberFormat="1" applyFont="1" applyAlignment="1">
      <alignment vertical="top"/>
    </xf>
    <xf numFmtId="0" fontId="16" fillId="0" borderId="21" xfId="4" applyFont="1" applyFill="1" applyBorder="1">
      <alignment vertical="top"/>
    </xf>
    <xf numFmtId="165" fontId="16" fillId="9" borderId="0" xfId="4" applyNumberFormat="1" applyFont="1" applyFill="1">
      <alignment vertical="top"/>
    </xf>
    <xf numFmtId="0" fontId="16" fillId="8" borderId="21" xfId="4" applyFont="1" applyFill="1" applyBorder="1">
      <alignment vertical="top"/>
    </xf>
    <xf numFmtId="0" fontId="16" fillId="8" borderId="21" xfId="4" applyFont="1" applyFill="1" applyBorder="1" applyAlignment="1">
      <alignment vertical="top" wrapText="1"/>
    </xf>
    <xf numFmtId="165" fontId="13" fillId="0" borderId="7" xfId="4" applyNumberFormat="1" applyFont="1" applyFill="1" applyBorder="1">
      <alignment vertical="top"/>
    </xf>
    <xf numFmtId="0" fontId="16" fillId="8" borderId="21" xfId="4" applyFont="1" applyFill="1" applyBorder="1" applyAlignment="1">
      <alignment horizontal="center" vertical="top"/>
    </xf>
    <xf numFmtId="0" fontId="13" fillId="6" borderId="0" xfId="4" applyFont="1" applyFill="1">
      <alignment vertical="top"/>
    </xf>
    <xf numFmtId="0" fontId="13" fillId="0" borderId="9" xfId="4" applyFont="1" applyBorder="1">
      <alignment vertical="top"/>
    </xf>
    <xf numFmtId="0" fontId="16" fillId="0" borderId="27" xfId="4" applyFont="1" applyBorder="1" applyAlignment="1">
      <alignment horizontal="center" vertical="top"/>
    </xf>
    <xf numFmtId="0" fontId="13" fillId="0" borderId="12" xfId="4" applyFont="1" applyBorder="1">
      <alignment vertical="top"/>
    </xf>
    <xf numFmtId="165" fontId="13" fillId="0" borderId="7" xfId="4" applyNumberFormat="1" applyBorder="1">
      <alignment vertical="top"/>
    </xf>
    <xf numFmtId="165" fontId="13" fillId="0" borderId="28" xfId="4" applyNumberFormat="1" applyBorder="1">
      <alignment vertical="top"/>
    </xf>
    <xf numFmtId="0" fontId="16" fillId="0" borderId="13" xfId="4" applyFont="1" applyBorder="1">
      <alignment vertical="top"/>
    </xf>
    <xf numFmtId="43" fontId="16" fillId="0" borderId="16" xfId="4" applyNumberFormat="1" applyFont="1" applyBorder="1">
      <alignment vertical="top"/>
    </xf>
    <xf numFmtId="39" fontId="13" fillId="0" borderId="7" xfId="4" applyNumberFormat="1" applyBorder="1">
      <alignment vertical="top"/>
    </xf>
    <xf numFmtId="39" fontId="13" fillId="0" borderId="6" xfId="4" applyNumberFormat="1" applyBorder="1">
      <alignment vertical="top"/>
    </xf>
    <xf numFmtId="39" fontId="13" fillId="0" borderId="29" xfId="4" applyNumberFormat="1" applyBorder="1">
      <alignment vertical="top"/>
    </xf>
    <xf numFmtId="39" fontId="16" fillId="0" borderId="16" xfId="4" applyNumberFormat="1" applyFont="1" applyBorder="1">
      <alignment vertical="top"/>
    </xf>
    <xf numFmtId="165" fontId="16" fillId="0" borderId="0" xfId="4" applyNumberFormat="1" applyFont="1" applyBorder="1">
      <alignment vertical="top"/>
    </xf>
    <xf numFmtId="43" fontId="13" fillId="6" borderId="0" xfId="4" applyNumberFormat="1" applyFill="1" applyBorder="1">
      <alignment vertical="top"/>
    </xf>
    <xf numFmtId="165" fontId="16" fillId="0" borderId="0" xfId="4" applyNumberFormat="1" applyFont="1" applyFill="1">
      <alignment vertical="top"/>
    </xf>
    <xf numFmtId="38" fontId="13" fillId="0" borderId="2" xfId="4" applyNumberFormat="1" applyBorder="1">
      <alignment vertical="top"/>
    </xf>
    <xf numFmtId="43" fontId="13" fillId="0" borderId="0" xfId="4" applyNumberFormat="1" applyFont="1">
      <alignment vertical="top"/>
    </xf>
    <xf numFmtId="0" fontId="16" fillId="10" borderId="21" xfId="4" applyFont="1" applyFill="1" applyBorder="1" applyAlignment="1">
      <alignment horizontal="center" vertical="top"/>
    </xf>
    <xf numFmtId="0" fontId="16" fillId="0" borderId="21" xfId="4" applyFont="1" applyFill="1" applyBorder="1" applyAlignment="1">
      <alignment horizontal="center" vertical="top"/>
    </xf>
    <xf numFmtId="38" fontId="13" fillId="0" borderId="0" xfId="5" applyNumberFormat="1" applyFont="1">
      <alignment vertical="top"/>
    </xf>
    <xf numFmtId="0" fontId="16" fillId="0" borderId="0" xfId="4" applyFont="1" applyAlignment="1">
      <alignment vertical="top" wrapText="1"/>
    </xf>
    <xf numFmtId="0" fontId="16" fillId="0" borderId="0" xfId="4" applyFont="1" applyBorder="1" applyAlignment="1">
      <alignment horizontal="center" vertical="top"/>
    </xf>
    <xf numFmtId="0" fontId="16" fillId="13" borderId="13" xfId="4" applyFont="1" applyFill="1" applyBorder="1">
      <alignment vertical="top"/>
    </xf>
    <xf numFmtId="38" fontId="13" fillId="14" borderId="0" xfId="4" applyNumberFormat="1" applyFont="1" applyFill="1" applyBorder="1" applyAlignment="1">
      <alignment horizontal="right" vertical="top"/>
    </xf>
    <xf numFmtId="165" fontId="0" fillId="0" borderId="0" xfId="1" applyNumberFormat="1" applyFont="1" applyBorder="1"/>
    <xf numFmtId="38" fontId="31" fillId="12" borderId="0" xfId="4" applyNumberFormat="1" applyFont="1" applyFill="1" applyBorder="1" applyAlignment="1">
      <alignment horizontal="right" vertical="top"/>
    </xf>
    <xf numFmtId="167" fontId="16" fillId="0" borderId="0" xfId="2" applyNumberFormat="1" applyFont="1" applyFill="1" applyBorder="1" applyAlignment="1">
      <alignment vertical="top"/>
    </xf>
    <xf numFmtId="0" fontId="16" fillId="5" borderId="0" xfId="4" applyFont="1" applyFill="1">
      <alignment vertical="top"/>
    </xf>
    <xf numFmtId="0" fontId="16" fillId="5" borderId="0" xfId="4" applyFont="1" applyFill="1" applyBorder="1">
      <alignment vertical="top"/>
    </xf>
    <xf numFmtId="0" fontId="13" fillId="5" borderId="0" xfId="4" applyFont="1" applyFill="1" applyBorder="1" applyAlignment="1">
      <alignment horizontal="center" vertical="top"/>
    </xf>
    <xf numFmtId="3" fontId="16" fillId="0" borderId="0" xfId="2" applyNumberFormat="1" applyFont="1" applyFill="1" applyBorder="1" applyAlignment="1">
      <alignment vertical="top"/>
    </xf>
    <xf numFmtId="43" fontId="13" fillId="0" borderId="2" xfId="1" applyNumberFormat="1" applyFont="1" applyFill="1" applyBorder="1" applyAlignment="1">
      <alignment vertical="top"/>
    </xf>
    <xf numFmtId="43" fontId="13" fillId="0" borderId="0" xfId="1" applyNumberFormat="1" applyFont="1" applyBorder="1" applyAlignment="1">
      <alignment vertical="top"/>
    </xf>
    <xf numFmtId="43" fontId="13" fillId="0" borderId="0" xfId="1" applyNumberFormat="1" applyFont="1" applyFill="1" applyBorder="1" applyAlignment="1">
      <alignment vertical="top"/>
    </xf>
    <xf numFmtId="165" fontId="0" fillId="0" borderId="4" xfId="1" applyNumberFormat="1" applyFont="1" applyFill="1" applyBorder="1"/>
    <xf numFmtId="0" fontId="24" fillId="5" borderId="0" xfId="4" applyFont="1" applyFill="1">
      <alignment vertical="top"/>
    </xf>
    <xf numFmtId="14" fontId="13" fillId="0" borderId="0" xfId="4" applyNumberFormat="1" applyFont="1">
      <alignment vertical="top"/>
    </xf>
    <xf numFmtId="4" fontId="13" fillId="0" borderId="0" xfId="4" applyNumberFormat="1" applyFont="1">
      <alignment vertical="top"/>
    </xf>
    <xf numFmtId="0" fontId="16" fillId="5" borderId="10" xfId="4" applyFont="1" applyFill="1" applyBorder="1" applyAlignment="1">
      <alignment horizontal="center" vertical="top"/>
    </xf>
    <xf numFmtId="0" fontId="13" fillId="5" borderId="6" xfId="4" applyFill="1" applyBorder="1">
      <alignment vertical="top"/>
    </xf>
    <xf numFmtId="165" fontId="13" fillId="5" borderId="0" xfId="1" applyNumberFormat="1" applyFont="1" applyFill="1" applyBorder="1" applyAlignment="1">
      <alignment vertical="top"/>
    </xf>
    <xf numFmtId="0" fontId="13" fillId="5" borderId="7" xfId="4" applyFont="1" applyFill="1" applyBorder="1">
      <alignment vertical="top"/>
    </xf>
    <xf numFmtId="165" fontId="13" fillId="5" borderId="2" xfId="1" applyNumberFormat="1" applyFont="1" applyFill="1" applyBorder="1" applyAlignment="1">
      <alignment vertical="top"/>
    </xf>
    <xf numFmtId="0" fontId="13" fillId="5" borderId="28" xfId="4" applyFill="1" applyBorder="1">
      <alignment vertical="top"/>
    </xf>
    <xf numFmtId="0" fontId="13" fillId="5" borderId="0" xfId="4" applyFill="1">
      <alignment vertical="top"/>
    </xf>
    <xf numFmtId="40" fontId="31" fillId="13" borderId="0" xfId="4" applyNumberFormat="1" applyFont="1" applyFill="1" applyBorder="1">
      <alignment vertical="top"/>
    </xf>
    <xf numFmtId="0" fontId="35" fillId="0" borderId="0" xfId="4" applyFont="1">
      <alignment vertical="top"/>
    </xf>
    <xf numFmtId="0" fontId="36" fillId="0" borderId="0" xfId="4" applyFont="1" applyBorder="1" applyAlignment="1">
      <alignment horizontal="center" vertical="top" wrapText="1"/>
    </xf>
    <xf numFmtId="0" fontId="36" fillId="0" borderId="0" xfId="4" applyFont="1" applyBorder="1" applyAlignment="1">
      <alignment horizontal="center" vertical="top"/>
    </xf>
    <xf numFmtId="0" fontId="35" fillId="0" borderId="0" xfId="4" applyFont="1" applyFill="1" applyBorder="1" applyAlignment="1">
      <alignment horizontal="center" vertical="top"/>
    </xf>
    <xf numFmtId="0" fontId="35" fillId="0" borderId="0" xfId="4" applyFont="1" applyBorder="1" applyAlignment="1">
      <alignment horizontal="center" vertical="top"/>
    </xf>
    <xf numFmtId="0" fontId="35" fillId="0" borderId="0" xfId="4" applyFont="1" applyBorder="1">
      <alignment vertical="top"/>
    </xf>
    <xf numFmtId="38" fontId="35" fillId="0" borderId="0" xfId="4" applyNumberFormat="1" applyFont="1">
      <alignment vertical="top"/>
    </xf>
    <xf numFmtId="38" fontId="35" fillId="0" borderId="0" xfId="4" applyNumberFormat="1" applyFont="1" applyBorder="1">
      <alignment vertical="top"/>
    </xf>
    <xf numFmtId="38" fontId="35" fillId="0" borderId="0" xfId="4" applyNumberFormat="1" applyFont="1" applyFill="1">
      <alignment vertical="top"/>
    </xf>
    <xf numFmtId="0" fontId="38" fillId="0" borderId="0" xfId="4" applyFont="1">
      <alignment vertical="top"/>
    </xf>
    <xf numFmtId="0" fontId="35" fillId="0" borderId="0" xfId="4" applyFont="1" applyFill="1">
      <alignment vertical="top"/>
    </xf>
    <xf numFmtId="0" fontId="37" fillId="0" borderId="1" xfId="4" applyFont="1" applyFill="1" applyBorder="1" applyAlignment="1">
      <alignment horizontal="center"/>
    </xf>
    <xf numFmtId="49" fontId="37" fillId="0" borderId="1" xfId="5" applyNumberFormat="1" applyFont="1" applyFill="1" applyBorder="1" applyAlignment="1">
      <alignment horizontal="center" wrapText="1"/>
    </xf>
    <xf numFmtId="0" fontId="37" fillId="0" borderId="1" xfId="4" applyFont="1" applyFill="1" applyBorder="1" applyAlignment="1">
      <alignment horizontal="center" wrapText="1"/>
    </xf>
    <xf numFmtId="0" fontId="40" fillId="0" borderId="1" xfId="4" applyFont="1" applyBorder="1" applyAlignment="1">
      <alignment horizontal="center" wrapText="1"/>
    </xf>
    <xf numFmtId="0" fontId="41" fillId="0" borderId="0" xfId="4" applyFont="1">
      <alignment vertical="top"/>
    </xf>
    <xf numFmtId="0" fontId="40" fillId="0" borderId="0" xfId="4" applyFont="1">
      <alignment vertical="top"/>
    </xf>
    <xf numFmtId="38" fontId="41" fillId="0" borderId="0" xfId="4" applyNumberFormat="1" applyFont="1">
      <alignment vertical="top"/>
    </xf>
    <xf numFmtId="38" fontId="41" fillId="0" borderId="0" xfId="4" applyNumberFormat="1" applyFont="1" applyBorder="1">
      <alignment vertical="top"/>
    </xf>
    <xf numFmtId="38" fontId="41" fillId="0" borderId="0" xfId="4" applyNumberFormat="1" applyFont="1" applyFill="1">
      <alignment vertical="top"/>
    </xf>
    <xf numFmtId="38" fontId="41" fillId="0" borderId="0" xfId="4" applyNumberFormat="1" applyFont="1" applyFill="1" applyAlignment="1">
      <alignment horizontal="right" vertical="top"/>
    </xf>
    <xf numFmtId="38" fontId="41" fillId="0" borderId="0" xfId="4" applyNumberFormat="1" applyFont="1" applyFill="1" applyBorder="1">
      <alignment vertical="top"/>
    </xf>
    <xf numFmtId="0" fontId="41" fillId="0" borderId="0" xfId="4" applyFont="1" applyBorder="1">
      <alignment vertical="top"/>
    </xf>
    <xf numFmtId="38" fontId="41" fillId="0" borderId="0" xfId="4" applyNumberFormat="1" applyFont="1" applyFill="1" applyBorder="1" applyAlignment="1">
      <alignment horizontal="right" vertical="top"/>
    </xf>
    <xf numFmtId="0" fontId="40" fillId="0" borderId="3" xfId="4" applyFont="1" applyBorder="1">
      <alignment vertical="top"/>
    </xf>
    <xf numFmtId="38" fontId="40" fillId="0" borderId="3" xfId="4" applyNumberFormat="1" applyFont="1" applyFill="1" applyBorder="1">
      <alignment vertical="top"/>
    </xf>
    <xf numFmtId="38" fontId="40" fillId="0" borderId="0" xfId="4" applyNumberFormat="1" applyFont="1" applyFill="1" applyAlignment="1">
      <alignment horizontal="right" vertical="top"/>
    </xf>
    <xf numFmtId="38" fontId="40" fillId="0" borderId="0" xfId="4" applyNumberFormat="1" applyFont="1" applyFill="1" applyBorder="1">
      <alignment vertical="top"/>
    </xf>
    <xf numFmtId="0" fontId="41" fillId="0" borderId="0" xfId="4" applyFont="1" applyFill="1">
      <alignment vertical="top"/>
    </xf>
    <xf numFmtId="38" fontId="41" fillId="0" borderId="4" xfId="4" applyNumberFormat="1" applyFont="1" applyFill="1" applyBorder="1">
      <alignment vertical="top"/>
    </xf>
    <xf numFmtId="0" fontId="40" fillId="0" borderId="0" xfId="4" applyFont="1" applyFill="1" applyBorder="1">
      <alignment vertical="top"/>
    </xf>
    <xf numFmtId="39" fontId="40" fillId="0" borderId="0" xfId="1" applyNumberFormat="1" applyFont="1" applyFill="1" applyBorder="1" applyAlignment="1">
      <alignment vertical="top"/>
    </xf>
    <xf numFmtId="39" fontId="41" fillId="0" borderId="0" xfId="1" applyNumberFormat="1" applyFont="1" applyAlignment="1">
      <alignment vertical="top"/>
    </xf>
    <xf numFmtId="0" fontId="41" fillId="0" borderId="0" xfId="4" applyFont="1" applyFill="1" applyBorder="1">
      <alignment vertical="top"/>
    </xf>
    <xf numFmtId="0" fontId="42" fillId="0" borderId="0" xfId="0" applyFont="1" applyAlignment="1">
      <alignment vertical="top"/>
    </xf>
    <xf numFmtId="0" fontId="11" fillId="0" borderId="0" xfId="0" applyFont="1" applyAlignment="1">
      <alignment vertical="top"/>
    </xf>
    <xf numFmtId="49" fontId="43" fillId="0" borderId="0" xfId="0" applyNumberFormat="1" applyFont="1" applyAlignment="1">
      <alignment vertical="top" wrapText="1"/>
    </xf>
    <xf numFmtId="49" fontId="43" fillId="15" borderId="33" xfId="0" applyNumberFormat="1" applyFont="1" applyFill="1" applyBorder="1" applyAlignment="1">
      <alignment horizontal="center" vertical="top" wrapText="1"/>
    </xf>
    <xf numFmtId="49" fontId="43" fillId="15" borderId="33" xfId="0" applyNumberFormat="1" applyFont="1" applyFill="1" applyBorder="1" applyAlignment="1">
      <alignment vertical="top" wrapText="1"/>
    </xf>
    <xf numFmtId="169" fontId="43" fillId="0" borderId="35" xfId="0" applyNumberFormat="1" applyFont="1" applyBorder="1" applyAlignment="1">
      <alignment horizontal="right" vertical="top"/>
    </xf>
    <xf numFmtId="49" fontId="43" fillId="0" borderId="35" xfId="0" applyNumberFormat="1" applyFont="1" applyBorder="1" applyAlignment="1">
      <alignment horizontal="right" vertical="top"/>
    </xf>
    <xf numFmtId="49" fontId="44" fillId="16" borderId="33" xfId="0" applyNumberFormat="1" applyFont="1" applyFill="1" applyBorder="1" applyAlignment="1">
      <alignment vertical="top" wrapText="1"/>
    </xf>
    <xf numFmtId="169" fontId="44" fillId="16" borderId="38" xfId="0" applyNumberFormat="1" applyFont="1" applyFill="1" applyBorder="1" applyAlignment="1">
      <alignment horizontal="right" vertical="top"/>
    </xf>
    <xf numFmtId="49" fontId="44" fillId="16" borderId="38" xfId="0" applyNumberFormat="1" applyFont="1" applyFill="1" applyBorder="1" applyAlignment="1">
      <alignment horizontal="right" vertical="top"/>
    </xf>
    <xf numFmtId="169" fontId="44" fillId="17" borderId="38" xfId="0" applyNumberFormat="1" applyFont="1" applyFill="1" applyBorder="1" applyAlignment="1">
      <alignment horizontal="right" vertical="top"/>
    </xf>
    <xf numFmtId="170" fontId="45" fillId="0" borderId="0" xfId="0" applyNumberFormat="1" applyFont="1" applyAlignment="1">
      <alignment horizontal="left" vertical="top" wrapText="1"/>
    </xf>
    <xf numFmtId="49" fontId="45" fillId="0" borderId="0" xfId="0" applyNumberFormat="1" applyFont="1" applyAlignment="1">
      <alignment horizontal="center" vertical="top" wrapText="1"/>
    </xf>
    <xf numFmtId="171" fontId="45" fillId="0" borderId="0" xfId="0" applyNumberFormat="1" applyFont="1" applyAlignment="1">
      <alignment horizontal="right" vertical="top" wrapText="1"/>
    </xf>
    <xf numFmtId="49" fontId="43" fillId="15" borderId="0" xfId="0" applyNumberFormat="1" applyFont="1" applyFill="1" applyBorder="1" applyAlignment="1">
      <alignment vertical="top" wrapText="1"/>
    </xf>
    <xf numFmtId="38" fontId="37" fillId="0" borderId="0" xfId="1" applyNumberFormat="1" applyFont="1" applyFill="1" applyBorder="1" applyAlignment="1">
      <alignment vertical="top"/>
    </xf>
    <xf numFmtId="165" fontId="46" fillId="0" borderId="0" xfId="1" applyNumberFormat="1" applyFont="1" applyBorder="1"/>
    <xf numFmtId="165" fontId="48" fillId="0" borderId="0" xfId="1" applyNumberFormat="1" applyFont="1" applyBorder="1" applyAlignment="1">
      <alignment horizontal="center" vertical="center" wrapText="1"/>
    </xf>
    <xf numFmtId="0" fontId="47" fillId="0" borderId="0" xfId="0" applyFont="1" applyBorder="1"/>
    <xf numFmtId="165" fontId="46" fillId="0" borderId="0" xfId="1" applyNumberFormat="1" applyFont="1" applyBorder="1" applyProtection="1">
      <protection locked="0"/>
    </xf>
    <xf numFmtId="9" fontId="46" fillId="0" borderId="0" xfId="1" applyNumberFormat="1" applyFont="1" applyBorder="1"/>
    <xf numFmtId="165" fontId="46" fillId="0" borderId="2" xfId="1" applyNumberFormat="1" applyFont="1" applyBorder="1"/>
    <xf numFmtId="9" fontId="46" fillId="0" borderId="2" xfId="1" applyNumberFormat="1" applyFont="1" applyBorder="1"/>
    <xf numFmtId="165" fontId="46" fillId="0" borderId="2" xfId="1" applyNumberFormat="1" applyFont="1" applyFill="1" applyBorder="1"/>
    <xf numFmtId="165" fontId="46" fillId="0" borderId="0" xfId="1" applyNumberFormat="1" applyFont="1" applyFill="1" applyBorder="1"/>
    <xf numFmtId="165" fontId="49" fillId="0" borderId="0" xfId="4" applyNumberFormat="1" applyFont="1" applyFill="1" applyBorder="1">
      <alignment vertical="top"/>
    </xf>
    <xf numFmtId="9" fontId="49" fillId="0" borderId="0" xfId="4" applyNumberFormat="1" applyFont="1" applyFill="1" applyBorder="1">
      <alignment vertical="top"/>
    </xf>
    <xf numFmtId="0" fontId="35" fillId="0" borderId="0" xfId="4" applyFont="1" applyFill="1" applyBorder="1">
      <alignment vertical="top"/>
    </xf>
    <xf numFmtId="165" fontId="46" fillId="0" borderId="2" xfId="1" applyNumberFormat="1" applyFont="1" applyBorder="1" applyProtection="1">
      <protection locked="0"/>
    </xf>
    <xf numFmtId="165" fontId="46" fillId="0" borderId="0" xfId="1" applyNumberFormat="1" applyFont="1" applyFill="1" applyBorder="1" applyProtection="1">
      <protection locked="0"/>
    </xf>
    <xf numFmtId="9" fontId="46" fillId="0" borderId="2" xfId="1" applyNumberFormat="1" applyFont="1" applyFill="1" applyBorder="1"/>
    <xf numFmtId="9" fontId="46" fillId="0" borderId="0" xfId="1" applyNumberFormat="1" applyFont="1" applyFill="1" applyBorder="1"/>
    <xf numFmtId="0" fontId="40" fillId="0" borderId="0" xfId="4" applyFont="1" applyFill="1">
      <alignment vertical="top"/>
    </xf>
    <xf numFmtId="165" fontId="46" fillId="0" borderId="2" xfId="1" applyNumberFormat="1" applyFont="1" applyFill="1" applyBorder="1" applyProtection="1">
      <protection locked="0"/>
    </xf>
    <xf numFmtId="0" fontId="50" fillId="0" borderId="0" xfId="0" applyFont="1" applyFill="1" applyAlignment="1">
      <alignment horizontal="center"/>
    </xf>
    <xf numFmtId="43" fontId="50" fillId="0" borderId="0" xfId="1" applyFont="1" applyFill="1" applyAlignment="1">
      <alignment horizontal="center"/>
    </xf>
    <xf numFmtId="0" fontId="51" fillId="0" borderId="0" xfId="0" applyFont="1" applyFill="1" applyAlignment="1">
      <alignment horizontal="left"/>
    </xf>
    <xf numFmtId="0" fontId="51" fillId="0" borderId="0" xfId="0" applyFont="1" applyAlignment="1">
      <alignment horizontal="left"/>
    </xf>
    <xf numFmtId="43" fontId="51" fillId="0" borderId="0" xfId="1" applyFont="1" applyFill="1" applyAlignment="1">
      <alignment horizontal="left"/>
    </xf>
    <xf numFmtId="0" fontId="52" fillId="0" borderId="0" xfId="0" applyFont="1"/>
    <xf numFmtId="0" fontId="53" fillId="0" borderId="0" xfId="0" applyFont="1"/>
    <xf numFmtId="0" fontId="37" fillId="0" borderId="0" xfId="0" applyFont="1" applyFill="1" applyAlignment="1">
      <alignment horizontal="center"/>
    </xf>
    <xf numFmtId="0" fontId="37" fillId="0" borderId="0" xfId="0" applyFont="1" applyFill="1" applyBorder="1" applyAlignment="1">
      <alignment horizontal="center"/>
    </xf>
    <xf numFmtId="0" fontId="37" fillId="0" borderId="0" xfId="0" applyFont="1" applyFill="1"/>
    <xf numFmtId="0" fontId="52" fillId="0" borderId="0" xfId="0" applyFont="1" applyFill="1"/>
    <xf numFmtId="165" fontId="37" fillId="0" borderId="0" xfId="1" applyNumberFormat="1" applyFont="1" applyFill="1" applyAlignment="1">
      <alignment horizontal="center"/>
    </xf>
    <xf numFmtId="0" fontId="51" fillId="0" borderId="0" xfId="0" applyFont="1" applyFill="1"/>
    <xf numFmtId="43" fontId="51" fillId="0" borderId="0" xfId="1" applyFont="1" applyFill="1"/>
    <xf numFmtId="0" fontId="51" fillId="0" borderId="0" xfId="0" applyFont="1"/>
    <xf numFmtId="0" fontId="37" fillId="0" borderId="1" xfId="0" applyFont="1" applyFill="1" applyBorder="1" applyAlignment="1">
      <alignment horizontal="center" wrapText="1"/>
    </xf>
    <xf numFmtId="0" fontId="54" fillId="0" borderId="0" xfId="0" applyFont="1" applyFill="1" applyAlignment="1">
      <alignment horizontal="center" wrapText="1"/>
    </xf>
    <xf numFmtId="0" fontId="51" fillId="0" borderId="0" xfId="0" applyFont="1" applyAlignment="1">
      <alignment wrapText="1"/>
    </xf>
    <xf numFmtId="165" fontId="52" fillId="0" borderId="0" xfId="1" applyNumberFormat="1" applyFont="1" applyBorder="1" applyAlignment="1">
      <alignment horizontal="center"/>
    </xf>
    <xf numFmtId="0" fontId="55" fillId="0" borderId="0" xfId="0" applyFont="1" applyAlignment="1">
      <alignment horizontal="center"/>
    </xf>
    <xf numFmtId="0" fontId="52" fillId="0" borderId="0" xfId="0" applyFont="1" applyFill="1" applyBorder="1" applyAlignment="1">
      <alignment horizontal="center"/>
    </xf>
    <xf numFmtId="0" fontId="55" fillId="0" borderId="0" xfId="0" applyFont="1" applyFill="1" applyAlignment="1">
      <alignment horizontal="center"/>
    </xf>
    <xf numFmtId="0" fontId="55" fillId="0" borderId="0" xfId="0" applyFont="1" applyFill="1" applyBorder="1" applyAlignment="1">
      <alignment horizontal="center"/>
    </xf>
    <xf numFmtId="165" fontId="52" fillId="0" borderId="0" xfId="1" applyNumberFormat="1" applyFont="1" applyFill="1" applyBorder="1" applyAlignment="1">
      <alignment horizontal="center"/>
    </xf>
    <xf numFmtId="165" fontId="52" fillId="0" borderId="0" xfId="1" applyNumberFormat="1" applyFont="1" applyFill="1"/>
    <xf numFmtId="165" fontId="51" fillId="0" borderId="0" xfId="0" applyNumberFormat="1" applyFont="1" applyFill="1"/>
    <xf numFmtId="165" fontId="51" fillId="0" borderId="0" xfId="1" applyNumberFormat="1" applyFont="1"/>
    <xf numFmtId="0" fontId="52" fillId="0" borderId="0" xfId="0" applyFont="1" applyFill="1" applyBorder="1"/>
    <xf numFmtId="173" fontId="51" fillId="0" borderId="0" xfId="6" applyNumberFormat="1" applyFont="1" applyFill="1"/>
    <xf numFmtId="165" fontId="52" fillId="0" borderId="0" xfId="1" applyNumberFormat="1" applyFont="1"/>
    <xf numFmtId="2" fontId="56" fillId="5" borderId="0" xfId="0" applyNumberFormat="1" applyFont="1" applyFill="1"/>
    <xf numFmtId="2" fontId="56" fillId="0" borderId="0" xfId="0" applyNumberFormat="1" applyFont="1" applyFill="1"/>
    <xf numFmtId="2" fontId="56" fillId="0" borderId="0" xfId="0" applyNumberFormat="1" applyFont="1" applyFill="1" applyBorder="1"/>
    <xf numFmtId="2" fontId="56" fillId="0" borderId="0" xfId="1" applyNumberFormat="1" applyFont="1" applyFill="1"/>
    <xf numFmtId="43" fontId="56" fillId="0" borderId="0" xfId="1" applyFont="1" applyFill="1"/>
    <xf numFmtId="0" fontId="51" fillId="0" borderId="0" xfId="0" applyFont="1" applyFill="1" applyBorder="1"/>
    <xf numFmtId="0" fontId="47" fillId="0" borderId="0" xfId="0" applyFont="1" applyFill="1"/>
    <xf numFmtId="165" fontId="47" fillId="0" borderId="0" xfId="1" applyNumberFormat="1" applyFont="1" applyFill="1"/>
    <xf numFmtId="165" fontId="51" fillId="0" borderId="0" xfId="1" applyNumberFormat="1" applyFont="1" applyFill="1"/>
    <xf numFmtId="174" fontId="51" fillId="0" borderId="0" xfId="0" applyNumberFormat="1" applyFont="1" applyFill="1"/>
    <xf numFmtId="175" fontId="50" fillId="0" borderId="0" xfId="0" applyNumberFormat="1" applyFont="1" applyFill="1"/>
    <xf numFmtId="165" fontId="51" fillId="0" borderId="2" xfId="1" applyNumberFormat="1" applyFont="1" applyFill="1" applyBorder="1"/>
    <xf numFmtId="0" fontId="59" fillId="0" borderId="0" xfId="0" applyFont="1" applyAlignment="1">
      <alignment horizontal="center"/>
    </xf>
    <xf numFmtId="0" fontId="51" fillId="0" borderId="0" xfId="0" applyFont="1" applyAlignment="1"/>
    <xf numFmtId="0" fontId="51" fillId="0" borderId="0" xfId="0" applyFont="1" applyAlignment="1">
      <alignment horizontal="center"/>
    </xf>
    <xf numFmtId="0" fontId="51" fillId="0" borderId="0" xfId="0" applyFont="1" applyFill="1" applyAlignment="1"/>
    <xf numFmtId="43" fontId="51" fillId="0" borderId="0" xfId="1" applyFont="1" applyFill="1" applyAlignment="1"/>
    <xf numFmtId="0" fontId="59" fillId="0" borderId="0" xfId="0" applyFont="1" applyBorder="1" applyAlignment="1">
      <alignment horizontal="center"/>
    </xf>
    <xf numFmtId="10" fontId="51" fillId="0" borderId="2" xfId="6" applyNumberFormat="1" applyFont="1" applyFill="1" applyBorder="1"/>
    <xf numFmtId="0" fontId="52" fillId="0" borderId="0" xfId="0" applyFont="1" applyAlignment="1">
      <alignment horizontal="left"/>
    </xf>
    <xf numFmtId="0" fontId="52" fillId="0" borderId="0" xfId="0" applyFont="1" applyBorder="1" applyAlignment="1">
      <alignment horizontal="center"/>
    </xf>
    <xf numFmtId="0" fontId="52" fillId="0" borderId="0" xfId="0" applyFont="1" applyAlignment="1">
      <alignment horizontal="center"/>
    </xf>
    <xf numFmtId="0" fontId="61" fillId="0" borderId="0" xfId="0" applyFont="1"/>
    <xf numFmtId="0" fontId="61" fillId="0" borderId="0" xfId="0" applyFont="1" applyAlignment="1">
      <alignment horizontal="center"/>
    </xf>
    <xf numFmtId="0" fontId="62" fillId="0" borderId="0" xfId="0" applyFont="1"/>
    <xf numFmtId="0" fontId="63" fillId="0" borderId="0" xfId="0" applyFont="1"/>
    <xf numFmtId="0" fontId="64" fillId="0" borderId="0" xfId="0" applyFont="1" applyAlignment="1">
      <alignment horizontal="center"/>
    </xf>
    <xf numFmtId="0" fontId="61" fillId="0" borderId="0" xfId="0" applyFont="1" applyBorder="1"/>
    <xf numFmtId="0" fontId="61" fillId="0" borderId="0" xfId="0" applyFont="1" applyBorder="1" applyAlignment="1">
      <alignment horizontal="center"/>
    </xf>
    <xf numFmtId="165" fontId="61" fillId="0" borderId="0" xfId="1" applyNumberFormat="1" applyFont="1"/>
    <xf numFmtId="0" fontId="61" fillId="0" borderId="0" xfId="0" applyFont="1" applyFill="1"/>
    <xf numFmtId="165" fontId="61" fillId="0" borderId="0" xfId="1" applyNumberFormat="1" applyFont="1" applyFill="1"/>
    <xf numFmtId="165" fontId="61" fillId="0" borderId="0" xfId="0" applyNumberFormat="1" applyFont="1"/>
    <xf numFmtId="0" fontId="62" fillId="0" borderId="0" xfId="0" applyFont="1" applyAlignment="1">
      <alignment horizontal="right"/>
    </xf>
    <xf numFmtId="43" fontId="62" fillId="0" borderId="0" xfId="1" applyNumberFormat="1" applyFont="1"/>
    <xf numFmtId="165" fontId="61" fillId="0" borderId="2" xfId="0" applyNumberFormat="1" applyFont="1" applyBorder="1"/>
    <xf numFmtId="0" fontId="59" fillId="0" borderId="0" xfId="0" applyFont="1"/>
    <xf numFmtId="0" fontId="58" fillId="0" borderId="0" xfId="0" applyFont="1"/>
    <xf numFmtId="0" fontId="51" fillId="0" borderId="0" xfId="0" applyFont="1" applyBorder="1" applyAlignment="1">
      <alignment horizontal="center"/>
    </xf>
    <xf numFmtId="0" fontId="46" fillId="0" borderId="0" xfId="0" applyFont="1"/>
    <xf numFmtId="0" fontId="46" fillId="0" borderId="0" xfId="0" applyFont="1" applyBorder="1" applyAlignment="1">
      <alignment horizontal="center"/>
    </xf>
    <xf numFmtId="0" fontId="46" fillId="0" borderId="0" xfId="0" applyFont="1" applyBorder="1" applyAlignment="1">
      <alignment horizontal="right"/>
    </xf>
    <xf numFmtId="165" fontId="51" fillId="0" borderId="0" xfId="0" applyNumberFormat="1" applyFont="1"/>
    <xf numFmtId="165" fontId="51" fillId="0" borderId="4" xfId="1" applyNumberFormat="1" applyFont="1" applyFill="1" applyBorder="1"/>
    <xf numFmtId="0" fontId="67" fillId="0" borderId="0" xfId="0" applyFont="1"/>
    <xf numFmtId="165" fontId="51" fillId="0" borderId="2" xfId="0" applyNumberFormat="1" applyFont="1" applyBorder="1"/>
    <xf numFmtId="165" fontId="51" fillId="0" borderId="2" xfId="0" applyNumberFormat="1" applyFont="1" applyFill="1" applyBorder="1"/>
    <xf numFmtId="0" fontId="51" fillId="0" borderId="0" xfId="0" applyFont="1" applyBorder="1"/>
    <xf numFmtId="0" fontId="51" fillId="0" borderId="45" xfId="0" applyFont="1" applyBorder="1"/>
    <xf numFmtId="0" fontId="51" fillId="0" borderId="46" xfId="0" applyFont="1" applyBorder="1"/>
    <xf numFmtId="165" fontId="51" fillId="0" borderId="0" xfId="1" applyNumberFormat="1" applyFont="1" applyBorder="1"/>
    <xf numFmtId="38" fontId="51" fillId="0" borderId="0" xfId="0" applyNumberFormat="1" applyFont="1" applyBorder="1"/>
    <xf numFmtId="38" fontId="51" fillId="0" borderId="46" xfId="0" applyNumberFormat="1" applyFont="1" applyBorder="1"/>
    <xf numFmtId="165" fontId="51" fillId="0" borderId="0" xfId="0" applyNumberFormat="1" applyFont="1" applyBorder="1"/>
    <xf numFmtId="165" fontId="51" fillId="0" borderId="46" xfId="1" applyNumberFormat="1" applyFont="1" applyBorder="1"/>
    <xf numFmtId="165" fontId="51" fillId="0" borderId="2" xfId="1" applyNumberFormat="1" applyFont="1" applyBorder="1"/>
    <xf numFmtId="165" fontId="51" fillId="0" borderId="47" xfId="0" applyNumberFormat="1" applyFont="1" applyBorder="1"/>
    <xf numFmtId="43" fontId="51" fillId="0" borderId="0" xfId="1" applyFont="1"/>
    <xf numFmtId="0" fontId="51" fillId="0" borderId="48" xfId="0" applyFont="1" applyBorder="1"/>
    <xf numFmtId="0" fontId="51" fillId="0" borderId="4" xfId="0" applyFont="1" applyBorder="1"/>
    <xf numFmtId="0" fontId="51" fillId="0" borderId="49" xfId="0" applyFont="1" applyBorder="1"/>
    <xf numFmtId="165" fontId="51" fillId="0" borderId="4" xfId="1" applyNumberFormat="1" applyFont="1" applyBorder="1"/>
    <xf numFmtId="43" fontId="51" fillId="0" borderId="4" xfId="1" applyFont="1" applyBorder="1"/>
    <xf numFmtId="165" fontId="51" fillId="0" borderId="0" xfId="0" applyNumberFormat="1" applyFont="1" applyFill="1" applyBorder="1"/>
    <xf numFmtId="43" fontId="51" fillId="0" borderId="2" xfId="1" applyFont="1" applyBorder="1"/>
    <xf numFmtId="3" fontId="68" fillId="0" borderId="0" xfId="0" applyNumberFormat="1" applyFont="1" applyAlignment="1">
      <alignment horizontal="right" wrapText="1"/>
    </xf>
    <xf numFmtId="3" fontId="65" fillId="0" borderId="0" xfId="0" applyNumberFormat="1" applyFont="1" applyAlignment="1">
      <alignment horizontal="right" wrapText="1"/>
    </xf>
    <xf numFmtId="165" fontId="51" fillId="0" borderId="0" xfId="1" applyNumberFormat="1" applyFont="1" applyFill="1" applyBorder="1"/>
    <xf numFmtId="0" fontId="71" fillId="0" borderId="0" xfId="0" applyFont="1"/>
    <xf numFmtId="165" fontId="59" fillId="0" borderId="0" xfId="1" applyNumberFormat="1" applyFont="1" applyBorder="1" applyAlignment="1">
      <alignment horizontal="center"/>
    </xf>
    <xf numFmtId="0" fontId="74" fillId="0" borderId="0" xfId="0" applyFont="1" applyAlignment="1">
      <alignment horizontal="center"/>
    </xf>
    <xf numFmtId="0" fontId="59" fillId="0" borderId="0" xfId="0" applyFont="1" applyFill="1" applyBorder="1" applyAlignment="1">
      <alignment horizontal="center"/>
    </xf>
    <xf numFmtId="0" fontId="74" fillId="0" borderId="0" xfId="0" applyFont="1" applyFill="1" applyAlignment="1">
      <alignment horizontal="center"/>
    </xf>
    <xf numFmtId="0" fontId="59" fillId="0" borderId="0" xfId="0" applyFont="1" applyFill="1"/>
    <xf numFmtId="43" fontId="59" fillId="0" borderId="0" xfId="1" applyFont="1" applyFill="1" applyBorder="1" applyAlignment="1">
      <alignment horizontal="center"/>
    </xf>
    <xf numFmtId="165" fontId="59" fillId="0" borderId="0" xfId="1" applyNumberFormat="1" applyFont="1" applyFill="1" applyBorder="1" applyAlignment="1">
      <alignment horizontal="center"/>
    </xf>
    <xf numFmtId="43" fontId="59" fillId="0" borderId="0" xfId="1" applyFont="1" applyFill="1"/>
    <xf numFmtId="165" fontId="59" fillId="0" borderId="0" xfId="1" applyNumberFormat="1" applyFont="1" applyFill="1" applyAlignment="1">
      <alignment horizontal="right"/>
    </xf>
    <xf numFmtId="165" fontId="59" fillId="0" borderId="0" xfId="1" applyNumberFormat="1" applyFont="1" applyAlignment="1">
      <alignment horizontal="right"/>
    </xf>
    <xf numFmtId="165" fontId="59" fillId="0" borderId="0" xfId="1" applyNumberFormat="1" applyFont="1" applyFill="1" applyBorder="1" applyAlignment="1">
      <alignment horizontal="right"/>
    </xf>
    <xf numFmtId="165" fontId="59" fillId="0" borderId="0" xfId="1" applyNumberFormat="1" applyFont="1" applyFill="1"/>
    <xf numFmtId="165" fontId="59" fillId="0" borderId="3" xfId="1" applyNumberFormat="1" applyFont="1" applyBorder="1" applyAlignment="1">
      <alignment horizontal="right"/>
    </xf>
    <xf numFmtId="165" fontId="59" fillId="0" borderId="3" xfId="1" applyNumberFormat="1" applyFont="1" applyFill="1" applyBorder="1" applyAlignment="1">
      <alignment horizontal="right"/>
    </xf>
    <xf numFmtId="165" fontId="59" fillId="0" borderId="3" xfId="1" applyNumberFormat="1" applyFont="1" applyFill="1" applyBorder="1"/>
    <xf numFmtId="165" fontId="59" fillId="0" borderId="0" xfId="0" applyNumberFormat="1" applyFont="1" applyFill="1"/>
    <xf numFmtId="165" fontId="59" fillId="0" borderId="0" xfId="1" applyNumberFormat="1" applyFont="1" applyBorder="1" applyAlignment="1">
      <alignment horizontal="right"/>
    </xf>
    <xf numFmtId="165" fontId="59" fillId="0" borderId="0" xfId="1" applyNumberFormat="1" applyFont="1" applyFill="1" applyBorder="1"/>
    <xf numFmtId="0" fontId="59" fillId="0" borderId="0" xfId="0" applyFont="1" applyFill="1" applyAlignment="1">
      <alignment horizontal="right"/>
    </xf>
    <xf numFmtId="165" fontId="59" fillId="0" borderId="0" xfId="1" applyNumberFormat="1" applyFont="1"/>
    <xf numFmtId="165" fontId="59" fillId="0" borderId="4" xfId="1" applyNumberFormat="1" applyFont="1" applyFill="1" applyBorder="1" applyAlignment="1">
      <alignment horizontal="right"/>
    </xf>
    <xf numFmtId="165" fontId="59" fillId="0" borderId="3" xfId="0" applyNumberFormat="1" applyFont="1" applyFill="1" applyBorder="1" applyAlignment="1">
      <alignment horizontal="right"/>
    </xf>
    <xf numFmtId="165" fontId="59" fillId="0" borderId="4" xfId="1" applyNumberFormat="1" applyFont="1" applyBorder="1" applyAlignment="1">
      <alignment horizontal="right"/>
    </xf>
    <xf numFmtId="43" fontId="59" fillId="0" borderId="4" xfId="1" applyFont="1" applyFill="1" applyBorder="1" applyAlignment="1">
      <alignment horizontal="right"/>
    </xf>
    <xf numFmtId="43" fontId="59" fillId="0" borderId="0" xfId="1" applyFont="1" applyFill="1" applyAlignment="1">
      <alignment horizontal="left" indent="2"/>
    </xf>
    <xf numFmtId="165" fontId="59" fillId="0" borderId="4" xfId="1" applyNumberFormat="1" applyFont="1" applyFill="1" applyBorder="1"/>
    <xf numFmtId="0" fontId="75" fillId="0" borderId="0" xfId="0" applyFont="1"/>
    <xf numFmtId="165" fontId="59" fillId="0" borderId="5" xfId="1" applyNumberFormat="1" applyFont="1" applyFill="1" applyBorder="1" applyAlignment="1">
      <alignment horizontal="right"/>
    </xf>
    <xf numFmtId="0" fontId="59" fillId="0" borderId="0" xfId="0" applyFont="1" applyFill="1" applyBorder="1"/>
    <xf numFmtId="173" fontId="59" fillId="0" borderId="0" xfId="6" applyNumberFormat="1" applyFont="1" applyFill="1"/>
    <xf numFmtId="165" fontId="59" fillId="0" borderId="5" xfId="1" applyNumberFormat="1" applyFont="1" applyFill="1" applyBorder="1"/>
    <xf numFmtId="165" fontId="76" fillId="0" borderId="0" xfId="1" applyNumberFormat="1" applyFont="1" applyFill="1"/>
    <xf numFmtId="165" fontId="59" fillId="0" borderId="5" xfId="1" applyNumberFormat="1" applyFont="1" applyFill="1" applyBorder="1" applyAlignment="1"/>
    <xf numFmtId="165" fontId="59" fillId="0" borderId="0" xfId="1" applyNumberFormat="1" applyFont="1" applyFill="1" applyBorder="1" applyAlignment="1"/>
    <xf numFmtId="0" fontId="69" fillId="0" borderId="0" xfId="0" applyFont="1" applyAlignment="1">
      <alignment horizontal="center" vertical="center" wrapText="1"/>
    </xf>
    <xf numFmtId="172" fontId="50" fillId="0" borderId="0" xfId="0" applyNumberFormat="1" applyFont="1" applyAlignment="1">
      <alignment vertical="center" wrapText="1"/>
    </xf>
    <xf numFmtId="0" fontId="72" fillId="0" borderId="0" xfId="0" applyFont="1" applyAlignment="1">
      <alignment vertical="center" wrapText="1"/>
    </xf>
    <xf numFmtId="0" fontId="69" fillId="0" borderId="0" xfId="0" applyFont="1" applyFill="1" applyBorder="1" applyAlignment="1">
      <alignment horizontal="center" vertical="center" wrapText="1"/>
    </xf>
    <xf numFmtId="0" fontId="50" fillId="0" borderId="0" xfId="0" applyFont="1" applyFill="1" applyAlignment="1">
      <alignment vertical="center" wrapText="1"/>
    </xf>
    <xf numFmtId="43" fontId="50" fillId="0" borderId="0" xfId="1" applyFont="1" applyFill="1" applyAlignment="1">
      <alignment vertical="center" wrapText="1"/>
    </xf>
    <xf numFmtId="0" fontId="50" fillId="0" borderId="0" xfId="0" applyFont="1" applyAlignment="1">
      <alignment vertical="center" wrapText="1"/>
    </xf>
    <xf numFmtId="0" fontId="41" fillId="0" borderId="0" xfId="4" applyFont="1" applyAlignment="1">
      <alignment horizontal="right" vertical="top"/>
    </xf>
    <xf numFmtId="49" fontId="37" fillId="0" borderId="1" xfId="5" applyNumberFormat="1" applyFont="1" applyFill="1" applyBorder="1" applyAlignment="1">
      <alignment horizontal="center" vertical="center" wrapText="1"/>
    </xf>
    <xf numFmtId="0" fontId="36" fillId="0" borderId="0" xfId="4" applyFont="1" applyBorder="1" applyAlignment="1">
      <alignment horizontal="center" vertical="center"/>
    </xf>
    <xf numFmtId="0" fontId="35" fillId="0" borderId="0" xfId="4" applyFont="1" applyFill="1" applyBorder="1" applyAlignment="1">
      <alignment horizontal="center" vertical="center"/>
    </xf>
    <xf numFmtId="0" fontId="35" fillId="0" borderId="0" xfId="4" applyFont="1" applyBorder="1" applyAlignment="1">
      <alignment horizontal="center" vertical="center"/>
    </xf>
    <xf numFmtId="38" fontId="35" fillId="0" borderId="0" xfId="4" applyNumberFormat="1" applyFont="1" applyAlignment="1">
      <alignment horizontal="center" vertical="center"/>
    </xf>
    <xf numFmtId="38" fontId="35" fillId="0" borderId="0" xfId="4" applyNumberFormat="1" applyFont="1" applyFill="1" applyAlignment="1">
      <alignment horizontal="center" vertical="center"/>
    </xf>
    <xf numFmtId="0" fontId="40" fillId="0" borderId="0" xfId="4" applyFont="1" applyAlignment="1">
      <alignment horizontal="center" vertical="center"/>
    </xf>
    <xf numFmtId="38" fontId="41" fillId="0" borderId="0" xfId="4" applyNumberFormat="1" applyFont="1" applyAlignment="1">
      <alignment horizontal="center" vertical="center"/>
    </xf>
    <xf numFmtId="38" fontId="41" fillId="0" borderId="0" xfId="4" applyNumberFormat="1" applyFont="1" applyBorder="1" applyAlignment="1">
      <alignment horizontal="center" vertical="center"/>
    </xf>
    <xf numFmtId="38" fontId="41" fillId="0" borderId="0" xfId="4" applyNumberFormat="1" applyFont="1" applyFill="1" applyAlignment="1">
      <alignment horizontal="center" vertical="center"/>
    </xf>
    <xf numFmtId="38" fontId="40" fillId="0" borderId="0" xfId="4" applyNumberFormat="1" applyFont="1" applyFill="1" applyBorder="1" applyAlignment="1">
      <alignment horizontal="center" vertical="center"/>
    </xf>
    <xf numFmtId="0" fontId="41" fillId="0" borderId="0" xfId="4" applyFont="1" applyBorder="1" applyAlignment="1">
      <alignment horizontal="center" vertical="center"/>
    </xf>
    <xf numFmtId="0" fontId="41" fillId="0" borderId="0" xfId="4" applyFont="1" applyAlignment="1">
      <alignment horizontal="center" vertical="center"/>
    </xf>
    <xf numFmtId="0" fontId="41" fillId="0" borderId="0" xfId="4" applyFont="1" applyFill="1" applyAlignment="1">
      <alignment horizontal="center" vertical="center"/>
    </xf>
    <xf numFmtId="38" fontId="37" fillId="0" borderId="0" xfId="1" applyNumberFormat="1" applyFont="1" applyFill="1" applyBorder="1" applyAlignment="1">
      <alignment horizontal="center" vertical="center"/>
    </xf>
    <xf numFmtId="39" fontId="40" fillId="0" borderId="0" xfId="1" applyNumberFormat="1" applyFont="1" applyFill="1" applyBorder="1" applyAlignment="1">
      <alignment horizontal="center" vertical="center"/>
    </xf>
    <xf numFmtId="0" fontId="40" fillId="0" borderId="0" xfId="4" applyFont="1" applyFill="1" applyBorder="1" applyAlignment="1">
      <alignment horizontal="center" vertical="center"/>
    </xf>
    <xf numFmtId="0" fontId="41" fillId="0" borderId="0" xfId="4" applyFont="1" applyFill="1" applyBorder="1" applyAlignment="1">
      <alignment horizontal="center" vertical="center"/>
    </xf>
    <xf numFmtId="0" fontId="35" fillId="0" borderId="0" xfId="4" applyFont="1" applyAlignment="1">
      <alignment horizontal="center" vertical="center"/>
    </xf>
    <xf numFmtId="0" fontId="35" fillId="0" borderId="0" xfId="4" applyFont="1" applyFill="1" applyAlignment="1">
      <alignment horizontal="center" vertical="center"/>
    </xf>
    <xf numFmtId="9" fontId="40" fillId="0" borderId="0" xfId="6" applyFont="1" applyFill="1" applyBorder="1" applyAlignment="1">
      <alignment horizontal="center" vertical="center"/>
    </xf>
    <xf numFmtId="38" fontId="35" fillId="0" borderId="0" xfId="4" applyNumberFormat="1" applyFont="1" applyBorder="1" applyAlignment="1">
      <alignment horizontal="center" vertical="center"/>
    </xf>
    <xf numFmtId="38" fontId="41" fillId="0" borderId="0" xfId="4" applyNumberFormat="1" applyFont="1" applyFill="1" applyAlignment="1">
      <alignment horizontal="right" vertical="center"/>
    </xf>
    <xf numFmtId="38" fontId="41" fillId="0" borderId="0" xfId="4" applyNumberFormat="1" applyFont="1" applyFill="1" applyBorder="1" applyAlignment="1">
      <alignment horizontal="right" vertical="center"/>
    </xf>
    <xf numFmtId="38" fontId="40" fillId="0" borderId="0" xfId="4" applyNumberFormat="1" applyFont="1" applyFill="1" applyAlignment="1">
      <alignment horizontal="right" vertical="center"/>
    </xf>
    <xf numFmtId="43" fontId="41" fillId="0" borderId="0" xfId="1" applyFont="1" applyFill="1" applyAlignment="1">
      <alignment horizontal="right" vertical="top"/>
    </xf>
    <xf numFmtId="43" fontId="41" fillId="0" borderId="0" xfId="1" applyFont="1" applyFill="1" applyAlignment="1">
      <alignment horizontal="right" vertical="center"/>
    </xf>
    <xf numFmtId="0" fontId="40" fillId="0" borderId="0" xfId="4" applyFont="1" applyAlignment="1">
      <alignment horizontal="right" vertical="center"/>
    </xf>
    <xf numFmtId="38" fontId="41" fillId="0" borderId="0" xfId="4" applyNumberFormat="1" applyFont="1" applyAlignment="1">
      <alignment horizontal="right" vertical="center"/>
    </xf>
    <xf numFmtId="38" fontId="41" fillId="0" borderId="0" xfId="4" applyNumberFormat="1" applyFont="1" applyBorder="1" applyAlignment="1">
      <alignment horizontal="right" vertical="center"/>
    </xf>
    <xf numFmtId="43" fontId="41" fillId="0" borderId="0" xfId="1" applyFont="1" applyFill="1" applyBorder="1" applyAlignment="1">
      <alignment horizontal="right" vertical="center"/>
    </xf>
    <xf numFmtId="38" fontId="40" fillId="0" borderId="3" xfId="4" applyNumberFormat="1" applyFont="1" applyFill="1" applyBorder="1" applyAlignment="1">
      <alignment horizontal="right" vertical="center"/>
    </xf>
    <xf numFmtId="38" fontId="40" fillId="0" borderId="0" xfId="4" applyNumberFormat="1" applyFont="1" applyFill="1" applyBorder="1" applyAlignment="1">
      <alignment horizontal="right" vertical="center"/>
    </xf>
    <xf numFmtId="0" fontId="41" fillId="0" borderId="0" xfId="4" applyFont="1" applyFill="1" applyAlignment="1">
      <alignment horizontal="right" vertical="center"/>
    </xf>
    <xf numFmtId="38" fontId="41" fillId="0" borderId="4" xfId="4" applyNumberFormat="1" applyFont="1" applyFill="1" applyBorder="1" applyAlignment="1">
      <alignment horizontal="right" vertical="center"/>
    </xf>
    <xf numFmtId="165" fontId="41" fillId="0" borderId="0" xfId="1" applyNumberFormat="1" applyFont="1" applyFill="1" applyAlignment="1">
      <alignment horizontal="right" vertical="center"/>
    </xf>
    <xf numFmtId="165" fontId="41" fillId="0" borderId="0" xfId="1" applyNumberFormat="1" applyFont="1" applyFill="1" applyBorder="1" applyAlignment="1">
      <alignment horizontal="right" vertical="center"/>
    </xf>
    <xf numFmtId="38" fontId="37" fillId="0" borderId="0" xfId="1" applyNumberFormat="1" applyFont="1" applyFill="1" applyBorder="1" applyAlignment="1">
      <alignment horizontal="right" vertical="center"/>
    </xf>
    <xf numFmtId="38" fontId="40" fillId="0" borderId="4" xfId="4" applyNumberFormat="1" applyFont="1" applyFill="1" applyBorder="1" applyAlignment="1">
      <alignment horizontal="right" vertical="center"/>
    </xf>
    <xf numFmtId="38" fontId="41" fillId="0" borderId="0" xfId="4" applyNumberFormat="1" applyFont="1" applyAlignment="1">
      <alignment horizontal="right" vertical="top"/>
    </xf>
    <xf numFmtId="43" fontId="41" fillId="0" borderId="0" xfId="1" applyFont="1" applyFill="1" applyBorder="1" applyAlignment="1">
      <alignment horizontal="right" vertical="top"/>
    </xf>
    <xf numFmtId="43" fontId="41" fillId="0" borderId="0" xfId="1" applyFont="1" applyAlignment="1">
      <alignment horizontal="right" vertical="top"/>
    </xf>
    <xf numFmtId="38" fontId="40" fillId="0" borderId="3" xfId="4" applyNumberFormat="1" applyFont="1" applyFill="1" applyBorder="1" applyAlignment="1">
      <alignment horizontal="right" vertical="top"/>
    </xf>
    <xf numFmtId="38" fontId="40" fillId="0" borderId="0" xfId="4" applyNumberFormat="1" applyFont="1" applyFill="1" applyBorder="1" applyAlignment="1">
      <alignment horizontal="right" vertical="top"/>
    </xf>
    <xf numFmtId="0" fontId="41" fillId="0" borderId="0" xfId="4" applyFont="1" applyFill="1" applyAlignment="1">
      <alignment horizontal="right" vertical="top"/>
    </xf>
    <xf numFmtId="38" fontId="37" fillId="0" borderId="0" xfId="1" applyNumberFormat="1" applyFont="1" applyFill="1" applyBorder="1" applyAlignment="1">
      <alignment horizontal="right" vertical="top"/>
    </xf>
    <xf numFmtId="165" fontId="35" fillId="0" borderId="0" xfId="4" applyNumberFormat="1" applyFont="1" applyFill="1" applyBorder="1">
      <alignment vertical="top"/>
    </xf>
    <xf numFmtId="43" fontId="41" fillId="0" borderId="0" xfId="1" applyFont="1" applyFill="1" applyBorder="1" applyAlignment="1">
      <alignment vertical="top"/>
    </xf>
    <xf numFmtId="43" fontId="41" fillId="0" borderId="0" xfId="1" applyFont="1" applyFill="1" applyAlignment="1">
      <alignment vertical="top"/>
    </xf>
    <xf numFmtId="43" fontId="40" fillId="0" borderId="3" xfId="1" applyFont="1" applyFill="1" applyBorder="1" applyAlignment="1">
      <alignment vertical="top"/>
    </xf>
    <xf numFmtId="43" fontId="40" fillId="0" borderId="0" xfId="1" applyFont="1" applyFill="1" applyBorder="1" applyAlignment="1">
      <alignment vertical="top"/>
    </xf>
    <xf numFmtId="43" fontId="41" fillId="0" borderId="0" xfId="1" applyFont="1" applyAlignment="1">
      <alignment vertical="top"/>
    </xf>
    <xf numFmtId="9" fontId="37" fillId="0" borderId="0" xfId="6" applyFont="1" applyFill="1" applyBorder="1" applyAlignment="1">
      <alignment vertical="top"/>
    </xf>
    <xf numFmtId="38" fontId="41" fillId="0" borderId="4" xfId="4" applyNumberFormat="1" applyFont="1" applyFill="1" applyBorder="1" applyAlignment="1">
      <alignment horizontal="right" vertical="top"/>
    </xf>
    <xf numFmtId="43" fontId="40" fillId="0" borderId="3" xfId="1" applyFont="1" applyFill="1" applyBorder="1" applyAlignment="1">
      <alignment horizontal="right" vertical="top"/>
    </xf>
    <xf numFmtId="37" fontId="41" fillId="0" borderId="0" xfId="4" applyNumberFormat="1" applyFont="1" applyFill="1" applyAlignment="1">
      <alignment horizontal="right" vertical="center"/>
    </xf>
    <xf numFmtId="37" fontId="41" fillId="0" borderId="0" xfId="4" applyNumberFormat="1" applyFont="1" applyFill="1" applyAlignment="1">
      <alignment horizontal="right" vertical="top"/>
    </xf>
    <xf numFmtId="165" fontId="41" fillId="0" borderId="0" xfId="1" applyNumberFormat="1" applyFont="1" applyFill="1" applyAlignment="1">
      <alignment horizontal="right" vertical="top"/>
    </xf>
    <xf numFmtId="165" fontId="41" fillId="0" borderId="0" xfId="1" applyNumberFormat="1" applyFont="1" applyFill="1" applyBorder="1" applyAlignment="1">
      <alignment vertical="top"/>
    </xf>
    <xf numFmtId="165" fontId="41" fillId="0" borderId="0" xfId="1" applyNumberFormat="1" applyFont="1" applyAlignment="1">
      <alignment vertical="top"/>
    </xf>
    <xf numFmtId="165" fontId="41" fillId="0" borderId="0" xfId="1" applyNumberFormat="1" applyFont="1" applyFill="1" applyBorder="1" applyAlignment="1">
      <alignment horizontal="right" vertical="top"/>
    </xf>
    <xf numFmtId="165" fontId="40" fillId="0" borderId="3" xfId="1" applyNumberFormat="1" applyFont="1" applyFill="1" applyBorder="1" applyAlignment="1">
      <alignment vertical="top"/>
    </xf>
    <xf numFmtId="165" fontId="41" fillId="0" borderId="0" xfId="1" applyNumberFormat="1" applyFont="1" applyFill="1" applyAlignment="1">
      <alignment vertical="top"/>
    </xf>
    <xf numFmtId="165" fontId="40" fillId="0" borderId="0" xfId="1" applyNumberFormat="1" applyFont="1" applyFill="1" applyAlignment="1">
      <alignment horizontal="right" vertical="top"/>
    </xf>
    <xf numFmtId="165" fontId="40" fillId="0" borderId="0" xfId="1" applyNumberFormat="1" applyFont="1" applyFill="1" applyBorder="1" applyAlignment="1">
      <alignment vertical="top"/>
    </xf>
    <xf numFmtId="165" fontId="41" fillId="0" borderId="4" xfId="1" applyNumberFormat="1" applyFont="1" applyFill="1" applyBorder="1" applyAlignment="1">
      <alignment vertical="top"/>
    </xf>
    <xf numFmtId="37" fontId="41" fillId="0" borderId="0" xfId="4" applyNumberFormat="1" applyFont="1" applyFill="1" applyBorder="1" applyAlignment="1">
      <alignment horizontal="right" vertical="top"/>
    </xf>
    <xf numFmtId="37" fontId="41" fillId="0" borderId="0" xfId="4" applyNumberFormat="1" applyFont="1" applyFill="1" applyBorder="1">
      <alignment vertical="top"/>
    </xf>
    <xf numFmtId="37" fontId="40" fillId="0" borderId="3" xfId="4" applyNumberFormat="1" applyFont="1" applyFill="1" applyBorder="1">
      <alignment vertical="top"/>
    </xf>
    <xf numFmtId="169" fontId="43" fillId="0" borderId="0" xfId="0" applyNumberFormat="1" applyFont="1" applyBorder="1" applyAlignment="1">
      <alignment horizontal="right" vertical="top"/>
    </xf>
    <xf numFmtId="49" fontId="43" fillId="0" borderId="0" xfId="0" applyNumberFormat="1" applyFont="1" applyBorder="1" applyAlignment="1">
      <alignment horizontal="right" vertical="top"/>
    </xf>
    <xf numFmtId="176" fontId="41" fillId="0" borderId="0" xfId="1" applyNumberFormat="1" applyFont="1" applyFill="1" applyBorder="1" applyAlignment="1">
      <alignment vertical="top"/>
    </xf>
    <xf numFmtId="169" fontId="43" fillId="18" borderId="35" xfId="0" applyNumberFormat="1" applyFont="1" applyFill="1" applyBorder="1" applyAlignment="1">
      <alignment horizontal="right" vertical="top"/>
    </xf>
    <xf numFmtId="177" fontId="59" fillId="0" borderId="0" xfId="1" applyNumberFormat="1" applyFont="1" applyFill="1" applyAlignment="1">
      <alignment horizontal="right"/>
    </xf>
    <xf numFmtId="165" fontId="56" fillId="5" borderId="0" xfId="1" applyNumberFormat="1" applyFont="1" applyFill="1"/>
    <xf numFmtId="165" fontId="51" fillId="0" borderId="0" xfId="6" applyNumberFormat="1" applyFont="1"/>
    <xf numFmtId="165" fontId="57" fillId="0" borderId="0" xfId="1" applyNumberFormat="1" applyFont="1"/>
    <xf numFmtId="165" fontId="59" fillId="0" borderId="0" xfId="0" applyNumberFormat="1" applyFont="1" applyAlignment="1">
      <alignment horizontal="center"/>
    </xf>
    <xf numFmtId="165" fontId="59" fillId="0" borderId="0" xfId="0" applyNumberFormat="1" applyFont="1" applyBorder="1" applyAlignment="1">
      <alignment horizontal="center"/>
    </xf>
    <xf numFmtId="10" fontId="51" fillId="0" borderId="0" xfId="6" applyNumberFormat="1" applyFont="1"/>
    <xf numFmtId="0" fontId="58" fillId="0" borderId="0" xfId="0" applyFont="1" applyFill="1" applyAlignment="1">
      <alignment horizontal="center"/>
    </xf>
    <xf numFmtId="0" fontId="70" fillId="0" borderId="0" xfId="0" applyFont="1" applyAlignment="1"/>
    <xf numFmtId="0" fontId="70" fillId="0" borderId="0" xfId="0" applyFont="1" applyFill="1" applyAlignment="1"/>
    <xf numFmtId="0" fontId="70" fillId="0" borderId="0" xfId="0" applyFont="1" applyBorder="1" applyAlignment="1"/>
    <xf numFmtId="172" fontId="59" fillId="0" borderId="0" xfId="0" applyNumberFormat="1" applyFont="1" applyFill="1" applyAlignment="1">
      <alignment horizontal="right"/>
    </xf>
    <xf numFmtId="0" fontId="53" fillId="0" borderId="0" xfId="0" applyFont="1" applyFill="1"/>
    <xf numFmtId="165" fontId="69" fillId="0" borderId="50" xfId="1" applyNumberFormat="1" applyFont="1" applyBorder="1" applyAlignment="1">
      <alignment horizontal="center" vertical="center" wrapText="1"/>
    </xf>
    <xf numFmtId="0" fontId="73" fillId="0" borderId="50" xfId="0" applyFont="1" applyBorder="1" applyAlignment="1">
      <alignment horizontal="center" vertical="center" wrapText="1"/>
    </xf>
    <xf numFmtId="0" fontId="69" fillId="0" borderId="50" xfId="0" applyFont="1" applyFill="1" applyBorder="1" applyAlignment="1">
      <alignment horizontal="center" vertical="center" wrapText="1"/>
    </xf>
    <xf numFmtId="0" fontId="73" fillId="0" borderId="50" xfId="0" applyFont="1" applyFill="1" applyBorder="1" applyAlignment="1">
      <alignment horizontal="center" vertical="center" wrapText="1"/>
    </xf>
    <xf numFmtId="165" fontId="69" fillId="0" borderId="50" xfId="1" applyNumberFormat="1" applyFont="1" applyFill="1" applyBorder="1" applyAlignment="1">
      <alignment horizontal="center" vertical="center" wrapText="1"/>
    </xf>
    <xf numFmtId="0" fontId="52" fillId="0" borderId="0" xfId="0" applyFont="1" applyFill="1" applyAlignment="1">
      <alignment horizontal="center"/>
    </xf>
    <xf numFmtId="172" fontId="50" fillId="0" borderId="0" xfId="0" applyNumberFormat="1" applyFont="1" applyAlignment="1">
      <alignment horizontal="center" vertical="center" wrapText="1"/>
    </xf>
    <xf numFmtId="0" fontId="59" fillId="0" borderId="0" xfId="0" applyFont="1" applyFill="1" applyAlignment="1">
      <alignment horizontal="center"/>
    </xf>
    <xf numFmtId="172" fontId="59" fillId="0" borderId="0" xfId="0" applyNumberFormat="1" applyFont="1" applyFill="1" applyAlignment="1">
      <alignment horizontal="center"/>
    </xf>
    <xf numFmtId="0" fontId="71" fillId="0" borderId="0" xfId="0" applyFont="1" applyAlignment="1">
      <alignment horizontal="center"/>
    </xf>
    <xf numFmtId="0" fontId="51" fillId="0" borderId="0" xfId="0" applyFont="1" applyFill="1" applyAlignment="1">
      <alignment horizontal="center"/>
    </xf>
    <xf numFmtId="2" fontId="56" fillId="0" borderId="0" xfId="0" applyNumberFormat="1" applyFont="1" applyFill="1" applyAlignment="1">
      <alignment horizontal="center"/>
    </xf>
    <xf numFmtId="0" fontId="79" fillId="0" borderId="0" xfId="0" applyFont="1" applyFill="1" applyAlignment="1">
      <alignment horizontal="center"/>
    </xf>
    <xf numFmtId="0" fontId="60" fillId="0" borderId="0" xfId="0" applyFont="1" applyBorder="1" applyAlignment="1">
      <alignment horizontal="center"/>
    </xf>
    <xf numFmtId="0" fontId="14" fillId="0" borderId="0" xfId="4" applyFont="1" applyBorder="1" applyAlignment="1">
      <alignment horizontal="center" vertical="top"/>
    </xf>
    <xf numFmtId="0" fontId="82" fillId="0" borderId="0" xfId="4" applyFont="1">
      <alignment vertical="top"/>
    </xf>
    <xf numFmtId="0" fontId="82" fillId="0" borderId="0" xfId="4" applyFont="1" applyAlignment="1">
      <alignment horizontal="center" vertical="center"/>
    </xf>
    <xf numFmtId="0" fontId="82" fillId="0" borderId="0" xfId="0" applyFont="1"/>
    <xf numFmtId="0" fontId="82" fillId="0" borderId="0" xfId="0" applyFont="1" applyAlignment="1">
      <alignment horizontal="left"/>
    </xf>
    <xf numFmtId="173" fontId="41" fillId="0" borderId="0" xfId="6" applyNumberFormat="1" applyFont="1" applyFill="1" applyAlignment="1">
      <alignment horizontal="right" vertical="top"/>
    </xf>
    <xf numFmtId="173" fontId="41" fillId="0" borderId="0" xfId="6" applyNumberFormat="1" applyFont="1" applyFill="1" applyBorder="1" applyAlignment="1">
      <alignment horizontal="right" vertical="top"/>
    </xf>
    <xf numFmtId="173" fontId="41" fillId="0" borderId="0" xfId="1" applyNumberFormat="1" applyFont="1" applyFill="1" applyBorder="1" applyAlignment="1">
      <alignment horizontal="right" vertical="top"/>
    </xf>
    <xf numFmtId="173" fontId="41" fillId="0" borderId="0" xfId="6" applyNumberFormat="1" applyFont="1" applyFill="1" applyAlignment="1">
      <alignment vertical="top"/>
    </xf>
    <xf numFmtId="173" fontId="13" fillId="0" borderId="0" xfId="4" applyNumberFormat="1">
      <alignment vertical="top"/>
    </xf>
    <xf numFmtId="173" fontId="13" fillId="0" borderId="0" xfId="4" applyNumberFormat="1" applyFill="1">
      <alignment vertical="top"/>
    </xf>
    <xf numFmtId="173" fontId="35" fillId="0" borderId="0" xfId="4" applyNumberFormat="1" applyFont="1">
      <alignment vertical="top"/>
    </xf>
    <xf numFmtId="173" fontId="37" fillId="0" borderId="0" xfId="1" applyNumberFormat="1" applyFont="1" applyFill="1" applyBorder="1" applyAlignment="1">
      <alignment vertical="top"/>
    </xf>
    <xf numFmtId="173" fontId="37" fillId="0" borderId="0" xfId="6" applyNumberFormat="1" applyFont="1" applyFill="1" applyBorder="1" applyAlignment="1">
      <alignment vertical="top"/>
    </xf>
    <xf numFmtId="173" fontId="46" fillId="0" borderId="0" xfId="1" applyNumberFormat="1" applyFont="1" applyBorder="1" applyProtection="1">
      <protection locked="0"/>
    </xf>
    <xf numFmtId="173" fontId="46" fillId="0" borderId="0" xfId="1" applyNumberFormat="1" applyFont="1" applyBorder="1" applyAlignment="1" applyProtection="1">
      <alignment horizontal="center" vertical="center"/>
      <protection locked="0"/>
    </xf>
    <xf numFmtId="173" fontId="46" fillId="0" borderId="0" xfId="1" applyNumberFormat="1" applyFont="1" applyFill="1" applyBorder="1"/>
    <xf numFmtId="173" fontId="51" fillId="0" borderId="0" xfId="0" applyNumberFormat="1" applyFont="1"/>
    <xf numFmtId="173" fontId="61" fillId="0" borderId="0" xfId="0" applyNumberFormat="1" applyFont="1"/>
    <xf numFmtId="173" fontId="59" fillId="0" borderId="0" xfId="1" applyNumberFormat="1" applyFont="1" applyFill="1" applyAlignment="1">
      <alignment horizontal="right"/>
    </xf>
    <xf numFmtId="173" fontId="59" fillId="0" borderId="3" xfId="1" applyNumberFormat="1" applyFont="1" applyFill="1" applyBorder="1" applyAlignment="1">
      <alignment horizontal="right"/>
    </xf>
    <xf numFmtId="173" fontId="59" fillId="0" borderId="0" xfId="1" applyNumberFormat="1" applyFont="1" applyFill="1" applyBorder="1" applyAlignment="1">
      <alignment horizontal="right"/>
    </xf>
    <xf numFmtId="173" fontId="59" fillId="0" borderId="4" xfId="1" applyNumberFormat="1" applyFont="1" applyFill="1" applyBorder="1" applyAlignment="1">
      <alignment horizontal="right"/>
    </xf>
    <xf numFmtId="173" fontId="59" fillId="0" borderId="5" xfId="1" applyNumberFormat="1" applyFont="1" applyFill="1" applyBorder="1" applyAlignment="1">
      <alignment horizontal="right"/>
    </xf>
    <xf numFmtId="0" fontId="40" fillId="0" borderId="2" xfId="4" applyFont="1" applyFill="1" applyBorder="1">
      <alignment vertical="top"/>
    </xf>
    <xf numFmtId="38" fontId="40" fillId="0" borderId="2" xfId="4" applyNumberFormat="1" applyFont="1" applyFill="1" applyBorder="1" applyAlignment="1">
      <alignment horizontal="right" vertical="center"/>
    </xf>
    <xf numFmtId="38" fontId="40" fillId="0" borderId="2" xfId="5" applyNumberFormat="1" applyFont="1" applyFill="1" applyBorder="1" applyAlignment="1">
      <alignment horizontal="right" vertical="center"/>
    </xf>
    <xf numFmtId="0" fontId="41" fillId="0" borderId="0" xfId="4" applyFont="1" applyFill="1" applyBorder="1" applyAlignment="1">
      <alignment horizontal="right" vertical="center"/>
    </xf>
    <xf numFmtId="0" fontId="40" fillId="0" borderId="0" xfId="4" applyFont="1" applyFill="1" applyAlignment="1">
      <alignment horizontal="right" vertical="center"/>
    </xf>
    <xf numFmtId="49" fontId="43" fillId="0" borderId="33" xfId="0" applyNumberFormat="1" applyFont="1" applyFill="1" applyBorder="1" applyAlignment="1">
      <alignment vertical="top" wrapText="1"/>
    </xf>
    <xf numFmtId="0" fontId="40" fillId="0" borderId="3" xfId="4" applyFont="1" applyFill="1" applyBorder="1">
      <alignment vertical="top"/>
    </xf>
    <xf numFmtId="0" fontId="40" fillId="0" borderId="0" xfId="4" applyFont="1" applyFill="1" applyBorder="1" applyAlignment="1">
      <alignment horizontal="right" vertical="center"/>
    </xf>
    <xf numFmtId="0" fontId="41" fillId="0" borderId="4" xfId="4" applyFont="1" applyFill="1" applyBorder="1">
      <alignment vertical="top"/>
    </xf>
    <xf numFmtId="0" fontId="38" fillId="0" borderId="0" xfId="4" applyFont="1" applyFill="1">
      <alignment vertical="top"/>
    </xf>
    <xf numFmtId="0" fontId="40" fillId="0" borderId="4" xfId="4" applyFont="1" applyFill="1" applyBorder="1">
      <alignment vertical="top"/>
    </xf>
    <xf numFmtId="38" fontId="37" fillId="0" borderId="2" xfId="1" applyNumberFormat="1" applyFont="1" applyFill="1" applyBorder="1" applyAlignment="1">
      <alignment horizontal="right" vertical="center"/>
    </xf>
    <xf numFmtId="0" fontId="19" fillId="0" borderId="21" xfId="4" applyFont="1" applyFill="1" applyBorder="1">
      <alignment vertical="top"/>
    </xf>
    <xf numFmtId="39" fontId="13" fillId="0" borderId="6" xfId="4" applyNumberFormat="1" applyFill="1" applyBorder="1">
      <alignment vertical="top"/>
    </xf>
    <xf numFmtId="0" fontId="18" fillId="0" borderId="12" xfId="4" applyFont="1" applyFill="1" applyBorder="1">
      <alignment vertical="top"/>
    </xf>
    <xf numFmtId="39" fontId="13" fillId="0" borderId="7" xfId="4" applyNumberFormat="1" applyFill="1" applyBorder="1">
      <alignment vertical="top"/>
    </xf>
    <xf numFmtId="0" fontId="13" fillId="0" borderId="7" xfId="4" applyFont="1" applyFill="1" applyBorder="1">
      <alignment vertical="top"/>
    </xf>
    <xf numFmtId="39" fontId="13" fillId="0" borderId="29" xfId="4" applyNumberFormat="1" applyFill="1" applyBorder="1">
      <alignment vertical="top"/>
    </xf>
    <xf numFmtId="0" fontId="19" fillId="0" borderId="13" xfId="4" applyFont="1" applyFill="1" applyBorder="1">
      <alignment vertical="top"/>
    </xf>
    <xf numFmtId="39" fontId="16" fillId="0" borderId="16" xfId="4" applyNumberFormat="1" applyFont="1" applyFill="1" applyBorder="1">
      <alignment vertical="top"/>
    </xf>
    <xf numFmtId="0" fontId="13" fillId="0" borderId="0" xfId="4" applyFill="1" applyBorder="1" applyAlignment="1">
      <alignment vertical="top" wrapText="1"/>
    </xf>
    <xf numFmtId="165" fontId="13" fillId="0" borderId="0" xfId="1" applyNumberFormat="1" applyFont="1" applyFill="1" applyBorder="1" applyAlignment="1">
      <alignment vertical="top" wrapText="1"/>
    </xf>
    <xf numFmtId="0" fontId="13" fillId="0" borderId="0" xfId="4" applyFill="1" applyAlignment="1">
      <alignment vertical="top" wrapText="1"/>
    </xf>
    <xf numFmtId="165" fontId="16" fillId="0" borderId="20" xfId="1" applyNumberFormat="1" applyFont="1" applyFill="1" applyBorder="1" applyAlignment="1">
      <alignment vertical="top"/>
    </xf>
    <xf numFmtId="165" fontId="16" fillId="0" borderId="23" xfId="1" applyNumberFormat="1" applyFont="1" applyFill="1" applyBorder="1" applyAlignment="1">
      <alignment vertical="top"/>
    </xf>
    <xf numFmtId="0" fontId="13" fillId="0" borderId="16" xfId="4" applyFill="1" applyBorder="1">
      <alignment vertical="top"/>
    </xf>
    <xf numFmtId="0" fontId="16" fillId="0" borderId="2" xfId="4" applyFont="1" applyFill="1" applyBorder="1">
      <alignment vertical="top"/>
    </xf>
    <xf numFmtId="38" fontId="16" fillId="0" borderId="2" xfId="4" applyNumberFormat="1" applyFont="1" applyFill="1" applyBorder="1">
      <alignment vertical="top"/>
    </xf>
    <xf numFmtId="0" fontId="16" fillId="0" borderId="0" xfId="4" applyFont="1" applyFill="1">
      <alignment vertical="top"/>
    </xf>
    <xf numFmtId="38" fontId="16" fillId="0" borderId="2" xfId="5" applyNumberFormat="1" applyFont="1" applyFill="1" applyBorder="1">
      <alignment vertical="top"/>
    </xf>
    <xf numFmtId="173" fontId="35" fillId="0" borderId="0" xfId="4" applyNumberFormat="1" applyFont="1" applyFill="1">
      <alignment vertical="top"/>
    </xf>
    <xf numFmtId="38" fontId="40" fillId="0" borderId="2" xfId="4" applyNumberFormat="1" applyFont="1" applyFill="1" applyBorder="1">
      <alignment vertical="top"/>
    </xf>
    <xf numFmtId="38" fontId="40" fillId="0" borderId="2" xfId="5" applyNumberFormat="1" applyFont="1" applyFill="1" applyBorder="1">
      <alignment vertical="top"/>
    </xf>
    <xf numFmtId="169" fontId="43" fillId="0" borderId="35" xfId="0" applyNumberFormat="1" applyFont="1" applyFill="1" applyBorder="1" applyAlignment="1">
      <alignment horizontal="right" vertical="top"/>
    </xf>
    <xf numFmtId="49" fontId="43" fillId="0" borderId="35" xfId="0" applyNumberFormat="1" applyFont="1" applyFill="1" applyBorder="1" applyAlignment="1">
      <alignment horizontal="right" vertical="top"/>
    </xf>
    <xf numFmtId="173" fontId="38" fillId="0" borderId="0" xfId="4" applyNumberFormat="1" applyFont="1" applyFill="1">
      <alignment vertical="top"/>
    </xf>
    <xf numFmtId="38" fontId="37" fillId="0" borderId="2" xfId="1" applyNumberFormat="1" applyFont="1" applyFill="1" applyBorder="1" applyAlignment="1">
      <alignment vertical="top"/>
    </xf>
    <xf numFmtId="165" fontId="35" fillId="0" borderId="0" xfId="4" applyNumberFormat="1" applyFont="1" applyFill="1">
      <alignment vertical="top"/>
    </xf>
    <xf numFmtId="9" fontId="35" fillId="0" borderId="0" xfId="4" applyNumberFormat="1" applyFont="1" applyFill="1" applyBorder="1">
      <alignment vertical="top"/>
    </xf>
    <xf numFmtId="0" fontId="35" fillId="0" borderId="2" xfId="4" applyFont="1" applyFill="1" applyBorder="1">
      <alignment vertical="top"/>
    </xf>
    <xf numFmtId="165" fontId="35" fillId="0" borderId="2" xfId="4" applyNumberFormat="1" applyFont="1" applyFill="1" applyBorder="1">
      <alignment vertical="top"/>
    </xf>
    <xf numFmtId="43" fontId="40" fillId="0" borderId="2" xfId="1" applyFont="1" applyFill="1" applyBorder="1" applyAlignment="1">
      <alignment vertical="top"/>
    </xf>
    <xf numFmtId="49" fontId="43" fillId="0" borderId="0" xfId="0" applyNumberFormat="1" applyFont="1" applyFill="1" applyBorder="1" applyAlignment="1">
      <alignment vertical="top" wrapText="1"/>
    </xf>
    <xf numFmtId="165" fontId="40" fillId="0" borderId="2" xfId="1" applyNumberFormat="1" applyFont="1" applyFill="1" applyBorder="1" applyAlignment="1">
      <alignment vertical="top"/>
    </xf>
    <xf numFmtId="165" fontId="40" fillId="0" borderId="0" xfId="1" applyNumberFormat="1" applyFont="1" applyFill="1" applyAlignment="1">
      <alignment vertical="top"/>
    </xf>
    <xf numFmtId="0" fontId="38" fillId="0" borderId="0" xfId="4" applyFont="1" applyFill="1" applyBorder="1">
      <alignment vertical="top"/>
    </xf>
    <xf numFmtId="38" fontId="40" fillId="0" borderId="2" xfId="4" applyNumberFormat="1" applyFont="1" applyFill="1" applyBorder="1" applyAlignment="1">
      <alignment horizontal="right" vertical="top"/>
    </xf>
    <xf numFmtId="38" fontId="40" fillId="0" borderId="2" xfId="5" applyNumberFormat="1" applyFont="1" applyFill="1" applyBorder="1" applyAlignment="1">
      <alignment horizontal="right" vertical="top"/>
    </xf>
    <xf numFmtId="0" fontId="41" fillId="0" borderId="0" xfId="4" applyFont="1" applyFill="1" applyBorder="1" applyAlignment="1">
      <alignment horizontal="right" vertical="top"/>
    </xf>
    <xf numFmtId="0" fontId="40" fillId="0" borderId="0" xfId="4" applyFont="1" applyFill="1" applyAlignment="1">
      <alignment horizontal="right" vertical="top"/>
    </xf>
    <xf numFmtId="0" fontId="40" fillId="0" borderId="0" xfId="4" applyFont="1" applyFill="1" applyBorder="1" applyAlignment="1">
      <alignment horizontal="right" vertical="top"/>
    </xf>
    <xf numFmtId="173" fontId="46" fillId="0" borderId="0" xfId="1" applyNumberFormat="1" applyFont="1" applyFill="1" applyBorder="1" applyProtection="1">
      <protection locked="0"/>
    </xf>
    <xf numFmtId="173" fontId="46" fillId="0" borderId="2" xfId="1" applyNumberFormat="1" applyFont="1" applyFill="1" applyBorder="1"/>
    <xf numFmtId="173" fontId="46" fillId="0" borderId="2" xfId="1" applyNumberFormat="1" applyFont="1" applyFill="1" applyBorder="1" applyAlignment="1">
      <alignment horizontal="center" vertical="center"/>
    </xf>
    <xf numFmtId="173" fontId="46" fillId="0" borderId="0" xfId="1" applyNumberFormat="1" applyFont="1" applyFill="1" applyBorder="1" applyAlignment="1">
      <alignment horizontal="center" vertical="center"/>
    </xf>
    <xf numFmtId="173" fontId="35" fillId="0" borderId="0" xfId="4" applyNumberFormat="1" applyFont="1" applyFill="1" applyAlignment="1">
      <alignment horizontal="center" vertical="center"/>
    </xf>
    <xf numFmtId="38" fontId="35" fillId="0" borderId="0" xfId="4" applyNumberFormat="1" applyFont="1" applyFill="1" applyBorder="1">
      <alignment vertical="top"/>
    </xf>
    <xf numFmtId="173" fontId="35" fillId="0" borderId="0" xfId="4" applyNumberFormat="1" applyFont="1" applyFill="1" applyBorder="1">
      <alignment vertical="top"/>
    </xf>
    <xf numFmtId="38" fontId="49" fillId="0" borderId="2" xfId="4" applyNumberFormat="1" applyFont="1" applyFill="1" applyBorder="1">
      <alignment vertical="top"/>
    </xf>
    <xf numFmtId="38" fontId="49" fillId="0" borderId="0" xfId="4" applyNumberFormat="1" applyFont="1" applyFill="1">
      <alignment vertical="top"/>
    </xf>
    <xf numFmtId="165" fontId="49" fillId="0" borderId="2" xfId="4" applyNumberFormat="1" applyFont="1" applyFill="1" applyBorder="1">
      <alignment vertical="top"/>
    </xf>
    <xf numFmtId="173" fontId="51" fillId="0" borderId="0" xfId="0" applyNumberFormat="1" applyFont="1" applyFill="1"/>
    <xf numFmtId="0" fontId="65" fillId="0" borderId="0" xfId="0" applyFont="1" applyFill="1" applyAlignment="1">
      <alignment wrapText="1"/>
    </xf>
    <xf numFmtId="165" fontId="65" fillId="0" borderId="0" xfId="1" applyNumberFormat="1" applyFont="1" applyFill="1" applyAlignment="1">
      <alignment horizontal="right" wrapText="1"/>
    </xf>
    <xf numFmtId="165" fontId="66" fillId="0" borderId="2" xfId="0" applyNumberFormat="1" applyFont="1" applyFill="1" applyBorder="1" applyAlignment="1">
      <alignment horizontal="right" wrapText="1"/>
    </xf>
    <xf numFmtId="173" fontId="61" fillId="0" borderId="0" xfId="0" applyNumberFormat="1" applyFont="1" applyFill="1"/>
    <xf numFmtId="0" fontId="61" fillId="0" borderId="0" xfId="0" applyFont="1" applyFill="1" applyBorder="1"/>
    <xf numFmtId="0" fontId="63" fillId="0" borderId="0" xfId="0" applyFont="1" applyFill="1"/>
    <xf numFmtId="172" fontId="59" fillId="0" borderId="0" xfId="0" applyNumberFormat="1" applyFont="1" applyFill="1"/>
    <xf numFmtId="0" fontId="36" fillId="0" borderId="0" xfId="0" applyFont="1" applyFill="1"/>
    <xf numFmtId="165" fontId="13" fillId="0" borderId="7" xfId="4" applyNumberFormat="1" applyFill="1" applyBorder="1">
      <alignment vertical="top"/>
    </xf>
    <xf numFmtId="165" fontId="13" fillId="0" borderId="0" xfId="4" applyNumberFormat="1" applyFill="1" applyBorder="1">
      <alignment vertical="top"/>
    </xf>
    <xf numFmtId="0" fontId="16" fillId="0" borderId="21" xfId="4" applyFont="1" applyFill="1" applyBorder="1" applyAlignment="1">
      <alignment vertical="top" wrapText="1"/>
    </xf>
    <xf numFmtId="165" fontId="16" fillId="0" borderId="0" xfId="4" applyNumberFormat="1" applyFont="1" applyFill="1" applyBorder="1">
      <alignment vertical="top"/>
    </xf>
    <xf numFmtId="165" fontId="13" fillId="0" borderId="28" xfId="4" applyNumberFormat="1" applyFill="1" applyBorder="1">
      <alignment vertical="top"/>
    </xf>
    <xf numFmtId="43" fontId="16" fillId="0" borderId="16" xfId="4" applyNumberFormat="1" applyFont="1" applyFill="1" applyBorder="1">
      <alignment vertical="top"/>
    </xf>
    <xf numFmtId="43" fontId="13" fillId="0" borderId="0" xfId="4" applyNumberFormat="1" applyFill="1" applyBorder="1">
      <alignment vertical="top"/>
    </xf>
    <xf numFmtId="0" fontId="18" fillId="0" borderId="0" xfId="4" applyFont="1" applyFill="1">
      <alignment vertical="top"/>
    </xf>
    <xf numFmtId="38" fontId="13" fillId="0" borderId="0" xfId="4" applyNumberFormat="1" applyFont="1" applyFill="1">
      <alignment vertical="top"/>
    </xf>
    <xf numFmtId="38" fontId="13" fillId="0" borderId="3" xfId="4" applyNumberFormat="1" applyFill="1" applyBorder="1">
      <alignment vertical="top"/>
    </xf>
    <xf numFmtId="9" fontId="35" fillId="0" borderId="0" xfId="6" applyFont="1" applyFill="1" applyAlignment="1">
      <alignment vertical="top"/>
    </xf>
    <xf numFmtId="173" fontId="35" fillId="0" borderId="2" xfId="4" applyNumberFormat="1" applyFont="1" applyFill="1" applyBorder="1">
      <alignment vertical="top"/>
    </xf>
    <xf numFmtId="173" fontId="46" fillId="0" borderId="0" xfId="1" applyNumberFormat="1" applyFont="1" applyFill="1" applyBorder="1" applyAlignment="1" applyProtection="1">
      <alignment horizontal="center" vertical="center"/>
      <protection locked="0"/>
    </xf>
    <xf numFmtId="0" fontId="51" fillId="0" borderId="0" xfId="0" applyFont="1" applyFill="1" applyAlignment="1">
      <alignment wrapText="1"/>
    </xf>
    <xf numFmtId="6" fontId="59" fillId="0" borderId="0" xfId="0" applyNumberFormat="1" applyFont="1" applyFill="1" applyAlignment="1">
      <alignment horizontal="right"/>
    </xf>
    <xf numFmtId="6" fontId="59" fillId="0" borderId="0" xfId="0" applyNumberFormat="1" applyFont="1" applyFill="1" applyAlignment="1">
      <alignment horizontal="center"/>
    </xf>
    <xf numFmtId="173" fontId="13" fillId="0" borderId="0" xfId="4" applyNumberFormat="1" applyFill="1" applyBorder="1">
      <alignment vertical="top"/>
    </xf>
    <xf numFmtId="0" fontId="13" fillId="0" borderId="2" xfId="4" applyFill="1" applyBorder="1">
      <alignment vertical="top"/>
    </xf>
    <xf numFmtId="39" fontId="41" fillId="0" borderId="0" xfId="1" applyNumberFormat="1" applyFont="1" applyFill="1" applyAlignment="1">
      <alignment vertical="top"/>
    </xf>
    <xf numFmtId="165" fontId="56" fillId="0" borderId="0" xfId="1" applyNumberFormat="1" applyFont="1" applyFill="1"/>
    <xf numFmtId="0" fontId="67" fillId="0" borderId="0" xfId="0" applyFont="1" applyFill="1"/>
    <xf numFmtId="0" fontId="51" fillId="0" borderId="42" xfId="0" applyFont="1" applyFill="1" applyBorder="1"/>
    <xf numFmtId="0" fontId="51" fillId="0" borderId="43" xfId="0" applyFont="1" applyFill="1" applyBorder="1"/>
    <xf numFmtId="0" fontId="51" fillId="0" borderId="44" xfId="0" applyFont="1" applyFill="1" applyBorder="1"/>
    <xf numFmtId="0" fontId="58" fillId="0" borderId="0" xfId="0" applyFont="1" applyFill="1"/>
    <xf numFmtId="0" fontId="51" fillId="0" borderId="45" xfId="0" applyFont="1" applyFill="1" applyBorder="1"/>
    <xf numFmtId="0" fontId="51" fillId="0" borderId="46" xfId="0" applyFont="1" applyFill="1" applyBorder="1"/>
    <xf numFmtId="0" fontId="75" fillId="0" borderId="0" xfId="0" applyFont="1" applyFill="1"/>
    <xf numFmtId="0" fontId="71" fillId="0" borderId="0" xfId="0" applyFont="1" applyFill="1"/>
    <xf numFmtId="165" fontId="76" fillId="0" borderId="0" xfId="1" applyNumberFormat="1" applyFont="1" applyFill="1" applyAlignment="1">
      <alignment horizontal="right"/>
    </xf>
    <xf numFmtId="0" fontId="71" fillId="0" borderId="0" xfId="0" applyFont="1" applyFill="1" applyAlignment="1">
      <alignment horizontal="center"/>
    </xf>
    <xf numFmtId="0" fontId="77" fillId="0" borderId="0" xfId="4" applyFont="1" applyBorder="1" applyAlignment="1">
      <alignment vertical="top" wrapText="1"/>
    </xf>
    <xf numFmtId="0" fontId="79" fillId="0" borderId="0" xfId="0" applyFont="1" applyFill="1" applyAlignment="1">
      <alignment horizontal="center"/>
    </xf>
    <xf numFmtId="0" fontId="77" fillId="0" borderId="0" xfId="0" applyFont="1" applyFill="1" applyAlignment="1">
      <alignment horizontal="center"/>
    </xf>
    <xf numFmtId="49" fontId="44" fillId="16" borderId="33" xfId="0" applyNumberFormat="1" applyFont="1" applyFill="1" applyBorder="1" applyAlignment="1">
      <alignment horizontal="center" vertical="top" wrapText="1"/>
    </xf>
    <xf numFmtId="169" fontId="43" fillId="0" borderId="0" xfId="0" applyNumberFormat="1" applyFont="1" applyFill="1" applyBorder="1" applyAlignment="1">
      <alignment horizontal="right" vertical="top"/>
    </xf>
    <xf numFmtId="43" fontId="35" fillId="0" borderId="0" xfId="1" applyFont="1" applyAlignment="1">
      <alignment vertical="top"/>
    </xf>
    <xf numFmtId="43" fontId="35" fillId="0" borderId="0" xfId="1" applyFont="1" applyFill="1" applyAlignment="1">
      <alignment vertical="top"/>
    </xf>
    <xf numFmtId="43" fontId="38" fillId="0" borderId="0" xfId="1" applyFont="1" applyFill="1" applyAlignment="1">
      <alignment vertical="top"/>
    </xf>
    <xf numFmtId="43" fontId="38" fillId="18" borderId="0" xfId="1" applyFont="1" applyFill="1" applyAlignment="1">
      <alignment vertical="top"/>
    </xf>
    <xf numFmtId="43" fontId="46" fillId="0" borderId="0" xfId="1" applyFont="1" applyBorder="1"/>
    <xf numFmtId="43" fontId="46" fillId="0" borderId="0" xfId="1" applyFont="1" applyFill="1" applyBorder="1"/>
    <xf numFmtId="43" fontId="46" fillId="0" borderId="2" xfId="1" applyFont="1" applyFill="1" applyBorder="1"/>
    <xf numFmtId="43" fontId="35" fillId="0" borderId="0" xfId="1" applyFont="1" applyFill="1" applyBorder="1" applyAlignment="1">
      <alignment vertical="top"/>
    </xf>
    <xf numFmtId="43" fontId="41" fillId="0" borderId="0" xfId="1" applyFont="1" applyAlignment="1">
      <alignment horizontal="center" vertical="center"/>
    </xf>
    <xf numFmtId="0" fontId="85" fillId="0" borderId="0" xfId="4" applyFont="1" applyFill="1">
      <alignment vertical="top"/>
    </xf>
    <xf numFmtId="43" fontId="35" fillId="0" borderId="0" xfId="1" applyNumberFormat="1" applyFont="1" applyAlignment="1">
      <alignment vertical="top"/>
    </xf>
    <xf numFmtId="43" fontId="35" fillId="0" borderId="0" xfId="1" applyNumberFormat="1" applyFont="1" applyFill="1" applyAlignment="1">
      <alignment vertical="top"/>
    </xf>
    <xf numFmtId="43" fontId="38" fillId="0" borderId="0" xfId="1" applyFont="1" applyAlignment="1">
      <alignment vertical="top"/>
    </xf>
    <xf numFmtId="43" fontId="11" fillId="0" borderId="0" xfId="1" applyFont="1" applyAlignment="1">
      <alignment vertical="top"/>
    </xf>
    <xf numFmtId="43" fontId="43" fillId="15" borderId="33" xfId="1" applyFont="1" applyFill="1" applyBorder="1" applyAlignment="1">
      <alignment horizontal="center" vertical="top" wrapText="1"/>
    </xf>
    <xf numFmtId="43" fontId="43" fillId="0" borderId="35" xfId="1" applyFont="1" applyBorder="1" applyAlignment="1">
      <alignment horizontal="right" vertical="top"/>
    </xf>
    <xf numFmtId="43" fontId="44" fillId="16" borderId="38" xfId="1" applyFont="1" applyFill="1" applyBorder="1" applyAlignment="1">
      <alignment horizontal="right" vertical="top"/>
    </xf>
    <xf numFmtId="43" fontId="43" fillId="0" borderId="0" xfId="1" applyFont="1" applyBorder="1" applyAlignment="1">
      <alignment horizontal="right" vertical="top"/>
    </xf>
    <xf numFmtId="43" fontId="44" fillId="17" borderId="38" xfId="1" applyFont="1" applyFill="1" applyBorder="1" applyAlignment="1">
      <alignment horizontal="right" vertical="top"/>
    </xf>
    <xf numFmtId="165" fontId="36" fillId="0" borderId="0" xfId="1" applyNumberFormat="1" applyFont="1" applyFill="1" applyAlignment="1">
      <alignment horizontal="right"/>
    </xf>
    <xf numFmtId="43" fontId="86" fillId="18" borderId="0" xfId="1" applyFont="1" applyFill="1"/>
    <xf numFmtId="43" fontId="86" fillId="18" borderId="0" xfId="1" applyFont="1" applyFill="1" applyAlignment="1">
      <alignment horizontal="center"/>
    </xf>
    <xf numFmtId="43" fontId="58" fillId="0" borderId="0" xfId="1" applyFont="1" applyFill="1" applyAlignment="1">
      <alignment horizontal="center"/>
    </xf>
    <xf numFmtId="0" fontId="77" fillId="0" borderId="0" xfId="0" applyFont="1" applyFill="1" applyAlignment="1">
      <alignment horizontal="center"/>
    </xf>
    <xf numFmtId="0" fontId="37" fillId="0" borderId="1" xfId="4" applyFont="1" applyBorder="1" applyAlignment="1">
      <alignment vertical="top"/>
    </xf>
    <xf numFmtId="165" fontId="40" fillId="0" borderId="2" xfId="1" applyNumberFormat="1" applyFont="1" applyFill="1" applyBorder="1" applyAlignment="1">
      <alignment horizontal="right" vertical="top"/>
    </xf>
    <xf numFmtId="165" fontId="69" fillId="18" borderId="50" xfId="1" applyNumberFormat="1" applyFont="1" applyFill="1" applyBorder="1" applyAlignment="1">
      <alignment horizontal="center" vertical="center" wrapText="1"/>
    </xf>
    <xf numFmtId="165" fontId="52" fillId="18" borderId="0" xfId="1" applyNumberFormat="1" applyFont="1" applyFill="1" applyBorder="1" applyAlignment="1">
      <alignment horizontal="center"/>
    </xf>
    <xf numFmtId="165" fontId="59" fillId="18" borderId="0" xfId="1" applyNumberFormat="1" applyFont="1" applyFill="1" applyBorder="1" applyAlignment="1">
      <alignment horizontal="center"/>
    </xf>
    <xf numFmtId="165" fontId="59" fillId="18" borderId="0" xfId="1" applyNumberFormat="1" applyFont="1" applyFill="1"/>
    <xf numFmtId="165" fontId="59" fillId="18" borderId="3" xfId="1" applyNumberFormat="1" applyFont="1" applyFill="1" applyBorder="1"/>
    <xf numFmtId="165" fontId="59" fillId="18" borderId="0" xfId="1" applyNumberFormat="1" applyFont="1" applyFill="1" applyBorder="1"/>
    <xf numFmtId="165" fontId="59" fillId="18" borderId="3" xfId="0" applyNumberFormat="1" applyFont="1" applyFill="1" applyBorder="1" applyAlignment="1">
      <alignment horizontal="right"/>
    </xf>
    <xf numFmtId="165" fontId="59" fillId="18" borderId="4" xfId="1" applyNumberFormat="1" applyFont="1" applyFill="1" applyBorder="1"/>
    <xf numFmtId="165" fontId="59" fillId="18" borderId="5" xfId="1" applyNumberFormat="1" applyFont="1" applyFill="1" applyBorder="1" applyAlignment="1">
      <alignment horizontal="right"/>
    </xf>
    <xf numFmtId="165" fontId="59" fillId="18" borderId="3" xfId="1" applyNumberFormat="1" applyFont="1" applyFill="1" applyBorder="1" applyAlignment="1">
      <alignment horizontal="right"/>
    </xf>
    <xf numFmtId="165" fontId="59" fillId="18" borderId="5" xfId="1" applyNumberFormat="1" applyFont="1" applyFill="1" applyBorder="1"/>
    <xf numFmtId="39" fontId="40" fillId="0" borderId="0" xfId="1" applyNumberFormat="1" applyFont="1" applyFill="1" applyBorder="1" applyAlignment="1">
      <alignment horizontal="right" vertical="top"/>
    </xf>
    <xf numFmtId="39" fontId="40" fillId="0" borderId="0" xfId="1" applyNumberFormat="1" applyFont="1" applyFill="1" applyBorder="1" applyAlignment="1">
      <alignment horizontal="right" vertical="center"/>
    </xf>
    <xf numFmtId="0" fontId="41" fillId="0" borderId="0" xfId="4" applyFont="1" applyBorder="1" applyAlignment="1">
      <alignment horizontal="right" vertical="top"/>
    </xf>
    <xf numFmtId="0" fontId="41" fillId="0" borderId="0" xfId="4" applyFont="1" applyBorder="1" applyAlignment="1">
      <alignment horizontal="right" vertical="center"/>
    </xf>
    <xf numFmtId="0" fontId="0" fillId="20" borderId="0" xfId="0" applyFill="1"/>
    <xf numFmtId="40" fontId="35" fillId="0" borderId="0" xfId="4" applyNumberFormat="1" applyFont="1" applyFill="1">
      <alignment vertical="top"/>
    </xf>
    <xf numFmtId="40" fontId="38" fillId="0" borderId="0" xfId="4" applyNumberFormat="1" applyFont="1" applyFill="1">
      <alignment vertical="top"/>
    </xf>
    <xf numFmtId="0" fontId="11" fillId="0" borderId="0" xfId="0" applyFont="1"/>
    <xf numFmtId="0" fontId="11" fillId="20" borderId="0" xfId="0" applyFont="1" applyFill="1"/>
    <xf numFmtId="43" fontId="52" fillId="0" borderId="0" xfId="1" applyFont="1"/>
    <xf numFmtId="165" fontId="15" fillId="20" borderId="0" xfId="1" applyNumberFormat="1" applyFont="1" applyFill="1"/>
    <xf numFmtId="165" fontId="15" fillId="20" borderId="4" xfId="1" applyNumberFormat="1" applyFont="1" applyFill="1" applyBorder="1"/>
    <xf numFmtId="165" fontId="15" fillId="0" borderId="3" xfId="1" applyNumberFormat="1" applyFont="1" applyBorder="1"/>
    <xf numFmtId="165" fontId="15" fillId="0" borderId="0" xfId="1" applyNumberFormat="1" applyFont="1" applyBorder="1"/>
    <xf numFmtId="165" fontId="36" fillId="0" borderId="0" xfId="1" applyNumberFormat="1" applyFont="1" applyBorder="1" applyAlignment="1">
      <alignment horizontal="center" vertical="top"/>
    </xf>
    <xf numFmtId="165" fontId="37" fillId="0" borderId="1" xfId="1" applyNumberFormat="1" applyFont="1" applyBorder="1" applyAlignment="1">
      <alignment vertical="top"/>
    </xf>
    <xf numFmtId="165" fontId="35" fillId="0" borderId="0" xfId="1" applyNumberFormat="1" applyFont="1" applyFill="1" applyAlignment="1">
      <alignment vertical="top"/>
    </xf>
    <xf numFmtId="165" fontId="40" fillId="0" borderId="3" xfId="1" applyNumberFormat="1" applyFont="1" applyFill="1" applyBorder="1" applyAlignment="1">
      <alignment horizontal="right" vertical="top"/>
    </xf>
    <xf numFmtId="165" fontId="37" fillId="0" borderId="0" xfId="1" applyNumberFormat="1" applyFont="1" applyFill="1" applyBorder="1" applyAlignment="1">
      <alignment vertical="top"/>
    </xf>
    <xf numFmtId="165" fontId="40" fillId="0" borderId="0" xfId="1" applyNumberFormat="1" applyFont="1" applyFill="1" applyBorder="1" applyAlignment="1">
      <alignment horizontal="right" vertical="top"/>
    </xf>
    <xf numFmtId="165" fontId="40" fillId="0" borderId="0" xfId="1" applyNumberFormat="1" applyFont="1" applyFill="1" applyBorder="1" applyAlignment="1">
      <alignment horizontal="right" vertical="center"/>
    </xf>
    <xf numFmtId="165" fontId="35" fillId="0" borderId="0" xfId="1" applyNumberFormat="1" applyFont="1" applyBorder="1" applyAlignment="1">
      <alignment vertical="top"/>
    </xf>
    <xf numFmtId="165" fontId="40" fillId="0" borderId="0" xfId="1" applyNumberFormat="1" applyFont="1" applyAlignment="1">
      <alignment vertical="top"/>
    </xf>
    <xf numFmtId="165" fontId="41" fillId="0" borderId="0" xfId="1" applyNumberFormat="1" applyFont="1" applyAlignment="1">
      <alignment horizontal="right" vertical="top"/>
    </xf>
    <xf numFmtId="165" fontId="35" fillId="0" borderId="0" xfId="1" applyNumberFormat="1" applyFont="1" applyAlignment="1">
      <alignment vertical="top"/>
    </xf>
    <xf numFmtId="165" fontId="41" fillId="0" borderId="0" xfId="1" applyNumberFormat="1" applyFont="1" applyBorder="1" applyAlignment="1">
      <alignment vertical="top"/>
    </xf>
    <xf numFmtId="49" fontId="43" fillId="15" borderId="34" xfId="0" applyNumberFormat="1" applyFont="1" applyFill="1" applyBorder="1" applyAlignment="1">
      <alignment vertical="top" wrapText="1"/>
    </xf>
    <xf numFmtId="49" fontId="43" fillId="15" borderId="36" xfId="0" applyNumberFormat="1" applyFont="1" applyFill="1" applyBorder="1" applyAlignment="1">
      <alignment vertical="top" wrapText="1"/>
    </xf>
    <xf numFmtId="49" fontId="43" fillId="15" borderId="37" xfId="0" applyNumberFormat="1" applyFont="1" applyFill="1" applyBorder="1" applyAlignment="1">
      <alignment vertical="top" wrapText="1"/>
    </xf>
    <xf numFmtId="49" fontId="44" fillId="16" borderId="39" xfId="0" applyNumberFormat="1" applyFont="1" applyFill="1" applyBorder="1" applyAlignment="1">
      <alignment vertical="top" wrapText="1"/>
    </xf>
    <xf numFmtId="49" fontId="44" fillId="16" borderId="40" xfId="0" applyNumberFormat="1" applyFont="1" applyFill="1" applyBorder="1" applyAlignment="1">
      <alignment vertical="top" wrapText="1"/>
    </xf>
    <xf numFmtId="49" fontId="44" fillId="16" borderId="41" xfId="0" applyNumberFormat="1" applyFont="1" applyFill="1" applyBorder="1" applyAlignment="1">
      <alignment vertical="top" wrapText="1"/>
    </xf>
    <xf numFmtId="0" fontId="79" fillId="0" borderId="0" xfId="0" applyFont="1" applyFill="1" applyAlignment="1">
      <alignment horizontal="center"/>
    </xf>
    <xf numFmtId="165" fontId="38" fillId="0" borderId="0" xfId="1" applyNumberFormat="1" applyFont="1" applyFill="1" applyAlignment="1">
      <alignment vertical="top"/>
    </xf>
    <xf numFmtId="165" fontId="38" fillId="0" borderId="0" xfId="1" applyNumberFormat="1" applyFont="1" applyAlignment="1">
      <alignment vertical="top"/>
    </xf>
    <xf numFmtId="0" fontId="74" fillId="0" borderId="0" xfId="0" applyFont="1" applyBorder="1" applyAlignment="1">
      <alignment horizontal="center"/>
    </xf>
    <xf numFmtId="0" fontId="59" fillId="0" borderId="0" xfId="0" applyFont="1" applyBorder="1"/>
    <xf numFmtId="165" fontId="59" fillId="0" borderId="0" xfId="1" applyNumberFormat="1" applyFont="1" applyBorder="1"/>
    <xf numFmtId="2" fontId="56" fillId="5" borderId="0" xfId="0" applyNumberFormat="1" applyFont="1" applyFill="1" applyBorder="1"/>
    <xf numFmtId="0" fontId="74" fillId="0" borderId="0" xfId="0" applyFont="1" applyFill="1" applyBorder="1" applyAlignment="1">
      <alignment horizontal="center"/>
    </xf>
    <xf numFmtId="0" fontId="51" fillId="0" borderId="0" xfId="0" applyFont="1" applyBorder="1" applyAlignment="1"/>
    <xf numFmtId="165" fontId="36" fillId="0" borderId="5" xfId="1" applyNumberFormat="1" applyFont="1" applyFill="1" applyBorder="1" applyAlignment="1">
      <alignment horizontal="right"/>
    </xf>
    <xf numFmtId="165" fontId="36" fillId="0" borderId="0" xfId="0" applyNumberFormat="1" applyFont="1" applyFill="1"/>
    <xf numFmtId="43" fontId="36" fillId="0" borderId="0" xfId="1" applyFont="1" applyFill="1"/>
    <xf numFmtId="0" fontId="71" fillId="0" borderId="0" xfId="0" applyFont="1" applyBorder="1"/>
    <xf numFmtId="0" fontId="59" fillId="0" borderId="0" xfId="0" applyFont="1" applyFill="1" applyBorder="1" applyAlignment="1">
      <alignment horizontal="right"/>
    </xf>
    <xf numFmtId="172" fontId="59" fillId="0" borderId="0" xfId="0" applyNumberFormat="1" applyFont="1" applyFill="1" applyBorder="1" applyAlignment="1">
      <alignment horizontal="right"/>
    </xf>
    <xf numFmtId="172" fontId="59" fillId="0" borderId="0" xfId="0" applyNumberFormat="1" applyFont="1" applyFill="1" applyBorder="1"/>
    <xf numFmtId="0" fontId="75" fillId="0" borderId="0" xfId="0" applyFont="1" applyFill="1" applyBorder="1"/>
    <xf numFmtId="0" fontId="36" fillId="0" borderId="0" xfId="0" applyFont="1" applyFill="1" applyBorder="1"/>
    <xf numFmtId="165" fontId="88" fillId="0" borderId="0" xfId="1" applyNumberFormat="1" applyFont="1" applyFill="1" applyBorder="1" applyAlignment="1">
      <alignment horizontal="right"/>
    </xf>
    <xf numFmtId="172" fontId="50" fillId="0" borderId="0" xfId="0" applyNumberFormat="1" applyFont="1" applyBorder="1" applyAlignment="1">
      <alignment wrapText="1"/>
    </xf>
    <xf numFmtId="0" fontId="72" fillId="0" borderId="0" xfId="0" applyFont="1" applyBorder="1" applyAlignment="1">
      <alignment wrapText="1"/>
    </xf>
    <xf numFmtId="165" fontId="69" fillId="0" borderId="0" xfId="1" applyNumberFormat="1" applyFont="1" applyBorder="1" applyAlignment="1">
      <alignment horizontal="center" wrapText="1"/>
    </xf>
    <xf numFmtId="0" fontId="73" fillId="0" borderId="0" xfId="0" applyFont="1" applyBorder="1" applyAlignment="1">
      <alignment horizontal="center" wrapText="1"/>
    </xf>
    <xf numFmtId="0" fontId="69" fillId="0" borderId="0" xfId="0" applyFont="1" applyFill="1" applyBorder="1" applyAlignment="1">
      <alignment horizontal="center" wrapText="1"/>
    </xf>
    <xf numFmtId="0" fontId="73" fillId="0" borderId="0" xfId="0" applyFont="1" applyFill="1" applyBorder="1" applyAlignment="1">
      <alignment horizontal="center" wrapText="1"/>
    </xf>
    <xf numFmtId="0" fontId="50" fillId="0" borderId="0" xfId="0" applyFont="1" applyFill="1" applyAlignment="1">
      <alignment wrapText="1"/>
    </xf>
    <xf numFmtId="43" fontId="50" fillId="0" borderId="0" xfId="1" applyFont="1" applyFill="1" applyAlignment="1">
      <alignment wrapText="1"/>
    </xf>
    <xf numFmtId="0" fontId="50" fillId="0" borderId="0" xfId="0" applyFont="1" applyAlignment="1">
      <alignment wrapText="1"/>
    </xf>
    <xf numFmtId="0" fontId="69" fillId="0" borderId="12" xfId="0" applyFont="1" applyBorder="1" applyAlignment="1">
      <alignment horizontal="center" wrapText="1"/>
    </xf>
    <xf numFmtId="0" fontId="69" fillId="0" borderId="7" xfId="0" applyFont="1" applyFill="1" applyBorder="1" applyAlignment="1">
      <alignment horizontal="center" wrapText="1"/>
    </xf>
    <xf numFmtId="0" fontId="36" fillId="0" borderId="12" xfId="0" applyFont="1" applyBorder="1"/>
    <xf numFmtId="0" fontId="59" fillId="0" borderId="7" xfId="0" applyFont="1" applyFill="1" applyBorder="1" applyAlignment="1">
      <alignment horizontal="center"/>
    </xf>
    <xf numFmtId="0" fontId="59" fillId="0" borderId="12" xfId="0" applyFont="1" applyBorder="1"/>
    <xf numFmtId="165" fontId="59" fillId="0" borderId="7" xfId="1" applyNumberFormat="1" applyFont="1" applyFill="1" applyBorder="1" applyAlignment="1">
      <alignment horizontal="right"/>
    </xf>
    <xf numFmtId="165" fontId="59" fillId="0" borderId="29" xfId="1" applyNumberFormat="1" applyFont="1" applyFill="1" applyBorder="1" applyAlignment="1">
      <alignment horizontal="right"/>
    </xf>
    <xf numFmtId="0" fontId="36" fillId="0" borderId="12" xfId="0" applyFont="1" applyFill="1" applyBorder="1"/>
    <xf numFmtId="0" fontId="59" fillId="0" borderId="12" xfId="0" applyFont="1" applyFill="1" applyBorder="1"/>
    <xf numFmtId="165" fontId="59" fillId="0" borderId="59" xfId="1" applyNumberFormat="1" applyFont="1" applyFill="1" applyBorder="1" applyAlignment="1">
      <alignment horizontal="right"/>
    </xf>
    <xf numFmtId="165" fontId="36" fillId="0" borderId="11" xfId="1" applyNumberFormat="1" applyFont="1" applyFill="1" applyBorder="1" applyAlignment="1">
      <alignment horizontal="right"/>
    </xf>
    <xf numFmtId="0" fontId="59" fillId="0" borderId="7" xfId="0" applyFont="1" applyFill="1" applyBorder="1"/>
    <xf numFmtId="0" fontId="79" fillId="0" borderId="0" xfId="0" applyFont="1" applyFill="1" applyAlignment="1">
      <alignment horizontal="center"/>
    </xf>
    <xf numFmtId="165" fontId="36" fillId="0" borderId="5" xfId="1" applyNumberFormat="1" applyFont="1" applyFill="1" applyBorder="1"/>
    <xf numFmtId="165" fontId="36" fillId="0" borderId="0" xfId="1" applyNumberFormat="1" applyFont="1" applyBorder="1"/>
    <xf numFmtId="165" fontId="36" fillId="0" borderId="0" xfId="1" applyNumberFormat="1" applyFont="1" applyFill="1" applyBorder="1"/>
    <xf numFmtId="165" fontId="36" fillId="0" borderId="11" xfId="1" applyNumberFormat="1" applyFont="1" applyFill="1" applyBorder="1"/>
    <xf numFmtId="0" fontId="79" fillId="0" borderId="0" xfId="0" applyFont="1" applyFill="1" applyAlignment="1"/>
    <xf numFmtId="42" fontId="59" fillId="0" borderId="0" xfId="1" applyNumberFormat="1" applyFont="1" applyFill="1" applyAlignment="1">
      <alignment horizontal="right"/>
    </xf>
    <xf numFmtId="42" fontId="59" fillId="0" borderId="0" xfId="1" applyNumberFormat="1" applyFont="1" applyFill="1" applyBorder="1" applyAlignment="1">
      <alignment horizontal="right"/>
    </xf>
    <xf numFmtId="42" fontId="59" fillId="0" borderId="3" xfId="1" applyNumberFormat="1" applyFont="1" applyFill="1" applyBorder="1" applyAlignment="1">
      <alignment horizontal="right"/>
    </xf>
    <xf numFmtId="42" fontId="59" fillId="0" borderId="4" xfId="1" applyNumberFormat="1" applyFont="1" applyFill="1" applyBorder="1" applyAlignment="1">
      <alignment horizontal="right"/>
    </xf>
    <xf numFmtId="42" fontId="59" fillId="0" borderId="5" xfId="1" applyNumberFormat="1" applyFont="1" applyFill="1" applyBorder="1" applyAlignment="1">
      <alignment horizontal="right"/>
    </xf>
    <xf numFmtId="41" fontId="59" fillId="0" borderId="0" xfId="1" applyNumberFormat="1" applyFont="1" applyFill="1" applyAlignment="1">
      <alignment horizontal="right"/>
    </xf>
    <xf numFmtId="42" fontId="59" fillId="0" borderId="3" xfId="1" applyNumberFormat="1" applyFont="1" applyBorder="1" applyAlignment="1">
      <alignment horizontal="right"/>
    </xf>
    <xf numFmtId="42" fontId="59" fillId="0" borderId="5" xfId="1" applyNumberFormat="1" applyFont="1" applyFill="1" applyBorder="1"/>
    <xf numFmtId="0" fontId="90" fillId="0" borderId="12" xfId="0" applyFont="1" applyFill="1" applyBorder="1" applyAlignment="1">
      <alignment horizontal="center"/>
    </xf>
    <xf numFmtId="0" fontId="90" fillId="0" borderId="0" xfId="0" applyFont="1" applyFill="1" applyBorder="1" applyAlignment="1">
      <alignment horizontal="center"/>
    </xf>
    <xf numFmtId="0" fontId="90" fillId="0" borderId="7" xfId="0" applyFont="1" applyFill="1" applyBorder="1" applyAlignment="1">
      <alignment horizontal="center"/>
    </xf>
    <xf numFmtId="165" fontId="36" fillId="0" borderId="7" xfId="1" applyNumberFormat="1" applyFont="1" applyFill="1" applyBorder="1"/>
    <xf numFmtId="0" fontId="15" fillId="0" borderId="0" xfId="0" applyFont="1" applyFill="1" applyAlignment="1">
      <alignment horizontal="center"/>
    </xf>
    <xf numFmtId="0" fontId="15" fillId="0" borderId="0" xfId="0" applyFont="1" applyAlignment="1">
      <alignment horizontal="center"/>
    </xf>
    <xf numFmtId="165" fontId="52" fillId="0" borderId="0" xfId="1" applyNumberFormat="1" applyFont="1" applyAlignment="1">
      <alignment horizontal="center"/>
    </xf>
    <xf numFmtId="0" fontId="91" fillId="0" borderId="0" xfId="0" applyFont="1" applyAlignment="1">
      <alignment horizontal="center"/>
    </xf>
    <xf numFmtId="43" fontId="57" fillId="0" borderId="0" xfId="1" applyFont="1" applyFill="1" applyAlignment="1">
      <alignment horizontal="left"/>
    </xf>
    <xf numFmtId="0" fontId="57" fillId="0" borderId="0" xfId="0" applyFont="1" applyFill="1" applyAlignment="1">
      <alignment horizontal="left"/>
    </xf>
    <xf numFmtId="0" fontId="57" fillId="0" borderId="0" xfId="0" applyFont="1" applyAlignment="1">
      <alignment horizontal="left"/>
    </xf>
    <xf numFmtId="0" fontId="91" fillId="0" borderId="0" xfId="0" applyFont="1" applyFill="1" applyAlignment="1">
      <alignment horizontal="center"/>
    </xf>
    <xf numFmtId="0" fontId="0" fillId="0" borderId="0" xfId="0" applyBorder="1"/>
    <xf numFmtId="0" fontId="0" fillId="5" borderId="17" xfId="0" applyFill="1" applyBorder="1"/>
    <xf numFmtId="3" fontId="0" fillId="0" borderId="0" xfId="0" applyNumberFormat="1" applyBorder="1"/>
    <xf numFmtId="41" fontId="92" fillId="0" borderId="0" xfId="10" applyNumberFormat="1" applyBorder="1" applyAlignment="1" applyProtection="1">
      <alignment horizontal="right" vertical="top"/>
      <protection locked="0"/>
    </xf>
    <xf numFmtId="41" fontId="0" fillId="0" borderId="0" xfId="0" applyNumberFormat="1" applyBorder="1"/>
    <xf numFmtId="173" fontId="11" fillId="0" borderId="0" xfId="6" applyNumberFormat="1" applyFont="1" applyBorder="1"/>
    <xf numFmtId="10" fontId="11" fillId="5" borderId="18" xfId="6" applyNumberFormat="1" applyFill="1" applyBorder="1"/>
    <xf numFmtId="174" fontId="0" fillId="0" borderId="0" xfId="0" applyNumberFormat="1" applyBorder="1"/>
    <xf numFmtId="0" fontId="0" fillId="0" borderId="19" xfId="0" applyBorder="1"/>
    <xf numFmtId="0" fontId="59" fillId="0" borderId="0" xfId="0" quotePrefix="1" applyFont="1" applyFill="1" applyBorder="1" applyAlignment="1">
      <alignment horizontal="right"/>
    </xf>
    <xf numFmtId="10" fontId="11" fillId="5" borderId="19" xfId="6" applyNumberFormat="1" applyFill="1" applyBorder="1"/>
    <xf numFmtId="169" fontId="43" fillId="0" borderId="60" xfId="0" applyNumberFormat="1" applyFont="1" applyBorder="1" applyAlignment="1">
      <alignment horizontal="right" vertical="top"/>
    </xf>
    <xf numFmtId="49" fontId="43" fillId="0" borderId="60" xfId="0" applyNumberFormat="1" applyFont="1" applyBorder="1" applyAlignment="1">
      <alignment horizontal="right" vertical="top"/>
    </xf>
    <xf numFmtId="169" fontId="11" fillId="0" borderId="3" xfId="0" applyNumberFormat="1" applyFont="1" applyBorder="1" applyAlignment="1">
      <alignment vertical="top"/>
    </xf>
    <xf numFmtId="169" fontId="0" fillId="0" borderId="3" xfId="0" applyNumberFormat="1" applyBorder="1"/>
    <xf numFmtId="0" fontId="11" fillId="0" borderId="0" xfId="0" applyFont="1" applyFill="1" applyAlignment="1">
      <alignment vertical="top"/>
    </xf>
    <xf numFmtId="49" fontId="43" fillId="0" borderId="33" xfId="0" applyNumberFormat="1" applyFont="1" applyFill="1" applyBorder="1" applyAlignment="1">
      <alignment horizontal="center" vertical="top" wrapText="1"/>
    </xf>
    <xf numFmtId="169" fontId="11" fillId="0" borderId="0" xfId="0" applyNumberFormat="1" applyFont="1" applyFill="1" applyAlignment="1">
      <alignment vertical="top"/>
    </xf>
    <xf numFmtId="49" fontId="43" fillId="0" borderId="0" xfId="0" applyNumberFormat="1" applyFont="1" applyFill="1" applyBorder="1" applyAlignment="1">
      <alignment horizontal="center" vertical="top" wrapText="1"/>
    </xf>
    <xf numFmtId="49" fontId="43" fillId="0" borderId="0" xfId="0" applyNumberFormat="1" applyFont="1" applyFill="1" applyBorder="1" applyAlignment="1">
      <alignment horizontal="right" vertical="top"/>
    </xf>
    <xf numFmtId="41" fontId="0" fillId="0" borderId="18" xfId="0" applyNumberFormat="1" applyBorder="1"/>
    <xf numFmtId="49" fontId="43" fillId="15" borderId="36" xfId="0" applyNumberFormat="1" applyFont="1" applyFill="1" applyBorder="1" applyAlignment="1">
      <alignment vertical="top" wrapText="1"/>
    </xf>
    <xf numFmtId="43" fontId="40" fillId="0" borderId="0" xfId="1" applyFont="1" applyFill="1" applyAlignment="1">
      <alignment vertical="top"/>
    </xf>
    <xf numFmtId="169" fontId="43" fillId="0" borderId="0" xfId="51" applyNumberFormat="1" applyFont="1" applyBorder="1" applyAlignment="1">
      <alignment horizontal="right" vertical="top"/>
    </xf>
    <xf numFmtId="0" fontId="11" fillId="0" borderId="0" xfId="51" applyFont="1" applyAlignment="1">
      <alignment vertical="top"/>
    </xf>
    <xf numFmtId="49" fontId="43" fillId="15" borderId="33" xfId="51" applyNumberFormat="1" applyFont="1" applyFill="1" applyBorder="1" applyAlignment="1">
      <alignment horizontal="center" vertical="top" wrapText="1"/>
    </xf>
    <xf numFmtId="49" fontId="43" fillId="15" borderId="33" xfId="51" applyNumberFormat="1" applyFont="1" applyFill="1" applyBorder="1" applyAlignment="1">
      <alignment vertical="top" wrapText="1"/>
    </xf>
    <xf numFmtId="169" fontId="43" fillId="0" borderId="35" xfId="51" applyNumberFormat="1" applyFont="1" applyBorder="1" applyAlignment="1">
      <alignment horizontal="right" vertical="top"/>
    </xf>
    <xf numFmtId="49" fontId="43" fillId="0" borderId="35" xfId="51" applyNumberFormat="1" applyFont="1" applyBorder="1" applyAlignment="1">
      <alignment horizontal="right" vertical="top"/>
    </xf>
    <xf numFmtId="169" fontId="44" fillId="17" borderId="38" xfId="51" applyNumberFormat="1" applyFont="1" applyFill="1" applyBorder="1" applyAlignment="1">
      <alignment horizontal="right" vertical="top"/>
    </xf>
    <xf numFmtId="49" fontId="44" fillId="16" borderId="33" xfId="51" applyNumberFormat="1" applyFont="1" applyFill="1" applyBorder="1" applyAlignment="1">
      <alignment vertical="top" wrapText="1"/>
    </xf>
    <xf numFmtId="169" fontId="44" fillId="16" borderId="38" xfId="51" applyNumberFormat="1" applyFont="1" applyFill="1" applyBorder="1" applyAlignment="1">
      <alignment horizontal="right" vertical="top"/>
    </xf>
    <xf numFmtId="49" fontId="44" fillId="16" borderId="38" xfId="51" applyNumberFormat="1" applyFont="1" applyFill="1" applyBorder="1" applyAlignment="1">
      <alignment horizontal="right" vertical="top"/>
    </xf>
    <xf numFmtId="49" fontId="44" fillId="0" borderId="32" xfId="51" applyNumberFormat="1" applyFont="1" applyBorder="1" applyAlignment="1">
      <alignment horizontal="left" vertical="top" wrapText="1"/>
    </xf>
    <xf numFmtId="49" fontId="44" fillId="16" borderId="40" xfId="51" applyNumberFormat="1" applyFont="1" applyFill="1" applyBorder="1" applyAlignment="1">
      <alignment vertical="top" wrapText="1"/>
    </xf>
    <xf numFmtId="49" fontId="44" fillId="17" borderId="40" xfId="51" applyNumberFormat="1" applyFont="1" applyFill="1" applyBorder="1" applyAlignment="1">
      <alignment vertical="top" wrapText="1"/>
    </xf>
    <xf numFmtId="43" fontId="37" fillId="0" borderId="0" xfId="1" applyFont="1" applyFill="1" applyBorder="1" applyAlignment="1">
      <alignment horizontal="right" vertical="center"/>
    </xf>
    <xf numFmtId="43" fontId="40" fillId="0" borderId="0" xfId="1" applyFont="1" applyAlignment="1">
      <alignment horizontal="center" vertical="center"/>
    </xf>
    <xf numFmtId="43" fontId="40" fillId="0" borderId="0" xfId="1" applyFont="1" applyAlignment="1">
      <alignment vertical="top"/>
    </xf>
    <xf numFmtId="49" fontId="43" fillId="15" borderId="33" xfId="51" applyNumberFormat="1" applyFont="1" applyFill="1" applyBorder="1" applyAlignment="1">
      <alignment vertical="top" wrapText="1"/>
    </xf>
    <xf numFmtId="169" fontId="43" fillId="0" borderId="35" xfId="51" applyNumberFormat="1" applyFont="1" applyBorder="1" applyAlignment="1">
      <alignment horizontal="right" vertical="top"/>
    </xf>
    <xf numFmtId="49" fontId="43" fillId="0" borderId="35" xfId="51" applyNumberFormat="1" applyFont="1" applyBorder="1" applyAlignment="1">
      <alignment horizontal="right" vertical="top"/>
    </xf>
    <xf numFmtId="0" fontId="79" fillId="0" borderId="0" xfId="0" applyFont="1" applyFill="1" applyAlignment="1">
      <alignment horizontal="center"/>
    </xf>
    <xf numFmtId="38" fontId="40" fillId="0" borderId="4" xfId="4" applyNumberFormat="1" applyFont="1" applyFill="1" applyBorder="1">
      <alignment vertical="top"/>
    </xf>
    <xf numFmtId="165" fontId="59" fillId="0" borderId="0" xfId="0" applyNumberFormat="1" applyFont="1"/>
    <xf numFmtId="40" fontId="41" fillId="0" borderId="0" xfId="4" applyNumberFormat="1" applyFont="1" applyFill="1">
      <alignment vertical="top"/>
    </xf>
    <xf numFmtId="2" fontId="111" fillId="5" borderId="0" xfId="0" applyNumberFormat="1" applyFont="1" applyFill="1"/>
    <xf numFmtId="2" fontId="111" fillId="0" borderId="0" xfId="0" applyNumberFormat="1" applyFont="1" applyFill="1"/>
    <xf numFmtId="9" fontId="51" fillId="0" borderId="0" xfId="6" applyFont="1"/>
    <xf numFmtId="169" fontId="43" fillId="18" borderId="35" xfId="51" applyNumberFormat="1" applyFont="1" applyFill="1" applyBorder="1" applyAlignment="1">
      <alignment horizontal="right" vertical="top"/>
    </xf>
    <xf numFmtId="169" fontId="43" fillId="20" borderId="35" xfId="51" applyNumberFormat="1" applyFont="1" applyFill="1" applyBorder="1" applyAlignment="1">
      <alignment horizontal="right" vertical="top"/>
    </xf>
    <xf numFmtId="169" fontId="43" fillId="19" borderId="35" xfId="51" applyNumberFormat="1" applyFont="1" applyFill="1" applyBorder="1" applyAlignment="1">
      <alignment horizontal="right" vertical="top"/>
    </xf>
    <xf numFmtId="40" fontId="41" fillId="0" borderId="0" xfId="4" applyNumberFormat="1" applyFont="1" applyFill="1" applyBorder="1">
      <alignment vertical="top"/>
    </xf>
    <xf numFmtId="43" fontId="35" fillId="0" borderId="0" xfId="4" applyNumberFormat="1" applyFont="1" applyFill="1">
      <alignment vertical="top"/>
    </xf>
    <xf numFmtId="177" fontId="51" fillId="0" borderId="0" xfId="0" applyNumberFormat="1" applyFont="1" applyFill="1" applyAlignment="1">
      <alignment horizontal="left"/>
    </xf>
    <xf numFmtId="177" fontId="51" fillId="0" borderId="0" xfId="0" applyNumberFormat="1" applyFont="1" applyFill="1"/>
    <xf numFmtId="177" fontId="69" fillId="0" borderId="50" xfId="1" applyNumberFormat="1" applyFont="1" applyFill="1" applyBorder="1" applyAlignment="1">
      <alignment horizontal="center" vertical="center" wrapText="1"/>
    </xf>
    <xf numFmtId="177" fontId="52" fillId="0" borderId="0" xfId="1" applyNumberFormat="1" applyFont="1" applyFill="1" applyBorder="1" applyAlignment="1">
      <alignment horizontal="center"/>
    </xf>
    <xf numFmtId="177" fontId="59" fillId="0" borderId="0" xfId="1" applyNumberFormat="1" applyFont="1" applyFill="1" applyBorder="1" applyAlignment="1">
      <alignment horizontal="center"/>
    </xf>
    <xf numFmtId="177" fontId="59" fillId="0" borderId="0" xfId="1" applyNumberFormat="1" applyFont="1" applyFill="1"/>
    <xf numFmtId="177" fontId="59" fillId="0" borderId="3" xfId="1" applyNumberFormat="1" applyFont="1" applyFill="1" applyBorder="1" applyAlignment="1">
      <alignment horizontal="right"/>
    </xf>
    <xf numFmtId="177" fontId="59" fillId="0" borderId="0" xfId="1" applyNumberFormat="1" applyFont="1" applyFill="1" applyBorder="1"/>
    <xf numFmtId="177" fontId="59" fillId="0" borderId="5" xfId="1" applyNumberFormat="1" applyFont="1" applyFill="1" applyBorder="1" applyAlignment="1">
      <alignment horizontal="right"/>
    </xf>
    <xf numFmtId="177" fontId="59" fillId="0" borderId="5" xfId="1" applyNumberFormat="1" applyFont="1" applyFill="1" applyBorder="1"/>
    <xf numFmtId="177" fontId="111" fillId="0" borderId="0" xfId="0" applyNumberFormat="1" applyFont="1" applyFill="1"/>
    <xf numFmtId="177" fontId="51" fillId="0" borderId="0" xfId="1" applyNumberFormat="1" applyFont="1"/>
    <xf numFmtId="177" fontId="69" fillId="0" borderId="50" xfId="0" applyNumberFormat="1" applyFont="1" applyFill="1" applyBorder="1" applyAlignment="1">
      <alignment horizontal="center" vertical="center" wrapText="1"/>
    </xf>
    <xf numFmtId="177" fontId="52" fillId="0" borderId="0" xfId="0" applyNumberFormat="1" applyFont="1" applyFill="1" applyBorder="1" applyAlignment="1">
      <alignment horizontal="center"/>
    </xf>
    <xf numFmtId="177" fontId="59" fillId="0" borderId="0" xfId="1" applyNumberFormat="1" applyFont="1" applyFill="1" applyBorder="1" applyAlignment="1">
      <alignment horizontal="right"/>
    </xf>
    <xf numFmtId="177" fontId="59" fillId="0" borderId="4" xfId="1" applyNumberFormat="1" applyFont="1" applyFill="1" applyBorder="1" applyAlignment="1">
      <alignment horizontal="right"/>
    </xf>
    <xf numFmtId="177" fontId="59" fillId="0" borderId="0" xfId="0" applyNumberFormat="1" applyFont="1" applyFill="1"/>
    <xf numFmtId="177" fontId="50" fillId="0" borderId="0" xfId="0" applyNumberFormat="1" applyFont="1" applyFill="1" applyAlignment="1">
      <alignment horizontal="center"/>
    </xf>
    <xf numFmtId="177" fontId="59" fillId="0" borderId="0" xfId="0" applyNumberFormat="1" applyFont="1" applyFill="1" applyBorder="1" applyAlignment="1">
      <alignment horizontal="center"/>
    </xf>
    <xf numFmtId="177" fontId="50" fillId="0" borderId="0" xfId="1" applyNumberFormat="1" applyFont="1" applyFill="1" applyAlignment="1">
      <alignment horizontal="center"/>
    </xf>
    <xf numFmtId="177" fontId="51" fillId="0" borderId="0" xfId="1" applyNumberFormat="1" applyFont="1" applyFill="1" applyAlignment="1">
      <alignment horizontal="left"/>
    </xf>
    <xf numFmtId="177" fontId="51" fillId="0" borderId="0" xfId="1" applyNumberFormat="1" applyFont="1" applyFill="1"/>
    <xf numFmtId="177" fontId="55" fillId="0" borderId="0" xfId="0" applyNumberFormat="1" applyFont="1" applyFill="1" applyBorder="1" applyAlignment="1">
      <alignment horizontal="center"/>
    </xf>
    <xf numFmtId="177" fontId="74" fillId="0" borderId="0" xfId="0" applyNumberFormat="1" applyFont="1" applyFill="1" applyAlignment="1">
      <alignment horizontal="center"/>
    </xf>
    <xf numFmtId="177" fontId="79" fillId="0" borderId="0" xfId="0" applyNumberFormat="1" applyFont="1" applyFill="1" applyAlignment="1">
      <alignment horizontal="center"/>
    </xf>
    <xf numFmtId="177" fontId="37" fillId="0" borderId="0" xfId="0" applyNumberFormat="1" applyFont="1" applyFill="1" applyAlignment="1">
      <alignment horizontal="center"/>
    </xf>
    <xf numFmtId="177" fontId="52" fillId="0" borderId="0" xfId="0" applyNumberFormat="1" applyFont="1" applyFill="1"/>
    <xf numFmtId="177" fontId="51" fillId="0" borderId="0" xfId="0" applyNumberFormat="1" applyFont="1" applyAlignment="1"/>
    <xf numFmtId="177" fontId="51" fillId="0" borderId="0" xfId="0" applyNumberFormat="1" applyFont="1" applyAlignment="1">
      <alignment horizontal="center"/>
    </xf>
    <xf numFmtId="177" fontId="77" fillId="0" borderId="0" xfId="0" applyNumberFormat="1" applyFont="1" applyFill="1" applyAlignment="1">
      <alignment horizontal="center"/>
    </xf>
    <xf numFmtId="177" fontId="59" fillId="0" borderId="0" xfId="0" applyNumberFormat="1" applyFont="1" applyAlignment="1">
      <alignment horizontal="center"/>
    </xf>
    <xf numFmtId="177" fontId="59" fillId="0" borderId="0" xfId="0" applyNumberFormat="1" applyFont="1" applyBorder="1" applyAlignment="1">
      <alignment horizontal="center"/>
    </xf>
    <xf numFmtId="177" fontId="58" fillId="0" borderId="0" xfId="1" applyNumberFormat="1" applyFont="1" applyFill="1" applyAlignment="1">
      <alignment horizontal="center"/>
    </xf>
    <xf numFmtId="177" fontId="50" fillId="0" borderId="0" xfId="0" applyNumberFormat="1" applyFont="1" applyFill="1"/>
    <xf numFmtId="177" fontId="37" fillId="0" borderId="0" xfId="1" applyNumberFormat="1" applyFont="1" applyFill="1" applyAlignment="1">
      <alignment horizontal="center"/>
    </xf>
    <xf numFmtId="177" fontId="69" fillId="0" borderId="50" xfId="1" applyNumberFormat="1" applyFont="1" applyBorder="1" applyAlignment="1">
      <alignment horizontal="center" vertical="center" wrapText="1"/>
    </xf>
    <xf numFmtId="177" fontId="52" fillId="0" borderId="0" xfId="1" applyNumberFormat="1" applyFont="1" applyBorder="1" applyAlignment="1">
      <alignment horizontal="center"/>
    </xf>
    <xf numFmtId="177" fontId="59" fillId="0" borderId="0" xfId="1" applyNumberFormat="1" applyFont="1" applyBorder="1" applyAlignment="1">
      <alignment horizontal="center"/>
    </xf>
    <xf numFmtId="177" fontId="59" fillId="0" borderId="3" xfId="1" applyNumberFormat="1" applyFont="1" applyBorder="1" applyAlignment="1">
      <alignment horizontal="right"/>
    </xf>
    <xf numFmtId="177" fontId="59" fillId="0" borderId="0" xfId="1" applyNumberFormat="1" applyFont="1" applyBorder="1" applyAlignment="1">
      <alignment horizontal="right"/>
    </xf>
    <xf numFmtId="177" fontId="59" fillId="0" borderId="0" xfId="1" applyNumberFormat="1" applyFont="1" applyAlignment="1">
      <alignment horizontal="right"/>
    </xf>
    <xf numFmtId="177" fontId="59" fillId="0" borderId="4" xfId="1" applyNumberFormat="1" applyFont="1" applyBorder="1" applyAlignment="1">
      <alignment horizontal="right"/>
    </xf>
    <xf numFmtId="177" fontId="59" fillId="0" borderId="0" xfId="1" applyNumberFormat="1" applyFont="1"/>
    <xf numFmtId="177" fontId="52" fillId="0" borderId="0" xfId="1" applyNumberFormat="1" applyFont="1"/>
    <xf numFmtId="177" fontId="111" fillId="5" borderId="0" xfId="1" applyNumberFormat="1" applyFont="1" applyFill="1"/>
    <xf numFmtId="177" fontId="51" fillId="0" borderId="0" xfId="6" applyNumberFormat="1" applyFont="1"/>
    <xf numFmtId="0" fontId="79" fillId="0" borderId="0" xfId="0" applyFont="1" applyFill="1" applyAlignment="1">
      <alignment horizontal="center"/>
    </xf>
    <xf numFmtId="165" fontId="59" fillId="0" borderId="0" xfId="1" applyNumberFormat="1" applyFont="1" applyFill="1" applyAlignment="1">
      <alignment horizontal="left" indent="2"/>
    </xf>
    <xf numFmtId="165" fontId="111" fillId="0" borderId="0" xfId="1" applyNumberFormat="1" applyFont="1" applyFill="1"/>
    <xf numFmtId="165" fontId="51" fillId="0" borderId="0" xfId="1" applyNumberFormat="1" applyFont="1" applyFill="1" applyAlignment="1"/>
    <xf numFmtId="165" fontId="51" fillId="0" borderId="0" xfId="1" applyNumberFormat="1" applyFont="1" applyAlignment="1"/>
    <xf numFmtId="165" fontId="51" fillId="0" borderId="0" xfId="1" applyNumberFormat="1" applyFont="1" applyAlignment="1">
      <alignment horizontal="center"/>
    </xf>
    <xf numFmtId="165" fontId="41" fillId="0" borderId="0" xfId="4" applyNumberFormat="1" applyFont="1" applyFill="1" applyBorder="1" applyAlignment="1">
      <alignment horizontal="right" vertical="center"/>
    </xf>
    <xf numFmtId="37" fontId="40" fillId="0" borderId="0" xfId="4" applyNumberFormat="1" applyFont="1" applyFill="1" applyAlignment="1">
      <alignment horizontal="right" vertical="top"/>
    </xf>
    <xf numFmtId="38" fontId="41" fillId="0" borderId="0" xfId="1" applyNumberFormat="1" applyFont="1" applyFill="1" applyBorder="1" applyAlignment="1">
      <alignment vertical="top"/>
    </xf>
    <xf numFmtId="173" fontId="46" fillId="0" borderId="0" xfId="1" applyNumberFormat="1" applyFont="1" applyBorder="1"/>
    <xf numFmtId="173" fontId="46" fillId="0" borderId="2" xfId="1" applyNumberFormat="1" applyFont="1" applyBorder="1"/>
    <xf numFmtId="173" fontId="49" fillId="0" borderId="2" xfId="4" applyNumberFormat="1" applyFont="1" applyFill="1" applyBorder="1">
      <alignment vertical="top"/>
    </xf>
    <xf numFmtId="165" fontId="59" fillId="0" borderId="0" xfId="0" applyNumberFormat="1" applyFont="1" applyFill="1" applyBorder="1" applyAlignment="1">
      <alignment horizontal="center"/>
    </xf>
    <xf numFmtId="165" fontId="52" fillId="0" borderId="0" xfId="0" applyNumberFormat="1" applyFont="1" applyFill="1"/>
    <xf numFmtId="165" fontId="58" fillId="0" borderId="0" xfId="1" applyNumberFormat="1" applyFont="1" applyFill="1" applyAlignment="1">
      <alignment horizontal="center"/>
    </xf>
    <xf numFmtId="43" fontId="46" fillId="0" borderId="0" xfId="1" applyNumberFormat="1" applyFont="1" applyBorder="1"/>
    <xf numFmtId="43" fontId="46" fillId="0" borderId="0" xfId="1" applyNumberFormat="1" applyFont="1" applyFill="1" applyBorder="1"/>
    <xf numFmtId="43" fontId="46" fillId="0" borderId="2" xfId="1" applyNumberFormat="1" applyFont="1" applyFill="1" applyBorder="1"/>
    <xf numFmtId="0" fontId="35" fillId="0" borderId="18" xfId="4" applyFont="1" applyFill="1" applyBorder="1">
      <alignment vertical="top"/>
    </xf>
    <xf numFmtId="0" fontId="35" fillId="0" borderId="19" xfId="4" applyFont="1" applyFill="1" applyBorder="1">
      <alignment vertical="top"/>
    </xf>
    <xf numFmtId="40" fontId="41" fillId="0" borderId="0" xfId="4" applyNumberFormat="1" applyFont="1" applyFill="1" applyAlignment="1">
      <alignment horizontal="center" vertical="center"/>
    </xf>
    <xf numFmtId="43" fontId="40" fillId="0" borderId="0" xfId="1" applyFont="1" applyFill="1" applyBorder="1" applyAlignment="1">
      <alignment horizontal="center" vertical="center"/>
    </xf>
    <xf numFmtId="43" fontId="41" fillId="0" borderId="0" xfId="1" applyFont="1" applyBorder="1" applyAlignment="1">
      <alignment horizontal="center" vertical="center"/>
    </xf>
    <xf numFmtId="43" fontId="41" fillId="0" borderId="0" xfId="1" applyFont="1" applyFill="1" applyBorder="1" applyAlignment="1">
      <alignment horizontal="center" vertical="center"/>
    </xf>
    <xf numFmtId="43" fontId="41" fillId="0" borderId="0" xfId="1" applyFont="1" applyFill="1" applyAlignment="1">
      <alignment horizontal="center" vertical="center"/>
    </xf>
    <xf numFmtId="173" fontId="46" fillId="0" borderId="0" xfId="6" applyNumberFormat="1" applyFont="1" applyBorder="1"/>
    <xf numFmtId="173" fontId="46" fillId="0" borderId="2" xfId="6" applyNumberFormat="1" applyFont="1" applyFill="1" applyBorder="1"/>
    <xf numFmtId="173" fontId="46" fillId="0" borderId="0" xfId="6" applyNumberFormat="1" applyFont="1" applyFill="1" applyBorder="1"/>
    <xf numFmtId="2" fontId="35" fillId="0" borderId="0" xfId="4" applyNumberFormat="1" applyFont="1" applyFill="1">
      <alignment vertical="top"/>
    </xf>
    <xf numFmtId="43" fontId="0" fillId="0" borderId="0" xfId="1" applyFont="1"/>
    <xf numFmtId="43" fontId="41" fillId="0" borderId="3" xfId="1" applyFont="1" applyFill="1" applyBorder="1" applyAlignment="1">
      <alignment vertical="top"/>
    </xf>
    <xf numFmtId="177" fontId="69" fillId="0" borderId="50" xfId="1" applyNumberFormat="1" applyFont="1" applyBorder="1" applyAlignment="1">
      <alignment horizontal="center" wrapText="1"/>
    </xf>
    <xf numFmtId="177" fontId="69" fillId="0" borderId="50" xfId="0" applyNumberFormat="1" applyFont="1" applyFill="1" applyBorder="1" applyAlignment="1">
      <alignment horizontal="center" wrapText="1"/>
    </xf>
    <xf numFmtId="0" fontId="73" fillId="0" borderId="50" xfId="0" applyFont="1" applyFill="1" applyBorder="1" applyAlignment="1">
      <alignment horizontal="center" wrapText="1"/>
    </xf>
    <xf numFmtId="0" fontId="37" fillId="0" borderId="1" xfId="0" applyFont="1" applyBorder="1" applyAlignment="1">
      <alignment horizontal="center"/>
    </xf>
    <xf numFmtId="49" fontId="37" fillId="0" borderId="1" xfId="5" applyNumberFormat="1" applyFont="1" applyFill="1" applyBorder="1" applyAlignment="1">
      <alignment horizontal="left" wrapText="1"/>
    </xf>
    <xf numFmtId="1" fontId="61" fillId="0" borderId="0" xfId="1" applyNumberFormat="1" applyFont="1"/>
    <xf numFmtId="0" fontId="52" fillId="0" borderId="0" xfId="0" applyFont="1" applyFill="1" applyBorder="1" applyAlignment="1">
      <alignment horizontal="right"/>
    </xf>
    <xf numFmtId="165" fontId="52" fillId="0" borderId="0" xfId="1" applyNumberFormat="1" applyFont="1" applyFill="1" applyAlignment="1">
      <alignment horizontal="right"/>
    </xf>
    <xf numFmtId="165" fontId="52" fillId="0" borderId="0" xfId="1" applyNumberFormat="1" applyFont="1" applyAlignment="1">
      <alignment horizontal="right"/>
    </xf>
    <xf numFmtId="165" fontId="52" fillId="0" borderId="3" xfId="1" applyNumberFormat="1" applyFont="1" applyBorder="1"/>
    <xf numFmtId="165" fontId="52" fillId="0" borderId="0" xfId="1" applyNumberFormat="1" applyFont="1" applyFill="1" applyBorder="1"/>
    <xf numFmtId="165" fontId="52" fillId="0" borderId="3" xfId="0" applyNumberFormat="1" applyFont="1" applyFill="1" applyBorder="1"/>
    <xf numFmtId="37" fontId="52" fillId="0" borderId="4" xfId="1" applyNumberFormat="1" applyFont="1" applyFill="1" applyBorder="1"/>
    <xf numFmtId="165" fontId="52" fillId="0" borderId="0" xfId="1" applyNumberFormat="1" applyFont="1" applyFill="1" applyAlignment="1">
      <alignment horizontal="left" indent="4"/>
    </xf>
    <xf numFmtId="165" fontId="52" fillId="0" borderId="5" xfId="1" applyNumberFormat="1" applyFont="1" applyFill="1" applyBorder="1"/>
    <xf numFmtId="165" fontId="113" fillId="0" borderId="0" xfId="1" applyNumberFormat="1" applyFont="1" applyFill="1"/>
    <xf numFmtId="165" fontId="52" fillId="0" borderId="0" xfId="1" applyNumberFormat="1" applyFont="1" applyBorder="1"/>
    <xf numFmtId="165" fontId="52" fillId="0" borderId="5" xfId="1" applyNumberFormat="1" applyFont="1" applyBorder="1"/>
    <xf numFmtId="43" fontId="52" fillId="0" borderId="0" xfId="1" applyFont="1" applyFill="1"/>
    <xf numFmtId="43" fontId="52" fillId="0" borderId="0" xfId="1" applyFont="1" applyFill="1" applyAlignment="1">
      <alignment horizontal="right"/>
    </xf>
    <xf numFmtId="43" fontId="52" fillId="0" borderId="0" xfId="1" applyFont="1" applyAlignment="1">
      <alignment horizontal="right"/>
    </xf>
    <xf numFmtId="43" fontId="52" fillId="0" borderId="0" xfId="1" applyFont="1" applyBorder="1"/>
    <xf numFmtId="0" fontId="52" fillId="0" borderId="10" xfId="0" applyFont="1" applyBorder="1"/>
    <xf numFmtId="0" fontId="37" fillId="0" borderId="0" xfId="0" applyFont="1" applyBorder="1" applyAlignment="1">
      <alignment horizontal="center"/>
    </xf>
    <xf numFmtId="0" fontId="54" fillId="0" borderId="1" xfId="0" applyFont="1" applyBorder="1" applyAlignment="1">
      <alignment horizontal="center"/>
    </xf>
    <xf numFmtId="40" fontId="41" fillId="0" borderId="0" xfId="4" applyNumberFormat="1" applyFont="1" applyAlignment="1">
      <alignment horizontal="center" vertical="center"/>
    </xf>
    <xf numFmtId="165" fontId="58" fillId="0" borderId="0" xfId="1" applyNumberFormat="1" applyFont="1" applyFill="1" applyAlignment="1">
      <alignment vertical="top"/>
    </xf>
    <xf numFmtId="40" fontId="35" fillId="0" borderId="0" xfId="4" applyNumberFormat="1" applyFont="1">
      <alignment vertical="top"/>
    </xf>
    <xf numFmtId="0" fontId="69" fillId="0" borderId="0" xfId="0" applyFont="1" applyAlignment="1">
      <alignment horizontal="center" wrapText="1"/>
    </xf>
    <xf numFmtId="172" fontId="50" fillId="0" borderId="0" xfId="0" applyNumberFormat="1" applyFont="1" applyAlignment="1">
      <alignment horizontal="center" wrapText="1"/>
    </xf>
    <xf numFmtId="0" fontId="72" fillId="0" borderId="0" xfId="0" applyFont="1" applyAlignment="1">
      <alignment horizontal="center" wrapText="1"/>
    </xf>
    <xf numFmtId="0" fontId="50" fillId="0" borderId="0" xfId="0" applyFont="1" applyFill="1" applyAlignment="1">
      <alignment horizontal="center" wrapText="1"/>
    </xf>
    <xf numFmtId="0" fontId="50" fillId="0" borderId="0" xfId="0" applyFont="1" applyAlignment="1">
      <alignment horizontal="center" wrapText="1"/>
    </xf>
    <xf numFmtId="165" fontId="59" fillId="18" borderId="0" xfId="0" applyNumberFormat="1" applyFont="1" applyFill="1"/>
    <xf numFmtId="43" fontId="36" fillId="0" borderId="0" xfId="1" applyFont="1" applyBorder="1" applyAlignment="1">
      <alignment horizontal="center" vertical="center"/>
    </xf>
    <xf numFmtId="43" fontId="35" fillId="0" borderId="0" xfId="1" applyFont="1" applyBorder="1" applyAlignment="1">
      <alignment horizontal="center" vertical="center"/>
    </xf>
    <xf numFmtId="43" fontId="40" fillId="0" borderId="0" xfId="1" applyFont="1" applyFill="1" applyBorder="1" applyAlignment="1">
      <alignment horizontal="right" vertical="center"/>
    </xf>
    <xf numFmtId="43" fontId="35" fillId="0" borderId="0" xfId="1" applyFont="1" applyAlignment="1">
      <alignment horizontal="center" vertical="center"/>
    </xf>
    <xf numFmtId="165" fontId="40" fillId="0" borderId="3" xfId="1" applyNumberFormat="1" applyFont="1" applyFill="1" applyBorder="1" applyAlignment="1">
      <alignment horizontal="right" vertical="center"/>
    </xf>
    <xf numFmtId="165" fontId="40" fillId="0" borderId="0" xfId="1" applyNumberFormat="1" applyFont="1" applyFill="1" applyAlignment="1">
      <alignment horizontal="right" vertical="center"/>
    </xf>
    <xf numFmtId="165" fontId="40" fillId="0" borderId="2" xfId="1" applyNumberFormat="1" applyFont="1" applyFill="1" applyBorder="1" applyAlignment="1">
      <alignment horizontal="right" vertical="center"/>
    </xf>
    <xf numFmtId="165" fontId="41" fillId="0" borderId="4" xfId="1" applyNumberFormat="1" applyFont="1" applyFill="1" applyBorder="1" applyAlignment="1">
      <alignment horizontal="right" vertical="center"/>
    </xf>
    <xf numFmtId="37" fontId="40" fillId="0" borderId="3" xfId="4" applyNumberFormat="1" applyFont="1" applyFill="1" applyBorder="1" applyAlignment="1">
      <alignment horizontal="right" vertical="center"/>
    </xf>
    <xf numFmtId="37" fontId="40" fillId="0" borderId="0" xfId="4" applyNumberFormat="1" applyFont="1" applyFill="1" applyBorder="1" applyAlignment="1">
      <alignment horizontal="right" vertical="center"/>
    </xf>
    <xf numFmtId="37" fontId="41" fillId="0" borderId="0" xfId="1" applyNumberFormat="1" applyFont="1" applyFill="1" applyAlignment="1">
      <alignment horizontal="right" vertical="center"/>
    </xf>
    <xf numFmtId="37" fontId="40" fillId="0" borderId="0" xfId="4" applyNumberFormat="1" applyFont="1" applyFill="1" applyAlignment="1">
      <alignment horizontal="right" vertical="center"/>
    </xf>
    <xf numFmtId="37" fontId="40" fillId="0" borderId="2" xfId="4" applyNumberFormat="1" applyFont="1" applyFill="1" applyBorder="1" applyAlignment="1">
      <alignment horizontal="right" vertical="center"/>
    </xf>
    <xf numFmtId="37" fontId="41" fillId="0" borderId="0" xfId="4" applyNumberFormat="1" applyFont="1" applyFill="1" applyBorder="1" applyAlignment="1">
      <alignment horizontal="right" vertical="center"/>
    </xf>
    <xf numFmtId="37" fontId="41" fillId="0" borderId="4" xfId="4" applyNumberFormat="1" applyFont="1" applyFill="1" applyBorder="1" applyAlignment="1">
      <alignment horizontal="right" vertical="center"/>
    </xf>
    <xf numFmtId="165" fontId="41" fillId="0" borderId="4" xfId="1" applyNumberFormat="1" applyFont="1" applyFill="1" applyBorder="1" applyAlignment="1">
      <alignment horizontal="right" vertical="top"/>
    </xf>
    <xf numFmtId="37" fontId="114" fillId="0" borderId="0" xfId="4" applyNumberFormat="1" applyFont="1" applyFill="1" applyAlignment="1">
      <alignment horizontal="right" vertical="top"/>
    </xf>
    <xf numFmtId="37" fontId="115" fillId="0" borderId="3" xfId="4" applyNumberFormat="1" applyFont="1" applyFill="1" applyBorder="1">
      <alignment vertical="top"/>
    </xf>
    <xf numFmtId="37" fontId="115" fillId="0" borderId="0" xfId="4" applyNumberFormat="1" applyFont="1" applyFill="1" applyBorder="1">
      <alignment vertical="top"/>
    </xf>
    <xf numFmtId="37" fontId="115" fillId="0" borderId="2" xfId="4" applyNumberFormat="1" applyFont="1" applyFill="1" applyBorder="1">
      <alignment vertical="top"/>
    </xf>
    <xf numFmtId="37" fontId="114" fillId="0" borderId="0" xfId="4" applyNumberFormat="1" applyFont="1" applyFill="1" applyBorder="1">
      <alignment vertical="top"/>
    </xf>
    <xf numFmtId="37" fontId="115" fillId="0" borderId="0" xfId="4" applyNumberFormat="1" applyFont="1" applyFill="1">
      <alignment vertical="top"/>
    </xf>
    <xf numFmtId="37" fontId="114" fillId="0" borderId="0" xfId="4" applyNumberFormat="1" applyFont="1" applyFill="1">
      <alignment vertical="top"/>
    </xf>
    <xf numFmtId="173" fontId="51" fillId="0" borderId="0" xfId="6" applyNumberFormat="1" applyFont="1"/>
    <xf numFmtId="165" fontId="37" fillId="0" borderId="2" xfId="0" applyNumberFormat="1" applyFont="1" applyFill="1" applyBorder="1"/>
    <xf numFmtId="165" fontId="37" fillId="0" borderId="2" xfId="1" applyNumberFormat="1" applyFont="1" applyFill="1" applyBorder="1"/>
    <xf numFmtId="0" fontId="37" fillId="0" borderId="10" xfId="0" applyFont="1" applyBorder="1" applyAlignment="1">
      <alignment horizontal="center"/>
    </xf>
    <xf numFmtId="0" fontId="37" fillId="0" borderId="0" xfId="0" applyFont="1"/>
    <xf numFmtId="0" fontId="52" fillId="0" borderId="1" xfId="0" applyFont="1" applyBorder="1"/>
    <xf numFmtId="0" fontId="53" fillId="0" borderId="1" xfId="0" applyFont="1" applyBorder="1"/>
    <xf numFmtId="0" fontId="116" fillId="0" borderId="0" xfId="0" applyFont="1" applyFill="1"/>
    <xf numFmtId="0" fontId="116" fillId="0" borderId="0" xfId="0" applyFont="1"/>
    <xf numFmtId="0" fontId="77" fillId="0" borderId="0" xfId="0" applyFont="1" applyBorder="1" applyAlignment="1"/>
    <xf numFmtId="43" fontId="115" fillId="0" borderId="3" xfId="1" applyFont="1" applyFill="1" applyBorder="1" applyAlignment="1">
      <alignment horizontal="right" vertical="top"/>
    </xf>
    <xf numFmtId="43" fontId="114" fillId="0" borderId="0" xfId="1" applyFont="1" applyFill="1" applyAlignment="1">
      <alignment horizontal="right" vertical="top"/>
    </xf>
    <xf numFmtId="165" fontId="62" fillId="0" borderId="0" xfId="1" applyNumberFormat="1" applyFont="1"/>
    <xf numFmtId="49" fontId="43" fillId="15" borderId="36" xfId="0" applyNumberFormat="1" applyFont="1" applyFill="1" applyBorder="1" applyAlignment="1">
      <alignment vertical="top" wrapText="1"/>
    </xf>
    <xf numFmtId="43" fontId="40" fillId="0" borderId="0" xfId="1" applyNumberFormat="1" applyFont="1" applyFill="1" applyBorder="1" applyAlignment="1">
      <alignment horizontal="right" vertical="top"/>
    </xf>
    <xf numFmtId="38" fontId="41" fillId="0" borderId="3" xfId="4" applyNumberFormat="1" applyFont="1" applyFill="1" applyBorder="1" applyAlignment="1">
      <alignment horizontal="right" vertical="center"/>
    </xf>
    <xf numFmtId="38" fontId="41" fillId="0" borderId="3" xfId="4" applyNumberFormat="1" applyFont="1" applyFill="1" applyBorder="1" applyAlignment="1">
      <alignment horizontal="right" vertical="top"/>
    </xf>
    <xf numFmtId="165" fontId="41" fillId="0" borderId="3" xfId="1" applyNumberFormat="1" applyFont="1" applyFill="1" applyBorder="1" applyAlignment="1">
      <alignment vertical="top"/>
    </xf>
    <xf numFmtId="165" fontId="40" fillId="0" borderId="3" xfId="1" applyNumberFormat="1" applyFont="1" applyBorder="1" applyAlignment="1">
      <alignment vertical="top"/>
    </xf>
    <xf numFmtId="38" fontId="41" fillId="0" borderId="3" xfId="4" applyNumberFormat="1" applyFont="1" applyFill="1" applyBorder="1">
      <alignment vertical="top"/>
    </xf>
    <xf numFmtId="10" fontId="59" fillId="0" borderId="0" xfId="6" applyNumberFormat="1" applyFont="1" applyAlignment="1">
      <alignment horizontal="center"/>
    </xf>
    <xf numFmtId="10" fontId="59" fillId="0" borderId="0" xfId="6" applyNumberFormat="1" applyFont="1" applyBorder="1" applyAlignment="1">
      <alignment horizontal="center"/>
    </xf>
    <xf numFmtId="0" fontId="117" fillId="0" borderId="0" xfId="4" applyFont="1">
      <alignment vertical="top"/>
    </xf>
    <xf numFmtId="0" fontId="117" fillId="0" borderId="0" xfId="4" applyFont="1" applyFill="1" applyBorder="1">
      <alignment vertical="top"/>
    </xf>
    <xf numFmtId="0" fontId="117" fillId="0" borderId="0" xfId="4" applyFont="1" applyFill="1">
      <alignment vertical="top"/>
    </xf>
    <xf numFmtId="0" fontId="120" fillId="52" borderId="72" xfId="0" applyFont="1" applyFill="1" applyBorder="1" applyAlignment="1">
      <alignment horizontal="center" vertical="top"/>
    </xf>
    <xf numFmtId="0" fontId="120" fillId="52" borderId="72" xfId="0" applyFont="1" applyFill="1" applyBorder="1" applyAlignment="1">
      <alignment vertical="top"/>
    </xf>
    <xf numFmtId="169" fontId="120" fillId="0" borderId="73" xfId="0" applyNumberFormat="1" applyFont="1" applyBorder="1" applyAlignment="1">
      <alignment horizontal="right" vertical="top"/>
    </xf>
    <xf numFmtId="169" fontId="119" fillId="53" borderId="76" xfId="0" applyNumberFormat="1" applyFont="1" applyFill="1" applyBorder="1" applyAlignment="1">
      <alignment horizontal="right" vertical="top"/>
    </xf>
    <xf numFmtId="0" fontId="0" fillId="0" borderId="73" xfId="0" applyBorder="1"/>
    <xf numFmtId="0" fontId="0" fillId="53" borderId="76" xfId="0" applyFill="1" applyBorder="1"/>
    <xf numFmtId="40" fontId="41" fillId="0" borderId="0" xfId="4" applyNumberFormat="1" applyFont="1" applyFill="1" applyBorder="1" applyAlignment="1">
      <alignment horizontal="right" vertical="center"/>
    </xf>
    <xf numFmtId="43" fontId="41" fillId="0" borderId="0" xfId="1" applyFont="1" applyAlignment="1">
      <alignment horizontal="right" vertical="center"/>
    </xf>
    <xf numFmtId="39" fontId="40" fillId="0" borderId="0" xfId="1" applyNumberFormat="1" applyFont="1" applyFill="1" applyAlignment="1">
      <alignment horizontal="center" vertical="center"/>
    </xf>
    <xf numFmtId="40" fontId="41" fillId="0" borderId="0" xfId="4" applyNumberFormat="1" applyFont="1" applyFill="1" applyAlignment="1">
      <alignment horizontal="right" vertical="center"/>
    </xf>
    <xf numFmtId="43" fontId="37" fillId="0" borderId="0" xfId="1" applyFont="1" applyFill="1" applyBorder="1" applyAlignment="1">
      <alignment horizontal="center" vertical="center"/>
    </xf>
    <xf numFmtId="2" fontId="41" fillId="0" borderId="0" xfId="1" applyNumberFormat="1" applyFont="1" applyFill="1" applyAlignment="1">
      <alignment horizontal="center" vertical="center"/>
    </xf>
    <xf numFmtId="2" fontId="40" fillId="0" borderId="0" xfId="4" applyNumberFormat="1" applyFont="1" applyFill="1" applyBorder="1" applyAlignment="1">
      <alignment horizontal="center" vertical="center"/>
    </xf>
    <xf numFmtId="165" fontId="41" fillId="0" borderId="0" xfId="4" applyNumberFormat="1" applyFont="1" applyFill="1" applyBorder="1">
      <alignment vertical="top"/>
    </xf>
    <xf numFmtId="165" fontId="40" fillId="0" borderId="3" xfId="4" applyNumberFormat="1" applyFont="1" applyFill="1" applyBorder="1">
      <alignment vertical="top"/>
    </xf>
    <xf numFmtId="37" fontId="40" fillId="0" borderId="3" xfId="1" applyNumberFormat="1" applyFont="1" applyFill="1" applyBorder="1" applyAlignment="1">
      <alignment vertical="top"/>
    </xf>
    <xf numFmtId="10" fontId="46" fillId="0" borderId="2" xfId="1" applyNumberFormat="1" applyFont="1" applyFill="1" applyBorder="1"/>
    <xf numFmtId="165" fontId="41" fillId="0" borderId="0" xfId="4" applyNumberFormat="1" applyFont="1" applyFill="1" applyAlignment="1">
      <alignment horizontal="right" vertical="top"/>
    </xf>
    <xf numFmtId="165" fontId="46" fillId="0" borderId="0" xfId="1" applyNumberFormat="1" applyFont="1" applyFill="1" applyBorder="1" applyAlignment="1"/>
    <xf numFmtId="43" fontId="41" fillId="0" borderId="4" xfId="1" applyFont="1" applyFill="1" applyBorder="1" applyAlignment="1">
      <alignment horizontal="right" vertical="top"/>
    </xf>
    <xf numFmtId="37" fontId="40" fillId="0" borderId="3" xfId="4" applyNumberFormat="1" applyFont="1" applyFill="1" applyBorder="1" applyAlignment="1">
      <alignment horizontal="right" vertical="top"/>
    </xf>
    <xf numFmtId="0" fontId="0" fillId="0" borderId="0" xfId="0"/>
    <xf numFmtId="165" fontId="114" fillId="0" borderId="0" xfId="1" applyNumberFormat="1" applyFont="1" applyFill="1" applyAlignment="1">
      <alignment horizontal="right" vertical="top"/>
    </xf>
    <xf numFmtId="43" fontId="35" fillId="0" borderId="0" xfId="1" applyNumberFormat="1" applyFont="1" applyFill="1" applyBorder="1" applyAlignment="1">
      <alignment vertical="top"/>
    </xf>
    <xf numFmtId="9" fontId="35" fillId="0" borderId="0" xfId="6" applyFont="1" applyFill="1" applyBorder="1" applyAlignment="1">
      <alignment vertical="top"/>
    </xf>
    <xf numFmtId="0" fontId="120" fillId="52" borderId="72" xfId="0" applyFont="1" applyFill="1" applyBorder="1" applyAlignment="1">
      <alignment vertical="top"/>
    </xf>
    <xf numFmtId="37" fontId="52" fillId="0" borderId="0" xfId="4" applyNumberFormat="1" applyFont="1" applyFill="1" applyBorder="1" applyAlignment="1">
      <alignment horizontal="right" vertical="center"/>
    </xf>
    <xf numFmtId="0" fontId="120" fillId="52" borderId="72" xfId="68" applyFont="1" applyFill="1" applyBorder="1" applyAlignment="1">
      <alignment vertical="top"/>
    </xf>
    <xf numFmtId="0" fontId="120" fillId="52" borderId="72" xfId="0" applyFont="1" applyFill="1" applyBorder="1" applyAlignment="1">
      <alignment vertical="top"/>
    </xf>
    <xf numFmtId="37" fontId="35" fillId="0" borderId="0" xfId="4" applyNumberFormat="1" applyFont="1" applyFill="1">
      <alignment vertical="top"/>
    </xf>
    <xf numFmtId="0" fontId="35" fillId="0" borderId="43" xfId="4" applyFont="1" applyFill="1" applyBorder="1">
      <alignment vertical="top"/>
    </xf>
    <xf numFmtId="165" fontId="40" fillId="18" borderId="0" xfId="1" applyNumberFormat="1" applyFont="1" applyFill="1" applyBorder="1" applyAlignment="1">
      <alignment vertical="top"/>
    </xf>
    <xf numFmtId="165" fontId="41" fillId="19" borderId="0" xfId="1" applyNumberFormat="1" applyFont="1" applyFill="1" applyAlignment="1">
      <alignment vertical="top"/>
    </xf>
    <xf numFmtId="165" fontId="40" fillId="19" borderId="0" xfId="1" applyNumberFormat="1" applyFont="1" applyFill="1" applyBorder="1" applyAlignment="1">
      <alignment vertical="top"/>
    </xf>
    <xf numFmtId="38" fontId="41" fillId="19" borderId="0" xfId="4" applyNumberFormat="1" applyFont="1" applyFill="1" applyAlignment="1">
      <alignment horizontal="right" vertical="center"/>
    </xf>
    <xf numFmtId="43" fontId="35" fillId="0" borderId="0" xfId="4" applyNumberFormat="1" applyFont="1">
      <alignment vertical="top"/>
    </xf>
    <xf numFmtId="0" fontId="40" fillId="0" borderId="14" xfId="4" applyFont="1" applyFill="1" applyBorder="1">
      <alignment vertical="top"/>
    </xf>
    <xf numFmtId="165" fontId="40" fillId="0" borderId="14" xfId="1" applyNumberFormat="1" applyFont="1" applyFill="1" applyBorder="1" applyAlignment="1">
      <alignment vertical="top"/>
    </xf>
    <xf numFmtId="0" fontId="41" fillId="0" borderId="14" xfId="4" applyFont="1" applyBorder="1">
      <alignment vertical="top"/>
    </xf>
    <xf numFmtId="165" fontId="41" fillId="19" borderId="14" xfId="1" applyNumberFormat="1" applyFont="1" applyFill="1" applyBorder="1" applyAlignment="1">
      <alignment vertical="top"/>
    </xf>
    <xf numFmtId="2" fontId="111" fillId="18" borderId="0" xfId="0" applyNumberFormat="1" applyFont="1" applyFill="1"/>
    <xf numFmtId="177" fontId="111" fillId="18" borderId="0" xfId="1" applyNumberFormat="1" applyFont="1" applyFill="1"/>
    <xf numFmtId="177" fontId="111" fillId="18" borderId="0" xfId="0" applyNumberFormat="1" applyFont="1" applyFill="1"/>
    <xf numFmtId="165" fontId="111" fillId="18" borderId="0" xfId="1" applyNumberFormat="1" applyFont="1" applyFill="1"/>
    <xf numFmtId="43" fontId="111" fillId="18" borderId="0" xfId="1" applyNumberFormat="1" applyFont="1" applyFill="1"/>
    <xf numFmtId="43" fontId="35" fillId="0" borderId="0" xfId="1" applyFont="1" applyFill="1" applyAlignment="1">
      <alignment horizontal="center" vertical="center"/>
    </xf>
    <xf numFmtId="165" fontId="40" fillId="0" borderId="4" xfId="1" applyNumberFormat="1" applyFont="1" applyFill="1" applyBorder="1" applyAlignment="1">
      <alignment horizontal="right" vertical="center"/>
    </xf>
    <xf numFmtId="165" fontId="36" fillId="0" borderId="0" xfId="1" applyNumberFormat="1" applyFont="1" applyBorder="1" applyAlignment="1">
      <alignment horizontal="center" vertical="center"/>
    </xf>
    <xf numFmtId="165" fontId="35" fillId="0" borderId="0" xfId="1" applyNumberFormat="1" applyFont="1" applyFill="1" applyAlignment="1">
      <alignment horizontal="center" vertical="center"/>
    </xf>
    <xf numFmtId="165" fontId="41" fillId="0" borderId="0" xfId="1" applyNumberFormat="1" applyFont="1" applyFill="1" applyAlignment="1">
      <alignment horizontal="center" vertical="center"/>
    </xf>
    <xf numFmtId="165" fontId="37" fillId="0" borderId="0" xfId="1" applyNumberFormat="1" applyFont="1" applyFill="1" applyBorder="1" applyAlignment="1">
      <alignment horizontal="right" vertical="center"/>
    </xf>
    <xf numFmtId="165" fontId="37" fillId="0" borderId="0" xfId="1" applyNumberFormat="1" applyFont="1" applyFill="1" applyBorder="1" applyAlignment="1">
      <alignment horizontal="center" vertical="center"/>
    </xf>
    <xf numFmtId="165" fontId="40" fillId="0" borderId="0" xfId="1" applyNumberFormat="1" applyFont="1" applyFill="1" applyBorder="1" applyAlignment="1">
      <alignment horizontal="center" vertical="center"/>
    </xf>
    <xf numFmtId="165" fontId="41" fillId="0" borderId="0" xfId="1" applyNumberFormat="1" applyFont="1" applyFill="1" applyBorder="1" applyAlignment="1">
      <alignment horizontal="center" vertical="center"/>
    </xf>
    <xf numFmtId="165" fontId="37" fillId="0" borderId="0" xfId="1" applyNumberFormat="1" applyFont="1" applyFill="1" applyBorder="1" applyAlignment="1">
      <alignment horizontal="right" vertical="top"/>
    </xf>
    <xf numFmtId="0" fontId="124" fillId="0" borderId="0" xfId="4" applyFont="1" applyAlignment="1">
      <alignment vertical="center"/>
    </xf>
    <xf numFmtId="0" fontId="125" fillId="0" borderId="1" xfId="4" applyFont="1" applyFill="1" applyBorder="1" applyAlignment="1">
      <alignment horizontal="center" vertical="center"/>
    </xf>
    <xf numFmtId="49" fontId="125" fillId="0" borderId="1" xfId="5" applyNumberFormat="1" applyFont="1" applyFill="1" applyBorder="1" applyAlignment="1">
      <alignment horizontal="center" vertical="center" wrapText="1"/>
    </xf>
    <xf numFmtId="0" fontId="125" fillId="0" borderId="1" xfId="4" applyFont="1" applyFill="1" applyBorder="1" applyAlignment="1">
      <alignment horizontal="center" vertical="center" wrapText="1"/>
    </xf>
    <xf numFmtId="165" fontId="125" fillId="0" borderId="1" xfId="1" applyNumberFormat="1" applyFont="1" applyFill="1" applyBorder="1" applyAlignment="1">
      <alignment horizontal="center" vertical="center" wrapText="1"/>
    </xf>
    <xf numFmtId="0" fontId="124" fillId="0" borderId="0" xfId="4" applyFont="1" applyBorder="1" applyAlignment="1">
      <alignment vertical="center"/>
    </xf>
    <xf numFmtId="43" fontId="124" fillId="0" borderId="0" xfId="1" applyFont="1" applyAlignment="1">
      <alignment vertical="center"/>
    </xf>
    <xf numFmtId="0" fontId="124" fillId="0" borderId="0" xfId="4" applyFont="1" applyAlignment="1">
      <alignment horizontal="center" vertical="center"/>
    </xf>
    <xf numFmtId="43" fontId="126" fillId="0" borderId="0" xfId="1" applyFont="1" applyAlignment="1">
      <alignment horizontal="center" vertical="center"/>
    </xf>
    <xf numFmtId="43" fontId="124" fillId="0" borderId="0" xfId="1" applyNumberFormat="1" applyFont="1" applyAlignment="1">
      <alignment vertical="center"/>
    </xf>
    <xf numFmtId="0" fontId="127" fillId="0" borderId="1" xfId="4" applyFont="1" applyFill="1" applyBorder="1" applyAlignment="1">
      <alignment horizontal="center" vertical="center"/>
    </xf>
    <xf numFmtId="49" fontId="127" fillId="0" borderId="1" xfId="5" applyNumberFormat="1" applyFont="1" applyFill="1" applyBorder="1" applyAlignment="1">
      <alignment horizontal="center" vertical="center" wrapText="1"/>
    </xf>
    <xf numFmtId="0" fontId="127" fillId="0" borderId="1" xfId="4" applyFont="1" applyFill="1" applyBorder="1" applyAlignment="1">
      <alignment horizontal="center" vertical="center" wrapText="1"/>
    </xf>
    <xf numFmtId="0" fontId="128" fillId="0" borderId="1" xfId="4" applyFont="1" applyBorder="1" applyAlignment="1">
      <alignment horizontal="center" vertical="center" wrapText="1"/>
    </xf>
    <xf numFmtId="43" fontId="126" fillId="0" borderId="0" xfId="1" applyFont="1" applyAlignment="1">
      <alignment vertical="center"/>
    </xf>
    <xf numFmtId="0" fontId="125" fillId="0" borderId="78" xfId="4" applyFont="1" applyFill="1" applyBorder="1" applyAlignment="1">
      <alignment horizontal="center" vertical="center"/>
    </xf>
    <xf numFmtId="49" fontId="125" fillId="0" borderId="78" xfId="5" applyNumberFormat="1" applyFont="1" applyFill="1" applyBorder="1" applyAlignment="1">
      <alignment horizontal="center" vertical="center" wrapText="1"/>
    </xf>
    <xf numFmtId="0" fontId="125" fillId="0" borderId="78" xfId="4" applyFont="1" applyFill="1" applyBorder="1" applyAlignment="1">
      <alignment horizontal="center" vertical="center" wrapText="1"/>
    </xf>
    <xf numFmtId="41" fontId="36" fillId="0" borderId="0" xfId="2" applyNumberFormat="1" applyFont="1" applyBorder="1" applyAlignment="1">
      <alignment horizontal="center" vertical="top"/>
    </xf>
    <xf numFmtId="41" fontId="35" fillId="0" borderId="0" xfId="2" applyNumberFormat="1" applyFont="1" applyFill="1" applyAlignment="1">
      <alignment vertical="top"/>
    </xf>
    <xf numFmtId="41" fontId="41" fillId="0" borderId="0" xfId="2" applyNumberFormat="1" applyFont="1" applyFill="1" applyAlignment="1">
      <alignment vertical="top"/>
    </xf>
    <xf numFmtId="41" fontId="41" fillId="0" borderId="0" xfId="2" applyNumberFormat="1" applyFont="1" applyFill="1" applyBorder="1" applyAlignment="1">
      <alignment horizontal="right" vertical="top"/>
    </xf>
    <xf numFmtId="41" fontId="40" fillId="0" borderId="3" xfId="2" applyNumberFormat="1" applyFont="1" applyFill="1" applyBorder="1" applyAlignment="1">
      <alignment vertical="top"/>
    </xf>
    <xf numFmtId="41" fontId="41" fillId="0" borderId="0" xfId="2" applyNumberFormat="1" applyFont="1" applyFill="1" applyBorder="1" applyAlignment="1">
      <alignment vertical="top"/>
    </xf>
    <xf numFmtId="41" fontId="40" fillId="0" borderId="2" xfId="2" applyNumberFormat="1" applyFont="1" applyFill="1" applyBorder="1" applyAlignment="1">
      <alignment vertical="top"/>
    </xf>
    <xf numFmtId="41" fontId="37" fillId="0" borderId="0" xfId="2" applyNumberFormat="1" applyFont="1" applyFill="1" applyBorder="1" applyAlignment="1">
      <alignment vertical="top"/>
    </xf>
    <xf numFmtId="41" fontId="40" fillId="0" borderId="0" xfId="2" applyNumberFormat="1" applyFont="1" applyFill="1" applyBorder="1" applyAlignment="1">
      <alignment vertical="top"/>
    </xf>
    <xf numFmtId="41" fontId="41" fillId="0" borderId="0" xfId="6" applyNumberFormat="1" applyFont="1" applyFill="1" applyAlignment="1">
      <alignment horizontal="right" vertical="center"/>
    </xf>
    <xf numFmtId="41" fontId="40" fillId="0" borderId="3" xfId="6" applyNumberFormat="1" applyFont="1" applyFill="1" applyBorder="1" applyAlignment="1">
      <alignment vertical="top"/>
    </xf>
    <xf numFmtId="41" fontId="41" fillId="0" borderId="0" xfId="6" applyNumberFormat="1" applyFont="1" applyFill="1" applyBorder="1" applyAlignment="1">
      <alignment vertical="top"/>
    </xf>
    <xf numFmtId="41" fontId="41" fillId="0" borderId="0" xfId="6" applyNumberFormat="1" applyFont="1" applyFill="1" applyBorder="1" applyAlignment="1">
      <alignment horizontal="right" vertical="top"/>
    </xf>
    <xf numFmtId="41" fontId="41" fillId="0" borderId="0" xfId="1" applyNumberFormat="1" applyFont="1" applyFill="1" applyBorder="1" applyAlignment="1">
      <alignment horizontal="right" vertical="top"/>
    </xf>
    <xf numFmtId="41" fontId="40" fillId="0" borderId="3" xfId="1" applyNumberFormat="1" applyFont="1" applyFill="1" applyBorder="1" applyAlignment="1">
      <alignment vertical="top"/>
    </xf>
    <xf numFmtId="41" fontId="40" fillId="0" borderId="2" xfId="6" applyNumberFormat="1" applyFont="1" applyFill="1" applyBorder="1" applyAlignment="1">
      <alignment vertical="top"/>
    </xf>
    <xf numFmtId="41" fontId="41" fillId="0" borderId="0" xfId="6" applyNumberFormat="1" applyFont="1" applyFill="1" applyAlignment="1">
      <alignment vertical="top"/>
    </xf>
    <xf numFmtId="41" fontId="41" fillId="0" borderId="0" xfId="6" applyNumberFormat="1" applyFont="1" applyFill="1" applyAlignment="1">
      <alignment horizontal="right" vertical="top"/>
    </xf>
    <xf numFmtId="41" fontId="41" fillId="0" borderId="0" xfId="1" applyNumberFormat="1" applyFont="1" applyFill="1" applyBorder="1" applyAlignment="1">
      <alignment vertical="top"/>
    </xf>
    <xf numFmtId="41" fontId="40" fillId="0" borderId="3" xfId="6" applyNumberFormat="1" applyFont="1" applyFill="1" applyBorder="1" applyAlignment="1">
      <alignment horizontal="right" vertical="top"/>
    </xf>
    <xf numFmtId="41" fontId="40" fillId="0" borderId="2" xfId="6" applyNumberFormat="1" applyFont="1" applyFill="1" applyBorder="1" applyAlignment="1">
      <alignment horizontal="right" vertical="top"/>
    </xf>
    <xf numFmtId="41" fontId="41" fillId="0" borderId="0" xfId="1" applyNumberFormat="1" applyFont="1" applyFill="1" applyAlignment="1">
      <alignment vertical="top"/>
    </xf>
    <xf numFmtId="41" fontId="37" fillId="0" borderId="0" xfId="1" applyNumberFormat="1" applyFont="1" applyFill="1" applyBorder="1" applyAlignment="1">
      <alignment vertical="top"/>
    </xf>
    <xf numFmtId="49" fontId="127" fillId="0" borderId="78" xfId="5" applyNumberFormat="1" applyFont="1" applyFill="1" applyBorder="1" applyAlignment="1">
      <alignment horizontal="center" vertical="center" wrapText="1"/>
    </xf>
    <xf numFmtId="0" fontId="127" fillId="0" borderId="78" xfId="4" applyFont="1" applyFill="1" applyBorder="1" applyAlignment="1">
      <alignment horizontal="center" vertical="center" wrapText="1"/>
    </xf>
    <xf numFmtId="0" fontId="128" fillId="0" borderId="78" xfId="4" applyFont="1" applyBorder="1" applyAlignment="1">
      <alignment horizontal="center" vertical="center" wrapText="1"/>
    </xf>
    <xf numFmtId="169" fontId="0" fillId="0" borderId="0" xfId="0" applyNumberFormat="1"/>
    <xf numFmtId="165" fontId="46" fillId="0" borderId="0" xfId="1" applyNumberFormat="1" applyFont="1" applyFill="1" applyBorder="1" applyAlignment="1">
      <alignment wrapText="1"/>
    </xf>
    <xf numFmtId="0" fontId="131" fillId="0" borderId="0" xfId="4" applyFont="1" applyFill="1" applyBorder="1">
      <alignment vertical="top"/>
    </xf>
    <xf numFmtId="165" fontId="133" fillId="18" borderId="0" xfId="1" applyNumberFormat="1" applyFont="1" applyFill="1" applyAlignment="1">
      <alignment horizontal="center" vertical="center"/>
    </xf>
    <xf numFmtId="165" fontId="85" fillId="18" borderId="0" xfId="1" applyNumberFormat="1" applyFont="1" applyFill="1" applyAlignment="1">
      <alignment horizontal="center" vertical="center"/>
    </xf>
    <xf numFmtId="0" fontId="119" fillId="54" borderId="72" xfId="0" applyFont="1" applyFill="1" applyBorder="1" applyAlignment="1">
      <alignment horizontal="center" vertical="top"/>
    </xf>
    <xf numFmtId="169" fontId="119" fillId="54" borderId="76" xfId="0" applyNumberFormat="1" applyFont="1" applyFill="1" applyBorder="1" applyAlignment="1">
      <alignment horizontal="right" vertical="top"/>
    </xf>
    <xf numFmtId="43" fontId="50" fillId="0" borderId="0" xfId="1" applyFont="1" applyFill="1" applyAlignment="1">
      <alignment horizontal="center" wrapText="1"/>
    </xf>
    <xf numFmtId="43" fontId="37" fillId="0" borderId="0" xfId="1" applyFont="1" applyFill="1"/>
    <xf numFmtId="43" fontId="111" fillId="0" borderId="0" xfId="1" applyFont="1" applyFill="1"/>
    <xf numFmtId="165" fontId="69" fillId="0" borderId="50" xfId="1" applyNumberFormat="1" applyFont="1" applyFill="1" applyBorder="1" applyAlignment="1">
      <alignment horizontal="center" wrapText="1"/>
    </xf>
    <xf numFmtId="165" fontId="50" fillId="0" borderId="0" xfId="1" applyNumberFormat="1" applyFont="1" applyFill="1"/>
    <xf numFmtId="165" fontId="59" fillId="0" borderId="0" xfId="1" applyNumberFormat="1" applyFont="1" applyAlignment="1">
      <alignment horizontal="center"/>
    </xf>
    <xf numFmtId="165" fontId="77" fillId="0" borderId="0" xfId="1" applyNumberFormat="1" applyFont="1" applyFill="1" applyAlignment="1">
      <alignment horizontal="center"/>
    </xf>
    <xf numFmtId="165" fontId="51" fillId="0" borderId="0" xfId="1" applyNumberFormat="1" applyFont="1" applyFill="1" applyAlignment="1">
      <alignment horizontal="left"/>
    </xf>
    <xf numFmtId="165" fontId="79" fillId="0" borderId="0" xfId="1" applyNumberFormat="1" applyFont="1" applyFill="1" applyAlignment="1">
      <alignment horizontal="center"/>
    </xf>
    <xf numFmtId="165" fontId="55" fillId="0" borderId="0" xfId="1" applyNumberFormat="1" applyFont="1" applyFill="1" applyBorder="1" applyAlignment="1">
      <alignment horizontal="center"/>
    </xf>
    <xf numFmtId="165" fontId="74" fillId="0" borderId="0" xfId="1" applyNumberFormat="1" applyFont="1" applyFill="1" applyAlignment="1">
      <alignment horizontal="center"/>
    </xf>
    <xf numFmtId="165" fontId="50" fillId="0" borderId="0" xfId="1" applyNumberFormat="1" applyFont="1" applyFill="1" applyAlignment="1">
      <alignment horizontal="center"/>
    </xf>
    <xf numFmtId="165" fontId="50" fillId="0" borderId="0" xfId="0" applyNumberFormat="1" applyFont="1" applyFill="1" applyAlignment="1">
      <alignment horizontal="center"/>
    </xf>
    <xf numFmtId="165" fontId="51" fillId="0" borderId="0" xfId="0" applyNumberFormat="1" applyFont="1" applyFill="1" applyAlignment="1">
      <alignment horizontal="left"/>
    </xf>
    <xf numFmtId="165" fontId="69" fillId="0" borderId="50" xfId="0" applyNumberFormat="1" applyFont="1" applyFill="1" applyBorder="1" applyAlignment="1">
      <alignment horizontal="center" wrapText="1"/>
    </xf>
    <xf numFmtId="165" fontId="52" fillId="0" borderId="0" xfId="0" applyNumberFormat="1" applyFont="1" applyFill="1" applyBorder="1" applyAlignment="1">
      <alignment horizontal="center"/>
    </xf>
    <xf numFmtId="173" fontId="0" fillId="0" borderId="0" xfId="6" applyNumberFormat="1" applyFont="1"/>
    <xf numFmtId="173" fontId="0" fillId="0" borderId="0" xfId="0" applyNumberFormat="1"/>
    <xf numFmtId="165" fontId="0" fillId="0" borderId="4" xfId="1" applyNumberFormat="1" applyFont="1" applyBorder="1"/>
    <xf numFmtId="0" fontId="11" fillId="0" borderId="0" xfId="0" applyFont="1" applyAlignment="1"/>
    <xf numFmtId="0" fontId="0" fillId="0" borderId="0" xfId="0" applyAlignment="1"/>
    <xf numFmtId="43" fontId="37" fillId="0" borderId="1" xfId="1" applyFont="1" applyBorder="1" applyAlignment="1">
      <alignment vertical="top"/>
    </xf>
    <xf numFmtId="43" fontId="37" fillId="0" borderId="0" xfId="1" applyFont="1" applyFill="1" applyBorder="1" applyAlignment="1">
      <alignment vertical="top"/>
    </xf>
    <xf numFmtId="173" fontId="38" fillId="0" borderId="0" xfId="6" applyNumberFormat="1" applyFont="1" applyFill="1" applyAlignment="1">
      <alignment vertical="top"/>
    </xf>
    <xf numFmtId="173" fontId="135" fillId="0" borderId="0" xfId="1" applyNumberFormat="1" applyFont="1" applyFill="1" applyBorder="1" applyProtection="1">
      <protection locked="0"/>
    </xf>
    <xf numFmtId="173" fontId="135" fillId="0" borderId="0" xfId="1" applyNumberFormat="1" applyFont="1" applyBorder="1" applyProtection="1">
      <protection locked="0"/>
    </xf>
    <xf numFmtId="173" fontId="135" fillId="0" borderId="0" xfId="1" applyNumberFormat="1" applyFont="1" applyFill="1" applyBorder="1"/>
    <xf numFmtId="173" fontId="135" fillId="0" borderId="0" xfId="1" applyNumberFormat="1" applyFont="1" applyFill="1" applyBorder="1" applyAlignment="1" applyProtection="1">
      <alignment wrapText="1"/>
      <protection locked="0"/>
    </xf>
    <xf numFmtId="173" fontId="0" fillId="0" borderId="4" xfId="6" applyNumberFormat="1" applyFont="1" applyBorder="1"/>
    <xf numFmtId="0" fontId="11" fillId="0" borderId="0" xfId="69"/>
    <xf numFmtId="165" fontId="51" fillId="0" borderId="0" xfId="69" applyNumberFormat="1" applyFont="1" applyFill="1"/>
    <xf numFmtId="165" fontId="51" fillId="0" borderId="0" xfId="1" applyNumberFormat="1" applyFont="1" applyFill="1"/>
    <xf numFmtId="165" fontId="59" fillId="0" borderId="0" xfId="1" applyNumberFormat="1" applyFont="1" applyFill="1" applyAlignment="1">
      <alignment horizontal="right"/>
    </xf>
    <xf numFmtId="165" fontId="59" fillId="0" borderId="0" xfId="1" applyNumberFormat="1" applyFont="1" applyAlignment="1">
      <alignment horizontal="right"/>
    </xf>
    <xf numFmtId="165" fontId="59" fillId="0" borderId="0" xfId="1" applyNumberFormat="1" applyFont="1" applyFill="1" applyBorder="1" applyAlignment="1">
      <alignment horizontal="right"/>
    </xf>
    <xf numFmtId="165" fontId="59" fillId="0" borderId="0" xfId="1" applyNumberFormat="1" applyFont="1" applyFill="1"/>
    <xf numFmtId="165" fontId="59" fillId="0" borderId="3" xfId="1" applyNumberFormat="1" applyFont="1" applyBorder="1" applyAlignment="1">
      <alignment horizontal="right"/>
    </xf>
    <xf numFmtId="165" fontId="59" fillId="0" borderId="3" xfId="1" applyNumberFormat="1" applyFont="1" applyFill="1" applyBorder="1" applyAlignment="1">
      <alignment horizontal="right"/>
    </xf>
    <xf numFmtId="165" fontId="59" fillId="0" borderId="0" xfId="69" applyNumberFormat="1" applyFont="1" applyFill="1"/>
    <xf numFmtId="165" fontId="59" fillId="0" borderId="0" xfId="1" applyNumberFormat="1" applyFont="1" applyBorder="1" applyAlignment="1">
      <alignment horizontal="right"/>
    </xf>
    <xf numFmtId="165" fontId="59" fillId="0" borderId="0" xfId="1" applyNumberFormat="1" applyFont="1"/>
    <xf numFmtId="165" fontId="59" fillId="0" borderId="4" xfId="1" applyNumberFormat="1" applyFont="1" applyFill="1" applyBorder="1" applyAlignment="1">
      <alignment horizontal="right"/>
    </xf>
    <xf numFmtId="165" fontId="59" fillId="0" borderId="4" xfId="1" applyNumberFormat="1" applyFont="1" applyBorder="1" applyAlignment="1">
      <alignment horizontal="right"/>
    </xf>
    <xf numFmtId="177" fontId="59" fillId="0" borderId="0" xfId="1" applyNumberFormat="1" applyFont="1" applyFill="1" applyAlignment="1">
      <alignment horizontal="right"/>
    </xf>
    <xf numFmtId="177" fontId="59" fillId="0" borderId="0" xfId="1" applyNumberFormat="1" applyFont="1" applyFill="1" applyBorder="1" applyAlignment="1">
      <alignment horizontal="right"/>
    </xf>
    <xf numFmtId="177" fontId="59" fillId="0" borderId="4" xfId="1" applyNumberFormat="1" applyFont="1" applyFill="1" applyBorder="1" applyAlignment="1">
      <alignment horizontal="right"/>
    </xf>
    <xf numFmtId="177" fontId="51" fillId="0" borderId="0" xfId="1" applyNumberFormat="1" applyFont="1" applyFill="1"/>
    <xf numFmtId="38" fontId="41" fillId="0" borderId="0" xfId="4" applyNumberFormat="1" applyFont="1">
      <alignment vertical="top"/>
    </xf>
    <xf numFmtId="38" fontId="41" fillId="0" borderId="0" xfId="4" applyNumberFormat="1" applyFont="1" applyFill="1" applyAlignment="1">
      <alignment horizontal="right" vertical="top"/>
    </xf>
    <xf numFmtId="38" fontId="40" fillId="0" borderId="3" xfId="4" applyNumberFormat="1" applyFont="1" applyFill="1" applyBorder="1">
      <alignment vertical="top"/>
    </xf>
    <xf numFmtId="165" fontId="51" fillId="0" borderId="0" xfId="1" applyNumberFormat="1" applyFont="1" applyFill="1"/>
    <xf numFmtId="165" fontId="59" fillId="0" borderId="0" xfId="1" applyNumberFormat="1" applyFont="1" applyFill="1" applyAlignment="1">
      <alignment horizontal="right"/>
    </xf>
    <xf numFmtId="165" fontId="59" fillId="0" borderId="0" xfId="1" applyNumberFormat="1" applyFont="1" applyFill="1" applyBorder="1" applyAlignment="1">
      <alignment horizontal="right"/>
    </xf>
    <xf numFmtId="165" fontId="59" fillId="0" borderId="0" xfId="1" applyNumberFormat="1" applyFont="1" applyFill="1"/>
    <xf numFmtId="165" fontId="59" fillId="0" borderId="3" xfId="1" applyNumberFormat="1" applyFont="1" applyFill="1" applyBorder="1" applyAlignment="1">
      <alignment horizontal="right"/>
    </xf>
    <xf numFmtId="165" fontId="59" fillId="0" borderId="3" xfId="1" applyNumberFormat="1" applyFont="1" applyFill="1" applyBorder="1"/>
    <xf numFmtId="165" fontId="59" fillId="0" borderId="0" xfId="1" applyNumberFormat="1" applyFont="1" applyFill="1" applyBorder="1"/>
    <xf numFmtId="165" fontId="59" fillId="0" borderId="4" xfId="1" applyNumberFormat="1" applyFont="1" applyFill="1" applyBorder="1" applyAlignment="1">
      <alignment horizontal="right"/>
    </xf>
    <xf numFmtId="165" fontId="59" fillId="0" borderId="4" xfId="1" applyNumberFormat="1" applyFont="1" applyFill="1" applyBorder="1"/>
    <xf numFmtId="165" fontId="59" fillId="0" borderId="5" xfId="1" applyNumberFormat="1" applyFont="1" applyFill="1" applyBorder="1" applyAlignment="1">
      <alignment horizontal="right"/>
    </xf>
    <xf numFmtId="165" fontId="59" fillId="0" borderId="5" xfId="1" applyNumberFormat="1" applyFont="1" applyFill="1" applyBorder="1"/>
    <xf numFmtId="165" fontId="76" fillId="0" borderId="0" xfId="1" applyNumberFormat="1" applyFont="1" applyFill="1"/>
    <xf numFmtId="165" fontId="59" fillId="0" borderId="5" xfId="1" applyNumberFormat="1" applyFont="1" applyFill="1" applyBorder="1" applyAlignment="1"/>
    <xf numFmtId="165" fontId="41" fillId="0" borderId="0" xfId="1" applyNumberFormat="1" applyFont="1" applyFill="1" applyAlignment="1">
      <alignment horizontal="right" vertical="center"/>
    </xf>
    <xf numFmtId="165" fontId="41" fillId="0" borderId="0" xfId="1" applyNumberFormat="1" applyFont="1" applyFill="1" applyAlignment="1">
      <alignment horizontal="right" vertical="top"/>
    </xf>
    <xf numFmtId="165" fontId="41" fillId="0" borderId="0" xfId="1" applyNumberFormat="1" applyFont="1" applyFill="1" applyBorder="1" applyAlignment="1">
      <alignment vertical="top"/>
    </xf>
    <xf numFmtId="165" fontId="41" fillId="0" borderId="0" xfId="1" applyNumberFormat="1" applyFont="1" applyAlignment="1">
      <alignment vertical="top"/>
    </xf>
    <xf numFmtId="165" fontId="41" fillId="0" borderId="0" xfId="1" applyNumberFormat="1" applyFont="1" applyFill="1" applyBorder="1" applyAlignment="1">
      <alignment horizontal="right" vertical="top"/>
    </xf>
    <xf numFmtId="165" fontId="40" fillId="0" borderId="3" xfId="1" applyNumberFormat="1" applyFont="1" applyFill="1" applyBorder="1" applyAlignment="1">
      <alignment vertical="top"/>
    </xf>
    <xf numFmtId="165" fontId="40" fillId="0" borderId="0" xfId="1" applyNumberFormat="1" applyFont="1" applyFill="1" applyAlignment="1">
      <alignment horizontal="right" vertical="top"/>
    </xf>
    <xf numFmtId="0" fontId="40" fillId="0" borderId="3" xfId="4" applyFont="1" applyFill="1" applyBorder="1">
      <alignment vertical="top"/>
    </xf>
    <xf numFmtId="38" fontId="40" fillId="0" borderId="2" xfId="4" applyNumberFormat="1" applyFont="1" applyFill="1" applyBorder="1">
      <alignment vertical="top"/>
    </xf>
    <xf numFmtId="165" fontId="40" fillId="0" borderId="2" xfId="1" applyNumberFormat="1" applyFont="1" applyFill="1" applyBorder="1" applyAlignment="1">
      <alignment vertical="top"/>
    </xf>
    <xf numFmtId="43" fontId="38" fillId="0" borderId="0" xfId="1" applyNumberFormat="1" applyFont="1" applyFill="1" applyAlignment="1">
      <alignment vertical="top"/>
    </xf>
    <xf numFmtId="165" fontId="36" fillId="0" borderId="0" xfId="1" applyNumberFormat="1" applyFont="1" applyFill="1" applyAlignment="1">
      <alignment horizontal="right"/>
    </xf>
    <xf numFmtId="165" fontId="40" fillId="0" borderId="3" xfId="1" applyNumberFormat="1" applyFont="1" applyFill="1" applyBorder="1" applyAlignment="1">
      <alignment horizontal="right" vertical="top"/>
    </xf>
    <xf numFmtId="165" fontId="59" fillId="0" borderId="0" xfId="1" applyNumberFormat="1" applyFont="1" applyFill="1" applyAlignment="1">
      <alignment horizontal="left" indent="2"/>
    </xf>
    <xf numFmtId="0" fontId="37" fillId="0" borderId="2" xfId="0" applyFont="1" applyFill="1" applyBorder="1"/>
    <xf numFmtId="165" fontId="41" fillId="0" borderId="0" xfId="1" applyNumberFormat="1" applyFont="1" applyAlignment="1">
      <alignment horizontal="right" vertical="center"/>
    </xf>
    <xf numFmtId="165" fontId="35" fillId="0" borderId="0" xfId="4" applyNumberFormat="1" applyFont="1">
      <alignment vertical="top"/>
    </xf>
    <xf numFmtId="165" fontId="61" fillId="0" borderId="0" xfId="1" applyNumberFormat="1" applyFont="1" applyBorder="1"/>
    <xf numFmtId="0" fontId="118" fillId="0" borderId="0" xfId="0" applyFont="1" applyAlignment="1">
      <alignment horizontal="center"/>
    </xf>
    <xf numFmtId="0" fontId="77" fillId="0" borderId="0" xfId="0" applyFont="1" applyAlignment="1"/>
    <xf numFmtId="165" fontId="38" fillId="0" borderId="0" xfId="4" applyNumberFormat="1" applyFont="1" applyFill="1">
      <alignment vertical="top"/>
    </xf>
    <xf numFmtId="165" fontId="52" fillId="0" borderId="0" xfId="485" applyNumberFormat="1" applyFont="1" applyAlignment="1">
      <alignment vertical="top"/>
    </xf>
    <xf numFmtId="0" fontId="52" fillId="0" borderId="0" xfId="0" applyFont="1" applyBorder="1"/>
    <xf numFmtId="0" fontId="60" fillId="0" borderId="1" xfId="0" applyFont="1" applyBorder="1" applyAlignment="1">
      <alignment horizontal="center"/>
    </xf>
    <xf numFmtId="0" fontId="77" fillId="0" borderId="1" xfId="0" applyFont="1" applyBorder="1" applyAlignment="1"/>
    <xf numFmtId="165" fontId="38" fillId="18" borderId="0" xfId="1" applyNumberFormat="1" applyFont="1" applyFill="1" applyAlignment="1">
      <alignment vertical="top"/>
    </xf>
    <xf numFmtId="0" fontId="38" fillId="18" borderId="0" xfId="1" applyNumberFormat="1" applyFont="1" applyFill="1" applyAlignment="1">
      <alignment horizontal="left" vertical="top"/>
    </xf>
    <xf numFmtId="42" fontId="40" fillId="0" borderId="2" xfId="1" applyNumberFormat="1" applyFont="1" applyFill="1" applyBorder="1" applyAlignment="1">
      <alignment vertical="top"/>
    </xf>
    <xf numFmtId="42" fontId="40" fillId="0" borderId="2" xfId="1" applyNumberFormat="1" applyFont="1" applyFill="1" applyBorder="1" applyAlignment="1">
      <alignment horizontal="right" vertical="center"/>
    </xf>
    <xf numFmtId="183" fontId="41" fillId="0" borderId="0" xfId="1" applyNumberFormat="1" applyFont="1" applyFill="1" applyBorder="1" applyAlignment="1">
      <alignment vertical="top"/>
    </xf>
    <xf numFmtId="183" fontId="40" fillId="0" borderId="2" xfId="1" applyNumberFormat="1" applyFont="1" applyFill="1" applyBorder="1" applyAlignment="1">
      <alignment vertical="top"/>
    </xf>
    <xf numFmtId="165" fontId="41" fillId="0" borderId="0" xfId="4" applyNumberFormat="1" applyFont="1">
      <alignment vertical="top"/>
    </xf>
    <xf numFmtId="10" fontId="38" fillId="0" borderId="0" xfId="6" applyNumberFormat="1" applyFont="1" applyFill="1" applyAlignment="1">
      <alignment vertical="top"/>
    </xf>
    <xf numFmtId="43" fontId="124" fillId="0" borderId="0" xfId="1" applyFont="1" applyBorder="1" applyAlignment="1">
      <alignment vertical="center"/>
    </xf>
    <xf numFmtId="165" fontId="41" fillId="0" borderId="0" xfId="4" applyNumberFormat="1" applyFont="1" applyFill="1" applyAlignment="1">
      <alignment horizontal="right" vertical="center"/>
    </xf>
    <xf numFmtId="0" fontId="35" fillId="18" borderId="0" xfId="4" applyFont="1" applyFill="1">
      <alignment vertical="top"/>
    </xf>
    <xf numFmtId="183" fontId="41" fillId="18" borderId="0" xfId="1" applyNumberFormat="1" applyFont="1" applyFill="1" applyBorder="1" applyAlignment="1">
      <alignment vertical="top"/>
    </xf>
    <xf numFmtId="10" fontId="58" fillId="0" borderId="0" xfId="6" applyNumberFormat="1" applyFont="1"/>
    <xf numFmtId="43" fontId="38" fillId="0" borderId="0" xfId="1" applyFont="1" applyFill="1" applyBorder="1" applyAlignment="1">
      <alignment vertical="top"/>
    </xf>
    <xf numFmtId="0" fontId="41" fillId="18" borderId="0" xfId="4" applyFont="1" applyFill="1">
      <alignment vertical="top"/>
    </xf>
    <xf numFmtId="43" fontId="59" fillId="0" borderId="0" xfId="0" applyNumberFormat="1" applyFont="1" applyFill="1"/>
    <xf numFmtId="43" fontId="35" fillId="0" borderId="0" xfId="1" applyFont="1" applyBorder="1" applyAlignment="1">
      <alignment vertical="top"/>
    </xf>
    <xf numFmtId="43" fontId="58" fillId="0" borderId="0" xfId="1" applyFont="1" applyFill="1" applyAlignment="1">
      <alignment vertical="top"/>
    </xf>
    <xf numFmtId="0" fontId="11" fillId="0" borderId="0" xfId="0" applyFont="1" applyAlignment="1">
      <alignment wrapText="1"/>
    </xf>
    <xf numFmtId="43" fontId="52" fillId="0" borderId="0" xfId="1" applyNumberFormat="1" applyFont="1"/>
    <xf numFmtId="184" fontId="0" fillId="0" borderId="0" xfId="0" applyNumberFormat="1"/>
    <xf numFmtId="38" fontId="59" fillId="0" borderId="0" xfId="0" applyNumberFormat="1" applyFont="1" applyFill="1"/>
    <xf numFmtId="38" fontId="51" fillId="0" borderId="0" xfId="0" applyNumberFormat="1" applyFont="1" applyFill="1"/>
    <xf numFmtId="0" fontId="143" fillId="0" borderId="0" xfId="4" applyFont="1" applyFill="1" applyBorder="1">
      <alignment vertical="top"/>
    </xf>
    <xf numFmtId="173" fontId="58" fillId="0" borderId="0" xfId="6" applyNumberFormat="1" applyFont="1"/>
    <xf numFmtId="43" fontId="41" fillId="0" borderId="4" xfId="1" applyFont="1" applyFill="1" applyBorder="1" applyAlignment="1">
      <alignment horizontal="right" vertical="center"/>
    </xf>
    <xf numFmtId="165" fontId="52" fillId="0" borderId="0" xfId="1" applyNumberFormat="1" applyFont="1" applyFill="1" applyBorder="1" applyAlignment="1">
      <alignment horizontal="right" vertical="center"/>
    </xf>
    <xf numFmtId="0" fontId="70" fillId="0" borderId="0" xfId="0" applyFont="1" applyAlignment="1">
      <alignment horizontal="center"/>
    </xf>
    <xf numFmtId="0" fontId="79" fillId="0" borderId="0" xfId="0" applyFont="1" applyFill="1" applyAlignment="1">
      <alignment horizontal="center"/>
    </xf>
    <xf numFmtId="0" fontId="79" fillId="0" borderId="0" xfId="0" applyFont="1" applyFill="1" applyAlignment="1">
      <alignment horizontal="center"/>
    </xf>
    <xf numFmtId="0" fontId="36" fillId="0" borderId="0" xfId="0" applyFont="1" applyBorder="1" applyAlignment="1">
      <alignment horizontal="center"/>
    </xf>
    <xf numFmtId="0" fontId="120" fillId="52" borderId="72" xfId="0" applyFont="1" applyFill="1" applyBorder="1" applyAlignment="1">
      <alignment vertical="top"/>
    </xf>
    <xf numFmtId="0" fontId="119" fillId="53" borderId="72" xfId="0" applyFont="1" applyFill="1" applyBorder="1" applyAlignment="1">
      <alignment vertical="top"/>
    </xf>
    <xf numFmtId="0" fontId="36" fillId="0" borderId="0" xfId="0" applyFont="1" applyAlignment="1">
      <alignment horizontal="center"/>
    </xf>
    <xf numFmtId="0" fontId="0" fillId="0" borderId="0" xfId="0"/>
    <xf numFmtId="0" fontId="120" fillId="52" borderId="72" xfId="0" applyFont="1" applyFill="1" applyBorder="1" applyAlignment="1">
      <alignment vertical="top"/>
    </xf>
    <xf numFmtId="165" fontId="58" fillId="18" borderId="0" xfId="1" applyNumberFormat="1" applyFont="1" applyFill="1"/>
    <xf numFmtId="165" fontId="59" fillId="0" borderId="0" xfId="1" quotePrefix="1" applyNumberFormat="1" applyFont="1" applyFill="1" applyAlignment="1">
      <alignment horizontal="right"/>
    </xf>
    <xf numFmtId="43" fontId="133" fillId="0" borderId="0" xfId="1" applyFont="1" applyFill="1" applyAlignment="1">
      <alignment vertical="top"/>
    </xf>
    <xf numFmtId="43" fontId="85" fillId="19" borderId="0" xfId="1" applyFont="1" applyFill="1"/>
    <xf numFmtId="165" fontId="84" fillId="19" borderId="0" xfId="1" applyNumberFormat="1" applyFont="1" applyFill="1" applyAlignment="1">
      <alignment horizontal="center"/>
    </xf>
    <xf numFmtId="0" fontId="36" fillId="0" borderId="0" xfId="0" applyFont="1"/>
    <xf numFmtId="165" fontId="36" fillId="0" borderId="3" xfId="1" applyNumberFormat="1" applyFont="1" applyBorder="1" applyAlignment="1">
      <alignment horizontal="right"/>
    </xf>
    <xf numFmtId="165" fontId="36" fillId="0" borderId="3" xfId="1" applyNumberFormat="1" applyFont="1" applyFill="1" applyBorder="1" applyAlignment="1">
      <alignment horizontal="right"/>
    </xf>
    <xf numFmtId="165" fontId="36" fillId="0" borderId="3" xfId="1" applyNumberFormat="1" applyFont="1" applyFill="1" applyBorder="1"/>
    <xf numFmtId="165" fontId="36" fillId="0" borderId="0" xfId="0" applyNumberFormat="1" applyFont="1"/>
    <xf numFmtId="43" fontId="111" fillId="18" borderId="0" xfId="1" applyFont="1" applyFill="1"/>
    <xf numFmtId="165" fontId="59" fillId="0" borderId="0" xfId="1" applyNumberFormat="1" applyFont="1" applyFill="1" applyAlignment="1">
      <alignment wrapText="1"/>
    </xf>
    <xf numFmtId="0" fontId="50" fillId="0" borderId="0" xfId="31721" applyFont="1" applyFill="1" applyAlignment="1">
      <alignment horizontal="center"/>
    </xf>
    <xf numFmtId="0" fontId="51" fillId="0" borderId="0" xfId="31721" applyFont="1" applyFill="1" applyAlignment="1">
      <alignment horizontal="left"/>
    </xf>
    <xf numFmtId="41" fontId="51" fillId="0" borderId="0" xfId="31721" applyNumberFormat="1" applyFont="1" applyFill="1" applyAlignment="1">
      <alignment horizontal="left"/>
    </xf>
    <xf numFmtId="0" fontId="51" fillId="0" borderId="0" xfId="31721" applyFont="1" applyAlignment="1">
      <alignment horizontal="left"/>
    </xf>
    <xf numFmtId="0" fontId="90" fillId="0" borderId="12" xfId="31721" applyFont="1" applyFill="1" applyBorder="1" applyAlignment="1">
      <alignment horizontal="center"/>
    </xf>
    <xf numFmtId="0" fontId="90" fillId="0" borderId="0" xfId="31721" applyFont="1" applyFill="1" applyBorder="1" applyAlignment="1">
      <alignment horizontal="center"/>
    </xf>
    <xf numFmtId="0" fontId="91" fillId="0" borderId="0" xfId="31721" applyFont="1" applyAlignment="1">
      <alignment horizontal="center"/>
    </xf>
    <xf numFmtId="0" fontId="57" fillId="0" borderId="0" xfId="31721" applyFont="1" applyAlignment="1">
      <alignment horizontal="left"/>
    </xf>
    <xf numFmtId="0" fontId="57" fillId="0" borderId="0" xfId="31721" applyFont="1" applyFill="1" applyAlignment="1">
      <alignment horizontal="left"/>
    </xf>
    <xf numFmtId="41" fontId="57" fillId="0" borderId="0" xfId="31721" applyNumberFormat="1" applyFont="1" applyFill="1" applyAlignment="1">
      <alignment horizontal="left"/>
    </xf>
    <xf numFmtId="0" fontId="91" fillId="0" borderId="0" xfId="31721" applyFont="1" applyFill="1" applyAlignment="1">
      <alignment horizontal="center"/>
    </xf>
    <xf numFmtId="0" fontId="69" fillId="0" borderId="12" xfId="31721" applyFont="1" applyBorder="1" applyAlignment="1">
      <alignment horizontal="center" wrapText="1"/>
    </xf>
    <xf numFmtId="172" fontId="50" fillId="0" borderId="0" xfId="31721" applyNumberFormat="1" applyFont="1" applyBorder="1" applyAlignment="1">
      <alignment wrapText="1"/>
    </xf>
    <xf numFmtId="0" fontId="72" fillId="0" borderId="0" xfId="31721" applyFont="1" applyBorder="1" applyAlignment="1">
      <alignment wrapText="1"/>
    </xf>
    <xf numFmtId="0" fontId="50" fillId="0" borderId="0" xfId="31721" applyFont="1" applyFill="1" applyAlignment="1">
      <alignment wrapText="1"/>
    </xf>
    <xf numFmtId="41" fontId="50" fillId="0" borderId="0" xfId="31721" applyNumberFormat="1" applyFont="1" applyFill="1" applyAlignment="1">
      <alignment wrapText="1"/>
    </xf>
    <xf numFmtId="0" fontId="50" fillId="0" borderId="0" xfId="31721" applyFont="1" applyAlignment="1">
      <alignment wrapText="1"/>
    </xf>
    <xf numFmtId="0" fontId="36" fillId="0" borderId="12" xfId="31721" applyFont="1" applyBorder="1"/>
    <xf numFmtId="0" fontId="59" fillId="0" borderId="0" xfId="31721" applyFont="1" applyBorder="1"/>
    <xf numFmtId="0" fontId="71" fillId="0" borderId="0" xfId="31721" applyFont="1" applyBorder="1"/>
    <xf numFmtId="0" fontId="74" fillId="0" borderId="0" xfId="31721" applyFont="1" applyBorder="1" applyAlignment="1">
      <alignment horizontal="center"/>
    </xf>
    <xf numFmtId="0" fontId="59" fillId="0" borderId="0" xfId="31721" applyFont="1" applyFill="1" applyBorder="1" applyAlignment="1">
      <alignment horizontal="center"/>
    </xf>
    <xf numFmtId="0" fontId="74" fillId="0" borderId="0" xfId="31721" applyFont="1" applyFill="1" applyBorder="1" applyAlignment="1">
      <alignment horizontal="center"/>
    </xf>
    <xf numFmtId="0" fontId="59" fillId="0" borderId="0" xfId="31721" applyFont="1" applyFill="1"/>
    <xf numFmtId="41" fontId="59" fillId="0" borderId="0" xfId="31721" applyNumberFormat="1" applyFont="1" applyFill="1"/>
    <xf numFmtId="0" fontId="59" fillId="0" borderId="0" xfId="31721" applyFont="1"/>
    <xf numFmtId="0" fontId="59" fillId="0" borderId="12" xfId="31721" applyFont="1" applyFill="1" applyBorder="1"/>
    <xf numFmtId="0" fontId="59" fillId="0" borderId="12" xfId="31721" applyFont="1" applyBorder="1"/>
    <xf numFmtId="165" fontId="59" fillId="0" borderId="0" xfId="31721" applyNumberFormat="1" applyFont="1" applyFill="1"/>
    <xf numFmtId="0" fontId="36" fillId="0" borderId="12" xfId="31721" applyFont="1" applyFill="1" applyBorder="1"/>
    <xf numFmtId="0" fontId="59" fillId="0" borderId="0" xfId="31721" applyFont="1" applyFill="1" applyBorder="1"/>
    <xf numFmtId="0" fontId="59" fillId="0" borderId="0" xfId="31721" applyFont="1" applyFill="1" applyBorder="1" applyAlignment="1">
      <alignment horizontal="right"/>
    </xf>
    <xf numFmtId="172" fontId="59" fillId="0" borderId="0" xfId="31721" applyNumberFormat="1" applyFont="1" applyFill="1" applyBorder="1" applyAlignment="1">
      <alignment horizontal="right"/>
    </xf>
    <xf numFmtId="172" fontId="59" fillId="0" borderId="0" xfId="31721" applyNumberFormat="1" applyFont="1" applyFill="1" applyBorder="1"/>
    <xf numFmtId="0" fontId="75" fillId="0" borderId="0" xfId="31721" applyFont="1" applyFill="1" applyBorder="1"/>
    <xf numFmtId="0" fontId="36" fillId="0" borderId="0" xfId="31721" applyFont="1" applyFill="1" applyBorder="1"/>
    <xf numFmtId="165" fontId="36" fillId="0" borderId="0" xfId="31721" applyNumberFormat="1" applyFont="1" applyFill="1"/>
    <xf numFmtId="0" fontId="36" fillId="0" borderId="0" xfId="31721" applyFont="1" applyFill="1"/>
    <xf numFmtId="41" fontId="36" fillId="0" borderId="0" xfId="31721" applyNumberFormat="1" applyFont="1" applyFill="1"/>
    <xf numFmtId="0" fontId="15" fillId="0" borderId="0" xfId="31721" applyFont="1" applyFill="1" applyAlignment="1">
      <alignment horizontal="center"/>
    </xf>
    <xf numFmtId="0" fontId="15" fillId="0" borderId="0" xfId="31721" applyFont="1" applyAlignment="1">
      <alignment horizontal="center"/>
    </xf>
    <xf numFmtId="0" fontId="51" fillId="0" borderId="0" xfId="31721" applyFont="1" applyFill="1"/>
    <xf numFmtId="41" fontId="51" fillId="0" borderId="0" xfId="31721" applyNumberFormat="1" applyFont="1" applyFill="1"/>
    <xf numFmtId="0" fontId="51" fillId="0" borderId="0" xfId="31721" applyFont="1"/>
    <xf numFmtId="0" fontId="52" fillId="0" borderId="0" xfId="31721" applyFont="1" applyAlignment="1">
      <alignment horizontal="center"/>
    </xf>
    <xf numFmtId="0" fontId="52" fillId="0" borderId="0" xfId="31721" applyFont="1" applyBorder="1" applyAlignment="1">
      <alignment horizontal="center"/>
    </xf>
    <xf numFmtId="0" fontId="52" fillId="0" borderId="0" xfId="31721" applyFont="1" applyFill="1" applyBorder="1" applyAlignment="1">
      <alignment horizontal="center"/>
    </xf>
    <xf numFmtId="2" fontId="56" fillId="5" borderId="0" xfId="31721" applyNumberFormat="1" applyFont="1" applyFill="1"/>
    <xf numFmtId="2" fontId="56" fillId="5" borderId="0" xfId="31721" applyNumberFormat="1" applyFont="1" applyFill="1" applyBorder="1"/>
    <xf numFmtId="2" fontId="56" fillId="0" borderId="0" xfId="31721" applyNumberFormat="1" applyFont="1" applyFill="1" applyBorder="1"/>
    <xf numFmtId="2" fontId="56" fillId="0" borderId="0" xfId="31721" applyNumberFormat="1" applyFont="1" applyFill="1"/>
    <xf numFmtId="41" fontId="56" fillId="0" borderId="0" xfId="31721" applyNumberFormat="1" applyFont="1" applyFill="1"/>
    <xf numFmtId="0" fontId="51" fillId="0" borderId="0" xfId="31721" applyFont="1" applyBorder="1"/>
    <xf numFmtId="0" fontId="51" fillId="0" borderId="0" xfId="31721" applyFont="1" applyFill="1" applyBorder="1"/>
    <xf numFmtId="0" fontId="59" fillId="0" borderId="0" xfId="31721" applyFont="1" applyAlignment="1">
      <alignment horizontal="center"/>
    </xf>
    <xf numFmtId="0" fontId="59" fillId="0" borderId="0" xfId="31721" applyFont="1" applyBorder="1" applyAlignment="1">
      <alignment horizontal="center"/>
    </xf>
    <xf numFmtId="0" fontId="51" fillId="0" borderId="0" xfId="31721" applyFont="1" applyBorder="1" applyAlignment="1"/>
    <xf numFmtId="0" fontId="51" fillId="0" borderId="0" xfId="31721" applyFont="1" applyAlignment="1"/>
    <xf numFmtId="0" fontId="51" fillId="0" borderId="0" xfId="31721" applyFont="1" applyFill="1" applyAlignment="1"/>
    <xf numFmtId="41" fontId="51" fillId="0" borderId="0" xfId="31721" applyNumberFormat="1" applyFont="1" applyFill="1" applyAlignment="1"/>
    <xf numFmtId="43" fontId="90" fillId="0" borderId="0" xfId="1" applyFont="1" applyFill="1" applyBorder="1" applyAlignment="1">
      <alignment horizontal="center"/>
    </xf>
    <xf numFmtId="43" fontId="59" fillId="0" borderId="0" xfId="1" applyFont="1" applyBorder="1" applyAlignment="1">
      <alignment horizontal="center"/>
    </xf>
    <xf numFmtId="43" fontId="36" fillId="0" borderId="0" xfId="1" applyFont="1" applyFill="1" applyBorder="1"/>
    <xf numFmtId="43" fontId="52" fillId="0" borderId="0" xfId="1" applyFont="1" applyAlignment="1">
      <alignment horizontal="center"/>
    </xf>
    <xf numFmtId="43" fontId="56" fillId="5" borderId="0" xfId="1" applyFont="1" applyFill="1"/>
    <xf numFmtId="43" fontId="57" fillId="0" borderId="0" xfId="1" applyFont="1"/>
    <xf numFmtId="43" fontId="59" fillId="0" borderId="0" xfId="1" applyFont="1" applyAlignment="1">
      <alignment horizontal="center"/>
    </xf>
    <xf numFmtId="43" fontId="52" fillId="0" borderId="0" xfId="1" applyFont="1" applyFill="1" applyAlignment="1">
      <alignment horizontal="center"/>
    </xf>
    <xf numFmtId="43" fontId="50" fillId="0" borderId="0" xfId="1" applyFont="1" applyFill="1"/>
    <xf numFmtId="43" fontId="90" fillId="0" borderId="7" xfId="1" applyFont="1" applyFill="1" applyBorder="1" applyAlignment="1">
      <alignment horizontal="center"/>
    </xf>
    <xf numFmtId="43" fontId="59" fillId="0" borderId="7" xfId="1" applyFont="1" applyFill="1" applyBorder="1" applyAlignment="1">
      <alignment horizontal="center"/>
    </xf>
    <xf numFmtId="43" fontId="36" fillId="0" borderId="7" xfId="1" applyFont="1" applyFill="1" applyBorder="1"/>
    <xf numFmtId="165" fontId="90" fillId="0" borderId="0" xfId="1" applyNumberFormat="1" applyFont="1" applyFill="1" applyBorder="1" applyAlignment="1">
      <alignment horizontal="center"/>
    </xf>
    <xf numFmtId="165" fontId="52" fillId="0" borderId="0" xfId="1" applyNumberFormat="1" applyFont="1" applyFill="1" applyAlignment="1">
      <alignment horizontal="center"/>
    </xf>
    <xf numFmtId="165" fontId="59" fillId="0" borderId="0" xfId="31721" applyNumberFormat="1" applyFont="1" applyBorder="1"/>
    <xf numFmtId="165" fontId="59" fillId="0" borderId="7" xfId="1" applyNumberFormat="1" applyFont="1" applyFill="1" applyBorder="1"/>
    <xf numFmtId="43" fontId="145" fillId="0" borderId="0" xfId="1" applyFont="1" applyBorder="1" applyAlignment="1">
      <alignment horizontal="center" wrapText="1"/>
    </xf>
    <xf numFmtId="0" fontId="146" fillId="0" borderId="0" xfId="31721" applyFont="1" applyBorder="1" applyAlignment="1">
      <alignment horizontal="center" wrapText="1"/>
    </xf>
    <xf numFmtId="43" fontId="145" fillId="0" borderId="0" xfId="1" applyFont="1" applyFill="1" applyBorder="1" applyAlignment="1">
      <alignment horizontal="center" wrapText="1"/>
    </xf>
    <xf numFmtId="0" fontId="146" fillId="0" borderId="0" xfId="31721" applyFont="1" applyFill="1" applyBorder="1" applyAlignment="1">
      <alignment horizontal="center" wrapText="1"/>
    </xf>
    <xf numFmtId="0" fontId="145" fillId="0" borderId="0" xfId="31721" applyFont="1" applyFill="1" applyBorder="1" applyAlignment="1">
      <alignment horizontal="center" wrapText="1"/>
    </xf>
    <xf numFmtId="165" fontId="145" fillId="0" borderId="0" xfId="1" applyNumberFormat="1" applyFont="1" applyFill="1" applyBorder="1" applyAlignment="1">
      <alignment horizontal="center" wrapText="1"/>
    </xf>
    <xf numFmtId="43" fontId="145" fillId="0" borderId="7" xfId="1" applyFont="1" applyFill="1" applyBorder="1" applyAlignment="1">
      <alignment horizontal="center" wrapText="1"/>
    </xf>
    <xf numFmtId="165" fontId="36" fillId="0" borderId="4" xfId="1" applyNumberFormat="1" applyFont="1" applyFill="1" applyBorder="1" applyAlignment="1">
      <alignment horizontal="right"/>
    </xf>
    <xf numFmtId="165" fontId="36" fillId="0" borderId="4" xfId="1" applyNumberFormat="1" applyFont="1" applyBorder="1" applyAlignment="1">
      <alignment horizontal="right"/>
    </xf>
    <xf numFmtId="0" fontId="36" fillId="0" borderId="0" xfId="0" applyFont="1" applyAlignment="1">
      <alignment horizontal="left" indent="1"/>
    </xf>
    <xf numFmtId="0" fontId="36" fillId="0" borderId="0" xfId="0" applyFont="1" applyFill="1" applyAlignment="1">
      <alignment horizontal="left" indent="1"/>
    </xf>
    <xf numFmtId="0" fontId="74" fillId="0" borderId="0" xfId="0" applyFont="1" applyFill="1" applyBorder="1"/>
    <xf numFmtId="6" fontId="74" fillId="0" borderId="0" xfId="0" applyNumberFormat="1" applyFont="1" applyFill="1" applyAlignment="1">
      <alignment horizontal="right"/>
    </xf>
    <xf numFmtId="0" fontId="75" fillId="60" borderId="0" xfId="0" applyFont="1" applyFill="1"/>
    <xf numFmtId="0" fontId="36" fillId="60" borderId="0" xfId="0" applyFont="1" applyFill="1"/>
    <xf numFmtId="165" fontId="36" fillId="60" borderId="5" xfId="1" applyNumberFormat="1" applyFont="1" applyFill="1" applyBorder="1" applyAlignment="1">
      <alignment horizontal="right"/>
    </xf>
    <xf numFmtId="165" fontId="36" fillId="60" borderId="5" xfId="1" applyNumberFormat="1" applyFont="1" applyFill="1" applyBorder="1"/>
    <xf numFmtId="0" fontId="145" fillId="0" borderId="0" xfId="0" applyFont="1" applyAlignment="1">
      <alignment horizontal="center" wrapText="1"/>
    </xf>
    <xf numFmtId="172" fontId="147" fillId="0" borderId="0" xfId="0" applyNumberFormat="1" applyFont="1" applyAlignment="1">
      <alignment wrapText="1"/>
    </xf>
    <xf numFmtId="0" fontId="148" fillId="0" borderId="0" xfId="0" applyFont="1" applyAlignment="1">
      <alignment wrapText="1"/>
    </xf>
    <xf numFmtId="0" fontId="147" fillId="0" borderId="0" xfId="0" applyFont="1" applyFill="1" applyAlignment="1">
      <alignment wrapText="1"/>
    </xf>
    <xf numFmtId="0" fontId="147" fillId="0" borderId="0" xfId="0" applyFont="1" applyAlignment="1">
      <alignment wrapText="1"/>
    </xf>
    <xf numFmtId="165" fontId="149" fillId="0" borderId="50" xfId="1" applyNumberFormat="1" applyFont="1" applyFill="1" applyBorder="1" applyAlignment="1">
      <alignment horizontal="center" wrapText="1"/>
    </xf>
    <xf numFmtId="177" fontId="149" fillId="0" borderId="50" xfId="1" applyNumberFormat="1" applyFont="1" applyBorder="1" applyAlignment="1">
      <alignment horizontal="center" wrapText="1"/>
    </xf>
    <xf numFmtId="165" fontId="149" fillId="0" borderId="50" xfId="0" applyNumberFormat="1" applyFont="1" applyFill="1" applyBorder="1" applyAlignment="1">
      <alignment horizontal="center" wrapText="1"/>
    </xf>
    <xf numFmtId="177" fontId="149" fillId="0" borderId="50" xfId="0" applyNumberFormat="1" applyFont="1" applyFill="1" applyBorder="1" applyAlignment="1">
      <alignment horizontal="center" wrapText="1"/>
    </xf>
    <xf numFmtId="0" fontId="0" fillId="0" borderId="0" xfId="0"/>
    <xf numFmtId="43" fontId="52" fillId="0" borderId="0" xfId="485" applyNumberFormat="1" applyFont="1" applyAlignment="1">
      <alignment vertical="top"/>
    </xf>
    <xf numFmtId="177" fontId="61" fillId="0" borderId="0" xfId="1" applyNumberFormat="1" applyFont="1"/>
    <xf numFmtId="165" fontId="36" fillId="0" borderId="0" xfId="1" applyNumberFormat="1" applyFont="1"/>
    <xf numFmtId="165" fontId="36" fillId="0" borderId="4" xfId="1" applyNumberFormat="1" applyFont="1" applyFill="1" applyBorder="1"/>
    <xf numFmtId="0" fontId="40" fillId="0" borderId="3" xfId="4" applyFont="1" applyFill="1" applyBorder="1" applyAlignment="1">
      <alignment vertical="top" wrapText="1"/>
    </xf>
    <xf numFmtId="43" fontId="36" fillId="0" borderId="0" xfId="1" applyFont="1" applyBorder="1" applyAlignment="1">
      <alignment horizontal="center" vertical="top"/>
    </xf>
    <xf numFmtId="43" fontId="40" fillId="0" borderId="0" xfId="1" applyFont="1" applyFill="1" applyAlignment="1">
      <alignment horizontal="right" vertical="top"/>
    </xf>
    <xf numFmtId="43" fontId="40" fillId="0" borderId="0" xfId="1" applyFont="1" applyFill="1" applyBorder="1" applyAlignment="1">
      <alignment horizontal="right" vertical="top"/>
    </xf>
    <xf numFmtId="0" fontId="120" fillId="52" borderId="72" xfId="68" applyFont="1" applyFill="1" applyBorder="1" applyAlignment="1">
      <alignment horizontal="center" vertical="top"/>
    </xf>
    <xf numFmtId="0" fontId="119" fillId="54" borderId="72" xfId="68" applyFont="1" applyFill="1" applyBorder="1" applyAlignment="1">
      <alignment horizontal="center" vertical="top"/>
    </xf>
    <xf numFmtId="0" fontId="120" fillId="52" borderId="72" xfId="68" applyFont="1" applyFill="1" applyBorder="1" applyAlignment="1">
      <alignment vertical="top"/>
    </xf>
    <xf numFmtId="0" fontId="121" fillId="0" borderId="73" xfId="68" applyBorder="1"/>
    <xf numFmtId="169" fontId="120" fillId="0" borderId="73" xfId="68" applyNumberFormat="1" applyFont="1" applyBorder="1" applyAlignment="1">
      <alignment horizontal="right" vertical="top"/>
    </xf>
    <xf numFmtId="169" fontId="119" fillId="54" borderId="76" xfId="68" applyNumberFormat="1" applyFont="1" applyFill="1" applyBorder="1" applyAlignment="1">
      <alignment horizontal="right" vertical="top"/>
    </xf>
    <xf numFmtId="0" fontId="119" fillId="53" borderId="72" xfId="68" applyFont="1" applyFill="1" applyBorder="1" applyAlignment="1">
      <alignment vertical="top"/>
    </xf>
    <xf numFmtId="0" fontId="121" fillId="53" borderId="76" xfId="68" applyFill="1" applyBorder="1"/>
    <xf numFmtId="169" fontId="119" fillId="53" borderId="76" xfId="68" applyNumberFormat="1" applyFont="1" applyFill="1" applyBorder="1" applyAlignment="1">
      <alignment horizontal="right" vertical="top"/>
    </xf>
    <xf numFmtId="165" fontId="46" fillId="0" borderId="0" xfId="1" applyNumberFormat="1" applyFont="1" applyFill="1" applyBorder="1" applyAlignment="1" applyProtection="1">
      <alignment wrapText="1"/>
      <protection locked="0"/>
    </xf>
    <xf numFmtId="0" fontId="35" fillId="0" borderId="0" xfId="4" applyFont="1" applyAlignment="1">
      <alignment vertical="center"/>
    </xf>
    <xf numFmtId="43" fontId="35" fillId="0" borderId="0" xfId="1" applyFont="1" applyAlignment="1">
      <alignment vertical="center"/>
    </xf>
    <xf numFmtId="165" fontId="59" fillId="19" borderId="0" xfId="1" applyNumberFormat="1" applyFont="1" applyFill="1"/>
    <xf numFmtId="165" fontId="59" fillId="20" borderId="0" xfId="1" applyNumberFormat="1" applyFont="1" applyFill="1"/>
    <xf numFmtId="0" fontId="38" fillId="0" borderId="0" xfId="4" applyFont="1" applyFill="1" applyAlignment="1">
      <alignment vertical="top" wrapText="1"/>
    </xf>
    <xf numFmtId="0" fontId="79" fillId="0" borderId="0" xfId="0" applyFont="1" applyFill="1" applyAlignment="1">
      <alignment horizontal="center"/>
    </xf>
    <xf numFmtId="173" fontId="52" fillId="0" borderId="0" xfId="6" applyNumberFormat="1" applyFont="1"/>
    <xf numFmtId="173" fontId="52" fillId="0" borderId="0" xfId="6" applyNumberFormat="1" applyFont="1" applyFill="1"/>
    <xf numFmtId="0" fontId="79" fillId="0" borderId="0" xfId="0" applyFont="1" applyFill="1" applyAlignment="1">
      <alignment horizontal="center"/>
    </xf>
    <xf numFmtId="0" fontId="36" fillId="0" borderId="0" xfId="0" applyFont="1" applyBorder="1" applyAlignment="1">
      <alignment horizontal="center"/>
    </xf>
    <xf numFmtId="0" fontId="36" fillId="0" borderId="0" xfId="0" applyFont="1" applyAlignment="1">
      <alignment horizontal="center"/>
    </xf>
    <xf numFmtId="0" fontId="145" fillId="0" borderId="0" xfId="0" applyFont="1" applyAlignment="1">
      <alignment horizontal="center" vertical="center" wrapText="1"/>
    </xf>
    <xf numFmtId="172" fontId="147" fillId="0" borderId="0" xfId="0" applyNumberFormat="1" applyFont="1" applyAlignment="1">
      <alignment vertical="center" wrapText="1"/>
    </xf>
    <xf numFmtId="165" fontId="145" fillId="0" borderId="50" xfId="1" applyNumberFormat="1" applyFont="1" applyBorder="1" applyAlignment="1">
      <alignment horizontal="center" wrapText="1"/>
    </xf>
    <xf numFmtId="177" fontId="145" fillId="0" borderId="50" xfId="0" applyNumberFormat="1" applyFont="1" applyFill="1" applyBorder="1" applyAlignment="1">
      <alignment horizontal="center" wrapText="1"/>
    </xf>
    <xf numFmtId="177" fontId="145" fillId="0" borderId="50" xfId="1" applyNumberFormat="1" applyFont="1" applyFill="1" applyBorder="1" applyAlignment="1">
      <alignment horizontal="center" wrapText="1"/>
    </xf>
    <xf numFmtId="0" fontId="147" fillId="0" borderId="0" xfId="0" applyFont="1" applyAlignment="1">
      <alignment vertical="center" wrapText="1"/>
    </xf>
    <xf numFmtId="177" fontId="145" fillId="0" borderId="50" xfId="0" applyNumberFormat="1" applyFont="1" applyFill="1" applyBorder="1" applyAlignment="1">
      <alignment horizontal="center" vertical="center" wrapText="1"/>
    </xf>
    <xf numFmtId="0" fontId="146" fillId="0" borderId="50" xfId="0" applyFont="1" applyFill="1" applyBorder="1" applyAlignment="1">
      <alignment horizontal="center" vertical="center" wrapText="1"/>
    </xf>
    <xf numFmtId="177" fontId="145" fillId="0" borderId="50" xfId="1" applyNumberFormat="1" applyFont="1" applyFill="1" applyBorder="1" applyAlignment="1">
      <alignment horizontal="center" vertical="center" wrapText="1"/>
    </xf>
    <xf numFmtId="0" fontId="147" fillId="0" borderId="0" xfId="0" applyFont="1" applyFill="1" applyAlignment="1">
      <alignment vertical="center" wrapText="1"/>
    </xf>
    <xf numFmtId="0" fontId="74" fillId="0" borderId="0" xfId="0" applyFont="1" applyFill="1"/>
    <xf numFmtId="6" fontId="59" fillId="0" borderId="4" xfId="0" applyNumberFormat="1" applyFont="1" applyFill="1" applyBorder="1" applyAlignment="1">
      <alignment horizontal="right"/>
    </xf>
    <xf numFmtId="0" fontId="145" fillId="0" borderId="0" xfId="0" applyFont="1" applyAlignment="1">
      <alignment vertical="center" wrapText="1"/>
    </xf>
    <xf numFmtId="165" fontId="36" fillId="0" borderId="0" xfId="1" applyNumberFormat="1" applyFont="1" applyFill="1"/>
    <xf numFmtId="165" fontId="36" fillId="0" borderId="0" xfId="1" applyNumberFormat="1" applyFont="1" applyBorder="1" applyAlignment="1">
      <alignment horizontal="right"/>
    </xf>
    <xf numFmtId="43" fontId="61" fillId="0" borderId="0" xfId="1" applyFont="1" applyFill="1"/>
    <xf numFmtId="0" fontId="120" fillId="52" borderId="72" xfId="68" applyFont="1" applyFill="1" applyBorder="1" applyAlignment="1">
      <alignment vertical="top"/>
    </xf>
    <xf numFmtId="0" fontId="120" fillId="52" borderId="72" xfId="68" applyFont="1" applyFill="1" applyBorder="1" applyAlignment="1">
      <alignment vertical="top"/>
    </xf>
    <xf numFmtId="43" fontId="125" fillId="0" borderId="78" xfId="1" applyFont="1" applyFill="1" applyBorder="1" applyAlignment="1">
      <alignment horizontal="center" vertical="center" wrapText="1"/>
    </xf>
    <xf numFmtId="173" fontId="46" fillId="0" borderId="0" xfId="1" applyNumberFormat="1" applyFont="1" applyFill="1" applyBorder="1" applyAlignment="1" applyProtection="1">
      <alignment wrapText="1"/>
      <protection locked="0"/>
    </xf>
    <xf numFmtId="165" fontId="46" fillId="0" borderId="0" xfId="1" applyNumberFormat="1" applyFont="1" applyBorder="1" applyAlignment="1" applyProtection="1">
      <alignment horizontal="left" wrapText="1"/>
      <protection locked="0"/>
    </xf>
    <xf numFmtId="0" fontId="40" fillId="0" borderId="43" xfId="4" applyFont="1" applyFill="1" applyBorder="1">
      <alignment vertical="top"/>
    </xf>
    <xf numFmtId="37" fontId="40" fillId="0" borderId="43" xfId="4" applyNumberFormat="1" applyFont="1" applyFill="1" applyBorder="1" applyAlignment="1">
      <alignment horizontal="right" vertical="center"/>
    </xf>
    <xf numFmtId="38" fontId="40" fillId="0" borderId="43" xfId="4" applyNumberFormat="1" applyFont="1" applyFill="1" applyBorder="1" applyAlignment="1">
      <alignment horizontal="right" vertical="center"/>
    </xf>
    <xf numFmtId="165" fontId="40" fillId="0" borderId="43" xfId="1" applyNumberFormat="1" applyFont="1" applyFill="1" applyBorder="1" applyAlignment="1">
      <alignment horizontal="right" vertical="center"/>
    </xf>
    <xf numFmtId="42" fontId="35" fillId="0" borderId="0" xfId="4" applyNumberFormat="1" applyFont="1" applyFill="1">
      <alignment vertical="top"/>
    </xf>
    <xf numFmtId="0" fontId="41" fillId="0" borderId="0" xfId="4" applyFont="1" applyFill="1" applyBorder="1" applyAlignment="1">
      <alignment vertical="top" wrapText="1"/>
    </xf>
    <xf numFmtId="165" fontId="41" fillId="0" borderId="0" xfId="1" applyNumberFormat="1" applyFont="1" applyFill="1" applyBorder="1" applyAlignment="1">
      <alignment vertical="center"/>
    </xf>
    <xf numFmtId="38" fontId="41" fillId="0" borderId="43" xfId="4" applyNumberFormat="1" applyFont="1" applyFill="1" applyBorder="1" applyAlignment="1">
      <alignment horizontal="right" vertical="center"/>
    </xf>
    <xf numFmtId="38" fontId="41" fillId="0" borderId="2" xfId="4" applyNumberFormat="1" applyFont="1" applyFill="1" applyBorder="1" applyAlignment="1">
      <alignment horizontal="right" vertical="center"/>
    </xf>
    <xf numFmtId="0" fontId="35" fillId="0" borderId="0" xfId="4" applyFont="1" applyFill="1" applyAlignment="1">
      <alignment vertical="top" wrapText="1"/>
    </xf>
    <xf numFmtId="42" fontId="38" fillId="0" borderId="0" xfId="4" applyNumberFormat="1" applyFont="1" applyFill="1">
      <alignment vertical="top"/>
    </xf>
    <xf numFmtId="165" fontId="46" fillId="0" borderId="0" xfId="1" applyNumberFormat="1" applyFont="1" applyBorder="1" applyAlignment="1" applyProtection="1">
      <alignment wrapText="1"/>
      <protection locked="0"/>
    </xf>
    <xf numFmtId="176" fontId="38" fillId="0" borderId="0" xfId="1" applyNumberFormat="1" applyFont="1" applyFill="1" applyAlignment="1">
      <alignment vertical="top"/>
    </xf>
    <xf numFmtId="49" fontId="43" fillId="0" borderId="33" xfId="0" applyNumberFormat="1" applyFont="1" applyFill="1" applyBorder="1" applyAlignment="1">
      <alignment vertical="center" wrapText="1"/>
    </xf>
    <xf numFmtId="38" fontId="41" fillId="0" borderId="0" xfId="4" applyNumberFormat="1" applyFont="1" applyFill="1" applyBorder="1" applyAlignment="1">
      <alignment vertical="center"/>
    </xf>
    <xf numFmtId="0" fontId="35" fillId="0" borderId="0" xfId="4" applyFont="1" applyFill="1" applyAlignment="1">
      <alignment vertical="center"/>
    </xf>
    <xf numFmtId="165" fontId="38" fillId="0" borderId="0" xfId="1" applyNumberFormat="1" applyFont="1" applyFill="1" applyAlignment="1">
      <alignment vertical="center"/>
    </xf>
    <xf numFmtId="0" fontId="41" fillId="0" borderId="0" xfId="4" applyFont="1" applyFill="1" applyBorder="1" applyAlignment="1">
      <alignment vertical="top"/>
    </xf>
    <xf numFmtId="0" fontId="71" fillId="0" borderId="0" xfId="0" applyFont="1" applyAlignment="1">
      <alignment horizontal="left" vertical="center"/>
    </xf>
    <xf numFmtId="0" fontId="36" fillId="0" borderId="0" xfId="0" applyFont="1" applyAlignment="1">
      <alignment horizontal="left" vertical="center"/>
    </xf>
    <xf numFmtId="165" fontId="59" fillId="0" borderId="0" xfId="1" applyNumberFormat="1" applyFont="1" applyFill="1" applyBorder="1" applyAlignment="1">
      <alignment horizontal="left" vertical="center"/>
    </xf>
    <xf numFmtId="165" fontId="56" fillId="0" borderId="0" xfId="1" applyNumberFormat="1" applyFont="1" applyFill="1" applyAlignment="1">
      <alignment horizontal="left" vertical="center"/>
    </xf>
    <xf numFmtId="177" fontId="59" fillId="0" borderId="0" xfId="1" applyNumberFormat="1" applyFont="1" applyFill="1" applyBorder="1" applyAlignment="1">
      <alignment horizontal="left" vertical="center"/>
    </xf>
    <xf numFmtId="0" fontId="59" fillId="0" borderId="0" xfId="0" applyFont="1" applyAlignment="1">
      <alignment horizontal="left" vertical="center"/>
    </xf>
    <xf numFmtId="0" fontId="59" fillId="0" borderId="0" xfId="0" applyFont="1" applyFill="1" applyAlignment="1">
      <alignment horizontal="left" vertical="center"/>
    </xf>
    <xf numFmtId="173" fontId="46" fillId="0" borderId="0" xfId="1" applyNumberFormat="1" applyFont="1" applyFill="1" applyBorder="1" applyAlignment="1">
      <alignment wrapText="1"/>
    </xf>
    <xf numFmtId="165" fontId="3" fillId="18" borderId="79" xfId="1" applyNumberFormat="1" applyFont="1" applyFill="1" applyBorder="1" applyAlignment="1">
      <alignment horizontal="right" wrapText="1"/>
    </xf>
    <xf numFmtId="165" fontId="41" fillId="18" borderId="0" xfId="1" applyNumberFormat="1" applyFont="1" applyFill="1" applyAlignment="1">
      <alignment vertical="top"/>
    </xf>
    <xf numFmtId="165" fontId="41" fillId="18" borderId="0" xfId="1" applyNumberFormat="1" applyFont="1" applyFill="1" applyAlignment="1">
      <alignment horizontal="center" vertical="center"/>
    </xf>
    <xf numFmtId="0" fontId="120" fillId="52" borderId="72" xfId="0" applyFont="1" applyFill="1" applyBorder="1" applyAlignment="1">
      <alignment vertical="top"/>
    </xf>
    <xf numFmtId="37" fontId="114" fillId="0" borderId="0" xfId="4" applyNumberFormat="1" applyFont="1" applyFill="1" applyBorder="1" applyAlignment="1">
      <alignment horizontal="right" vertical="center"/>
    </xf>
    <xf numFmtId="0" fontId="120" fillId="52" borderId="72" xfId="0" applyFont="1" applyFill="1" applyBorder="1" applyAlignment="1">
      <alignment vertical="top"/>
    </xf>
    <xf numFmtId="0" fontId="79" fillId="0" borderId="0" xfId="31721" applyFont="1" applyFill="1" applyAlignment="1">
      <alignment horizontal="center"/>
    </xf>
    <xf numFmtId="0" fontId="37" fillId="0" borderId="0" xfId="31721" applyFont="1" applyFill="1"/>
    <xf numFmtId="0" fontId="52" fillId="0" borderId="0" xfId="31721" applyFont="1" applyFill="1"/>
    <xf numFmtId="0" fontId="116" fillId="0" borderId="0" xfId="31721" applyFont="1" applyFill="1"/>
    <xf numFmtId="0" fontId="145" fillId="0" borderId="0" xfId="31721" applyFont="1" applyAlignment="1">
      <alignment horizontal="center" wrapText="1"/>
    </xf>
    <xf numFmtId="172" fontId="147" fillId="0" borderId="0" xfId="31721" applyNumberFormat="1" applyFont="1" applyAlignment="1">
      <alignment wrapText="1"/>
    </xf>
    <xf numFmtId="0" fontId="148" fillId="0" borderId="0" xfId="31721" applyFont="1" applyAlignment="1">
      <alignment wrapText="1"/>
    </xf>
    <xf numFmtId="165" fontId="149" fillId="0" borderId="50" xfId="31721" applyNumberFormat="1" applyFont="1" applyFill="1" applyBorder="1" applyAlignment="1">
      <alignment horizontal="center" wrapText="1"/>
    </xf>
    <xf numFmtId="177" fontId="149" fillId="0" borderId="50" xfId="31721" applyNumberFormat="1" applyFont="1" applyFill="1" applyBorder="1" applyAlignment="1">
      <alignment horizontal="center" wrapText="1"/>
    </xf>
    <xf numFmtId="0" fontId="147" fillId="0" borderId="0" xfId="31721" applyFont="1" applyFill="1" applyAlignment="1">
      <alignment wrapText="1"/>
    </xf>
    <xf numFmtId="0" fontId="147" fillId="0" borderId="0" xfId="31721" applyFont="1" applyAlignment="1">
      <alignment wrapText="1"/>
    </xf>
    <xf numFmtId="0" fontId="52" fillId="0" borderId="0" xfId="31721" applyFont="1"/>
    <xf numFmtId="0" fontId="116" fillId="0" borderId="0" xfId="31721" applyFont="1"/>
    <xf numFmtId="165" fontId="52" fillId="0" borderId="0" xfId="31721" applyNumberFormat="1" applyFont="1" applyFill="1" applyBorder="1" applyAlignment="1">
      <alignment horizontal="center"/>
    </xf>
    <xf numFmtId="177" fontId="52" fillId="0" borderId="0" xfId="31721" applyNumberFormat="1" applyFont="1" applyFill="1" applyBorder="1" applyAlignment="1">
      <alignment horizontal="center"/>
    </xf>
    <xf numFmtId="0" fontId="36" fillId="0" borderId="0" xfId="31721" applyFont="1"/>
    <xf numFmtId="0" fontId="75" fillId="0" borderId="0" xfId="31721" applyFont="1"/>
    <xf numFmtId="0" fontId="71" fillId="0" borderId="0" xfId="31721" applyFont="1"/>
    <xf numFmtId="0" fontId="37" fillId="0" borderId="0" xfId="31721" applyFont="1"/>
    <xf numFmtId="0" fontId="58" fillId="0" borderId="0" xfId="31721" applyFont="1"/>
    <xf numFmtId="183" fontId="40" fillId="0" borderId="2" xfId="1" applyNumberFormat="1" applyFont="1" applyFill="1" applyBorder="1" applyAlignment="1">
      <alignment horizontal="right" vertical="top"/>
    </xf>
    <xf numFmtId="165" fontId="41" fillId="0" borderId="4" xfId="4" applyNumberFormat="1" applyFont="1" applyFill="1" applyBorder="1" applyAlignment="1">
      <alignment horizontal="right" vertical="center"/>
    </xf>
    <xf numFmtId="0" fontId="120" fillId="52" borderId="72" xfId="0" applyFont="1" applyFill="1" applyBorder="1" applyAlignment="1">
      <alignment vertical="top"/>
    </xf>
    <xf numFmtId="0" fontId="120" fillId="52" borderId="0" xfId="68" applyFont="1" applyFill="1" applyBorder="1" applyAlignment="1">
      <alignment vertical="top"/>
    </xf>
    <xf numFmtId="43" fontId="52" fillId="0" borderId="0" xfId="1" applyFont="1" applyFill="1" applyBorder="1" applyAlignment="1">
      <alignment horizontal="right" vertical="center"/>
    </xf>
    <xf numFmtId="43" fontId="40" fillId="0" borderId="43" xfId="1" applyFont="1" applyFill="1" applyBorder="1" applyAlignment="1">
      <alignment horizontal="right" vertical="center"/>
    </xf>
    <xf numFmtId="165" fontId="41" fillId="0" borderId="0" xfId="1" applyNumberFormat="1" applyFont="1" applyFill="1" applyAlignment="1">
      <alignment horizontal="left" vertical="center"/>
    </xf>
    <xf numFmtId="49" fontId="43" fillId="0" borderId="0" xfId="0" applyNumberFormat="1" applyFont="1" applyFill="1" applyBorder="1" applyAlignment="1">
      <alignment vertical="center" wrapText="1"/>
    </xf>
    <xf numFmtId="0" fontId="120" fillId="52" borderId="0" xfId="0" applyFont="1" applyFill="1" applyBorder="1" applyAlignment="1">
      <alignment vertical="top"/>
    </xf>
    <xf numFmtId="0" fontId="120" fillId="52" borderId="72" xfId="68" applyFont="1" applyFill="1" applyBorder="1" applyAlignment="1">
      <alignment vertical="top"/>
    </xf>
    <xf numFmtId="0" fontId="41" fillId="0" borderId="0" xfId="4" applyFont="1" applyFill="1" applyBorder="1" applyAlignment="1">
      <alignment vertical="center"/>
    </xf>
    <xf numFmtId="165" fontId="35" fillId="0" borderId="0" xfId="4" applyNumberFormat="1" applyFont="1" applyFill="1" applyAlignment="1">
      <alignment vertical="center"/>
    </xf>
    <xf numFmtId="0" fontId="120" fillId="52" borderId="72" xfId="0" applyFont="1" applyFill="1" applyBorder="1" applyAlignment="1">
      <alignment vertical="top"/>
    </xf>
    <xf numFmtId="165" fontId="38" fillId="19" borderId="0" xfId="1" applyNumberFormat="1" applyFont="1" applyFill="1" applyAlignment="1">
      <alignment vertical="top"/>
    </xf>
    <xf numFmtId="43" fontId="38" fillId="19" borderId="0" xfId="1" applyFont="1" applyFill="1" applyAlignment="1">
      <alignment vertical="top"/>
    </xf>
    <xf numFmtId="165" fontId="85" fillId="19" borderId="0" xfId="1" applyNumberFormat="1" applyFont="1" applyFill="1" applyAlignment="1">
      <alignment vertical="top"/>
    </xf>
    <xf numFmtId="43" fontId="85" fillId="19" borderId="0" xfId="1" applyFont="1" applyFill="1" applyAlignment="1">
      <alignment vertical="top"/>
    </xf>
    <xf numFmtId="165" fontId="85" fillId="19" borderId="0" xfId="4" applyNumberFormat="1" applyFont="1" applyFill="1">
      <alignment vertical="top"/>
    </xf>
    <xf numFmtId="0" fontId="85" fillId="19" borderId="0" xfId="4" applyFont="1" applyFill="1">
      <alignment vertical="top"/>
    </xf>
    <xf numFmtId="43" fontId="85" fillId="19" borderId="0" xfId="1" applyNumberFormat="1" applyFont="1" applyFill="1" applyAlignment="1">
      <alignment vertical="top"/>
    </xf>
    <xf numFmtId="173" fontId="35" fillId="0" borderId="0" xfId="6" applyNumberFormat="1" applyFont="1" applyFill="1" applyBorder="1" applyAlignment="1">
      <alignment vertical="top"/>
    </xf>
    <xf numFmtId="0" fontId="70" fillId="0" borderId="0" xfId="0" applyFont="1" applyAlignment="1">
      <alignment horizontal="center"/>
    </xf>
    <xf numFmtId="0" fontId="70" fillId="0" borderId="0" xfId="0" applyFont="1" applyBorder="1" applyAlignment="1">
      <alignment horizontal="center"/>
    </xf>
    <xf numFmtId="0" fontId="77" fillId="0" borderId="0" xfId="0" applyFont="1" applyFill="1" applyAlignment="1">
      <alignment horizontal="center"/>
    </xf>
    <xf numFmtId="165" fontId="41" fillId="0" borderId="0" xfId="4" applyNumberFormat="1" applyFont="1" applyFill="1" applyBorder="1" applyAlignment="1">
      <alignment horizontal="right" vertical="top"/>
    </xf>
    <xf numFmtId="0" fontId="153" fillId="0" borderId="0" xfId="0" applyFont="1" applyFill="1"/>
    <xf numFmtId="0" fontId="69" fillId="0" borderId="0" xfId="0" applyFont="1" applyFill="1"/>
    <xf numFmtId="165" fontId="69" fillId="0" borderId="5" xfId="1" applyNumberFormat="1" applyFont="1" applyFill="1" applyBorder="1"/>
    <xf numFmtId="0" fontId="69" fillId="0" borderId="0" xfId="0" applyFont="1"/>
    <xf numFmtId="0" fontId="50" fillId="0" borderId="0" xfId="0" applyFont="1"/>
    <xf numFmtId="0" fontId="153" fillId="0" borderId="0" xfId="0" applyFont="1"/>
    <xf numFmtId="177" fontId="50" fillId="0" borderId="0" xfId="1" applyNumberFormat="1" applyFont="1" applyBorder="1" applyAlignment="1">
      <alignment horizontal="center"/>
    </xf>
    <xf numFmtId="165" fontId="50" fillId="0" borderId="0" xfId="1" applyNumberFormat="1" applyFont="1" applyFill="1" applyBorder="1" applyAlignment="1">
      <alignment horizontal="center"/>
    </xf>
    <xf numFmtId="165" fontId="154" fillId="0" borderId="0" xfId="1" applyNumberFormat="1" applyFont="1" applyFill="1" applyAlignment="1">
      <alignment horizontal="center"/>
    </xf>
    <xf numFmtId="165" fontId="50" fillId="0" borderId="0" xfId="0" applyNumberFormat="1" applyFont="1" applyFill="1" applyBorder="1" applyAlignment="1">
      <alignment horizontal="center"/>
    </xf>
    <xf numFmtId="177" fontId="50" fillId="0" borderId="0" xfId="1" applyNumberFormat="1" applyFont="1" applyFill="1" applyBorder="1" applyAlignment="1">
      <alignment horizontal="center"/>
    </xf>
    <xf numFmtId="0" fontId="50" fillId="0" borderId="0" xfId="0" applyFont="1" applyFill="1"/>
    <xf numFmtId="165" fontId="50" fillId="0" borderId="0" xfId="1" applyNumberFormat="1" applyFont="1" applyFill="1" applyAlignment="1">
      <alignment horizontal="right"/>
    </xf>
    <xf numFmtId="0" fontId="69" fillId="0" borderId="0" xfId="0" applyFont="1" applyAlignment="1">
      <alignment horizontal="left" indent="1"/>
    </xf>
    <xf numFmtId="165" fontId="69" fillId="0" borderId="3" xfId="1" applyNumberFormat="1" applyFont="1" applyBorder="1" applyAlignment="1">
      <alignment horizontal="right"/>
    </xf>
    <xf numFmtId="165" fontId="50" fillId="0" borderId="0" xfId="1" applyNumberFormat="1" applyFont="1" applyBorder="1" applyAlignment="1">
      <alignment horizontal="right"/>
    </xf>
    <xf numFmtId="165" fontId="50" fillId="0" borderId="0" xfId="1" applyNumberFormat="1" applyFont="1" applyFill="1" applyBorder="1" applyAlignment="1">
      <alignment horizontal="right"/>
    </xf>
    <xf numFmtId="0" fontId="154" fillId="0" borderId="0" xfId="0" applyFont="1" applyFill="1" applyBorder="1"/>
    <xf numFmtId="6" fontId="154" fillId="0" borderId="0" xfId="0" applyNumberFormat="1" applyFont="1" applyFill="1" applyAlignment="1">
      <alignment horizontal="right"/>
    </xf>
    <xf numFmtId="0" fontId="50" fillId="0" borderId="0" xfId="0" applyFont="1" applyFill="1" applyAlignment="1">
      <alignment horizontal="right"/>
    </xf>
    <xf numFmtId="172" fontId="50" fillId="0" borderId="0" xfId="0" applyNumberFormat="1" applyFont="1" applyFill="1" applyAlignment="1">
      <alignment horizontal="right"/>
    </xf>
    <xf numFmtId="172" fontId="50" fillId="0" borderId="0" xfId="0" applyNumberFormat="1" applyFont="1" applyFill="1"/>
    <xf numFmtId="0" fontId="69" fillId="0" borderId="0" xfId="0" applyFont="1" applyFill="1" applyAlignment="1">
      <alignment horizontal="left" indent="1"/>
    </xf>
    <xf numFmtId="165" fontId="69" fillId="0" borderId="3" xfId="1" applyNumberFormat="1" applyFont="1" applyFill="1" applyBorder="1" applyAlignment="1">
      <alignment horizontal="right"/>
    </xf>
    <xf numFmtId="165" fontId="69" fillId="0" borderId="3" xfId="1" applyNumberFormat="1" applyFont="1" applyFill="1" applyBorder="1"/>
    <xf numFmtId="165" fontId="69" fillId="0" borderId="4" xfId="1" applyNumberFormat="1" applyFont="1" applyFill="1" applyBorder="1" applyAlignment="1">
      <alignment horizontal="right"/>
    </xf>
    <xf numFmtId="165" fontId="69" fillId="0" borderId="5" xfId="1" applyNumberFormat="1" applyFont="1" applyFill="1" applyBorder="1" applyAlignment="1">
      <alignment horizontal="right"/>
    </xf>
    <xf numFmtId="165" fontId="69" fillId="0" borderId="0" xfId="1" applyNumberFormat="1" applyFont="1" applyFill="1" applyAlignment="1">
      <alignment horizontal="right"/>
    </xf>
    <xf numFmtId="165" fontId="50" fillId="0" borderId="0" xfId="1" applyNumberFormat="1" applyFont="1" applyAlignment="1">
      <alignment horizontal="right"/>
    </xf>
    <xf numFmtId="165" fontId="50" fillId="0" borderId="0" xfId="1" quotePrefix="1" applyNumberFormat="1" applyFont="1" applyFill="1" applyAlignment="1">
      <alignment horizontal="right"/>
    </xf>
    <xf numFmtId="165" fontId="69" fillId="0" borderId="4" xfId="1" applyNumberFormat="1" applyFont="1" applyBorder="1" applyAlignment="1">
      <alignment horizontal="right"/>
    </xf>
    <xf numFmtId="165" fontId="50" fillId="0" borderId="4" xfId="1" applyNumberFormat="1" applyFont="1" applyFill="1" applyBorder="1" applyAlignment="1">
      <alignment horizontal="right"/>
    </xf>
    <xf numFmtId="165" fontId="50" fillId="0" borderId="0" xfId="1" applyNumberFormat="1" applyFont="1" applyFill="1" applyBorder="1"/>
    <xf numFmtId="165" fontId="69" fillId="0" borderId="4" xfId="1" applyNumberFormat="1" applyFont="1" applyFill="1" applyBorder="1"/>
    <xf numFmtId="0" fontId="69" fillId="0" borderId="0" xfId="31721" applyFont="1"/>
    <xf numFmtId="0" fontId="50" fillId="0" borderId="0" xfId="31721" applyFont="1"/>
    <xf numFmtId="0" fontId="153" fillId="0" borderId="0" xfId="31721" applyFont="1"/>
    <xf numFmtId="165" fontId="50" fillId="0" borderId="0" xfId="31721" applyNumberFormat="1" applyFont="1" applyFill="1" applyBorder="1" applyAlignment="1">
      <alignment horizontal="center"/>
    </xf>
    <xf numFmtId="0" fontId="50" fillId="0" borderId="0" xfId="31721" applyFont="1" applyFill="1"/>
    <xf numFmtId="165" fontId="50" fillId="0" borderId="0" xfId="31721" applyNumberFormat="1" applyFont="1" applyFill="1"/>
    <xf numFmtId="165" fontId="50" fillId="0" borderId="0" xfId="31721" applyNumberFormat="1" applyFont="1"/>
    <xf numFmtId="0" fontId="69" fillId="0" borderId="0" xfId="31721" applyFont="1" applyAlignment="1">
      <alignment horizontal="left" indent="1"/>
    </xf>
    <xf numFmtId="0" fontId="69" fillId="0" borderId="0" xfId="31721" applyFont="1" applyFill="1"/>
    <xf numFmtId="165" fontId="69" fillId="0" borderId="0" xfId="31721" applyNumberFormat="1" applyFont="1"/>
    <xf numFmtId="0" fontId="154" fillId="0" borderId="0" xfId="31721" applyFont="1" applyFill="1" applyBorder="1"/>
    <xf numFmtId="6" fontId="154" fillId="0" borderId="0" xfId="31721" applyNumberFormat="1" applyFont="1" applyFill="1" applyAlignment="1">
      <alignment horizontal="right"/>
    </xf>
    <xf numFmtId="0" fontId="50" fillId="0" borderId="0" xfId="31721" applyFont="1" applyFill="1" applyAlignment="1">
      <alignment horizontal="right"/>
    </xf>
    <xf numFmtId="172" fontId="50" fillId="0" borderId="0" xfId="31721" applyNumberFormat="1" applyFont="1" applyFill="1" applyAlignment="1">
      <alignment horizontal="right"/>
    </xf>
    <xf numFmtId="172" fontId="50" fillId="0" borderId="0" xfId="31721" applyNumberFormat="1" applyFont="1" applyFill="1"/>
    <xf numFmtId="0" fontId="69" fillId="0" borderId="0" xfId="31721" applyFont="1" applyFill="1" applyAlignment="1">
      <alignment horizontal="left" indent="1"/>
    </xf>
    <xf numFmtId="0" fontId="153" fillId="0" borderId="0" xfId="31721" applyFont="1" applyFill="1"/>
    <xf numFmtId="165" fontId="69" fillId="0" borderId="0" xfId="31721" applyNumberFormat="1" applyFont="1" applyFill="1"/>
    <xf numFmtId="165" fontId="50" fillId="0" borderId="0" xfId="1" applyNumberFormat="1" applyFont="1"/>
    <xf numFmtId="0" fontId="0" fillId="0" borderId="0" xfId="0"/>
    <xf numFmtId="0" fontId="123" fillId="0" borderId="0" xfId="4" applyFont="1" applyBorder="1" applyAlignment="1">
      <alignment vertical="center" wrapText="1"/>
    </xf>
    <xf numFmtId="165" fontId="38" fillId="0" borderId="0" xfId="6" applyNumberFormat="1" applyFont="1" applyFill="1" applyAlignment="1">
      <alignment vertical="top"/>
    </xf>
    <xf numFmtId="165" fontId="40" fillId="0" borderId="0" xfId="6" applyNumberFormat="1" applyFont="1" applyFill="1" applyBorder="1" applyAlignment="1">
      <alignment vertical="top"/>
    </xf>
    <xf numFmtId="10" fontId="38" fillId="0" borderId="0" xfId="6" applyNumberFormat="1" applyFont="1" applyFill="1" applyAlignment="1">
      <alignment horizontal="left" vertical="top"/>
    </xf>
    <xf numFmtId="10" fontId="52" fillId="0" borderId="0" xfId="6" applyNumberFormat="1" applyFont="1"/>
    <xf numFmtId="0" fontId="0" fillId="0" borderId="0" xfId="0"/>
    <xf numFmtId="43" fontId="135" fillId="0" borderId="0" xfId="1" applyFont="1" applyFill="1" applyBorder="1" applyProtection="1">
      <protection locked="0"/>
    </xf>
    <xf numFmtId="43" fontId="135" fillId="0" borderId="0" xfId="1" applyFont="1" applyFill="1" applyBorder="1" applyAlignment="1" applyProtection="1">
      <alignment wrapText="1"/>
      <protection locked="0"/>
    </xf>
    <xf numFmtId="43" fontId="135" fillId="0" borderId="0" xfId="1" applyFont="1" applyFill="1" applyBorder="1"/>
    <xf numFmtId="38" fontId="52" fillId="0" borderId="0" xfId="1" applyNumberFormat="1" applyFont="1" applyFill="1" applyBorder="1" applyAlignment="1">
      <alignment horizontal="right" vertical="center"/>
    </xf>
    <xf numFmtId="0" fontId="69" fillId="0" borderId="12" xfId="0" applyFont="1" applyFill="1" applyBorder="1" applyAlignment="1">
      <alignment horizontal="center"/>
    </xf>
    <xf numFmtId="0" fontId="69" fillId="0" borderId="0" xfId="0" applyFont="1" applyFill="1" applyBorder="1" applyAlignment="1">
      <alignment horizontal="center"/>
    </xf>
    <xf numFmtId="0" fontId="69" fillId="0" borderId="7" xfId="0" applyFont="1" applyFill="1" applyBorder="1" applyAlignment="1">
      <alignment horizontal="center"/>
    </xf>
    <xf numFmtId="0" fontId="69" fillId="0" borderId="13" xfId="0" applyFont="1" applyBorder="1" applyAlignment="1">
      <alignment horizontal="center"/>
    </xf>
    <xf numFmtId="0" fontId="69" fillId="0" borderId="1" xfId="0" applyFont="1" applyBorder="1" applyAlignment="1">
      <alignment horizontal="center"/>
    </xf>
    <xf numFmtId="0" fontId="69" fillId="0" borderId="16" xfId="0" applyFont="1" applyBorder="1" applyAlignment="1">
      <alignment horizontal="center"/>
    </xf>
    <xf numFmtId="0" fontId="70" fillId="0" borderId="42" xfId="0" applyFont="1" applyBorder="1" applyAlignment="1">
      <alignment horizontal="center"/>
    </xf>
    <xf numFmtId="0" fontId="70" fillId="0" borderId="43" xfId="0" applyFont="1" applyBorder="1" applyAlignment="1">
      <alignment horizontal="center"/>
    </xf>
    <xf numFmtId="0" fontId="83" fillId="0" borderId="44" xfId="0" applyFont="1" applyBorder="1" applyAlignment="1">
      <alignment horizontal="center"/>
    </xf>
    <xf numFmtId="0" fontId="89" fillId="0" borderId="0" xfId="0" applyFont="1" applyFill="1" applyBorder="1" applyAlignment="1">
      <alignment horizontal="center"/>
    </xf>
    <xf numFmtId="0" fontId="90" fillId="0" borderId="12" xfId="0" applyFont="1" applyFill="1" applyBorder="1" applyAlignment="1">
      <alignment horizontal="center"/>
    </xf>
    <xf numFmtId="0" fontId="90" fillId="0" borderId="0" xfId="0" applyFont="1" applyFill="1" applyBorder="1" applyAlignment="1">
      <alignment horizontal="center"/>
    </xf>
    <xf numFmtId="0" fontId="90" fillId="0" borderId="7" xfId="0" applyFont="1" applyFill="1" applyBorder="1" applyAlignment="1">
      <alignment horizontal="center"/>
    </xf>
    <xf numFmtId="0" fontId="59" fillId="0" borderId="12" xfId="0" applyFont="1" applyFill="1" applyBorder="1" applyAlignment="1">
      <alignment horizontal="left"/>
    </xf>
    <xf numFmtId="0" fontId="59" fillId="0" borderId="0" xfId="0" applyFont="1" applyFill="1" applyBorder="1" applyAlignment="1">
      <alignment horizontal="left"/>
    </xf>
    <xf numFmtId="0" fontId="90" fillId="0" borderId="9" xfId="0" applyFont="1" applyFill="1" applyBorder="1" applyAlignment="1">
      <alignment horizontal="center"/>
    </xf>
    <xf numFmtId="0" fontId="90" fillId="0" borderId="10" xfId="0" applyFont="1" applyFill="1" applyBorder="1" applyAlignment="1">
      <alignment horizontal="center"/>
    </xf>
    <xf numFmtId="0" fontId="90" fillId="0" borderId="6" xfId="0" applyFont="1" applyFill="1" applyBorder="1" applyAlignment="1">
      <alignment horizontal="center"/>
    </xf>
    <xf numFmtId="0" fontId="39" fillId="0" borderId="12" xfId="0" applyFont="1" applyBorder="1" applyAlignment="1">
      <alignment horizontal="center"/>
    </xf>
    <xf numFmtId="0" fontId="39" fillId="0" borderId="0" xfId="0" applyFont="1" applyBorder="1" applyAlignment="1">
      <alignment horizontal="center"/>
    </xf>
    <xf numFmtId="0" fontId="39" fillId="0" borderId="7" xfId="0" applyFont="1" applyBorder="1" applyAlignment="1">
      <alignment horizontal="center"/>
    </xf>
    <xf numFmtId="0" fontId="39" fillId="0" borderId="12" xfId="0" applyFont="1" applyFill="1" applyBorder="1" applyAlignment="1">
      <alignment horizontal="center"/>
    </xf>
    <xf numFmtId="0" fontId="39" fillId="0" borderId="0" xfId="0" applyFont="1" applyFill="1" applyBorder="1" applyAlignment="1">
      <alignment horizontal="center"/>
    </xf>
    <xf numFmtId="0" fontId="39" fillId="0" borderId="7" xfId="0" applyFont="1" applyFill="1" applyBorder="1" applyAlignment="1">
      <alignment horizontal="center"/>
    </xf>
    <xf numFmtId="49" fontId="44" fillId="0" borderId="57" xfId="0" applyNumberFormat="1" applyFont="1" applyBorder="1" applyAlignment="1">
      <alignment horizontal="left" vertical="top" wrapText="1"/>
    </xf>
    <xf numFmtId="49" fontId="44" fillId="0" borderId="58" xfId="0" applyNumberFormat="1" applyFont="1" applyBorder="1" applyAlignment="1">
      <alignment horizontal="left" vertical="top" wrapText="1"/>
    </xf>
    <xf numFmtId="0" fontId="70" fillId="0" borderId="0" xfId="0" applyFont="1" applyAlignment="1">
      <alignment horizontal="center"/>
    </xf>
    <xf numFmtId="0" fontId="83" fillId="0" borderId="0" xfId="0" applyFont="1" applyAlignment="1">
      <alignment horizontal="center"/>
    </xf>
    <xf numFmtId="0" fontId="79" fillId="0" borderId="0" xfId="0" applyFont="1" applyFill="1" applyAlignment="1">
      <alignment horizontal="center"/>
    </xf>
    <xf numFmtId="0" fontId="70" fillId="0" borderId="0" xfId="0" applyFont="1" applyBorder="1" applyAlignment="1">
      <alignment horizontal="center"/>
    </xf>
    <xf numFmtId="0" fontId="77" fillId="0" borderId="0" xfId="0" applyFont="1" applyFill="1" applyAlignment="1">
      <alignment horizontal="center"/>
    </xf>
    <xf numFmtId="0" fontId="78" fillId="0" borderId="0" xfId="0" applyFont="1" applyFill="1" applyBorder="1" applyAlignment="1">
      <alignment horizontal="center"/>
    </xf>
    <xf numFmtId="0" fontId="70" fillId="0" borderId="0" xfId="0" applyFont="1" applyFill="1" applyAlignment="1">
      <alignment horizontal="center"/>
    </xf>
    <xf numFmtId="0" fontId="112" fillId="0" borderId="0" xfId="0" applyFont="1" applyFill="1" applyAlignment="1">
      <alignment horizontal="center"/>
    </xf>
    <xf numFmtId="0" fontId="39" fillId="0" borderId="12" xfId="31721" applyFont="1" applyFill="1" applyBorder="1" applyAlignment="1">
      <alignment horizontal="center"/>
    </xf>
    <xf numFmtId="0" fontId="39" fillId="0" borderId="0" xfId="31721" applyFont="1" applyFill="1" applyBorder="1" applyAlignment="1">
      <alignment horizontal="center"/>
    </xf>
    <xf numFmtId="0" fontId="39" fillId="0" borderId="7" xfId="31721" applyFont="1" applyFill="1" applyBorder="1" applyAlignment="1">
      <alignment horizontal="center"/>
    </xf>
    <xf numFmtId="0" fontId="39" fillId="0" borderId="12" xfId="31721" applyFont="1" applyBorder="1" applyAlignment="1">
      <alignment horizontal="center"/>
    </xf>
    <xf numFmtId="0" fontId="39" fillId="0" borderId="0" xfId="31721" applyFont="1" applyBorder="1" applyAlignment="1">
      <alignment horizontal="center"/>
    </xf>
    <xf numFmtId="0" fontId="39" fillId="0" borderId="7" xfId="31721" applyFont="1" applyBorder="1" applyAlignment="1">
      <alignment horizontal="center"/>
    </xf>
    <xf numFmtId="0" fontId="59" fillId="0" borderId="12" xfId="31721" applyFont="1" applyFill="1" applyBorder="1" applyAlignment="1">
      <alignment horizontal="left"/>
    </xf>
    <xf numFmtId="0" fontId="59" fillId="0" borderId="0" xfId="31721" applyFont="1" applyFill="1" applyBorder="1" applyAlignment="1">
      <alignment horizontal="left"/>
    </xf>
    <xf numFmtId="0" fontId="69" fillId="0" borderId="12" xfId="31721" applyFont="1" applyFill="1" applyBorder="1" applyAlignment="1">
      <alignment horizontal="center"/>
    </xf>
    <xf numFmtId="0" fontId="69" fillId="0" borderId="0" xfId="31721" applyFont="1" applyFill="1" applyBorder="1" applyAlignment="1">
      <alignment horizontal="center"/>
    </xf>
    <xf numFmtId="0" fontId="69" fillId="0" borderId="7" xfId="31721" applyFont="1" applyFill="1" applyBorder="1" applyAlignment="1">
      <alignment horizontal="center"/>
    </xf>
    <xf numFmtId="0" fontId="69" fillId="0" borderId="13" xfId="31721" applyFont="1" applyBorder="1" applyAlignment="1">
      <alignment horizontal="center"/>
    </xf>
    <xf numFmtId="0" fontId="69" fillId="0" borderId="1" xfId="31721" applyFont="1" applyBorder="1" applyAlignment="1">
      <alignment horizontal="center"/>
    </xf>
    <xf numFmtId="0" fontId="69" fillId="0" borderId="16" xfId="31721" applyFont="1" applyBorder="1" applyAlignment="1">
      <alignment horizontal="center"/>
    </xf>
    <xf numFmtId="0" fontId="70" fillId="0" borderId="42" xfId="31721" applyFont="1" applyBorder="1" applyAlignment="1">
      <alignment horizontal="center"/>
    </xf>
    <xf numFmtId="0" fontId="70" fillId="0" borderId="43" xfId="31721" applyFont="1" applyBorder="1" applyAlignment="1">
      <alignment horizontal="center"/>
    </xf>
    <xf numFmtId="0" fontId="83" fillId="0" borderId="44" xfId="31721" applyFont="1" applyBorder="1" applyAlignment="1">
      <alignment horizontal="center"/>
    </xf>
    <xf numFmtId="0" fontId="89" fillId="0" borderId="1" xfId="31721" applyFont="1" applyFill="1" applyBorder="1" applyAlignment="1">
      <alignment horizontal="center"/>
    </xf>
    <xf numFmtId="0" fontId="144" fillId="0" borderId="9" xfId="31721" applyFont="1" applyFill="1" applyBorder="1" applyAlignment="1">
      <alignment horizontal="center"/>
    </xf>
    <xf numFmtId="0" fontId="144" fillId="0" borderId="10" xfId="31721" applyFont="1" applyFill="1" applyBorder="1" applyAlignment="1">
      <alignment horizontal="center"/>
    </xf>
    <xf numFmtId="0" fontId="144" fillId="0" borderId="6" xfId="31721" applyFont="1" applyFill="1" applyBorder="1" applyAlignment="1">
      <alignment horizontal="center"/>
    </xf>
    <xf numFmtId="0" fontId="144" fillId="0" borderId="12" xfId="31721" applyFont="1" applyFill="1" applyBorder="1" applyAlignment="1">
      <alignment horizontal="center"/>
    </xf>
    <xf numFmtId="0" fontId="144" fillId="0" borderId="0" xfId="31721" applyFont="1" applyFill="1" applyBorder="1" applyAlignment="1">
      <alignment horizontal="center"/>
    </xf>
    <xf numFmtId="0" fontId="144" fillId="0" borderId="7" xfId="31721" applyFont="1" applyFill="1" applyBorder="1" applyAlignment="1">
      <alignment horizontal="center"/>
    </xf>
    <xf numFmtId="0" fontId="120" fillId="52" borderId="72" xfId="0" applyFont="1" applyFill="1" applyBorder="1" applyAlignment="1">
      <alignment vertical="top"/>
    </xf>
    <xf numFmtId="0" fontId="0" fillId="52" borderId="74" xfId="0" applyFill="1" applyBorder="1"/>
    <xf numFmtId="0" fontId="0" fillId="52" borderId="75" xfId="0" applyFill="1" applyBorder="1"/>
    <xf numFmtId="182" fontId="121" fillId="0" borderId="0" xfId="0" applyNumberFormat="1" applyFont="1" applyAlignment="1">
      <alignment horizontal="left" vertical="top"/>
    </xf>
    <xf numFmtId="0" fontId="0" fillId="0" borderId="0" xfId="0"/>
    <xf numFmtId="0" fontId="121" fillId="0" borderId="0" xfId="0" applyFont="1" applyAlignment="1">
      <alignment horizontal="center" vertical="top"/>
    </xf>
    <xf numFmtId="19" fontId="121" fillId="0" borderId="0" xfId="0" applyNumberFormat="1" applyFont="1" applyAlignment="1">
      <alignment horizontal="right" vertical="top"/>
    </xf>
    <xf numFmtId="0" fontId="119" fillId="54" borderId="72" xfId="0" applyFont="1" applyFill="1" applyBorder="1" applyAlignment="1">
      <alignment vertical="top"/>
    </xf>
    <xf numFmtId="0" fontId="0" fillId="54" borderId="77" xfId="0" applyFill="1" applyBorder="1"/>
    <xf numFmtId="0" fontId="122" fillId="0" borderId="0" xfId="68" applyFont="1" applyAlignment="1">
      <alignment horizontal="center" vertical="top"/>
    </xf>
    <xf numFmtId="0" fontId="121" fillId="0" borderId="0" xfId="68"/>
    <xf numFmtId="0" fontId="120" fillId="52" borderId="72" xfId="68" applyFont="1" applyFill="1" applyBorder="1" applyAlignment="1">
      <alignment vertical="top"/>
    </xf>
    <xf numFmtId="0" fontId="121" fillId="52" borderId="74" xfId="68" applyFill="1" applyBorder="1"/>
    <xf numFmtId="0" fontId="121" fillId="52" borderId="75" xfId="68" applyFill="1" applyBorder="1"/>
    <xf numFmtId="0" fontId="122" fillId="0" borderId="0" xfId="0" applyFont="1" applyAlignment="1">
      <alignment horizontal="center" vertical="top"/>
    </xf>
    <xf numFmtId="0" fontId="119" fillId="0" borderId="70" xfId="0" applyFont="1" applyBorder="1" applyAlignment="1">
      <alignment horizontal="left" vertical="top"/>
    </xf>
    <xf numFmtId="0" fontId="0" fillId="0" borderId="71" xfId="0" applyBorder="1"/>
    <xf numFmtId="182" fontId="121" fillId="0" borderId="0" xfId="68" applyNumberFormat="1" applyFont="1" applyAlignment="1">
      <alignment horizontal="left" vertical="top"/>
    </xf>
    <xf numFmtId="0" fontId="121" fillId="0" borderId="0" xfId="68" applyFont="1" applyAlignment="1">
      <alignment horizontal="center" vertical="top"/>
    </xf>
    <xf numFmtId="19" fontId="121" fillId="0" borderId="0" xfId="68" applyNumberFormat="1" applyFont="1" applyAlignment="1">
      <alignment horizontal="right" vertical="top"/>
    </xf>
    <xf numFmtId="0" fontId="119" fillId="54" borderId="72" xfId="68" applyFont="1" applyFill="1" applyBorder="1" applyAlignment="1">
      <alignment vertical="top"/>
    </xf>
    <xf numFmtId="0" fontId="121" fillId="54" borderId="77" xfId="68" applyFill="1" applyBorder="1"/>
    <xf numFmtId="0" fontId="119" fillId="0" borderId="70" xfId="68" applyFont="1" applyBorder="1" applyAlignment="1">
      <alignment horizontal="left" vertical="top"/>
    </xf>
    <xf numFmtId="0" fontId="121" fillId="0" borderId="71" xfId="68" applyBorder="1"/>
    <xf numFmtId="0" fontId="134" fillId="0" borderId="0" xfId="0" applyFont="1" applyFill="1" applyAlignment="1">
      <alignment horizontal="center" vertical="center"/>
    </xf>
    <xf numFmtId="165" fontId="69" fillId="0" borderId="50" xfId="1" applyNumberFormat="1" applyFont="1" applyBorder="1" applyAlignment="1">
      <alignment horizontal="center" vertical="center" wrapText="1"/>
    </xf>
    <xf numFmtId="0" fontId="134" fillId="0" borderId="0" xfId="0" applyFont="1" applyFill="1" applyAlignment="1">
      <alignment horizontal="center"/>
    </xf>
    <xf numFmtId="0" fontId="80" fillId="0" borderId="0" xfId="0" applyFont="1" applyAlignment="1">
      <alignment horizontal="center"/>
    </xf>
    <xf numFmtId="0" fontId="60" fillId="0" borderId="0" xfId="0" applyFont="1" applyBorder="1" applyAlignment="1">
      <alignment horizontal="center"/>
    </xf>
    <xf numFmtId="0" fontId="36" fillId="0" borderId="0" xfId="0" applyFont="1" applyBorder="1" applyAlignment="1">
      <alignment horizontal="center"/>
    </xf>
    <xf numFmtId="0" fontId="37" fillId="0" borderId="0" xfId="0" applyFont="1" applyBorder="1" applyAlignment="1">
      <alignment horizontal="center" vertical="center" wrapText="1"/>
    </xf>
    <xf numFmtId="0" fontId="37" fillId="0" borderId="1" xfId="0" applyFont="1" applyBorder="1" applyAlignment="1">
      <alignment horizontal="center" vertical="center"/>
    </xf>
    <xf numFmtId="0" fontId="77" fillId="0" borderId="0" xfId="0" applyFont="1" applyBorder="1" applyAlignment="1">
      <alignment horizontal="center"/>
    </xf>
    <xf numFmtId="0" fontId="70" fillId="0" borderId="0" xfId="31721" applyFont="1" applyAlignment="1">
      <alignment horizontal="center"/>
    </xf>
    <xf numFmtId="0" fontId="134" fillId="0" borderId="0" xfId="31721" applyFont="1" applyFill="1" applyAlignment="1">
      <alignment horizontal="center" vertical="center"/>
    </xf>
    <xf numFmtId="0" fontId="77" fillId="0" borderId="0" xfId="31721" applyFont="1" applyFill="1" applyAlignment="1">
      <alignment horizontal="center"/>
    </xf>
    <xf numFmtId="0" fontId="70" fillId="0" borderId="0" xfId="31721" applyFont="1" applyBorder="1" applyAlignment="1">
      <alignment horizontal="center"/>
    </xf>
    <xf numFmtId="0" fontId="129" fillId="0" borderId="0" xfId="0" applyFont="1" applyAlignment="1">
      <alignment horizontal="center"/>
    </xf>
    <xf numFmtId="0" fontId="39" fillId="0" borderId="0" xfId="4" applyFont="1" applyBorder="1" applyAlignment="1">
      <alignment horizontal="center" vertical="top" wrapText="1"/>
    </xf>
    <xf numFmtId="0" fontId="39" fillId="0" borderId="0" xfId="4" applyFont="1" applyBorder="1" applyAlignment="1">
      <alignment horizontal="center" vertical="top"/>
    </xf>
    <xf numFmtId="0" fontId="123" fillId="0" borderId="0" xfId="4" applyFont="1" applyBorder="1" applyAlignment="1">
      <alignment horizontal="center" vertical="center" wrapText="1"/>
    </xf>
    <xf numFmtId="0" fontId="129" fillId="0" borderId="0" xfId="4" applyFont="1" applyBorder="1" applyAlignment="1">
      <alignment horizontal="center" vertical="center" wrapText="1"/>
    </xf>
    <xf numFmtId="0" fontId="70" fillId="0" borderId="0" xfId="4" applyFont="1" applyBorder="1" applyAlignment="1">
      <alignment horizontal="center" vertical="top" wrapText="1"/>
    </xf>
    <xf numFmtId="0" fontId="37" fillId="0" borderId="0" xfId="4" applyFont="1" applyBorder="1" applyAlignment="1">
      <alignment horizontal="center" vertical="top"/>
    </xf>
    <xf numFmtId="0" fontId="123" fillId="0" borderId="0" xfId="4" applyFont="1" applyBorder="1" applyAlignment="1">
      <alignment horizontal="center" vertical="top" wrapText="1"/>
    </xf>
    <xf numFmtId="0" fontId="77" fillId="0" borderId="0" xfId="4" applyFont="1" applyBorder="1" applyAlignment="1">
      <alignment horizontal="center" vertical="top" wrapText="1"/>
    </xf>
    <xf numFmtId="0" fontId="83" fillId="0" borderId="0" xfId="4" applyFont="1" applyBorder="1" applyAlignment="1">
      <alignment horizontal="center" vertical="top" wrapText="1"/>
    </xf>
    <xf numFmtId="0" fontId="37" fillId="0" borderId="1" xfId="4" applyFont="1" applyBorder="1" applyAlignment="1">
      <alignment horizontal="center" vertical="top"/>
    </xf>
    <xf numFmtId="0" fontId="77" fillId="0" borderId="0" xfId="4" applyFont="1" applyBorder="1" applyAlignment="1">
      <alignment horizontal="center" vertical="center" wrapText="1"/>
    </xf>
    <xf numFmtId="0" fontId="129" fillId="0" borderId="0" xfId="4" applyFont="1" applyFill="1" applyBorder="1" applyAlignment="1">
      <alignment horizontal="center" vertical="top" wrapText="1"/>
    </xf>
    <xf numFmtId="0" fontId="118" fillId="0" borderId="0" xfId="4" applyFont="1" applyBorder="1" applyAlignment="1">
      <alignment horizontal="center" vertical="top" wrapText="1"/>
    </xf>
    <xf numFmtId="0" fontId="155" fillId="0" borderId="80" xfId="4" applyFont="1" applyFill="1" applyBorder="1" applyAlignment="1">
      <alignment horizontal="left" vertical="top" wrapText="1"/>
    </xf>
    <xf numFmtId="0" fontId="36" fillId="0" borderId="0" xfId="0" applyFont="1" applyAlignment="1">
      <alignment horizontal="center"/>
    </xf>
    <xf numFmtId="0" fontId="51" fillId="0" borderId="0" xfId="0" applyFont="1" applyAlignment="1">
      <alignment horizontal="left" wrapText="1"/>
    </xf>
    <xf numFmtId="0" fontId="118" fillId="0" borderId="0" xfId="0" applyFont="1" applyAlignment="1">
      <alignment horizontal="center"/>
    </xf>
    <xf numFmtId="49" fontId="43" fillId="15" borderId="34" xfId="0" applyNumberFormat="1" applyFont="1" applyFill="1" applyBorder="1" applyAlignment="1">
      <alignment vertical="top" wrapText="1"/>
    </xf>
    <xf numFmtId="49" fontId="43" fillId="15" borderId="36" xfId="0" applyNumberFormat="1" applyFont="1" applyFill="1" applyBorder="1" applyAlignment="1">
      <alignment vertical="top" wrapText="1"/>
    </xf>
    <xf numFmtId="49" fontId="43" fillId="15" borderId="37" xfId="0" applyNumberFormat="1" applyFont="1" applyFill="1" applyBorder="1" applyAlignment="1">
      <alignment vertical="top" wrapText="1"/>
    </xf>
    <xf numFmtId="49" fontId="44" fillId="17" borderId="39" xfId="0" applyNumberFormat="1" applyFont="1" applyFill="1" applyBorder="1" applyAlignment="1">
      <alignment vertical="top" wrapText="1"/>
    </xf>
    <xf numFmtId="49" fontId="44" fillId="17" borderId="41" xfId="0" applyNumberFormat="1" applyFont="1" applyFill="1" applyBorder="1" applyAlignment="1">
      <alignment vertical="top" wrapText="1"/>
    </xf>
    <xf numFmtId="49" fontId="44" fillId="17" borderId="40" xfId="0" applyNumberFormat="1" applyFont="1" applyFill="1" applyBorder="1" applyAlignment="1">
      <alignment vertical="top" wrapText="1"/>
    </xf>
    <xf numFmtId="49" fontId="44" fillId="16" borderId="39" xfId="0" applyNumberFormat="1" applyFont="1" applyFill="1" applyBorder="1" applyAlignment="1">
      <alignment vertical="top" wrapText="1"/>
    </xf>
    <xf numFmtId="49" fontId="44" fillId="16" borderId="40" xfId="0" applyNumberFormat="1" applyFont="1" applyFill="1" applyBorder="1" applyAlignment="1">
      <alignment vertical="top" wrapText="1"/>
    </xf>
    <xf numFmtId="49" fontId="44" fillId="16" borderId="41" xfId="0" applyNumberFormat="1" applyFont="1" applyFill="1" applyBorder="1" applyAlignment="1">
      <alignment vertical="top" wrapText="1"/>
    </xf>
    <xf numFmtId="49" fontId="44" fillId="0" borderId="30" xfId="0" applyNumberFormat="1" applyFont="1" applyBorder="1" applyAlignment="1">
      <alignment horizontal="left" vertical="top" wrapText="1"/>
    </xf>
    <xf numFmtId="49" fontId="44" fillId="0" borderId="31" xfId="0" applyNumberFormat="1" applyFont="1" applyBorder="1" applyAlignment="1">
      <alignment horizontal="left" vertical="top" wrapText="1"/>
    </xf>
    <xf numFmtId="49" fontId="44" fillId="0" borderId="32" xfId="0" applyNumberFormat="1" applyFont="1" applyBorder="1" applyAlignment="1">
      <alignment horizontal="left" vertical="top" wrapText="1"/>
    </xf>
    <xf numFmtId="49" fontId="44" fillId="17" borderId="34" xfId="0" applyNumberFormat="1" applyFont="1" applyFill="1" applyBorder="1" applyAlignment="1">
      <alignment horizontal="center" vertical="top" wrapText="1"/>
    </xf>
    <xf numFmtId="49" fontId="44" fillId="17" borderId="37" xfId="0" applyNumberFormat="1" applyFont="1" applyFill="1" applyBorder="1" applyAlignment="1">
      <alignment horizontal="center" vertical="top" wrapText="1"/>
    </xf>
    <xf numFmtId="49" fontId="43" fillId="15" borderId="39" xfId="0" applyNumberFormat="1" applyFont="1" applyFill="1" applyBorder="1" applyAlignment="1">
      <alignment horizontal="center" vertical="top" wrapText="1"/>
    </xf>
    <xf numFmtId="49" fontId="43" fillId="15" borderId="41" xfId="0" applyNumberFormat="1" applyFont="1" applyFill="1" applyBorder="1" applyAlignment="1">
      <alignment horizontal="center" vertical="top" wrapText="1"/>
    </xf>
    <xf numFmtId="49" fontId="43" fillId="15" borderId="40" xfId="0" applyNumberFormat="1" applyFont="1" applyFill="1" applyBorder="1" applyAlignment="1">
      <alignment horizontal="center" vertical="top" wrapText="1"/>
    </xf>
    <xf numFmtId="49" fontId="44" fillId="0" borderId="52" xfId="0" applyNumberFormat="1" applyFont="1" applyBorder="1" applyAlignment="1">
      <alignment horizontal="left" vertical="top" wrapText="1"/>
    </xf>
    <xf numFmtId="49" fontId="44" fillId="0" borderId="53" xfId="0" applyNumberFormat="1" applyFont="1" applyBorder="1" applyAlignment="1">
      <alignment horizontal="left" vertical="top" wrapText="1"/>
    </xf>
    <xf numFmtId="49" fontId="44" fillId="0" borderId="54" xfId="0" applyNumberFormat="1" applyFont="1" applyBorder="1" applyAlignment="1">
      <alignment horizontal="left" vertical="top" wrapText="1"/>
    </xf>
    <xf numFmtId="49" fontId="44" fillId="0" borderId="55" xfId="0" applyNumberFormat="1" applyFont="1" applyBorder="1" applyAlignment="1">
      <alignment horizontal="left" vertical="top" wrapText="1"/>
    </xf>
    <xf numFmtId="49" fontId="44" fillId="0" borderId="56" xfId="0" applyNumberFormat="1" applyFont="1" applyBorder="1" applyAlignment="1">
      <alignment horizontal="left" vertical="top" wrapText="1"/>
    </xf>
    <xf numFmtId="49" fontId="44" fillId="0" borderId="51" xfId="0" applyNumberFormat="1" applyFont="1" applyBorder="1" applyAlignment="1">
      <alignment horizontal="left" vertical="top" wrapText="1"/>
    </xf>
    <xf numFmtId="0" fontId="12" fillId="0" borderId="0" xfId="4" applyFont="1" applyBorder="1" applyAlignment="1">
      <alignment horizontal="center" vertical="top"/>
    </xf>
    <xf numFmtId="0" fontId="14" fillId="0" borderId="1" xfId="4" applyFont="1" applyBorder="1" applyAlignment="1">
      <alignment horizontal="center" vertical="top"/>
    </xf>
    <xf numFmtId="0" fontId="25" fillId="0" borderId="0" xfId="0" applyFont="1" applyFill="1" applyAlignment="1">
      <alignment horizontal="left" wrapText="1"/>
    </xf>
    <xf numFmtId="0" fontId="15" fillId="4" borderId="0" xfId="0" applyFont="1" applyFill="1" applyAlignment="1">
      <alignment horizontal="center"/>
    </xf>
    <xf numFmtId="0" fontId="23" fillId="0" borderId="0" xfId="4" applyFont="1" applyBorder="1" applyAlignment="1">
      <alignment horizontal="center" vertical="top"/>
    </xf>
    <xf numFmtId="0" fontId="14" fillId="0" borderId="0" xfId="4" applyFont="1" applyBorder="1" applyAlignment="1">
      <alignment horizontal="center" vertical="top"/>
    </xf>
    <xf numFmtId="38" fontId="32" fillId="0" borderId="0" xfId="4" applyNumberFormat="1" applyFont="1" applyAlignment="1">
      <alignment horizontal="center" vertical="top"/>
    </xf>
    <xf numFmtId="0" fontId="77" fillId="0" borderId="0" xfId="4" applyFont="1" applyBorder="1" applyAlignment="1">
      <alignment horizontal="center" vertical="top"/>
    </xf>
    <xf numFmtId="0" fontId="12" fillId="5" borderId="0" xfId="4" applyFont="1" applyFill="1" applyBorder="1" applyAlignment="1">
      <alignment horizontal="center" vertical="top"/>
    </xf>
    <xf numFmtId="0" fontId="12" fillId="0" borderId="0" xfId="4" applyFont="1" applyFill="1" applyBorder="1" applyAlignment="1">
      <alignment horizontal="center" vertical="top"/>
    </xf>
    <xf numFmtId="0" fontId="16" fillId="0" borderId="0" xfId="4" applyFont="1" applyAlignment="1">
      <alignment vertical="top" wrapText="1"/>
    </xf>
    <xf numFmtId="0" fontId="0" fillId="0" borderId="0" xfId="0" applyAlignment="1">
      <alignment vertical="top" wrapText="1"/>
    </xf>
    <xf numFmtId="0" fontId="81" fillId="0" borderId="0" xfId="4" applyFont="1" applyBorder="1" applyAlignment="1">
      <alignment horizontal="center" vertical="top"/>
    </xf>
    <xf numFmtId="4" fontId="81" fillId="0" borderId="0" xfId="2" applyNumberFormat="1" applyFont="1" applyFill="1" applyBorder="1" applyAlignment="1">
      <alignment horizontal="center" vertical="top"/>
    </xf>
    <xf numFmtId="38" fontId="38" fillId="0" borderId="0" xfId="4" applyNumberFormat="1" applyFont="1" applyFill="1" applyBorder="1">
      <alignment vertical="top"/>
    </xf>
    <xf numFmtId="165" fontId="35" fillId="0" borderId="0" xfId="1" applyNumberFormat="1" applyFont="1" applyFill="1" applyBorder="1" applyAlignment="1">
      <alignment vertical="top"/>
    </xf>
    <xf numFmtId="165" fontId="38" fillId="0" borderId="0" xfId="1" applyNumberFormat="1" applyFont="1" applyFill="1" applyBorder="1" applyAlignment="1">
      <alignment vertical="top"/>
    </xf>
    <xf numFmtId="43" fontId="35" fillId="0" borderId="0" xfId="4" applyNumberFormat="1" applyFont="1" applyFill="1" applyBorder="1">
      <alignment vertical="top"/>
    </xf>
    <xf numFmtId="181" fontId="35" fillId="0" borderId="0" xfId="4" applyNumberFormat="1" applyFont="1" applyFill="1" applyBorder="1">
      <alignment vertical="top"/>
    </xf>
    <xf numFmtId="181" fontId="35" fillId="0" borderId="0" xfId="1" applyNumberFormat="1" applyFont="1" applyFill="1" applyBorder="1" applyAlignment="1">
      <alignment vertical="top"/>
    </xf>
    <xf numFmtId="0" fontId="77" fillId="0" borderId="0" xfId="4" applyFont="1" applyFill="1" applyBorder="1" applyAlignment="1">
      <alignment horizontal="center" vertical="top" wrapText="1"/>
    </xf>
    <xf numFmtId="0" fontId="124" fillId="0" borderId="0" xfId="4" applyFont="1" applyFill="1" applyBorder="1" applyAlignment="1">
      <alignment vertical="center"/>
    </xf>
    <xf numFmtId="43" fontId="124" fillId="0" borderId="0" xfId="1" applyFont="1" applyFill="1" applyBorder="1" applyAlignment="1">
      <alignment vertical="center"/>
    </xf>
    <xf numFmtId="0" fontId="124" fillId="0" borderId="0" xfId="4" applyFont="1" applyFill="1" applyAlignment="1">
      <alignment vertical="center"/>
    </xf>
    <xf numFmtId="43" fontId="126" fillId="0" borderId="0" xfId="1" applyFont="1" applyFill="1" applyAlignment="1">
      <alignment vertical="center"/>
    </xf>
    <xf numFmtId="2" fontId="35" fillId="0" borderId="0" xfId="4" applyNumberFormat="1" applyFont="1" applyFill="1" applyBorder="1">
      <alignment vertical="top"/>
    </xf>
    <xf numFmtId="43" fontId="85" fillId="0" borderId="0" xfId="1" applyFont="1" applyFill="1" applyBorder="1" applyAlignment="1">
      <alignment vertical="top"/>
    </xf>
    <xf numFmtId="0" fontId="15" fillId="0" borderId="0" xfId="0" applyFont="1" applyFill="1" applyBorder="1"/>
    <xf numFmtId="43" fontId="124" fillId="0" borderId="0" xfId="1" applyFont="1" applyFill="1" applyAlignment="1">
      <alignment horizontal="center" vertical="center"/>
    </xf>
    <xf numFmtId="0" fontId="124" fillId="0" borderId="0" xfId="4" applyFont="1" applyFill="1" applyAlignment="1">
      <alignment horizontal="center" vertical="center"/>
    </xf>
    <xf numFmtId="0" fontId="35" fillId="0" borderId="17" xfId="4" applyFont="1" applyFill="1" applyBorder="1">
      <alignment vertical="top"/>
    </xf>
    <xf numFmtId="183" fontId="35" fillId="0" borderId="0" xfId="4" applyNumberFormat="1" applyFont="1" applyFill="1">
      <alignment vertical="top"/>
    </xf>
    <xf numFmtId="43" fontId="152" fillId="0" borderId="0" xfId="1" applyFont="1" applyFill="1" applyAlignment="1">
      <alignment horizontal="center" vertical="top"/>
    </xf>
    <xf numFmtId="0" fontId="84" fillId="0" borderId="0" xfId="4" applyFont="1" applyFill="1">
      <alignment vertical="top"/>
    </xf>
    <xf numFmtId="43" fontId="152" fillId="0" borderId="0" xfId="1" applyFont="1" applyFill="1" applyAlignment="1">
      <alignment horizontal="right" vertical="top"/>
    </xf>
    <xf numFmtId="43" fontId="51" fillId="0" borderId="0" xfId="1" applyFont="1" applyFill="1" applyAlignment="1">
      <alignment horizontal="center" vertical="top"/>
    </xf>
    <xf numFmtId="43" fontId="35" fillId="0" borderId="0" xfId="1" applyFont="1" applyFill="1" applyAlignment="1">
      <alignment horizontal="center" vertical="top"/>
    </xf>
    <xf numFmtId="43" fontId="84" fillId="0" borderId="0" xfId="1" applyFont="1" applyFill="1" applyAlignment="1">
      <alignment horizontal="center" vertical="top"/>
    </xf>
    <xf numFmtId="173" fontId="41" fillId="0" borderId="0" xfId="6" applyNumberFormat="1" applyFont="1" applyFill="1" applyBorder="1" applyAlignment="1">
      <alignment horizontal="right" vertical="center"/>
    </xf>
    <xf numFmtId="43" fontId="38" fillId="0" borderId="0" xfId="1" applyNumberFormat="1" applyFont="1" applyFill="1" applyBorder="1" applyAlignment="1">
      <alignment vertical="top"/>
    </xf>
    <xf numFmtId="165" fontId="58" fillId="0" borderId="0" xfId="1" applyNumberFormat="1" applyFont="1" applyFill="1" applyBorder="1" applyAlignment="1">
      <alignment vertical="top"/>
    </xf>
    <xf numFmtId="42" fontId="35" fillId="0" borderId="0" xfId="4" applyNumberFormat="1" applyFont="1" applyFill="1" applyBorder="1">
      <alignment vertical="top"/>
    </xf>
    <xf numFmtId="173" fontId="35" fillId="0" borderId="0" xfId="4" applyNumberFormat="1" applyFont="1" applyFill="1" applyBorder="1" applyAlignment="1">
      <alignment horizontal="center" vertical="center"/>
    </xf>
    <xf numFmtId="165" fontId="156" fillId="0" borderId="0" xfId="1" applyNumberFormat="1" applyFont="1" applyFill="1" applyBorder="1" applyAlignment="1">
      <alignment vertical="top"/>
    </xf>
    <xf numFmtId="43" fontId="35" fillId="0" borderId="0" xfId="1" applyFont="1" applyFill="1" applyBorder="1" applyAlignment="1">
      <alignment horizontal="center" vertical="center"/>
    </xf>
    <xf numFmtId="43" fontId="156" fillId="0" borderId="0" xfId="1" applyFont="1" applyFill="1" applyBorder="1" applyAlignment="1">
      <alignment vertical="top"/>
    </xf>
    <xf numFmtId="165" fontId="87" fillId="0" borderId="0" xfId="1" applyNumberFormat="1" applyFont="1" applyFill="1" applyBorder="1"/>
    <xf numFmtId="43" fontId="38" fillId="0" borderId="0" xfId="1" applyFont="1" applyFill="1" applyBorder="1" applyAlignment="1">
      <alignment horizontal="center" vertical="center"/>
    </xf>
    <xf numFmtId="0" fontId="156" fillId="0" borderId="0" xfId="4" applyFont="1" applyFill="1" applyBorder="1" applyAlignment="1">
      <alignment horizontal="center" vertical="center"/>
    </xf>
    <xf numFmtId="43" fontId="35" fillId="0" borderId="0" xfId="4" applyNumberFormat="1" applyFont="1" applyFill="1" applyBorder="1" applyAlignment="1">
      <alignment horizontal="center" vertical="center"/>
    </xf>
    <xf numFmtId="39" fontId="35" fillId="0" borderId="0" xfId="4" applyNumberFormat="1" applyFont="1" applyFill="1">
      <alignment vertical="top"/>
    </xf>
    <xf numFmtId="0" fontId="40" fillId="0" borderId="0" xfId="4" applyFont="1" applyFill="1" applyAlignment="1">
      <alignment horizontal="center" vertical="center"/>
    </xf>
    <xf numFmtId="43" fontId="38" fillId="0" borderId="0" xfId="4" applyNumberFormat="1" applyFont="1" applyFill="1" applyBorder="1">
      <alignment vertical="top"/>
    </xf>
    <xf numFmtId="43" fontId="35" fillId="0" borderId="0" xfId="1" applyFont="1" applyFill="1" applyBorder="1" applyAlignment="1">
      <alignment vertical="center"/>
    </xf>
    <xf numFmtId="0" fontId="35" fillId="0" borderId="0" xfId="4" applyFont="1" applyFill="1" applyBorder="1" applyAlignment="1">
      <alignment vertical="center"/>
    </xf>
    <xf numFmtId="165" fontId="35" fillId="0" borderId="0" xfId="1" applyNumberFormat="1" applyFont="1" applyFill="1" applyBorder="1" applyAlignment="1">
      <alignment vertical="center"/>
    </xf>
    <xf numFmtId="40" fontId="38" fillId="0" borderId="0" xfId="4" applyNumberFormat="1" applyFont="1" applyFill="1" applyBorder="1">
      <alignment vertical="top"/>
    </xf>
    <xf numFmtId="0" fontId="35" fillId="0" borderId="0" xfId="4" applyFont="1" applyFill="1" applyBorder="1" applyAlignment="1">
      <alignment horizontal="center" vertical="top"/>
    </xf>
    <xf numFmtId="178" fontId="38" fillId="0" borderId="0" xfId="4" applyNumberFormat="1" applyFont="1" applyFill="1" applyBorder="1">
      <alignment vertical="top"/>
    </xf>
    <xf numFmtId="165" fontId="120" fillId="0" borderId="0" xfId="1" applyNumberFormat="1" applyFont="1" applyFill="1" applyBorder="1" applyAlignment="1">
      <alignment horizontal="right" vertical="top"/>
    </xf>
    <xf numFmtId="165" fontId="38" fillId="0" borderId="0" xfId="1" applyNumberFormat="1" applyFont="1" applyFill="1" applyAlignment="1">
      <alignment horizontal="center" vertical="center"/>
    </xf>
    <xf numFmtId="165" fontId="123" fillId="0" borderId="0" xfId="1" applyNumberFormat="1" applyFont="1" applyAlignment="1">
      <alignment horizontal="center" vertical="top"/>
    </xf>
    <xf numFmtId="165" fontId="52" fillId="0" borderId="0" xfId="1" applyNumberFormat="1" applyFont="1" applyAlignment="1">
      <alignment vertical="center"/>
    </xf>
    <xf numFmtId="165" fontId="52" fillId="0" borderId="10" xfId="1" applyNumberFormat="1" applyFont="1" applyBorder="1"/>
    <xf numFmtId="165" fontId="125" fillId="0" borderId="10" xfId="1" applyNumberFormat="1" applyFont="1" applyFill="1" applyBorder="1" applyAlignment="1">
      <alignment horizontal="center" vertical="center" wrapText="1"/>
    </xf>
    <xf numFmtId="0" fontId="37" fillId="0" borderId="10" xfId="0" applyFont="1" applyFill="1" applyBorder="1" applyAlignment="1">
      <alignment horizontal="center"/>
    </xf>
    <xf numFmtId="0" fontId="125" fillId="0" borderId="10" xfId="0" applyFont="1" applyFill="1" applyBorder="1" applyAlignment="1">
      <alignment horizontal="center" vertical="center" wrapText="1"/>
    </xf>
    <xf numFmtId="166" fontId="52" fillId="0" borderId="0" xfId="6" applyNumberFormat="1" applyFont="1" applyAlignment="1">
      <alignment horizontal="centerContinuous"/>
    </xf>
    <xf numFmtId="165" fontId="37" fillId="0" borderId="0" xfId="1" applyNumberFormat="1" applyFont="1" applyBorder="1"/>
    <xf numFmtId="165" fontId="125" fillId="0" borderId="0" xfId="1" applyNumberFormat="1" applyFont="1" applyFill="1" applyBorder="1" applyAlignment="1">
      <alignment horizontal="center" vertical="center" wrapText="1"/>
    </xf>
    <xf numFmtId="0" fontId="125" fillId="0" borderId="0" xfId="0" applyFont="1" applyFill="1" applyBorder="1" applyAlignment="1">
      <alignment horizontal="center" vertical="center" wrapText="1"/>
    </xf>
    <xf numFmtId="38" fontId="37" fillId="0" borderId="0" xfId="0" applyNumberFormat="1" applyFont="1" applyFill="1" applyAlignment="1">
      <alignment horizontal="center"/>
    </xf>
    <xf numFmtId="14" fontId="37" fillId="0" borderId="0" xfId="0" applyNumberFormat="1" applyFont="1" applyFill="1" applyAlignment="1">
      <alignment horizontal="center"/>
    </xf>
    <xf numFmtId="165" fontId="52" fillId="0" borderId="1" xfId="1" applyNumberFormat="1" applyFont="1" applyBorder="1"/>
    <xf numFmtId="165" fontId="37" fillId="0" borderId="1" xfId="1" applyNumberFormat="1" applyFont="1" applyBorder="1"/>
    <xf numFmtId="165" fontId="125" fillId="0" borderId="1" xfId="1" applyNumberFormat="1" applyFont="1" applyFill="1" applyBorder="1" applyAlignment="1">
      <alignment horizontal="center" vertical="center" wrapText="1"/>
    </xf>
    <xf numFmtId="0" fontId="37" fillId="0" borderId="1" xfId="0" applyFont="1" applyFill="1" applyBorder="1" applyAlignment="1">
      <alignment horizontal="center"/>
    </xf>
    <xf numFmtId="0" fontId="125" fillId="0" borderId="1" xfId="0" applyFont="1" applyFill="1" applyBorder="1" applyAlignment="1">
      <alignment horizontal="center" vertical="center" wrapText="1"/>
    </xf>
    <xf numFmtId="165" fontId="52" fillId="0" borderId="0" xfId="1" applyNumberFormat="1" applyFont="1" applyProtection="1">
      <protection locked="0"/>
    </xf>
    <xf numFmtId="165" fontId="37" fillId="0" borderId="0" xfId="1" applyNumberFormat="1" applyFont="1"/>
    <xf numFmtId="165" fontId="37" fillId="0" borderId="0" xfId="1" applyNumberFormat="1" applyFont="1" applyFill="1" applyBorder="1" applyAlignment="1">
      <alignment horizontal="center"/>
    </xf>
    <xf numFmtId="165" fontId="37" fillId="0" borderId="0" xfId="1" applyNumberFormat="1" applyFont="1" applyFill="1" applyBorder="1" applyAlignment="1">
      <alignment horizontal="centerContinuous"/>
    </xf>
    <xf numFmtId="186" fontId="52" fillId="0" borderId="0" xfId="6" applyNumberFormat="1" applyFont="1"/>
    <xf numFmtId="173" fontId="52" fillId="6" borderId="0" xfId="6" applyNumberFormat="1" applyFont="1" applyFill="1"/>
    <xf numFmtId="165" fontId="52" fillId="6" borderId="0" xfId="1" applyNumberFormat="1" applyFont="1" applyFill="1"/>
    <xf numFmtId="165" fontId="116" fillId="0" borderId="0" xfId="1" quotePrefix="1" applyNumberFormat="1" applyFont="1" applyProtection="1">
      <protection locked="0"/>
    </xf>
    <xf numFmtId="165" fontId="37" fillId="0" borderId="3" xfId="1" applyNumberFormat="1" applyFont="1" applyFill="1" applyBorder="1"/>
    <xf numFmtId="186" fontId="52" fillId="0" borderId="3" xfId="6" applyNumberFormat="1" applyFont="1" applyBorder="1"/>
    <xf numFmtId="165" fontId="37" fillId="0" borderId="0" xfId="1" applyNumberFormat="1" applyFont="1" applyAlignment="1">
      <alignment vertical="center"/>
    </xf>
    <xf numFmtId="165" fontId="116" fillId="0" borderId="0" xfId="1" applyNumberFormat="1" applyFont="1" applyProtection="1">
      <protection locked="0"/>
    </xf>
    <xf numFmtId="165" fontId="37" fillId="0" borderId="0" xfId="1" applyNumberFormat="1" applyFont="1" applyProtection="1">
      <protection locked="0"/>
    </xf>
    <xf numFmtId="165" fontId="37" fillId="0" borderId="0" xfId="1" applyNumberFormat="1" applyFont="1" applyFill="1"/>
    <xf numFmtId="165" fontId="52" fillId="0" borderId="0" xfId="1" applyNumberFormat="1" applyFont="1" applyAlignment="1">
      <alignment horizontal="left"/>
    </xf>
    <xf numFmtId="165" fontId="37" fillId="0" borderId="5" xfId="1" applyNumberFormat="1" applyFont="1" applyFill="1" applyBorder="1"/>
    <xf numFmtId="37" fontId="52" fillId="0" borderId="5" xfId="1" applyNumberFormat="1" applyFont="1" applyFill="1" applyBorder="1"/>
    <xf numFmtId="186" fontId="52" fillId="0" borderId="5" xfId="6" applyNumberFormat="1" applyFont="1" applyBorder="1"/>
    <xf numFmtId="166" fontId="52" fillId="0" borderId="0" xfId="6" applyNumberFormat="1" applyFont="1"/>
    <xf numFmtId="165" fontId="52" fillId="0" borderId="16" xfId="1" applyNumberFormat="1" applyFont="1" applyFill="1" applyBorder="1"/>
    <xf numFmtId="165" fontId="39" fillId="0" borderId="0" xfId="1" applyNumberFormat="1" applyFont="1" applyAlignment="1">
      <alignment horizontal="center"/>
    </xf>
    <xf numFmtId="0" fontId="52" fillId="0" borderId="10" xfId="0" applyFont="1" applyBorder="1" applyAlignment="1">
      <alignment horizontal="center"/>
    </xf>
    <xf numFmtId="165" fontId="125" fillId="0" borderId="10" xfId="1" applyNumberFormat="1" applyFont="1" applyFill="1" applyBorder="1" applyAlignment="1">
      <alignment horizontal="center" vertical="center" wrapText="1"/>
    </xf>
    <xf numFmtId="165" fontId="70" fillId="0" borderId="0" xfId="1" applyNumberFormat="1" applyFont="1" applyAlignment="1">
      <alignment wrapText="1"/>
    </xf>
    <xf numFmtId="165" fontId="125" fillId="0" borderId="0" xfId="1" applyNumberFormat="1" applyFont="1" applyFill="1" applyBorder="1" applyAlignment="1">
      <alignment horizontal="center" vertical="center" wrapText="1"/>
    </xf>
    <xf numFmtId="38" fontId="61" fillId="0" borderId="0" xfId="1" applyNumberFormat="1" applyFont="1" applyFill="1"/>
    <xf numFmtId="165" fontId="61" fillId="0" borderId="0" xfId="1" applyNumberFormat="1" applyFont="1" applyAlignment="1">
      <alignment horizontal="center"/>
    </xf>
    <xf numFmtId="37" fontId="52" fillId="0" borderId="0" xfId="1" applyNumberFormat="1" applyFont="1"/>
    <xf numFmtId="37" fontId="52" fillId="0" borderId="0" xfId="0" applyNumberFormat="1" applyFont="1" applyFill="1"/>
    <xf numFmtId="165" fontId="60" fillId="0" borderId="0" xfId="1" applyNumberFormat="1" applyFont="1" applyBorder="1" applyAlignment="1">
      <alignment horizontal="center" vertical="center" wrapText="1"/>
    </xf>
    <xf numFmtId="9" fontId="51" fillId="0" borderId="0" xfId="1" applyNumberFormat="1" applyFont="1"/>
    <xf numFmtId="37" fontId="37" fillId="0" borderId="3" xfId="1" applyNumberFormat="1" applyFont="1" applyFill="1" applyBorder="1"/>
    <xf numFmtId="10" fontId="51" fillId="0" borderId="0" xfId="1" applyNumberFormat="1" applyFont="1"/>
    <xf numFmtId="37" fontId="52" fillId="0" borderId="0" xfId="1" applyNumberFormat="1" applyFont="1" applyFill="1"/>
    <xf numFmtId="38" fontId="52" fillId="0" borderId="0" xfId="1" applyNumberFormat="1" applyFont="1"/>
    <xf numFmtId="37" fontId="37" fillId="0" borderId="3" xfId="1" applyNumberFormat="1" applyFont="1" applyBorder="1"/>
    <xf numFmtId="43" fontId="37" fillId="0" borderId="3" xfId="1" applyFont="1" applyBorder="1"/>
    <xf numFmtId="165" fontId="52" fillId="0" borderId="3" xfId="1" applyNumberFormat="1" applyFont="1" applyFill="1" applyBorder="1"/>
    <xf numFmtId="43" fontId="52" fillId="0" borderId="3" xfId="1" applyFont="1" applyFill="1" applyBorder="1"/>
    <xf numFmtId="43" fontId="52" fillId="0" borderId="3" xfId="1" applyFont="1" applyBorder="1"/>
    <xf numFmtId="165" fontId="53" fillId="0" borderId="0" xfId="1" quotePrefix="1" applyNumberFormat="1" applyFont="1" applyProtection="1">
      <protection locked="0"/>
    </xf>
    <xf numFmtId="37" fontId="52" fillId="0" borderId="0" xfId="1" applyNumberFormat="1" applyFont="1" applyFill="1" applyBorder="1"/>
    <xf numFmtId="186" fontId="52" fillId="0" borderId="0" xfId="6" applyNumberFormat="1" applyFont="1" applyBorder="1"/>
    <xf numFmtId="37" fontId="37" fillId="0" borderId="3" xfId="0" applyNumberFormat="1" applyFont="1" applyFill="1" applyBorder="1"/>
    <xf numFmtId="165" fontId="37" fillId="0" borderId="0" xfId="1" applyNumberFormat="1" applyFont="1" applyFill="1" applyBorder="1"/>
    <xf numFmtId="37" fontId="37" fillId="0" borderId="0" xfId="0" applyNumberFormat="1" applyFont="1" applyFill="1" applyBorder="1"/>
    <xf numFmtId="165" fontId="62" fillId="0" borderId="0" xfId="1" applyNumberFormat="1" applyFont="1" applyAlignment="1">
      <alignment horizontal="center"/>
    </xf>
    <xf numFmtId="165" fontId="37" fillId="0" borderId="5" xfId="1" applyNumberFormat="1" applyFont="1" applyBorder="1"/>
    <xf numFmtId="37" fontId="37" fillId="0" borderId="5" xfId="1" applyNumberFormat="1" applyFont="1" applyBorder="1"/>
    <xf numFmtId="3" fontId="52" fillId="0" borderId="0" xfId="1" applyNumberFormat="1" applyFont="1"/>
    <xf numFmtId="186" fontId="52" fillId="0" borderId="2" xfId="6" applyNumberFormat="1" applyFont="1" applyBorder="1"/>
    <xf numFmtId="165" fontId="85" fillId="6" borderId="0" xfId="1" applyNumberFormat="1" applyFont="1" applyFill="1"/>
    <xf numFmtId="38" fontId="51" fillId="0" borderId="0" xfId="1" applyNumberFormat="1" applyFont="1"/>
    <xf numFmtId="165" fontId="48" fillId="0" borderId="0" xfId="1" applyNumberFormat="1" applyFont="1"/>
    <xf numFmtId="165" fontId="48" fillId="0" borderId="0" xfId="1" applyNumberFormat="1" applyFont="1" applyFill="1"/>
    <xf numFmtId="10" fontId="62" fillId="0" borderId="0" xfId="6" applyNumberFormat="1" applyFont="1"/>
    <xf numFmtId="10" fontId="62" fillId="0" borderId="0" xfId="6" applyNumberFormat="1" applyFont="1" applyFill="1"/>
    <xf numFmtId="173" fontId="62" fillId="0" borderId="0" xfId="6" applyNumberFormat="1" applyFont="1"/>
    <xf numFmtId="43" fontId="85" fillId="0" borderId="0" xfId="1" applyFont="1" applyFill="1"/>
    <xf numFmtId="38" fontId="52" fillId="0" borderId="0" xfId="1" applyNumberFormat="1" applyFont="1" applyFill="1"/>
  </cellXfs>
  <cellStyles count="38186">
    <cellStyle name="20% - Accent1" xfId="28" builtinId="30" customBuiltin="1"/>
    <cellStyle name="20% - Accent1 10" xfId="457"/>
    <cellStyle name="20% - Accent1 10 2" xfId="1164"/>
    <cellStyle name="20% - Accent1 10 2 2" xfId="2729"/>
    <cellStyle name="20% - Accent1 10 2 2 2" xfId="9014"/>
    <cellStyle name="20% - Accent1 10 2 2 2 2" xfId="12762"/>
    <cellStyle name="20% - Accent1 10 2 2 2 3" xfId="12761"/>
    <cellStyle name="20% - Accent1 10 2 2 3" xfId="5887"/>
    <cellStyle name="20% - Accent1 10 2 2 3 2" xfId="12764"/>
    <cellStyle name="20% - Accent1 10 2 2 3 3" xfId="12763"/>
    <cellStyle name="20% - Accent1 10 2 2 4" xfId="12197"/>
    <cellStyle name="20% - Accent1 10 2 2 4 2" xfId="12766"/>
    <cellStyle name="20% - Accent1 10 2 2 4 3" xfId="12765"/>
    <cellStyle name="20% - Accent1 10 2 2 5" xfId="12767"/>
    <cellStyle name="20% - Accent1 10 2 2 6" xfId="12760"/>
    <cellStyle name="20% - Accent1 10 2 3" xfId="7451"/>
    <cellStyle name="20% - Accent1 10 2 3 2" xfId="12769"/>
    <cellStyle name="20% - Accent1 10 2 3 3" xfId="12768"/>
    <cellStyle name="20% - Accent1 10 2 4" xfId="4324"/>
    <cellStyle name="20% - Accent1 10 2 4 2" xfId="12771"/>
    <cellStyle name="20% - Accent1 10 2 4 3" xfId="12770"/>
    <cellStyle name="20% - Accent1 10 2 5" xfId="10634"/>
    <cellStyle name="20% - Accent1 10 2 5 2" xfId="12773"/>
    <cellStyle name="20% - Accent1 10 2 5 3" xfId="12772"/>
    <cellStyle name="20% - Accent1 10 2 6" xfId="12774"/>
    <cellStyle name="20% - Accent1 10 2 7" xfId="12759"/>
    <cellStyle name="20% - Accent1 10 3" xfId="2049"/>
    <cellStyle name="20% - Accent1 10 3 2" xfId="8334"/>
    <cellStyle name="20% - Accent1 10 3 2 2" xfId="12777"/>
    <cellStyle name="20% - Accent1 10 3 2 3" xfId="12776"/>
    <cellStyle name="20% - Accent1 10 3 3" xfId="5207"/>
    <cellStyle name="20% - Accent1 10 3 3 2" xfId="12779"/>
    <cellStyle name="20% - Accent1 10 3 3 3" xfId="12778"/>
    <cellStyle name="20% - Accent1 10 3 4" xfId="11517"/>
    <cellStyle name="20% - Accent1 10 3 4 2" xfId="12781"/>
    <cellStyle name="20% - Accent1 10 3 4 3" xfId="12780"/>
    <cellStyle name="20% - Accent1 10 3 5" xfId="12782"/>
    <cellStyle name="20% - Accent1 10 3 6" xfId="12775"/>
    <cellStyle name="20% - Accent1 10 4" xfId="6771"/>
    <cellStyle name="20% - Accent1 10 4 2" xfId="12784"/>
    <cellStyle name="20% - Accent1 10 4 3" xfId="12783"/>
    <cellStyle name="20% - Accent1 10 5" xfId="3644"/>
    <cellStyle name="20% - Accent1 10 5 2" xfId="12786"/>
    <cellStyle name="20% - Accent1 10 5 3" xfId="12785"/>
    <cellStyle name="20% - Accent1 10 6" xfId="10076"/>
    <cellStyle name="20% - Accent1 10 6 2" xfId="12788"/>
    <cellStyle name="20% - Accent1 10 6 3" xfId="12787"/>
    <cellStyle name="20% - Accent1 10 7" xfId="12789"/>
    <cellStyle name="20% - Accent1 10 8" xfId="12758"/>
    <cellStyle name="20% - Accent1 11" xfId="472"/>
    <cellStyle name="20% - Accent1 11 2" xfId="1179"/>
    <cellStyle name="20% - Accent1 11 2 2" xfId="2744"/>
    <cellStyle name="20% - Accent1 11 2 2 2" xfId="9029"/>
    <cellStyle name="20% - Accent1 11 2 2 2 2" xfId="12794"/>
    <cellStyle name="20% - Accent1 11 2 2 2 3" xfId="12793"/>
    <cellStyle name="20% - Accent1 11 2 2 3" xfId="5902"/>
    <cellStyle name="20% - Accent1 11 2 2 3 2" xfId="12796"/>
    <cellStyle name="20% - Accent1 11 2 2 3 3" xfId="12795"/>
    <cellStyle name="20% - Accent1 11 2 2 4" xfId="12212"/>
    <cellStyle name="20% - Accent1 11 2 2 4 2" xfId="12798"/>
    <cellStyle name="20% - Accent1 11 2 2 4 3" xfId="12797"/>
    <cellStyle name="20% - Accent1 11 2 2 5" xfId="12799"/>
    <cellStyle name="20% - Accent1 11 2 2 6" xfId="12792"/>
    <cellStyle name="20% - Accent1 11 2 3" xfId="7466"/>
    <cellStyle name="20% - Accent1 11 2 3 2" xfId="12801"/>
    <cellStyle name="20% - Accent1 11 2 3 3" xfId="12800"/>
    <cellStyle name="20% - Accent1 11 2 4" xfId="4339"/>
    <cellStyle name="20% - Accent1 11 2 4 2" xfId="12803"/>
    <cellStyle name="20% - Accent1 11 2 4 3" xfId="12802"/>
    <cellStyle name="20% - Accent1 11 2 5" xfId="10649"/>
    <cellStyle name="20% - Accent1 11 2 5 2" xfId="12805"/>
    <cellStyle name="20% - Accent1 11 2 5 3" xfId="12804"/>
    <cellStyle name="20% - Accent1 11 2 6" xfId="12806"/>
    <cellStyle name="20% - Accent1 11 2 7" xfId="12791"/>
    <cellStyle name="20% - Accent1 11 3" xfId="2064"/>
    <cellStyle name="20% - Accent1 11 3 2" xfId="8349"/>
    <cellStyle name="20% - Accent1 11 3 2 2" xfId="12809"/>
    <cellStyle name="20% - Accent1 11 3 2 3" xfId="12808"/>
    <cellStyle name="20% - Accent1 11 3 3" xfId="5222"/>
    <cellStyle name="20% - Accent1 11 3 3 2" xfId="12811"/>
    <cellStyle name="20% - Accent1 11 3 3 3" xfId="12810"/>
    <cellStyle name="20% - Accent1 11 3 4" xfId="11532"/>
    <cellStyle name="20% - Accent1 11 3 4 2" xfId="12813"/>
    <cellStyle name="20% - Accent1 11 3 4 3" xfId="12812"/>
    <cellStyle name="20% - Accent1 11 3 5" xfId="12814"/>
    <cellStyle name="20% - Accent1 11 3 6" xfId="12807"/>
    <cellStyle name="20% - Accent1 11 4" xfId="6786"/>
    <cellStyle name="20% - Accent1 11 4 2" xfId="12816"/>
    <cellStyle name="20% - Accent1 11 4 3" xfId="12815"/>
    <cellStyle name="20% - Accent1 11 5" xfId="3659"/>
    <cellStyle name="20% - Accent1 11 5 2" xfId="12818"/>
    <cellStyle name="20% - Accent1 11 5 3" xfId="12817"/>
    <cellStyle name="20% - Accent1 11 6" xfId="10091"/>
    <cellStyle name="20% - Accent1 11 6 2" xfId="12820"/>
    <cellStyle name="20% - Accent1 11 6 3" xfId="12819"/>
    <cellStyle name="20% - Accent1 11 7" xfId="12821"/>
    <cellStyle name="20% - Accent1 11 8" xfId="12790"/>
    <cellStyle name="20% - Accent1 12" xfId="487"/>
    <cellStyle name="20% - Accent1 12 2" xfId="1194"/>
    <cellStyle name="20% - Accent1 12 2 2" xfId="2759"/>
    <cellStyle name="20% - Accent1 12 2 2 2" xfId="9044"/>
    <cellStyle name="20% - Accent1 12 2 2 2 2" xfId="12826"/>
    <cellStyle name="20% - Accent1 12 2 2 2 3" xfId="12825"/>
    <cellStyle name="20% - Accent1 12 2 2 3" xfId="5917"/>
    <cellStyle name="20% - Accent1 12 2 2 3 2" xfId="12828"/>
    <cellStyle name="20% - Accent1 12 2 2 3 3" xfId="12827"/>
    <cellStyle name="20% - Accent1 12 2 2 4" xfId="12227"/>
    <cellStyle name="20% - Accent1 12 2 2 4 2" xfId="12830"/>
    <cellStyle name="20% - Accent1 12 2 2 4 3" xfId="12829"/>
    <cellStyle name="20% - Accent1 12 2 2 5" xfId="12831"/>
    <cellStyle name="20% - Accent1 12 2 2 6" xfId="12824"/>
    <cellStyle name="20% - Accent1 12 2 3" xfId="7481"/>
    <cellStyle name="20% - Accent1 12 2 3 2" xfId="12833"/>
    <cellStyle name="20% - Accent1 12 2 3 3" xfId="12832"/>
    <cellStyle name="20% - Accent1 12 2 4" xfId="4354"/>
    <cellStyle name="20% - Accent1 12 2 4 2" xfId="12835"/>
    <cellStyle name="20% - Accent1 12 2 4 3" xfId="12834"/>
    <cellStyle name="20% - Accent1 12 2 5" xfId="10664"/>
    <cellStyle name="20% - Accent1 12 2 5 2" xfId="12837"/>
    <cellStyle name="20% - Accent1 12 2 5 3" xfId="12836"/>
    <cellStyle name="20% - Accent1 12 2 6" xfId="12838"/>
    <cellStyle name="20% - Accent1 12 2 7" xfId="12823"/>
    <cellStyle name="20% - Accent1 12 3" xfId="2079"/>
    <cellStyle name="20% - Accent1 12 3 2" xfId="8364"/>
    <cellStyle name="20% - Accent1 12 3 2 2" xfId="12841"/>
    <cellStyle name="20% - Accent1 12 3 2 3" xfId="12840"/>
    <cellStyle name="20% - Accent1 12 3 3" xfId="5237"/>
    <cellStyle name="20% - Accent1 12 3 3 2" xfId="12843"/>
    <cellStyle name="20% - Accent1 12 3 3 3" xfId="12842"/>
    <cellStyle name="20% - Accent1 12 3 4" xfId="11547"/>
    <cellStyle name="20% - Accent1 12 3 4 2" xfId="12845"/>
    <cellStyle name="20% - Accent1 12 3 4 3" xfId="12844"/>
    <cellStyle name="20% - Accent1 12 3 5" xfId="12846"/>
    <cellStyle name="20% - Accent1 12 3 6" xfId="12839"/>
    <cellStyle name="20% - Accent1 12 4" xfId="6801"/>
    <cellStyle name="20% - Accent1 12 4 2" xfId="12848"/>
    <cellStyle name="20% - Accent1 12 4 3" xfId="12847"/>
    <cellStyle name="20% - Accent1 12 5" xfId="3674"/>
    <cellStyle name="20% - Accent1 12 5 2" xfId="12850"/>
    <cellStyle name="20% - Accent1 12 5 3" xfId="12849"/>
    <cellStyle name="20% - Accent1 12 6" xfId="10106"/>
    <cellStyle name="20% - Accent1 12 6 2" xfId="12852"/>
    <cellStyle name="20% - Accent1 12 6 3" xfId="12851"/>
    <cellStyle name="20% - Accent1 12 7" xfId="12853"/>
    <cellStyle name="20% - Accent1 12 8" xfId="12822"/>
    <cellStyle name="20% - Accent1 13" xfId="500"/>
    <cellStyle name="20% - Accent1 13 2" xfId="1207"/>
    <cellStyle name="20% - Accent1 13 2 2" xfId="2772"/>
    <cellStyle name="20% - Accent1 13 2 2 2" xfId="9057"/>
    <cellStyle name="20% - Accent1 13 2 2 2 2" xfId="12858"/>
    <cellStyle name="20% - Accent1 13 2 2 2 3" xfId="12857"/>
    <cellStyle name="20% - Accent1 13 2 2 3" xfId="5930"/>
    <cellStyle name="20% - Accent1 13 2 2 3 2" xfId="12860"/>
    <cellStyle name="20% - Accent1 13 2 2 3 3" xfId="12859"/>
    <cellStyle name="20% - Accent1 13 2 2 4" xfId="12240"/>
    <cellStyle name="20% - Accent1 13 2 2 4 2" xfId="12862"/>
    <cellStyle name="20% - Accent1 13 2 2 4 3" xfId="12861"/>
    <cellStyle name="20% - Accent1 13 2 2 5" xfId="12863"/>
    <cellStyle name="20% - Accent1 13 2 2 6" xfId="12856"/>
    <cellStyle name="20% - Accent1 13 2 3" xfId="7494"/>
    <cellStyle name="20% - Accent1 13 2 3 2" xfId="12865"/>
    <cellStyle name="20% - Accent1 13 2 3 3" xfId="12864"/>
    <cellStyle name="20% - Accent1 13 2 4" xfId="4367"/>
    <cellStyle name="20% - Accent1 13 2 4 2" xfId="12867"/>
    <cellStyle name="20% - Accent1 13 2 4 3" xfId="12866"/>
    <cellStyle name="20% - Accent1 13 2 5" xfId="10677"/>
    <cellStyle name="20% - Accent1 13 2 5 2" xfId="12869"/>
    <cellStyle name="20% - Accent1 13 2 5 3" xfId="12868"/>
    <cellStyle name="20% - Accent1 13 2 6" xfId="12870"/>
    <cellStyle name="20% - Accent1 13 2 7" xfId="12855"/>
    <cellStyle name="20% - Accent1 13 3" xfId="2092"/>
    <cellStyle name="20% - Accent1 13 3 2" xfId="8377"/>
    <cellStyle name="20% - Accent1 13 3 2 2" xfId="12873"/>
    <cellStyle name="20% - Accent1 13 3 2 3" xfId="12872"/>
    <cellStyle name="20% - Accent1 13 3 3" xfId="5250"/>
    <cellStyle name="20% - Accent1 13 3 3 2" xfId="12875"/>
    <cellStyle name="20% - Accent1 13 3 3 3" xfId="12874"/>
    <cellStyle name="20% - Accent1 13 3 4" xfId="11560"/>
    <cellStyle name="20% - Accent1 13 3 4 2" xfId="12877"/>
    <cellStyle name="20% - Accent1 13 3 4 3" xfId="12876"/>
    <cellStyle name="20% - Accent1 13 3 5" xfId="12878"/>
    <cellStyle name="20% - Accent1 13 3 6" xfId="12871"/>
    <cellStyle name="20% - Accent1 13 4" xfId="6814"/>
    <cellStyle name="20% - Accent1 13 4 2" xfId="12880"/>
    <cellStyle name="20% - Accent1 13 4 3" xfId="12879"/>
    <cellStyle name="20% - Accent1 13 5" xfId="3687"/>
    <cellStyle name="20% - Accent1 13 5 2" xfId="12882"/>
    <cellStyle name="20% - Accent1 13 5 3" xfId="12881"/>
    <cellStyle name="20% - Accent1 13 6" xfId="10119"/>
    <cellStyle name="20% - Accent1 13 6 2" xfId="12884"/>
    <cellStyle name="20% - Accent1 13 6 3" xfId="12883"/>
    <cellStyle name="20% - Accent1 13 7" xfId="12885"/>
    <cellStyle name="20% - Accent1 13 8" xfId="12854"/>
    <cellStyle name="20% - Accent1 14" xfId="514"/>
    <cellStyle name="20% - Accent1 14 2" xfId="1221"/>
    <cellStyle name="20% - Accent1 14 2 2" xfId="2786"/>
    <cellStyle name="20% - Accent1 14 2 2 2" xfId="9071"/>
    <cellStyle name="20% - Accent1 14 2 2 2 2" xfId="12890"/>
    <cellStyle name="20% - Accent1 14 2 2 2 3" xfId="12889"/>
    <cellStyle name="20% - Accent1 14 2 2 3" xfId="5944"/>
    <cellStyle name="20% - Accent1 14 2 2 3 2" xfId="12892"/>
    <cellStyle name="20% - Accent1 14 2 2 3 3" xfId="12891"/>
    <cellStyle name="20% - Accent1 14 2 2 4" xfId="12254"/>
    <cellStyle name="20% - Accent1 14 2 2 4 2" xfId="12894"/>
    <cellStyle name="20% - Accent1 14 2 2 4 3" xfId="12893"/>
    <cellStyle name="20% - Accent1 14 2 2 5" xfId="12895"/>
    <cellStyle name="20% - Accent1 14 2 2 6" xfId="12888"/>
    <cellStyle name="20% - Accent1 14 2 3" xfId="7508"/>
    <cellStyle name="20% - Accent1 14 2 3 2" xfId="12897"/>
    <cellStyle name="20% - Accent1 14 2 3 3" xfId="12896"/>
    <cellStyle name="20% - Accent1 14 2 4" xfId="4381"/>
    <cellStyle name="20% - Accent1 14 2 4 2" xfId="12899"/>
    <cellStyle name="20% - Accent1 14 2 4 3" xfId="12898"/>
    <cellStyle name="20% - Accent1 14 2 5" xfId="10691"/>
    <cellStyle name="20% - Accent1 14 2 5 2" xfId="12901"/>
    <cellStyle name="20% - Accent1 14 2 5 3" xfId="12900"/>
    <cellStyle name="20% - Accent1 14 2 6" xfId="12902"/>
    <cellStyle name="20% - Accent1 14 2 7" xfId="12887"/>
    <cellStyle name="20% - Accent1 14 3" xfId="2106"/>
    <cellStyle name="20% - Accent1 14 3 2" xfId="8391"/>
    <cellStyle name="20% - Accent1 14 3 2 2" xfId="12905"/>
    <cellStyle name="20% - Accent1 14 3 2 3" xfId="12904"/>
    <cellStyle name="20% - Accent1 14 3 3" xfId="5264"/>
    <cellStyle name="20% - Accent1 14 3 3 2" xfId="12907"/>
    <cellStyle name="20% - Accent1 14 3 3 3" xfId="12906"/>
    <cellStyle name="20% - Accent1 14 3 4" xfId="11574"/>
    <cellStyle name="20% - Accent1 14 3 4 2" xfId="12909"/>
    <cellStyle name="20% - Accent1 14 3 4 3" xfId="12908"/>
    <cellStyle name="20% - Accent1 14 3 5" xfId="12910"/>
    <cellStyle name="20% - Accent1 14 3 6" xfId="12903"/>
    <cellStyle name="20% - Accent1 14 4" xfId="6828"/>
    <cellStyle name="20% - Accent1 14 4 2" xfId="12912"/>
    <cellStyle name="20% - Accent1 14 4 3" xfId="12911"/>
    <cellStyle name="20% - Accent1 14 5" xfId="3701"/>
    <cellStyle name="20% - Accent1 14 5 2" xfId="12914"/>
    <cellStyle name="20% - Accent1 14 5 3" xfId="12913"/>
    <cellStyle name="20% - Accent1 14 6" xfId="10133"/>
    <cellStyle name="20% - Accent1 14 6 2" xfId="12916"/>
    <cellStyle name="20% - Accent1 14 6 3" xfId="12915"/>
    <cellStyle name="20% - Accent1 14 7" xfId="12917"/>
    <cellStyle name="20% - Accent1 14 8" xfId="12886"/>
    <cellStyle name="20% - Accent1 15" xfId="528"/>
    <cellStyle name="20% - Accent1 15 2" xfId="1235"/>
    <cellStyle name="20% - Accent1 15 2 2" xfId="2800"/>
    <cellStyle name="20% - Accent1 15 2 2 2" xfId="9085"/>
    <cellStyle name="20% - Accent1 15 2 2 2 2" xfId="12922"/>
    <cellStyle name="20% - Accent1 15 2 2 2 3" xfId="12921"/>
    <cellStyle name="20% - Accent1 15 2 2 3" xfId="5958"/>
    <cellStyle name="20% - Accent1 15 2 2 3 2" xfId="12924"/>
    <cellStyle name="20% - Accent1 15 2 2 3 3" xfId="12923"/>
    <cellStyle name="20% - Accent1 15 2 2 4" xfId="12268"/>
    <cellStyle name="20% - Accent1 15 2 2 4 2" xfId="12926"/>
    <cellStyle name="20% - Accent1 15 2 2 4 3" xfId="12925"/>
    <cellStyle name="20% - Accent1 15 2 2 5" xfId="12927"/>
    <cellStyle name="20% - Accent1 15 2 2 6" xfId="12920"/>
    <cellStyle name="20% - Accent1 15 2 3" xfId="7522"/>
    <cellStyle name="20% - Accent1 15 2 3 2" xfId="12929"/>
    <cellStyle name="20% - Accent1 15 2 3 3" xfId="12928"/>
    <cellStyle name="20% - Accent1 15 2 4" xfId="4395"/>
    <cellStyle name="20% - Accent1 15 2 4 2" xfId="12931"/>
    <cellStyle name="20% - Accent1 15 2 4 3" xfId="12930"/>
    <cellStyle name="20% - Accent1 15 2 5" xfId="10705"/>
    <cellStyle name="20% - Accent1 15 2 5 2" xfId="12933"/>
    <cellStyle name="20% - Accent1 15 2 5 3" xfId="12932"/>
    <cellStyle name="20% - Accent1 15 2 6" xfId="12934"/>
    <cellStyle name="20% - Accent1 15 2 7" xfId="12919"/>
    <cellStyle name="20% - Accent1 15 3" xfId="2120"/>
    <cellStyle name="20% - Accent1 15 3 2" xfId="8405"/>
    <cellStyle name="20% - Accent1 15 3 2 2" xfId="12937"/>
    <cellStyle name="20% - Accent1 15 3 2 3" xfId="12936"/>
    <cellStyle name="20% - Accent1 15 3 3" xfId="5278"/>
    <cellStyle name="20% - Accent1 15 3 3 2" xfId="12939"/>
    <cellStyle name="20% - Accent1 15 3 3 3" xfId="12938"/>
    <cellStyle name="20% - Accent1 15 3 4" xfId="11588"/>
    <cellStyle name="20% - Accent1 15 3 4 2" xfId="12941"/>
    <cellStyle name="20% - Accent1 15 3 4 3" xfId="12940"/>
    <cellStyle name="20% - Accent1 15 3 5" xfId="12942"/>
    <cellStyle name="20% - Accent1 15 3 6" xfId="12935"/>
    <cellStyle name="20% - Accent1 15 4" xfId="6842"/>
    <cellStyle name="20% - Accent1 15 4 2" xfId="12944"/>
    <cellStyle name="20% - Accent1 15 4 3" xfId="12943"/>
    <cellStyle name="20% - Accent1 15 5" xfId="3715"/>
    <cellStyle name="20% - Accent1 15 5 2" xfId="12946"/>
    <cellStyle name="20% - Accent1 15 5 3" xfId="12945"/>
    <cellStyle name="20% - Accent1 15 6" xfId="10147"/>
    <cellStyle name="20% - Accent1 15 6 2" xfId="12948"/>
    <cellStyle name="20% - Accent1 15 6 3" xfId="12947"/>
    <cellStyle name="20% - Accent1 15 7" xfId="12949"/>
    <cellStyle name="20% - Accent1 15 8" xfId="12918"/>
    <cellStyle name="20% - Accent1 16" xfId="542"/>
    <cellStyle name="20% - Accent1 16 2" xfId="1249"/>
    <cellStyle name="20% - Accent1 16 2 2" xfId="2814"/>
    <cellStyle name="20% - Accent1 16 2 2 2" xfId="9099"/>
    <cellStyle name="20% - Accent1 16 2 2 2 2" xfId="12954"/>
    <cellStyle name="20% - Accent1 16 2 2 2 3" xfId="12953"/>
    <cellStyle name="20% - Accent1 16 2 2 3" xfId="5972"/>
    <cellStyle name="20% - Accent1 16 2 2 3 2" xfId="12956"/>
    <cellStyle name="20% - Accent1 16 2 2 3 3" xfId="12955"/>
    <cellStyle name="20% - Accent1 16 2 2 4" xfId="12282"/>
    <cellStyle name="20% - Accent1 16 2 2 4 2" xfId="12958"/>
    <cellStyle name="20% - Accent1 16 2 2 4 3" xfId="12957"/>
    <cellStyle name="20% - Accent1 16 2 2 5" xfId="12959"/>
    <cellStyle name="20% - Accent1 16 2 2 6" xfId="12952"/>
    <cellStyle name="20% - Accent1 16 2 3" xfId="7536"/>
    <cellStyle name="20% - Accent1 16 2 3 2" xfId="12961"/>
    <cellStyle name="20% - Accent1 16 2 3 3" xfId="12960"/>
    <cellStyle name="20% - Accent1 16 2 4" xfId="4409"/>
    <cellStyle name="20% - Accent1 16 2 4 2" xfId="12963"/>
    <cellStyle name="20% - Accent1 16 2 4 3" xfId="12962"/>
    <cellStyle name="20% - Accent1 16 2 5" xfId="10719"/>
    <cellStyle name="20% - Accent1 16 2 5 2" xfId="12965"/>
    <cellStyle name="20% - Accent1 16 2 5 3" xfId="12964"/>
    <cellStyle name="20% - Accent1 16 2 6" xfId="12966"/>
    <cellStyle name="20% - Accent1 16 2 7" xfId="12951"/>
    <cellStyle name="20% - Accent1 16 3" xfId="2134"/>
    <cellStyle name="20% - Accent1 16 3 2" xfId="8419"/>
    <cellStyle name="20% - Accent1 16 3 2 2" xfId="12969"/>
    <cellStyle name="20% - Accent1 16 3 2 3" xfId="12968"/>
    <cellStyle name="20% - Accent1 16 3 3" xfId="5292"/>
    <cellStyle name="20% - Accent1 16 3 3 2" xfId="12971"/>
    <cellStyle name="20% - Accent1 16 3 3 3" xfId="12970"/>
    <cellStyle name="20% - Accent1 16 3 4" xfId="11602"/>
    <cellStyle name="20% - Accent1 16 3 4 2" xfId="12973"/>
    <cellStyle name="20% - Accent1 16 3 4 3" xfId="12972"/>
    <cellStyle name="20% - Accent1 16 3 5" xfId="12974"/>
    <cellStyle name="20% - Accent1 16 3 6" xfId="12967"/>
    <cellStyle name="20% - Accent1 16 4" xfId="6856"/>
    <cellStyle name="20% - Accent1 16 4 2" xfId="12976"/>
    <cellStyle name="20% - Accent1 16 4 3" xfId="12975"/>
    <cellStyle name="20% - Accent1 16 5" xfId="3729"/>
    <cellStyle name="20% - Accent1 16 5 2" xfId="12978"/>
    <cellStyle name="20% - Accent1 16 5 3" xfId="12977"/>
    <cellStyle name="20% - Accent1 16 6" xfId="10161"/>
    <cellStyle name="20% - Accent1 16 6 2" xfId="12980"/>
    <cellStyle name="20% - Accent1 16 6 3" xfId="12979"/>
    <cellStyle name="20% - Accent1 16 7" xfId="12981"/>
    <cellStyle name="20% - Accent1 16 8" xfId="12950"/>
    <cellStyle name="20% - Accent1 17" xfId="595"/>
    <cellStyle name="20% - Accent1 17 2" xfId="1302"/>
    <cellStyle name="20% - Accent1 17 2 2" xfId="2867"/>
    <cellStyle name="20% - Accent1 17 2 2 2" xfId="9152"/>
    <cellStyle name="20% - Accent1 17 2 2 2 2" xfId="12986"/>
    <cellStyle name="20% - Accent1 17 2 2 2 3" xfId="12985"/>
    <cellStyle name="20% - Accent1 17 2 2 3" xfId="6025"/>
    <cellStyle name="20% - Accent1 17 2 2 3 2" xfId="12988"/>
    <cellStyle name="20% - Accent1 17 2 2 3 3" xfId="12987"/>
    <cellStyle name="20% - Accent1 17 2 2 4" xfId="12335"/>
    <cellStyle name="20% - Accent1 17 2 2 4 2" xfId="12990"/>
    <cellStyle name="20% - Accent1 17 2 2 4 3" xfId="12989"/>
    <cellStyle name="20% - Accent1 17 2 2 5" xfId="12991"/>
    <cellStyle name="20% - Accent1 17 2 2 6" xfId="12984"/>
    <cellStyle name="20% - Accent1 17 2 3" xfId="7589"/>
    <cellStyle name="20% - Accent1 17 2 3 2" xfId="12993"/>
    <cellStyle name="20% - Accent1 17 2 3 3" xfId="12992"/>
    <cellStyle name="20% - Accent1 17 2 4" xfId="4462"/>
    <cellStyle name="20% - Accent1 17 2 4 2" xfId="12995"/>
    <cellStyle name="20% - Accent1 17 2 4 3" xfId="12994"/>
    <cellStyle name="20% - Accent1 17 2 5" xfId="10772"/>
    <cellStyle name="20% - Accent1 17 2 5 2" xfId="12997"/>
    <cellStyle name="20% - Accent1 17 2 5 3" xfId="12996"/>
    <cellStyle name="20% - Accent1 17 2 6" xfId="12998"/>
    <cellStyle name="20% - Accent1 17 2 7" xfId="12983"/>
    <cellStyle name="20% - Accent1 17 3" xfId="2187"/>
    <cellStyle name="20% - Accent1 17 3 2" xfId="8472"/>
    <cellStyle name="20% - Accent1 17 3 2 2" xfId="13001"/>
    <cellStyle name="20% - Accent1 17 3 2 3" xfId="13000"/>
    <cellStyle name="20% - Accent1 17 3 3" xfId="5345"/>
    <cellStyle name="20% - Accent1 17 3 3 2" xfId="13003"/>
    <cellStyle name="20% - Accent1 17 3 3 3" xfId="13002"/>
    <cellStyle name="20% - Accent1 17 3 4" xfId="11655"/>
    <cellStyle name="20% - Accent1 17 3 4 2" xfId="13005"/>
    <cellStyle name="20% - Accent1 17 3 4 3" xfId="13004"/>
    <cellStyle name="20% - Accent1 17 3 5" xfId="13006"/>
    <cellStyle name="20% - Accent1 17 3 6" xfId="12999"/>
    <cellStyle name="20% - Accent1 17 4" xfId="6909"/>
    <cellStyle name="20% - Accent1 17 4 2" xfId="13008"/>
    <cellStyle name="20% - Accent1 17 4 3" xfId="13007"/>
    <cellStyle name="20% - Accent1 17 5" xfId="3782"/>
    <cellStyle name="20% - Accent1 17 5 2" xfId="13010"/>
    <cellStyle name="20% - Accent1 17 5 3" xfId="13009"/>
    <cellStyle name="20% - Accent1 17 6" xfId="10214"/>
    <cellStyle name="20% - Accent1 17 6 2" xfId="13012"/>
    <cellStyle name="20% - Accent1 17 6 3" xfId="13011"/>
    <cellStyle name="20% - Accent1 17 7" xfId="13013"/>
    <cellStyle name="20% - Accent1 17 8" xfId="12982"/>
    <cellStyle name="20% - Accent1 18" xfId="654"/>
    <cellStyle name="20% - Accent1 18 2" xfId="1359"/>
    <cellStyle name="20% - Accent1 18 2 2" xfId="2924"/>
    <cellStyle name="20% - Accent1 18 2 2 2" xfId="9209"/>
    <cellStyle name="20% - Accent1 18 2 2 2 2" xfId="13018"/>
    <cellStyle name="20% - Accent1 18 2 2 2 3" xfId="13017"/>
    <cellStyle name="20% - Accent1 18 2 2 3" xfId="6082"/>
    <cellStyle name="20% - Accent1 18 2 2 3 2" xfId="13020"/>
    <cellStyle name="20% - Accent1 18 2 2 3 3" xfId="13019"/>
    <cellStyle name="20% - Accent1 18 2 2 4" xfId="12392"/>
    <cellStyle name="20% - Accent1 18 2 2 4 2" xfId="13022"/>
    <cellStyle name="20% - Accent1 18 2 2 4 3" xfId="13021"/>
    <cellStyle name="20% - Accent1 18 2 2 5" xfId="13023"/>
    <cellStyle name="20% - Accent1 18 2 2 6" xfId="13016"/>
    <cellStyle name="20% - Accent1 18 2 3" xfId="7646"/>
    <cellStyle name="20% - Accent1 18 2 3 2" xfId="13025"/>
    <cellStyle name="20% - Accent1 18 2 3 3" xfId="13024"/>
    <cellStyle name="20% - Accent1 18 2 4" xfId="4519"/>
    <cellStyle name="20% - Accent1 18 2 4 2" xfId="13027"/>
    <cellStyle name="20% - Accent1 18 2 4 3" xfId="13026"/>
    <cellStyle name="20% - Accent1 18 2 5" xfId="10829"/>
    <cellStyle name="20% - Accent1 18 2 5 2" xfId="13029"/>
    <cellStyle name="20% - Accent1 18 2 5 3" xfId="13028"/>
    <cellStyle name="20% - Accent1 18 2 6" xfId="13030"/>
    <cellStyle name="20% - Accent1 18 2 7" xfId="13015"/>
    <cellStyle name="20% - Accent1 18 3" xfId="2244"/>
    <cellStyle name="20% - Accent1 18 3 2" xfId="8529"/>
    <cellStyle name="20% - Accent1 18 3 2 2" xfId="13033"/>
    <cellStyle name="20% - Accent1 18 3 2 3" xfId="13032"/>
    <cellStyle name="20% - Accent1 18 3 3" xfId="5402"/>
    <cellStyle name="20% - Accent1 18 3 3 2" xfId="13035"/>
    <cellStyle name="20% - Accent1 18 3 3 3" xfId="13034"/>
    <cellStyle name="20% - Accent1 18 3 4" xfId="11712"/>
    <cellStyle name="20% - Accent1 18 3 4 2" xfId="13037"/>
    <cellStyle name="20% - Accent1 18 3 4 3" xfId="13036"/>
    <cellStyle name="20% - Accent1 18 3 5" xfId="13038"/>
    <cellStyle name="20% - Accent1 18 3 6" xfId="13031"/>
    <cellStyle name="20% - Accent1 18 4" xfId="6966"/>
    <cellStyle name="20% - Accent1 18 4 2" xfId="13040"/>
    <cellStyle name="20% - Accent1 18 4 3" xfId="13039"/>
    <cellStyle name="20% - Accent1 18 5" xfId="3839"/>
    <cellStyle name="20% - Accent1 18 5 2" xfId="13042"/>
    <cellStyle name="20% - Accent1 18 5 3" xfId="13041"/>
    <cellStyle name="20% - Accent1 18 6" xfId="10272"/>
    <cellStyle name="20% - Accent1 18 6 2" xfId="13044"/>
    <cellStyle name="20% - Accent1 18 6 3" xfId="13043"/>
    <cellStyle name="20% - Accent1 18 7" xfId="13045"/>
    <cellStyle name="20% - Accent1 18 8" xfId="13014"/>
    <cellStyle name="20% - Accent1 19" xfId="841"/>
    <cellStyle name="20% - Accent1 19 2" xfId="2407"/>
    <cellStyle name="20% - Accent1 19 2 2" xfId="8692"/>
    <cellStyle name="20% - Accent1 19 2 2 2" xfId="13049"/>
    <cellStyle name="20% - Accent1 19 2 2 3" xfId="13048"/>
    <cellStyle name="20% - Accent1 19 2 3" xfId="5565"/>
    <cellStyle name="20% - Accent1 19 2 3 2" xfId="13051"/>
    <cellStyle name="20% - Accent1 19 2 3 3" xfId="13050"/>
    <cellStyle name="20% - Accent1 19 2 4" xfId="11875"/>
    <cellStyle name="20% - Accent1 19 2 4 2" xfId="13053"/>
    <cellStyle name="20% - Accent1 19 2 4 3" xfId="13052"/>
    <cellStyle name="20% - Accent1 19 2 5" xfId="13054"/>
    <cellStyle name="20% - Accent1 19 2 6" xfId="13047"/>
    <cellStyle name="20% - Accent1 19 3" xfId="7129"/>
    <cellStyle name="20% - Accent1 19 3 2" xfId="13056"/>
    <cellStyle name="20% - Accent1 19 3 3" xfId="13055"/>
    <cellStyle name="20% - Accent1 19 4" xfId="4002"/>
    <cellStyle name="20% - Accent1 19 4 2" xfId="13058"/>
    <cellStyle name="20% - Accent1 19 4 3" xfId="13057"/>
    <cellStyle name="20% - Accent1 19 5" xfId="10312"/>
    <cellStyle name="20% - Accent1 19 5 2" xfId="13060"/>
    <cellStyle name="20% - Accent1 19 5 3" xfId="13059"/>
    <cellStyle name="20% - Accent1 19 6" xfId="13061"/>
    <cellStyle name="20% - Accent1 19 7" xfId="13046"/>
    <cellStyle name="20% - Accent1 2" xfId="55"/>
    <cellStyle name="20% - Accent1 2 10" xfId="854"/>
    <cellStyle name="20% - Accent1 2 10 2" xfId="2420"/>
    <cellStyle name="20% - Accent1 2 10 2 2" xfId="8705"/>
    <cellStyle name="20% - Accent1 2 10 2 2 2" xfId="13066"/>
    <cellStyle name="20% - Accent1 2 10 2 2 3" xfId="13065"/>
    <cellStyle name="20% - Accent1 2 10 2 3" xfId="5578"/>
    <cellStyle name="20% - Accent1 2 10 2 3 2" xfId="13068"/>
    <cellStyle name="20% - Accent1 2 10 2 3 3" xfId="13067"/>
    <cellStyle name="20% - Accent1 2 10 2 4" xfId="11888"/>
    <cellStyle name="20% - Accent1 2 10 2 4 2" xfId="13070"/>
    <cellStyle name="20% - Accent1 2 10 2 4 3" xfId="13069"/>
    <cellStyle name="20% - Accent1 2 10 2 5" xfId="13071"/>
    <cellStyle name="20% - Accent1 2 10 2 6" xfId="13064"/>
    <cellStyle name="20% - Accent1 2 10 3" xfId="7142"/>
    <cellStyle name="20% - Accent1 2 10 3 2" xfId="13073"/>
    <cellStyle name="20% - Accent1 2 10 3 3" xfId="13072"/>
    <cellStyle name="20% - Accent1 2 10 4" xfId="4015"/>
    <cellStyle name="20% - Accent1 2 10 4 2" xfId="13075"/>
    <cellStyle name="20% - Accent1 2 10 4 3" xfId="13074"/>
    <cellStyle name="20% - Accent1 2 10 5" xfId="10325"/>
    <cellStyle name="20% - Accent1 2 10 5 2" xfId="13077"/>
    <cellStyle name="20% - Accent1 2 10 5 3" xfId="13076"/>
    <cellStyle name="20% - Accent1 2 10 6" xfId="13078"/>
    <cellStyle name="20% - Accent1 2 10 7" xfId="13063"/>
    <cellStyle name="20% - Accent1 2 11" xfId="1522"/>
    <cellStyle name="20% - Accent1 2 11 2" xfId="3087"/>
    <cellStyle name="20% - Accent1 2 11 2 2" xfId="9372"/>
    <cellStyle name="20% - Accent1 2 11 2 2 2" xfId="13082"/>
    <cellStyle name="20% - Accent1 2 11 2 2 3" xfId="13081"/>
    <cellStyle name="20% - Accent1 2 11 2 3" xfId="6245"/>
    <cellStyle name="20% - Accent1 2 11 2 3 2" xfId="13084"/>
    <cellStyle name="20% - Accent1 2 11 2 3 3" xfId="13083"/>
    <cellStyle name="20% - Accent1 2 11 2 4" xfId="12555"/>
    <cellStyle name="20% - Accent1 2 11 2 4 2" xfId="13086"/>
    <cellStyle name="20% - Accent1 2 11 2 4 3" xfId="13085"/>
    <cellStyle name="20% - Accent1 2 11 2 5" xfId="13087"/>
    <cellStyle name="20% - Accent1 2 11 2 6" xfId="13080"/>
    <cellStyle name="20% - Accent1 2 11 3" xfId="7809"/>
    <cellStyle name="20% - Accent1 2 11 3 2" xfId="13089"/>
    <cellStyle name="20% - Accent1 2 11 3 3" xfId="13088"/>
    <cellStyle name="20% - Accent1 2 11 4" xfId="4682"/>
    <cellStyle name="20% - Accent1 2 11 4 2" xfId="13091"/>
    <cellStyle name="20% - Accent1 2 11 4 3" xfId="13090"/>
    <cellStyle name="20% - Accent1 2 11 5" xfId="10992"/>
    <cellStyle name="20% - Accent1 2 11 5 2" xfId="13093"/>
    <cellStyle name="20% - Accent1 2 11 5 3" xfId="13092"/>
    <cellStyle name="20% - Accent1 2 11 6" xfId="13094"/>
    <cellStyle name="20% - Accent1 2 11 7" xfId="13079"/>
    <cellStyle name="20% - Accent1 2 12" xfId="1739"/>
    <cellStyle name="20% - Accent1 2 12 2" xfId="8025"/>
    <cellStyle name="20% - Accent1 2 12 2 2" xfId="13097"/>
    <cellStyle name="20% - Accent1 2 12 2 3" xfId="13096"/>
    <cellStyle name="20% - Accent1 2 12 3" xfId="4898"/>
    <cellStyle name="20% - Accent1 2 12 3 2" xfId="13099"/>
    <cellStyle name="20% - Accent1 2 12 3 3" xfId="13098"/>
    <cellStyle name="20% - Accent1 2 12 4" xfId="11208"/>
    <cellStyle name="20% - Accent1 2 12 4 2" xfId="13101"/>
    <cellStyle name="20% - Accent1 2 12 4 3" xfId="13100"/>
    <cellStyle name="20% - Accent1 2 12 5" xfId="13102"/>
    <cellStyle name="20% - Accent1 2 12 6" xfId="13095"/>
    <cellStyle name="20% - Accent1 2 13" xfId="117"/>
    <cellStyle name="20% - Accent1 2 13 2" xfId="6462"/>
    <cellStyle name="20% - Accent1 2 13 2 2" xfId="13105"/>
    <cellStyle name="20% - Accent1 2 13 2 3" xfId="13104"/>
    <cellStyle name="20% - Accent1 2 13 3" xfId="9813"/>
    <cellStyle name="20% - Accent1 2 13 3 2" xfId="13107"/>
    <cellStyle name="20% - Accent1 2 13 3 3" xfId="13106"/>
    <cellStyle name="20% - Accent1 2 13 4" xfId="13108"/>
    <cellStyle name="20% - Accent1 2 13 5" xfId="13103"/>
    <cellStyle name="20% - Accent1 2 14" xfId="3308"/>
    <cellStyle name="20% - Accent1 2 14 2" xfId="13110"/>
    <cellStyle name="20% - Accent1 2 14 3" xfId="13109"/>
    <cellStyle name="20% - Accent1 2 15" xfId="3335"/>
    <cellStyle name="20% - Accent1 2 15 2" xfId="13112"/>
    <cellStyle name="20% - Accent1 2 15 3" xfId="13111"/>
    <cellStyle name="20% - Accent1 2 16" xfId="9590"/>
    <cellStyle name="20% - Accent1 2 16 2" xfId="13114"/>
    <cellStyle name="20% - Accent1 2 16 3" xfId="13113"/>
    <cellStyle name="20% - Accent1 2 17" xfId="13115"/>
    <cellStyle name="20% - Accent1 2 18" xfId="13062"/>
    <cellStyle name="20% - Accent1 2 19" xfId="38121"/>
    <cellStyle name="20% - Accent1 2 2" xfId="88"/>
    <cellStyle name="20% - Accent1 2 2 2" xfId="289"/>
    <cellStyle name="20% - Accent1 2 2 2 2" xfId="999"/>
    <cellStyle name="20% - Accent1 2 2 2 2 2" xfId="2565"/>
    <cellStyle name="20% - Accent1 2 2 2 2 2 2" xfId="8850"/>
    <cellStyle name="20% - Accent1 2 2 2 2 2 2 2" xfId="13121"/>
    <cellStyle name="20% - Accent1 2 2 2 2 2 2 3" xfId="13120"/>
    <cellStyle name="20% - Accent1 2 2 2 2 2 3" xfId="5723"/>
    <cellStyle name="20% - Accent1 2 2 2 2 2 3 2" xfId="13123"/>
    <cellStyle name="20% - Accent1 2 2 2 2 2 3 3" xfId="13122"/>
    <cellStyle name="20% - Accent1 2 2 2 2 2 4" xfId="12033"/>
    <cellStyle name="20% - Accent1 2 2 2 2 2 4 2" xfId="13125"/>
    <cellStyle name="20% - Accent1 2 2 2 2 2 4 3" xfId="13124"/>
    <cellStyle name="20% - Accent1 2 2 2 2 2 5" xfId="13126"/>
    <cellStyle name="20% - Accent1 2 2 2 2 2 6" xfId="13119"/>
    <cellStyle name="20% - Accent1 2 2 2 2 3" xfId="7287"/>
    <cellStyle name="20% - Accent1 2 2 2 2 3 2" xfId="13128"/>
    <cellStyle name="20% - Accent1 2 2 2 2 3 3" xfId="13127"/>
    <cellStyle name="20% - Accent1 2 2 2 2 4" xfId="4160"/>
    <cellStyle name="20% - Accent1 2 2 2 2 4 2" xfId="13130"/>
    <cellStyle name="20% - Accent1 2 2 2 2 4 3" xfId="13129"/>
    <cellStyle name="20% - Accent1 2 2 2 2 5" xfId="10470"/>
    <cellStyle name="20% - Accent1 2 2 2 2 5 2" xfId="13132"/>
    <cellStyle name="20% - Accent1 2 2 2 2 5 3" xfId="13131"/>
    <cellStyle name="20% - Accent1 2 2 2 2 6" xfId="13133"/>
    <cellStyle name="20% - Accent1 2 2 2 2 7" xfId="13118"/>
    <cellStyle name="20% - Accent1 2 2 2 3" xfId="1885"/>
    <cellStyle name="20% - Accent1 2 2 2 3 2" xfId="8170"/>
    <cellStyle name="20% - Accent1 2 2 2 3 2 2" xfId="13136"/>
    <cellStyle name="20% - Accent1 2 2 2 3 2 3" xfId="13135"/>
    <cellStyle name="20% - Accent1 2 2 2 3 3" xfId="5043"/>
    <cellStyle name="20% - Accent1 2 2 2 3 3 2" xfId="13138"/>
    <cellStyle name="20% - Accent1 2 2 2 3 3 3" xfId="13137"/>
    <cellStyle name="20% - Accent1 2 2 2 3 4" xfId="11353"/>
    <cellStyle name="20% - Accent1 2 2 2 3 4 2" xfId="13140"/>
    <cellStyle name="20% - Accent1 2 2 2 3 4 3" xfId="13139"/>
    <cellStyle name="20% - Accent1 2 2 2 3 5" xfId="13141"/>
    <cellStyle name="20% - Accent1 2 2 2 3 6" xfId="13134"/>
    <cellStyle name="20% - Accent1 2 2 2 4" xfId="6607"/>
    <cellStyle name="20% - Accent1 2 2 2 4 2" xfId="13143"/>
    <cellStyle name="20% - Accent1 2 2 2 4 3" xfId="13142"/>
    <cellStyle name="20% - Accent1 2 2 2 5" xfId="3480"/>
    <cellStyle name="20% - Accent1 2 2 2 5 2" xfId="13145"/>
    <cellStyle name="20% - Accent1 2 2 2 5 3" xfId="13144"/>
    <cellStyle name="20% - Accent1 2 2 2 6" xfId="9838"/>
    <cellStyle name="20% - Accent1 2 2 2 6 2" xfId="13147"/>
    <cellStyle name="20% - Accent1 2 2 2 6 3" xfId="13146"/>
    <cellStyle name="20% - Accent1 2 2 2 7" xfId="13148"/>
    <cellStyle name="20% - Accent1 2 2 2 8" xfId="13117"/>
    <cellStyle name="20% - Accent1 2 2 3" xfId="882"/>
    <cellStyle name="20% - Accent1 2 2 3 2" xfId="2448"/>
    <cellStyle name="20% - Accent1 2 2 3 2 2" xfId="8733"/>
    <cellStyle name="20% - Accent1 2 2 3 2 2 2" xfId="13152"/>
    <cellStyle name="20% - Accent1 2 2 3 2 2 3" xfId="13151"/>
    <cellStyle name="20% - Accent1 2 2 3 2 3" xfId="5606"/>
    <cellStyle name="20% - Accent1 2 2 3 2 3 2" xfId="13154"/>
    <cellStyle name="20% - Accent1 2 2 3 2 3 3" xfId="13153"/>
    <cellStyle name="20% - Accent1 2 2 3 2 4" xfId="11916"/>
    <cellStyle name="20% - Accent1 2 2 3 2 4 2" xfId="13156"/>
    <cellStyle name="20% - Accent1 2 2 3 2 4 3" xfId="13155"/>
    <cellStyle name="20% - Accent1 2 2 3 2 5" xfId="13157"/>
    <cellStyle name="20% - Accent1 2 2 3 2 6" xfId="13150"/>
    <cellStyle name="20% - Accent1 2 2 3 3" xfId="7170"/>
    <cellStyle name="20% - Accent1 2 2 3 3 2" xfId="13159"/>
    <cellStyle name="20% - Accent1 2 2 3 3 3" xfId="13158"/>
    <cellStyle name="20% - Accent1 2 2 3 4" xfId="4043"/>
    <cellStyle name="20% - Accent1 2 2 3 4 2" xfId="13161"/>
    <cellStyle name="20% - Accent1 2 2 3 4 3" xfId="13160"/>
    <cellStyle name="20% - Accent1 2 2 3 5" xfId="10353"/>
    <cellStyle name="20% - Accent1 2 2 3 5 2" xfId="13163"/>
    <cellStyle name="20% - Accent1 2 2 3 5 3" xfId="13162"/>
    <cellStyle name="20% - Accent1 2 2 3 6" xfId="13164"/>
    <cellStyle name="20% - Accent1 2 2 3 7" xfId="13149"/>
    <cellStyle name="20% - Accent1 2 2 4" xfId="1768"/>
    <cellStyle name="20% - Accent1 2 2 4 2" xfId="8053"/>
    <cellStyle name="20% - Accent1 2 2 4 2 2" xfId="13167"/>
    <cellStyle name="20% - Accent1 2 2 4 2 3" xfId="13166"/>
    <cellStyle name="20% - Accent1 2 2 4 3" xfId="4926"/>
    <cellStyle name="20% - Accent1 2 2 4 3 2" xfId="13169"/>
    <cellStyle name="20% - Accent1 2 2 4 3 3" xfId="13168"/>
    <cellStyle name="20% - Accent1 2 2 4 4" xfId="11236"/>
    <cellStyle name="20% - Accent1 2 2 4 4 2" xfId="13171"/>
    <cellStyle name="20% - Accent1 2 2 4 4 3" xfId="13170"/>
    <cellStyle name="20% - Accent1 2 2 4 5" xfId="13172"/>
    <cellStyle name="20% - Accent1 2 2 4 6" xfId="13165"/>
    <cellStyle name="20% - Accent1 2 2 5" xfId="146"/>
    <cellStyle name="20% - Accent1 2 2 5 2" xfId="6490"/>
    <cellStyle name="20% - Accent1 2 2 5 2 2" xfId="13175"/>
    <cellStyle name="20% - Accent1 2 2 5 2 3" xfId="13174"/>
    <cellStyle name="20% - Accent1 2 2 5 3" xfId="13176"/>
    <cellStyle name="20% - Accent1 2 2 5 4" xfId="13173"/>
    <cellStyle name="20% - Accent1 2 2 6" xfId="3363"/>
    <cellStyle name="20% - Accent1 2 2 6 2" xfId="13178"/>
    <cellStyle name="20% - Accent1 2 2 6 3" xfId="13177"/>
    <cellStyle name="20% - Accent1 2 2 7" xfId="9859"/>
    <cellStyle name="20% - Accent1 2 2 7 2" xfId="13180"/>
    <cellStyle name="20% - Accent1 2 2 7 3" xfId="13179"/>
    <cellStyle name="20% - Accent1 2 2 8" xfId="13181"/>
    <cellStyle name="20% - Accent1 2 2 9" xfId="13116"/>
    <cellStyle name="20% - Accent1 2 3" xfId="187"/>
    <cellStyle name="20% - Accent1 2 3 2" xfId="315"/>
    <cellStyle name="20% - Accent1 2 3 2 2" xfId="1025"/>
    <cellStyle name="20% - Accent1 2 3 2 2 2" xfId="2591"/>
    <cellStyle name="20% - Accent1 2 3 2 2 2 2" xfId="8876"/>
    <cellStyle name="20% - Accent1 2 3 2 2 2 2 2" xfId="13187"/>
    <cellStyle name="20% - Accent1 2 3 2 2 2 2 3" xfId="13186"/>
    <cellStyle name="20% - Accent1 2 3 2 2 2 3" xfId="5749"/>
    <cellStyle name="20% - Accent1 2 3 2 2 2 3 2" xfId="13189"/>
    <cellStyle name="20% - Accent1 2 3 2 2 2 3 3" xfId="13188"/>
    <cellStyle name="20% - Accent1 2 3 2 2 2 4" xfId="12059"/>
    <cellStyle name="20% - Accent1 2 3 2 2 2 4 2" xfId="13191"/>
    <cellStyle name="20% - Accent1 2 3 2 2 2 4 3" xfId="13190"/>
    <cellStyle name="20% - Accent1 2 3 2 2 2 5" xfId="13192"/>
    <cellStyle name="20% - Accent1 2 3 2 2 2 6" xfId="13185"/>
    <cellStyle name="20% - Accent1 2 3 2 2 3" xfId="7313"/>
    <cellStyle name="20% - Accent1 2 3 2 2 3 2" xfId="13194"/>
    <cellStyle name="20% - Accent1 2 3 2 2 3 3" xfId="13193"/>
    <cellStyle name="20% - Accent1 2 3 2 2 4" xfId="4186"/>
    <cellStyle name="20% - Accent1 2 3 2 2 4 2" xfId="13196"/>
    <cellStyle name="20% - Accent1 2 3 2 2 4 3" xfId="13195"/>
    <cellStyle name="20% - Accent1 2 3 2 2 5" xfId="10496"/>
    <cellStyle name="20% - Accent1 2 3 2 2 5 2" xfId="13198"/>
    <cellStyle name="20% - Accent1 2 3 2 2 5 3" xfId="13197"/>
    <cellStyle name="20% - Accent1 2 3 2 2 6" xfId="13199"/>
    <cellStyle name="20% - Accent1 2 3 2 2 7" xfId="13184"/>
    <cellStyle name="20% - Accent1 2 3 2 3" xfId="1911"/>
    <cellStyle name="20% - Accent1 2 3 2 3 2" xfId="8196"/>
    <cellStyle name="20% - Accent1 2 3 2 3 2 2" xfId="13202"/>
    <cellStyle name="20% - Accent1 2 3 2 3 2 3" xfId="13201"/>
    <cellStyle name="20% - Accent1 2 3 2 3 3" xfId="5069"/>
    <cellStyle name="20% - Accent1 2 3 2 3 3 2" xfId="13204"/>
    <cellStyle name="20% - Accent1 2 3 2 3 3 3" xfId="13203"/>
    <cellStyle name="20% - Accent1 2 3 2 3 4" xfId="11379"/>
    <cellStyle name="20% - Accent1 2 3 2 3 4 2" xfId="13206"/>
    <cellStyle name="20% - Accent1 2 3 2 3 4 3" xfId="13205"/>
    <cellStyle name="20% - Accent1 2 3 2 3 5" xfId="13207"/>
    <cellStyle name="20% - Accent1 2 3 2 3 6" xfId="13200"/>
    <cellStyle name="20% - Accent1 2 3 2 4" xfId="6633"/>
    <cellStyle name="20% - Accent1 2 3 2 4 2" xfId="13209"/>
    <cellStyle name="20% - Accent1 2 3 2 4 3" xfId="13208"/>
    <cellStyle name="20% - Accent1 2 3 2 5" xfId="3506"/>
    <cellStyle name="20% - Accent1 2 3 2 5 2" xfId="13211"/>
    <cellStyle name="20% - Accent1 2 3 2 5 3" xfId="13210"/>
    <cellStyle name="20% - Accent1 2 3 2 6" xfId="9801"/>
    <cellStyle name="20% - Accent1 2 3 2 6 2" xfId="13213"/>
    <cellStyle name="20% - Accent1 2 3 2 6 3" xfId="13212"/>
    <cellStyle name="20% - Accent1 2 3 2 7" xfId="13214"/>
    <cellStyle name="20% - Accent1 2 3 2 8" xfId="13183"/>
    <cellStyle name="20% - Accent1 2 3 3" xfId="920"/>
    <cellStyle name="20% - Accent1 2 3 3 2" xfId="2486"/>
    <cellStyle name="20% - Accent1 2 3 3 2 2" xfId="8771"/>
    <cellStyle name="20% - Accent1 2 3 3 2 2 2" xfId="13218"/>
    <cellStyle name="20% - Accent1 2 3 3 2 2 3" xfId="13217"/>
    <cellStyle name="20% - Accent1 2 3 3 2 3" xfId="5644"/>
    <cellStyle name="20% - Accent1 2 3 3 2 3 2" xfId="13220"/>
    <cellStyle name="20% - Accent1 2 3 3 2 3 3" xfId="13219"/>
    <cellStyle name="20% - Accent1 2 3 3 2 4" xfId="11954"/>
    <cellStyle name="20% - Accent1 2 3 3 2 4 2" xfId="13222"/>
    <cellStyle name="20% - Accent1 2 3 3 2 4 3" xfId="13221"/>
    <cellStyle name="20% - Accent1 2 3 3 2 5" xfId="13223"/>
    <cellStyle name="20% - Accent1 2 3 3 2 6" xfId="13216"/>
    <cellStyle name="20% - Accent1 2 3 3 3" xfId="7208"/>
    <cellStyle name="20% - Accent1 2 3 3 3 2" xfId="13225"/>
    <cellStyle name="20% - Accent1 2 3 3 3 3" xfId="13224"/>
    <cellStyle name="20% - Accent1 2 3 3 4" xfId="4081"/>
    <cellStyle name="20% - Accent1 2 3 3 4 2" xfId="13227"/>
    <cellStyle name="20% - Accent1 2 3 3 4 3" xfId="13226"/>
    <cellStyle name="20% - Accent1 2 3 3 5" xfId="10391"/>
    <cellStyle name="20% - Accent1 2 3 3 5 2" xfId="13229"/>
    <cellStyle name="20% - Accent1 2 3 3 5 3" xfId="13228"/>
    <cellStyle name="20% - Accent1 2 3 3 6" xfId="13230"/>
    <cellStyle name="20% - Accent1 2 3 3 7" xfId="13215"/>
    <cellStyle name="20% - Accent1 2 3 4" xfId="1806"/>
    <cellStyle name="20% - Accent1 2 3 4 2" xfId="8091"/>
    <cellStyle name="20% - Accent1 2 3 4 2 2" xfId="13233"/>
    <cellStyle name="20% - Accent1 2 3 4 2 3" xfId="13232"/>
    <cellStyle name="20% - Accent1 2 3 4 3" xfId="4964"/>
    <cellStyle name="20% - Accent1 2 3 4 3 2" xfId="13235"/>
    <cellStyle name="20% - Accent1 2 3 4 3 3" xfId="13234"/>
    <cellStyle name="20% - Accent1 2 3 4 4" xfId="11274"/>
    <cellStyle name="20% - Accent1 2 3 4 4 2" xfId="13237"/>
    <cellStyle name="20% - Accent1 2 3 4 4 3" xfId="13236"/>
    <cellStyle name="20% - Accent1 2 3 4 5" xfId="13238"/>
    <cellStyle name="20% - Accent1 2 3 4 6" xfId="13231"/>
    <cellStyle name="20% - Accent1 2 3 5" xfId="6528"/>
    <cellStyle name="20% - Accent1 2 3 5 2" xfId="13240"/>
    <cellStyle name="20% - Accent1 2 3 5 3" xfId="13239"/>
    <cellStyle name="20% - Accent1 2 3 6" xfId="3401"/>
    <cellStyle name="20% - Accent1 2 3 6 2" xfId="13242"/>
    <cellStyle name="20% - Accent1 2 3 6 3" xfId="13241"/>
    <cellStyle name="20% - Accent1 2 3 7" xfId="9851"/>
    <cellStyle name="20% - Accent1 2 3 7 2" xfId="13244"/>
    <cellStyle name="20% - Accent1 2 3 7 3" xfId="13243"/>
    <cellStyle name="20% - Accent1 2 3 8" xfId="13245"/>
    <cellStyle name="20% - Accent1 2 3 9" xfId="13182"/>
    <cellStyle name="20% - Accent1 2 4" xfId="222"/>
    <cellStyle name="20% - Accent1 2 4 2" xfId="933"/>
    <cellStyle name="20% - Accent1 2 4 2 2" xfId="2499"/>
    <cellStyle name="20% - Accent1 2 4 2 2 2" xfId="8784"/>
    <cellStyle name="20% - Accent1 2 4 2 2 2 2" xfId="13250"/>
    <cellStyle name="20% - Accent1 2 4 2 2 2 3" xfId="13249"/>
    <cellStyle name="20% - Accent1 2 4 2 2 3" xfId="5657"/>
    <cellStyle name="20% - Accent1 2 4 2 2 3 2" xfId="13252"/>
    <cellStyle name="20% - Accent1 2 4 2 2 3 3" xfId="13251"/>
    <cellStyle name="20% - Accent1 2 4 2 2 4" xfId="11967"/>
    <cellStyle name="20% - Accent1 2 4 2 2 4 2" xfId="13254"/>
    <cellStyle name="20% - Accent1 2 4 2 2 4 3" xfId="13253"/>
    <cellStyle name="20% - Accent1 2 4 2 2 5" xfId="13255"/>
    <cellStyle name="20% - Accent1 2 4 2 2 6" xfId="13248"/>
    <cellStyle name="20% - Accent1 2 4 2 3" xfId="7221"/>
    <cellStyle name="20% - Accent1 2 4 2 3 2" xfId="13257"/>
    <cellStyle name="20% - Accent1 2 4 2 3 3" xfId="13256"/>
    <cellStyle name="20% - Accent1 2 4 2 4" xfId="4094"/>
    <cellStyle name="20% - Accent1 2 4 2 4 2" xfId="13259"/>
    <cellStyle name="20% - Accent1 2 4 2 4 3" xfId="13258"/>
    <cellStyle name="20% - Accent1 2 4 2 5" xfId="10404"/>
    <cellStyle name="20% - Accent1 2 4 2 5 2" xfId="13261"/>
    <cellStyle name="20% - Accent1 2 4 2 5 3" xfId="13260"/>
    <cellStyle name="20% - Accent1 2 4 2 6" xfId="13262"/>
    <cellStyle name="20% - Accent1 2 4 2 7" xfId="13247"/>
    <cellStyle name="20% - Accent1 2 4 3" xfId="1819"/>
    <cellStyle name="20% - Accent1 2 4 3 2" xfId="8104"/>
    <cellStyle name="20% - Accent1 2 4 3 2 2" xfId="13265"/>
    <cellStyle name="20% - Accent1 2 4 3 2 3" xfId="13264"/>
    <cellStyle name="20% - Accent1 2 4 3 3" xfId="4977"/>
    <cellStyle name="20% - Accent1 2 4 3 3 2" xfId="13267"/>
    <cellStyle name="20% - Accent1 2 4 3 3 3" xfId="13266"/>
    <cellStyle name="20% - Accent1 2 4 3 4" xfId="11287"/>
    <cellStyle name="20% - Accent1 2 4 3 4 2" xfId="13269"/>
    <cellStyle name="20% - Accent1 2 4 3 4 3" xfId="13268"/>
    <cellStyle name="20% - Accent1 2 4 3 5" xfId="13270"/>
    <cellStyle name="20% - Accent1 2 4 3 6" xfId="13263"/>
    <cellStyle name="20% - Accent1 2 4 4" xfId="6541"/>
    <cellStyle name="20% - Accent1 2 4 4 2" xfId="13272"/>
    <cellStyle name="20% - Accent1 2 4 4 3" xfId="13271"/>
    <cellStyle name="20% - Accent1 2 4 5" xfId="3414"/>
    <cellStyle name="20% - Accent1 2 4 5 2" xfId="13274"/>
    <cellStyle name="20% - Accent1 2 4 5 3" xfId="13273"/>
    <cellStyle name="20% - Accent1 2 4 6" xfId="9901"/>
    <cellStyle name="20% - Accent1 2 4 6 2" xfId="13276"/>
    <cellStyle name="20% - Accent1 2 4 6 3" xfId="13275"/>
    <cellStyle name="20% - Accent1 2 4 7" xfId="13277"/>
    <cellStyle name="20% - Accent1 2 4 8" xfId="13246"/>
    <cellStyle name="20% - Accent1 2 5" xfId="277"/>
    <cellStyle name="20% - Accent1 2 5 2" xfId="988"/>
    <cellStyle name="20% - Accent1 2 5 2 2" xfId="2554"/>
    <cellStyle name="20% - Accent1 2 5 2 2 2" xfId="8839"/>
    <cellStyle name="20% - Accent1 2 5 2 2 2 2" xfId="13282"/>
    <cellStyle name="20% - Accent1 2 5 2 2 2 3" xfId="13281"/>
    <cellStyle name="20% - Accent1 2 5 2 2 3" xfId="5712"/>
    <cellStyle name="20% - Accent1 2 5 2 2 3 2" xfId="13284"/>
    <cellStyle name="20% - Accent1 2 5 2 2 3 3" xfId="13283"/>
    <cellStyle name="20% - Accent1 2 5 2 2 4" xfId="12022"/>
    <cellStyle name="20% - Accent1 2 5 2 2 4 2" xfId="13286"/>
    <cellStyle name="20% - Accent1 2 5 2 2 4 3" xfId="13285"/>
    <cellStyle name="20% - Accent1 2 5 2 2 5" xfId="13287"/>
    <cellStyle name="20% - Accent1 2 5 2 2 6" xfId="13280"/>
    <cellStyle name="20% - Accent1 2 5 2 3" xfId="7276"/>
    <cellStyle name="20% - Accent1 2 5 2 3 2" xfId="13289"/>
    <cellStyle name="20% - Accent1 2 5 2 3 3" xfId="13288"/>
    <cellStyle name="20% - Accent1 2 5 2 4" xfId="4149"/>
    <cellStyle name="20% - Accent1 2 5 2 4 2" xfId="13291"/>
    <cellStyle name="20% - Accent1 2 5 2 4 3" xfId="13290"/>
    <cellStyle name="20% - Accent1 2 5 2 5" xfId="10459"/>
    <cellStyle name="20% - Accent1 2 5 2 5 2" xfId="13293"/>
    <cellStyle name="20% - Accent1 2 5 2 5 3" xfId="13292"/>
    <cellStyle name="20% - Accent1 2 5 2 6" xfId="13294"/>
    <cellStyle name="20% - Accent1 2 5 2 7" xfId="13279"/>
    <cellStyle name="20% - Accent1 2 5 3" xfId="1874"/>
    <cellStyle name="20% - Accent1 2 5 3 2" xfId="8159"/>
    <cellStyle name="20% - Accent1 2 5 3 2 2" xfId="13297"/>
    <cellStyle name="20% - Accent1 2 5 3 2 3" xfId="13296"/>
    <cellStyle name="20% - Accent1 2 5 3 3" xfId="5032"/>
    <cellStyle name="20% - Accent1 2 5 3 3 2" xfId="13299"/>
    <cellStyle name="20% - Accent1 2 5 3 3 3" xfId="13298"/>
    <cellStyle name="20% - Accent1 2 5 3 4" xfId="11342"/>
    <cellStyle name="20% - Accent1 2 5 3 4 2" xfId="13301"/>
    <cellStyle name="20% - Accent1 2 5 3 4 3" xfId="13300"/>
    <cellStyle name="20% - Accent1 2 5 3 5" xfId="13302"/>
    <cellStyle name="20% - Accent1 2 5 3 6" xfId="13295"/>
    <cellStyle name="20% - Accent1 2 5 4" xfId="6596"/>
    <cellStyle name="20% - Accent1 2 5 4 2" xfId="13304"/>
    <cellStyle name="20% - Accent1 2 5 4 3" xfId="13303"/>
    <cellStyle name="20% - Accent1 2 5 5" xfId="3469"/>
    <cellStyle name="20% - Accent1 2 5 5 2" xfId="13306"/>
    <cellStyle name="20% - Accent1 2 5 5 3" xfId="13305"/>
    <cellStyle name="20% - Accent1 2 5 6" xfId="9854"/>
    <cellStyle name="20% - Accent1 2 5 6 2" xfId="13308"/>
    <cellStyle name="20% - Accent1 2 5 6 3" xfId="13307"/>
    <cellStyle name="20% - Accent1 2 5 7" xfId="13309"/>
    <cellStyle name="20% - Accent1 2 5 8" xfId="13278"/>
    <cellStyle name="20% - Accent1 2 6" xfId="329"/>
    <cellStyle name="20% - Accent1 2 6 2" xfId="1037"/>
    <cellStyle name="20% - Accent1 2 6 2 2" xfId="2603"/>
    <cellStyle name="20% - Accent1 2 6 2 2 2" xfId="8888"/>
    <cellStyle name="20% - Accent1 2 6 2 2 2 2" xfId="13314"/>
    <cellStyle name="20% - Accent1 2 6 2 2 2 3" xfId="13313"/>
    <cellStyle name="20% - Accent1 2 6 2 2 3" xfId="5761"/>
    <cellStyle name="20% - Accent1 2 6 2 2 3 2" xfId="13316"/>
    <cellStyle name="20% - Accent1 2 6 2 2 3 3" xfId="13315"/>
    <cellStyle name="20% - Accent1 2 6 2 2 4" xfId="12071"/>
    <cellStyle name="20% - Accent1 2 6 2 2 4 2" xfId="13318"/>
    <cellStyle name="20% - Accent1 2 6 2 2 4 3" xfId="13317"/>
    <cellStyle name="20% - Accent1 2 6 2 2 5" xfId="13319"/>
    <cellStyle name="20% - Accent1 2 6 2 2 6" xfId="13312"/>
    <cellStyle name="20% - Accent1 2 6 2 3" xfId="7325"/>
    <cellStyle name="20% - Accent1 2 6 2 3 2" xfId="13321"/>
    <cellStyle name="20% - Accent1 2 6 2 3 3" xfId="13320"/>
    <cellStyle name="20% - Accent1 2 6 2 4" xfId="4198"/>
    <cellStyle name="20% - Accent1 2 6 2 4 2" xfId="13323"/>
    <cellStyle name="20% - Accent1 2 6 2 4 3" xfId="13322"/>
    <cellStyle name="20% - Accent1 2 6 2 5" xfId="10508"/>
    <cellStyle name="20% - Accent1 2 6 2 5 2" xfId="13325"/>
    <cellStyle name="20% - Accent1 2 6 2 5 3" xfId="13324"/>
    <cellStyle name="20% - Accent1 2 6 2 6" xfId="13326"/>
    <cellStyle name="20% - Accent1 2 6 2 7" xfId="13311"/>
    <cellStyle name="20% - Accent1 2 6 3" xfId="1923"/>
    <cellStyle name="20% - Accent1 2 6 3 2" xfId="8208"/>
    <cellStyle name="20% - Accent1 2 6 3 2 2" xfId="13329"/>
    <cellStyle name="20% - Accent1 2 6 3 2 3" xfId="13328"/>
    <cellStyle name="20% - Accent1 2 6 3 3" xfId="5081"/>
    <cellStyle name="20% - Accent1 2 6 3 3 2" xfId="13331"/>
    <cellStyle name="20% - Accent1 2 6 3 3 3" xfId="13330"/>
    <cellStyle name="20% - Accent1 2 6 3 4" xfId="11391"/>
    <cellStyle name="20% - Accent1 2 6 3 4 2" xfId="13333"/>
    <cellStyle name="20% - Accent1 2 6 3 4 3" xfId="13332"/>
    <cellStyle name="20% - Accent1 2 6 3 5" xfId="13334"/>
    <cellStyle name="20% - Accent1 2 6 3 6" xfId="13327"/>
    <cellStyle name="20% - Accent1 2 6 4" xfId="6645"/>
    <cellStyle name="20% - Accent1 2 6 4 2" xfId="13336"/>
    <cellStyle name="20% - Accent1 2 6 4 3" xfId="13335"/>
    <cellStyle name="20% - Accent1 2 6 5" xfId="3518"/>
    <cellStyle name="20% - Accent1 2 6 5 2" xfId="13338"/>
    <cellStyle name="20% - Accent1 2 6 5 3" xfId="13337"/>
    <cellStyle name="20% - Accent1 2 6 6" xfId="9861"/>
    <cellStyle name="20% - Accent1 2 6 6 2" xfId="13340"/>
    <cellStyle name="20% - Accent1 2 6 6 3" xfId="13339"/>
    <cellStyle name="20% - Accent1 2 6 7" xfId="13341"/>
    <cellStyle name="20% - Accent1 2 6 8" xfId="13310"/>
    <cellStyle name="20% - Accent1 2 7" xfId="420"/>
    <cellStyle name="20% - Accent1 2 7 2" xfId="1127"/>
    <cellStyle name="20% - Accent1 2 7 2 2" xfId="2692"/>
    <cellStyle name="20% - Accent1 2 7 2 2 2" xfId="8977"/>
    <cellStyle name="20% - Accent1 2 7 2 2 2 2" xfId="13346"/>
    <cellStyle name="20% - Accent1 2 7 2 2 2 3" xfId="13345"/>
    <cellStyle name="20% - Accent1 2 7 2 2 3" xfId="5850"/>
    <cellStyle name="20% - Accent1 2 7 2 2 3 2" xfId="13348"/>
    <cellStyle name="20% - Accent1 2 7 2 2 3 3" xfId="13347"/>
    <cellStyle name="20% - Accent1 2 7 2 2 4" xfId="12160"/>
    <cellStyle name="20% - Accent1 2 7 2 2 4 2" xfId="13350"/>
    <cellStyle name="20% - Accent1 2 7 2 2 4 3" xfId="13349"/>
    <cellStyle name="20% - Accent1 2 7 2 2 5" xfId="13351"/>
    <cellStyle name="20% - Accent1 2 7 2 2 6" xfId="13344"/>
    <cellStyle name="20% - Accent1 2 7 2 3" xfId="7414"/>
    <cellStyle name="20% - Accent1 2 7 2 3 2" xfId="13353"/>
    <cellStyle name="20% - Accent1 2 7 2 3 3" xfId="13352"/>
    <cellStyle name="20% - Accent1 2 7 2 4" xfId="4287"/>
    <cellStyle name="20% - Accent1 2 7 2 4 2" xfId="13355"/>
    <cellStyle name="20% - Accent1 2 7 2 4 3" xfId="13354"/>
    <cellStyle name="20% - Accent1 2 7 2 5" xfId="10597"/>
    <cellStyle name="20% - Accent1 2 7 2 5 2" xfId="13357"/>
    <cellStyle name="20% - Accent1 2 7 2 5 3" xfId="13356"/>
    <cellStyle name="20% - Accent1 2 7 2 6" xfId="13358"/>
    <cellStyle name="20% - Accent1 2 7 2 7" xfId="13343"/>
    <cellStyle name="20% - Accent1 2 7 3" xfId="2012"/>
    <cellStyle name="20% - Accent1 2 7 3 2" xfId="8297"/>
    <cellStyle name="20% - Accent1 2 7 3 2 2" xfId="13361"/>
    <cellStyle name="20% - Accent1 2 7 3 2 3" xfId="13360"/>
    <cellStyle name="20% - Accent1 2 7 3 3" xfId="5170"/>
    <cellStyle name="20% - Accent1 2 7 3 3 2" xfId="13363"/>
    <cellStyle name="20% - Accent1 2 7 3 3 3" xfId="13362"/>
    <cellStyle name="20% - Accent1 2 7 3 4" xfId="11480"/>
    <cellStyle name="20% - Accent1 2 7 3 4 2" xfId="13365"/>
    <cellStyle name="20% - Accent1 2 7 3 4 3" xfId="13364"/>
    <cellStyle name="20% - Accent1 2 7 3 5" xfId="13366"/>
    <cellStyle name="20% - Accent1 2 7 3 6" xfId="13359"/>
    <cellStyle name="20% - Accent1 2 7 4" xfId="6734"/>
    <cellStyle name="20% - Accent1 2 7 4 2" xfId="13368"/>
    <cellStyle name="20% - Accent1 2 7 4 3" xfId="13367"/>
    <cellStyle name="20% - Accent1 2 7 5" xfId="3607"/>
    <cellStyle name="20% - Accent1 2 7 5 2" xfId="13370"/>
    <cellStyle name="20% - Accent1 2 7 5 3" xfId="13369"/>
    <cellStyle name="20% - Accent1 2 7 6" xfId="10040"/>
    <cellStyle name="20% - Accent1 2 7 6 2" xfId="13372"/>
    <cellStyle name="20% - Accent1 2 7 6 3" xfId="13371"/>
    <cellStyle name="20% - Accent1 2 7 7" xfId="13373"/>
    <cellStyle name="20% - Accent1 2 7 8" xfId="13342"/>
    <cellStyle name="20% - Accent1 2 8" xfId="556"/>
    <cellStyle name="20% - Accent1 2 8 2" xfId="1263"/>
    <cellStyle name="20% - Accent1 2 8 2 2" xfId="2828"/>
    <cellStyle name="20% - Accent1 2 8 2 2 2" xfId="9113"/>
    <cellStyle name="20% - Accent1 2 8 2 2 2 2" xfId="13378"/>
    <cellStyle name="20% - Accent1 2 8 2 2 2 3" xfId="13377"/>
    <cellStyle name="20% - Accent1 2 8 2 2 3" xfId="5986"/>
    <cellStyle name="20% - Accent1 2 8 2 2 3 2" xfId="13380"/>
    <cellStyle name="20% - Accent1 2 8 2 2 3 3" xfId="13379"/>
    <cellStyle name="20% - Accent1 2 8 2 2 4" xfId="12296"/>
    <cellStyle name="20% - Accent1 2 8 2 2 4 2" xfId="13382"/>
    <cellStyle name="20% - Accent1 2 8 2 2 4 3" xfId="13381"/>
    <cellStyle name="20% - Accent1 2 8 2 2 5" xfId="13383"/>
    <cellStyle name="20% - Accent1 2 8 2 2 6" xfId="13376"/>
    <cellStyle name="20% - Accent1 2 8 2 3" xfId="7550"/>
    <cellStyle name="20% - Accent1 2 8 2 3 2" xfId="13385"/>
    <cellStyle name="20% - Accent1 2 8 2 3 3" xfId="13384"/>
    <cellStyle name="20% - Accent1 2 8 2 4" xfId="4423"/>
    <cellStyle name="20% - Accent1 2 8 2 4 2" xfId="13387"/>
    <cellStyle name="20% - Accent1 2 8 2 4 3" xfId="13386"/>
    <cellStyle name="20% - Accent1 2 8 2 5" xfId="10733"/>
    <cellStyle name="20% - Accent1 2 8 2 5 2" xfId="13389"/>
    <cellStyle name="20% - Accent1 2 8 2 5 3" xfId="13388"/>
    <cellStyle name="20% - Accent1 2 8 2 6" xfId="13390"/>
    <cellStyle name="20% - Accent1 2 8 2 7" xfId="13375"/>
    <cellStyle name="20% - Accent1 2 8 3" xfId="2148"/>
    <cellStyle name="20% - Accent1 2 8 3 2" xfId="8433"/>
    <cellStyle name="20% - Accent1 2 8 3 2 2" xfId="13393"/>
    <cellStyle name="20% - Accent1 2 8 3 2 3" xfId="13392"/>
    <cellStyle name="20% - Accent1 2 8 3 3" xfId="5306"/>
    <cellStyle name="20% - Accent1 2 8 3 3 2" xfId="13395"/>
    <cellStyle name="20% - Accent1 2 8 3 3 3" xfId="13394"/>
    <cellStyle name="20% - Accent1 2 8 3 4" xfId="11616"/>
    <cellStyle name="20% - Accent1 2 8 3 4 2" xfId="13397"/>
    <cellStyle name="20% - Accent1 2 8 3 4 3" xfId="13396"/>
    <cellStyle name="20% - Accent1 2 8 3 5" xfId="13398"/>
    <cellStyle name="20% - Accent1 2 8 3 6" xfId="13391"/>
    <cellStyle name="20% - Accent1 2 8 4" xfId="6870"/>
    <cellStyle name="20% - Accent1 2 8 4 2" xfId="13400"/>
    <cellStyle name="20% - Accent1 2 8 4 3" xfId="13399"/>
    <cellStyle name="20% - Accent1 2 8 5" xfId="3743"/>
    <cellStyle name="20% - Accent1 2 8 5 2" xfId="13402"/>
    <cellStyle name="20% - Accent1 2 8 5 3" xfId="13401"/>
    <cellStyle name="20% - Accent1 2 8 6" xfId="10175"/>
    <cellStyle name="20% - Accent1 2 8 6 2" xfId="13404"/>
    <cellStyle name="20% - Accent1 2 8 6 3" xfId="13403"/>
    <cellStyle name="20% - Accent1 2 8 7" xfId="13405"/>
    <cellStyle name="20% - Accent1 2 8 8" xfId="13374"/>
    <cellStyle name="20% - Accent1 2 9" xfId="615"/>
    <cellStyle name="20% - Accent1 2 9 2" xfId="1320"/>
    <cellStyle name="20% - Accent1 2 9 2 2" xfId="2885"/>
    <cellStyle name="20% - Accent1 2 9 2 2 2" xfId="9170"/>
    <cellStyle name="20% - Accent1 2 9 2 2 2 2" xfId="13410"/>
    <cellStyle name="20% - Accent1 2 9 2 2 2 3" xfId="13409"/>
    <cellStyle name="20% - Accent1 2 9 2 2 3" xfId="6043"/>
    <cellStyle name="20% - Accent1 2 9 2 2 3 2" xfId="13412"/>
    <cellStyle name="20% - Accent1 2 9 2 2 3 3" xfId="13411"/>
    <cellStyle name="20% - Accent1 2 9 2 2 4" xfId="12353"/>
    <cellStyle name="20% - Accent1 2 9 2 2 4 2" xfId="13414"/>
    <cellStyle name="20% - Accent1 2 9 2 2 4 3" xfId="13413"/>
    <cellStyle name="20% - Accent1 2 9 2 2 5" xfId="13415"/>
    <cellStyle name="20% - Accent1 2 9 2 2 6" xfId="13408"/>
    <cellStyle name="20% - Accent1 2 9 2 3" xfId="7607"/>
    <cellStyle name="20% - Accent1 2 9 2 3 2" xfId="13417"/>
    <cellStyle name="20% - Accent1 2 9 2 3 3" xfId="13416"/>
    <cellStyle name="20% - Accent1 2 9 2 4" xfId="4480"/>
    <cellStyle name="20% - Accent1 2 9 2 4 2" xfId="13419"/>
    <cellStyle name="20% - Accent1 2 9 2 4 3" xfId="13418"/>
    <cellStyle name="20% - Accent1 2 9 2 5" xfId="10790"/>
    <cellStyle name="20% - Accent1 2 9 2 5 2" xfId="13421"/>
    <cellStyle name="20% - Accent1 2 9 2 5 3" xfId="13420"/>
    <cellStyle name="20% - Accent1 2 9 2 6" xfId="13422"/>
    <cellStyle name="20% - Accent1 2 9 2 7" xfId="13407"/>
    <cellStyle name="20% - Accent1 2 9 3" xfId="2205"/>
    <cellStyle name="20% - Accent1 2 9 3 2" xfId="8490"/>
    <cellStyle name="20% - Accent1 2 9 3 2 2" xfId="13425"/>
    <cellStyle name="20% - Accent1 2 9 3 2 3" xfId="13424"/>
    <cellStyle name="20% - Accent1 2 9 3 3" xfId="5363"/>
    <cellStyle name="20% - Accent1 2 9 3 3 2" xfId="13427"/>
    <cellStyle name="20% - Accent1 2 9 3 3 3" xfId="13426"/>
    <cellStyle name="20% - Accent1 2 9 3 4" xfId="11673"/>
    <cellStyle name="20% - Accent1 2 9 3 4 2" xfId="13429"/>
    <cellStyle name="20% - Accent1 2 9 3 4 3" xfId="13428"/>
    <cellStyle name="20% - Accent1 2 9 3 5" xfId="13430"/>
    <cellStyle name="20% - Accent1 2 9 3 6" xfId="13423"/>
    <cellStyle name="20% - Accent1 2 9 4" xfId="6927"/>
    <cellStyle name="20% - Accent1 2 9 4 2" xfId="13432"/>
    <cellStyle name="20% - Accent1 2 9 4 3" xfId="13431"/>
    <cellStyle name="20% - Accent1 2 9 5" xfId="3800"/>
    <cellStyle name="20% - Accent1 2 9 5 2" xfId="13434"/>
    <cellStyle name="20% - Accent1 2 9 5 3" xfId="13433"/>
    <cellStyle name="20% - Accent1 2 9 6" xfId="10233"/>
    <cellStyle name="20% - Accent1 2 9 6 2" xfId="13436"/>
    <cellStyle name="20% - Accent1 2 9 6 3" xfId="13435"/>
    <cellStyle name="20% - Accent1 2 9 7" xfId="13437"/>
    <cellStyle name="20% - Accent1 2 9 8" xfId="13406"/>
    <cellStyle name="20% - Accent1 20" xfId="1561"/>
    <cellStyle name="20% - Accent1 20 2" xfId="3126"/>
    <cellStyle name="20% - Accent1 20 2 2" xfId="9411"/>
    <cellStyle name="20% - Accent1 20 2 2 2" xfId="13441"/>
    <cellStyle name="20% - Accent1 20 2 2 3" xfId="13440"/>
    <cellStyle name="20% - Accent1 20 2 3" xfId="6284"/>
    <cellStyle name="20% - Accent1 20 2 3 2" xfId="13443"/>
    <cellStyle name="20% - Accent1 20 2 3 3" xfId="13442"/>
    <cellStyle name="20% - Accent1 20 2 4" xfId="12594"/>
    <cellStyle name="20% - Accent1 20 2 4 2" xfId="13445"/>
    <cellStyle name="20% - Accent1 20 2 4 3" xfId="13444"/>
    <cellStyle name="20% - Accent1 20 2 5" xfId="13446"/>
    <cellStyle name="20% - Accent1 20 2 6" xfId="13439"/>
    <cellStyle name="20% - Accent1 20 3" xfId="7848"/>
    <cellStyle name="20% - Accent1 20 3 2" xfId="13448"/>
    <cellStyle name="20% - Accent1 20 3 3" xfId="13447"/>
    <cellStyle name="20% - Accent1 20 4" xfId="4721"/>
    <cellStyle name="20% - Accent1 20 4 2" xfId="13450"/>
    <cellStyle name="20% - Accent1 20 4 3" xfId="13449"/>
    <cellStyle name="20% - Accent1 20 5" xfId="11031"/>
    <cellStyle name="20% - Accent1 20 5 2" xfId="13452"/>
    <cellStyle name="20% - Accent1 20 5 3" xfId="13451"/>
    <cellStyle name="20% - Accent1 20 6" xfId="13453"/>
    <cellStyle name="20% - Accent1 20 7" xfId="13438"/>
    <cellStyle name="20% - Accent1 21" xfId="1724"/>
    <cellStyle name="20% - Accent1 21 2" xfId="8011"/>
    <cellStyle name="20% - Accent1 21 2 2" xfId="13456"/>
    <cellStyle name="20% - Accent1 21 2 3" xfId="13455"/>
    <cellStyle name="20% - Accent1 21 3" xfId="4884"/>
    <cellStyle name="20% - Accent1 21 3 2" xfId="13458"/>
    <cellStyle name="20% - Accent1 21 3 3" xfId="13457"/>
    <cellStyle name="20% - Accent1 21 4" xfId="11194"/>
    <cellStyle name="20% - Accent1 21 4 2" xfId="13460"/>
    <cellStyle name="20% - Accent1 21 4 3" xfId="13459"/>
    <cellStyle name="20% - Accent1 21 5" xfId="13461"/>
    <cellStyle name="20% - Accent1 21 6" xfId="13454"/>
    <cellStyle name="20% - Accent1 22" xfId="104"/>
    <cellStyle name="20% - Accent1 22 2" xfId="6449"/>
    <cellStyle name="20% - Accent1 22 2 2" xfId="13464"/>
    <cellStyle name="20% - Accent1 22 2 3" xfId="13463"/>
    <cellStyle name="20% - Accent1 22 3" xfId="13465"/>
    <cellStyle name="20% - Accent1 22 4" xfId="13462"/>
    <cellStyle name="20% - Accent1 23" xfId="3293"/>
    <cellStyle name="20% - Accent1 23 2" xfId="9576"/>
    <cellStyle name="20% - Accent1 23 2 2" xfId="13468"/>
    <cellStyle name="20% - Accent1 23 2 3" xfId="13467"/>
    <cellStyle name="20% - Accent1 23 3" xfId="13469"/>
    <cellStyle name="20% - Accent1 23 4" xfId="13466"/>
    <cellStyle name="20% - Accent1 24" xfId="3322"/>
    <cellStyle name="20% - Accent1 24 2" xfId="13471"/>
    <cellStyle name="20% - Accent1 24 3" xfId="13470"/>
    <cellStyle name="20% - Accent1 25" xfId="9629"/>
    <cellStyle name="20% - Accent1 25 2" xfId="13473"/>
    <cellStyle name="20% - Accent1 25 3" xfId="13472"/>
    <cellStyle name="20% - Accent1 26" xfId="13474"/>
    <cellStyle name="20% - Accent1 27" xfId="12757"/>
    <cellStyle name="20% - Accent1 28" xfId="38120"/>
    <cellStyle name="20% - Accent1 3" xfId="73"/>
    <cellStyle name="20% - Accent1 3 10" xfId="1523"/>
    <cellStyle name="20% - Accent1 3 10 2" xfId="3088"/>
    <cellStyle name="20% - Accent1 3 10 2 2" xfId="9373"/>
    <cellStyle name="20% - Accent1 3 10 2 2 2" xfId="13479"/>
    <cellStyle name="20% - Accent1 3 10 2 2 3" xfId="13478"/>
    <cellStyle name="20% - Accent1 3 10 2 3" xfId="6246"/>
    <cellStyle name="20% - Accent1 3 10 2 3 2" xfId="13481"/>
    <cellStyle name="20% - Accent1 3 10 2 3 3" xfId="13480"/>
    <cellStyle name="20% - Accent1 3 10 2 4" xfId="12556"/>
    <cellStyle name="20% - Accent1 3 10 2 4 2" xfId="13483"/>
    <cellStyle name="20% - Accent1 3 10 2 4 3" xfId="13482"/>
    <cellStyle name="20% - Accent1 3 10 2 5" xfId="13484"/>
    <cellStyle name="20% - Accent1 3 10 2 6" xfId="13477"/>
    <cellStyle name="20% - Accent1 3 10 3" xfId="7810"/>
    <cellStyle name="20% - Accent1 3 10 3 2" xfId="13486"/>
    <cellStyle name="20% - Accent1 3 10 3 3" xfId="13485"/>
    <cellStyle name="20% - Accent1 3 10 4" xfId="4683"/>
    <cellStyle name="20% - Accent1 3 10 4 2" xfId="13488"/>
    <cellStyle name="20% - Accent1 3 10 4 3" xfId="13487"/>
    <cellStyle name="20% - Accent1 3 10 5" xfId="10993"/>
    <cellStyle name="20% - Accent1 3 10 5 2" xfId="13490"/>
    <cellStyle name="20% - Accent1 3 10 5 3" xfId="13489"/>
    <cellStyle name="20% - Accent1 3 10 6" xfId="13491"/>
    <cellStyle name="20% - Accent1 3 10 7" xfId="13476"/>
    <cellStyle name="20% - Accent1 3 11" xfId="1754"/>
    <cellStyle name="20% - Accent1 3 11 2" xfId="8039"/>
    <cellStyle name="20% - Accent1 3 11 2 2" xfId="13494"/>
    <cellStyle name="20% - Accent1 3 11 2 3" xfId="13493"/>
    <cellStyle name="20% - Accent1 3 11 3" xfId="4912"/>
    <cellStyle name="20% - Accent1 3 11 3 2" xfId="13496"/>
    <cellStyle name="20% - Accent1 3 11 3 3" xfId="13495"/>
    <cellStyle name="20% - Accent1 3 11 4" xfId="11222"/>
    <cellStyle name="20% - Accent1 3 11 4 2" xfId="13498"/>
    <cellStyle name="20% - Accent1 3 11 4 3" xfId="13497"/>
    <cellStyle name="20% - Accent1 3 11 5" xfId="13499"/>
    <cellStyle name="20% - Accent1 3 11 6" xfId="13492"/>
    <cellStyle name="20% - Accent1 3 12" xfId="131"/>
    <cellStyle name="20% - Accent1 3 12 2" xfId="6476"/>
    <cellStyle name="20% - Accent1 3 12 2 2" xfId="13502"/>
    <cellStyle name="20% - Accent1 3 12 2 3" xfId="13501"/>
    <cellStyle name="20% - Accent1 3 12 3" xfId="9938"/>
    <cellStyle name="20% - Accent1 3 12 3 2" xfId="13504"/>
    <cellStyle name="20% - Accent1 3 12 3 3" xfId="13503"/>
    <cellStyle name="20% - Accent1 3 12 4" xfId="13505"/>
    <cellStyle name="20% - Accent1 3 12 5" xfId="13500"/>
    <cellStyle name="20% - Accent1 3 13" xfId="3349"/>
    <cellStyle name="20% - Accent1 3 13 2" xfId="13507"/>
    <cellStyle name="20% - Accent1 3 13 3" xfId="13506"/>
    <cellStyle name="20% - Accent1 3 14" xfId="9591"/>
    <cellStyle name="20% - Accent1 3 14 2" xfId="13509"/>
    <cellStyle name="20% - Accent1 3 14 3" xfId="13508"/>
    <cellStyle name="20% - Accent1 3 15" xfId="13510"/>
    <cellStyle name="20% - Accent1 3 16" xfId="13475"/>
    <cellStyle name="20% - Accent1 3 17" xfId="38122"/>
    <cellStyle name="20% - Accent1 3 2" xfId="147"/>
    <cellStyle name="20% - Accent1 3 2 2" xfId="290"/>
    <cellStyle name="20% - Accent1 3 2 2 2" xfId="1000"/>
    <cellStyle name="20% - Accent1 3 2 2 2 2" xfId="2566"/>
    <cellStyle name="20% - Accent1 3 2 2 2 2 2" xfId="8851"/>
    <cellStyle name="20% - Accent1 3 2 2 2 2 2 2" xfId="13516"/>
    <cellStyle name="20% - Accent1 3 2 2 2 2 2 3" xfId="13515"/>
    <cellStyle name="20% - Accent1 3 2 2 2 2 3" xfId="5724"/>
    <cellStyle name="20% - Accent1 3 2 2 2 2 3 2" xfId="13518"/>
    <cellStyle name="20% - Accent1 3 2 2 2 2 3 3" xfId="13517"/>
    <cellStyle name="20% - Accent1 3 2 2 2 2 4" xfId="12034"/>
    <cellStyle name="20% - Accent1 3 2 2 2 2 4 2" xfId="13520"/>
    <cellStyle name="20% - Accent1 3 2 2 2 2 4 3" xfId="13519"/>
    <cellStyle name="20% - Accent1 3 2 2 2 2 5" xfId="13521"/>
    <cellStyle name="20% - Accent1 3 2 2 2 2 6" xfId="13514"/>
    <cellStyle name="20% - Accent1 3 2 2 2 3" xfId="7288"/>
    <cellStyle name="20% - Accent1 3 2 2 2 3 2" xfId="13523"/>
    <cellStyle name="20% - Accent1 3 2 2 2 3 3" xfId="13522"/>
    <cellStyle name="20% - Accent1 3 2 2 2 4" xfId="4161"/>
    <cellStyle name="20% - Accent1 3 2 2 2 4 2" xfId="13525"/>
    <cellStyle name="20% - Accent1 3 2 2 2 4 3" xfId="13524"/>
    <cellStyle name="20% - Accent1 3 2 2 2 5" xfId="10471"/>
    <cellStyle name="20% - Accent1 3 2 2 2 5 2" xfId="13527"/>
    <cellStyle name="20% - Accent1 3 2 2 2 5 3" xfId="13526"/>
    <cellStyle name="20% - Accent1 3 2 2 2 6" xfId="13528"/>
    <cellStyle name="20% - Accent1 3 2 2 2 7" xfId="13513"/>
    <cellStyle name="20% - Accent1 3 2 2 3" xfId="1886"/>
    <cellStyle name="20% - Accent1 3 2 2 3 2" xfId="8171"/>
    <cellStyle name="20% - Accent1 3 2 2 3 2 2" xfId="13531"/>
    <cellStyle name="20% - Accent1 3 2 2 3 2 3" xfId="13530"/>
    <cellStyle name="20% - Accent1 3 2 2 3 3" xfId="5044"/>
    <cellStyle name="20% - Accent1 3 2 2 3 3 2" xfId="13533"/>
    <cellStyle name="20% - Accent1 3 2 2 3 3 3" xfId="13532"/>
    <cellStyle name="20% - Accent1 3 2 2 3 4" xfId="11354"/>
    <cellStyle name="20% - Accent1 3 2 2 3 4 2" xfId="13535"/>
    <cellStyle name="20% - Accent1 3 2 2 3 4 3" xfId="13534"/>
    <cellStyle name="20% - Accent1 3 2 2 3 5" xfId="13536"/>
    <cellStyle name="20% - Accent1 3 2 2 3 6" xfId="13529"/>
    <cellStyle name="20% - Accent1 3 2 2 4" xfId="6608"/>
    <cellStyle name="20% - Accent1 3 2 2 4 2" xfId="13538"/>
    <cellStyle name="20% - Accent1 3 2 2 4 3" xfId="13537"/>
    <cellStyle name="20% - Accent1 3 2 2 5" xfId="3481"/>
    <cellStyle name="20% - Accent1 3 2 2 5 2" xfId="13540"/>
    <cellStyle name="20% - Accent1 3 2 2 5 3" xfId="13539"/>
    <cellStyle name="20% - Accent1 3 2 2 6" xfId="9811"/>
    <cellStyle name="20% - Accent1 3 2 2 6 2" xfId="13542"/>
    <cellStyle name="20% - Accent1 3 2 2 6 3" xfId="13541"/>
    <cellStyle name="20% - Accent1 3 2 2 7" xfId="13543"/>
    <cellStyle name="20% - Accent1 3 2 2 8" xfId="13512"/>
    <cellStyle name="20% - Accent1 3 2 3" xfId="883"/>
    <cellStyle name="20% - Accent1 3 2 3 2" xfId="2449"/>
    <cellStyle name="20% - Accent1 3 2 3 2 2" xfId="8734"/>
    <cellStyle name="20% - Accent1 3 2 3 2 2 2" xfId="13547"/>
    <cellStyle name="20% - Accent1 3 2 3 2 2 3" xfId="13546"/>
    <cellStyle name="20% - Accent1 3 2 3 2 3" xfId="5607"/>
    <cellStyle name="20% - Accent1 3 2 3 2 3 2" xfId="13549"/>
    <cellStyle name="20% - Accent1 3 2 3 2 3 3" xfId="13548"/>
    <cellStyle name="20% - Accent1 3 2 3 2 4" xfId="11917"/>
    <cellStyle name="20% - Accent1 3 2 3 2 4 2" xfId="13551"/>
    <cellStyle name="20% - Accent1 3 2 3 2 4 3" xfId="13550"/>
    <cellStyle name="20% - Accent1 3 2 3 2 5" xfId="13552"/>
    <cellStyle name="20% - Accent1 3 2 3 2 6" xfId="13545"/>
    <cellStyle name="20% - Accent1 3 2 3 3" xfId="7171"/>
    <cellStyle name="20% - Accent1 3 2 3 3 2" xfId="13554"/>
    <cellStyle name="20% - Accent1 3 2 3 3 3" xfId="13553"/>
    <cellStyle name="20% - Accent1 3 2 3 4" xfId="4044"/>
    <cellStyle name="20% - Accent1 3 2 3 4 2" xfId="13556"/>
    <cellStyle name="20% - Accent1 3 2 3 4 3" xfId="13555"/>
    <cellStyle name="20% - Accent1 3 2 3 5" xfId="10354"/>
    <cellStyle name="20% - Accent1 3 2 3 5 2" xfId="13558"/>
    <cellStyle name="20% - Accent1 3 2 3 5 3" xfId="13557"/>
    <cellStyle name="20% - Accent1 3 2 3 6" xfId="13559"/>
    <cellStyle name="20% - Accent1 3 2 3 7" xfId="13544"/>
    <cellStyle name="20% - Accent1 3 2 4" xfId="1769"/>
    <cellStyle name="20% - Accent1 3 2 4 2" xfId="8054"/>
    <cellStyle name="20% - Accent1 3 2 4 2 2" xfId="13562"/>
    <cellStyle name="20% - Accent1 3 2 4 2 3" xfId="13561"/>
    <cellStyle name="20% - Accent1 3 2 4 3" xfId="4927"/>
    <cellStyle name="20% - Accent1 3 2 4 3 2" xfId="13564"/>
    <cellStyle name="20% - Accent1 3 2 4 3 3" xfId="13563"/>
    <cellStyle name="20% - Accent1 3 2 4 4" xfId="11237"/>
    <cellStyle name="20% - Accent1 3 2 4 4 2" xfId="13566"/>
    <cellStyle name="20% - Accent1 3 2 4 4 3" xfId="13565"/>
    <cellStyle name="20% - Accent1 3 2 4 5" xfId="13567"/>
    <cellStyle name="20% - Accent1 3 2 4 6" xfId="13560"/>
    <cellStyle name="20% - Accent1 3 2 5" xfId="6491"/>
    <cellStyle name="20% - Accent1 3 2 5 2" xfId="13569"/>
    <cellStyle name="20% - Accent1 3 2 5 3" xfId="13568"/>
    <cellStyle name="20% - Accent1 3 2 6" xfId="3364"/>
    <cellStyle name="20% - Accent1 3 2 6 2" xfId="13571"/>
    <cellStyle name="20% - Accent1 3 2 6 3" xfId="13570"/>
    <cellStyle name="20% - Accent1 3 2 7" xfId="9937"/>
    <cellStyle name="20% - Accent1 3 2 7 2" xfId="13573"/>
    <cellStyle name="20% - Accent1 3 2 7 3" xfId="13572"/>
    <cellStyle name="20% - Accent1 3 2 8" xfId="13574"/>
    <cellStyle name="20% - Accent1 3 2 9" xfId="13511"/>
    <cellStyle name="20% - Accent1 3 3" xfId="223"/>
    <cellStyle name="20% - Accent1 3 3 2" xfId="934"/>
    <cellStyle name="20% - Accent1 3 3 2 2" xfId="2500"/>
    <cellStyle name="20% - Accent1 3 3 2 2 2" xfId="8785"/>
    <cellStyle name="20% - Accent1 3 3 2 2 2 2" xfId="13579"/>
    <cellStyle name="20% - Accent1 3 3 2 2 2 3" xfId="13578"/>
    <cellStyle name="20% - Accent1 3 3 2 2 3" xfId="5658"/>
    <cellStyle name="20% - Accent1 3 3 2 2 3 2" xfId="13581"/>
    <cellStyle name="20% - Accent1 3 3 2 2 3 3" xfId="13580"/>
    <cellStyle name="20% - Accent1 3 3 2 2 4" xfId="11968"/>
    <cellStyle name="20% - Accent1 3 3 2 2 4 2" xfId="13583"/>
    <cellStyle name="20% - Accent1 3 3 2 2 4 3" xfId="13582"/>
    <cellStyle name="20% - Accent1 3 3 2 2 5" xfId="13584"/>
    <cellStyle name="20% - Accent1 3 3 2 2 6" xfId="13577"/>
    <cellStyle name="20% - Accent1 3 3 2 3" xfId="7222"/>
    <cellStyle name="20% - Accent1 3 3 2 3 2" xfId="13586"/>
    <cellStyle name="20% - Accent1 3 3 2 3 3" xfId="13585"/>
    <cellStyle name="20% - Accent1 3 3 2 4" xfId="4095"/>
    <cellStyle name="20% - Accent1 3 3 2 4 2" xfId="13588"/>
    <cellStyle name="20% - Accent1 3 3 2 4 3" xfId="13587"/>
    <cellStyle name="20% - Accent1 3 3 2 5" xfId="10405"/>
    <cellStyle name="20% - Accent1 3 3 2 5 2" xfId="13590"/>
    <cellStyle name="20% - Accent1 3 3 2 5 3" xfId="13589"/>
    <cellStyle name="20% - Accent1 3 3 2 6" xfId="13591"/>
    <cellStyle name="20% - Accent1 3 3 2 7" xfId="13576"/>
    <cellStyle name="20% - Accent1 3 3 3" xfId="1820"/>
    <cellStyle name="20% - Accent1 3 3 3 2" xfId="8105"/>
    <cellStyle name="20% - Accent1 3 3 3 2 2" xfId="13594"/>
    <cellStyle name="20% - Accent1 3 3 3 2 3" xfId="13593"/>
    <cellStyle name="20% - Accent1 3 3 3 3" xfId="4978"/>
    <cellStyle name="20% - Accent1 3 3 3 3 2" xfId="13596"/>
    <cellStyle name="20% - Accent1 3 3 3 3 3" xfId="13595"/>
    <cellStyle name="20% - Accent1 3 3 3 4" xfId="11288"/>
    <cellStyle name="20% - Accent1 3 3 3 4 2" xfId="13598"/>
    <cellStyle name="20% - Accent1 3 3 3 4 3" xfId="13597"/>
    <cellStyle name="20% - Accent1 3 3 3 5" xfId="13599"/>
    <cellStyle name="20% - Accent1 3 3 3 6" xfId="13592"/>
    <cellStyle name="20% - Accent1 3 3 4" xfId="6542"/>
    <cellStyle name="20% - Accent1 3 3 4 2" xfId="13601"/>
    <cellStyle name="20% - Accent1 3 3 4 3" xfId="13600"/>
    <cellStyle name="20% - Accent1 3 3 5" xfId="3415"/>
    <cellStyle name="20% - Accent1 3 3 5 2" xfId="13603"/>
    <cellStyle name="20% - Accent1 3 3 5 3" xfId="13602"/>
    <cellStyle name="20% - Accent1 3 3 6" xfId="9900"/>
    <cellStyle name="20% - Accent1 3 3 6 2" xfId="13605"/>
    <cellStyle name="20% - Accent1 3 3 6 3" xfId="13604"/>
    <cellStyle name="20% - Accent1 3 3 7" xfId="13606"/>
    <cellStyle name="20% - Accent1 3 3 8" xfId="13575"/>
    <cellStyle name="20% - Accent1 3 4" xfId="284"/>
    <cellStyle name="20% - Accent1 3 4 2" xfId="994"/>
    <cellStyle name="20% - Accent1 3 4 2 2" xfId="2560"/>
    <cellStyle name="20% - Accent1 3 4 2 2 2" xfId="8845"/>
    <cellStyle name="20% - Accent1 3 4 2 2 2 2" xfId="13611"/>
    <cellStyle name="20% - Accent1 3 4 2 2 2 3" xfId="13610"/>
    <cellStyle name="20% - Accent1 3 4 2 2 3" xfId="5718"/>
    <cellStyle name="20% - Accent1 3 4 2 2 3 2" xfId="13613"/>
    <cellStyle name="20% - Accent1 3 4 2 2 3 3" xfId="13612"/>
    <cellStyle name="20% - Accent1 3 4 2 2 4" xfId="12028"/>
    <cellStyle name="20% - Accent1 3 4 2 2 4 2" xfId="13615"/>
    <cellStyle name="20% - Accent1 3 4 2 2 4 3" xfId="13614"/>
    <cellStyle name="20% - Accent1 3 4 2 2 5" xfId="13616"/>
    <cellStyle name="20% - Accent1 3 4 2 2 6" xfId="13609"/>
    <cellStyle name="20% - Accent1 3 4 2 3" xfId="7282"/>
    <cellStyle name="20% - Accent1 3 4 2 3 2" xfId="13618"/>
    <cellStyle name="20% - Accent1 3 4 2 3 3" xfId="13617"/>
    <cellStyle name="20% - Accent1 3 4 2 4" xfId="4155"/>
    <cellStyle name="20% - Accent1 3 4 2 4 2" xfId="13620"/>
    <cellStyle name="20% - Accent1 3 4 2 4 3" xfId="13619"/>
    <cellStyle name="20% - Accent1 3 4 2 5" xfId="10465"/>
    <cellStyle name="20% - Accent1 3 4 2 5 2" xfId="13622"/>
    <cellStyle name="20% - Accent1 3 4 2 5 3" xfId="13621"/>
    <cellStyle name="20% - Accent1 3 4 2 6" xfId="13623"/>
    <cellStyle name="20% - Accent1 3 4 2 7" xfId="13608"/>
    <cellStyle name="20% - Accent1 3 4 3" xfId="1880"/>
    <cellStyle name="20% - Accent1 3 4 3 2" xfId="8165"/>
    <cellStyle name="20% - Accent1 3 4 3 2 2" xfId="13626"/>
    <cellStyle name="20% - Accent1 3 4 3 2 3" xfId="13625"/>
    <cellStyle name="20% - Accent1 3 4 3 3" xfId="5038"/>
    <cellStyle name="20% - Accent1 3 4 3 3 2" xfId="13628"/>
    <cellStyle name="20% - Accent1 3 4 3 3 3" xfId="13627"/>
    <cellStyle name="20% - Accent1 3 4 3 4" xfId="11348"/>
    <cellStyle name="20% - Accent1 3 4 3 4 2" xfId="13630"/>
    <cellStyle name="20% - Accent1 3 4 3 4 3" xfId="13629"/>
    <cellStyle name="20% - Accent1 3 4 3 5" xfId="13631"/>
    <cellStyle name="20% - Accent1 3 4 3 6" xfId="13624"/>
    <cellStyle name="20% - Accent1 3 4 4" xfId="6602"/>
    <cellStyle name="20% - Accent1 3 4 4 2" xfId="13633"/>
    <cellStyle name="20% - Accent1 3 4 4 3" xfId="13632"/>
    <cellStyle name="20% - Accent1 3 4 5" xfId="3475"/>
    <cellStyle name="20% - Accent1 3 4 5 2" xfId="13635"/>
    <cellStyle name="20% - Accent1 3 4 5 3" xfId="13634"/>
    <cellStyle name="20% - Accent1 3 4 6" xfId="9862"/>
    <cellStyle name="20% - Accent1 3 4 6 2" xfId="13637"/>
    <cellStyle name="20% - Accent1 3 4 6 3" xfId="13636"/>
    <cellStyle name="20% - Accent1 3 4 7" xfId="13638"/>
    <cellStyle name="20% - Accent1 3 4 8" xfId="13607"/>
    <cellStyle name="20% - Accent1 3 5" xfId="330"/>
    <cellStyle name="20% - Accent1 3 5 2" xfId="1038"/>
    <cellStyle name="20% - Accent1 3 5 2 2" xfId="2604"/>
    <cellStyle name="20% - Accent1 3 5 2 2 2" xfId="8889"/>
    <cellStyle name="20% - Accent1 3 5 2 2 2 2" xfId="13643"/>
    <cellStyle name="20% - Accent1 3 5 2 2 2 3" xfId="13642"/>
    <cellStyle name="20% - Accent1 3 5 2 2 3" xfId="5762"/>
    <cellStyle name="20% - Accent1 3 5 2 2 3 2" xfId="13645"/>
    <cellStyle name="20% - Accent1 3 5 2 2 3 3" xfId="13644"/>
    <cellStyle name="20% - Accent1 3 5 2 2 4" xfId="12072"/>
    <cellStyle name="20% - Accent1 3 5 2 2 4 2" xfId="13647"/>
    <cellStyle name="20% - Accent1 3 5 2 2 4 3" xfId="13646"/>
    <cellStyle name="20% - Accent1 3 5 2 2 5" xfId="13648"/>
    <cellStyle name="20% - Accent1 3 5 2 2 6" xfId="13641"/>
    <cellStyle name="20% - Accent1 3 5 2 3" xfId="7326"/>
    <cellStyle name="20% - Accent1 3 5 2 3 2" xfId="13650"/>
    <cellStyle name="20% - Accent1 3 5 2 3 3" xfId="13649"/>
    <cellStyle name="20% - Accent1 3 5 2 4" xfId="4199"/>
    <cellStyle name="20% - Accent1 3 5 2 4 2" xfId="13652"/>
    <cellStyle name="20% - Accent1 3 5 2 4 3" xfId="13651"/>
    <cellStyle name="20% - Accent1 3 5 2 5" xfId="10509"/>
    <cellStyle name="20% - Accent1 3 5 2 5 2" xfId="13654"/>
    <cellStyle name="20% - Accent1 3 5 2 5 3" xfId="13653"/>
    <cellStyle name="20% - Accent1 3 5 2 6" xfId="13655"/>
    <cellStyle name="20% - Accent1 3 5 2 7" xfId="13640"/>
    <cellStyle name="20% - Accent1 3 5 3" xfId="1924"/>
    <cellStyle name="20% - Accent1 3 5 3 2" xfId="8209"/>
    <cellStyle name="20% - Accent1 3 5 3 2 2" xfId="13658"/>
    <cellStyle name="20% - Accent1 3 5 3 2 3" xfId="13657"/>
    <cellStyle name="20% - Accent1 3 5 3 3" xfId="5082"/>
    <cellStyle name="20% - Accent1 3 5 3 3 2" xfId="13660"/>
    <cellStyle name="20% - Accent1 3 5 3 3 3" xfId="13659"/>
    <cellStyle name="20% - Accent1 3 5 3 4" xfId="11392"/>
    <cellStyle name="20% - Accent1 3 5 3 4 2" xfId="13662"/>
    <cellStyle name="20% - Accent1 3 5 3 4 3" xfId="13661"/>
    <cellStyle name="20% - Accent1 3 5 3 5" xfId="13663"/>
    <cellStyle name="20% - Accent1 3 5 3 6" xfId="13656"/>
    <cellStyle name="20% - Accent1 3 5 4" xfId="6646"/>
    <cellStyle name="20% - Accent1 3 5 4 2" xfId="13665"/>
    <cellStyle name="20% - Accent1 3 5 4 3" xfId="13664"/>
    <cellStyle name="20% - Accent1 3 5 5" xfId="3519"/>
    <cellStyle name="20% - Accent1 3 5 5 2" xfId="13667"/>
    <cellStyle name="20% - Accent1 3 5 5 3" xfId="13666"/>
    <cellStyle name="20% - Accent1 3 5 6" xfId="9836"/>
    <cellStyle name="20% - Accent1 3 5 6 2" xfId="13669"/>
    <cellStyle name="20% - Accent1 3 5 6 3" xfId="13668"/>
    <cellStyle name="20% - Accent1 3 5 7" xfId="13670"/>
    <cellStyle name="20% - Accent1 3 5 8" xfId="13639"/>
    <cellStyle name="20% - Accent1 3 6" xfId="394"/>
    <cellStyle name="20% - Accent1 3 6 2" xfId="1101"/>
    <cellStyle name="20% - Accent1 3 6 2 2" xfId="2666"/>
    <cellStyle name="20% - Accent1 3 6 2 2 2" xfId="8951"/>
    <cellStyle name="20% - Accent1 3 6 2 2 2 2" xfId="13675"/>
    <cellStyle name="20% - Accent1 3 6 2 2 2 3" xfId="13674"/>
    <cellStyle name="20% - Accent1 3 6 2 2 3" xfId="5824"/>
    <cellStyle name="20% - Accent1 3 6 2 2 3 2" xfId="13677"/>
    <cellStyle name="20% - Accent1 3 6 2 2 3 3" xfId="13676"/>
    <cellStyle name="20% - Accent1 3 6 2 2 4" xfId="12134"/>
    <cellStyle name="20% - Accent1 3 6 2 2 4 2" xfId="13679"/>
    <cellStyle name="20% - Accent1 3 6 2 2 4 3" xfId="13678"/>
    <cellStyle name="20% - Accent1 3 6 2 2 5" xfId="13680"/>
    <cellStyle name="20% - Accent1 3 6 2 2 6" xfId="13673"/>
    <cellStyle name="20% - Accent1 3 6 2 3" xfId="7388"/>
    <cellStyle name="20% - Accent1 3 6 2 3 2" xfId="13682"/>
    <cellStyle name="20% - Accent1 3 6 2 3 3" xfId="13681"/>
    <cellStyle name="20% - Accent1 3 6 2 4" xfId="4261"/>
    <cellStyle name="20% - Accent1 3 6 2 4 2" xfId="13684"/>
    <cellStyle name="20% - Accent1 3 6 2 4 3" xfId="13683"/>
    <cellStyle name="20% - Accent1 3 6 2 5" xfId="10571"/>
    <cellStyle name="20% - Accent1 3 6 2 5 2" xfId="13686"/>
    <cellStyle name="20% - Accent1 3 6 2 5 3" xfId="13685"/>
    <cellStyle name="20% - Accent1 3 6 2 6" xfId="13687"/>
    <cellStyle name="20% - Accent1 3 6 2 7" xfId="13672"/>
    <cellStyle name="20% - Accent1 3 6 3" xfId="1986"/>
    <cellStyle name="20% - Accent1 3 6 3 2" xfId="8271"/>
    <cellStyle name="20% - Accent1 3 6 3 2 2" xfId="13690"/>
    <cellStyle name="20% - Accent1 3 6 3 2 3" xfId="13689"/>
    <cellStyle name="20% - Accent1 3 6 3 3" xfId="5144"/>
    <cellStyle name="20% - Accent1 3 6 3 3 2" xfId="13692"/>
    <cellStyle name="20% - Accent1 3 6 3 3 3" xfId="13691"/>
    <cellStyle name="20% - Accent1 3 6 3 4" xfId="11454"/>
    <cellStyle name="20% - Accent1 3 6 3 4 2" xfId="13694"/>
    <cellStyle name="20% - Accent1 3 6 3 4 3" xfId="13693"/>
    <cellStyle name="20% - Accent1 3 6 3 5" xfId="13695"/>
    <cellStyle name="20% - Accent1 3 6 3 6" xfId="13688"/>
    <cellStyle name="20% - Accent1 3 6 4" xfId="6708"/>
    <cellStyle name="20% - Accent1 3 6 4 2" xfId="13697"/>
    <cellStyle name="20% - Accent1 3 6 4 3" xfId="13696"/>
    <cellStyle name="20% - Accent1 3 6 5" xfId="3581"/>
    <cellStyle name="20% - Accent1 3 6 5 2" xfId="13699"/>
    <cellStyle name="20% - Accent1 3 6 5 3" xfId="13698"/>
    <cellStyle name="20% - Accent1 3 6 6" xfId="10014"/>
    <cellStyle name="20% - Accent1 3 6 6 2" xfId="13701"/>
    <cellStyle name="20% - Accent1 3 6 6 3" xfId="13700"/>
    <cellStyle name="20% - Accent1 3 6 7" xfId="13702"/>
    <cellStyle name="20% - Accent1 3 6 8" xfId="13671"/>
    <cellStyle name="20% - Accent1 3 7" xfId="557"/>
    <cellStyle name="20% - Accent1 3 7 2" xfId="1264"/>
    <cellStyle name="20% - Accent1 3 7 2 2" xfId="2829"/>
    <cellStyle name="20% - Accent1 3 7 2 2 2" xfId="9114"/>
    <cellStyle name="20% - Accent1 3 7 2 2 2 2" xfId="13707"/>
    <cellStyle name="20% - Accent1 3 7 2 2 2 3" xfId="13706"/>
    <cellStyle name="20% - Accent1 3 7 2 2 3" xfId="5987"/>
    <cellStyle name="20% - Accent1 3 7 2 2 3 2" xfId="13709"/>
    <cellStyle name="20% - Accent1 3 7 2 2 3 3" xfId="13708"/>
    <cellStyle name="20% - Accent1 3 7 2 2 4" xfId="12297"/>
    <cellStyle name="20% - Accent1 3 7 2 2 4 2" xfId="13711"/>
    <cellStyle name="20% - Accent1 3 7 2 2 4 3" xfId="13710"/>
    <cellStyle name="20% - Accent1 3 7 2 2 5" xfId="13712"/>
    <cellStyle name="20% - Accent1 3 7 2 2 6" xfId="13705"/>
    <cellStyle name="20% - Accent1 3 7 2 3" xfId="7551"/>
    <cellStyle name="20% - Accent1 3 7 2 3 2" xfId="13714"/>
    <cellStyle name="20% - Accent1 3 7 2 3 3" xfId="13713"/>
    <cellStyle name="20% - Accent1 3 7 2 4" xfId="4424"/>
    <cellStyle name="20% - Accent1 3 7 2 4 2" xfId="13716"/>
    <cellStyle name="20% - Accent1 3 7 2 4 3" xfId="13715"/>
    <cellStyle name="20% - Accent1 3 7 2 5" xfId="10734"/>
    <cellStyle name="20% - Accent1 3 7 2 5 2" xfId="13718"/>
    <cellStyle name="20% - Accent1 3 7 2 5 3" xfId="13717"/>
    <cellStyle name="20% - Accent1 3 7 2 6" xfId="13719"/>
    <cellStyle name="20% - Accent1 3 7 2 7" xfId="13704"/>
    <cellStyle name="20% - Accent1 3 7 3" xfId="2149"/>
    <cellStyle name="20% - Accent1 3 7 3 2" xfId="8434"/>
    <cellStyle name="20% - Accent1 3 7 3 2 2" xfId="13722"/>
    <cellStyle name="20% - Accent1 3 7 3 2 3" xfId="13721"/>
    <cellStyle name="20% - Accent1 3 7 3 3" xfId="5307"/>
    <cellStyle name="20% - Accent1 3 7 3 3 2" xfId="13724"/>
    <cellStyle name="20% - Accent1 3 7 3 3 3" xfId="13723"/>
    <cellStyle name="20% - Accent1 3 7 3 4" xfId="11617"/>
    <cellStyle name="20% - Accent1 3 7 3 4 2" xfId="13726"/>
    <cellStyle name="20% - Accent1 3 7 3 4 3" xfId="13725"/>
    <cellStyle name="20% - Accent1 3 7 3 5" xfId="13727"/>
    <cellStyle name="20% - Accent1 3 7 3 6" xfId="13720"/>
    <cellStyle name="20% - Accent1 3 7 4" xfId="6871"/>
    <cellStyle name="20% - Accent1 3 7 4 2" xfId="13729"/>
    <cellStyle name="20% - Accent1 3 7 4 3" xfId="13728"/>
    <cellStyle name="20% - Accent1 3 7 5" xfId="3744"/>
    <cellStyle name="20% - Accent1 3 7 5 2" xfId="13731"/>
    <cellStyle name="20% - Accent1 3 7 5 3" xfId="13730"/>
    <cellStyle name="20% - Accent1 3 7 6" xfId="10176"/>
    <cellStyle name="20% - Accent1 3 7 6 2" xfId="13733"/>
    <cellStyle name="20% - Accent1 3 7 6 3" xfId="13732"/>
    <cellStyle name="20% - Accent1 3 7 7" xfId="13734"/>
    <cellStyle name="20% - Accent1 3 7 8" xfId="13703"/>
    <cellStyle name="20% - Accent1 3 8" xfId="616"/>
    <cellStyle name="20% - Accent1 3 8 2" xfId="1321"/>
    <cellStyle name="20% - Accent1 3 8 2 2" xfId="2886"/>
    <cellStyle name="20% - Accent1 3 8 2 2 2" xfId="9171"/>
    <cellStyle name="20% - Accent1 3 8 2 2 2 2" xfId="13739"/>
    <cellStyle name="20% - Accent1 3 8 2 2 2 3" xfId="13738"/>
    <cellStyle name="20% - Accent1 3 8 2 2 3" xfId="6044"/>
    <cellStyle name="20% - Accent1 3 8 2 2 3 2" xfId="13741"/>
    <cellStyle name="20% - Accent1 3 8 2 2 3 3" xfId="13740"/>
    <cellStyle name="20% - Accent1 3 8 2 2 4" xfId="12354"/>
    <cellStyle name="20% - Accent1 3 8 2 2 4 2" xfId="13743"/>
    <cellStyle name="20% - Accent1 3 8 2 2 4 3" xfId="13742"/>
    <cellStyle name="20% - Accent1 3 8 2 2 5" xfId="13744"/>
    <cellStyle name="20% - Accent1 3 8 2 2 6" xfId="13737"/>
    <cellStyle name="20% - Accent1 3 8 2 3" xfId="7608"/>
    <cellStyle name="20% - Accent1 3 8 2 3 2" xfId="13746"/>
    <cellStyle name="20% - Accent1 3 8 2 3 3" xfId="13745"/>
    <cellStyle name="20% - Accent1 3 8 2 4" xfId="4481"/>
    <cellStyle name="20% - Accent1 3 8 2 4 2" xfId="13748"/>
    <cellStyle name="20% - Accent1 3 8 2 4 3" xfId="13747"/>
    <cellStyle name="20% - Accent1 3 8 2 5" xfId="10791"/>
    <cellStyle name="20% - Accent1 3 8 2 5 2" xfId="13750"/>
    <cellStyle name="20% - Accent1 3 8 2 5 3" xfId="13749"/>
    <cellStyle name="20% - Accent1 3 8 2 6" xfId="13751"/>
    <cellStyle name="20% - Accent1 3 8 2 7" xfId="13736"/>
    <cellStyle name="20% - Accent1 3 8 3" xfId="2206"/>
    <cellStyle name="20% - Accent1 3 8 3 2" xfId="8491"/>
    <cellStyle name="20% - Accent1 3 8 3 2 2" xfId="13754"/>
    <cellStyle name="20% - Accent1 3 8 3 2 3" xfId="13753"/>
    <cellStyle name="20% - Accent1 3 8 3 3" xfId="5364"/>
    <cellStyle name="20% - Accent1 3 8 3 3 2" xfId="13756"/>
    <cellStyle name="20% - Accent1 3 8 3 3 3" xfId="13755"/>
    <cellStyle name="20% - Accent1 3 8 3 4" xfId="11674"/>
    <cellStyle name="20% - Accent1 3 8 3 4 2" xfId="13758"/>
    <cellStyle name="20% - Accent1 3 8 3 4 3" xfId="13757"/>
    <cellStyle name="20% - Accent1 3 8 3 5" xfId="13759"/>
    <cellStyle name="20% - Accent1 3 8 3 6" xfId="13752"/>
    <cellStyle name="20% - Accent1 3 8 4" xfId="6928"/>
    <cellStyle name="20% - Accent1 3 8 4 2" xfId="13761"/>
    <cellStyle name="20% - Accent1 3 8 4 3" xfId="13760"/>
    <cellStyle name="20% - Accent1 3 8 5" xfId="3801"/>
    <cellStyle name="20% - Accent1 3 8 5 2" xfId="13763"/>
    <cellStyle name="20% - Accent1 3 8 5 3" xfId="13762"/>
    <cellStyle name="20% - Accent1 3 8 6" xfId="10234"/>
    <cellStyle name="20% - Accent1 3 8 6 2" xfId="13765"/>
    <cellStyle name="20% - Accent1 3 8 6 3" xfId="13764"/>
    <cellStyle name="20% - Accent1 3 8 7" xfId="13766"/>
    <cellStyle name="20% - Accent1 3 8 8" xfId="13735"/>
    <cellStyle name="20% - Accent1 3 9" xfId="868"/>
    <cellStyle name="20% - Accent1 3 9 2" xfId="2434"/>
    <cellStyle name="20% - Accent1 3 9 2 2" xfId="8719"/>
    <cellStyle name="20% - Accent1 3 9 2 2 2" xfId="13770"/>
    <cellStyle name="20% - Accent1 3 9 2 2 3" xfId="13769"/>
    <cellStyle name="20% - Accent1 3 9 2 3" xfId="5592"/>
    <cellStyle name="20% - Accent1 3 9 2 3 2" xfId="13772"/>
    <cellStyle name="20% - Accent1 3 9 2 3 3" xfId="13771"/>
    <cellStyle name="20% - Accent1 3 9 2 4" xfId="11902"/>
    <cellStyle name="20% - Accent1 3 9 2 4 2" xfId="13774"/>
    <cellStyle name="20% - Accent1 3 9 2 4 3" xfId="13773"/>
    <cellStyle name="20% - Accent1 3 9 2 5" xfId="13775"/>
    <cellStyle name="20% - Accent1 3 9 2 6" xfId="13768"/>
    <cellStyle name="20% - Accent1 3 9 3" xfId="7156"/>
    <cellStyle name="20% - Accent1 3 9 3 2" xfId="13777"/>
    <cellStyle name="20% - Accent1 3 9 3 3" xfId="13776"/>
    <cellStyle name="20% - Accent1 3 9 4" xfId="4029"/>
    <cellStyle name="20% - Accent1 3 9 4 2" xfId="13779"/>
    <cellStyle name="20% - Accent1 3 9 4 3" xfId="13778"/>
    <cellStyle name="20% - Accent1 3 9 5" xfId="10339"/>
    <cellStyle name="20% - Accent1 3 9 5 2" xfId="13781"/>
    <cellStyle name="20% - Accent1 3 9 5 3" xfId="13780"/>
    <cellStyle name="20% - Accent1 3 9 6" xfId="13782"/>
    <cellStyle name="20% - Accent1 3 9 7" xfId="13767"/>
    <cellStyle name="20% - Accent1 4" xfId="148"/>
    <cellStyle name="20% - Accent1 4 10" xfId="6492"/>
    <cellStyle name="20% - Accent1 4 10 2" xfId="13785"/>
    <cellStyle name="20% - Accent1 4 10 3" xfId="13784"/>
    <cellStyle name="20% - Accent1 4 11" xfId="3365"/>
    <cellStyle name="20% - Accent1 4 11 2" xfId="13787"/>
    <cellStyle name="20% - Accent1 4 11 3" xfId="13786"/>
    <cellStyle name="20% - Accent1 4 12" xfId="9592"/>
    <cellStyle name="20% - Accent1 4 12 2" xfId="13789"/>
    <cellStyle name="20% - Accent1 4 12 3" xfId="13788"/>
    <cellStyle name="20% - Accent1 4 13" xfId="13790"/>
    <cellStyle name="20% - Accent1 4 14" xfId="13783"/>
    <cellStyle name="20% - Accent1 4 2" xfId="224"/>
    <cellStyle name="20% - Accent1 4 2 2" xfId="935"/>
    <cellStyle name="20% - Accent1 4 2 2 2" xfId="2501"/>
    <cellStyle name="20% - Accent1 4 2 2 2 2" xfId="8786"/>
    <cellStyle name="20% - Accent1 4 2 2 2 2 2" xfId="13795"/>
    <cellStyle name="20% - Accent1 4 2 2 2 2 3" xfId="13794"/>
    <cellStyle name="20% - Accent1 4 2 2 2 3" xfId="5659"/>
    <cellStyle name="20% - Accent1 4 2 2 2 3 2" xfId="13797"/>
    <cellStyle name="20% - Accent1 4 2 2 2 3 3" xfId="13796"/>
    <cellStyle name="20% - Accent1 4 2 2 2 4" xfId="11969"/>
    <cellStyle name="20% - Accent1 4 2 2 2 4 2" xfId="13799"/>
    <cellStyle name="20% - Accent1 4 2 2 2 4 3" xfId="13798"/>
    <cellStyle name="20% - Accent1 4 2 2 2 5" xfId="13800"/>
    <cellStyle name="20% - Accent1 4 2 2 2 6" xfId="13793"/>
    <cellStyle name="20% - Accent1 4 2 2 3" xfId="7223"/>
    <cellStyle name="20% - Accent1 4 2 2 3 2" xfId="13802"/>
    <cellStyle name="20% - Accent1 4 2 2 3 3" xfId="13801"/>
    <cellStyle name="20% - Accent1 4 2 2 4" xfId="4096"/>
    <cellStyle name="20% - Accent1 4 2 2 4 2" xfId="13804"/>
    <cellStyle name="20% - Accent1 4 2 2 4 3" xfId="13803"/>
    <cellStyle name="20% - Accent1 4 2 2 5" xfId="10406"/>
    <cellStyle name="20% - Accent1 4 2 2 5 2" xfId="13806"/>
    <cellStyle name="20% - Accent1 4 2 2 5 3" xfId="13805"/>
    <cellStyle name="20% - Accent1 4 2 2 6" xfId="13807"/>
    <cellStyle name="20% - Accent1 4 2 2 7" xfId="13792"/>
    <cellStyle name="20% - Accent1 4 2 3" xfId="1821"/>
    <cellStyle name="20% - Accent1 4 2 3 2" xfId="8106"/>
    <cellStyle name="20% - Accent1 4 2 3 2 2" xfId="13810"/>
    <cellStyle name="20% - Accent1 4 2 3 2 3" xfId="13809"/>
    <cellStyle name="20% - Accent1 4 2 3 3" xfId="4979"/>
    <cellStyle name="20% - Accent1 4 2 3 3 2" xfId="13812"/>
    <cellStyle name="20% - Accent1 4 2 3 3 3" xfId="13811"/>
    <cellStyle name="20% - Accent1 4 2 3 4" xfId="11289"/>
    <cellStyle name="20% - Accent1 4 2 3 4 2" xfId="13814"/>
    <cellStyle name="20% - Accent1 4 2 3 4 3" xfId="13813"/>
    <cellStyle name="20% - Accent1 4 2 3 5" xfId="13815"/>
    <cellStyle name="20% - Accent1 4 2 3 6" xfId="13808"/>
    <cellStyle name="20% - Accent1 4 2 4" xfId="6543"/>
    <cellStyle name="20% - Accent1 4 2 4 2" xfId="13817"/>
    <cellStyle name="20% - Accent1 4 2 4 3" xfId="13816"/>
    <cellStyle name="20% - Accent1 4 2 5" xfId="3416"/>
    <cellStyle name="20% - Accent1 4 2 5 2" xfId="13819"/>
    <cellStyle name="20% - Accent1 4 2 5 3" xfId="13818"/>
    <cellStyle name="20% - Accent1 4 2 6" xfId="9899"/>
    <cellStyle name="20% - Accent1 4 2 6 2" xfId="13821"/>
    <cellStyle name="20% - Accent1 4 2 6 3" xfId="13820"/>
    <cellStyle name="20% - Accent1 4 2 7" xfId="13822"/>
    <cellStyle name="20% - Accent1 4 2 8" xfId="13791"/>
    <cellStyle name="20% - Accent1 4 3" xfId="331"/>
    <cellStyle name="20% - Accent1 4 3 2" xfId="1039"/>
    <cellStyle name="20% - Accent1 4 3 2 2" xfId="2605"/>
    <cellStyle name="20% - Accent1 4 3 2 2 2" xfId="8890"/>
    <cellStyle name="20% - Accent1 4 3 2 2 2 2" xfId="13827"/>
    <cellStyle name="20% - Accent1 4 3 2 2 2 3" xfId="13826"/>
    <cellStyle name="20% - Accent1 4 3 2 2 3" xfId="5763"/>
    <cellStyle name="20% - Accent1 4 3 2 2 3 2" xfId="13829"/>
    <cellStyle name="20% - Accent1 4 3 2 2 3 3" xfId="13828"/>
    <cellStyle name="20% - Accent1 4 3 2 2 4" xfId="12073"/>
    <cellStyle name="20% - Accent1 4 3 2 2 4 2" xfId="13831"/>
    <cellStyle name="20% - Accent1 4 3 2 2 4 3" xfId="13830"/>
    <cellStyle name="20% - Accent1 4 3 2 2 5" xfId="13832"/>
    <cellStyle name="20% - Accent1 4 3 2 2 6" xfId="13825"/>
    <cellStyle name="20% - Accent1 4 3 2 3" xfId="7327"/>
    <cellStyle name="20% - Accent1 4 3 2 3 2" xfId="13834"/>
    <cellStyle name="20% - Accent1 4 3 2 3 3" xfId="13833"/>
    <cellStyle name="20% - Accent1 4 3 2 4" xfId="4200"/>
    <cellStyle name="20% - Accent1 4 3 2 4 2" xfId="13836"/>
    <cellStyle name="20% - Accent1 4 3 2 4 3" xfId="13835"/>
    <cellStyle name="20% - Accent1 4 3 2 5" xfId="10510"/>
    <cellStyle name="20% - Accent1 4 3 2 5 2" xfId="13838"/>
    <cellStyle name="20% - Accent1 4 3 2 5 3" xfId="13837"/>
    <cellStyle name="20% - Accent1 4 3 2 6" xfId="13839"/>
    <cellStyle name="20% - Accent1 4 3 2 7" xfId="13824"/>
    <cellStyle name="20% - Accent1 4 3 3" xfId="1925"/>
    <cellStyle name="20% - Accent1 4 3 3 2" xfId="8210"/>
    <cellStyle name="20% - Accent1 4 3 3 2 2" xfId="13842"/>
    <cellStyle name="20% - Accent1 4 3 3 2 3" xfId="13841"/>
    <cellStyle name="20% - Accent1 4 3 3 3" xfId="5083"/>
    <cellStyle name="20% - Accent1 4 3 3 3 2" xfId="13844"/>
    <cellStyle name="20% - Accent1 4 3 3 3 3" xfId="13843"/>
    <cellStyle name="20% - Accent1 4 3 3 4" xfId="11393"/>
    <cellStyle name="20% - Accent1 4 3 3 4 2" xfId="13846"/>
    <cellStyle name="20% - Accent1 4 3 3 4 3" xfId="13845"/>
    <cellStyle name="20% - Accent1 4 3 3 5" xfId="13847"/>
    <cellStyle name="20% - Accent1 4 3 3 6" xfId="13840"/>
    <cellStyle name="20% - Accent1 4 3 4" xfId="6647"/>
    <cellStyle name="20% - Accent1 4 3 4 2" xfId="13849"/>
    <cellStyle name="20% - Accent1 4 3 4 3" xfId="13848"/>
    <cellStyle name="20% - Accent1 4 3 5" xfId="3520"/>
    <cellStyle name="20% - Accent1 4 3 5 2" xfId="13851"/>
    <cellStyle name="20% - Accent1 4 3 5 3" xfId="13850"/>
    <cellStyle name="20% - Accent1 4 3 6" xfId="9793"/>
    <cellStyle name="20% - Accent1 4 3 6 2" xfId="13853"/>
    <cellStyle name="20% - Accent1 4 3 6 3" xfId="13852"/>
    <cellStyle name="20% - Accent1 4 3 7" xfId="13854"/>
    <cellStyle name="20% - Accent1 4 3 8" xfId="13823"/>
    <cellStyle name="20% - Accent1 4 4" xfId="418"/>
    <cellStyle name="20% - Accent1 4 4 2" xfId="1125"/>
    <cellStyle name="20% - Accent1 4 4 2 2" xfId="2690"/>
    <cellStyle name="20% - Accent1 4 4 2 2 2" xfId="8975"/>
    <cellStyle name="20% - Accent1 4 4 2 2 2 2" xfId="13859"/>
    <cellStyle name="20% - Accent1 4 4 2 2 2 3" xfId="13858"/>
    <cellStyle name="20% - Accent1 4 4 2 2 3" xfId="5848"/>
    <cellStyle name="20% - Accent1 4 4 2 2 3 2" xfId="13861"/>
    <cellStyle name="20% - Accent1 4 4 2 2 3 3" xfId="13860"/>
    <cellStyle name="20% - Accent1 4 4 2 2 4" xfId="12158"/>
    <cellStyle name="20% - Accent1 4 4 2 2 4 2" xfId="13863"/>
    <cellStyle name="20% - Accent1 4 4 2 2 4 3" xfId="13862"/>
    <cellStyle name="20% - Accent1 4 4 2 2 5" xfId="13864"/>
    <cellStyle name="20% - Accent1 4 4 2 2 6" xfId="13857"/>
    <cellStyle name="20% - Accent1 4 4 2 3" xfId="7412"/>
    <cellStyle name="20% - Accent1 4 4 2 3 2" xfId="13866"/>
    <cellStyle name="20% - Accent1 4 4 2 3 3" xfId="13865"/>
    <cellStyle name="20% - Accent1 4 4 2 4" xfId="4285"/>
    <cellStyle name="20% - Accent1 4 4 2 4 2" xfId="13868"/>
    <cellStyle name="20% - Accent1 4 4 2 4 3" xfId="13867"/>
    <cellStyle name="20% - Accent1 4 4 2 5" xfId="10595"/>
    <cellStyle name="20% - Accent1 4 4 2 5 2" xfId="13870"/>
    <cellStyle name="20% - Accent1 4 4 2 5 3" xfId="13869"/>
    <cellStyle name="20% - Accent1 4 4 2 6" xfId="13871"/>
    <cellStyle name="20% - Accent1 4 4 2 7" xfId="13856"/>
    <cellStyle name="20% - Accent1 4 4 3" xfId="2010"/>
    <cellStyle name="20% - Accent1 4 4 3 2" xfId="8295"/>
    <cellStyle name="20% - Accent1 4 4 3 2 2" xfId="13874"/>
    <cellStyle name="20% - Accent1 4 4 3 2 3" xfId="13873"/>
    <cellStyle name="20% - Accent1 4 4 3 3" xfId="5168"/>
    <cellStyle name="20% - Accent1 4 4 3 3 2" xfId="13876"/>
    <cellStyle name="20% - Accent1 4 4 3 3 3" xfId="13875"/>
    <cellStyle name="20% - Accent1 4 4 3 4" xfId="11478"/>
    <cellStyle name="20% - Accent1 4 4 3 4 2" xfId="13878"/>
    <cellStyle name="20% - Accent1 4 4 3 4 3" xfId="13877"/>
    <cellStyle name="20% - Accent1 4 4 3 5" xfId="13879"/>
    <cellStyle name="20% - Accent1 4 4 3 6" xfId="13872"/>
    <cellStyle name="20% - Accent1 4 4 4" xfId="6732"/>
    <cellStyle name="20% - Accent1 4 4 4 2" xfId="13881"/>
    <cellStyle name="20% - Accent1 4 4 4 3" xfId="13880"/>
    <cellStyle name="20% - Accent1 4 4 5" xfId="3605"/>
    <cellStyle name="20% - Accent1 4 4 5 2" xfId="13883"/>
    <cellStyle name="20% - Accent1 4 4 5 3" xfId="13882"/>
    <cellStyle name="20% - Accent1 4 4 6" xfId="10038"/>
    <cellStyle name="20% - Accent1 4 4 6 2" xfId="13885"/>
    <cellStyle name="20% - Accent1 4 4 6 3" xfId="13884"/>
    <cellStyle name="20% - Accent1 4 4 7" xfId="13886"/>
    <cellStyle name="20% - Accent1 4 4 8" xfId="13855"/>
    <cellStyle name="20% - Accent1 4 5" xfId="558"/>
    <cellStyle name="20% - Accent1 4 5 2" xfId="1265"/>
    <cellStyle name="20% - Accent1 4 5 2 2" xfId="2830"/>
    <cellStyle name="20% - Accent1 4 5 2 2 2" xfId="9115"/>
    <cellStyle name="20% - Accent1 4 5 2 2 2 2" xfId="13891"/>
    <cellStyle name="20% - Accent1 4 5 2 2 2 3" xfId="13890"/>
    <cellStyle name="20% - Accent1 4 5 2 2 3" xfId="5988"/>
    <cellStyle name="20% - Accent1 4 5 2 2 3 2" xfId="13893"/>
    <cellStyle name="20% - Accent1 4 5 2 2 3 3" xfId="13892"/>
    <cellStyle name="20% - Accent1 4 5 2 2 4" xfId="12298"/>
    <cellStyle name="20% - Accent1 4 5 2 2 4 2" xfId="13895"/>
    <cellStyle name="20% - Accent1 4 5 2 2 4 3" xfId="13894"/>
    <cellStyle name="20% - Accent1 4 5 2 2 5" xfId="13896"/>
    <cellStyle name="20% - Accent1 4 5 2 2 6" xfId="13889"/>
    <cellStyle name="20% - Accent1 4 5 2 3" xfId="7552"/>
    <cellStyle name="20% - Accent1 4 5 2 3 2" xfId="13898"/>
    <cellStyle name="20% - Accent1 4 5 2 3 3" xfId="13897"/>
    <cellStyle name="20% - Accent1 4 5 2 4" xfId="4425"/>
    <cellStyle name="20% - Accent1 4 5 2 4 2" xfId="13900"/>
    <cellStyle name="20% - Accent1 4 5 2 4 3" xfId="13899"/>
    <cellStyle name="20% - Accent1 4 5 2 5" xfId="10735"/>
    <cellStyle name="20% - Accent1 4 5 2 5 2" xfId="13902"/>
    <cellStyle name="20% - Accent1 4 5 2 5 3" xfId="13901"/>
    <cellStyle name="20% - Accent1 4 5 2 6" xfId="13903"/>
    <cellStyle name="20% - Accent1 4 5 2 7" xfId="13888"/>
    <cellStyle name="20% - Accent1 4 5 3" xfId="2150"/>
    <cellStyle name="20% - Accent1 4 5 3 2" xfId="8435"/>
    <cellStyle name="20% - Accent1 4 5 3 2 2" xfId="13906"/>
    <cellStyle name="20% - Accent1 4 5 3 2 3" xfId="13905"/>
    <cellStyle name="20% - Accent1 4 5 3 3" xfId="5308"/>
    <cellStyle name="20% - Accent1 4 5 3 3 2" xfId="13908"/>
    <cellStyle name="20% - Accent1 4 5 3 3 3" xfId="13907"/>
    <cellStyle name="20% - Accent1 4 5 3 4" xfId="11618"/>
    <cellStyle name="20% - Accent1 4 5 3 4 2" xfId="13910"/>
    <cellStyle name="20% - Accent1 4 5 3 4 3" xfId="13909"/>
    <cellStyle name="20% - Accent1 4 5 3 5" xfId="13911"/>
    <cellStyle name="20% - Accent1 4 5 3 6" xfId="13904"/>
    <cellStyle name="20% - Accent1 4 5 4" xfId="6872"/>
    <cellStyle name="20% - Accent1 4 5 4 2" xfId="13913"/>
    <cellStyle name="20% - Accent1 4 5 4 3" xfId="13912"/>
    <cellStyle name="20% - Accent1 4 5 5" xfId="3745"/>
    <cellStyle name="20% - Accent1 4 5 5 2" xfId="13915"/>
    <cellStyle name="20% - Accent1 4 5 5 3" xfId="13914"/>
    <cellStyle name="20% - Accent1 4 5 6" xfId="10177"/>
    <cellStyle name="20% - Accent1 4 5 6 2" xfId="13917"/>
    <cellStyle name="20% - Accent1 4 5 6 3" xfId="13916"/>
    <cellStyle name="20% - Accent1 4 5 7" xfId="13918"/>
    <cellStyle name="20% - Accent1 4 5 8" xfId="13887"/>
    <cellStyle name="20% - Accent1 4 6" xfId="617"/>
    <cellStyle name="20% - Accent1 4 6 2" xfId="1322"/>
    <cellStyle name="20% - Accent1 4 6 2 2" xfId="2887"/>
    <cellStyle name="20% - Accent1 4 6 2 2 2" xfId="9172"/>
    <cellStyle name="20% - Accent1 4 6 2 2 2 2" xfId="13923"/>
    <cellStyle name="20% - Accent1 4 6 2 2 2 3" xfId="13922"/>
    <cellStyle name="20% - Accent1 4 6 2 2 3" xfId="6045"/>
    <cellStyle name="20% - Accent1 4 6 2 2 3 2" xfId="13925"/>
    <cellStyle name="20% - Accent1 4 6 2 2 3 3" xfId="13924"/>
    <cellStyle name="20% - Accent1 4 6 2 2 4" xfId="12355"/>
    <cellStyle name="20% - Accent1 4 6 2 2 4 2" xfId="13927"/>
    <cellStyle name="20% - Accent1 4 6 2 2 4 3" xfId="13926"/>
    <cellStyle name="20% - Accent1 4 6 2 2 5" xfId="13928"/>
    <cellStyle name="20% - Accent1 4 6 2 2 6" xfId="13921"/>
    <cellStyle name="20% - Accent1 4 6 2 3" xfId="7609"/>
    <cellStyle name="20% - Accent1 4 6 2 3 2" xfId="13930"/>
    <cellStyle name="20% - Accent1 4 6 2 3 3" xfId="13929"/>
    <cellStyle name="20% - Accent1 4 6 2 4" xfId="4482"/>
    <cellStyle name="20% - Accent1 4 6 2 4 2" xfId="13932"/>
    <cellStyle name="20% - Accent1 4 6 2 4 3" xfId="13931"/>
    <cellStyle name="20% - Accent1 4 6 2 5" xfId="10792"/>
    <cellStyle name="20% - Accent1 4 6 2 5 2" xfId="13934"/>
    <cellStyle name="20% - Accent1 4 6 2 5 3" xfId="13933"/>
    <cellStyle name="20% - Accent1 4 6 2 6" xfId="13935"/>
    <cellStyle name="20% - Accent1 4 6 2 7" xfId="13920"/>
    <cellStyle name="20% - Accent1 4 6 3" xfId="2207"/>
    <cellStyle name="20% - Accent1 4 6 3 2" xfId="8492"/>
    <cellStyle name="20% - Accent1 4 6 3 2 2" xfId="13938"/>
    <cellStyle name="20% - Accent1 4 6 3 2 3" xfId="13937"/>
    <cellStyle name="20% - Accent1 4 6 3 3" xfId="5365"/>
    <cellStyle name="20% - Accent1 4 6 3 3 2" xfId="13940"/>
    <cellStyle name="20% - Accent1 4 6 3 3 3" xfId="13939"/>
    <cellStyle name="20% - Accent1 4 6 3 4" xfId="11675"/>
    <cellStyle name="20% - Accent1 4 6 3 4 2" xfId="13942"/>
    <cellStyle name="20% - Accent1 4 6 3 4 3" xfId="13941"/>
    <cellStyle name="20% - Accent1 4 6 3 5" xfId="13943"/>
    <cellStyle name="20% - Accent1 4 6 3 6" xfId="13936"/>
    <cellStyle name="20% - Accent1 4 6 4" xfId="6929"/>
    <cellStyle name="20% - Accent1 4 6 4 2" xfId="13945"/>
    <cellStyle name="20% - Accent1 4 6 4 3" xfId="13944"/>
    <cellStyle name="20% - Accent1 4 6 5" xfId="3802"/>
    <cellStyle name="20% - Accent1 4 6 5 2" xfId="13947"/>
    <cellStyle name="20% - Accent1 4 6 5 3" xfId="13946"/>
    <cellStyle name="20% - Accent1 4 6 6" xfId="10235"/>
    <cellStyle name="20% - Accent1 4 6 6 2" xfId="13949"/>
    <cellStyle name="20% - Accent1 4 6 6 3" xfId="13948"/>
    <cellStyle name="20% - Accent1 4 6 7" xfId="13950"/>
    <cellStyle name="20% - Accent1 4 6 8" xfId="13919"/>
    <cellStyle name="20% - Accent1 4 7" xfId="884"/>
    <cellStyle name="20% - Accent1 4 7 2" xfId="2450"/>
    <cellStyle name="20% - Accent1 4 7 2 2" xfId="8735"/>
    <cellStyle name="20% - Accent1 4 7 2 2 2" xfId="13954"/>
    <cellStyle name="20% - Accent1 4 7 2 2 3" xfId="13953"/>
    <cellStyle name="20% - Accent1 4 7 2 3" xfId="5608"/>
    <cellStyle name="20% - Accent1 4 7 2 3 2" xfId="13956"/>
    <cellStyle name="20% - Accent1 4 7 2 3 3" xfId="13955"/>
    <cellStyle name="20% - Accent1 4 7 2 4" xfId="11918"/>
    <cellStyle name="20% - Accent1 4 7 2 4 2" xfId="13958"/>
    <cellStyle name="20% - Accent1 4 7 2 4 3" xfId="13957"/>
    <cellStyle name="20% - Accent1 4 7 2 5" xfId="13959"/>
    <cellStyle name="20% - Accent1 4 7 2 6" xfId="13952"/>
    <cellStyle name="20% - Accent1 4 7 3" xfId="7172"/>
    <cellStyle name="20% - Accent1 4 7 3 2" xfId="13961"/>
    <cellStyle name="20% - Accent1 4 7 3 3" xfId="13960"/>
    <cellStyle name="20% - Accent1 4 7 4" xfId="4045"/>
    <cellStyle name="20% - Accent1 4 7 4 2" xfId="13963"/>
    <cellStyle name="20% - Accent1 4 7 4 3" xfId="13962"/>
    <cellStyle name="20% - Accent1 4 7 5" xfId="10355"/>
    <cellStyle name="20% - Accent1 4 7 5 2" xfId="13965"/>
    <cellStyle name="20% - Accent1 4 7 5 3" xfId="13964"/>
    <cellStyle name="20% - Accent1 4 7 6" xfId="13966"/>
    <cellStyle name="20% - Accent1 4 7 7" xfId="13951"/>
    <cellStyle name="20% - Accent1 4 8" xfId="1524"/>
    <cellStyle name="20% - Accent1 4 8 2" xfId="3089"/>
    <cellStyle name="20% - Accent1 4 8 2 2" xfId="9374"/>
    <cellStyle name="20% - Accent1 4 8 2 2 2" xfId="13970"/>
    <cellStyle name="20% - Accent1 4 8 2 2 3" xfId="13969"/>
    <cellStyle name="20% - Accent1 4 8 2 3" xfId="6247"/>
    <cellStyle name="20% - Accent1 4 8 2 3 2" xfId="13972"/>
    <cellStyle name="20% - Accent1 4 8 2 3 3" xfId="13971"/>
    <cellStyle name="20% - Accent1 4 8 2 4" xfId="12557"/>
    <cellStyle name="20% - Accent1 4 8 2 4 2" xfId="13974"/>
    <cellStyle name="20% - Accent1 4 8 2 4 3" xfId="13973"/>
    <cellStyle name="20% - Accent1 4 8 2 5" xfId="13975"/>
    <cellStyle name="20% - Accent1 4 8 2 6" xfId="13968"/>
    <cellStyle name="20% - Accent1 4 8 3" xfId="7811"/>
    <cellStyle name="20% - Accent1 4 8 3 2" xfId="13977"/>
    <cellStyle name="20% - Accent1 4 8 3 3" xfId="13976"/>
    <cellStyle name="20% - Accent1 4 8 4" xfId="4684"/>
    <cellStyle name="20% - Accent1 4 8 4 2" xfId="13979"/>
    <cellStyle name="20% - Accent1 4 8 4 3" xfId="13978"/>
    <cellStyle name="20% - Accent1 4 8 5" xfId="10994"/>
    <cellStyle name="20% - Accent1 4 8 5 2" xfId="13981"/>
    <cellStyle name="20% - Accent1 4 8 5 3" xfId="13980"/>
    <cellStyle name="20% - Accent1 4 8 6" xfId="13982"/>
    <cellStyle name="20% - Accent1 4 8 7" xfId="13967"/>
    <cellStyle name="20% - Accent1 4 9" xfId="1770"/>
    <cellStyle name="20% - Accent1 4 9 2" xfId="8055"/>
    <cellStyle name="20% - Accent1 4 9 2 2" xfId="13985"/>
    <cellStyle name="20% - Accent1 4 9 2 3" xfId="13984"/>
    <cellStyle name="20% - Accent1 4 9 3" xfId="4928"/>
    <cellStyle name="20% - Accent1 4 9 3 2" xfId="13987"/>
    <cellStyle name="20% - Accent1 4 9 3 3" xfId="13986"/>
    <cellStyle name="20% - Accent1 4 9 4" xfId="11238"/>
    <cellStyle name="20% - Accent1 4 9 4 2" xfId="13989"/>
    <cellStyle name="20% - Accent1 4 9 4 3" xfId="13988"/>
    <cellStyle name="20% - Accent1 4 9 5" xfId="13990"/>
    <cellStyle name="20% - Accent1 4 9 6" xfId="13983"/>
    <cellStyle name="20% - Accent1 5" xfId="186"/>
    <cellStyle name="20% - Accent1 5 2" xfId="314"/>
    <cellStyle name="20% - Accent1 5 2 2" xfId="1024"/>
    <cellStyle name="20% - Accent1 5 2 2 2" xfId="2590"/>
    <cellStyle name="20% - Accent1 5 2 2 2 2" xfId="8875"/>
    <cellStyle name="20% - Accent1 5 2 2 2 2 2" xfId="13996"/>
    <cellStyle name="20% - Accent1 5 2 2 2 2 3" xfId="13995"/>
    <cellStyle name="20% - Accent1 5 2 2 2 3" xfId="5748"/>
    <cellStyle name="20% - Accent1 5 2 2 2 3 2" xfId="13998"/>
    <cellStyle name="20% - Accent1 5 2 2 2 3 3" xfId="13997"/>
    <cellStyle name="20% - Accent1 5 2 2 2 4" xfId="12058"/>
    <cellStyle name="20% - Accent1 5 2 2 2 4 2" xfId="14000"/>
    <cellStyle name="20% - Accent1 5 2 2 2 4 3" xfId="13999"/>
    <cellStyle name="20% - Accent1 5 2 2 2 5" xfId="14001"/>
    <cellStyle name="20% - Accent1 5 2 2 2 6" xfId="13994"/>
    <cellStyle name="20% - Accent1 5 2 2 3" xfId="7312"/>
    <cellStyle name="20% - Accent1 5 2 2 3 2" xfId="14003"/>
    <cellStyle name="20% - Accent1 5 2 2 3 3" xfId="14002"/>
    <cellStyle name="20% - Accent1 5 2 2 4" xfId="4185"/>
    <cellStyle name="20% - Accent1 5 2 2 4 2" xfId="14005"/>
    <cellStyle name="20% - Accent1 5 2 2 4 3" xfId="14004"/>
    <cellStyle name="20% - Accent1 5 2 2 5" xfId="10495"/>
    <cellStyle name="20% - Accent1 5 2 2 5 2" xfId="14007"/>
    <cellStyle name="20% - Accent1 5 2 2 5 3" xfId="14006"/>
    <cellStyle name="20% - Accent1 5 2 2 6" xfId="14008"/>
    <cellStyle name="20% - Accent1 5 2 2 7" xfId="13993"/>
    <cellStyle name="20% - Accent1 5 2 3" xfId="1910"/>
    <cellStyle name="20% - Accent1 5 2 3 2" xfId="8195"/>
    <cellStyle name="20% - Accent1 5 2 3 2 2" xfId="14011"/>
    <cellStyle name="20% - Accent1 5 2 3 2 3" xfId="14010"/>
    <cellStyle name="20% - Accent1 5 2 3 3" xfId="5068"/>
    <cellStyle name="20% - Accent1 5 2 3 3 2" xfId="14013"/>
    <cellStyle name="20% - Accent1 5 2 3 3 3" xfId="14012"/>
    <cellStyle name="20% - Accent1 5 2 3 4" xfId="11378"/>
    <cellStyle name="20% - Accent1 5 2 3 4 2" xfId="14015"/>
    <cellStyle name="20% - Accent1 5 2 3 4 3" xfId="14014"/>
    <cellStyle name="20% - Accent1 5 2 3 5" xfId="14016"/>
    <cellStyle name="20% - Accent1 5 2 3 6" xfId="14009"/>
    <cellStyle name="20% - Accent1 5 2 4" xfId="6632"/>
    <cellStyle name="20% - Accent1 5 2 4 2" xfId="14018"/>
    <cellStyle name="20% - Accent1 5 2 4 3" xfId="14017"/>
    <cellStyle name="20% - Accent1 5 2 5" xfId="3505"/>
    <cellStyle name="20% - Accent1 5 2 5 2" xfId="14020"/>
    <cellStyle name="20% - Accent1 5 2 5 3" xfId="14019"/>
    <cellStyle name="20% - Accent1 5 2 6" xfId="9845"/>
    <cellStyle name="20% - Accent1 5 2 6 2" xfId="14022"/>
    <cellStyle name="20% - Accent1 5 2 6 3" xfId="14021"/>
    <cellStyle name="20% - Accent1 5 2 7" xfId="14023"/>
    <cellStyle name="20% - Accent1 5 2 8" xfId="13992"/>
    <cellStyle name="20% - Accent1 5 3" xfId="919"/>
    <cellStyle name="20% - Accent1 5 3 2" xfId="2485"/>
    <cellStyle name="20% - Accent1 5 3 2 2" xfId="8770"/>
    <cellStyle name="20% - Accent1 5 3 2 2 2" xfId="14027"/>
    <cellStyle name="20% - Accent1 5 3 2 2 3" xfId="14026"/>
    <cellStyle name="20% - Accent1 5 3 2 3" xfId="5643"/>
    <cellStyle name="20% - Accent1 5 3 2 3 2" xfId="14029"/>
    <cellStyle name="20% - Accent1 5 3 2 3 3" xfId="14028"/>
    <cellStyle name="20% - Accent1 5 3 2 4" xfId="11953"/>
    <cellStyle name="20% - Accent1 5 3 2 4 2" xfId="14031"/>
    <cellStyle name="20% - Accent1 5 3 2 4 3" xfId="14030"/>
    <cellStyle name="20% - Accent1 5 3 2 5" xfId="14032"/>
    <cellStyle name="20% - Accent1 5 3 2 6" xfId="14025"/>
    <cellStyle name="20% - Accent1 5 3 3" xfId="7207"/>
    <cellStyle name="20% - Accent1 5 3 3 2" xfId="14034"/>
    <cellStyle name="20% - Accent1 5 3 3 3" xfId="14033"/>
    <cellStyle name="20% - Accent1 5 3 4" xfId="4080"/>
    <cellStyle name="20% - Accent1 5 3 4 2" xfId="14036"/>
    <cellStyle name="20% - Accent1 5 3 4 3" xfId="14035"/>
    <cellStyle name="20% - Accent1 5 3 5" xfId="10390"/>
    <cellStyle name="20% - Accent1 5 3 5 2" xfId="14038"/>
    <cellStyle name="20% - Accent1 5 3 5 3" xfId="14037"/>
    <cellStyle name="20% - Accent1 5 3 6" xfId="14039"/>
    <cellStyle name="20% - Accent1 5 3 7" xfId="14024"/>
    <cellStyle name="20% - Accent1 5 4" xfId="1805"/>
    <cellStyle name="20% - Accent1 5 4 2" xfId="8090"/>
    <cellStyle name="20% - Accent1 5 4 2 2" xfId="14042"/>
    <cellStyle name="20% - Accent1 5 4 2 3" xfId="14041"/>
    <cellStyle name="20% - Accent1 5 4 3" xfId="4963"/>
    <cellStyle name="20% - Accent1 5 4 3 2" xfId="14044"/>
    <cellStyle name="20% - Accent1 5 4 3 3" xfId="14043"/>
    <cellStyle name="20% - Accent1 5 4 4" xfId="11273"/>
    <cellStyle name="20% - Accent1 5 4 4 2" xfId="14046"/>
    <cellStyle name="20% - Accent1 5 4 4 3" xfId="14045"/>
    <cellStyle name="20% - Accent1 5 4 5" xfId="14047"/>
    <cellStyle name="20% - Accent1 5 4 6" xfId="14040"/>
    <cellStyle name="20% - Accent1 5 5" xfId="6527"/>
    <cellStyle name="20% - Accent1 5 5 2" xfId="14049"/>
    <cellStyle name="20% - Accent1 5 5 3" xfId="14048"/>
    <cellStyle name="20% - Accent1 5 6" xfId="3400"/>
    <cellStyle name="20% - Accent1 5 6 2" xfId="14051"/>
    <cellStyle name="20% - Accent1 5 6 3" xfId="14050"/>
    <cellStyle name="20% - Accent1 5 7" xfId="9957"/>
    <cellStyle name="20% - Accent1 5 7 2" xfId="14053"/>
    <cellStyle name="20% - Accent1 5 7 3" xfId="14052"/>
    <cellStyle name="20% - Accent1 5 8" xfId="14054"/>
    <cellStyle name="20% - Accent1 5 9" xfId="13991"/>
    <cellStyle name="20% - Accent1 6" xfId="261"/>
    <cellStyle name="20% - Accent1 6 2" xfId="972"/>
    <cellStyle name="20% - Accent1 6 2 2" xfId="2538"/>
    <cellStyle name="20% - Accent1 6 2 2 2" xfId="8823"/>
    <cellStyle name="20% - Accent1 6 2 2 2 2" xfId="14059"/>
    <cellStyle name="20% - Accent1 6 2 2 2 3" xfId="14058"/>
    <cellStyle name="20% - Accent1 6 2 2 3" xfId="5696"/>
    <cellStyle name="20% - Accent1 6 2 2 3 2" xfId="14061"/>
    <cellStyle name="20% - Accent1 6 2 2 3 3" xfId="14060"/>
    <cellStyle name="20% - Accent1 6 2 2 4" xfId="12006"/>
    <cellStyle name="20% - Accent1 6 2 2 4 2" xfId="14063"/>
    <cellStyle name="20% - Accent1 6 2 2 4 3" xfId="14062"/>
    <cellStyle name="20% - Accent1 6 2 2 5" xfId="14064"/>
    <cellStyle name="20% - Accent1 6 2 2 6" xfId="14057"/>
    <cellStyle name="20% - Accent1 6 2 3" xfId="7260"/>
    <cellStyle name="20% - Accent1 6 2 3 2" xfId="14066"/>
    <cellStyle name="20% - Accent1 6 2 3 3" xfId="14065"/>
    <cellStyle name="20% - Accent1 6 2 4" xfId="4133"/>
    <cellStyle name="20% - Accent1 6 2 4 2" xfId="14068"/>
    <cellStyle name="20% - Accent1 6 2 4 3" xfId="14067"/>
    <cellStyle name="20% - Accent1 6 2 5" xfId="10443"/>
    <cellStyle name="20% - Accent1 6 2 5 2" xfId="14070"/>
    <cellStyle name="20% - Accent1 6 2 5 3" xfId="14069"/>
    <cellStyle name="20% - Accent1 6 2 6" xfId="14071"/>
    <cellStyle name="20% - Accent1 6 2 7" xfId="14056"/>
    <cellStyle name="20% - Accent1 6 3" xfId="1858"/>
    <cellStyle name="20% - Accent1 6 3 2" xfId="8143"/>
    <cellStyle name="20% - Accent1 6 3 2 2" xfId="14074"/>
    <cellStyle name="20% - Accent1 6 3 2 3" xfId="14073"/>
    <cellStyle name="20% - Accent1 6 3 3" xfId="5016"/>
    <cellStyle name="20% - Accent1 6 3 3 2" xfId="14076"/>
    <cellStyle name="20% - Accent1 6 3 3 3" xfId="14075"/>
    <cellStyle name="20% - Accent1 6 3 4" xfId="11326"/>
    <cellStyle name="20% - Accent1 6 3 4 2" xfId="14078"/>
    <cellStyle name="20% - Accent1 6 3 4 3" xfId="14077"/>
    <cellStyle name="20% - Accent1 6 3 5" xfId="14079"/>
    <cellStyle name="20% - Accent1 6 3 6" xfId="14072"/>
    <cellStyle name="20% - Accent1 6 4" xfId="6580"/>
    <cellStyle name="20% - Accent1 6 4 2" xfId="14081"/>
    <cellStyle name="20% - Accent1 6 4 3" xfId="14080"/>
    <cellStyle name="20% - Accent1 6 5" xfId="3453"/>
    <cellStyle name="20% - Accent1 6 5 2" xfId="14083"/>
    <cellStyle name="20% - Accent1 6 5 3" xfId="14082"/>
    <cellStyle name="20% - Accent1 6 6" xfId="9880"/>
    <cellStyle name="20% - Accent1 6 6 2" xfId="14085"/>
    <cellStyle name="20% - Accent1 6 6 3" xfId="14084"/>
    <cellStyle name="20% - Accent1 6 7" xfId="14086"/>
    <cellStyle name="20% - Accent1 6 8" xfId="14055"/>
    <cellStyle name="20% - Accent1 7" xfId="368"/>
    <cellStyle name="20% - Accent1 7 2" xfId="1076"/>
    <cellStyle name="20% - Accent1 7 2 2" xfId="2642"/>
    <cellStyle name="20% - Accent1 7 2 2 2" xfId="8927"/>
    <cellStyle name="20% - Accent1 7 2 2 2 2" xfId="14091"/>
    <cellStyle name="20% - Accent1 7 2 2 2 3" xfId="14090"/>
    <cellStyle name="20% - Accent1 7 2 2 3" xfId="5800"/>
    <cellStyle name="20% - Accent1 7 2 2 3 2" xfId="14093"/>
    <cellStyle name="20% - Accent1 7 2 2 3 3" xfId="14092"/>
    <cellStyle name="20% - Accent1 7 2 2 4" xfId="12110"/>
    <cellStyle name="20% - Accent1 7 2 2 4 2" xfId="14095"/>
    <cellStyle name="20% - Accent1 7 2 2 4 3" xfId="14094"/>
    <cellStyle name="20% - Accent1 7 2 2 5" xfId="14096"/>
    <cellStyle name="20% - Accent1 7 2 2 6" xfId="14089"/>
    <cellStyle name="20% - Accent1 7 2 3" xfId="7364"/>
    <cellStyle name="20% - Accent1 7 2 3 2" xfId="14098"/>
    <cellStyle name="20% - Accent1 7 2 3 3" xfId="14097"/>
    <cellStyle name="20% - Accent1 7 2 4" xfId="4237"/>
    <cellStyle name="20% - Accent1 7 2 4 2" xfId="14100"/>
    <cellStyle name="20% - Accent1 7 2 4 3" xfId="14099"/>
    <cellStyle name="20% - Accent1 7 2 5" xfId="10547"/>
    <cellStyle name="20% - Accent1 7 2 5 2" xfId="14102"/>
    <cellStyle name="20% - Accent1 7 2 5 3" xfId="14101"/>
    <cellStyle name="20% - Accent1 7 2 6" xfId="14103"/>
    <cellStyle name="20% - Accent1 7 2 7" xfId="14088"/>
    <cellStyle name="20% - Accent1 7 3" xfId="1962"/>
    <cellStyle name="20% - Accent1 7 3 2" xfId="8247"/>
    <cellStyle name="20% - Accent1 7 3 2 2" xfId="14106"/>
    <cellStyle name="20% - Accent1 7 3 2 3" xfId="14105"/>
    <cellStyle name="20% - Accent1 7 3 3" xfId="5120"/>
    <cellStyle name="20% - Accent1 7 3 3 2" xfId="14108"/>
    <cellStyle name="20% - Accent1 7 3 3 3" xfId="14107"/>
    <cellStyle name="20% - Accent1 7 3 4" xfId="11430"/>
    <cellStyle name="20% - Accent1 7 3 4 2" xfId="14110"/>
    <cellStyle name="20% - Accent1 7 3 4 3" xfId="14109"/>
    <cellStyle name="20% - Accent1 7 3 5" xfId="14111"/>
    <cellStyle name="20% - Accent1 7 3 6" xfId="14104"/>
    <cellStyle name="20% - Accent1 7 4" xfId="6684"/>
    <cellStyle name="20% - Accent1 7 4 2" xfId="14113"/>
    <cellStyle name="20% - Accent1 7 4 3" xfId="14112"/>
    <cellStyle name="20% - Accent1 7 5" xfId="3557"/>
    <cellStyle name="20% - Accent1 7 5 2" xfId="14115"/>
    <cellStyle name="20% - Accent1 7 5 3" xfId="14114"/>
    <cellStyle name="20% - Accent1 7 6" xfId="9989"/>
    <cellStyle name="20% - Accent1 7 6 2" xfId="14117"/>
    <cellStyle name="20% - Accent1 7 6 3" xfId="14116"/>
    <cellStyle name="20% - Accent1 7 7" xfId="14118"/>
    <cellStyle name="20% - Accent1 7 8" xfId="14087"/>
    <cellStyle name="20% - Accent1 8" xfId="397"/>
    <cellStyle name="20% - Accent1 8 2" xfId="1104"/>
    <cellStyle name="20% - Accent1 8 2 2" xfId="2669"/>
    <cellStyle name="20% - Accent1 8 2 2 2" xfId="8954"/>
    <cellStyle name="20% - Accent1 8 2 2 2 2" xfId="14123"/>
    <cellStyle name="20% - Accent1 8 2 2 2 3" xfId="14122"/>
    <cellStyle name="20% - Accent1 8 2 2 3" xfId="5827"/>
    <cellStyle name="20% - Accent1 8 2 2 3 2" xfId="14125"/>
    <cellStyle name="20% - Accent1 8 2 2 3 3" xfId="14124"/>
    <cellStyle name="20% - Accent1 8 2 2 4" xfId="12137"/>
    <cellStyle name="20% - Accent1 8 2 2 4 2" xfId="14127"/>
    <cellStyle name="20% - Accent1 8 2 2 4 3" xfId="14126"/>
    <cellStyle name="20% - Accent1 8 2 2 5" xfId="14128"/>
    <cellStyle name="20% - Accent1 8 2 2 6" xfId="14121"/>
    <cellStyle name="20% - Accent1 8 2 3" xfId="7391"/>
    <cellStyle name="20% - Accent1 8 2 3 2" xfId="14130"/>
    <cellStyle name="20% - Accent1 8 2 3 3" xfId="14129"/>
    <cellStyle name="20% - Accent1 8 2 4" xfId="4264"/>
    <cellStyle name="20% - Accent1 8 2 4 2" xfId="14132"/>
    <cellStyle name="20% - Accent1 8 2 4 3" xfId="14131"/>
    <cellStyle name="20% - Accent1 8 2 5" xfId="10574"/>
    <cellStyle name="20% - Accent1 8 2 5 2" xfId="14134"/>
    <cellStyle name="20% - Accent1 8 2 5 3" xfId="14133"/>
    <cellStyle name="20% - Accent1 8 2 6" xfId="14135"/>
    <cellStyle name="20% - Accent1 8 2 7" xfId="14120"/>
    <cellStyle name="20% - Accent1 8 3" xfId="1989"/>
    <cellStyle name="20% - Accent1 8 3 2" xfId="8274"/>
    <cellStyle name="20% - Accent1 8 3 2 2" xfId="14138"/>
    <cellStyle name="20% - Accent1 8 3 2 3" xfId="14137"/>
    <cellStyle name="20% - Accent1 8 3 3" xfId="5147"/>
    <cellStyle name="20% - Accent1 8 3 3 2" xfId="14140"/>
    <cellStyle name="20% - Accent1 8 3 3 3" xfId="14139"/>
    <cellStyle name="20% - Accent1 8 3 4" xfId="11457"/>
    <cellStyle name="20% - Accent1 8 3 4 2" xfId="14142"/>
    <cellStyle name="20% - Accent1 8 3 4 3" xfId="14141"/>
    <cellStyle name="20% - Accent1 8 3 5" xfId="14143"/>
    <cellStyle name="20% - Accent1 8 3 6" xfId="14136"/>
    <cellStyle name="20% - Accent1 8 4" xfId="6711"/>
    <cellStyle name="20% - Accent1 8 4 2" xfId="14145"/>
    <cellStyle name="20% - Accent1 8 4 3" xfId="14144"/>
    <cellStyle name="20% - Accent1 8 5" xfId="3584"/>
    <cellStyle name="20% - Accent1 8 5 2" xfId="14147"/>
    <cellStyle name="20% - Accent1 8 5 3" xfId="14146"/>
    <cellStyle name="20% - Accent1 8 6" xfId="10017"/>
    <cellStyle name="20% - Accent1 8 6 2" xfId="14149"/>
    <cellStyle name="20% - Accent1 8 6 3" xfId="14148"/>
    <cellStyle name="20% - Accent1 8 7" xfId="14150"/>
    <cellStyle name="20% - Accent1 8 8" xfId="14119"/>
    <cellStyle name="20% - Accent1 9" xfId="443"/>
    <cellStyle name="20% - Accent1 9 2" xfId="1150"/>
    <cellStyle name="20% - Accent1 9 2 2" xfId="2715"/>
    <cellStyle name="20% - Accent1 9 2 2 2" xfId="9000"/>
    <cellStyle name="20% - Accent1 9 2 2 2 2" xfId="14155"/>
    <cellStyle name="20% - Accent1 9 2 2 2 3" xfId="14154"/>
    <cellStyle name="20% - Accent1 9 2 2 3" xfId="5873"/>
    <cellStyle name="20% - Accent1 9 2 2 3 2" xfId="14157"/>
    <cellStyle name="20% - Accent1 9 2 2 3 3" xfId="14156"/>
    <cellStyle name="20% - Accent1 9 2 2 4" xfId="12183"/>
    <cellStyle name="20% - Accent1 9 2 2 4 2" xfId="14159"/>
    <cellStyle name="20% - Accent1 9 2 2 4 3" xfId="14158"/>
    <cellStyle name="20% - Accent1 9 2 2 5" xfId="14160"/>
    <cellStyle name="20% - Accent1 9 2 2 6" xfId="14153"/>
    <cellStyle name="20% - Accent1 9 2 3" xfId="7437"/>
    <cellStyle name="20% - Accent1 9 2 3 2" xfId="14162"/>
    <cellStyle name="20% - Accent1 9 2 3 3" xfId="14161"/>
    <cellStyle name="20% - Accent1 9 2 4" xfId="4310"/>
    <cellStyle name="20% - Accent1 9 2 4 2" xfId="14164"/>
    <cellStyle name="20% - Accent1 9 2 4 3" xfId="14163"/>
    <cellStyle name="20% - Accent1 9 2 5" xfId="10620"/>
    <cellStyle name="20% - Accent1 9 2 5 2" xfId="14166"/>
    <cellStyle name="20% - Accent1 9 2 5 3" xfId="14165"/>
    <cellStyle name="20% - Accent1 9 2 6" xfId="14167"/>
    <cellStyle name="20% - Accent1 9 2 7" xfId="14152"/>
    <cellStyle name="20% - Accent1 9 3" xfId="2035"/>
    <cellStyle name="20% - Accent1 9 3 2" xfId="8320"/>
    <cellStyle name="20% - Accent1 9 3 2 2" xfId="14170"/>
    <cellStyle name="20% - Accent1 9 3 2 3" xfId="14169"/>
    <cellStyle name="20% - Accent1 9 3 3" xfId="5193"/>
    <cellStyle name="20% - Accent1 9 3 3 2" xfId="14172"/>
    <cellStyle name="20% - Accent1 9 3 3 3" xfId="14171"/>
    <cellStyle name="20% - Accent1 9 3 4" xfId="11503"/>
    <cellStyle name="20% - Accent1 9 3 4 2" xfId="14174"/>
    <cellStyle name="20% - Accent1 9 3 4 3" xfId="14173"/>
    <cellStyle name="20% - Accent1 9 3 5" xfId="14175"/>
    <cellStyle name="20% - Accent1 9 3 6" xfId="14168"/>
    <cellStyle name="20% - Accent1 9 4" xfId="6757"/>
    <cellStyle name="20% - Accent1 9 4 2" xfId="14177"/>
    <cellStyle name="20% - Accent1 9 4 3" xfId="14176"/>
    <cellStyle name="20% - Accent1 9 5" xfId="3630"/>
    <cellStyle name="20% - Accent1 9 5 2" xfId="14179"/>
    <cellStyle name="20% - Accent1 9 5 3" xfId="14178"/>
    <cellStyle name="20% - Accent1 9 6" xfId="10062"/>
    <cellStyle name="20% - Accent1 9 6 2" xfId="14181"/>
    <cellStyle name="20% - Accent1 9 6 3" xfId="14180"/>
    <cellStyle name="20% - Accent1 9 7" xfId="14182"/>
    <cellStyle name="20% - Accent1 9 8" xfId="14151"/>
    <cellStyle name="20% - Accent2" xfId="32" builtinId="34" customBuiltin="1"/>
    <cellStyle name="20% - Accent2 10" xfId="459"/>
    <cellStyle name="20% - Accent2 10 2" xfId="1166"/>
    <cellStyle name="20% - Accent2 10 2 2" xfId="2731"/>
    <cellStyle name="20% - Accent2 10 2 2 2" xfId="9016"/>
    <cellStyle name="20% - Accent2 10 2 2 2 2" xfId="14188"/>
    <cellStyle name="20% - Accent2 10 2 2 2 3" xfId="14187"/>
    <cellStyle name="20% - Accent2 10 2 2 3" xfId="5889"/>
    <cellStyle name="20% - Accent2 10 2 2 3 2" xfId="14190"/>
    <cellStyle name="20% - Accent2 10 2 2 3 3" xfId="14189"/>
    <cellStyle name="20% - Accent2 10 2 2 4" xfId="12199"/>
    <cellStyle name="20% - Accent2 10 2 2 4 2" xfId="14192"/>
    <cellStyle name="20% - Accent2 10 2 2 4 3" xfId="14191"/>
    <cellStyle name="20% - Accent2 10 2 2 5" xfId="14193"/>
    <cellStyle name="20% - Accent2 10 2 2 6" xfId="14186"/>
    <cellStyle name="20% - Accent2 10 2 3" xfId="7453"/>
    <cellStyle name="20% - Accent2 10 2 3 2" xfId="14195"/>
    <cellStyle name="20% - Accent2 10 2 3 3" xfId="14194"/>
    <cellStyle name="20% - Accent2 10 2 4" xfId="4326"/>
    <cellStyle name="20% - Accent2 10 2 4 2" xfId="14197"/>
    <cellStyle name="20% - Accent2 10 2 4 3" xfId="14196"/>
    <cellStyle name="20% - Accent2 10 2 5" xfId="10636"/>
    <cellStyle name="20% - Accent2 10 2 5 2" xfId="14199"/>
    <cellStyle name="20% - Accent2 10 2 5 3" xfId="14198"/>
    <cellStyle name="20% - Accent2 10 2 6" xfId="14200"/>
    <cellStyle name="20% - Accent2 10 2 7" xfId="14185"/>
    <cellStyle name="20% - Accent2 10 3" xfId="2051"/>
    <cellStyle name="20% - Accent2 10 3 2" xfId="8336"/>
    <cellStyle name="20% - Accent2 10 3 2 2" xfId="14203"/>
    <cellStyle name="20% - Accent2 10 3 2 3" xfId="14202"/>
    <cellStyle name="20% - Accent2 10 3 3" xfId="5209"/>
    <cellStyle name="20% - Accent2 10 3 3 2" xfId="14205"/>
    <cellStyle name="20% - Accent2 10 3 3 3" xfId="14204"/>
    <cellStyle name="20% - Accent2 10 3 4" xfId="11519"/>
    <cellStyle name="20% - Accent2 10 3 4 2" xfId="14207"/>
    <cellStyle name="20% - Accent2 10 3 4 3" xfId="14206"/>
    <cellStyle name="20% - Accent2 10 3 5" xfId="14208"/>
    <cellStyle name="20% - Accent2 10 3 6" xfId="14201"/>
    <cellStyle name="20% - Accent2 10 4" xfId="6773"/>
    <cellStyle name="20% - Accent2 10 4 2" xfId="14210"/>
    <cellStyle name="20% - Accent2 10 4 3" xfId="14209"/>
    <cellStyle name="20% - Accent2 10 5" xfId="3646"/>
    <cellStyle name="20% - Accent2 10 5 2" xfId="14212"/>
    <cellStyle name="20% - Accent2 10 5 3" xfId="14211"/>
    <cellStyle name="20% - Accent2 10 6" xfId="10078"/>
    <cellStyle name="20% - Accent2 10 6 2" xfId="14214"/>
    <cellStyle name="20% - Accent2 10 6 3" xfId="14213"/>
    <cellStyle name="20% - Accent2 10 7" xfId="14215"/>
    <cellStyle name="20% - Accent2 10 8" xfId="14184"/>
    <cellStyle name="20% - Accent2 11" xfId="474"/>
    <cellStyle name="20% - Accent2 11 2" xfId="1181"/>
    <cellStyle name="20% - Accent2 11 2 2" xfId="2746"/>
    <cellStyle name="20% - Accent2 11 2 2 2" xfId="9031"/>
    <cellStyle name="20% - Accent2 11 2 2 2 2" xfId="14220"/>
    <cellStyle name="20% - Accent2 11 2 2 2 3" xfId="14219"/>
    <cellStyle name="20% - Accent2 11 2 2 3" xfId="5904"/>
    <cellStyle name="20% - Accent2 11 2 2 3 2" xfId="14222"/>
    <cellStyle name="20% - Accent2 11 2 2 3 3" xfId="14221"/>
    <cellStyle name="20% - Accent2 11 2 2 4" xfId="12214"/>
    <cellStyle name="20% - Accent2 11 2 2 4 2" xfId="14224"/>
    <cellStyle name="20% - Accent2 11 2 2 4 3" xfId="14223"/>
    <cellStyle name="20% - Accent2 11 2 2 5" xfId="14225"/>
    <cellStyle name="20% - Accent2 11 2 2 6" xfId="14218"/>
    <cellStyle name="20% - Accent2 11 2 3" xfId="7468"/>
    <cellStyle name="20% - Accent2 11 2 3 2" xfId="14227"/>
    <cellStyle name="20% - Accent2 11 2 3 3" xfId="14226"/>
    <cellStyle name="20% - Accent2 11 2 4" xfId="4341"/>
    <cellStyle name="20% - Accent2 11 2 4 2" xfId="14229"/>
    <cellStyle name="20% - Accent2 11 2 4 3" xfId="14228"/>
    <cellStyle name="20% - Accent2 11 2 5" xfId="10651"/>
    <cellStyle name="20% - Accent2 11 2 5 2" xfId="14231"/>
    <cellStyle name="20% - Accent2 11 2 5 3" xfId="14230"/>
    <cellStyle name="20% - Accent2 11 2 6" xfId="14232"/>
    <cellStyle name="20% - Accent2 11 2 7" xfId="14217"/>
    <cellStyle name="20% - Accent2 11 3" xfId="2066"/>
    <cellStyle name="20% - Accent2 11 3 2" xfId="8351"/>
    <cellStyle name="20% - Accent2 11 3 2 2" xfId="14235"/>
    <cellStyle name="20% - Accent2 11 3 2 3" xfId="14234"/>
    <cellStyle name="20% - Accent2 11 3 3" xfId="5224"/>
    <cellStyle name="20% - Accent2 11 3 3 2" xfId="14237"/>
    <cellStyle name="20% - Accent2 11 3 3 3" xfId="14236"/>
    <cellStyle name="20% - Accent2 11 3 4" xfId="11534"/>
    <cellStyle name="20% - Accent2 11 3 4 2" xfId="14239"/>
    <cellStyle name="20% - Accent2 11 3 4 3" xfId="14238"/>
    <cellStyle name="20% - Accent2 11 3 5" xfId="14240"/>
    <cellStyle name="20% - Accent2 11 3 6" xfId="14233"/>
    <cellStyle name="20% - Accent2 11 4" xfId="6788"/>
    <cellStyle name="20% - Accent2 11 4 2" xfId="14242"/>
    <cellStyle name="20% - Accent2 11 4 3" xfId="14241"/>
    <cellStyle name="20% - Accent2 11 5" xfId="3661"/>
    <cellStyle name="20% - Accent2 11 5 2" xfId="14244"/>
    <cellStyle name="20% - Accent2 11 5 3" xfId="14243"/>
    <cellStyle name="20% - Accent2 11 6" xfId="10093"/>
    <cellStyle name="20% - Accent2 11 6 2" xfId="14246"/>
    <cellStyle name="20% - Accent2 11 6 3" xfId="14245"/>
    <cellStyle name="20% - Accent2 11 7" xfId="14247"/>
    <cellStyle name="20% - Accent2 11 8" xfId="14216"/>
    <cellStyle name="20% - Accent2 12" xfId="489"/>
    <cellStyle name="20% - Accent2 12 2" xfId="1196"/>
    <cellStyle name="20% - Accent2 12 2 2" xfId="2761"/>
    <cellStyle name="20% - Accent2 12 2 2 2" xfId="9046"/>
    <cellStyle name="20% - Accent2 12 2 2 2 2" xfId="14252"/>
    <cellStyle name="20% - Accent2 12 2 2 2 3" xfId="14251"/>
    <cellStyle name="20% - Accent2 12 2 2 3" xfId="5919"/>
    <cellStyle name="20% - Accent2 12 2 2 3 2" xfId="14254"/>
    <cellStyle name="20% - Accent2 12 2 2 3 3" xfId="14253"/>
    <cellStyle name="20% - Accent2 12 2 2 4" xfId="12229"/>
    <cellStyle name="20% - Accent2 12 2 2 4 2" xfId="14256"/>
    <cellStyle name="20% - Accent2 12 2 2 4 3" xfId="14255"/>
    <cellStyle name="20% - Accent2 12 2 2 5" xfId="14257"/>
    <cellStyle name="20% - Accent2 12 2 2 6" xfId="14250"/>
    <cellStyle name="20% - Accent2 12 2 3" xfId="7483"/>
    <cellStyle name="20% - Accent2 12 2 3 2" xfId="14259"/>
    <cellStyle name="20% - Accent2 12 2 3 3" xfId="14258"/>
    <cellStyle name="20% - Accent2 12 2 4" xfId="4356"/>
    <cellStyle name="20% - Accent2 12 2 4 2" xfId="14261"/>
    <cellStyle name="20% - Accent2 12 2 4 3" xfId="14260"/>
    <cellStyle name="20% - Accent2 12 2 5" xfId="10666"/>
    <cellStyle name="20% - Accent2 12 2 5 2" xfId="14263"/>
    <cellStyle name="20% - Accent2 12 2 5 3" xfId="14262"/>
    <cellStyle name="20% - Accent2 12 2 6" xfId="14264"/>
    <cellStyle name="20% - Accent2 12 2 7" xfId="14249"/>
    <cellStyle name="20% - Accent2 12 3" xfId="2081"/>
    <cellStyle name="20% - Accent2 12 3 2" xfId="8366"/>
    <cellStyle name="20% - Accent2 12 3 2 2" xfId="14267"/>
    <cellStyle name="20% - Accent2 12 3 2 3" xfId="14266"/>
    <cellStyle name="20% - Accent2 12 3 3" xfId="5239"/>
    <cellStyle name="20% - Accent2 12 3 3 2" xfId="14269"/>
    <cellStyle name="20% - Accent2 12 3 3 3" xfId="14268"/>
    <cellStyle name="20% - Accent2 12 3 4" xfId="11549"/>
    <cellStyle name="20% - Accent2 12 3 4 2" xfId="14271"/>
    <cellStyle name="20% - Accent2 12 3 4 3" xfId="14270"/>
    <cellStyle name="20% - Accent2 12 3 5" xfId="14272"/>
    <cellStyle name="20% - Accent2 12 3 6" xfId="14265"/>
    <cellStyle name="20% - Accent2 12 4" xfId="6803"/>
    <cellStyle name="20% - Accent2 12 4 2" xfId="14274"/>
    <cellStyle name="20% - Accent2 12 4 3" xfId="14273"/>
    <cellStyle name="20% - Accent2 12 5" xfId="3676"/>
    <cellStyle name="20% - Accent2 12 5 2" xfId="14276"/>
    <cellStyle name="20% - Accent2 12 5 3" xfId="14275"/>
    <cellStyle name="20% - Accent2 12 6" xfId="10108"/>
    <cellStyle name="20% - Accent2 12 6 2" xfId="14278"/>
    <cellStyle name="20% - Accent2 12 6 3" xfId="14277"/>
    <cellStyle name="20% - Accent2 12 7" xfId="14279"/>
    <cellStyle name="20% - Accent2 12 8" xfId="14248"/>
    <cellStyle name="20% - Accent2 13" xfId="502"/>
    <cellStyle name="20% - Accent2 13 2" xfId="1209"/>
    <cellStyle name="20% - Accent2 13 2 2" xfId="2774"/>
    <cellStyle name="20% - Accent2 13 2 2 2" xfId="9059"/>
    <cellStyle name="20% - Accent2 13 2 2 2 2" xfId="14284"/>
    <cellStyle name="20% - Accent2 13 2 2 2 3" xfId="14283"/>
    <cellStyle name="20% - Accent2 13 2 2 3" xfId="5932"/>
    <cellStyle name="20% - Accent2 13 2 2 3 2" xfId="14286"/>
    <cellStyle name="20% - Accent2 13 2 2 3 3" xfId="14285"/>
    <cellStyle name="20% - Accent2 13 2 2 4" xfId="12242"/>
    <cellStyle name="20% - Accent2 13 2 2 4 2" xfId="14288"/>
    <cellStyle name="20% - Accent2 13 2 2 4 3" xfId="14287"/>
    <cellStyle name="20% - Accent2 13 2 2 5" xfId="14289"/>
    <cellStyle name="20% - Accent2 13 2 2 6" xfId="14282"/>
    <cellStyle name="20% - Accent2 13 2 3" xfId="7496"/>
    <cellStyle name="20% - Accent2 13 2 3 2" xfId="14291"/>
    <cellStyle name="20% - Accent2 13 2 3 3" xfId="14290"/>
    <cellStyle name="20% - Accent2 13 2 4" xfId="4369"/>
    <cellStyle name="20% - Accent2 13 2 4 2" xfId="14293"/>
    <cellStyle name="20% - Accent2 13 2 4 3" xfId="14292"/>
    <cellStyle name="20% - Accent2 13 2 5" xfId="10679"/>
    <cellStyle name="20% - Accent2 13 2 5 2" xfId="14295"/>
    <cellStyle name="20% - Accent2 13 2 5 3" xfId="14294"/>
    <cellStyle name="20% - Accent2 13 2 6" xfId="14296"/>
    <cellStyle name="20% - Accent2 13 2 7" xfId="14281"/>
    <cellStyle name="20% - Accent2 13 3" xfId="2094"/>
    <cellStyle name="20% - Accent2 13 3 2" xfId="8379"/>
    <cellStyle name="20% - Accent2 13 3 2 2" xfId="14299"/>
    <cellStyle name="20% - Accent2 13 3 2 3" xfId="14298"/>
    <cellStyle name="20% - Accent2 13 3 3" xfId="5252"/>
    <cellStyle name="20% - Accent2 13 3 3 2" xfId="14301"/>
    <cellStyle name="20% - Accent2 13 3 3 3" xfId="14300"/>
    <cellStyle name="20% - Accent2 13 3 4" xfId="11562"/>
    <cellStyle name="20% - Accent2 13 3 4 2" xfId="14303"/>
    <cellStyle name="20% - Accent2 13 3 4 3" xfId="14302"/>
    <cellStyle name="20% - Accent2 13 3 5" xfId="14304"/>
    <cellStyle name="20% - Accent2 13 3 6" xfId="14297"/>
    <cellStyle name="20% - Accent2 13 4" xfId="6816"/>
    <cellStyle name="20% - Accent2 13 4 2" xfId="14306"/>
    <cellStyle name="20% - Accent2 13 4 3" xfId="14305"/>
    <cellStyle name="20% - Accent2 13 5" xfId="3689"/>
    <cellStyle name="20% - Accent2 13 5 2" xfId="14308"/>
    <cellStyle name="20% - Accent2 13 5 3" xfId="14307"/>
    <cellStyle name="20% - Accent2 13 6" xfId="10121"/>
    <cellStyle name="20% - Accent2 13 6 2" xfId="14310"/>
    <cellStyle name="20% - Accent2 13 6 3" xfId="14309"/>
    <cellStyle name="20% - Accent2 13 7" xfId="14311"/>
    <cellStyle name="20% - Accent2 13 8" xfId="14280"/>
    <cellStyle name="20% - Accent2 14" xfId="516"/>
    <cellStyle name="20% - Accent2 14 2" xfId="1223"/>
    <cellStyle name="20% - Accent2 14 2 2" xfId="2788"/>
    <cellStyle name="20% - Accent2 14 2 2 2" xfId="9073"/>
    <cellStyle name="20% - Accent2 14 2 2 2 2" xfId="14316"/>
    <cellStyle name="20% - Accent2 14 2 2 2 3" xfId="14315"/>
    <cellStyle name="20% - Accent2 14 2 2 3" xfId="5946"/>
    <cellStyle name="20% - Accent2 14 2 2 3 2" xfId="14318"/>
    <cellStyle name="20% - Accent2 14 2 2 3 3" xfId="14317"/>
    <cellStyle name="20% - Accent2 14 2 2 4" xfId="12256"/>
    <cellStyle name="20% - Accent2 14 2 2 4 2" xfId="14320"/>
    <cellStyle name="20% - Accent2 14 2 2 4 3" xfId="14319"/>
    <cellStyle name="20% - Accent2 14 2 2 5" xfId="14321"/>
    <cellStyle name="20% - Accent2 14 2 2 6" xfId="14314"/>
    <cellStyle name="20% - Accent2 14 2 3" xfId="7510"/>
    <cellStyle name="20% - Accent2 14 2 3 2" xfId="14323"/>
    <cellStyle name="20% - Accent2 14 2 3 3" xfId="14322"/>
    <cellStyle name="20% - Accent2 14 2 4" xfId="4383"/>
    <cellStyle name="20% - Accent2 14 2 4 2" xfId="14325"/>
    <cellStyle name="20% - Accent2 14 2 4 3" xfId="14324"/>
    <cellStyle name="20% - Accent2 14 2 5" xfId="10693"/>
    <cellStyle name="20% - Accent2 14 2 5 2" xfId="14327"/>
    <cellStyle name="20% - Accent2 14 2 5 3" xfId="14326"/>
    <cellStyle name="20% - Accent2 14 2 6" xfId="14328"/>
    <cellStyle name="20% - Accent2 14 2 7" xfId="14313"/>
    <cellStyle name="20% - Accent2 14 3" xfId="2108"/>
    <cellStyle name="20% - Accent2 14 3 2" xfId="8393"/>
    <cellStyle name="20% - Accent2 14 3 2 2" xfId="14331"/>
    <cellStyle name="20% - Accent2 14 3 2 3" xfId="14330"/>
    <cellStyle name="20% - Accent2 14 3 3" xfId="5266"/>
    <cellStyle name="20% - Accent2 14 3 3 2" xfId="14333"/>
    <cellStyle name="20% - Accent2 14 3 3 3" xfId="14332"/>
    <cellStyle name="20% - Accent2 14 3 4" xfId="11576"/>
    <cellStyle name="20% - Accent2 14 3 4 2" xfId="14335"/>
    <cellStyle name="20% - Accent2 14 3 4 3" xfId="14334"/>
    <cellStyle name="20% - Accent2 14 3 5" xfId="14336"/>
    <cellStyle name="20% - Accent2 14 3 6" xfId="14329"/>
    <cellStyle name="20% - Accent2 14 4" xfId="6830"/>
    <cellStyle name="20% - Accent2 14 4 2" xfId="14338"/>
    <cellStyle name="20% - Accent2 14 4 3" xfId="14337"/>
    <cellStyle name="20% - Accent2 14 5" xfId="3703"/>
    <cellStyle name="20% - Accent2 14 5 2" xfId="14340"/>
    <cellStyle name="20% - Accent2 14 5 3" xfId="14339"/>
    <cellStyle name="20% - Accent2 14 6" xfId="10135"/>
    <cellStyle name="20% - Accent2 14 6 2" xfId="14342"/>
    <cellStyle name="20% - Accent2 14 6 3" xfId="14341"/>
    <cellStyle name="20% - Accent2 14 7" xfId="14343"/>
    <cellStyle name="20% - Accent2 14 8" xfId="14312"/>
    <cellStyle name="20% - Accent2 15" xfId="530"/>
    <cellStyle name="20% - Accent2 15 2" xfId="1237"/>
    <cellStyle name="20% - Accent2 15 2 2" xfId="2802"/>
    <cellStyle name="20% - Accent2 15 2 2 2" xfId="9087"/>
    <cellStyle name="20% - Accent2 15 2 2 2 2" xfId="14348"/>
    <cellStyle name="20% - Accent2 15 2 2 2 3" xfId="14347"/>
    <cellStyle name="20% - Accent2 15 2 2 3" xfId="5960"/>
    <cellStyle name="20% - Accent2 15 2 2 3 2" xfId="14350"/>
    <cellStyle name="20% - Accent2 15 2 2 3 3" xfId="14349"/>
    <cellStyle name="20% - Accent2 15 2 2 4" xfId="12270"/>
    <cellStyle name="20% - Accent2 15 2 2 4 2" xfId="14352"/>
    <cellStyle name="20% - Accent2 15 2 2 4 3" xfId="14351"/>
    <cellStyle name="20% - Accent2 15 2 2 5" xfId="14353"/>
    <cellStyle name="20% - Accent2 15 2 2 6" xfId="14346"/>
    <cellStyle name="20% - Accent2 15 2 3" xfId="7524"/>
    <cellStyle name="20% - Accent2 15 2 3 2" xfId="14355"/>
    <cellStyle name="20% - Accent2 15 2 3 3" xfId="14354"/>
    <cellStyle name="20% - Accent2 15 2 4" xfId="4397"/>
    <cellStyle name="20% - Accent2 15 2 4 2" xfId="14357"/>
    <cellStyle name="20% - Accent2 15 2 4 3" xfId="14356"/>
    <cellStyle name="20% - Accent2 15 2 5" xfId="10707"/>
    <cellStyle name="20% - Accent2 15 2 5 2" xfId="14359"/>
    <cellStyle name="20% - Accent2 15 2 5 3" xfId="14358"/>
    <cellStyle name="20% - Accent2 15 2 6" xfId="14360"/>
    <cellStyle name="20% - Accent2 15 2 7" xfId="14345"/>
    <cellStyle name="20% - Accent2 15 3" xfId="2122"/>
    <cellStyle name="20% - Accent2 15 3 2" xfId="8407"/>
    <cellStyle name="20% - Accent2 15 3 2 2" xfId="14363"/>
    <cellStyle name="20% - Accent2 15 3 2 3" xfId="14362"/>
    <cellStyle name="20% - Accent2 15 3 3" xfId="5280"/>
    <cellStyle name="20% - Accent2 15 3 3 2" xfId="14365"/>
    <cellStyle name="20% - Accent2 15 3 3 3" xfId="14364"/>
    <cellStyle name="20% - Accent2 15 3 4" xfId="11590"/>
    <cellStyle name="20% - Accent2 15 3 4 2" xfId="14367"/>
    <cellStyle name="20% - Accent2 15 3 4 3" xfId="14366"/>
    <cellStyle name="20% - Accent2 15 3 5" xfId="14368"/>
    <cellStyle name="20% - Accent2 15 3 6" xfId="14361"/>
    <cellStyle name="20% - Accent2 15 4" xfId="6844"/>
    <cellStyle name="20% - Accent2 15 4 2" xfId="14370"/>
    <cellStyle name="20% - Accent2 15 4 3" xfId="14369"/>
    <cellStyle name="20% - Accent2 15 5" xfId="3717"/>
    <cellStyle name="20% - Accent2 15 5 2" xfId="14372"/>
    <cellStyle name="20% - Accent2 15 5 3" xfId="14371"/>
    <cellStyle name="20% - Accent2 15 6" xfId="10149"/>
    <cellStyle name="20% - Accent2 15 6 2" xfId="14374"/>
    <cellStyle name="20% - Accent2 15 6 3" xfId="14373"/>
    <cellStyle name="20% - Accent2 15 7" xfId="14375"/>
    <cellStyle name="20% - Accent2 15 8" xfId="14344"/>
    <cellStyle name="20% - Accent2 16" xfId="544"/>
    <cellStyle name="20% - Accent2 16 2" xfId="1251"/>
    <cellStyle name="20% - Accent2 16 2 2" xfId="2816"/>
    <cellStyle name="20% - Accent2 16 2 2 2" xfId="9101"/>
    <cellStyle name="20% - Accent2 16 2 2 2 2" xfId="14380"/>
    <cellStyle name="20% - Accent2 16 2 2 2 3" xfId="14379"/>
    <cellStyle name="20% - Accent2 16 2 2 3" xfId="5974"/>
    <cellStyle name="20% - Accent2 16 2 2 3 2" xfId="14382"/>
    <cellStyle name="20% - Accent2 16 2 2 3 3" xfId="14381"/>
    <cellStyle name="20% - Accent2 16 2 2 4" xfId="12284"/>
    <cellStyle name="20% - Accent2 16 2 2 4 2" xfId="14384"/>
    <cellStyle name="20% - Accent2 16 2 2 4 3" xfId="14383"/>
    <cellStyle name="20% - Accent2 16 2 2 5" xfId="14385"/>
    <cellStyle name="20% - Accent2 16 2 2 6" xfId="14378"/>
    <cellStyle name="20% - Accent2 16 2 3" xfId="7538"/>
    <cellStyle name="20% - Accent2 16 2 3 2" xfId="14387"/>
    <cellStyle name="20% - Accent2 16 2 3 3" xfId="14386"/>
    <cellStyle name="20% - Accent2 16 2 4" xfId="4411"/>
    <cellStyle name="20% - Accent2 16 2 4 2" xfId="14389"/>
    <cellStyle name="20% - Accent2 16 2 4 3" xfId="14388"/>
    <cellStyle name="20% - Accent2 16 2 5" xfId="10721"/>
    <cellStyle name="20% - Accent2 16 2 5 2" xfId="14391"/>
    <cellStyle name="20% - Accent2 16 2 5 3" xfId="14390"/>
    <cellStyle name="20% - Accent2 16 2 6" xfId="14392"/>
    <cellStyle name="20% - Accent2 16 2 7" xfId="14377"/>
    <cellStyle name="20% - Accent2 16 3" xfId="2136"/>
    <cellStyle name="20% - Accent2 16 3 2" xfId="8421"/>
    <cellStyle name="20% - Accent2 16 3 2 2" xfId="14395"/>
    <cellStyle name="20% - Accent2 16 3 2 3" xfId="14394"/>
    <cellStyle name="20% - Accent2 16 3 3" xfId="5294"/>
    <cellStyle name="20% - Accent2 16 3 3 2" xfId="14397"/>
    <cellStyle name="20% - Accent2 16 3 3 3" xfId="14396"/>
    <cellStyle name="20% - Accent2 16 3 4" xfId="11604"/>
    <cellStyle name="20% - Accent2 16 3 4 2" xfId="14399"/>
    <cellStyle name="20% - Accent2 16 3 4 3" xfId="14398"/>
    <cellStyle name="20% - Accent2 16 3 5" xfId="14400"/>
    <cellStyle name="20% - Accent2 16 3 6" xfId="14393"/>
    <cellStyle name="20% - Accent2 16 4" xfId="6858"/>
    <cellStyle name="20% - Accent2 16 4 2" xfId="14402"/>
    <cellStyle name="20% - Accent2 16 4 3" xfId="14401"/>
    <cellStyle name="20% - Accent2 16 5" xfId="3731"/>
    <cellStyle name="20% - Accent2 16 5 2" xfId="14404"/>
    <cellStyle name="20% - Accent2 16 5 3" xfId="14403"/>
    <cellStyle name="20% - Accent2 16 6" xfId="10163"/>
    <cellStyle name="20% - Accent2 16 6 2" xfId="14406"/>
    <cellStyle name="20% - Accent2 16 6 3" xfId="14405"/>
    <cellStyle name="20% - Accent2 16 7" xfId="14407"/>
    <cellStyle name="20% - Accent2 16 8" xfId="14376"/>
    <cellStyle name="20% - Accent2 17" xfId="597"/>
    <cellStyle name="20% - Accent2 17 2" xfId="1304"/>
    <cellStyle name="20% - Accent2 17 2 2" xfId="2869"/>
    <cellStyle name="20% - Accent2 17 2 2 2" xfId="9154"/>
    <cellStyle name="20% - Accent2 17 2 2 2 2" xfId="14412"/>
    <cellStyle name="20% - Accent2 17 2 2 2 3" xfId="14411"/>
    <cellStyle name="20% - Accent2 17 2 2 3" xfId="6027"/>
    <cellStyle name="20% - Accent2 17 2 2 3 2" xfId="14414"/>
    <cellStyle name="20% - Accent2 17 2 2 3 3" xfId="14413"/>
    <cellStyle name="20% - Accent2 17 2 2 4" xfId="12337"/>
    <cellStyle name="20% - Accent2 17 2 2 4 2" xfId="14416"/>
    <cellStyle name="20% - Accent2 17 2 2 4 3" xfId="14415"/>
    <cellStyle name="20% - Accent2 17 2 2 5" xfId="14417"/>
    <cellStyle name="20% - Accent2 17 2 2 6" xfId="14410"/>
    <cellStyle name="20% - Accent2 17 2 3" xfId="7591"/>
    <cellStyle name="20% - Accent2 17 2 3 2" xfId="14419"/>
    <cellStyle name="20% - Accent2 17 2 3 3" xfId="14418"/>
    <cellStyle name="20% - Accent2 17 2 4" xfId="4464"/>
    <cellStyle name="20% - Accent2 17 2 4 2" xfId="14421"/>
    <cellStyle name="20% - Accent2 17 2 4 3" xfId="14420"/>
    <cellStyle name="20% - Accent2 17 2 5" xfId="10774"/>
    <cellStyle name="20% - Accent2 17 2 5 2" xfId="14423"/>
    <cellStyle name="20% - Accent2 17 2 5 3" xfId="14422"/>
    <cellStyle name="20% - Accent2 17 2 6" xfId="14424"/>
    <cellStyle name="20% - Accent2 17 2 7" xfId="14409"/>
    <cellStyle name="20% - Accent2 17 3" xfId="2189"/>
    <cellStyle name="20% - Accent2 17 3 2" xfId="8474"/>
    <cellStyle name="20% - Accent2 17 3 2 2" xfId="14427"/>
    <cellStyle name="20% - Accent2 17 3 2 3" xfId="14426"/>
    <cellStyle name="20% - Accent2 17 3 3" xfId="5347"/>
    <cellStyle name="20% - Accent2 17 3 3 2" xfId="14429"/>
    <cellStyle name="20% - Accent2 17 3 3 3" xfId="14428"/>
    <cellStyle name="20% - Accent2 17 3 4" xfId="11657"/>
    <cellStyle name="20% - Accent2 17 3 4 2" xfId="14431"/>
    <cellStyle name="20% - Accent2 17 3 4 3" xfId="14430"/>
    <cellStyle name="20% - Accent2 17 3 5" xfId="14432"/>
    <cellStyle name="20% - Accent2 17 3 6" xfId="14425"/>
    <cellStyle name="20% - Accent2 17 4" xfId="6911"/>
    <cellStyle name="20% - Accent2 17 4 2" xfId="14434"/>
    <cellStyle name="20% - Accent2 17 4 3" xfId="14433"/>
    <cellStyle name="20% - Accent2 17 5" xfId="3784"/>
    <cellStyle name="20% - Accent2 17 5 2" xfId="14436"/>
    <cellStyle name="20% - Accent2 17 5 3" xfId="14435"/>
    <cellStyle name="20% - Accent2 17 6" xfId="10216"/>
    <cellStyle name="20% - Accent2 17 6 2" xfId="14438"/>
    <cellStyle name="20% - Accent2 17 6 3" xfId="14437"/>
    <cellStyle name="20% - Accent2 17 7" xfId="14439"/>
    <cellStyle name="20% - Accent2 17 8" xfId="14408"/>
    <cellStyle name="20% - Accent2 18" xfId="656"/>
    <cellStyle name="20% - Accent2 18 2" xfId="1361"/>
    <cellStyle name="20% - Accent2 18 2 2" xfId="2926"/>
    <cellStyle name="20% - Accent2 18 2 2 2" xfId="9211"/>
    <cellStyle name="20% - Accent2 18 2 2 2 2" xfId="14444"/>
    <cellStyle name="20% - Accent2 18 2 2 2 3" xfId="14443"/>
    <cellStyle name="20% - Accent2 18 2 2 3" xfId="6084"/>
    <cellStyle name="20% - Accent2 18 2 2 3 2" xfId="14446"/>
    <cellStyle name="20% - Accent2 18 2 2 3 3" xfId="14445"/>
    <cellStyle name="20% - Accent2 18 2 2 4" xfId="12394"/>
    <cellStyle name="20% - Accent2 18 2 2 4 2" xfId="14448"/>
    <cellStyle name="20% - Accent2 18 2 2 4 3" xfId="14447"/>
    <cellStyle name="20% - Accent2 18 2 2 5" xfId="14449"/>
    <cellStyle name="20% - Accent2 18 2 2 6" xfId="14442"/>
    <cellStyle name="20% - Accent2 18 2 3" xfId="7648"/>
    <cellStyle name="20% - Accent2 18 2 3 2" xfId="14451"/>
    <cellStyle name="20% - Accent2 18 2 3 3" xfId="14450"/>
    <cellStyle name="20% - Accent2 18 2 4" xfId="4521"/>
    <cellStyle name="20% - Accent2 18 2 4 2" xfId="14453"/>
    <cellStyle name="20% - Accent2 18 2 4 3" xfId="14452"/>
    <cellStyle name="20% - Accent2 18 2 5" xfId="10831"/>
    <cellStyle name="20% - Accent2 18 2 5 2" xfId="14455"/>
    <cellStyle name="20% - Accent2 18 2 5 3" xfId="14454"/>
    <cellStyle name="20% - Accent2 18 2 6" xfId="14456"/>
    <cellStyle name="20% - Accent2 18 2 7" xfId="14441"/>
    <cellStyle name="20% - Accent2 18 3" xfId="2246"/>
    <cellStyle name="20% - Accent2 18 3 2" xfId="8531"/>
    <cellStyle name="20% - Accent2 18 3 2 2" xfId="14459"/>
    <cellStyle name="20% - Accent2 18 3 2 3" xfId="14458"/>
    <cellStyle name="20% - Accent2 18 3 3" xfId="5404"/>
    <cellStyle name="20% - Accent2 18 3 3 2" xfId="14461"/>
    <cellStyle name="20% - Accent2 18 3 3 3" xfId="14460"/>
    <cellStyle name="20% - Accent2 18 3 4" xfId="11714"/>
    <cellStyle name="20% - Accent2 18 3 4 2" xfId="14463"/>
    <cellStyle name="20% - Accent2 18 3 4 3" xfId="14462"/>
    <cellStyle name="20% - Accent2 18 3 5" xfId="14464"/>
    <cellStyle name="20% - Accent2 18 3 6" xfId="14457"/>
    <cellStyle name="20% - Accent2 18 4" xfId="6968"/>
    <cellStyle name="20% - Accent2 18 4 2" xfId="14466"/>
    <cellStyle name="20% - Accent2 18 4 3" xfId="14465"/>
    <cellStyle name="20% - Accent2 18 5" xfId="3841"/>
    <cellStyle name="20% - Accent2 18 5 2" xfId="14468"/>
    <cellStyle name="20% - Accent2 18 5 3" xfId="14467"/>
    <cellStyle name="20% - Accent2 18 6" xfId="10274"/>
    <cellStyle name="20% - Accent2 18 6 2" xfId="14470"/>
    <cellStyle name="20% - Accent2 18 6 3" xfId="14469"/>
    <cellStyle name="20% - Accent2 18 7" xfId="14471"/>
    <cellStyle name="20% - Accent2 18 8" xfId="14440"/>
    <cellStyle name="20% - Accent2 19" xfId="843"/>
    <cellStyle name="20% - Accent2 19 2" xfId="2409"/>
    <cellStyle name="20% - Accent2 19 2 2" xfId="8694"/>
    <cellStyle name="20% - Accent2 19 2 2 2" xfId="14475"/>
    <cellStyle name="20% - Accent2 19 2 2 3" xfId="14474"/>
    <cellStyle name="20% - Accent2 19 2 3" xfId="5567"/>
    <cellStyle name="20% - Accent2 19 2 3 2" xfId="14477"/>
    <cellStyle name="20% - Accent2 19 2 3 3" xfId="14476"/>
    <cellStyle name="20% - Accent2 19 2 4" xfId="11877"/>
    <cellStyle name="20% - Accent2 19 2 4 2" xfId="14479"/>
    <cellStyle name="20% - Accent2 19 2 4 3" xfId="14478"/>
    <cellStyle name="20% - Accent2 19 2 5" xfId="14480"/>
    <cellStyle name="20% - Accent2 19 2 6" xfId="14473"/>
    <cellStyle name="20% - Accent2 19 3" xfId="7131"/>
    <cellStyle name="20% - Accent2 19 3 2" xfId="14482"/>
    <cellStyle name="20% - Accent2 19 3 3" xfId="14481"/>
    <cellStyle name="20% - Accent2 19 4" xfId="4004"/>
    <cellStyle name="20% - Accent2 19 4 2" xfId="14484"/>
    <cellStyle name="20% - Accent2 19 4 3" xfId="14483"/>
    <cellStyle name="20% - Accent2 19 5" xfId="10314"/>
    <cellStyle name="20% - Accent2 19 5 2" xfId="14486"/>
    <cellStyle name="20% - Accent2 19 5 3" xfId="14485"/>
    <cellStyle name="20% - Accent2 19 6" xfId="14487"/>
    <cellStyle name="20% - Accent2 19 7" xfId="14472"/>
    <cellStyle name="20% - Accent2 2" xfId="57"/>
    <cellStyle name="20% - Accent2 2 10" xfId="856"/>
    <cellStyle name="20% - Accent2 2 10 2" xfId="2422"/>
    <cellStyle name="20% - Accent2 2 10 2 2" xfId="8707"/>
    <cellStyle name="20% - Accent2 2 10 2 2 2" xfId="14492"/>
    <cellStyle name="20% - Accent2 2 10 2 2 3" xfId="14491"/>
    <cellStyle name="20% - Accent2 2 10 2 3" xfId="5580"/>
    <cellStyle name="20% - Accent2 2 10 2 3 2" xfId="14494"/>
    <cellStyle name="20% - Accent2 2 10 2 3 3" xfId="14493"/>
    <cellStyle name="20% - Accent2 2 10 2 4" xfId="11890"/>
    <cellStyle name="20% - Accent2 2 10 2 4 2" xfId="14496"/>
    <cellStyle name="20% - Accent2 2 10 2 4 3" xfId="14495"/>
    <cellStyle name="20% - Accent2 2 10 2 5" xfId="14497"/>
    <cellStyle name="20% - Accent2 2 10 2 6" xfId="14490"/>
    <cellStyle name="20% - Accent2 2 10 3" xfId="7144"/>
    <cellStyle name="20% - Accent2 2 10 3 2" xfId="14499"/>
    <cellStyle name="20% - Accent2 2 10 3 3" xfId="14498"/>
    <cellStyle name="20% - Accent2 2 10 4" xfId="4017"/>
    <cellStyle name="20% - Accent2 2 10 4 2" xfId="14501"/>
    <cellStyle name="20% - Accent2 2 10 4 3" xfId="14500"/>
    <cellStyle name="20% - Accent2 2 10 5" xfId="10327"/>
    <cellStyle name="20% - Accent2 2 10 5 2" xfId="14503"/>
    <cellStyle name="20% - Accent2 2 10 5 3" xfId="14502"/>
    <cellStyle name="20% - Accent2 2 10 6" xfId="14504"/>
    <cellStyle name="20% - Accent2 2 10 7" xfId="14489"/>
    <cellStyle name="20% - Accent2 2 11" xfId="1525"/>
    <cellStyle name="20% - Accent2 2 11 2" xfId="3090"/>
    <cellStyle name="20% - Accent2 2 11 2 2" xfId="9375"/>
    <cellStyle name="20% - Accent2 2 11 2 2 2" xfId="14508"/>
    <cellStyle name="20% - Accent2 2 11 2 2 3" xfId="14507"/>
    <cellStyle name="20% - Accent2 2 11 2 3" xfId="6248"/>
    <cellStyle name="20% - Accent2 2 11 2 3 2" xfId="14510"/>
    <cellStyle name="20% - Accent2 2 11 2 3 3" xfId="14509"/>
    <cellStyle name="20% - Accent2 2 11 2 4" xfId="12558"/>
    <cellStyle name="20% - Accent2 2 11 2 4 2" xfId="14512"/>
    <cellStyle name="20% - Accent2 2 11 2 4 3" xfId="14511"/>
    <cellStyle name="20% - Accent2 2 11 2 5" xfId="14513"/>
    <cellStyle name="20% - Accent2 2 11 2 6" xfId="14506"/>
    <cellStyle name="20% - Accent2 2 11 3" xfId="7812"/>
    <cellStyle name="20% - Accent2 2 11 3 2" xfId="14515"/>
    <cellStyle name="20% - Accent2 2 11 3 3" xfId="14514"/>
    <cellStyle name="20% - Accent2 2 11 4" xfId="4685"/>
    <cellStyle name="20% - Accent2 2 11 4 2" xfId="14517"/>
    <cellStyle name="20% - Accent2 2 11 4 3" xfId="14516"/>
    <cellStyle name="20% - Accent2 2 11 5" xfId="10995"/>
    <cellStyle name="20% - Accent2 2 11 5 2" xfId="14519"/>
    <cellStyle name="20% - Accent2 2 11 5 3" xfId="14518"/>
    <cellStyle name="20% - Accent2 2 11 6" xfId="14520"/>
    <cellStyle name="20% - Accent2 2 11 7" xfId="14505"/>
    <cellStyle name="20% - Accent2 2 12" xfId="1741"/>
    <cellStyle name="20% - Accent2 2 12 2" xfId="8027"/>
    <cellStyle name="20% - Accent2 2 12 2 2" xfId="14523"/>
    <cellStyle name="20% - Accent2 2 12 2 3" xfId="14522"/>
    <cellStyle name="20% - Accent2 2 12 3" xfId="4900"/>
    <cellStyle name="20% - Accent2 2 12 3 2" xfId="14525"/>
    <cellStyle name="20% - Accent2 2 12 3 3" xfId="14524"/>
    <cellStyle name="20% - Accent2 2 12 4" xfId="11210"/>
    <cellStyle name="20% - Accent2 2 12 4 2" xfId="14527"/>
    <cellStyle name="20% - Accent2 2 12 4 3" xfId="14526"/>
    <cellStyle name="20% - Accent2 2 12 5" xfId="14528"/>
    <cellStyle name="20% - Accent2 2 12 6" xfId="14521"/>
    <cellStyle name="20% - Accent2 2 13" xfId="119"/>
    <cellStyle name="20% - Accent2 2 13 2" xfId="6464"/>
    <cellStyle name="20% - Accent2 2 13 2 2" xfId="14531"/>
    <cellStyle name="20% - Accent2 2 13 2 3" xfId="14530"/>
    <cellStyle name="20% - Accent2 2 13 3" xfId="9935"/>
    <cellStyle name="20% - Accent2 2 13 3 2" xfId="14533"/>
    <cellStyle name="20% - Accent2 2 13 3 3" xfId="14532"/>
    <cellStyle name="20% - Accent2 2 13 4" xfId="14534"/>
    <cellStyle name="20% - Accent2 2 13 5" xfId="14529"/>
    <cellStyle name="20% - Accent2 2 14" xfId="3310"/>
    <cellStyle name="20% - Accent2 2 14 2" xfId="14536"/>
    <cellStyle name="20% - Accent2 2 14 3" xfId="14535"/>
    <cellStyle name="20% - Accent2 2 15" xfId="3337"/>
    <cellStyle name="20% - Accent2 2 15 2" xfId="14538"/>
    <cellStyle name="20% - Accent2 2 15 3" xfId="14537"/>
    <cellStyle name="20% - Accent2 2 16" xfId="9593"/>
    <cellStyle name="20% - Accent2 2 16 2" xfId="14540"/>
    <cellStyle name="20% - Accent2 2 16 3" xfId="14539"/>
    <cellStyle name="20% - Accent2 2 17" xfId="14541"/>
    <cellStyle name="20% - Accent2 2 18" xfId="14488"/>
    <cellStyle name="20% - Accent2 2 19" xfId="38124"/>
    <cellStyle name="20% - Accent2 2 2" xfId="90"/>
    <cellStyle name="20% - Accent2 2 2 2" xfId="291"/>
    <cellStyle name="20% - Accent2 2 2 2 2" xfId="1001"/>
    <cellStyle name="20% - Accent2 2 2 2 2 2" xfId="2567"/>
    <cellStyle name="20% - Accent2 2 2 2 2 2 2" xfId="8852"/>
    <cellStyle name="20% - Accent2 2 2 2 2 2 2 2" xfId="14547"/>
    <cellStyle name="20% - Accent2 2 2 2 2 2 2 3" xfId="14546"/>
    <cellStyle name="20% - Accent2 2 2 2 2 2 3" xfId="5725"/>
    <cellStyle name="20% - Accent2 2 2 2 2 2 3 2" xfId="14549"/>
    <cellStyle name="20% - Accent2 2 2 2 2 2 3 3" xfId="14548"/>
    <cellStyle name="20% - Accent2 2 2 2 2 2 4" xfId="12035"/>
    <cellStyle name="20% - Accent2 2 2 2 2 2 4 2" xfId="14551"/>
    <cellStyle name="20% - Accent2 2 2 2 2 2 4 3" xfId="14550"/>
    <cellStyle name="20% - Accent2 2 2 2 2 2 5" xfId="14552"/>
    <cellStyle name="20% - Accent2 2 2 2 2 2 6" xfId="14545"/>
    <cellStyle name="20% - Accent2 2 2 2 2 3" xfId="7289"/>
    <cellStyle name="20% - Accent2 2 2 2 2 3 2" xfId="14554"/>
    <cellStyle name="20% - Accent2 2 2 2 2 3 3" xfId="14553"/>
    <cellStyle name="20% - Accent2 2 2 2 2 4" xfId="4162"/>
    <cellStyle name="20% - Accent2 2 2 2 2 4 2" xfId="14556"/>
    <cellStyle name="20% - Accent2 2 2 2 2 4 3" xfId="14555"/>
    <cellStyle name="20% - Accent2 2 2 2 2 5" xfId="10472"/>
    <cellStyle name="20% - Accent2 2 2 2 2 5 2" xfId="14558"/>
    <cellStyle name="20% - Accent2 2 2 2 2 5 3" xfId="14557"/>
    <cellStyle name="20% - Accent2 2 2 2 2 6" xfId="14559"/>
    <cellStyle name="20% - Accent2 2 2 2 2 7" xfId="14544"/>
    <cellStyle name="20% - Accent2 2 2 2 3" xfId="1887"/>
    <cellStyle name="20% - Accent2 2 2 2 3 2" xfId="8172"/>
    <cellStyle name="20% - Accent2 2 2 2 3 2 2" xfId="14562"/>
    <cellStyle name="20% - Accent2 2 2 2 3 2 3" xfId="14561"/>
    <cellStyle name="20% - Accent2 2 2 2 3 3" xfId="5045"/>
    <cellStyle name="20% - Accent2 2 2 2 3 3 2" xfId="14564"/>
    <cellStyle name="20% - Accent2 2 2 2 3 3 3" xfId="14563"/>
    <cellStyle name="20% - Accent2 2 2 2 3 4" xfId="11355"/>
    <cellStyle name="20% - Accent2 2 2 2 3 4 2" xfId="14566"/>
    <cellStyle name="20% - Accent2 2 2 2 3 4 3" xfId="14565"/>
    <cellStyle name="20% - Accent2 2 2 2 3 5" xfId="14567"/>
    <cellStyle name="20% - Accent2 2 2 2 3 6" xfId="14560"/>
    <cellStyle name="20% - Accent2 2 2 2 4" xfId="6609"/>
    <cellStyle name="20% - Accent2 2 2 2 4 2" xfId="14569"/>
    <cellStyle name="20% - Accent2 2 2 2 4 3" xfId="14568"/>
    <cellStyle name="20% - Accent2 2 2 2 5" xfId="3482"/>
    <cellStyle name="20% - Accent2 2 2 2 5 2" xfId="14571"/>
    <cellStyle name="20% - Accent2 2 2 2 5 3" xfId="14570"/>
    <cellStyle name="20% - Accent2 2 2 2 6" xfId="9837"/>
    <cellStyle name="20% - Accent2 2 2 2 6 2" xfId="14573"/>
    <cellStyle name="20% - Accent2 2 2 2 6 3" xfId="14572"/>
    <cellStyle name="20% - Accent2 2 2 2 7" xfId="14574"/>
    <cellStyle name="20% - Accent2 2 2 2 8" xfId="14543"/>
    <cellStyle name="20% - Accent2 2 2 3" xfId="885"/>
    <cellStyle name="20% - Accent2 2 2 3 2" xfId="2451"/>
    <cellStyle name="20% - Accent2 2 2 3 2 2" xfId="8736"/>
    <cellStyle name="20% - Accent2 2 2 3 2 2 2" xfId="14578"/>
    <cellStyle name="20% - Accent2 2 2 3 2 2 3" xfId="14577"/>
    <cellStyle name="20% - Accent2 2 2 3 2 3" xfId="5609"/>
    <cellStyle name="20% - Accent2 2 2 3 2 3 2" xfId="14580"/>
    <cellStyle name="20% - Accent2 2 2 3 2 3 3" xfId="14579"/>
    <cellStyle name="20% - Accent2 2 2 3 2 4" xfId="11919"/>
    <cellStyle name="20% - Accent2 2 2 3 2 4 2" xfId="14582"/>
    <cellStyle name="20% - Accent2 2 2 3 2 4 3" xfId="14581"/>
    <cellStyle name="20% - Accent2 2 2 3 2 5" xfId="14583"/>
    <cellStyle name="20% - Accent2 2 2 3 2 6" xfId="14576"/>
    <cellStyle name="20% - Accent2 2 2 3 3" xfId="7173"/>
    <cellStyle name="20% - Accent2 2 2 3 3 2" xfId="14585"/>
    <cellStyle name="20% - Accent2 2 2 3 3 3" xfId="14584"/>
    <cellStyle name="20% - Accent2 2 2 3 4" xfId="4046"/>
    <cellStyle name="20% - Accent2 2 2 3 4 2" xfId="14587"/>
    <cellStyle name="20% - Accent2 2 2 3 4 3" xfId="14586"/>
    <cellStyle name="20% - Accent2 2 2 3 5" xfId="10356"/>
    <cellStyle name="20% - Accent2 2 2 3 5 2" xfId="14589"/>
    <cellStyle name="20% - Accent2 2 2 3 5 3" xfId="14588"/>
    <cellStyle name="20% - Accent2 2 2 3 6" xfId="14590"/>
    <cellStyle name="20% - Accent2 2 2 3 7" xfId="14575"/>
    <cellStyle name="20% - Accent2 2 2 4" xfId="1771"/>
    <cellStyle name="20% - Accent2 2 2 4 2" xfId="8056"/>
    <cellStyle name="20% - Accent2 2 2 4 2 2" xfId="14593"/>
    <cellStyle name="20% - Accent2 2 2 4 2 3" xfId="14592"/>
    <cellStyle name="20% - Accent2 2 2 4 3" xfId="4929"/>
    <cellStyle name="20% - Accent2 2 2 4 3 2" xfId="14595"/>
    <cellStyle name="20% - Accent2 2 2 4 3 3" xfId="14594"/>
    <cellStyle name="20% - Accent2 2 2 4 4" xfId="11239"/>
    <cellStyle name="20% - Accent2 2 2 4 4 2" xfId="14597"/>
    <cellStyle name="20% - Accent2 2 2 4 4 3" xfId="14596"/>
    <cellStyle name="20% - Accent2 2 2 4 5" xfId="14598"/>
    <cellStyle name="20% - Accent2 2 2 4 6" xfId="14591"/>
    <cellStyle name="20% - Accent2 2 2 5" xfId="149"/>
    <cellStyle name="20% - Accent2 2 2 5 2" xfId="6493"/>
    <cellStyle name="20% - Accent2 2 2 5 2 2" xfId="14601"/>
    <cellStyle name="20% - Accent2 2 2 5 2 3" xfId="14600"/>
    <cellStyle name="20% - Accent2 2 2 5 3" xfId="14602"/>
    <cellStyle name="20% - Accent2 2 2 5 4" xfId="14599"/>
    <cellStyle name="20% - Accent2 2 2 6" xfId="3366"/>
    <cellStyle name="20% - Accent2 2 2 6 2" xfId="14604"/>
    <cellStyle name="20% - Accent2 2 2 6 3" xfId="14603"/>
    <cellStyle name="20% - Accent2 2 2 7" xfId="9931"/>
    <cellStyle name="20% - Accent2 2 2 7 2" xfId="14606"/>
    <cellStyle name="20% - Accent2 2 2 7 3" xfId="14605"/>
    <cellStyle name="20% - Accent2 2 2 8" xfId="14607"/>
    <cellStyle name="20% - Accent2 2 2 9" xfId="14542"/>
    <cellStyle name="20% - Accent2 2 3" xfId="189"/>
    <cellStyle name="20% - Accent2 2 3 2" xfId="317"/>
    <cellStyle name="20% - Accent2 2 3 2 2" xfId="1027"/>
    <cellStyle name="20% - Accent2 2 3 2 2 2" xfId="2593"/>
    <cellStyle name="20% - Accent2 2 3 2 2 2 2" xfId="8878"/>
    <cellStyle name="20% - Accent2 2 3 2 2 2 2 2" xfId="14613"/>
    <cellStyle name="20% - Accent2 2 3 2 2 2 2 3" xfId="14612"/>
    <cellStyle name="20% - Accent2 2 3 2 2 2 3" xfId="5751"/>
    <cellStyle name="20% - Accent2 2 3 2 2 2 3 2" xfId="14615"/>
    <cellStyle name="20% - Accent2 2 3 2 2 2 3 3" xfId="14614"/>
    <cellStyle name="20% - Accent2 2 3 2 2 2 4" xfId="12061"/>
    <cellStyle name="20% - Accent2 2 3 2 2 2 4 2" xfId="14617"/>
    <cellStyle name="20% - Accent2 2 3 2 2 2 4 3" xfId="14616"/>
    <cellStyle name="20% - Accent2 2 3 2 2 2 5" xfId="14618"/>
    <cellStyle name="20% - Accent2 2 3 2 2 2 6" xfId="14611"/>
    <cellStyle name="20% - Accent2 2 3 2 2 3" xfId="7315"/>
    <cellStyle name="20% - Accent2 2 3 2 2 3 2" xfId="14620"/>
    <cellStyle name="20% - Accent2 2 3 2 2 3 3" xfId="14619"/>
    <cellStyle name="20% - Accent2 2 3 2 2 4" xfId="4188"/>
    <cellStyle name="20% - Accent2 2 3 2 2 4 2" xfId="14622"/>
    <cellStyle name="20% - Accent2 2 3 2 2 4 3" xfId="14621"/>
    <cellStyle name="20% - Accent2 2 3 2 2 5" xfId="10498"/>
    <cellStyle name="20% - Accent2 2 3 2 2 5 2" xfId="14624"/>
    <cellStyle name="20% - Accent2 2 3 2 2 5 3" xfId="14623"/>
    <cellStyle name="20% - Accent2 2 3 2 2 6" xfId="14625"/>
    <cellStyle name="20% - Accent2 2 3 2 2 7" xfId="14610"/>
    <cellStyle name="20% - Accent2 2 3 2 3" xfId="1913"/>
    <cellStyle name="20% - Accent2 2 3 2 3 2" xfId="8198"/>
    <cellStyle name="20% - Accent2 2 3 2 3 2 2" xfId="14628"/>
    <cellStyle name="20% - Accent2 2 3 2 3 2 3" xfId="14627"/>
    <cellStyle name="20% - Accent2 2 3 2 3 3" xfId="5071"/>
    <cellStyle name="20% - Accent2 2 3 2 3 3 2" xfId="14630"/>
    <cellStyle name="20% - Accent2 2 3 2 3 3 3" xfId="14629"/>
    <cellStyle name="20% - Accent2 2 3 2 3 4" xfId="11381"/>
    <cellStyle name="20% - Accent2 2 3 2 3 4 2" xfId="14632"/>
    <cellStyle name="20% - Accent2 2 3 2 3 4 3" xfId="14631"/>
    <cellStyle name="20% - Accent2 2 3 2 3 5" xfId="14633"/>
    <cellStyle name="20% - Accent2 2 3 2 3 6" xfId="14626"/>
    <cellStyle name="20% - Accent2 2 3 2 4" xfId="6635"/>
    <cellStyle name="20% - Accent2 2 3 2 4 2" xfId="14635"/>
    <cellStyle name="20% - Accent2 2 3 2 4 3" xfId="14634"/>
    <cellStyle name="20% - Accent2 2 3 2 5" xfId="3508"/>
    <cellStyle name="20% - Accent2 2 3 2 5 2" xfId="14637"/>
    <cellStyle name="20% - Accent2 2 3 2 5 3" xfId="14636"/>
    <cellStyle name="20% - Accent2 2 3 2 6" xfId="9863"/>
    <cellStyle name="20% - Accent2 2 3 2 6 2" xfId="14639"/>
    <cellStyle name="20% - Accent2 2 3 2 6 3" xfId="14638"/>
    <cellStyle name="20% - Accent2 2 3 2 7" xfId="14640"/>
    <cellStyle name="20% - Accent2 2 3 2 8" xfId="14609"/>
    <cellStyle name="20% - Accent2 2 3 3" xfId="922"/>
    <cellStyle name="20% - Accent2 2 3 3 2" xfId="2488"/>
    <cellStyle name="20% - Accent2 2 3 3 2 2" xfId="8773"/>
    <cellStyle name="20% - Accent2 2 3 3 2 2 2" xfId="14644"/>
    <cellStyle name="20% - Accent2 2 3 3 2 2 3" xfId="14643"/>
    <cellStyle name="20% - Accent2 2 3 3 2 3" xfId="5646"/>
    <cellStyle name="20% - Accent2 2 3 3 2 3 2" xfId="14646"/>
    <cellStyle name="20% - Accent2 2 3 3 2 3 3" xfId="14645"/>
    <cellStyle name="20% - Accent2 2 3 3 2 4" xfId="11956"/>
    <cellStyle name="20% - Accent2 2 3 3 2 4 2" xfId="14648"/>
    <cellStyle name="20% - Accent2 2 3 3 2 4 3" xfId="14647"/>
    <cellStyle name="20% - Accent2 2 3 3 2 5" xfId="14649"/>
    <cellStyle name="20% - Accent2 2 3 3 2 6" xfId="14642"/>
    <cellStyle name="20% - Accent2 2 3 3 3" xfId="7210"/>
    <cellStyle name="20% - Accent2 2 3 3 3 2" xfId="14651"/>
    <cellStyle name="20% - Accent2 2 3 3 3 3" xfId="14650"/>
    <cellStyle name="20% - Accent2 2 3 3 4" xfId="4083"/>
    <cellStyle name="20% - Accent2 2 3 3 4 2" xfId="14653"/>
    <cellStyle name="20% - Accent2 2 3 3 4 3" xfId="14652"/>
    <cellStyle name="20% - Accent2 2 3 3 5" xfId="10393"/>
    <cellStyle name="20% - Accent2 2 3 3 5 2" xfId="14655"/>
    <cellStyle name="20% - Accent2 2 3 3 5 3" xfId="14654"/>
    <cellStyle name="20% - Accent2 2 3 3 6" xfId="14656"/>
    <cellStyle name="20% - Accent2 2 3 3 7" xfId="14641"/>
    <cellStyle name="20% - Accent2 2 3 4" xfId="1808"/>
    <cellStyle name="20% - Accent2 2 3 4 2" xfId="8093"/>
    <cellStyle name="20% - Accent2 2 3 4 2 2" xfId="14659"/>
    <cellStyle name="20% - Accent2 2 3 4 2 3" xfId="14658"/>
    <cellStyle name="20% - Accent2 2 3 4 3" xfId="4966"/>
    <cellStyle name="20% - Accent2 2 3 4 3 2" xfId="14661"/>
    <cellStyle name="20% - Accent2 2 3 4 3 3" xfId="14660"/>
    <cellStyle name="20% - Accent2 2 3 4 4" xfId="11276"/>
    <cellStyle name="20% - Accent2 2 3 4 4 2" xfId="14663"/>
    <cellStyle name="20% - Accent2 2 3 4 4 3" xfId="14662"/>
    <cellStyle name="20% - Accent2 2 3 4 5" xfId="14664"/>
    <cellStyle name="20% - Accent2 2 3 4 6" xfId="14657"/>
    <cellStyle name="20% - Accent2 2 3 5" xfId="6530"/>
    <cellStyle name="20% - Accent2 2 3 5 2" xfId="14666"/>
    <cellStyle name="20% - Accent2 2 3 5 3" xfId="14665"/>
    <cellStyle name="20% - Accent2 2 3 6" xfId="3403"/>
    <cellStyle name="20% - Accent2 2 3 6 2" xfId="14668"/>
    <cellStyle name="20% - Accent2 2 3 6 3" xfId="14667"/>
    <cellStyle name="20% - Accent2 2 3 7" xfId="9828"/>
    <cellStyle name="20% - Accent2 2 3 7 2" xfId="14670"/>
    <cellStyle name="20% - Accent2 2 3 7 3" xfId="14669"/>
    <cellStyle name="20% - Accent2 2 3 8" xfId="14671"/>
    <cellStyle name="20% - Accent2 2 3 9" xfId="14608"/>
    <cellStyle name="20% - Accent2 2 4" xfId="225"/>
    <cellStyle name="20% - Accent2 2 4 2" xfId="936"/>
    <cellStyle name="20% - Accent2 2 4 2 2" xfId="2502"/>
    <cellStyle name="20% - Accent2 2 4 2 2 2" xfId="8787"/>
    <cellStyle name="20% - Accent2 2 4 2 2 2 2" xfId="14676"/>
    <cellStyle name="20% - Accent2 2 4 2 2 2 3" xfId="14675"/>
    <cellStyle name="20% - Accent2 2 4 2 2 3" xfId="5660"/>
    <cellStyle name="20% - Accent2 2 4 2 2 3 2" xfId="14678"/>
    <cellStyle name="20% - Accent2 2 4 2 2 3 3" xfId="14677"/>
    <cellStyle name="20% - Accent2 2 4 2 2 4" xfId="11970"/>
    <cellStyle name="20% - Accent2 2 4 2 2 4 2" xfId="14680"/>
    <cellStyle name="20% - Accent2 2 4 2 2 4 3" xfId="14679"/>
    <cellStyle name="20% - Accent2 2 4 2 2 5" xfId="14681"/>
    <cellStyle name="20% - Accent2 2 4 2 2 6" xfId="14674"/>
    <cellStyle name="20% - Accent2 2 4 2 3" xfId="7224"/>
    <cellStyle name="20% - Accent2 2 4 2 3 2" xfId="14683"/>
    <cellStyle name="20% - Accent2 2 4 2 3 3" xfId="14682"/>
    <cellStyle name="20% - Accent2 2 4 2 4" xfId="4097"/>
    <cellStyle name="20% - Accent2 2 4 2 4 2" xfId="14685"/>
    <cellStyle name="20% - Accent2 2 4 2 4 3" xfId="14684"/>
    <cellStyle name="20% - Accent2 2 4 2 5" xfId="10407"/>
    <cellStyle name="20% - Accent2 2 4 2 5 2" xfId="14687"/>
    <cellStyle name="20% - Accent2 2 4 2 5 3" xfId="14686"/>
    <cellStyle name="20% - Accent2 2 4 2 6" xfId="14688"/>
    <cellStyle name="20% - Accent2 2 4 2 7" xfId="14673"/>
    <cellStyle name="20% - Accent2 2 4 3" xfId="1822"/>
    <cellStyle name="20% - Accent2 2 4 3 2" xfId="8107"/>
    <cellStyle name="20% - Accent2 2 4 3 2 2" xfId="14691"/>
    <cellStyle name="20% - Accent2 2 4 3 2 3" xfId="14690"/>
    <cellStyle name="20% - Accent2 2 4 3 3" xfId="4980"/>
    <cellStyle name="20% - Accent2 2 4 3 3 2" xfId="14693"/>
    <cellStyle name="20% - Accent2 2 4 3 3 3" xfId="14692"/>
    <cellStyle name="20% - Accent2 2 4 3 4" xfId="11290"/>
    <cellStyle name="20% - Accent2 2 4 3 4 2" xfId="14695"/>
    <cellStyle name="20% - Accent2 2 4 3 4 3" xfId="14694"/>
    <cellStyle name="20% - Accent2 2 4 3 5" xfId="14696"/>
    <cellStyle name="20% - Accent2 2 4 3 6" xfId="14689"/>
    <cellStyle name="20% - Accent2 2 4 4" xfId="6544"/>
    <cellStyle name="20% - Accent2 2 4 4 2" xfId="14698"/>
    <cellStyle name="20% - Accent2 2 4 4 3" xfId="14697"/>
    <cellStyle name="20% - Accent2 2 4 5" xfId="3417"/>
    <cellStyle name="20% - Accent2 2 4 5 2" xfId="14700"/>
    <cellStyle name="20% - Accent2 2 4 5 3" xfId="14699"/>
    <cellStyle name="20% - Accent2 2 4 6" xfId="9941"/>
    <cellStyle name="20% - Accent2 2 4 6 2" xfId="14702"/>
    <cellStyle name="20% - Accent2 2 4 6 3" xfId="14701"/>
    <cellStyle name="20% - Accent2 2 4 7" xfId="14703"/>
    <cellStyle name="20% - Accent2 2 4 8" xfId="14672"/>
    <cellStyle name="20% - Accent2 2 5" xfId="278"/>
    <cellStyle name="20% - Accent2 2 5 2" xfId="989"/>
    <cellStyle name="20% - Accent2 2 5 2 2" xfId="2555"/>
    <cellStyle name="20% - Accent2 2 5 2 2 2" xfId="8840"/>
    <cellStyle name="20% - Accent2 2 5 2 2 2 2" xfId="14708"/>
    <cellStyle name="20% - Accent2 2 5 2 2 2 3" xfId="14707"/>
    <cellStyle name="20% - Accent2 2 5 2 2 3" xfId="5713"/>
    <cellStyle name="20% - Accent2 2 5 2 2 3 2" xfId="14710"/>
    <cellStyle name="20% - Accent2 2 5 2 2 3 3" xfId="14709"/>
    <cellStyle name="20% - Accent2 2 5 2 2 4" xfId="12023"/>
    <cellStyle name="20% - Accent2 2 5 2 2 4 2" xfId="14712"/>
    <cellStyle name="20% - Accent2 2 5 2 2 4 3" xfId="14711"/>
    <cellStyle name="20% - Accent2 2 5 2 2 5" xfId="14713"/>
    <cellStyle name="20% - Accent2 2 5 2 2 6" xfId="14706"/>
    <cellStyle name="20% - Accent2 2 5 2 3" xfId="7277"/>
    <cellStyle name="20% - Accent2 2 5 2 3 2" xfId="14715"/>
    <cellStyle name="20% - Accent2 2 5 2 3 3" xfId="14714"/>
    <cellStyle name="20% - Accent2 2 5 2 4" xfId="4150"/>
    <cellStyle name="20% - Accent2 2 5 2 4 2" xfId="14717"/>
    <cellStyle name="20% - Accent2 2 5 2 4 3" xfId="14716"/>
    <cellStyle name="20% - Accent2 2 5 2 5" xfId="10460"/>
    <cellStyle name="20% - Accent2 2 5 2 5 2" xfId="14719"/>
    <cellStyle name="20% - Accent2 2 5 2 5 3" xfId="14718"/>
    <cellStyle name="20% - Accent2 2 5 2 6" xfId="14720"/>
    <cellStyle name="20% - Accent2 2 5 2 7" xfId="14705"/>
    <cellStyle name="20% - Accent2 2 5 3" xfId="1875"/>
    <cellStyle name="20% - Accent2 2 5 3 2" xfId="8160"/>
    <cellStyle name="20% - Accent2 2 5 3 2 2" xfId="14723"/>
    <cellStyle name="20% - Accent2 2 5 3 2 3" xfId="14722"/>
    <cellStyle name="20% - Accent2 2 5 3 3" xfId="5033"/>
    <cellStyle name="20% - Accent2 2 5 3 3 2" xfId="14725"/>
    <cellStyle name="20% - Accent2 2 5 3 3 3" xfId="14724"/>
    <cellStyle name="20% - Accent2 2 5 3 4" xfId="11343"/>
    <cellStyle name="20% - Accent2 2 5 3 4 2" xfId="14727"/>
    <cellStyle name="20% - Accent2 2 5 3 4 3" xfId="14726"/>
    <cellStyle name="20% - Accent2 2 5 3 5" xfId="14728"/>
    <cellStyle name="20% - Accent2 2 5 3 6" xfId="14721"/>
    <cellStyle name="20% - Accent2 2 5 4" xfId="6597"/>
    <cellStyle name="20% - Accent2 2 5 4 2" xfId="14730"/>
    <cellStyle name="20% - Accent2 2 5 4 3" xfId="14729"/>
    <cellStyle name="20% - Accent2 2 5 5" xfId="3470"/>
    <cellStyle name="20% - Accent2 2 5 5 2" xfId="14732"/>
    <cellStyle name="20% - Accent2 2 5 5 3" xfId="14731"/>
    <cellStyle name="20% - Accent2 2 5 6" xfId="9825"/>
    <cellStyle name="20% - Accent2 2 5 6 2" xfId="14734"/>
    <cellStyle name="20% - Accent2 2 5 6 3" xfId="14733"/>
    <cellStyle name="20% - Accent2 2 5 7" xfId="14735"/>
    <cellStyle name="20% - Accent2 2 5 8" xfId="14704"/>
    <cellStyle name="20% - Accent2 2 6" xfId="332"/>
    <cellStyle name="20% - Accent2 2 6 2" xfId="1040"/>
    <cellStyle name="20% - Accent2 2 6 2 2" xfId="2606"/>
    <cellStyle name="20% - Accent2 2 6 2 2 2" xfId="8891"/>
    <cellStyle name="20% - Accent2 2 6 2 2 2 2" xfId="14740"/>
    <cellStyle name="20% - Accent2 2 6 2 2 2 3" xfId="14739"/>
    <cellStyle name="20% - Accent2 2 6 2 2 3" xfId="5764"/>
    <cellStyle name="20% - Accent2 2 6 2 2 3 2" xfId="14742"/>
    <cellStyle name="20% - Accent2 2 6 2 2 3 3" xfId="14741"/>
    <cellStyle name="20% - Accent2 2 6 2 2 4" xfId="12074"/>
    <cellStyle name="20% - Accent2 2 6 2 2 4 2" xfId="14744"/>
    <cellStyle name="20% - Accent2 2 6 2 2 4 3" xfId="14743"/>
    <cellStyle name="20% - Accent2 2 6 2 2 5" xfId="14745"/>
    <cellStyle name="20% - Accent2 2 6 2 2 6" xfId="14738"/>
    <cellStyle name="20% - Accent2 2 6 2 3" xfId="7328"/>
    <cellStyle name="20% - Accent2 2 6 2 3 2" xfId="14747"/>
    <cellStyle name="20% - Accent2 2 6 2 3 3" xfId="14746"/>
    <cellStyle name="20% - Accent2 2 6 2 4" xfId="4201"/>
    <cellStyle name="20% - Accent2 2 6 2 4 2" xfId="14749"/>
    <cellStyle name="20% - Accent2 2 6 2 4 3" xfId="14748"/>
    <cellStyle name="20% - Accent2 2 6 2 5" xfId="10511"/>
    <cellStyle name="20% - Accent2 2 6 2 5 2" xfId="14751"/>
    <cellStyle name="20% - Accent2 2 6 2 5 3" xfId="14750"/>
    <cellStyle name="20% - Accent2 2 6 2 6" xfId="14752"/>
    <cellStyle name="20% - Accent2 2 6 2 7" xfId="14737"/>
    <cellStyle name="20% - Accent2 2 6 3" xfId="1926"/>
    <cellStyle name="20% - Accent2 2 6 3 2" xfId="8211"/>
    <cellStyle name="20% - Accent2 2 6 3 2 2" xfId="14755"/>
    <cellStyle name="20% - Accent2 2 6 3 2 3" xfId="14754"/>
    <cellStyle name="20% - Accent2 2 6 3 3" xfId="5084"/>
    <cellStyle name="20% - Accent2 2 6 3 3 2" xfId="14757"/>
    <cellStyle name="20% - Accent2 2 6 3 3 3" xfId="14756"/>
    <cellStyle name="20% - Accent2 2 6 3 4" xfId="11394"/>
    <cellStyle name="20% - Accent2 2 6 3 4 2" xfId="14759"/>
    <cellStyle name="20% - Accent2 2 6 3 4 3" xfId="14758"/>
    <cellStyle name="20% - Accent2 2 6 3 5" xfId="14760"/>
    <cellStyle name="20% - Accent2 2 6 3 6" xfId="14753"/>
    <cellStyle name="20% - Accent2 2 6 4" xfId="6648"/>
    <cellStyle name="20% - Accent2 2 6 4 2" xfId="14762"/>
    <cellStyle name="20% - Accent2 2 6 4 3" xfId="14761"/>
    <cellStyle name="20% - Accent2 2 6 5" xfId="3521"/>
    <cellStyle name="20% - Accent2 2 6 5 2" xfId="14764"/>
    <cellStyle name="20% - Accent2 2 6 5 3" xfId="14763"/>
    <cellStyle name="20% - Accent2 2 6 6" xfId="9792"/>
    <cellStyle name="20% - Accent2 2 6 6 2" xfId="14766"/>
    <cellStyle name="20% - Accent2 2 6 6 3" xfId="14765"/>
    <cellStyle name="20% - Accent2 2 6 7" xfId="14767"/>
    <cellStyle name="20% - Accent2 2 6 8" xfId="14736"/>
    <cellStyle name="20% - Accent2 2 7" xfId="396"/>
    <cellStyle name="20% - Accent2 2 7 2" xfId="1103"/>
    <cellStyle name="20% - Accent2 2 7 2 2" xfId="2668"/>
    <cellStyle name="20% - Accent2 2 7 2 2 2" xfId="8953"/>
    <cellStyle name="20% - Accent2 2 7 2 2 2 2" xfId="14772"/>
    <cellStyle name="20% - Accent2 2 7 2 2 2 3" xfId="14771"/>
    <cellStyle name="20% - Accent2 2 7 2 2 3" xfId="5826"/>
    <cellStyle name="20% - Accent2 2 7 2 2 3 2" xfId="14774"/>
    <cellStyle name="20% - Accent2 2 7 2 2 3 3" xfId="14773"/>
    <cellStyle name="20% - Accent2 2 7 2 2 4" xfId="12136"/>
    <cellStyle name="20% - Accent2 2 7 2 2 4 2" xfId="14776"/>
    <cellStyle name="20% - Accent2 2 7 2 2 4 3" xfId="14775"/>
    <cellStyle name="20% - Accent2 2 7 2 2 5" xfId="14777"/>
    <cellStyle name="20% - Accent2 2 7 2 2 6" xfId="14770"/>
    <cellStyle name="20% - Accent2 2 7 2 3" xfId="7390"/>
    <cellStyle name="20% - Accent2 2 7 2 3 2" xfId="14779"/>
    <cellStyle name="20% - Accent2 2 7 2 3 3" xfId="14778"/>
    <cellStyle name="20% - Accent2 2 7 2 4" xfId="4263"/>
    <cellStyle name="20% - Accent2 2 7 2 4 2" xfId="14781"/>
    <cellStyle name="20% - Accent2 2 7 2 4 3" xfId="14780"/>
    <cellStyle name="20% - Accent2 2 7 2 5" xfId="10573"/>
    <cellStyle name="20% - Accent2 2 7 2 5 2" xfId="14783"/>
    <cellStyle name="20% - Accent2 2 7 2 5 3" xfId="14782"/>
    <cellStyle name="20% - Accent2 2 7 2 6" xfId="14784"/>
    <cellStyle name="20% - Accent2 2 7 2 7" xfId="14769"/>
    <cellStyle name="20% - Accent2 2 7 3" xfId="1988"/>
    <cellStyle name="20% - Accent2 2 7 3 2" xfId="8273"/>
    <cellStyle name="20% - Accent2 2 7 3 2 2" xfId="14787"/>
    <cellStyle name="20% - Accent2 2 7 3 2 3" xfId="14786"/>
    <cellStyle name="20% - Accent2 2 7 3 3" xfId="5146"/>
    <cellStyle name="20% - Accent2 2 7 3 3 2" xfId="14789"/>
    <cellStyle name="20% - Accent2 2 7 3 3 3" xfId="14788"/>
    <cellStyle name="20% - Accent2 2 7 3 4" xfId="11456"/>
    <cellStyle name="20% - Accent2 2 7 3 4 2" xfId="14791"/>
    <cellStyle name="20% - Accent2 2 7 3 4 3" xfId="14790"/>
    <cellStyle name="20% - Accent2 2 7 3 5" xfId="14792"/>
    <cellStyle name="20% - Accent2 2 7 3 6" xfId="14785"/>
    <cellStyle name="20% - Accent2 2 7 4" xfId="6710"/>
    <cellStyle name="20% - Accent2 2 7 4 2" xfId="14794"/>
    <cellStyle name="20% - Accent2 2 7 4 3" xfId="14793"/>
    <cellStyle name="20% - Accent2 2 7 5" xfId="3583"/>
    <cellStyle name="20% - Accent2 2 7 5 2" xfId="14796"/>
    <cellStyle name="20% - Accent2 2 7 5 3" xfId="14795"/>
    <cellStyle name="20% - Accent2 2 7 6" xfId="10016"/>
    <cellStyle name="20% - Accent2 2 7 6 2" xfId="14798"/>
    <cellStyle name="20% - Accent2 2 7 6 3" xfId="14797"/>
    <cellStyle name="20% - Accent2 2 7 7" xfId="14799"/>
    <cellStyle name="20% - Accent2 2 7 8" xfId="14768"/>
    <cellStyle name="20% - Accent2 2 8" xfId="559"/>
    <cellStyle name="20% - Accent2 2 8 2" xfId="1266"/>
    <cellStyle name="20% - Accent2 2 8 2 2" xfId="2831"/>
    <cellStyle name="20% - Accent2 2 8 2 2 2" xfId="9116"/>
    <cellStyle name="20% - Accent2 2 8 2 2 2 2" xfId="14804"/>
    <cellStyle name="20% - Accent2 2 8 2 2 2 3" xfId="14803"/>
    <cellStyle name="20% - Accent2 2 8 2 2 3" xfId="5989"/>
    <cellStyle name="20% - Accent2 2 8 2 2 3 2" xfId="14806"/>
    <cellStyle name="20% - Accent2 2 8 2 2 3 3" xfId="14805"/>
    <cellStyle name="20% - Accent2 2 8 2 2 4" xfId="12299"/>
    <cellStyle name="20% - Accent2 2 8 2 2 4 2" xfId="14808"/>
    <cellStyle name="20% - Accent2 2 8 2 2 4 3" xfId="14807"/>
    <cellStyle name="20% - Accent2 2 8 2 2 5" xfId="14809"/>
    <cellStyle name="20% - Accent2 2 8 2 2 6" xfId="14802"/>
    <cellStyle name="20% - Accent2 2 8 2 3" xfId="7553"/>
    <cellStyle name="20% - Accent2 2 8 2 3 2" xfId="14811"/>
    <cellStyle name="20% - Accent2 2 8 2 3 3" xfId="14810"/>
    <cellStyle name="20% - Accent2 2 8 2 4" xfId="4426"/>
    <cellStyle name="20% - Accent2 2 8 2 4 2" xfId="14813"/>
    <cellStyle name="20% - Accent2 2 8 2 4 3" xfId="14812"/>
    <cellStyle name="20% - Accent2 2 8 2 5" xfId="10736"/>
    <cellStyle name="20% - Accent2 2 8 2 5 2" xfId="14815"/>
    <cellStyle name="20% - Accent2 2 8 2 5 3" xfId="14814"/>
    <cellStyle name="20% - Accent2 2 8 2 6" xfId="14816"/>
    <cellStyle name="20% - Accent2 2 8 2 7" xfId="14801"/>
    <cellStyle name="20% - Accent2 2 8 3" xfId="2151"/>
    <cellStyle name="20% - Accent2 2 8 3 2" xfId="8436"/>
    <cellStyle name="20% - Accent2 2 8 3 2 2" xfId="14819"/>
    <cellStyle name="20% - Accent2 2 8 3 2 3" xfId="14818"/>
    <cellStyle name="20% - Accent2 2 8 3 3" xfId="5309"/>
    <cellStyle name="20% - Accent2 2 8 3 3 2" xfId="14821"/>
    <cellStyle name="20% - Accent2 2 8 3 3 3" xfId="14820"/>
    <cellStyle name="20% - Accent2 2 8 3 4" xfId="11619"/>
    <cellStyle name="20% - Accent2 2 8 3 4 2" xfId="14823"/>
    <cellStyle name="20% - Accent2 2 8 3 4 3" xfId="14822"/>
    <cellStyle name="20% - Accent2 2 8 3 5" xfId="14824"/>
    <cellStyle name="20% - Accent2 2 8 3 6" xfId="14817"/>
    <cellStyle name="20% - Accent2 2 8 4" xfId="6873"/>
    <cellStyle name="20% - Accent2 2 8 4 2" xfId="14826"/>
    <cellStyle name="20% - Accent2 2 8 4 3" xfId="14825"/>
    <cellStyle name="20% - Accent2 2 8 5" xfId="3746"/>
    <cellStyle name="20% - Accent2 2 8 5 2" xfId="14828"/>
    <cellStyle name="20% - Accent2 2 8 5 3" xfId="14827"/>
    <cellStyle name="20% - Accent2 2 8 6" xfId="10178"/>
    <cellStyle name="20% - Accent2 2 8 6 2" xfId="14830"/>
    <cellStyle name="20% - Accent2 2 8 6 3" xfId="14829"/>
    <cellStyle name="20% - Accent2 2 8 7" xfId="14831"/>
    <cellStyle name="20% - Accent2 2 8 8" xfId="14800"/>
    <cellStyle name="20% - Accent2 2 9" xfId="618"/>
    <cellStyle name="20% - Accent2 2 9 2" xfId="1323"/>
    <cellStyle name="20% - Accent2 2 9 2 2" xfId="2888"/>
    <cellStyle name="20% - Accent2 2 9 2 2 2" xfId="9173"/>
    <cellStyle name="20% - Accent2 2 9 2 2 2 2" xfId="14836"/>
    <cellStyle name="20% - Accent2 2 9 2 2 2 3" xfId="14835"/>
    <cellStyle name="20% - Accent2 2 9 2 2 3" xfId="6046"/>
    <cellStyle name="20% - Accent2 2 9 2 2 3 2" xfId="14838"/>
    <cellStyle name="20% - Accent2 2 9 2 2 3 3" xfId="14837"/>
    <cellStyle name="20% - Accent2 2 9 2 2 4" xfId="12356"/>
    <cellStyle name="20% - Accent2 2 9 2 2 4 2" xfId="14840"/>
    <cellStyle name="20% - Accent2 2 9 2 2 4 3" xfId="14839"/>
    <cellStyle name="20% - Accent2 2 9 2 2 5" xfId="14841"/>
    <cellStyle name="20% - Accent2 2 9 2 2 6" xfId="14834"/>
    <cellStyle name="20% - Accent2 2 9 2 3" xfId="7610"/>
    <cellStyle name="20% - Accent2 2 9 2 3 2" xfId="14843"/>
    <cellStyle name="20% - Accent2 2 9 2 3 3" xfId="14842"/>
    <cellStyle name="20% - Accent2 2 9 2 4" xfId="4483"/>
    <cellStyle name="20% - Accent2 2 9 2 4 2" xfId="14845"/>
    <cellStyle name="20% - Accent2 2 9 2 4 3" xfId="14844"/>
    <cellStyle name="20% - Accent2 2 9 2 5" xfId="10793"/>
    <cellStyle name="20% - Accent2 2 9 2 5 2" xfId="14847"/>
    <cellStyle name="20% - Accent2 2 9 2 5 3" xfId="14846"/>
    <cellStyle name="20% - Accent2 2 9 2 6" xfId="14848"/>
    <cellStyle name="20% - Accent2 2 9 2 7" xfId="14833"/>
    <cellStyle name="20% - Accent2 2 9 3" xfId="2208"/>
    <cellStyle name="20% - Accent2 2 9 3 2" xfId="8493"/>
    <cellStyle name="20% - Accent2 2 9 3 2 2" xfId="14851"/>
    <cellStyle name="20% - Accent2 2 9 3 2 3" xfId="14850"/>
    <cellStyle name="20% - Accent2 2 9 3 3" xfId="5366"/>
    <cellStyle name="20% - Accent2 2 9 3 3 2" xfId="14853"/>
    <cellStyle name="20% - Accent2 2 9 3 3 3" xfId="14852"/>
    <cellStyle name="20% - Accent2 2 9 3 4" xfId="11676"/>
    <cellStyle name="20% - Accent2 2 9 3 4 2" xfId="14855"/>
    <cellStyle name="20% - Accent2 2 9 3 4 3" xfId="14854"/>
    <cellStyle name="20% - Accent2 2 9 3 5" xfId="14856"/>
    <cellStyle name="20% - Accent2 2 9 3 6" xfId="14849"/>
    <cellStyle name="20% - Accent2 2 9 4" xfId="6930"/>
    <cellStyle name="20% - Accent2 2 9 4 2" xfId="14858"/>
    <cellStyle name="20% - Accent2 2 9 4 3" xfId="14857"/>
    <cellStyle name="20% - Accent2 2 9 5" xfId="3803"/>
    <cellStyle name="20% - Accent2 2 9 5 2" xfId="14860"/>
    <cellStyle name="20% - Accent2 2 9 5 3" xfId="14859"/>
    <cellStyle name="20% - Accent2 2 9 6" xfId="10236"/>
    <cellStyle name="20% - Accent2 2 9 6 2" xfId="14862"/>
    <cellStyle name="20% - Accent2 2 9 6 3" xfId="14861"/>
    <cellStyle name="20% - Accent2 2 9 7" xfId="14863"/>
    <cellStyle name="20% - Accent2 2 9 8" xfId="14832"/>
    <cellStyle name="20% - Accent2 20" xfId="1563"/>
    <cellStyle name="20% - Accent2 20 2" xfId="3128"/>
    <cellStyle name="20% - Accent2 20 2 2" xfId="9413"/>
    <cellStyle name="20% - Accent2 20 2 2 2" xfId="14867"/>
    <cellStyle name="20% - Accent2 20 2 2 3" xfId="14866"/>
    <cellStyle name="20% - Accent2 20 2 3" xfId="6286"/>
    <cellStyle name="20% - Accent2 20 2 3 2" xfId="14869"/>
    <cellStyle name="20% - Accent2 20 2 3 3" xfId="14868"/>
    <cellStyle name="20% - Accent2 20 2 4" xfId="12596"/>
    <cellStyle name="20% - Accent2 20 2 4 2" xfId="14871"/>
    <cellStyle name="20% - Accent2 20 2 4 3" xfId="14870"/>
    <cellStyle name="20% - Accent2 20 2 5" xfId="14872"/>
    <cellStyle name="20% - Accent2 20 2 6" xfId="14865"/>
    <cellStyle name="20% - Accent2 20 3" xfId="7850"/>
    <cellStyle name="20% - Accent2 20 3 2" xfId="14874"/>
    <cellStyle name="20% - Accent2 20 3 3" xfId="14873"/>
    <cellStyle name="20% - Accent2 20 4" xfId="4723"/>
    <cellStyle name="20% - Accent2 20 4 2" xfId="14876"/>
    <cellStyle name="20% - Accent2 20 4 3" xfId="14875"/>
    <cellStyle name="20% - Accent2 20 5" xfId="11033"/>
    <cellStyle name="20% - Accent2 20 5 2" xfId="14878"/>
    <cellStyle name="20% - Accent2 20 5 3" xfId="14877"/>
    <cellStyle name="20% - Accent2 20 6" xfId="14879"/>
    <cellStyle name="20% - Accent2 20 7" xfId="14864"/>
    <cellStyle name="20% - Accent2 21" xfId="1726"/>
    <cellStyle name="20% - Accent2 21 2" xfId="8013"/>
    <cellStyle name="20% - Accent2 21 2 2" xfId="14882"/>
    <cellStyle name="20% - Accent2 21 2 3" xfId="14881"/>
    <cellStyle name="20% - Accent2 21 3" xfId="4886"/>
    <cellStyle name="20% - Accent2 21 3 2" xfId="14884"/>
    <cellStyle name="20% - Accent2 21 3 3" xfId="14883"/>
    <cellStyle name="20% - Accent2 21 4" xfId="11196"/>
    <cellStyle name="20% - Accent2 21 4 2" xfId="14886"/>
    <cellStyle name="20% - Accent2 21 4 3" xfId="14885"/>
    <cellStyle name="20% - Accent2 21 5" xfId="14887"/>
    <cellStyle name="20% - Accent2 21 6" xfId="14880"/>
    <cellStyle name="20% - Accent2 22" xfId="106"/>
    <cellStyle name="20% - Accent2 22 2" xfId="6451"/>
    <cellStyle name="20% - Accent2 22 2 2" xfId="14890"/>
    <cellStyle name="20% - Accent2 22 2 3" xfId="14889"/>
    <cellStyle name="20% - Accent2 22 3" xfId="14891"/>
    <cellStyle name="20% - Accent2 22 4" xfId="14888"/>
    <cellStyle name="20% - Accent2 23" xfId="3295"/>
    <cellStyle name="20% - Accent2 23 2" xfId="9578"/>
    <cellStyle name="20% - Accent2 23 2 2" xfId="14894"/>
    <cellStyle name="20% - Accent2 23 2 3" xfId="14893"/>
    <cellStyle name="20% - Accent2 23 3" xfId="14895"/>
    <cellStyle name="20% - Accent2 23 4" xfId="14892"/>
    <cellStyle name="20% - Accent2 24" xfId="3324"/>
    <cellStyle name="20% - Accent2 24 2" xfId="14897"/>
    <cellStyle name="20% - Accent2 24 3" xfId="14896"/>
    <cellStyle name="20% - Accent2 25" xfId="9631"/>
    <cellStyle name="20% - Accent2 25 2" xfId="14899"/>
    <cellStyle name="20% - Accent2 25 3" xfId="14898"/>
    <cellStyle name="20% - Accent2 26" xfId="14900"/>
    <cellStyle name="20% - Accent2 27" xfId="14183"/>
    <cellStyle name="20% - Accent2 28" xfId="38123"/>
    <cellStyle name="20% - Accent2 3" xfId="75"/>
    <cellStyle name="20% - Accent2 3 10" xfId="1526"/>
    <cellStyle name="20% - Accent2 3 10 2" xfId="3091"/>
    <cellStyle name="20% - Accent2 3 10 2 2" xfId="9376"/>
    <cellStyle name="20% - Accent2 3 10 2 2 2" xfId="14905"/>
    <cellStyle name="20% - Accent2 3 10 2 2 3" xfId="14904"/>
    <cellStyle name="20% - Accent2 3 10 2 3" xfId="6249"/>
    <cellStyle name="20% - Accent2 3 10 2 3 2" xfId="14907"/>
    <cellStyle name="20% - Accent2 3 10 2 3 3" xfId="14906"/>
    <cellStyle name="20% - Accent2 3 10 2 4" xfId="12559"/>
    <cellStyle name="20% - Accent2 3 10 2 4 2" xfId="14909"/>
    <cellStyle name="20% - Accent2 3 10 2 4 3" xfId="14908"/>
    <cellStyle name="20% - Accent2 3 10 2 5" xfId="14910"/>
    <cellStyle name="20% - Accent2 3 10 2 6" xfId="14903"/>
    <cellStyle name="20% - Accent2 3 10 3" xfId="7813"/>
    <cellStyle name="20% - Accent2 3 10 3 2" xfId="14912"/>
    <cellStyle name="20% - Accent2 3 10 3 3" xfId="14911"/>
    <cellStyle name="20% - Accent2 3 10 4" xfId="4686"/>
    <cellStyle name="20% - Accent2 3 10 4 2" xfId="14914"/>
    <cellStyle name="20% - Accent2 3 10 4 3" xfId="14913"/>
    <cellStyle name="20% - Accent2 3 10 5" xfId="10996"/>
    <cellStyle name="20% - Accent2 3 10 5 2" xfId="14916"/>
    <cellStyle name="20% - Accent2 3 10 5 3" xfId="14915"/>
    <cellStyle name="20% - Accent2 3 10 6" xfId="14917"/>
    <cellStyle name="20% - Accent2 3 10 7" xfId="14902"/>
    <cellStyle name="20% - Accent2 3 11" xfId="1756"/>
    <cellStyle name="20% - Accent2 3 11 2" xfId="8041"/>
    <cellStyle name="20% - Accent2 3 11 2 2" xfId="14920"/>
    <cellStyle name="20% - Accent2 3 11 2 3" xfId="14919"/>
    <cellStyle name="20% - Accent2 3 11 3" xfId="4914"/>
    <cellStyle name="20% - Accent2 3 11 3 2" xfId="14922"/>
    <cellStyle name="20% - Accent2 3 11 3 3" xfId="14921"/>
    <cellStyle name="20% - Accent2 3 11 4" xfId="11224"/>
    <cellStyle name="20% - Accent2 3 11 4 2" xfId="14924"/>
    <cellStyle name="20% - Accent2 3 11 4 3" xfId="14923"/>
    <cellStyle name="20% - Accent2 3 11 5" xfId="14925"/>
    <cellStyle name="20% - Accent2 3 11 6" xfId="14918"/>
    <cellStyle name="20% - Accent2 3 12" xfId="133"/>
    <cellStyle name="20% - Accent2 3 12 2" xfId="6478"/>
    <cellStyle name="20% - Accent2 3 12 2 2" xfId="14928"/>
    <cellStyle name="20% - Accent2 3 12 2 3" xfId="14927"/>
    <cellStyle name="20% - Accent2 3 12 3" xfId="9936"/>
    <cellStyle name="20% - Accent2 3 12 3 2" xfId="14930"/>
    <cellStyle name="20% - Accent2 3 12 3 3" xfId="14929"/>
    <cellStyle name="20% - Accent2 3 12 4" xfId="14931"/>
    <cellStyle name="20% - Accent2 3 12 5" xfId="14926"/>
    <cellStyle name="20% - Accent2 3 13" xfId="3351"/>
    <cellStyle name="20% - Accent2 3 13 2" xfId="14933"/>
    <cellStyle name="20% - Accent2 3 13 3" xfId="14932"/>
    <cellStyle name="20% - Accent2 3 14" xfId="9594"/>
    <cellStyle name="20% - Accent2 3 14 2" xfId="14935"/>
    <cellStyle name="20% - Accent2 3 14 3" xfId="14934"/>
    <cellStyle name="20% - Accent2 3 15" xfId="14936"/>
    <cellStyle name="20% - Accent2 3 16" xfId="14901"/>
    <cellStyle name="20% - Accent2 3 17" xfId="38125"/>
    <cellStyle name="20% - Accent2 3 2" xfId="150"/>
    <cellStyle name="20% - Accent2 3 2 2" xfId="292"/>
    <cellStyle name="20% - Accent2 3 2 2 2" xfId="1002"/>
    <cellStyle name="20% - Accent2 3 2 2 2 2" xfId="2568"/>
    <cellStyle name="20% - Accent2 3 2 2 2 2 2" xfId="8853"/>
    <cellStyle name="20% - Accent2 3 2 2 2 2 2 2" xfId="14942"/>
    <cellStyle name="20% - Accent2 3 2 2 2 2 2 3" xfId="14941"/>
    <cellStyle name="20% - Accent2 3 2 2 2 2 3" xfId="5726"/>
    <cellStyle name="20% - Accent2 3 2 2 2 2 3 2" xfId="14944"/>
    <cellStyle name="20% - Accent2 3 2 2 2 2 3 3" xfId="14943"/>
    <cellStyle name="20% - Accent2 3 2 2 2 2 4" xfId="12036"/>
    <cellStyle name="20% - Accent2 3 2 2 2 2 4 2" xfId="14946"/>
    <cellStyle name="20% - Accent2 3 2 2 2 2 4 3" xfId="14945"/>
    <cellStyle name="20% - Accent2 3 2 2 2 2 5" xfId="14947"/>
    <cellStyle name="20% - Accent2 3 2 2 2 2 6" xfId="14940"/>
    <cellStyle name="20% - Accent2 3 2 2 2 3" xfId="7290"/>
    <cellStyle name="20% - Accent2 3 2 2 2 3 2" xfId="14949"/>
    <cellStyle name="20% - Accent2 3 2 2 2 3 3" xfId="14948"/>
    <cellStyle name="20% - Accent2 3 2 2 2 4" xfId="4163"/>
    <cellStyle name="20% - Accent2 3 2 2 2 4 2" xfId="14951"/>
    <cellStyle name="20% - Accent2 3 2 2 2 4 3" xfId="14950"/>
    <cellStyle name="20% - Accent2 3 2 2 2 5" xfId="10473"/>
    <cellStyle name="20% - Accent2 3 2 2 2 5 2" xfId="14953"/>
    <cellStyle name="20% - Accent2 3 2 2 2 5 3" xfId="14952"/>
    <cellStyle name="20% - Accent2 3 2 2 2 6" xfId="14954"/>
    <cellStyle name="20% - Accent2 3 2 2 2 7" xfId="14939"/>
    <cellStyle name="20% - Accent2 3 2 2 3" xfId="1888"/>
    <cellStyle name="20% - Accent2 3 2 2 3 2" xfId="8173"/>
    <cellStyle name="20% - Accent2 3 2 2 3 2 2" xfId="14957"/>
    <cellStyle name="20% - Accent2 3 2 2 3 2 3" xfId="14956"/>
    <cellStyle name="20% - Accent2 3 2 2 3 3" xfId="5046"/>
    <cellStyle name="20% - Accent2 3 2 2 3 3 2" xfId="14959"/>
    <cellStyle name="20% - Accent2 3 2 2 3 3 3" xfId="14958"/>
    <cellStyle name="20% - Accent2 3 2 2 3 4" xfId="11356"/>
    <cellStyle name="20% - Accent2 3 2 2 3 4 2" xfId="14961"/>
    <cellStyle name="20% - Accent2 3 2 2 3 4 3" xfId="14960"/>
    <cellStyle name="20% - Accent2 3 2 2 3 5" xfId="14962"/>
    <cellStyle name="20% - Accent2 3 2 2 3 6" xfId="14955"/>
    <cellStyle name="20% - Accent2 3 2 2 4" xfId="6610"/>
    <cellStyle name="20% - Accent2 3 2 2 4 2" xfId="14964"/>
    <cellStyle name="20% - Accent2 3 2 2 4 3" xfId="14963"/>
    <cellStyle name="20% - Accent2 3 2 2 5" xfId="3483"/>
    <cellStyle name="20% - Accent2 3 2 2 5 2" xfId="14966"/>
    <cellStyle name="20% - Accent2 3 2 2 5 3" xfId="14965"/>
    <cellStyle name="20% - Accent2 3 2 2 6" xfId="9810"/>
    <cellStyle name="20% - Accent2 3 2 2 6 2" xfId="14968"/>
    <cellStyle name="20% - Accent2 3 2 2 6 3" xfId="14967"/>
    <cellStyle name="20% - Accent2 3 2 2 7" xfId="14969"/>
    <cellStyle name="20% - Accent2 3 2 2 8" xfId="14938"/>
    <cellStyle name="20% - Accent2 3 2 3" xfId="886"/>
    <cellStyle name="20% - Accent2 3 2 3 2" xfId="2452"/>
    <cellStyle name="20% - Accent2 3 2 3 2 2" xfId="8737"/>
    <cellStyle name="20% - Accent2 3 2 3 2 2 2" xfId="14973"/>
    <cellStyle name="20% - Accent2 3 2 3 2 2 3" xfId="14972"/>
    <cellStyle name="20% - Accent2 3 2 3 2 3" xfId="5610"/>
    <cellStyle name="20% - Accent2 3 2 3 2 3 2" xfId="14975"/>
    <cellStyle name="20% - Accent2 3 2 3 2 3 3" xfId="14974"/>
    <cellStyle name="20% - Accent2 3 2 3 2 4" xfId="11920"/>
    <cellStyle name="20% - Accent2 3 2 3 2 4 2" xfId="14977"/>
    <cellStyle name="20% - Accent2 3 2 3 2 4 3" xfId="14976"/>
    <cellStyle name="20% - Accent2 3 2 3 2 5" xfId="14978"/>
    <cellStyle name="20% - Accent2 3 2 3 2 6" xfId="14971"/>
    <cellStyle name="20% - Accent2 3 2 3 3" xfId="7174"/>
    <cellStyle name="20% - Accent2 3 2 3 3 2" xfId="14980"/>
    <cellStyle name="20% - Accent2 3 2 3 3 3" xfId="14979"/>
    <cellStyle name="20% - Accent2 3 2 3 4" xfId="4047"/>
    <cellStyle name="20% - Accent2 3 2 3 4 2" xfId="14982"/>
    <cellStyle name="20% - Accent2 3 2 3 4 3" xfId="14981"/>
    <cellStyle name="20% - Accent2 3 2 3 5" xfId="10357"/>
    <cellStyle name="20% - Accent2 3 2 3 5 2" xfId="14984"/>
    <cellStyle name="20% - Accent2 3 2 3 5 3" xfId="14983"/>
    <cellStyle name="20% - Accent2 3 2 3 6" xfId="14985"/>
    <cellStyle name="20% - Accent2 3 2 3 7" xfId="14970"/>
    <cellStyle name="20% - Accent2 3 2 4" xfId="1772"/>
    <cellStyle name="20% - Accent2 3 2 4 2" xfId="8057"/>
    <cellStyle name="20% - Accent2 3 2 4 2 2" xfId="14988"/>
    <cellStyle name="20% - Accent2 3 2 4 2 3" xfId="14987"/>
    <cellStyle name="20% - Accent2 3 2 4 3" xfId="4930"/>
    <cellStyle name="20% - Accent2 3 2 4 3 2" xfId="14990"/>
    <cellStyle name="20% - Accent2 3 2 4 3 3" xfId="14989"/>
    <cellStyle name="20% - Accent2 3 2 4 4" xfId="11240"/>
    <cellStyle name="20% - Accent2 3 2 4 4 2" xfId="14992"/>
    <cellStyle name="20% - Accent2 3 2 4 4 3" xfId="14991"/>
    <cellStyle name="20% - Accent2 3 2 4 5" xfId="14993"/>
    <cellStyle name="20% - Accent2 3 2 4 6" xfId="14986"/>
    <cellStyle name="20% - Accent2 3 2 5" xfId="6494"/>
    <cellStyle name="20% - Accent2 3 2 5 2" xfId="14995"/>
    <cellStyle name="20% - Accent2 3 2 5 3" xfId="14994"/>
    <cellStyle name="20% - Accent2 3 2 6" xfId="3367"/>
    <cellStyle name="20% - Accent2 3 2 6 2" xfId="14997"/>
    <cellStyle name="20% - Accent2 3 2 6 3" xfId="14996"/>
    <cellStyle name="20% - Accent2 3 2 7" xfId="9925"/>
    <cellStyle name="20% - Accent2 3 2 7 2" xfId="14999"/>
    <cellStyle name="20% - Accent2 3 2 7 3" xfId="14998"/>
    <cellStyle name="20% - Accent2 3 2 8" xfId="15000"/>
    <cellStyle name="20% - Accent2 3 2 9" xfId="14937"/>
    <cellStyle name="20% - Accent2 3 3" xfId="226"/>
    <cellStyle name="20% - Accent2 3 3 2" xfId="937"/>
    <cellStyle name="20% - Accent2 3 3 2 2" xfId="2503"/>
    <cellStyle name="20% - Accent2 3 3 2 2 2" xfId="8788"/>
    <cellStyle name="20% - Accent2 3 3 2 2 2 2" xfId="15005"/>
    <cellStyle name="20% - Accent2 3 3 2 2 2 3" xfId="15004"/>
    <cellStyle name="20% - Accent2 3 3 2 2 3" xfId="5661"/>
    <cellStyle name="20% - Accent2 3 3 2 2 3 2" xfId="15007"/>
    <cellStyle name="20% - Accent2 3 3 2 2 3 3" xfId="15006"/>
    <cellStyle name="20% - Accent2 3 3 2 2 4" xfId="11971"/>
    <cellStyle name="20% - Accent2 3 3 2 2 4 2" xfId="15009"/>
    <cellStyle name="20% - Accent2 3 3 2 2 4 3" xfId="15008"/>
    <cellStyle name="20% - Accent2 3 3 2 2 5" xfId="15010"/>
    <cellStyle name="20% - Accent2 3 3 2 2 6" xfId="15003"/>
    <cellStyle name="20% - Accent2 3 3 2 3" xfId="7225"/>
    <cellStyle name="20% - Accent2 3 3 2 3 2" xfId="15012"/>
    <cellStyle name="20% - Accent2 3 3 2 3 3" xfId="15011"/>
    <cellStyle name="20% - Accent2 3 3 2 4" xfId="4098"/>
    <cellStyle name="20% - Accent2 3 3 2 4 2" xfId="15014"/>
    <cellStyle name="20% - Accent2 3 3 2 4 3" xfId="15013"/>
    <cellStyle name="20% - Accent2 3 3 2 5" xfId="10408"/>
    <cellStyle name="20% - Accent2 3 3 2 5 2" xfId="15016"/>
    <cellStyle name="20% - Accent2 3 3 2 5 3" xfId="15015"/>
    <cellStyle name="20% - Accent2 3 3 2 6" xfId="15017"/>
    <cellStyle name="20% - Accent2 3 3 2 7" xfId="15002"/>
    <cellStyle name="20% - Accent2 3 3 3" xfId="1823"/>
    <cellStyle name="20% - Accent2 3 3 3 2" xfId="8108"/>
    <cellStyle name="20% - Accent2 3 3 3 2 2" xfId="15020"/>
    <cellStyle name="20% - Accent2 3 3 3 2 3" xfId="15019"/>
    <cellStyle name="20% - Accent2 3 3 3 3" xfId="4981"/>
    <cellStyle name="20% - Accent2 3 3 3 3 2" xfId="15022"/>
    <cellStyle name="20% - Accent2 3 3 3 3 3" xfId="15021"/>
    <cellStyle name="20% - Accent2 3 3 3 4" xfId="11291"/>
    <cellStyle name="20% - Accent2 3 3 3 4 2" xfId="15024"/>
    <cellStyle name="20% - Accent2 3 3 3 4 3" xfId="15023"/>
    <cellStyle name="20% - Accent2 3 3 3 5" xfId="15025"/>
    <cellStyle name="20% - Accent2 3 3 3 6" xfId="15018"/>
    <cellStyle name="20% - Accent2 3 3 4" xfId="6545"/>
    <cellStyle name="20% - Accent2 3 3 4 2" xfId="15027"/>
    <cellStyle name="20% - Accent2 3 3 4 3" xfId="15026"/>
    <cellStyle name="20% - Accent2 3 3 5" xfId="3418"/>
    <cellStyle name="20% - Accent2 3 3 5 2" xfId="15029"/>
    <cellStyle name="20% - Accent2 3 3 5 3" xfId="15028"/>
    <cellStyle name="20% - Accent2 3 3 6" xfId="9945"/>
    <cellStyle name="20% - Accent2 3 3 6 2" xfId="15031"/>
    <cellStyle name="20% - Accent2 3 3 6 3" xfId="15030"/>
    <cellStyle name="20% - Accent2 3 3 7" xfId="15032"/>
    <cellStyle name="20% - Accent2 3 3 8" xfId="15001"/>
    <cellStyle name="20% - Accent2 3 4" xfId="285"/>
    <cellStyle name="20% - Accent2 3 4 2" xfId="995"/>
    <cellStyle name="20% - Accent2 3 4 2 2" xfId="2561"/>
    <cellStyle name="20% - Accent2 3 4 2 2 2" xfId="8846"/>
    <cellStyle name="20% - Accent2 3 4 2 2 2 2" xfId="15037"/>
    <cellStyle name="20% - Accent2 3 4 2 2 2 3" xfId="15036"/>
    <cellStyle name="20% - Accent2 3 4 2 2 3" xfId="5719"/>
    <cellStyle name="20% - Accent2 3 4 2 2 3 2" xfId="15039"/>
    <cellStyle name="20% - Accent2 3 4 2 2 3 3" xfId="15038"/>
    <cellStyle name="20% - Accent2 3 4 2 2 4" xfId="12029"/>
    <cellStyle name="20% - Accent2 3 4 2 2 4 2" xfId="15041"/>
    <cellStyle name="20% - Accent2 3 4 2 2 4 3" xfId="15040"/>
    <cellStyle name="20% - Accent2 3 4 2 2 5" xfId="15042"/>
    <cellStyle name="20% - Accent2 3 4 2 2 6" xfId="15035"/>
    <cellStyle name="20% - Accent2 3 4 2 3" xfId="7283"/>
    <cellStyle name="20% - Accent2 3 4 2 3 2" xfId="15044"/>
    <cellStyle name="20% - Accent2 3 4 2 3 3" xfId="15043"/>
    <cellStyle name="20% - Accent2 3 4 2 4" xfId="4156"/>
    <cellStyle name="20% - Accent2 3 4 2 4 2" xfId="15046"/>
    <cellStyle name="20% - Accent2 3 4 2 4 3" xfId="15045"/>
    <cellStyle name="20% - Accent2 3 4 2 5" xfId="10466"/>
    <cellStyle name="20% - Accent2 3 4 2 5 2" xfId="15048"/>
    <cellStyle name="20% - Accent2 3 4 2 5 3" xfId="15047"/>
    <cellStyle name="20% - Accent2 3 4 2 6" xfId="15049"/>
    <cellStyle name="20% - Accent2 3 4 2 7" xfId="15034"/>
    <cellStyle name="20% - Accent2 3 4 3" xfId="1881"/>
    <cellStyle name="20% - Accent2 3 4 3 2" xfId="8166"/>
    <cellStyle name="20% - Accent2 3 4 3 2 2" xfId="15052"/>
    <cellStyle name="20% - Accent2 3 4 3 2 3" xfId="15051"/>
    <cellStyle name="20% - Accent2 3 4 3 3" xfId="5039"/>
    <cellStyle name="20% - Accent2 3 4 3 3 2" xfId="15054"/>
    <cellStyle name="20% - Accent2 3 4 3 3 3" xfId="15053"/>
    <cellStyle name="20% - Accent2 3 4 3 4" xfId="11349"/>
    <cellStyle name="20% - Accent2 3 4 3 4 2" xfId="15056"/>
    <cellStyle name="20% - Accent2 3 4 3 4 3" xfId="15055"/>
    <cellStyle name="20% - Accent2 3 4 3 5" xfId="15057"/>
    <cellStyle name="20% - Accent2 3 4 3 6" xfId="15050"/>
    <cellStyle name="20% - Accent2 3 4 4" xfId="6603"/>
    <cellStyle name="20% - Accent2 3 4 4 2" xfId="15059"/>
    <cellStyle name="20% - Accent2 3 4 4 3" xfId="15058"/>
    <cellStyle name="20% - Accent2 3 4 5" xfId="3476"/>
    <cellStyle name="20% - Accent2 3 4 5 2" xfId="15061"/>
    <cellStyle name="20% - Accent2 3 4 5 3" xfId="15060"/>
    <cellStyle name="20% - Accent2 3 4 6" xfId="9820"/>
    <cellStyle name="20% - Accent2 3 4 6 2" xfId="15063"/>
    <cellStyle name="20% - Accent2 3 4 6 3" xfId="15062"/>
    <cellStyle name="20% - Accent2 3 4 7" xfId="15064"/>
    <cellStyle name="20% - Accent2 3 4 8" xfId="15033"/>
    <cellStyle name="20% - Accent2 3 5" xfId="333"/>
    <cellStyle name="20% - Accent2 3 5 2" xfId="1041"/>
    <cellStyle name="20% - Accent2 3 5 2 2" xfId="2607"/>
    <cellStyle name="20% - Accent2 3 5 2 2 2" xfId="8892"/>
    <cellStyle name="20% - Accent2 3 5 2 2 2 2" xfId="15069"/>
    <cellStyle name="20% - Accent2 3 5 2 2 2 3" xfId="15068"/>
    <cellStyle name="20% - Accent2 3 5 2 2 3" xfId="5765"/>
    <cellStyle name="20% - Accent2 3 5 2 2 3 2" xfId="15071"/>
    <cellStyle name="20% - Accent2 3 5 2 2 3 3" xfId="15070"/>
    <cellStyle name="20% - Accent2 3 5 2 2 4" xfId="12075"/>
    <cellStyle name="20% - Accent2 3 5 2 2 4 2" xfId="15073"/>
    <cellStyle name="20% - Accent2 3 5 2 2 4 3" xfId="15072"/>
    <cellStyle name="20% - Accent2 3 5 2 2 5" xfId="15074"/>
    <cellStyle name="20% - Accent2 3 5 2 2 6" xfId="15067"/>
    <cellStyle name="20% - Accent2 3 5 2 3" xfId="7329"/>
    <cellStyle name="20% - Accent2 3 5 2 3 2" xfId="15076"/>
    <cellStyle name="20% - Accent2 3 5 2 3 3" xfId="15075"/>
    <cellStyle name="20% - Accent2 3 5 2 4" xfId="4202"/>
    <cellStyle name="20% - Accent2 3 5 2 4 2" xfId="15078"/>
    <cellStyle name="20% - Accent2 3 5 2 4 3" xfId="15077"/>
    <cellStyle name="20% - Accent2 3 5 2 5" xfId="10512"/>
    <cellStyle name="20% - Accent2 3 5 2 5 2" xfId="15080"/>
    <cellStyle name="20% - Accent2 3 5 2 5 3" xfId="15079"/>
    <cellStyle name="20% - Accent2 3 5 2 6" xfId="15081"/>
    <cellStyle name="20% - Accent2 3 5 2 7" xfId="15066"/>
    <cellStyle name="20% - Accent2 3 5 3" xfId="1927"/>
    <cellStyle name="20% - Accent2 3 5 3 2" xfId="8212"/>
    <cellStyle name="20% - Accent2 3 5 3 2 2" xfId="15084"/>
    <cellStyle name="20% - Accent2 3 5 3 2 3" xfId="15083"/>
    <cellStyle name="20% - Accent2 3 5 3 3" xfId="5085"/>
    <cellStyle name="20% - Accent2 3 5 3 3 2" xfId="15086"/>
    <cellStyle name="20% - Accent2 3 5 3 3 3" xfId="15085"/>
    <cellStyle name="20% - Accent2 3 5 3 4" xfId="11395"/>
    <cellStyle name="20% - Accent2 3 5 3 4 2" xfId="15088"/>
    <cellStyle name="20% - Accent2 3 5 3 4 3" xfId="15087"/>
    <cellStyle name="20% - Accent2 3 5 3 5" xfId="15089"/>
    <cellStyle name="20% - Accent2 3 5 3 6" xfId="15082"/>
    <cellStyle name="20% - Accent2 3 5 4" xfId="6649"/>
    <cellStyle name="20% - Accent2 3 5 4 2" xfId="15091"/>
    <cellStyle name="20% - Accent2 3 5 4 3" xfId="15090"/>
    <cellStyle name="20% - Accent2 3 5 5" xfId="3522"/>
    <cellStyle name="20% - Accent2 3 5 5 2" xfId="15093"/>
    <cellStyle name="20% - Accent2 3 5 5 3" xfId="15092"/>
    <cellStyle name="20% - Accent2 3 5 6" xfId="9843"/>
    <cellStyle name="20% - Accent2 3 5 6 2" xfId="15095"/>
    <cellStyle name="20% - Accent2 3 5 6 3" xfId="15094"/>
    <cellStyle name="20% - Accent2 3 5 7" xfId="15096"/>
    <cellStyle name="20% - Accent2 3 5 8" xfId="15065"/>
    <cellStyle name="20% - Accent2 3 6" xfId="404"/>
    <cellStyle name="20% - Accent2 3 6 2" xfId="1111"/>
    <cellStyle name="20% - Accent2 3 6 2 2" xfId="2676"/>
    <cellStyle name="20% - Accent2 3 6 2 2 2" xfId="8961"/>
    <cellStyle name="20% - Accent2 3 6 2 2 2 2" xfId="15101"/>
    <cellStyle name="20% - Accent2 3 6 2 2 2 3" xfId="15100"/>
    <cellStyle name="20% - Accent2 3 6 2 2 3" xfId="5834"/>
    <cellStyle name="20% - Accent2 3 6 2 2 3 2" xfId="15103"/>
    <cellStyle name="20% - Accent2 3 6 2 2 3 3" xfId="15102"/>
    <cellStyle name="20% - Accent2 3 6 2 2 4" xfId="12144"/>
    <cellStyle name="20% - Accent2 3 6 2 2 4 2" xfId="15105"/>
    <cellStyle name="20% - Accent2 3 6 2 2 4 3" xfId="15104"/>
    <cellStyle name="20% - Accent2 3 6 2 2 5" xfId="15106"/>
    <cellStyle name="20% - Accent2 3 6 2 2 6" xfId="15099"/>
    <cellStyle name="20% - Accent2 3 6 2 3" xfId="7398"/>
    <cellStyle name="20% - Accent2 3 6 2 3 2" xfId="15108"/>
    <cellStyle name="20% - Accent2 3 6 2 3 3" xfId="15107"/>
    <cellStyle name="20% - Accent2 3 6 2 4" xfId="4271"/>
    <cellStyle name="20% - Accent2 3 6 2 4 2" xfId="15110"/>
    <cellStyle name="20% - Accent2 3 6 2 4 3" xfId="15109"/>
    <cellStyle name="20% - Accent2 3 6 2 5" xfId="10581"/>
    <cellStyle name="20% - Accent2 3 6 2 5 2" xfId="15112"/>
    <cellStyle name="20% - Accent2 3 6 2 5 3" xfId="15111"/>
    <cellStyle name="20% - Accent2 3 6 2 6" xfId="15113"/>
    <cellStyle name="20% - Accent2 3 6 2 7" xfId="15098"/>
    <cellStyle name="20% - Accent2 3 6 3" xfId="1996"/>
    <cellStyle name="20% - Accent2 3 6 3 2" xfId="8281"/>
    <cellStyle name="20% - Accent2 3 6 3 2 2" xfId="15116"/>
    <cellStyle name="20% - Accent2 3 6 3 2 3" xfId="15115"/>
    <cellStyle name="20% - Accent2 3 6 3 3" xfId="5154"/>
    <cellStyle name="20% - Accent2 3 6 3 3 2" xfId="15118"/>
    <cellStyle name="20% - Accent2 3 6 3 3 3" xfId="15117"/>
    <cellStyle name="20% - Accent2 3 6 3 4" xfId="11464"/>
    <cellStyle name="20% - Accent2 3 6 3 4 2" xfId="15120"/>
    <cellStyle name="20% - Accent2 3 6 3 4 3" xfId="15119"/>
    <cellStyle name="20% - Accent2 3 6 3 5" xfId="15121"/>
    <cellStyle name="20% - Accent2 3 6 3 6" xfId="15114"/>
    <cellStyle name="20% - Accent2 3 6 4" xfId="6718"/>
    <cellStyle name="20% - Accent2 3 6 4 2" xfId="15123"/>
    <cellStyle name="20% - Accent2 3 6 4 3" xfId="15122"/>
    <cellStyle name="20% - Accent2 3 6 5" xfId="3591"/>
    <cellStyle name="20% - Accent2 3 6 5 2" xfId="15125"/>
    <cellStyle name="20% - Accent2 3 6 5 3" xfId="15124"/>
    <cellStyle name="20% - Accent2 3 6 6" xfId="10024"/>
    <cellStyle name="20% - Accent2 3 6 6 2" xfId="15127"/>
    <cellStyle name="20% - Accent2 3 6 6 3" xfId="15126"/>
    <cellStyle name="20% - Accent2 3 6 7" xfId="15128"/>
    <cellStyle name="20% - Accent2 3 6 8" xfId="15097"/>
    <cellStyle name="20% - Accent2 3 7" xfId="560"/>
    <cellStyle name="20% - Accent2 3 7 2" xfId="1267"/>
    <cellStyle name="20% - Accent2 3 7 2 2" xfId="2832"/>
    <cellStyle name="20% - Accent2 3 7 2 2 2" xfId="9117"/>
    <cellStyle name="20% - Accent2 3 7 2 2 2 2" xfId="15133"/>
    <cellStyle name="20% - Accent2 3 7 2 2 2 3" xfId="15132"/>
    <cellStyle name="20% - Accent2 3 7 2 2 3" xfId="5990"/>
    <cellStyle name="20% - Accent2 3 7 2 2 3 2" xfId="15135"/>
    <cellStyle name="20% - Accent2 3 7 2 2 3 3" xfId="15134"/>
    <cellStyle name="20% - Accent2 3 7 2 2 4" xfId="12300"/>
    <cellStyle name="20% - Accent2 3 7 2 2 4 2" xfId="15137"/>
    <cellStyle name="20% - Accent2 3 7 2 2 4 3" xfId="15136"/>
    <cellStyle name="20% - Accent2 3 7 2 2 5" xfId="15138"/>
    <cellStyle name="20% - Accent2 3 7 2 2 6" xfId="15131"/>
    <cellStyle name="20% - Accent2 3 7 2 3" xfId="7554"/>
    <cellStyle name="20% - Accent2 3 7 2 3 2" xfId="15140"/>
    <cellStyle name="20% - Accent2 3 7 2 3 3" xfId="15139"/>
    <cellStyle name="20% - Accent2 3 7 2 4" xfId="4427"/>
    <cellStyle name="20% - Accent2 3 7 2 4 2" xfId="15142"/>
    <cellStyle name="20% - Accent2 3 7 2 4 3" xfId="15141"/>
    <cellStyle name="20% - Accent2 3 7 2 5" xfId="10737"/>
    <cellStyle name="20% - Accent2 3 7 2 5 2" xfId="15144"/>
    <cellStyle name="20% - Accent2 3 7 2 5 3" xfId="15143"/>
    <cellStyle name="20% - Accent2 3 7 2 6" xfId="15145"/>
    <cellStyle name="20% - Accent2 3 7 2 7" xfId="15130"/>
    <cellStyle name="20% - Accent2 3 7 3" xfId="2152"/>
    <cellStyle name="20% - Accent2 3 7 3 2" xfId="8437"/>
    <cellStyle name="20% - Accent2 3 7 3 2 2" xfId="15148"/>
    <cellStyle name="20% - Accent2 3 7 3 2 3" xfId="15147"/>
    <cellStyle name="20% - Accent2 3 7 3 3" xfId="5310"/>
    <cellStyle name="20% - Accent2 3 7 3 3 2" xfId="15150"/>
    <cellStyle name="20% - Accent2 3 7 3 3 3" xfId="15149"/>
    <cellStyle name="20% - Accent2 3 7 3 4" xfId="11620"/>
    <cellStyle name="20% - Accent2 3 7 3 4 2" xfId="15152"/>
    <cellStyle name="20% - Accent2 3 7 3 4 3" xfId="15151"/>
    <cellStyle name="20% - Accent2 3 7 3 5" xfId="15153"/>
    <cellStyle name="20% - Accent2 3 7 3 6" xfId="15146"/>
    <cellStyle name="20% - Accent2 3 7 4" xfId="6874"/>
    <cellStyle name="20% - Accent2 3 7 4 2" xfId="15155"/>
    <cellStyle name="20% - Accent2 3 7 4 3" xfId="15154"/>
    <cellStyle name="20% - Accent2 3 7 5" xfId="3747"/>
    <cellStyle name="20% - Accent2 3 7 5 2" xfId="15157"/>
    <cellStyle name="20% - Accent2 3 7 5 3" xfId="15156"/>
    <cellStyle name="20% - Accent2 3 7 6" xfId="10179"/>
    <cellStyle name="20% - Accent2 3 7 6 2" xfId="15159"/>
    <cellStyle name="20% - Accent2 3 7 6 3" xfId="15158"/>
    <cellStyle name="20% - Accent2 3 7 7" xfId="15160"/>
    <cellStyle name="20% - Accent2 3 7 8" xfId="15129"/>
    <cellStyle name="20% - Accent2 3 8" xfId="619"/>
    <cellStyle name="20% - Accent2 3 8 2" xfId="1324"/>
    <cellStyle name="20% - Accent2 3 8 2 2" xfId="2889"/>
    <cellStyle name="20% - Accent2 3 8 2 2 2" xfId="9174"/>
    <cellStyle name="20% - Accent2 3 8 2 2 2 2" xfId="15165"/>
    <cellStyle name="20% - Accent2 3 8 2 2 2 3" xfId="15164"/>
    <cellStyle name="20% - Accent2 3 8 2 2 3" xfId="6047"/>
    <cellStyle name="20% - Accent2 3 8 2 2 3 2" xfId="15167"/>
    <cellStyle name="20% - Accent2 3 8 2 2 3 3" xfId="15166"/>
    <cellStyle name="20% - Accent2 3 8 2 2 4" xfId="12357"/>
    <cellStyle name="20% - Accent2 3 8 2 2 4 2" xfId="15169"/>
    <cellStyle name="20% - Accent2 3 8 2 2 4 3" xfId="15168"/>
    <cellStyle name="20% - Accent2 3 8 2 2 5" xfId="15170"/>
    <cellStyle name="20% - Accent2 3 8 2 2 6" xfId="15163"/>
    <cellStyle name="20% - Accent2 3 8 2 3" xfId="7611"/>
    <cellStyle name="20% - Accent2 3 8 2 3 2" xfId="15172"/>
    <cellStyle name="20% - Accent2 3 8 2 3 3" xfId="15171"/>
    <cellStyle name="20% - Accent2 3 8 2 4" xfId="4484"/>
    <cellStyle name="20% - Accent2 3 8 2 4 2" xfId="15174"/>
    <cellStyle name="20% - Accent2 3 8 2 4 3" xfId="15173"/>
    <cellStyle name="20% - Accent2 3 8 2 5" xfId="10794"/>
    <cellStyle name="20% - Accent2 3 8 2 5 2" xfId="15176"/>
    <cellStyle name="20% - Accent2 3 8 2 5 3" xfId="15175"/>
    <cellStyle name="20% - Accent2 3 8 2 6" xfId="15177"/>
    <cellStyle name="20% - Accent2 3 8 2 7" xfId="15162"/>
    <cellStyle name="20% - Accent2 3 8 3" xfId="2209"/>
    <cellStyle name="20% - Accent2 3 8 3 2" xfId="8494"/>
    <cellStyle name="20% - Accent2 3 8 3 2 2" xfId="15180"/>
    <cellStyle name="20% - Accent2 3 8 3 2 3" xfId="15179"/>
    <cellStyle name="20% - Accent2 3 8 3 3" xfId="5367"/>
    <cellStyle name="20% - Accent2 3 8 3 3 2" xfId="15182"/>
    <cellStyle name="20% - Accent2 3 8 3 3 3" xfId="15181"/>
    <cellStyle name="20% - Accent2 3 8 3 4" xfId="11677"/>
    <cellStyle name="20% - Accent2 3 8 3 4 2" xfId="15184"/>
    <cellStyle name="20% - Accent2 3 8 3 4 3" xfId="15183"/>
    <cellStyle name="20% - Accent2 3 8 3 5" xfId="15185"/>
    <cellStyle name="20% - Accent2 3 8 3 6" xfId="15178"/>
    <cellStyle name="20% - Accent2 3 8 4" xfId="6931"/>
    <cellStyle name="20% - Accent2 3 8 4 2" xfId="15187"/>
    <cellStyle name="20% - Accent2 3 8 4 3" xfId="15186"/>
    <cellStyle name="20% - Accent2 3 8 5" xfId="3804"/>
    <cellStyle name="20% - Accent2 3 8 5 2" xfId="15189"/>
    <cellStyle name="20% - Accent2 3 8 5 3" xfId="15188"/>
    <cellStyle name="20% - Accent2 3 8 6" xfId="10237"/>
    <cellStyle name="20% - Accent2 3 8 6 2" xfId="15191"/>
    <cellStyle name="20% - Accent2 3 8 6 3" xfId="15190"/>
    <cellStyle name="20% - Accent2 3 8 7" xfId="15192"/>
    <cellStyle name="20% - Accent2 3 8 8" xfId="15161"/>
    <cellStyle name="20% - Accent2 3 9" xfId="870"/>
    <cellStyle name="20% - Accent2 3 9 2" xfId="2436"/>
    <cellStyle name="20% - Accent2 3 9 2 2" xfId="8721"/>
    <cellStyle name="20% - Accent2 3 9 2 2 2" xfId="15196"/>
    <cellStyle name="20% - Accent2 3 9 2 2 3" xfId="15195"/>
    <cellStyle name="20% - Accent2 3 9 2 3" xfId="5594"/>
    <cellStyle name="20% - Accent2 3 9 2 3 2" xfId="15198"/>
    <cellStyle name="20% - Accent2 3 9 2 3 3" xfId="15197"/>
    <cellStyle name="20% - Accent2 3 9 2 4" xfId="11904"/>
    <cellStyle name="20% - Accent2 3 9 2 4 2" xfId="15200"/>
    <cellStyle name="20% - Accent2 3 9 2 4 3" xfId="15199"/>
    <cellStyle name="20% - Accent2 3 9 2 5" xfId="15201"/>
    <cellStyle name="20% - Accent2 3 9 2 6" xfId="15194"/>
    <cellStyle name="20% - Accent2 3 9 3" xfId="7158"/>
    <cellStyle name="20% - Accent2 3 9 3 2" xfId="15203"/>
    <cellStyle name="20% - Accent2 3 9 3 3" xfId="15202"/>
    <cellStyle name="20% - Accent2 3 9 4" xfId="4031"/>
    <cellStyle name="20% - Accent2 3 9 4 2" xfId="15205"/>
    <cellStyle name="20% - Accent2 3 9 4 3" xfId="15204"/>
    <cellStyle name="20% - Accent2 3 9 5" xfId="10341"/>
    <cellStyle name="20% - Accent2 3 9 5 2" xfId="15207"/>
    <cellStyle name="20% - Accent2 3 9 5 3" xfId="15206"/>
    <cellStyle name="20% - Accent2 3 9 6" xfId="15208"/>
    <cellStyle name="20% - Accent2 3 9 7" xfId="15193"/>
    <cellStyle name="20% - Accent2 4" xfId="151"/>
    <cellStyle name="20% - Accent2 4 10" xfId="6495"/>
    <cellStyle name="20% - Accent2 4 10 2" xfId="15211"/>
    <cellStyle name="20% - Accent2 4 10 3" xfId="15210"/>
    <cellStyle name="20% - Accent2 4 11" xfId="3368"/>
    <cellStyle name="20% - Accent2 4 11 2" xfId="15213"/>
    <cellStyle name="20% - Accent2 4 11 3" xfId="15212"/>
    <cellStyle name="20% - Accent2 4 12" xfId="9595"/>
    <cellStyle name="20% - Accent2 4 12 2" xfId="15215"/>
    <cellStyle name="20% - Accent2 4 12 3" xfId="15214"/>
    <cellStyle name="20% - Accent2 4 13" xfId="15216"/>
    <cellStyle name="20% - Accent2 4 14" xfId="15209"/>
    <cellStyle name="20% - Accent2 4 2" xfId="227"/>
    <cellStyle name="20% - Accent2 4 2 2" xfId="938"/>
    <cellStyle name="20% - Accent2 4 2 2 2" xfId="2504"/>
    <cellStyle name="20% - Accent2 4 2 2 2 2" xfId="8789"/>
    <cellStyle name="20% - Accent2 4 2 2 2 2 2" xfId="15221"/>
    <cellStyle name="20% - Accent2 4 2 2 2 2 3" xfId="15220"/>
    <cellStyle name="20% - Accent2 4 2 2 2 3" xfId="5662"/>
    <cellStyle name="20% - Accent2 4 2 2 2 3 2" xfId="15223"/>
    <cellStyle name="20% - Accent2 4 2 2 2 3 3" xfId="15222"/>
    <cellStyle name="20% - Accent2 4 2 2 2 4" xfId="11972"/>
    <cellStyle name="20% - Accent2 4 2 2 2 4 2" xfId="15225"/>
    <cellStyle name="20% - Accent2 4 2 2 2 4 3" xfId="15224"/>
    <cellStyle name="20% - Accent2 4 2 2 2 5" xfId="15226"/>
    <cellStyle name="20% - Accent2 4 2 2 2 6" xfId="15219"/>
    <cellStyle name="20% - Accent2 4 2 2 3" xfId="7226"/>
    <cellStyle name="20% - Accent2 4 2 2 3 2" xfId="15228"/>
    <cellStyle name="20% - Accent2 4 2 2 3 3" xfId="15227"/>
    <cellStyle name="20% - Accent2 4 2 2 4" xfId="4099"/>
    <cellStyle name="20% - Accent2 4 2 2 4 2" xfId="15230"/>
    <cellStyle name="20% - Accent2 4 2 2 4 3" xfId="15229"/>
    <cellStyle name="20% - Accent2 4 2 2 5" xfId="10409"/>
    <cellStyle name="20% - Accent2 4 2 2 5 2" xfId="15232"/>
    <cellStyle name="20% - Accent2 4 2 2 5 3" xfId="15231"/>
    <cellStyle name="20% - Accent2 4 2 2 6" xfId="15233"/>
    <cellStyle name="20% - Accent2 4 2 2 7" xfId="15218"/>
    <cellStyle name="20% - Accent2 4 2 3" xfId="1824"/>
    <cellStyle name="20% - Accent2 4 2 3 2" xfId="8109"/>
    <cellStyle name="20% - Accent2 4 2 3 2 2" xfId="15236"/>
    <cellStyle name="20% - Accent2 4 2 3 2 3" xfId="15235"/>
    <cellStyle name="20% - Accent2 4 2 3 3" xfId="4982"/>
    <cellStyle name="20% - Accent2 4 2 3 3 2" xfId="15238"/>
    <cellStyle name="20% - Accent2 4 2 3 3 3" xfId="15237"/>
    <cellStyle name="20% - Accent2 4 2 3 4" xfId="11292"/>
    <cellStyle name="20% - Accent2 4 2 3 4 2" xfId="15240"/>
    <cellStyle name="20% - Accent2 4 2 3 4 3" xfId="15239"/>
    <cellStyle name="20% - Accent2 4 2 3 5" xfId="15241"/>
    <cellStyle name="20% - Accent2 4 2 3 6" xfId="15234"/>
    <cellStyle name="20% - Accent2 4 2 4" xfId="6546"/>
    <cellStyle name="20% - Accent2 4 2 4 2" xfId="15243"/>
    <cellStyle name="20% - Accent2 4 2 4 3" xfId="15242"/>
    <cellStyle name="20% - Accent2 4 2 5" xfId="3419"/>
    <cellStyle name="20% - Accent2 4 2 5 2" xfId="15245"/>
    <cellStyle name="20% - Accent2 4 2 5 3" xfId="15244"/>
    <cellStyle name="20% - Accent2 4 2 6" xfId="9948"/>
    <cellStyle name="20% - Accent2 4 2 6 2" xfId="15247"/>
    <cellStyle name="20% - Accent2 4 2 6 3" xfId="15246"/>
    <cellStyle name="20% - Accent2 4 2 7" xfId="15248"/>
    <cellStyle name="20% - Accent2 4 2 8" xfId="15217"/>
    <cellStyle name="20% - Accent2 4 3" xfId="334"/>
    <cellStyle name="20% - Accent2 4 3 2" xfId="1042"/>
    <cellStyle name="20% - Accent2 4 3 2 2" xfId="2608"/>
    <cellStyle name="20% - Accent2 4 3 2 2 2" xfId="8893"/>
    <cellStyle name="20% - Accent2 4 3 2 2 2 2" xfId="15253"/>
    <cellStyle name="20% - Accent2 4 3 2 2 2 3" xfId="15252"/>
    <cellStyle name="20% - Accent2 4 3 2 2 3" xfId="5766"/>
    <cellStyle name="20% - Accent2 4 3 2 2 3 2" xfId="15255"/>
    <cellStyle name="20% - Accent2 4 3 2 2 3 3" xfId="15254"/>
    <cellStyle name="20% - Accent2 4 3 2 2 4" xfId="12076"/>
    <cellStyle name="20% - Accent2 4 3 2 2 4 2" xfId="15257"/>
    <cellStyle name="20% - Accent2 4 3 2 2 4 3" xfId="15256"/>
    <cellStyle name="20% - Accent2 4 3 2 2 5" xfId="15258"/>
    <cellStyle name="20% - Accent2 4 3 2 2 6" xfId="15251"/>
    <cellStyle name="20% - Accent2 4 3 2 3" xfId="7330"/>
    <cellStyle name="20% - Accent2 4 3 2 3 2" xfId="15260"/>
    <cellStyle name="20% - Accent2 4 3 2 3 3" xfId="15259"/>
    <cellStyle name="20% - Accent2 4 3 2 4" xfId="4203"/>
    <cellStyle name="20% - Accent2 4 3 2 4 2" xfId="15262"/>
    <cellStyle name="20% - Accent2 4 3 2 4 3" xfId="15261"/>
    <cellStyle name="20% - Accent2 4 3 2 5" xfId="10513"/>
    <cellStyle name="20% - Accent2 4 3 2 5 2" xfId="15264"/>
    <cellStyle name="20% - Accent2 4 3 2 5 3" xfId="15263"/>
    <cellStyle name="20% - Accent2 4 3 2 6" xfId="15265"/>
    <cellStyle name="20% - Accent2 4 3 2 7" xfId="15250"/>
    <cellStyle name="20% - Accent2 4 3 3" xfId="1928"/>
    <cellStyle name="20% - Accent2 4 3 3 2" xfId="8213"/>
    <cellStyle name="20% - Accent2 4 3 3 2 2" xfId="15268"/>
    <cellStyle name="20% - Accent2 4 3 3 2 3" xfId="15267"/>
    <cellStyle name="20% - Accent2 4 3 3 3" xfId="5086"/>
    <cellStyle name="20% - Accent2 4 3 3 3 2" xfId="15270"/>
    <cellStyle name="20% - Accent2 4 3 3 3 3" xfId="15269"/>
    <cellStyle name="20% - Accent2 4 3 3 4" xfId="11396"/>
    <cellStyle name="20% - Accent2 4 3 3 4 2" xfId="15272"/>
    <cellStyle name="20% - Accent2 4 3 3 4 3" xfId="15271"/>
    <cellStyle name="20% - Accent2 4 3 3 5" xfId="15273"/>
    <cellStyle name="20% - Accent2 4 3 3 6" xfId="15266"/>
    <cellStyle name="20% - Accent2 4 3 4" xfId="6650"/>
    <cellStyle name="20% - Accent2 4 3 4 2" xfId="15275"/>
    <cellStyle name="20% - Accent2 4 3 4 3" xfId="15274"/>
    <cellStyle name="20% - Accent2 4 3 5" xfId="3523"/>
    <cellStyle name="20% - Accent2 4 3 5 2" xfId="15277"/>
    <cellStyle name="20% - Accent2 4 3 5 3" xfId="15276"/>
    <cellStyle name="20% - Accent2 4 3 6" xfId="9791"/>
    <cellStyle name="20% - Accent2 4 3 6 2" xfId="15279"/>
    <cellStyle name="20% - Accent2 4 3 6 3" xfId="15278"/>
    <cellStyle name="20% - Accent2 4 3 7" xfId="15280"/>
    <cellStyle name="20% - Accent2 4 3 8" xfId="15249"/>
    <cellStyle name="20% - Accent2 4 4" xfId="424"/>
    <cellStyle name="20% - Accent2 4 4 2" xfId="1131"/>
    <cellStyle name="20% - Accent2 4 4 2 2" xfId="2696"/>
    <cellStyle name="20% - Accent2 4 4 2 2 2" xfId="8981"/>
    <cellStyle name="20% - Accent2 4 4 2 2 2 2" xfId="15285"/>
    <cellStyle name="20% - Accent2 4 4 2 2 2 3" xfId="15284"/>
    <cellStyle name="20% - Accent2 4 4 2 2 3" xfId="5854"/>
    <cellStyle name="20% - Accent2 4 4 2 2 3 2" xfId="15287"/>
    <cellStyle name="20% - Accent2 4 4 2 2 3 3" xfId="15286"/>
    <cellStyle name="20% - Accent2 4 4 2 2 4" xfId="12164"/>
    <cellStyle name="20% - Accent2 4 4 2 2 4 2" xfId="15289"/>
    <cellStyle name="20% - Accent2 4 4 2 2 4 3" xfId="15288"/>
    <cellStyle name="20% - Accent2 4 4 2 2 5" xfId="15290"/>
    <cellStyle name="20% - Accent2 4 4 2 2 6" xfId="15283"/>
    <cellStyle name="20% - Accent2 4 4 2 3" xfId="7418"/>
    <cellStyle name="20% - Accent2 4 4 2 3 2" xfId="15292"/>
    <cellStyle name="20% - Accent2 4 4 2 3 3" xfId="15291"/>
    <cellStyle name="20% - Accent2 4 4 2 4" xfId="4291"/>
    <cellStyle name="20% - Accent2 4 4 2 4 2" xfId="15294"/>
    <cellStyle name="20% - Accent2 4 4 2 4 3" xfId="15293"/>
    <cellStyle name="20% - Accent2 4 4 2 5" xfId="10601"/>
    <cellStyle name="20% - Accent2 4 4 2 5 2" xfId="15296"/>
    <cellStyle name="20% - Accent2 4 4 2 5 3" xfId="15295"/>
    <cellStyle name="20% - Accent2 4 4 2 6" xfId="15297"/>
    <cellStyle name="20% - Accent2 4 4 2 7" xfId="15282"/>
    <cellStyle name="20% - Accent2 4 4 3" xfId="2016"/>
    <cellStyle name="20% - Accent2 4 4 3 2" xfId="8301"/>
    <cellStyle name="20% - Accent2 4 4 3 2 2" xfId="15300"/>
    <cellStyle name="20% - Accent2 4 4 3 2 3" xfId="15299"/>
    <cellStyle name="20% - Accent2 4 4 3 3" xfId="5174"/>
    <cellStyle name="20% - Accent2 4 4 3 3 2" xfId="15302"/>
    <cellStyle name="20% - Accent2 4 4 3 3 3" xfId="15301"/>
    <cellStyle name="20% - Accent2 4 4 3 4" xfId="11484"/>
    <cellStyle name="20% - Accent2 4 4 3 4 2" xfId="15304"/>
    <cellStyle name="20% - Accent2 4 4 3 4 3" xfId="15303"/>
    <cellStyle name="20% - Accent2 4 4 3 5" xfId="15305"/>
    <cellStyle name="20% - Accent2 4 4 3 6" xfId="15298"/>
    <cellStyle name="20% - Accent2 4 4 4" xfId="6738"/>
    <cellStyle name="20% - Accent2 4 4 4 2" xfId="15307"/>
    <cellStyle name="20% - Accent2 4 4 4 3" xfId="15306"/>
    <cellStyle name="20% - Accent2 4 4 5" xfId="3611"/>
    <cellStyle name="20% - Accent2 4 4 5 2" xfId="15309"/>
    <cellStyle name="20% - Accent2 4 4 5 3" xfId="15308"/>
    <cellStyle name="20% - Accent2 4 4 6" xfId="10044"/>
    <cellStyle name="20% - Accent2 4 4 6 2" xfId="15311"/>
    <cellStyle name="20% - Accent2 4 4 6 3" xfId="15310"/>
    <cellStyle name="20% - Accent2 4 4 7" xfId="15312"/>
    <cellStyle name="20% - Accent2 4 4 8" xfId="15281"/>
    <cellStyle name="20% - Accent2 4 5" xfId="561"/>
    <cellStyle name="20% - Accent2 4 5 2" xfId="1268"/>
    <cellStyle name="20% - Accent2 4 5 2 2" xfId="2833"/>
    <cellStyle name="20% - Accent2 4 5 2 2 2" xfId="9118"/>
    <cellStyle name="20% - Accent2 4 5 2 2 2 2" xfId="15317"/>
    <cellStyle name="20% - Accent2 4 5 2 2 2 3" xfId="15316"/>
    <cellStyle name="20% - Accent2 4 5 2 2 3" xfId="5991"/>
    <cellStyle name="20% - Accent2 4 5 2 2 3 2" xfId="15319"/>
    <cellStyle name="20% - Accent2 4 5 2 2 3 3" xfId="15318"/>
    <cellStyle name="20% - Accent2 4 5 2 2 4" xfId="12301"/>
    <cellStyle name="20% - Accent2 4 5 2 2 4 2" xfId="15321"/>
    <cellStyle name="20% - Accent2 4 5 2 2 4 3" xfId="15320"/>
    <cellStyle name="20% - Accent2 4 5 2 2 5" xfId="15322"/>
    <cellStyle name="20% - Accent2 4 5 2 2 6" xfId="15315"/>
    <cellStyle name="20% - Accent2 4 5 2 3" xfId="7555"/>
    <cellStyle name="20% - Accent2 4 5 2 3 2" xfId="15324"/>
    <cellStyle name="20% - Accent2 4 5 2 3 3" xfId="15323"/>
    <cellStyle name="20% - Accent2 4 5 2 4" xfId="4428"/>
    <cellStyle name="20% - Accent2 4 5 2 4 2" xfId="15326"/>
    <cellStyle name="20% - Accent2 4 5 2 4 3" xfId="15325"/>
    <cellStyle name="20% - Accent2 4 5 2 5" xfId="10738"/>
    <cellStyle name="20% - Accent2 4 5 2 5 2" xfId="15328"/>
    <cellStyle name="20% - Accent2 4 5 2 5 3" xfId="15327"/>
    <cellStyle name="20% - Accent2 4 5 2 6" xfId="15329"/>
    <cellStyle name="20% - Accent2 4 5 2 7" xfId="15314"/>
    <cellStyle name="20% - Accent2 4 5 3" xfId="2153"/>
    <cellStyle name="20% - Accent2 4 5 3 2" xfId="8438"/>
    <cellStyle name="20% - Accent2 4 5 3 2 2" xfId="15332"/>
    <cellStyle name="20% - Accent2 4 5 3 2 3" xfId="15331"/>
    <cellStyle name="20% - Accent2 4 5 3 3" xfId="5311"/>
    <cellStyle name="20% - Accent2 4 5 3 3 2" xfId="15334"/>
    <cellStyle name="20% - Accent2 4 5 3 3 3" xfId="15333"/>
    <cellStyle name="20% - Accent2 4 5 3 4" xfId="11621"/>
    <cellStyle name="20% - Accent2 4 5 3 4 2" xfId="15336"/>
    <cellStyle name="20% - Accent2 4 5 3 4 3" xfId="15335"/>
    <cellStyle name="20% - Accent2 4 5 3 5" xfId="15337"/>
    <cellStyle name="20% - Accent2 4 5 3 6" xfId="15330"/>
    <cellStyle name="20% - Accent2 4 5 4" xfId="6875"/>
    <cellStyle name="20% - Accent2 4 5 4 2" xfId="15339"/>
    <cellStyle name="20% - Accent2 4 5 4 3" xfId="15338"/>
    <cellStyle name="20% - Accent2 4 5 5" xfId="3748"/>
    <cellStyle name="20% - Accent2 4 5 5 2" xfId="15341"/>
    <cellStyle name="20% - Accent2 4 5 5 3" xfId="15340"/>
    <cellStyle name="20% - Accent2 4 5 6" xfId="10180"/>
    <cellStyle name="20% - Accent2 4 5 6 2" xfId="15343"/>
    <cellStyle name="20% - Accent2 4 5 6 3" xfId="15342"/>
    <cellStyle name="20% - Accent2 4 5 7" xfId="15344"/>
    <cellStyle name="20% - Accent2 4 5 8" xfId="15313"/>
    <cellStyle name="20% - Accent2 4 6" xfId="620"/>
    <cellStyle name="20% - Accent2 4 6 2" xfId="1325"/>
    <cellStyle name="20% - Accent2 4 6 2 2" xfId="2890"/>
    <cellStyle name="20% - Accent2 4 6 2 2 2" xfId="9175"/>
    <cellStyle name="20% - Accent2 4 6 2 2 2 2" xfId="15349"/>
    <cellStyle name="20% - Accent2 4 6 2 2 2 3" xfId="15348"/>
    <cellStyle name="20% - Accent2 4 6 2 2 3" xfId="6048"/>
    <cellStyle name="20% - Accent2 4 6 2 2 3 2" xfId="15351"/>
    <cellStyle name="20% - Accent2 4 6 2 2 3 3" xfId="15350"/>
    <cellStyle name="20% - Accent2 4 6 2 2 4" xfId="12358"/>
    <cellStyle name="20% - Accent2 4 6 2 2 4 2" xfId="15353"/>
    <cellStyle name="20% - Accent2 4 6 2 2 4 3" xfId="15352"/>
    <cellStyle name="20% - Accent2 4 6 2 2 5" xfId="15354"/>
    <cellStyle name="20% - Accent2 4 6 2 2 6" xfId="15347"/>
    <cellStyle name="20% - Accent2 4 6 2 3" xfId="7612"/>
    <cellStyle name="20% - Accent2 4 6 2 3 2" xfId="15356"/>
    <cellStyle name="20% - Accent2 4 6 2 3 3" xfId="15355"/>
    <cellStyle name="20% - Accent2 4 6 2 4" xfId="4485"/>
    <cellStyle name="20% - Accent2 4 6 2 4 2" xfId="15358"/>
    <cellStyle name="20% - Accent2 4 6 2 4 3" xfId="15357"/>
    <cellStyle name="20% - Accent2 4 6 2 5" xfId="10795"/>
    <cellStyle name="20% - Accent2 4 6 2 5 2" xfId="15360"/>
    <cellStyle name="20% - Accent2 4 6 2 5 3" xfId="15359"/>
    <cellStyle name="20% - Accent2 4 6 2 6" xfId="15361"/>
    <cellStyle name="20% - Accent2 4 6 2 7" xfId="15346"/>
    <cellStyle name="20% - Accent2 4 6 3" xfId="2210"/>
    <cellStyle name="20% - Accent2 4 6 3 2" xfId="8495"/>
    <cellStyle name="20% - Accent2 4 6 3 2 2" xfId="15364"/>
    <cellStyle name="20% - Accent2 4 6 3 2 3" xfId="15363"/>
    <cellStyle name="20% - Accent2 4 6 3 3" xfId="5368"/>
    <cellStyle name="20% - Accent2 4 6 3 3 2" xfId="15366"/>
    <cellStyle name="20% - Accent2 4 6 3 3 3" xfId="15365"/>
    <cellStyle name="20% - Accent2 4 6 3 4" xfId="11678"/>
    <cellStyle name="20% - Accent2 4 6 3 4 2" xfId="15368"/>
    <cellStyle name="20% - Accent2 4 6 3 4 3" xfId="15367"/>
    <cellStyle name="20% - Accent2 4 6 3 5" xfId="15369"/>
    <cellStyle name="20% - Accent2 4 6 3 6" xfId="15362"/>
    <cellStyle name="20% - Accent2 4 6 4" xfId="6932"/>
    <cellStyle name="20% - Accent2 4 6 4 2" xfId="15371"/>
    <cellStyle name="20% - Accent2 4 6 4 3" xfId="15370"/>
    <cellStyle name="20% - Accent2 4 6 5" xfId="3805"/>
    <cellStyle name="20% - Accent2 4 6 5 2" xfId="15373"/>
    <cellStyle name="20% - Accent2 4 6 5 3" xfId="15372"/>
    <cellStyle name="20% - Accent2 4 6 6" xfId="10238"/>
    <cellStyle name="20% - Accent2 4 6 6 2" xfId="15375"/>
    <cellStyle name="20% - Accent2 4 6 6 3" xfId="15374"/>
    <cellStyle name="20% - Accent2 4 6 7" xfId="15376"/>
    <cellStyle name="20% - Accent2 4 6 8" xfId="15345"/>
    <cellStyle name="20% - Accent2 4 7" xfId="887"/>
    <cellStyle name="20% - Accent2 4 7 2" xfId="2453"/>
    <cellStyle name="20% - Accent2 4 7 2 2" xfId="8738"/>
    <cellStyle name="20% - Accent2 4 7 2 2 2" xfId="15380"/>
    <cellStyle name="20% - Accent2 4 7 2 2 3" xfId="15379"/>
    <cellStyle name="20% - Accent2 4 7 2 3" xfId="5611"/>
    <cellStyle name="20% - Accent2 4 7 2 3 2" xfId="15382"/>
    <cellStyle name="20% - Accent2 4 7 2 3 3" xfId="15381"/>
    <cellStyle name="20% - Accent2 4 7 2 4" xfId="11921"/>
    <cellStyle name="20% - Accent2 4 7 2 4 2" xfId="15384"/>
    <cellStyle name="20% - Accent2 4 7 2 4 3" xfId="15383"/>
    <cellStyle name="20% - Accent2 4 7 2 5" xfId="15385"/>
    <cellStyle name="20% - Accent2 4 7 2 6" xfId="15378"/>
    <cellStyle name="20% - Accent2 4 7 3" xfId="7175"/>
    <cellStyle name="20% - Accent2 4 7 3 2" xfId="15387"/>
    <cellStyle name="20% - Accent2 4 7 3 3" xfId="15386"/>
    <cellStyle name="20% - Accent2 4 7 4" xfId="4048"/>
    <cellStyle name="20% - Accent2 4 7 4 2" xfId="15389"/>
    <cellStyle name="20% - Accent2 4 7 4 3" xfId="15388"/>
    <cellStyle name="20% - Accent2 4 7 5" xfId="10358"/>
    <cellStyle name="20% - Accent2 4 7 5 2" xfId="15391"/>
    <cellStyle name="20% - Accent2 4 7 5 3" xfId="15390"/>
    <cellStyle name="20% - Accent2 4 7 6" xfId="15392"/>
    <cellStyle name="20% - Accent2 4 7 7" xfId="15377"/>
    <cellStyle name="20% - Accent2 4 8" xfId="1527"/>
    <cellStyle name="20% - Accent2 4 8 2" xfId="3092"/>
    <cellStyle name="20% - Accent2 4 8 2 2" xfId="9377"/>
    <cellStyle name="20% - Accent2 4 8 2 2 2" xfId="15396"/>
    <cellStyle name="20% - Accent2 4 8 2 2 3" xfId="15395"/>
    <cellStyle name="20% - Accent2 4 8 2 3" xfId="6250"/>
    <cellStyle name="20% - Accent2 4 8 2 3 2" xfId="15398"/>
    <cellStyle name="20% - Accent2 4 8 2 3 3" xfId="15397"/>
    <cellStyle name="20% - Accent2 4 8 2 4" xfId="12560"/>
    <cellStyle name="20% - Accent2 4 8 2 4 2" xfId="15400"/>
    <cellStyle name="20% - Accent2 4 8 2 4 3" xfId="15399"/>
    <cellStyle name="20% - Accent2 4 8 2 5" xfId="15401"/>
    <cellStyle name="20% - Accent2 4 8 2 6" xfId="15394"/>
    <cellStyle name="20% - Accent2 4 8 3" xfId="7814"/>
    <cellStyle name="20% - Accent2 4 8 3 2" xfId="15403"/>
    <cellStyle name="20% - Accent2 4 8 3 3" xfId="15402"/>
    <cellStyle name="20% - Accent2 4 8 4" xfId="4687"/>
    <cellStyle name="20% - Accent2 4 8 4 2" xfId="15405"/>
    <cellStyle name="20% - Accent2 4 8 4 3" xfId="15404"/>
    <cellStyle name="20% - Accent2 4 8 5" xfId="10997"/>
    <cellStyle name="20% - Accent2 4 8 5 2" xfId="15407"/>
    <cellStyle name="20% - Accent2 4 8 5 3" xfId="15406"/>
    <cellStyle name="20% - Accent2 4 8 6" xfId="15408"/>
    <cellStyle name="20% - Accent2 4 8 7" xfId="15393"/>
    <cellStyle name="20% - Accent2 4 9" xfId="1773"/>
    <cellStyle name="20% - Accent2 4 9 2" xfId="8058"/>
    <cellStyle name="20% - Accent2 4 9 2 2" xfId="15411"/>
    <cellStyle name="20% - Accent2 4 9 2 3" xfId="15410"/>
    <cellStyle name="20% - Accent2 4 9 3" xfId="4931"/>
    <cellStyle name="20% - Accent2 4 9 3 2" xfId="15413"/>
    <cellStyle name="20% - Accent2 4 9 3 3" xfId="15412"/>
    <cellStyle name="20% - Accent2 4 9 4" xfId="11241"/>
    <cellStyle name="20% - Accent2 4 9 4 2" xfId="15415"/>
    <cellStyle name="20% - Accent2 4 9 4 3" xfId="15414"/>
    <cellStyle name="20% - Accent2 4 9 5" xfId="15416"/>
    <cellStyle name="20% - Accent2 4 9 6" xfId="15409"/>
    <cellStyle name="20% - Accent2 5" xfId="188"/>
    <cellStyle name="20% - Accent2 5 2" xfId="316"/>
    <cellStyle name="20% - Accent2 5 2 2" xfId="1026"/>
    <cellStyle name="20% - Accent2 5 2 2 2" xfId="2592"/>
    <cellStyle name="20% - Accent2 5 2 2 2 2" xfId="8877"/>
    <cellStyle name="20% - Accent2 5 2 2 2 2 2" xfId="15422"/>
    <cellStyle name="20% - Accent2 5 2 2 2 2 3" xfId="15421"/>
    <cellStyle name="20% - Accent2 5 2 2 2 3" xfId="5750"/>
    <cellStyle name="20% - Accent2 5 2 2 2 3 2" xfId="15424"/>
    <cellStyle name="20% - Accent2 5 2 2 2 3 3" xfId="15423"/>
    <cellStyle name="20% - Accent2 5 2 2 2 4" xfId="12060"/>
    <cellStyle name="20% - Accent2 5 2 2 2 4 2" xfId="15426"/>
    <cellStyle name="20% - Accent2 5 2 2 2 4 3" xfId="15425"/>
    <cellStyle name="20% - Accent2 5 2 2 2 5" xfId="15427"/>
    <cellStyle name="20% - Accent2 5 2 2 2 6" xfId="15420"/>
    <cellStyle name="20% - Accent2 5 2 2 3" xfId="7314"/>
    <cellStyle name="20% - Accent2 5 2 2 3 2" xfId="15429"/>
    <cellStyle name="20% - Accent2 5 2 2 3 3" xfId="15428"/>
    <cellStyle name="20% - Accent2 5 2 2 4" xfId="4187"/>
    <cellStyle name="20% - Accent2 5 2 2 4 2" xfId="15431"/>
    <cellStyle name="20% - Accent2 5 2 2 4 3" xfId="15430"/>
    <cellStyle name="20% - Accent2 5 2 2 5" xfId="10497"/>
    <cellStyle name="20% - Accent2 5 2 2 5 2" xfId="15433"/>
    <cellStyle name="20% - Accent2 5 2 2 5 3" xfId="15432"/>
    <cellStyle name="20% - Accent2 5 2 2 6" xfId="15434"/>
    <cellStyle name="20% - Accent2 5 2 2 7" xfId="15419"/>
    <cellStyle name="20% - Accent2 5 2 3" xfId="1912"/>
    <cellStyle name="20% - Accent2 5 2 3 2" xfId="8197"/>
    <cellStyle name="20% - Accent2 5 2 3 2 2" xfId="15437"/>
    <cellStyle name="20% - Accent2 5 2 3 2 3" xfId="15436"/>
    <cellStyle name="20% - Accent2 5 2 3 3" xfId="5070"/>
    <cellStyle name="20% - Accent2 5 2 3 3 2" xfId="15439"/>
    <cellStyle name="20% - Accent2 5 2 3 3 3" xfId="15438"/>
    <cellStyle name="20% - Accent2 5 2 3 4" xfId="11380"/>
    <cellStyle name="20% - Accent2 5 2 3 4 2" xfId="15441"/>
    <cellStyle name="20% - Accent2 5 2 3 4 3" xfId="15440"/>
    <cellStyle name="20% - Accent2 5 2 3 5" xfId="15442"/>
    <cellStyle name="20% - Accent2 5 2 3 6" xfId="15435"/>
    <cellStyle name="20% - Accent2 5 2 4" xfId="6634"/>
    <cellStyle name="20% - Accent2 5 2 4 2" xfId="15444"/>
    <cellStyle name="20% - Accent2 5 2 4 3" xfId="15443"/>
    <cellStyle name="20% - Accent2 5 2 5" xfId="3507"/>
    <cellStyle name="20% - Accent2 5 2 5 2" xfId="15446"/>
    <cellStyle name="20% - Accent2 5 2 5 3" xfId="15445"/>
    <cellStyle name="20% - Accent2 5 2 6" xfId="9800"/>
    <cellStyle name="20% - Accent2 5 2 6 2" xfId="15448"/>
    <cellStyle name="20% - Accent2 5 2 6 3" xfId="15447"/>
    <cellStyle name="20% - Accent2 5 2 7" xfId="15449"/>
    <cellStyle name="20% - Accent2 5 2 8" xfId="15418"/>
    <cellStyle name="20% - Accent2 5 3" xfId="921"/>
    <cellStyle name="20% - Accent2 5 3 2" xfId="2487"/>
    <cellStyle name="20% - Accent2 5 3 2 2" xfId="8772"/>
    <cellStyle name="20% - Accent2 5 3 2 2 2" xfId="15453"/>
    <cellStyle name="20% - Accent2 5 3 2 2 3" xfId="15452"/>
    <cellStyle name="20% - Accent2 5 3 2 3" xfId="5645"/>
    <cellStyle name="20% - Accent2 5 3 2 3 2" xfId="15455"/>
    <cellStyle name="20% - Accent2 5 3 2 3 3" xfId="15454"/>
    <cellStyle name="20% - Accent2 5 3 2 4" xfId="11955"/>
    <cellStyle name="20% - Accent2 5 3 2 4 2" xfId="15457"/>
    <cellStyle name="20% - Accent2 5 3 2 4 3" xfId="15456"/>
    <cellStyle name="20% - Accent2 5 3 2 5" xfId="15458"/>
    <cellStyle name="20% - Accent2 5 3 2 6" xfId="15451"/>
    <cellStyle name="20% - Accent2 5 3 3" xfId="7209"/>
    <cellStyle name="20% - Accent2 5 3 3 2" xfId="15460"/>
    <cellStyle name="20% - Accent2 5 3 3 3" xfId="15459"/>
    <cellStyle name="20% - Accent2 5 3 4" xfId="4082"/>
    <cellStyle name="20% - Accent2 5 3 4 2" xfId="15462"/>
    <cellStyle name="20% - Accent2 5 3 4 3" xfId="15461"/>
    <cellStyle name="20% - Accent2 5 3 5" xfId="10392"/>
    <cellStyle name="20% - Accent2 5 3 5 2" xfId="15464"/>
    <cellStyle name="20% - Accent2 5 3 5 3" xfId="15463"/>
    <cellStyle name="20% - Accent2 5 3 6" xfId="15465"/>
    <cellStyle name="20% - Accent2 5 3 7" xfId="15450"/>
    <cellStyle name="20% - Accent2 5 4" xfId="1807"/>
    <cellStyle name="20% - Accent2 5 4 2" xfId="8092"/>
    <cellStyle name="20% - Accent2 5 4 2 2" xfId="15468"/>
    <cellStyle name="20% - Accent2 5 4 2 3" xfId="15467"/>
    <cellStyle name="20% - Accent2 5 4 3" xfId="4965"/>
    <cellStyle name="20% - Accent2 5 4 3 2" xfId="15470"/>
    <cellStyle name="20% - Accent2 5 4 3 3" xfId="15469"/>
    <cellStyle name="20% - Accent2 5 4 4" xfId="11275"/>
    <cellStyle name="20% - Accent2 5 4 4 2" xfId="15472"/>
    <cellStyle name="20% - Accent2 5 4 4 3" xfId="15471"/>
    <cellStyle name="20% - Accent2 5 4 5" xfId="15473"/>
    <cellStyle name="20% - Accent2 5 4 6" xfId="15466"/>
    <cellStyle name="20% - Accent2 5 5" xfId="6529"/>
    <cellStyle name="20% - Accent2 5 5 2" xfId="15475"/>
    <cellStyle name="20% - Accent2 5 5 3" xfId="15474"/>
    <cellStyle name="20% - Accent2 5 6" xfId="3402"/>
    <cellStyle name="20% - Accent2 5 6 2" xfId="15477"/>
    <cellStyle name="20% - Accent2 5 6 3" xfId="15476"/>
    <cellStyle name="20% - Accent2 5 7" xfId="9826"/>
    <cellStyle name="20% - Accent2 5 7 2" xfId="15479"/>
    <cellStyle name="20% - Accent2 5 7 3" xfId="15478"/>
    <cellStyle name="20% - Accent2 5 8" xfId="15480"/>
    <cellStyle name="20% - Accent2 5 9" xfId="15417"/>
    <cellStyle name="20% - Accent2 6" xfId="263"/>
    <cellStyle name="20% - Accent2 6 2" xfId="974"/>
    <cellStyle name="20% - Accent2 6 2 2" xfId="2540"/>
    <cellStyle name="20% - Accent2 6 2 2 2" xfId="8825"/>
    <cellStyle name="20% - Accent2 6 2 2 2 2" xfId="15485"/>
    <cellStyle name="20% - Accent2 6 2 2 2 3" xfId="15484"/>
    <cellStyle name="20% - Accent2 6 2 2 3" xfId="5698"/>
    <cellStyle name="20% - Accent2 6 2 2 3 2" xfId="15487"/>
    <cellStyle name="20% - Accent2 6 2 2 3 3" xfId="15486"/>
    <cellStyle name="20% - Accent2 6 2 2 4" xfId="12008"/>
    <cellStyle name="20% - Accent2 6 2 2 4 2" xfId="15489"/>
    <cellStyle name="20% - Accent2 6 2 2 4 3" xfId="15488"/>
    <cellStyle name="20% - Accent2 6 2 2 5" xfId="15490"/>
    <cellStyle name="20% - Accent2 6 2 2 6" xfId="15483"/>
    <cellStyle name="20% - Accent2 6 2 3" xfId="7262"/>
    <cellStyle name="20% - Accent2 6 2 3 2" xfId="15492"/>
    <cellStyle name="20% - Accent2 6 2 3 3" xfId="15491"/>
    <cellStyle name="20% - Accent2 6 2 4" xfId="4135"/>
    <cellStyle name="20% - Accent2 6 2 4 2" xfId="15494"/>
    <cellStyle name="20% - Accent2 6 2 4 3" xfId="15493"/>
    <cellStyle name="20% - Accent2 6 2 5" xfId="10445"/>
    <cellStyle name="20% - Accent2 6 2 5 2" xfId="15496"/>
    <cellStyle name="20% - Accent2 6 2 5 3" xfId="15495"/>
    <cellStyle name="20% - Accent2 6 2 6" xfId="15497"/>
    <cellStyle name="20% - Accent2 6 2 7" xfId="15482"/>
    <cellStyle name="20% - Accent2 6 3" xfId="1860"/>
    <cellStyle name="20% - Accent2 6 3 2" xfId="8145"/>
    <cellStyle name="20% - Accent2 6 3 2 2" xfId="15500"/>
    <cellStyle name="20% - Accent2 6 3 2 3" xfId="15499"/>
    <cellStyle name="20% - Accent2 6 3 3" xfId="5018"/>
    <cellStyle name="20% - Accent2 6 3 3 2" xfId="15502"/>
    <cellStyle name="20% - Accent2 6 3 3 3" xfId="15501"/>
    <cellStyle name="20% - Accent2 6 3 4" xfId="11328"/>
    <cellStyle name="20% - Accent2 6 3 4 2" xfId="15504"/>
    <cellStyle name="20% - Accent2 6 3 4 3" xfId="15503"/>
    <cellStyle name="20% - Accent2 6 3 5" xfId="15505"/>
    <cellStyle name="20% - Accent2 6 3 6" xfId="15498"/>
    <cellStyle name="20% - Accent2 6 4" xfId="6582"/>
    <cellStyle name="20% - Accent2 6 4 2" xfId="15507"/>
    <cellStyle name="20% - Accent2 6 4 3" xfId="15506"/>
    <cellStyle name="20% - Accent2 6 5" xfId="3455"/>
    <cellStyle name="20% - Accent2 6 5 2" xfId="15509"/>
    <cellStyle name="20% - Accent2 6 5 3" xfId="15508"/>
    <cellStyle name="20% - Accent2 6 6" xfId="9878"/>
    <cellStyle name="20% - Accent2 6 6 2" xfId="15511"/>
    <cellStyle name="20% - Accent2 6 6 3" xfId="15510"/>
    <cellStyle name="20% - Accent2 6 7" xfId="15512"/>
    <cellStyle name="20% - Accent2 6 8" xfId="15481"/>
    <cellStyle name="20% - Accent2 7" xfId="370"/>
    <cellStyle name="20% - Accent2 7 2" xfId="1078"/>
    <cellStyle name="20% - Accent2 7 2 2" xfId="2644"/>
    <cellStyle name="20% - Accent2 7 2 2 2" xfId="8929"/>
    <cellStyle name="20% - Accent2 7 2 2 2 2" xfId="15517"/>
    <cellStyle name="20% - Accent2 7 2 2 2 3" xfId="15516"/>
    <cellStyle name="20% - Accent2 7 2 2 3" xfId="5802"/>
    <cellStyle name="20% - Accent2 7 2 2 3 2" xfId="15519"/>
    <cellStyle name="20% - Accent2 7 2 2 3 3" xfId="15518"/>
    <cellStyle name="20% - Accent2 7 2 2 4" xfId="12112"/>
    <cellStyle name="20% - Accent2 7 2 2 4 2" xfId="15521"/>
    <cellStyle name="20% - Accent2 7 2 2 4 3" xfId="15520"/>
    <cellStyle name="20% - Accent2 7 2 2 5" xfId="15522"/>
    <cellStyle name="20% - Accent2 7 2 2 6" xfId="15515"/>
    <cellStyle name="20% - Accent2 7 2 3" xfId="7366"/>
    <cellStyle name="20% - Accent2 7 2 3 2" xfId="15524"/>
    <cellStyle name="20% - Accent2 7 2 3 3" xfId="15523"/>
    <cellStyle name="20% - Accent2 7 2 4" xfId="4239"/>
    <cellStyle name="20% - Accent2 7 2 4 2" xfId="15526"/>
    <cellStyle name="20% - Accent2 7 2 4 3" xfId="15525"/>
    <cellStyle name="20% - Accent2 7 2 5" xfId="10549"/>
    <cellStyle name="20% - Accent2 7 2 5 2" xfId="15528"/>
    <cellStyle name="20% - Accent2 7 2 5 3" xfId="15527"/>
    <cellStyle name="20% - Accent2 7 2 6" xfId="15529"/>
    <cellStyle name="20% - Accent2 7 2 7" xfId="15514"/>
    <cellStyle name="20% - Accent2 7 3" xfId="1964"/>
    <cellStyle name="20% - Accent2 7 3 2" xfId="8249"/>
    <cellStyle name="20% - Accent2 7 3 2 2" xfId="15532"/>
    <cellStyle name="20% - Accent2 7 3 2 3" xfId="15531"/>
    <cellStyle name="20% - Accent2 7 3 3" xfId="5122"/>
    <cellStyle name="20% - Accent2 7 3 3 2" xfId="15534"/>
    <cellStyle name="20% - Accent2 7 3 3 3" xfId="15533"/>
    <cellStyle name="20% - Accent2 7 3 4" xfId="11432"/>
    <cellStyle name="20% - Accent2 7 3 4 2" xfId="15536"/>
    <cellStyle name="20% - Accent2 7 3 4 3" xfId="15535"/>
    <cellStyle name="20% - Accent2 7 3 5" xfId="15537"/>
    <cellStyle name="20% - Accent2 7 3 6" xfId="15530"/>
    <cellStyle name="20% - Accent2 7 4" xfId="6686"/>
    <cellStyle name="20% - Accent2 7 4 2" xfId="15539"/>
    <cellStyle name="20% - Accent2 7 4 3" xfId="15538"/>
    <cellStyle name="20% - Accent2 7 5" xfId="3559"/>
    <cellStyle name="20% - Accent2 7 5 2" xfId="15541"/>
    <cellStyle name="20% - Accent2 7 5 3" xfId="15540"/>
    <cellStyle name="20% - Accent2 7 6" xfId="9991"/>
    <cellStyle name="20% - Accent2 7 6 2" xfId="15543"/>
    <cellStyle name="20% - Accent2 7 6 3" xfId="15542"/>
    <cellStyle name="20% - Accent2 7 7" xfId="15544"/>
    <cellStyle name="20% - Accent2 7 8" xfId="15513"/>
    <cellStyle name="20% - Accent2 8" xfId="401"/>
    <cellStyle name="20% - Accent2 8 2" xfId="1108"/>
    <cellStyle name="20% - Accent2 8 2 2" xfId="2673"/>
    <cellStyle name="20% - Accent2 8 2 2 2" xfId="8958"/>
    <cellStyle name="20% - Accent2 8 2 2 2 2" xfId="15549"/>
    <cellStyle name="20% - Accent2 8 2 2 2 3" xfId="15548"/>
    <cellStyle name="20% - Accent2 8 2 2 3" xfId="5831"/>
    <cellStyle name="20% - Accent2 8 2 2 3 2" xfId="15551"/>
    <cellStyle name="20% - Accent2 8 2 2 3 3" xfId="15550"/>
    <cellStyle name="20% - Accent2 8 2 2 4" xfId="12141"/>
    <cellStyle name="20% - Accent2 8 2 2 4 2" xfId="15553"/>
    <cellStyle name="20% - Accent2 8 2 2 4 3" xfId="15552"/>
    <cellStyle name="20% - Accent2 8 2 2 5" xfId="15554"/>
    <cellStyle name="20% - Accent2 8 2 2 6" xfId="15547"/>
    <cellStyle name="20% - Accent2 8 2 3" xfId="7395"/>
    <cellStyle name="20% - Accent2 8 2 3 2" xfId="15556"/>
    <cellStyle name="20% - Accent2 8 2 3 3" xfId="15555"/>
    <cellStyle name="20% - Accent2 8 2 4" xfId="4268"/>
    <cellStyle name="20% - Accent2 8 2 4 2" xfId="15558"/>
    <cellStyle name="20% - Accent2 8 2 4 3" xfId="15557"/>
    <cellStyle name="20% - Accent2 8 2 5" xfId="10578"/>
    <cellStyle name="20% - Accent2 8 2 5 2" xfId="15560"/>
    <cellStyle name="20% - Accent2 8 2 5 3" xfId="15559"/>
    <cellStyle name="20% - Accent2 8 2 6" xfId="15561"/>
    <cellStyle name="20% - Accent2 8 2 7" xfId="15546"/>
    <cellStyle name="20% - Accent2 8 3" xfId="1993"/>
    <cellStyle name="20% - Accent2 8 3 2" xfId="8278"/>
    <cellStyle name="20% - Accent2 8 3 2 2" xfId="15564"/>
    <cellStyle name="20% - Accent2 8 3 2 3" xfId="15563"/>
    <cellStyle name="20% - Accent2 8 3 3" xfId="5151"/>
    <cellStyle name="20% - Accent2 8 3 3 2" xfId="15566"/>
    <cellStyle name="20% - Accent2 8 3 3 3" xfId="15565"/>
    <cellStyle name="20% - Accent2 8 3 4" xfId="11461"/>
    <cellStyle name="20% - Accent2 8 3 4 2" xfId="15568"/>
    <cellStyle name="20% - Accent2 8 3 4 3" xfId="15567"/>
    <cellStyle name="20% - Accent2 8 3 5" xfId="15569"/>
    <cellStyle name="20% - Accent2 8 3 6" xfId="15562"/>
    <cellStyle name="20% - Accent2 8 4" xfId="6715"/>
    <cellStyle name="20% - Accent2 8 4 2" xfId="15571"/>
    <cellStyle name="20% - Accent2 8 4 3" xfId="15570"/>
    <cellStyle name="20% - Accent2 8 5" xfId="3588"/>
    <cellStyle name="20% - Accent2 8 5 2" xfId="15573"/>
    <cellStyle name="20% - Accent2 8 5 3" xfId="15572"/>
    <cellStyle name="20% - Accent2 8 6" xfId="10021"/>
    <cellStyle name="20% - Accent2 8 6 2" xfId="15575"/>
    <cellStyle name="20% - Accent2 8 6 3" xfId="15574"/>
    <cellStyle name="20% - Accent2 8 7" xfId="15576"/>
    <cellStyle name="20% - Accent2 8 8" xfId="15545"/>
    <cellStyle name="20% - Accent2 9" xfId="445"/>
    <cellStyle name="20% - Accent2 9 2" xfId="1152"/>
    <cellStyle name="20% - Accent2 9 2 2" xfId="2717"/>
    <cellStyle name="20% - Accent2 9 2 2 2" xfId="9002"/>
    <cellStyle name="20% - Accent2 9 2 2 2 2" xfId="15581"/>
    <cellStyle name="20% - Accent2 9 2 2 2 3" xfId="15580"/>
    <cellStyle name="20% - Accent2 9 2 2 3" xfId="5875"/>
    <cellStyle name="20% - Accent2 9 2 2 3 2" xfId="15583"/>
    <cellStyle name="20% - Accent2 9 2 2 3 3" xfId="15582"/>
    <cellStyle name="20% - Accent2 9 2 2 4" xfId="12185"/>
    <cellStyle name="20% - Accent2 9 2 2 4 2" xfId="15585"/>
    <cellStyle name="20% - Accent2 9 2 2 4 3" xfId="15584"/>
    <cellStyle name="20% - Accent2 9 2 2 5" xfId="15586"/>
    <cellStyle name="20% - Accent2 9 2 2 6" xfId="15579"/>
    <cellStyle name="20% - Accent2 9 2 3" xfId="7439"/>
    <cellStyle name="20% - Accent2 9 2 3 2" xfId="15588"/>
    <cellStyle name="20% - Accent2 9 2 3 3" xfId="15587"/>
    <cellStyle name="20% - Accent2 9 2 4" xfId="4312"/>
    <cellStyle name="20% - Accent2 9 2 4 2" xfId="15590"/>
    <cellStyle name="20% - Accent2 9 2 4 3" xfId="15589"/>
    <cellStyle name="20% - Accent2 9 2 5" xfId="10622"/>
    <cellStyle name="20% - Accent2 9 2 5 2" xfId="15592"/>
    <cellStyle name="20% - Accent2 9 2 5 3" xfId="15591"/>
    <cellStyle name="20% - Accent2 9 2 6" xfId="15593"/>
    <cellStyle name="20% - Accent2 9 2 7" xfId="15578"/>
    <cellStyle name="20% - Accent2 9 3" xfId="2037"/>
    <cellStyle name="20% - Accent2 9 3 2" xfId="8322"/>
    <cellStyle name="20% - Accent2 9 3 2 2" xfId="15596"/>
    <cellStyle name="20% - Accent2 9 3 2 3" xfId="15595"/>
    <cellStyle name="20% - Accent2 9 3 3" xfId="5195"/>
    <cellStyle name="20% - Accent2 9 3 3 2" xfId="15598"/>
    <cellStyle name="20% - Accent2 9 3 3 3" xfId="15597"/>
    <cellStyle name="20% - Accent2 9 3 4" xfId="11505"/>
    <cellStyle name="20% - Accent2 9 3 4 2" xfId="15600"/>
    <cellStyle name="20% - Accent2 9 3 4 3" xfId="15599"/>
    <cellStyle name="20% - Accent2 9 3 5" xfId="15601"/>
    <cellStyle name="20% - Accent2 9 3 6" xfId="15594"/>
    <cellStyle name="20% - Accent2 9 4" xfId="6759"/>
    <cellStyle name="20% - Accent2 9 4 2" xfId="15603"/>
    <cellStyle name="20% - Accent2 9 4 3" xfId="15602"/>
    <cellStyle name="20% - Accent2 9 5" xfId="3632"/>
    <cellStyle name="20% - Accent2 9 5 2" xfId="15605"/>
    <cellStyle name="20% - Accent2 9 5 3" xfId="15604"/>
    <cellStyle name="20% - Accent2 9 6" xfId="10064"/>
    <cellStyle name="20% - Accent2 9 6 2" xfId="15607"/>
    <cellStyle name="20% - Accent2 9 6 3" xfId="15606"/>
    <cellStyle name="20% - Accent2 9 7" xfId="15608"/>
    <cellStyle name="20% - Accent2 9 8" xfId="15577"/>
    <cellStyle name="20% - Accent3" xfId="36" builtinId="38" customBuiltin="1"/>
    <cellStyle name="20% - Accent3 10" xfId="461"/>
    <cellStyle name="20% - Accent3 10 2" xfId="1168"/>
    <cellStyle name="20% - Accent3 10 2 2" xfId="2733"/>
    <cellStyle name="20% - Accent3 10 2 2 2" xfId="9018"/>
    <cellStyle name="20% - Accent3 10 2 2 2 2" xfId="15614"/>
    <cellStyle name="20% - Accent3 10 2 2 2 3" xfId="15613"/>
    <cellStyle name="20% - Accent3 10 2 2 3" xfId="5891"/>
    <cellStyle name="20% - Accent3 10 2 2 3 2" xfId="15616"/>
    <cellStyle name="20% - Accent3 10 2 2 3 3" xfId="15615"/>
    <cellStyle name="20% - Accent3 10 2 2 4" xfId="12201"/>
    <cellStyle name="20% - Accent3 10 2 2 4 2" xfId="15618"/>
    <cellStyle name="20% - Accent3 10 2 2 4 3" xfId="15617"/>
    <cellStyle name="20% - Accent3 10 2 2 5" xfId="15619"/>
    <cellStyle name="20% - Accent3 10 2 2 6" xfId="15612"/>
    <cellStyle name="20% - Accent3 10 2 3" xfId="7455"/>
    <cellStyle name="20% - Accent3 10 2 3 2" xfId="15621"/>
    <cellStyle name="20% - Accent3 10 2 3 3" xfId="15620"/>
    <cellStyle name="20% - Accent3 10 2 4" xfId="4328"/>
    <cellStyle name="20% - Accent3 10 2 4 2" xfId="15623"/>
    <cellStyle name="20% - Accent3 10 2 4 3" xfId="15622"/>
    <cellStyle name="20% - Accent3 10 2 5" xfId="10638"/>
    <cellStyle name="20% - Accent3 10 2 5 2" xfId="15625"/>
    <cellStyle name="20% - Accent3 10 2 5 3" xfId="15624"/>
    <cellStyle name="20% - Accent3 10 2 6" xfId="15626"/>
    <cellStyle name="20% - Accent3 10 2 7" xfId="15611"/>
    <cellStyle name="20% - Accent3 10 3" xfId="2053"/>
    <cellStyle name="20% - Accent3 10 3 2" xfId="8338"/>
    <cellStyle name="20% - Accent3 10 3 2 2" xfId="15629"/>
    <cellStyle name="20% - Accent3 10 3 2 3" xfId="15628"/>
    <cellStyle name="20% - Accent3 10 3 3" xfId="5211"/>
    <cellStyle name="20% - Accent3 10 3 3 2" xfId="15631"/>
    <cellStyle name="20% - Accent3 10 3 3 3" xfId="15630"/>
    <cellStyle name="20% - Accent3 10 3 4" xfId="11521"/>
    <cellStyle name="20% - Accent3 10 3 4 2" xfId="15633"/>
    <cellStyle name="20% - Accent3 10 3 4 3" xfId="15632"/>
    <cellStyle name="20% - Accent3 10 3 5" xfId="15634"/>
    <cellStyle name="20% - Accent3 10 3 6" xfId="15627"/>
    <cellStyle name="20% - Accent3 10 4" xfId="6775"/>
    <cellStyle name="20% - Accent3 10 4 2" xfId="15636"/>
    <cellStyle name="20% - Accent3 10 4 3" xfId="15635"/>
    <cellStyle name="20% - Accent3 10 5" xfId="3648"/>
    <cellStyle name="20% - Accent3 10 5 2" xfId="15638"/>
    <cellStyle name="20% - Accent3 10 5 3" xfId="15637"/>
    <cellStyle name="20% - Accent3 10 6" xfId="10080"/>
    <cellStyle name="20% - Accent3 10 6 2" xfId="15640"/>
    <cellStyle name="20% - Accent3 10 6 3" xfId="15639"/>
    <cellStyle name="20% - Accent3 10 7" xfId="15641"/>
    <cellStyle name="20% - Accent3 10 8" xfId="15610"/>
    <cellStyle name="20% - Accent3 11" xfId="476"/>
    <cellStyle name="20% - Accent3 11 2" xfId="1183"/>
    <cellStyle name="20% - Accent3 11 2 2" xfId="2748"/>
    <cellStyle name="20% - Accent3 11 2 2 2" xfId="9033"/>
    <cellStyle name="20% - Accent3 11 2 2 2 2" xfId="15646"/>
    <cellStyle name="20% - Accent3 11 2 2 2 3" xfId="15645"/>
    <cellStyle name="20% - Accent3 11 2 2 3" xfId="5906"/>
    <cellStyle name="20% - Accent3 11 2 2 3 2" xfId="15648"/>
    <cellStyle name="20% - Accent3 11 2 2 3 3" xfId="15647"/>
    <cellStyle name="20% - Accent3 11 2 2 4" xfId="12216"/>
    <cellStyle name="20% - Accent3 11 2 2 4 2" xfId="15650"/>
    <cellStyle name="20% - Accent3 11 2 2 4 3" xfId="15649"/>
    <cellStyle name="20% - Accent3 11 2 2 5" xfId="15651"/>
    <cellStyle name="20% - Accent3 11 2 2 6" xfId="15644"/>
    <cellStyle name="20% - Accent3 11 2 3" xfId="7470"/>
    <cellStyle name="20% - Accent3 11 2 3 2" xfId="15653"/>
    <cellStyle name="20% - Accent3 11 2 3 3" xfId="15652"/>
    <cellStyle name="20% - Accent3 11 2 4" xfId="4343"/>
    <cellStyle name="20% - Accent3 11 2 4 2" xfId="15655"/>
    <cellStyle name="20% - Accent3 11 2 4 3" xfId="15654"/>
    <cellStyle name="20% - Accent3 11 2 5" xfId="10653"/>
    <cellStyle name="20% - Accent3 11 2 5 2" xfId="15657"/>
    <cellStyle name="20% - Accent3 11 2 5 3" xfId="15656"/>
    <cellStyle name="20% - Accent3 11 2 6" xfId="15658"/>
    <cellStyle name="20% - Accent3 11 2 7" xfId="15643"/>
    <cellStyle name="20% - Accent3 11 3" xfId="2068"/>
    <cellStyle name="20% - Accent3 11 3 2" xfId="8353"/>
    <cellStyle name="20% - Accent3 11 3 2 2" xfId="15661"/>
    <cellStyle name="20% - Accent3 11 3 2 3" xfId="15660"/>
    <cellStyle name="20% - Accent3 11 3 3" xfId="5226"/>
    <cellStyle name="20% - Accent3 11 3 3 2" xfId="15663"/>
    <cellStyle name="20% - Accent3 11 3 3 3" xfId="15662"/>
    <cellStyle name="20% - Accent3 11 3 4" xfId="11536"/>
    <cellStyle name="20% - Accent3 11 3 4 2" xfId="15665"/>
    <cellStyle name="20% - Accent3 11 3 4 3" xfId="15664"/>
    <cellStyle name="20% - Accent3 11 3 5" xfId="15666"/>
    <cellStyle name="20% - Accent3 11 3 6" xfId="15659"/>
    <cellStyle name="20% - Accent3 11 4" xfId="6790"/>
    <cellStyle name="20% - Accent3 11 4 2" xfId="15668"/>
    <cellStyle name="20% - Accent3 11 4 3" xfId="15667"/>
    <cellStyle name="20% - Accent3 11 5" xfId="3663"/>
    <cellStyle name="20% - Accent3 11 5 2" xfId="15670"/>
    <cellStyle name="20% - Accent3 11 5 3" xfId="15669"/>
    <cellStyle name="20% - Accent3 11 6" xfId="10095"/>
    <cellStyle name="20% - Accent3 11 6 2" xfId="15672"/>
    <cellStyle name="20% - Accent3 11 6 3" xfId="15671"/>
    <cellStyle name="20% - Accent3 11 7" xfId="15673"/>
    <cellStyle name="20% - Accent3 11 8" xfId="15642"/>
    <cellStyle name="20% - Accent3 12" xfId="491"/>
    <cellStyle name="20% - Accent3 12 2" xfId="1198"/>
    <cellStyle name="20% - Accent3 12 2 2" xfId="2763"/>
    <cellStyle name="20% - Accent3 12 2 2 2" xfId="9048"/>
    <cellStyle name="20% - Accent3 12 2 2 2 2" xfId="15678"/>
    <cellStyle name="20% - Accent3 12 2 2 2 3" xfId="15677"/>
    <cellStyle name="20% - Accent3 12 2 2 3" xfId="5921"/>
    <cellStyle name="20% - Accent3 12 2 2 3 2" xfId="15680"/>
    <cellStyle name="20% - Accent3 12 2 2 3 3" xfId="15679"/>
    <cellStyle name="20% - Accent3 12 2 2 4" xfId="12231"/>
    <cellStyle name="20% - Accent3 12 2 2 4 2" xfId="15682"/>
    <cellStyle name="20% - Accent3 12 2 2 4 3" xfId="15681"/>
    <cellStyle name="20% - Accent3 12 2 2 5" xfId="15683"/>
    <cellStyle name="20% - Accent3 12 2 2 6" xfId="15676"/>
    <cellStyle name="20% - Accent3 12 2 3" xfId="7485"/>
    <cellStyle name="20% - Accent3 12 2 3 2" xfId="15685"/>
    <cellStyle name="20% - Accent3 12 2 3 3" xfId="15684"/>
    <cellStyle name="20% - Accent3 12 2 4" xfId="4358"/>
    <cellStyle name="20% - Accent3 12 2 4 2" xfId="15687"/>
    <cellStyle name="20% - Accent3 12 2 4 3" xfId="15686"/>
    <cellStyle name="20% - Accent3 12 2 5" xfId="10668"/>
    <cellStyle name="20% - Accent3 12 2 5 2" xfId="15689"/>
    <cellStyle name="20% - Accent3 12 2 5 3" xfId="15688"/>
    <cellStyle name="20% - Accent3 12 2 6" xfId="15690"/>
    <cellStyle name="20% - Accent3 12 2 7" xfId="15675"/>
    <cellStyle name="20% - Accent3 12 3" xfId="2083"/>
    <cellStyle name="20% - Accent3 12 3 2" xfId="8368"/>
    <cellStyle name="20% - Accent3 12 3 2 2" xfId="15693"/>
    <cellStyle name="20% - Accent3 12 3 2 3" xfId="15692"/>
    <cellStyle name="20% - Accent3 12 3 3" xfId="5241"/>
    <cellStyle name="20% - Accent3 12 3 3 2" xfId="15695"/>
    <cellStyle name="20% - Accent3 12 3 3 3" xfId="15694"/>
    <cellStyle name="20% - Accent3 12 3 4" xfId="11551"/>
    <cellStyle name="20% - Accent3 12 3 4 2" xfId="15697"/>
    <cellStyle name="20% - Accent3 12 3 4 3" xfId="15696"/>
    <cellStyle name="20% - Accent3 12 3 5" xfId="15698"/>
    <cellStyle name="20% - Accent3 12 3 6" xfId="15691"/>
    <cellStyle name="20% - Accent3 12 4" xfId="6805"/>
    <cellStyle name="20% - Accent3 12 4 2" xfId="15700"/>
    <cellStyle name="20% - Accent3 12 4 3" xfId="15699"/>
    <cellStyle name="20% - Accent3 12 5" xfId="3678"/>
    <cellStyle name="20% - Accent3 12 5 2" xfId="15702"/>
    <cellStyle name="20% - Accent3 12 5 3" xfId="15701"/>
    <cellStyle name="20% - Accent3 12 6" xfId="10110"/>
    <cellStyle name="20% - Accent3 12 6 2" xfId="15704"/>
    <cellStyle name="20% - Accent3 12 6 3" xfId="15703"/>
    <cellStyle name="20% - Accent3 12 7" xfId="15705"/>
    <cellStyle name="20% - Accent3 12 8" xfId="15674"/>
    <cellStyle name="20% - Accent3 13" xfId="504"/>
    <cellStyle name="20% - Accent3 13 2" xfId="1211"/>
    <cellStyle name="20% - Accent3 13 2 2" xfId="2776"/>
    <cellStyle name="20% - Accent3 13 2 2 2" xfId="9061"/>
    <cellStyle name="20% - Accent3 13 2 2 2 2" xfId="15710"/>
    <cellStyle name="20% - Accent3 13 2 2 2 3" xfId="15709"/>
    <cellStyle name="20% - Accent3 13 2 2 3" xfId="5934"/>
    <cellStyle name="20% - Accent3 13 2 2 3 2" xfId="15712"/>
    <cellStyle name="20% - Accent3 13 2 2 3 3" xfId="15711"/>
    <cellStyle name="20% - Accent3 13 2 2 4" xfId="12244"/>
    <cellStyle name="20% - Accent3 13 2 2 4 2" xfId="15714"/>
    <cellStyle name="20% - Accent3 13 2 2 4 3" xfId="15713"/>
    <cellStyle name="20% - Accent3 13 2 2 5" xfId="15715"/>
    <cellStyle name="20% - Accent3 13 2 2 6" xfId="15708"/>
    <cellStyle name="20% - Accent3 13 2 3" xfId="7498"/>
    <cellStyle name="20% - Accent3 13 2 3 2" xfId="15717"/>
    <cellStyle name="20% - Accent3 13 2 3 3" xfId="15716"/>
    <cellStyle name="20% - Accent3 13 2 4" xfId="4371"/>
    <cellStyle name="20% - Accent3 13 2 4 2" xfId="15719"/>
    <cellStyle name="20% - Accent3 13 2 4 3" xfId="15718"/>
    <cellStyle name="20% - Accent3 13 2 5" xfId="10681"/>
    <cellStyle name="20% - Accent3 13 2 5 2" xfId="15721"/>
    <cellStyle name="20% - Accent3 13 2 5 3" xfId="15720"/>
    <cellStyle name="20% - Accent3 13 2 6" xfId="15722"/>
    <cellStyle name="20% - Accent3 13 2 7" xfId="15707"/>
    <cellStyle name="20% - Accent3 13 3" xfId="2096"/>
    <cellStyle name="20% - Accent3 13 3 2" xfId="8381"/>
    <cellStyle name="20% - Accent3 13 3 2 2" xfId="15725"/>
    <cellStyle name="20% - Accent3 13 3 2 3" xfId="15724"/>
    <cellStyle name="20% - Accent3 13 3 3" xfId="5254"/>
    <cellStyle name="20% - Accent3 13 3 3 2" xfId="15727"/>
    <cellStyle name="20% - Accent3 13 3 3 3" xfId="15726"/>
    <cellStyle name="20% - Accent3 13 3 4" xfId="11564"/>
    <cellStyle name="20% - Accent3 13 3 4 2" xfId="15729"/>
    <cellStyle name="20% - Accent3 13 3 4 3" xfId="15728"/>
    <cellStyle name="20% - Accent3 13 3 5" xfId="15730"/>
    <cellStyle name="20% - Accent3 13 3 6" xfId="15723"/>
    <cellStyle name="20% - Accent3 13 4" xfId="6818"/>
    <cellStyle name="20% - Accent3 13 4 2" xfId="15732"/>
    <cellStyle name="20% - Accent3 13 4 3" xfId="15731"/>
    <cellStyle name="20% - Accent3 13 5" xfId="3691"/>
    <cellStyle name="20% - Accent3 13 5 2" xfId="15734"/>
    <cellStyle name="20% - Accent3 13 5 3" xfId="15733"/>
    <cellStyle name="20% - Accent3 13 6" xfId="10123"/>
    <cellStyle name="20% - Accent3 13 6 2" xfId="15736"/>
    <cellStyle name="20% - Accent3 13 6 3" xfId="15735"/>
    <cellStyle name="20% - Accent3 13 7" xfId="15737"/>
    <cellStyle name="20% - Accent3 13 8" xfId="15706"/>
    <cellStyle name="20% - Accent3 14" xfId="518"/>
    <cellStyle name="20% - Accent3 14 2" xfId="1225"/>
    <cellStyle name="20% - Accent3 14 2 2" xfId="2790"/>
    <cellStyle name="20% - Accent3 14 2 2 2" xfId="9075"/>
    <cellStyle name="20% - Accent3 14 2 2 2 2" xfId="15742"/>
    <cellStyle name="20% - Accent3 14 2 2 2 3" xfId="15741"/>
    <cellStyle name="20% - Accent3 14 2 2 3" xfId="5948"/>
    <cellStyle name="20% - Accent3 14 2 2 3 2" xfId="15744"/>
    <cellStyle name="20% - Accent3 14 2 2 3 3" xfId="15743"/>
    <cellStyle name="20% - Accent3 14 2 2 4" xfId="12258"/>
    <cellStyle name="20% - Accent3 14 2 2 4 2" xfId="15746"/>
    <cellStyle name="20% - Accent3 14 2 2 4 3" xfId="15745"/>
    <cellStyle name="20% - Accent3 14 2 2 5" xfId="15747"/>
    <cellStyle name="20% - Accent3 14 2 2 6" xfId="15740"/>
    <cellStyle name="20% - Accent3 14 2 3" xfId="7512"/>
    <cellStyle name="20% - Accent3 14 2 3 2" xfId="15749"/>
    <cellStyle name="20% - Accent3 14 2 3 3" xfId="15748"/>
    <cellStyle name="20% - Accent3 14 2 4" xfId="4385"/>
    <cellStyle name="20% - Accent3 14 2 4 2" xfId="15751"/>
    <cellStyle name="20% - Accent3 14 2 4 3" xfId="15750"/>
    <cellStyle name="20% - Accent3 14 2 5" xfId="10695"/>
    <cellStyle name="20% - Accent3 14 2 5 2" xfId="15753"/>
    <cellStyle name="20% - Accent3 14 2 5 3" xfId="15752"/>
    <cellStyle name="20% - Accent3 14 2 6" xfId="15754"/>
    <cellStyle name="20% - Accent3 14 2 7" xfId="15739"/>
    <cellStyle name="20% - Accent3 14 3" xfId="2110"/>
    <cellStyle name="20% - Accent3 14 3 2" xfId="8395"/>
    <cellStyle name="20% - Accent3 14 3 2 2" xfId="15757"/>
    <cellStyle name="20% - Accent3 14 3 2 3" xfId="15756"/>
    <cellStyle name="20% - Accent3 14 3 3" xfId="5268"/>
    <cellStyle name="20% - Accent3 14 3 3 2" xfId="15759"/>
    <cellStyle name="20% - Accent3 14 3 3 3" xfId="15758"/>
    <cellStyle name="20% - Accent3 14 3 4" xfId="11578"/>
    <cellStyle name="20% - Accent3 14 3 4 2" xfId="15761"/>
    <cellStyle name="20% - Accent3 14 3 4 3" xfId="15760"/>
    <cellStyle name="20% - Accent3 14 3 5" xfId="15762"/>
    <cellStyle name="20% - Accent3 14 3 6" xfId="15755"/>
    <cellStyle name="20% - Accent3 14 4" xfId="6832"/>
    <cellStyle name="20% - Accent3 14 4 2" xfId="15764"/>
    <cellStyle name="20% - Accent3 14 4 3" xfId="15763"/>
    <cellStyle name="20% - Accent3 14 5" xfId="3705"/>
    <cellStyle name="20% - Accent3 14 5 2" xfId="15766"/>
    <cellStyle name="20% - Accent3 14 5 3" xfId="15765"/>
    <cellStyle name="20% - Accent3 14 6" xfId="10137"/>
    <cellStyle name="20% - Accent3 14 6 2" xfId="15768"/>
    <cellStyle name="20% - Accent3 14 6 3" xfId="15767"/>
    <cellStyle name="20% - Accent3 14 7" xfId="15769"/>
    <cellStyle name="20% - Accent3 14 8" xfId="15738"/>
    <cellStyle name="20% - Accent3 15" xfId="532"/>
    <cellStyle name="20% - Accent3 15 2" xfId="1239"/>
    <cellStyle name="20% - Accent3 15 2 2" xfId="2804"/>
    <cellStyle name="20% - Accent3 15 2 2 2" xfId="9089"/>
    <cellStyle name="20% - Accent3 15 2 2 2 2" xfId="15774"/>
    <cellStyle name="20% - Accent3 15 2 2 2 3" xfId="15773"/>
    <cellStyle name="20% - Accent3 15 2 2 3" xfId="5962"/>
    <cellStyle name="20% - Accent3 15 2 2 3 2" xfId="15776"/>
    <cellStyle name="20% - Accent3 15 2 2 3 3" xfId="15775"/>
    <cellStyle name="20% - Accent3 15 2 2 4" xfId="12272"/>
    <cellStyle name="20% - Accent3 15 2 2 4 2" xfId="15778"/>
    <cellStyle name="20% - Accent3 15 2 2 4 3" xfId="15777"/>
    <cellStyle name="20% - Accent3 15 2 2 5" xfId="15779"/>
    <cellStyle name="20% - Accent3 15 2 2 6" xfId="15772"/>
    <cellStyle name="20% - Accent3 15 2 3" xfId="7526"/>
    <cellStyle name="20% - Accent3 15 2 3 2" xfId="15781"/>
    <cellStyle name="20% - Accent3 15 2 3 3" xfId="15780"/>
    <cellStyle name="20% - Accent3 15 2 4" xfId="4399"/>
    <cellStyle name="20% - Accent3 15 2 4 2" xfId="15783"/>
    <cellStyle name="20% - Accent3 15 2 4 3" xfId="15782"/>
    <cellStyle name="20% - Accent3 15 2 5" xfId="10709"/>
    <cellStyle name="20% - Accent3 15 2 5 2" xfId="15785"/>
    <cellStyle name="20% - Accent3 15 2 5 3" xfId="15784"/>
    <cellStyle name="20% - Accent3 15 2 6" xfId="15786"/>
    <cellStyle name="20% - Accent3 15 2 7" xfId="15771"/>
    <cellStyle name="20% - Accent3 15 3" xfId="2124"/>
    <cellStyle name="20% - Accent3 15 3 2" xfId="8409"/>
    <cellStyle name="20% - Accent3 15 3 2 2" xfId="15789"/>
    <cellStyle name="20% - Accent3 15 3 2 3" xfId="15788"/>
    <cellStyle name="20% - Accent3 15 3 3" xfId="5282"/>
    <cellStyle name="20% - Accent3 15 3 3 2" xfId="15791"/>
    <cellStyle name="20% - Accent3 15 3 3 3" xfId="15790"/>
    <cellStyle name="20% - Accent3 15 3 4" xfId="11592"/>
    <cellStyle name="20% - Accent3 15 3 4 2" xfId="15793"/>
    <cellStyle name="20% - Accent3 15 3 4 3" xfId="15792"/>
    <cellStyle name="20% - Accent3 15 3 5" xfId="15794"/>
    <cellStyle name="20% - Accent3 15 3 6" xfId="15787"/>
    <cellStyle name="20% - Accent3 15 4" xfId="6846"/>
    <cellStyle name="20% - Accent3 15 4 2" xfId="15796"/>
    <cellStyle name="20% - Accent3 15 4 3" xfId="15795"/>
    <cellStyle name="20% - Accent3 15 5" xfId="3719"/>
    <cellStyle name="20% - Accent3 15 5 2" xfId="15798"/>
    <cellStyle name="20% - Accent3 15 5 3" xfId="15797"/>
    <cellStyle name="20% - Accent3 15 6" xfId="10151"/>
    <cellStyle name="20% - Accent3 15 6 2" xfId="15800"/>
    <cellStyle name="20% - Accent3 15 6 3" xfId="15799"/>
    <cellStyle name="20% - Accent3 15 7" xfId="15801"/>
    <cellStyle name="20% - Accent3 15 8" xfId="15770"/>
    <cellStyle name="20% - Accent3 16" xfId="546"/>
    <cellStyle name="20% - Accent3 16 2" xfId="1253"/>
    <cellStyle name="20% - Accent3 16 2 2" xfId="2818"/>
    <cellStyle name="20% - Accent3 16 2 2 2" xfId="9103"/>
    <cellStyle name="20% - Accent3 16 2 2 2 2" xfId="15806"/>
    <cellStyle name="20% - Accent3 16 2 2 2 3" xfId="15805"/>
    <cellStyle name="20% - Accent3 16 2 2 3" xfId="5976"/>
    <cellStyle name="20% - Accent3 16 2 2 3 2" xfId="15808"/>
    <cellStyle name="20% - Accent3 16 2 2 3 3" xfId="15807"/>
    <cellStyle name="20% - Accent3 16 2 2 4" xfId="12286"/>
    <cellStyle name="20% - Accent3 16 2 2 4 2" xfId="15810"/>
    <cellStyle name="20% - Accent3 16 2 2 4 3" xfId="15809"/>
    <cellStyle name="20% - Accent3 16 2 2 5" xfId="15811"/>
    <cellStyle name="20% - Accent3 16 2 2 6" xfId="15804"/>
    <cellStyle name="20% - Accent3 16 2 3" xfId="7540"/>
    <cellStyle name="20% - Accent3 16 2 3 2" xfId="15813"/>
    <cellStyle name="20% - Accent3 16 2 3 3" xfId="15812"/>
    <cellStyle name="20% - Accent3 16 2 4" xfId="4413"/>
    <cellStyle name="20% - Accent3 16 2 4 2" xfId="15815"/>
    <cellStyle name="20% - Accent3 16 2 4 3" xfId="15814"/>
    <cellStyle name="20% - Accent3 16 2 5" xfId="10723"/>
    <cellStyle name="20% - Accent3 16 2 5 2" xfId="15817"/>
    <cellStyle name="20% - Accent3 16 2 5 3" xfId="15816"/>
    <cellStyle name="20% - Accent3 16 2 6" xfId="15818"/>
    <cellStyle name="20% - Accent3 16 2 7" xfId="15803"/>
    <cellStyle name="20% - Accent3 16 3" xfId="2138"/>
    <cellStyle name="20% - Accent3 16 3 2" xfId="8423"/>
    <cellStyle name="20% - Accent3 16 3 2 2" xfId="15821"/>
    <cellStyle name="20% - Accent3 16 3 2 3" xfId="15820"/>
    <cellStyle name="20% - Accent3 16 3 3" xfId="5296"/>
    <cellStyle name="20% - Accent3 16 3 3 2" xfId="15823"/>
    <cellStyle name="20% - Accent3 16 3 3 3" xfId="15822"/>
    <cellStyle name="20% - Accent3 16 3 4" xfId="11606"/>
    <cellStyle name="20% - Accent3 16 3 4 2" xfId="15825"/>
    <cellStyle name="20% - Accent3 16 3 4 3" xfId="15824"/>
    <cellStyle name="20% - Accent3 16 3 5" xfId="15826"/>
    <cellStyle name="20% - Accent3 16 3 6" xfId="15819"/>
    <cellStyle name="20% - Accent3 16 4" xfId="6860"/>
    <cellStyle name="20% - Accent3 16 4 2" xfId="15828"/>
    <cellStyle name="20% - Accent3 16 4 3" xfId="15827"/>
    <cellStyle name="20% - Accent3 16 5" xfId="3733"/>
    <cellStyle name="20% - Accent3 16 5 2" xfId="15830"/>
    <cellStyle name="20% - Accent3 16 5 3" xfId="15829"/>
    <cellStyle name="20% - Accent3 16 6" xfId="10165"/>
    <cellStyle name="20% - Accent3 16 6 2" xfId="15832"/>
    <cellStyle name="20% - Accent3 16 6 3" xfId="15831"/>
    <cellStyle name="20% - Accent3 16 7" xfId="15833"/>
    <cellStyle name="20% - Accent3 16 8" xfId="15802"/>
    <cellStyle name="20% - Accent3 17" xfId="599"/>
    <cellStyle name="20% - Accent3 17 2" xfId="1306"/>
    <cellStyle name="20% - Accent3 17 2 2" xfId="2871"/>
    <cellStyle name="20% - Accent3 17 2 2 2" xfId="9156"/>
    <cellStyle name="20% - Accent3 17 2 2 2 2" xfId="15838"/>
    <cellStyle name="20% - Accent3 17 2 2 2 3" xfId="15837"/>
    <cellStyle name="20% - Accent3 17 2 2 3" xfId="6029"/>
    <cellStyle name="20% - Accent3 17 2 2 3 2" xfId="15840"/>
    <cellStyle name="20% - Accent3 17 2 2 3 3" xfId="15839"/>
    <cellStyle name="20% - Accent3 17 2 2 4" xfId="12339"/>
    <cellStyle name="20% - Accent3 17 2 2 4 2" xfId="15842"/>
    <cellStyle name="20% - Accent3 17 2 2 4 3" xfId="15841"/>
    <cellStyle name="20% - Accent3 17 2 2 5" xfId="15843"/>
    <cellStyle name="20% - Accent3 17 2 2 6" xfId="15836"/>
    <cellStyle name="20% - Accent3 17 2 3" xfId="7593"/>
    <cellStyle name="20% - Accent3 17 2 3 2" xfId="15845"/>
    <cellStyle name="20% - Accent3 17 2 3 3" xfId="15844"/>
    <cellStyle name="20% - Accent3 17 2 4" xfId="4466"/>
    <cellStyle name="20% - Accent3 17 2 4 2" xfId="15847"/>
    <cellStyle name="20% - Accent3 17 2 4 3" xfId="15846"/>
    <cellStyle name="20% - Accent3 17 2 5" xfId="10776"/>
    <cellStyle name="20% - Accent3 17 2 5 2" xfId="15849"/>
    <cellStyle name="20% - Accent3 17 2 5 3" xfId="15848"/>
    <cellStyle name="20% - Accent3 17 2 6" xfId="15850"/>
    <cellStyle name="20% - Accent3 17 2 7" xfId="15835"/>
    <cellStyle name="20% - Accent3 17 3" xfId="2191"/>
    <cellStyle name="20% - Accent3 17 3 2" xfId="8476"/>
    <cellStyle name="20% - Accent3 17 3 2 2" xfId="15853"/>
    <cellStyle name="20% - Accent3 17 3 2 3" xfId="15852"/>
    <cellStyle name="20% - Accent3 17 3 3" xfId="5349"/>
    <cellStyle name="20% - Accent3 17 3 3 2" xfId="15855"/>
    <cellStyle name="20% - Accent3 17 3 3 3" xfId="15854"/>
    <cellStyle name="20% - Accent3 17 3 4" xfId="11659"/>
    <cellStyle name="20% - Accent3 17 3 4 2" xfId="15857"/>
    <cellStyle name="20% - Accent3 17 3 4 3" xfId="15856"/>
    <cellStyle name="20% - Accent3 17 3 5" xfId="15858"/>
    <cellStyle name="20% - Accent3 17 3 6" xfId="15851"/>
    <cellStyle name="20% - Accent3 17 4" xfId="6913"/>
    <cellStyle name="20% - Accent3 17 4 2" xfId="15860"/>
    <cellStyle name="20% - Accent3 17 4 3" xfId="15859"/>
    <cellStyle name="20% - Accent3 17 5" xfId="3786"/>
    <cellStyle name="20% - Accent3 17 5 2" xfId="15862"/>
    <cellStyle name="20% - Accent3 17 5 3" xfId="15861"/>
    <cellStyle name="20% - Accent3 17 6" xfId="10218"/>
    <cellStyle name="20% - Accent3 17 6 2" xfId="15864"/>
    <cellStyle name="20% - Accent3 17 6 3" xfId="15863"/>
    <cellStyle name="20% - Accent3 17 7" xfId="15865"/>
    <cellStyle name="20% - Accent3 17 8" xfId="15834"/>
    <cellStyle name="20% - Accent3 18" xfId="658"/>
    <cellStyle name="20% - Accent3 18 2" xfId="1363"/>
    <cellStyle name="20% - Accent3 18 2 2" xfId="2928"/>
    <cellStyle name="20% - Accent3 18 2 2 2" xfId="9213"/>
    <cellStyle name="20% - Accent3 18 2 2 2 2" xfId="15870"/>
    <cellStyle name="20% - Accent3 18 2 2 2 3" xfId="15869"/>
    <cellStyle name="20% - Accent3 18 2 2 3" xfId="6086"/>
    <cellStyle name="20% - Accent3 18 2 2 3 2" xfId="15872"/>
    <cellStyle name="20% - Accent3 18 2 2 3 3" xfId="15871"/>
    <cellStyle name="20% - Accent3 18 2 2 4" xfId="12396"/>
    <cellStyle name="20% - Accent3 18 2 2 4 2" xfId="15874"/>
    <cellStyle name="20% - Accent3 18 2 2 4 3" xfId="15873"/>
    <cellStyle name="20% - Accent3 18 2 2 5" xfId="15875"/>
    <cellStyle name="20% - Accent3 18 2 2 6" xfId="15868"/>
    <cellStyle name="20% - Accent3 18 2 3" xfId="7650"/>
    <cellStyle name="20% - Accent3 18 2 3 2" xfId="15877"/>
    <cellStyle name="20% - Accent3 18 2 3 3" xfId="15876"/>
    <cellStyle name="20% - Accent3 18 2 4" xfId="4523"/>
    <cellStyle name="20% - Accent3 18 2 4 2" xfId="15879"/>
    <cellStyle name="20% - Accent3 18 2 4 3" xfId="15878"/>
    <cellStyle name="20% - Accent3 18 2 5" xfId="10833"/>
    <cellStyle name="20% - Accent3 18 2 5 2" xfId="15881"/>
    <cellStyle name="20% - Accent3 18 2 5 3" xfId="15880"/>
    <cellStyle name="20% - Accent3 18 2 6" xfId="15882"/>
    <cellStyle name="20% - Accent3 18 2 7" xfId="15867"/>
    <cellStyle name="20% - Accent3 18 3" xfId="2248"/>
    <cellStyle name="20% - Accent3 18 3 2" xfId="8533"/>
    <cellStyle name="20% - Accent3 18 3 2 2" xfId="15885"/>
    <cellStyle name="20% - Accent3 18 3 2 3" xfId="15884"/>
    <cellStyle name="20% - Accent3 18 3 3" xfId="5406"/>
    <cellStyle name="20% - Accent3 18 3 3 2" xfId="15887"/>
    <cellStyle name="20% - Accent3 18 3 3 3" xfId="15886"/>
    <cellStyle name="20% - Accent3 18 3 4" xfId="11716"/>
    <cellStyle name="20% - Accent3 18 3 4 2" xfId="15889"/>
    <cellStyle name="20% - Accent3 18 3 4 3" xfId="15888"/>
    <cellStyle name="20% - Accent3 18 3 5" xfId="15890"/>
    <cellStyle name="20% - Accent3 18 3 6" xfId="15883"/>
    <cellStyle name="20% - Accent3 18 4" xfId="6970"/>
    <cellStyle name="20% - Accent3 18 4 2" xfId="15892"/>
    <cellStyle name="20% - Accent3 18 4 3" xfId="15891"/>
    <cellStyle name="20% - Accent3 18 5" xfId="3843"/>
    <cellStyle name="20% - Accent3 18 5 2" xfId="15894"/>
    <cellStyle name="20% - Accent3 18 5 3" xfId="15893"/>
    <cellStyle name="20% - Accent3 18 6" xfId="10276"/>
    <cellStyle name="20% - Accent3 18 6 2" xfId="15896"/>
    <cellStyle name="20% - Accent3 18 6 3" xfId="15895"/>
    <cellStyle name="20% - Accent3 18 7" xfId="15897"/>
    <cellStyle name="20% - Accent3 18 8" xfId="15866"/>
    <cellStyle name="20% - Accent3 19" xfId="845"/>
    <cellStyle name="20% - Accent3 19 2" xfId="2411"/>
    <cellStyle name="20% - Accent3 19 2 2" xfId="8696"/>
    <cellStyle name="20% - Accent3 19 2 2 2" xfId="15901"/>
    <cellStyle name="20% - Accent3 19 2 2 3" xfId="15900"/>
    <cellStyle name="20% - Accent3 19 2 3" xfId="5569"/>
    <cellStyle name="20% - Accent3 19 2 3 2" xfId="15903"/>
    <cellStyle name="20% - Accent3 19 2 3 3" xfId="15902"/>
    <cellStyle name="20% - Accent3 19 2 4" xfId="11879"/>
    <cellStyle name="20% - Accent3 19 2 4 2" xfId="15905"/>
    <cellStyle name="20% - Accent3 19 2 4 3" xfId="15904"/>
    <cellStyle name="20% - Accent3 19 2 5" xfId="15906"/>
    <cellStyle name="20% - Accent3 19 2 6" xfId="15899"/>
    <cellStyle name="20% - Accent3 19 3" xfId="7133"/>
    <cellStyle name="20% - Accent3 19 3 2" xfId="15908"/>
    <cellStyle name="20% - Accent3 19 3 3" xfId="15907"/>
    <cellStyle name="20% - Accent3 19 4" xfId="4006"/>
    <cellStyle name="20% - Accent3 19 4 2" xfId="15910"/>
    <cellStyle name="20% - Accent3 19 4 3" xfId="15909"/>
    <cellStyle name="20% - Accent3 19 5" xfId="10316"/>
    <cellStyle name="20% - Accent3 19 5 2" xfId="15912"/>
    <cellStyle name="20% - Accent3 19 5 3" xfId="15911"/>
    <cellStyle name="20% - Accent3 19 6" xfId="15913"/>
    <cellStyle name="20% - Accent3 19 7" xfId="15898"/>
    <cellStyle name="20% - Accent3 2" xfId="59"/>
    <cellStyle name="20% - Accent3 2 10" xfId="858"/>
    <cellStyle name="20% - Accent3 2 10 2" xfId="2424"/>
    <cellStyle name="20% - Accent3 2 10 2 2" xfId="8709"/>
    <cellStyle name="20% - Accent3 2 10 2 2 2" xfId="15918"/>
    <cellStyle name="20% - Accent3 2 10 2 2 3" xfId="15917"/>
    <cellStyle name="20% - Accent3 2 10 2 3" xfId="5582"/>
    <cellStyle name="20% - Accent3 2 10 2 3 2" xfId="15920"/>
    <cellStyle name="20% - Accent3 2 10 2 3 3" xfId="15919"/>
    <cellStyle name="20% - Accent3 2 10 2 4" xfId="11892"/>
    <cellStyle name="20% - Accent3 2 10 2 4 2" xfId="15922"/>
    <cellStyle name="20% - Accent3 2 10 2 4 3" xfId="15921"/>
    <cellStyle name="20% - Accent3 2 10 2 5" xfId="15923"/>
    <cellStyle name="20% - Accent3 2 10 2 6" xfId="15916"/>
    <cellStyle name="20% - Accent3 2 10 3" xfId="7146"/>
    <cellStyle name="20% - Accent3 2 10 3 2" xfId="15925"/>
    <cellStyle name="20% - Accent3 2 10 3 3" xfId="15924"/>
    <cellStyle name="20% - Accent3 2 10 4" xfId="4019"/>
    <cellStyle name="20% - Accent3 2 10 4 2" xfId="15927"/>
    <cellStyle name="20% - Accent3 2 10 4 3" xfId="15926"/>
    <cellStyle name="20% - Accent3 2 10 5" xfId="10329"/>
    <cellStyle name="20% - Accent3 2 10 5 2" xfId="15929"/>
    <cellStyle name="20% - Accent3 2 10 5 3" xfId="15928"/>
    <cellStyle name="20% - Accent3 2 10 6" xfId="15930"/>
    <cellStyle name="20% - Accent3 2 10 7" xfId="15915"/>
    <cellStyle name="20% - Accent3 2 11" xfId="1528"/>
    <cellStyle name="20% - Accent3 2 11 2" xfId="3093"/>
    <cellStyle name="20% - Accent3 2 11 2 2" xfId="9378"/>
    <cellStyle name="20% - Accent3 2 11 2 2 2" xfId="15934"/>
    <cellStyle name="20% - Accent3 2 11 2 2 3" xfId="15933"/>
    <cellStyle name="20% - Accent3 2 11 2 3" xfId="6251"/>
    <cellStyle name="20% - Accent3 2 11 2 3 2" xfId="15936"/>
    <cellStyle name="20% - Accent3 2 11 2 3 3" xfId="15935"/>
    <cellStyle name="20% - Accent3 2 11 2 4" xfId="12561"/>
    <cellStyle name="20% - Accent3 2 11 2 4 2" xfId="15938"/>
    <cellStyle name="20% - Accent3 2 11 2 4 3" xfId="15937"/>
    <cellStyle name="20% - Accent3 2 11 2 5" xfId="15939"/>
    <cellStyle name="20% - Accent3 2 11 2 6" xfId="15932"/>
    <cellStyle name="20% - Accent3 2 11 3" xfId="7815"/>
    <cellStyle name="20% - Accent3 2 11 3 2" xfId="15941"/>
    <cellStyle name="20% - Accent3 2 11 3 3" xfId="15940"/>
    <cellStyle name="20% - Accent3 2 11 4" xfId="4688"/>
    <cellStyle name="20% - Accent3 2 11 4 2" xfId="15943"/>
    <cellStyle name="20% - Accent3 2 11 4 3" xfId="15942"/>
    <cellStyle name="20% - Accent3 2 11 5" xfId="10998"/>
    <cellStyle name="20% - Accent3 2 11 5 2" xfId="15945"/>
    <cellStyle name="20% - Accent3 2 11 5 3" xfId="15944"/>
    <cellStyle name="20% - Accent3 2 11 6" xfId="15946"/>
    <cellStyle name="20% - Accent3 2 11 7" xfId="15931"/>
    <cellStyle name="20% - Accent3 2 12" xfId="1743"/>
    <cellStyle name="20% - Accent3 2 12 2" xfId="8029"/>
    <cellStyle name="20% - Accent3 2 12 2 2" xfId="15949"/>
    <cellStyle name="20% - Accent3 2 12 2 3" xfId="15948"/>
    <cellStyle name="20% - Accent3 2 12 3" xfId="4902"/>
    <cellStyle name="20% - Accent3 2 12 3 2" xfId="15951"/>
    <cellStyle name="20% - Accent3 2 12 3 3" xfId="15950"/>
    <cellStyle name="20% - Accent3 2 12 4" xfId="11212"/>
    <cellStyle name="20% - Accent3 2 12 4 2" xfId="15953"/>
    <cellStyle name="20% - Accent3 2 12 4 3" xfId="15952"/>
    <cellStyle name="20% - Accent3 2 12 5" xfId="15954"/>
    <cellStyle name="20% - Accent3 2 12 6" xfId="15947"/>
    <cellStyle name="20% - Accent3 2 13" xfId="121"/>
    <cellStyle name="20% - Accent3 2 13 2" xfId="6466"/>
    <cellStyle name="20% - Accent3 2 13 2 2" xfId="15957"/>
    <cellStyle name="20% - Accent3 2 13 2 3" xfId="15956"/>
    <cellStyle name="20% - Accent3 2 13 3" xfId="9955"/>
    <cellStyle name="20% - Accent3 2 13 3 2" xfId="15959"/>
    <cellStyle name="20% - Accent3 2 13 3 3" xfId="15958"/>
    <cellStyle name="20% - Accent3 2 13 4" xfId="15960"/>
    <cellStyle name="20% - Accent3 2 13 5" xfId="15955"/>
    <cellStyle name="20% - Accent3 2 14" xfId="3312"/>
    <cellStyle name="20% - Accent3 2 14 2" xfId="15962"/>
    <cellStyle name="20% - Accent3 2 14 3" xfId="15961"/>
    <cellStyle name="20% - Accent3 2 15" xfId="3339"/>
    <cellStyle name="20% - Accent3 2 15 2" xfId="15964"/>
    <cellStyle name="20% - Accent3 2 15 3" xfId="15963"/>
    <cellStyle name="20% - Accent3 2 16" xfId="9596"/>
    <cellStyle name="20% - Accent3 2 16 2" xfId="15966"/>
    <cellStyle name="20% - Accent3 2 16 3" xfId="15965"/>
    <cellStyle name="20% - Accent3 2 17" xfId="15967"/>
    <cellStyle name="20% - Accent3 2 18" xfId="15914"/>
    <cellStyle name="20% - Accent3 2 19" xfId="38127"/>
    <cellStyle name="20% - Accent3 2 2" xfId="92"/>
    <cellStyle name="20% - Accent3 2 2 2" xfId="293"/>
    <cellStyle name="20% - Accent3 2 2 2 2" xfId="1003"/>
    <cellStyle name="20% - Accent3 2 2 2 2 2" xfId="2569"/>
    <cellStyle name="20% - Accent3 2 2 2 2 2 2" xfId="8854"/>
    <cellStyle name="20% - Accent3 2 2 2 2 2 2 2" xfId="15973"/>
    <cellStyle name="20% - Accent3 2 2 2 2 2 2 3" xfId="15972"/>
    <cellStyle name="20% - Accent3 2 2 2 2 2 3" xfId="5727"/>
    <cellStyle name="20% - Accent3 2 2 2 2 2 3 2" xfId="15975"/>
    <cellStyle name="20% - Accent3 2 2 2 2 2 3 3" xfId="15974"/>
    <cellStyle name="20% - Accent3 2 2 2 2 2 4" xfId="12037"/>
    <cellStyle name="20% - Accent3 2 2 2 2 2 4 2" xfId="15977"/>
    <cellStyle name="20% - Accent3 2 2 2 2 2 4 3" xfId="15976"/>
    <cellStyle name="20% - Accent3 2 2 2 2 2 5" xfId="15978"/>
    <cellStyle name="20% - Accent3 2 2 2 2 2 6" xfId="15971"/>
    <cellStyle name="20% - Accent3 2 2 2 2 3" xfId="7291"/>
    <cellStyle name="20% - Accent3 2 2 2 2 3 2" xfId="15980"/>
    <cellStyle name="20% - Accent3 2 2 2 2 3 3" xfId="15979"/>
    <cellStyle name="20% - Accent3 2 2 2 2 4" xfId="4164"/>
    <cellStyle name="20% - Accent3 2 2 2 2 4 2" xfId="15982"/>
    <cellStyle name="20% - Accent3 2 2 2 2 4 3" xfId="15981"/>
    <cellStyle name="20% - Accent3 2 2 2 2 5" xfId="10474"/>
    <cellStyle name="20% - Accent3 2 2 2 2 5 2" xfId="15984"/>
    <cellStyle name="20% - Accent3 2 2 2 2 5 3" xfId="15983"/>
    <cellStyle name="20% - Accent3 2 2 2 2 6" xfId="15985"/>
    <cellStyle name="20% - Accent3 2 2 2 2 7" xfId="15970"/>
    <cellStyle name="20% - Accent3 2 2 2 3" xfId="1889"/>
    <cellStyle name="20% - Accent3 2 2 2 3 2" xfId="8174"/>
    <cellStyle name="20% - Accent3 2 2 2 3 2 2" xfId="15988"/>
    <cellStyle name="20% - Accent3 2 2 2 3 2 3" xfId="15987"/>
    <cellStyle name="20% - Accent3 2 2 2 3 3" xfId="5047"/>
    <cellStyle name="20% - Accent3 2 2 2 3 3 2" xfId="15990"/>
    <cellStyle name="20% - Accent3 2 2 2 3 3 3" xfId="15989"/>
    <cellStyle name="20% - Accent3 2 2 2 3 4" xfId="11357"/>
    <cellStyle name="20% - Accent3 2 2 2 3 4 2" xfId="15992"/>
    <cellStyle name="20% - Accent3 2 2 2 3 4 3" xfId="15991"/>
    <cellStyle name="20% - Accent3 2 2 2 3 5" xfId="15993"/>
    <cellStyle name="20% - Accent3 2 2 2 3 6" xfId="15986"/>
    <cellStyle name="20% - Accent3 2 2 2 4" xfId="6611"/>
    <cellStyle name="20% - Accent3 2 2 2 4 2" xfId="15995"/>
    <cellStyle name="20% - Accent3 2 2 2 4 3" xfId="15994"/>
    <cellStyle name="20% - Accent3 2 2 2 5" xfId="3484"/>
    <cellStyle name="20% - Accent3 2 2 2 5 2" xfId="15997"/>
    <cellStyle name="20% - Accent3 2 2 2 5 3" xfId="15996"/>
    <cellStyle name="20% - Accent3 2 2 2 6" xfId="9865"/>
    <cellStyle name="20% - Accent3 2 2 2 6 2" xfId="15999"/>
    <cellStyle name="20% - Accent3 2 2 2 6 3" xfId="15998"/>
    <cellStyle name="20% - Accent3 2 2 2 7" xfId="16000"/>
    <cellStyle name="20% - Accent3 2 2 2 8" xfId="15969"/>
    <cellStyle name="20% - Accent3 2 2 3" xfId="888"/>
    <cellStyle name="20% - Accent3 2 2 3 2" xfId="2454"/>
    <cellStyle name="20% - Accent3 2 2 3 2 2" xfId="8739"/>
    <cellStyle name="20% - Accent3 2 2 3 2 2 2" xfId="16004"/>
    <cellStyle name="20% - Accent3 2 2 3 2 2 3" xfId="16003"/>
    <cellStyle name="20% - Accent3 2 2 3 2 3" xfId="5612"/>
    <cellStyle name="20% - Accent3 2 2 3 2 3 2" xfId="16006"/>
    <cellStyle name="20% - Accent3 2 2 3 2 3 3" xfId="16005"/>
    <cellStyle name="20% - Accent3 2 2 3 2 4" xfId="11922"/>
    <cellStyle name="20% - Accent3 2 2 3 2 4 2" xfId="16008"/>
    <cellStyle name="20% - Accent3 2 2 3 2 4 3" xfId="16007"/>
    <cellStyle name="20% - Accent3 2 2 3 2 5" xfId="16009"/>
    <cellStyle name="20% - Accent3 2 2 3 2 6" xfId="16002"/>
    <cellStyle name="20% - Accent3 2 2 3 3" xfId="7176"/>
    <cellStyle name="20% - Accent3 2 2 3 3 2" xfId="16011"/>
    <cellStyle name="20% - Accent3 2 2 3 3 3" xfId="16010"/>
    <cellStyle name="20% - Accent3 2 2 3 4" xfId="4049"/>
    <cellStyle name="20% - Accent3 2 2 3 4 2" xfId="16013"/>
    <cellStyle name="20% - Accent3 2 2 3 4 3" xfId="16012"/>
    <cellStyle name="20% - Accent3 2 2 3 5" xfId="10359"/>
    <cellStyle name="20% - Accent3 2 2 3 5 2" xfId="16015"/>
    <cellStyle name="20% - Accent3 2 2 3 5 3" xfId="16014"/>
    <cellStyle name="20% - Accent3 2 2 3 6" xfId="16016"/>
    <cellStyle name="20% - Accent3 2 2 3 7" xfId="16001"/>
    <cellStyle name="20% - Accent3 2 2 4" xfId="1774"/>
    <cellStyle name="20% - Accent3 2 2 4 2" xfId="8059"/>
    <cellStyle name="20% - Accent3 2 2 4 2 2" xfId="16019"/>
    <cellStyle name="20% - Accent3 2 2 4 2 3" xfId="16018"/>
    <cellStyle name="20% - Accent3 2 2 4 3" xfId="4932"/>
    <cellStyle name="20% - Accent3 2 2 4 3 2" xfId="16021"/>
    <cellStyle name="20% - Accent3 2 2 4 3 3" xfId="16020"/>
    <cellStyle name="20% - Accent3 2 2 4 4" xfId="11242"/>
    <cellStyle name="20% - Accent3 2 2 4 4 2" xfId="16023"/>
    <cellStyle name="20% - Accent3 2 2 4 4 3" xfId="16022"/>
    <cellStyle name="20% - Accent3 2 2 4 5" xfId="16024"/>
    <cellStyle name="20% - Accent3 2 2 4 6" xfId="16017"/>
    <cellStyle name="20% - Accent3 2 2 5" xfId="152"/>
    <cellStyle name="20% - Accent3 2 2 5 2" xfId="6496"/>
    <cellStyle name="20% - Accent3 2 2 5 2 2" xfId="16027"/>
    <cellStyle name="20% - Accent3 2 2 5 2 3" xfId="16026"/>
    <cellStyle name="20% - Accent3 2 2 5 3" xfId="16028"/>
    <cellStyle name="20% - Accent3 2 2 5 4" xfId="16025"/>
    <cellStyle name="20% - Accent3 2 2 6" xfId="3369"/>
    <cellStyle name="20% - Accent3 2 2 6 2" xfId="16030"/>
    <cellStyle name="20% - Accent3 2 2 6 3" xfId="16029"/>
    <cellStyle name="20% - Accent3 2 2 7" xfId="9922"/>
    <cellStyle name="20% - Accent3 2 2 7 2" xfId="16032"/>
    <cellStyle name="20% - Accent3 2 2 7 3" xfId="16031"/>
    <cellStyle name="20% - Accent3 2 2 8" xfId="16033"/>
    <cellStyle name="20% - Accent3 2 2 9" xfId="15968"/>
    <cellStyle name="20% - Accent3 2 3" xfId="191"/>
    <cellStyle name="20% - Accent3 2 3 2" xfId="319"/>
    <cellStyle name="20% - Accent3 2 3 2 2" xfId="1029"/>
    <cellStyle name="20% - Accent3 2 3 2 2 2" xfId="2595"/>
    <cellStyle name="20% - Accent3 2 3 2 2 2 2" xfId="8880"/>
    <cellStyle name="20% - Accent3 2 3 2 2 2 2 2" xfId="16039"/>
    <cellStyle name="20% - Accent3 2 3 2 2 2 2 3" xfId="16038"/>
    <cellStyle name="20% - Accent3 2 3 2 2 2 3" xfId="5753"/>
    <cellStyle name="20% - Accent3 2 3 2 2 2 3 2" xfId="16041"/>
    <cellStyle name="20% - Accent3 2 3 2 2 2 3 3" xfId="16040"/>
    <cellStyle name="20% - Accent3 2 3 2 2 2 4" xfId="12063"/>
    <cellStyle name="20% - Accent3 2 3 2 2 2 4 2" xfId="16043"/>
    <cellStyle name="20% - Accent3 2 3 2 2 2 4 3" xfId="16042"/>
    <cellStyle name="20% - Accent3 2 3 2 2 2 5" xfId="16044"/>
    <cellStyle name="20% - Accent3 2 3 2 2 2 6" xfId="16037"/>
    <cellStyle name="20% - Accent3 2 3 2 2 3" xfId="7317"/>
    <cellStyle name="20% - Accent3 2 3 2 2 3 2" xfId="16046"/>
    <cellStyle name="20% - Accent3 2 3 2 2 3 3" xfId="16045"/>
    <cellStyle name="20% - Accent3 2 3 2 2 4" xfId="4190"/>
    <cellStyle name="20% - Accent3 2 3 2 2 4 2" xfId="16048"/>
    <cellStyle name="20% - Accent3 2 3 2 2 4 3" xfId="16047"/>
    <cellStyle name="20% - Accent3 2 3 2 2 5" xfId="10500"/>
    <cellStyle name="20% - Accent3 2 3 2 2 5 2" xfId="16050"/>
    <cellStyle name="20% - Accent3 2 3 2 2 5 3" xfId="16049"/>
    <cellStyle name="20% - Accent3 2 3 2 2 6" xfId="16051"/>
    <cellStyle name="20% - Accent3 2 3 2 2 7" xfId="16036"/>
    <cellStyle name="20% - Accent3 2 3 2 3" xfId="1915"/>
    <cellStyle name="20% - Accent3 2 3 2 3 2" xfId="8200"/>
    <cellStyle name="20% - Accent3 2 3 2 3 2 2" xfId="16054"/>
    <cellStyle name="20% - Accent3 2 3 2 3 2 3" xfId="16053"/>
    <cellStyle name="20% - Accent3 2 3 2 3 3" xfId="5073"/>
    <cellStyle name="20% - Accent3 2 3 2 3 3 2" xfId="16056"/>
    <cellStyle name="20% - Accent3 2 3 2 3 3 3" xfId="16055"/>
    <cellStyle name="20% - Accent3 2 3 2 3 4" xfId="11383"/>
    <cellStyle name="20% - Accent3 2 3 2 3 4 2" xfId="16058"/>
    <cellStyle name="20% - Accent3 2 3 2 3 4 3" xfId="16057"/>
    <cellStyle name="20% - Accent3 2 3 2 3 5" xfId="16059"/>
    <cellStyle name="20% - Accent3 2 3 2 3 6" xfId="16052"/>
    <cellStyle name="20% - Accent3 2 3 2 4" xfId="6637"/>
    <cellStyle name="20% - Accent3 2 3 2 4 2" xfId="16061"/>
    <cellStyle name="20% - Accent3 2 3 2 4 3" xfId="16060"/>
    <cellStyle name="20% - Accent3 2 3 2 5" xfId="3510"/>
    <cellStyle name="20% - Accent3 2 3 2 5 2" xfId="16063"/>
    <cellStyle name="20% - Accent3 2 3 2 5 3" xfId="16062"/>
    <cellStyle name="20% - Accent3 2 3 2 6" xfId="9842"/>
    <cellStyle name="20% - Accent3 2 3 2 6 2" xfId="16065"/>
    <cellStyle name="20% - Accent3 2 3 2 6 3" xfId="16064"/>
    <cellStyle name="20% - Accent3 2 3 2 7" xfId="16066"/>
    <cellStyle name="20% - Accent3 2 3 2 8" xfId="16035"/>
    <cellStyle name="20% - Accent3 2 3 3" xfId="924"/>
    <cellStyle name="20% - Accent3 2 3 3 2" xfId="2490"/>
    <cellStyle name="20% - Accent3 2 3 3 2 2" xfId="8775"/>
    <cellStyle name="20% - Accent3 2 3 3 2 2 2" xfId="16070"/>
    <cellStyle name="20% - Accent3 2 3 3 2 2 3" xfId="16069"/>
    <cellStyle name="20% - Accent3 2 3 3 2 3" xfId="5648"/>
    <cellStyle name="20% - Accent3 2 3 3 2 3 2" xfId="16072"/>
    <cellStyle name="20% - Accent3 2 3 3 2 3 3" xfId="16071"/>
    <cellStyle name="20% - Accent3 2 3 3 2 4" xfId="11958"/>
    <cellStyle name="20% - Accent3 2 3 3 2 4 2" xfId="16074"/>
    <cellStyle name="20% - Accent3 2 3 3 2 4 3" xfId="16073"/>
    <cellStyle name="20% - Accent3 2 3 3 2 5" xfId="16075"/>
    <cellStyle name="20% - Accent3 2 3 3 2 6" xfId="16068"/>
    <cellStyle name="20% - Accent3 2 3 3 3" xfId="7212"/>
    <cellStyle name="20% - Accent3 2 3 3 3 2" xfId="16077"/>
    <cellStyle name="20% - Accent3 2 3 3 3 3" xfId="16076"/>
    <cellStyle name="20% - Accent3 2 3 3 4" xfId="4085"/>
    <cellStyle name="20% - Accent3 2 3 3 4 2" xfId="16079"/>
    <cellStyle name="20% - Accent3 2 3 3 4 3" xfId="16078"/>
    <cellStyle name="20% - Accent3 2 3 3 5" xfId="10395"/>
    <cellStyle name="20% - Accent3 2 3 3 5 2" xfId="16081"/>
    <cellStyle name="20% - Accent3 2 3 3 5 3" xfId="16080"/>
    <cellStyle name="20% - Accent3 2 3 3 6" xfId="16082"/>
    <cellStyle name="20% - Accent3 2 3 3 7" xfId="16067"/>
    <cellStyle name="20% - Accent3 2 3 4" xfId="1810"/>
    <cellStyle name="20% - Accent3 2 3 4 2" xfId="8095"/>
    <cellStyle name="20% - Accent3 2 3 4 2 2" xfId="16085"/>
    <cellStyle name="20% - Accent3 2 3 4 2 3" xfId="16084"/>
    <cellStyle name="20% - Accent3 2 3 4 3" xfId="4968"/>
    <cellStyle name="20% - Accent3 2 3 4 3 2" xfId="16087"/>
    <cellStyle name="20% - Accent3 2 3 4 3 3" xfId="16086"/>
    <cellStyle name="20% - Accent3 2 3 4 4" xfId="11278"/>
    <cellStyle name="20% - Accent3 2 3 4 4 2" xfId="16089"/>
    <cellStyle name="20% - Accent3 2 3 4 4 3" xfId="16088"/>
    <cellStyle name="20% - Accent3 2 3 4 5" xfId="16090"/>
    <cellStyle name="20% - Accent3 2 3 4 6" xfId="16083"/>
    <cellStyle name="20% - Accent3 2 3 5" xfId="6532"/>
    <cellStyle name="20% - Accent3 2 3 5 2" xfId="16092"/>
    <cellStyle name="20% - Accent3 2 3 5 3" xfId="16091"/>
    <cellStyle name="20% - Accent3 2 3 6" xfId="3405"/>
    <cellStyle name="20% - Accent3 2 3 6 2" xfId="16094"/>
    <cellStyle name="20% - Accent3 2 3 6 3" xfId="16093"/>
    <cellStyle name="20% - Accent3 2 3 7" xfId="9823"/>
    <cellStyle name="20% - Accent3 2 3 7 2" xfId="16096"/>
    <cellStyle name="20% - Accent3 2 3 7 3" xfId="16095"/>
    <cellStyle name="20% - Accent3 2 3 8" xfId="16097"/>
    <cellStyle name="20% - Accent3 2 3 9" xfId="16034"/>
    <cellStyle name="20% - Accent3 2 4" xfId="228"/>
    <cellStyle name="20% - Accent3 2 4 2" xfId="939"/>
    <cellStyle name="20% - Accent3 2 4 2 2" xfId="2505"/>
    <cellStyle name="20% - Accent3 2 4 2 2 2" xfId="8790"/>
    <cellStyle name="20% - Accent3 2 4 2 2 2 2" xfId="16102"/>
    <cellStyle name="20% - Accent3 2 4 2 2 2 3" xfId="16101"/>
    <cellStyle name="20% - Accent3 2 4 2 2 3" xfId="5663"/>
    <cellStyle name="20% - Accent3 2 4 2 2 3 2" xfId="16104"/>
    <cellStyle name="20% - Accent3 2 4 2 2 3 3" xfId="16103"/>
    <cellStyle name="20% - Accent3 2 4 2 2 4" xfId="11973"/>
    <cellStyle name="20% - Accent3 2 4 2 2 4 2" xfId="16106"/>
    <cellStyle name="20% - Accent3 2 4 2 2 4 3" xfId="16105"/>
    <cellStyle name="20% - Accent3 2 4 2 2 5" xfId="16107"/>
    <cellStyle name="20% - Accent3 2 4 2 2 6" xfId="16100"/>
    <cellStyle name="20% - Accent3 2 4 2 3" xfId="7227"/>
    <cellStyle name="20% - Accent3 2 4 2 3 2" xfId="16109"/>
    <cellStyle name="20% - Accent3 2 4 2 3 3" xfId="16108"/>
    <cellStyle name="20% - Accent3 2 4 2 4" xfId="4100"/>
    <cellStyle name="20% - Accent3 2 4 2 4 2" xfId="16111"/>
    <cellStyle name="20% - Accent3 2 4 2 4 3" xfId="16110"/>
    <cellStyle name="20% - Accent3 2 4 2 5" xfId="10410"/>
    <cellStyle name="20% - Accent3 2 4 2 5 2" xfId="16113"/>
    <cellStyle name="20% - Accent3 2 4 2 5 3" xfId="16112"/>
    <cellStyle name="20% - Accent3 2 4 2 6" xfId="16114"/>
    <cellStyle name="20% - Accent3 2 4 2 7" xfId="16099"/>
    <cellStyle name="20% - Accent3 2 4 3" xfId="1825"/>
    <cellStyle name="20% - Accent3 2 4 3 2" xfId="8110"/>
    <cellStyle name="20% - Accent3 2 4 3 2 2" xfId="16117"/>
    <cellStyle name="20% - Accent3 2 4 3 2 3" xfId="16116"/>
    <cellStyle name="20% - Accent3 2 4 3 3" xfId="4983"/>
    <cellStyle name="20% - Accent3 2 4 3 3 2" xfId="16119"/>
    <cellStyle name="20% - Accent3 2 4 3 3 3" xfId="16118"/>
    <cellStyle name="20% - Accent3 2 4 3 4" xfId="11293"/>
    <cellStyle name="20% - Accent3 2 4 3 4 2" xfId="16121"/>
    <cellStyle name="20% - Accent3 2 4 3 4 3" xfId="16120"/>
    <cellStyle name="20% - Accent3 2 4 3 5" xfId="16122"/>
    <cellStyle name="20% - Accent3 2 4 3 6" xfId="16115"/>
    <cellStyle name="20% - Accent3 2 4 4" xfId="6547"/>
    <cellStyle name="20% - Accent3 2 4 4 2" xfId="16124"/>
    <cellStyle name="20% - Accent3 2 4 4 3" xfId="16123"/>
    <cellStyle name="20% - Accent3 2 4 5" xfId="3420"/>
    <cellStyle name="20% - Accent3 2 4 5 2" xfId="16126"/>
    <cellStyle name="20% - Accent3 2 4 5 3" xfId="16125"/>
    <cellStyle name="20% - Accent3 2 4 6" xfId="9947"/>
    <cellStyle name="20% - Accent3 2 4 6 2" xfId="16128"/>
    <cellStyle name="20% - Accent3 2 4 6 3" xfId="16127"/>
    <cellStyle name="20% - Accent3 2 4 7" xfId="16129"/>
    <cellStyle name="20% - Accent3 2 4 8" xfId="16098"/>
    <cellStyle name="20% - Accent3 2 5" xfId="279"/>
    <cellStyle name="20% - Accent3 2 5 2" xfId="990"/>
    <cellStyle name="20% - Accent3 2 5 2 2" xfId="2556"/>
    <cellStyle name="20% - Accent3 2 5 2 2 2" xfId="8841"/>
    <cellStyle name="20% - Accent3 2 5 2 2 2 2" xfId="16134"/>
    <cellStyle name="20% - Accent3 2 5 2 2 2 3" xfId="16133"/>
    <cellStyle name="20% - Accent3 2 5 2 2 3" xfId="5714"/>
    <cellStyle name="20% - Accent3 2 5 2 2 3 2" xfId="16136"/>
    <cellStyle name="20% - Accent3 2 5 2 2 3 3" xfId="16135"/>
    <cellStyle name="20% - Accent3 2 5 2 2 4" xfId="12024"/>
    <cellStyle name="20% - Accent3 2 5 2 2 4 2" xfId="16138"/>
    <cellStyle name="20% - Accent3 2 5 2 2 4 3" xfId="16137"/>
    <cellStyle name="20% - Accent3 2 5 2 2 5" xfId="16139"/>
    <cellStyle name="20% - Accent3 2 5 2 2 6" xfId="16132"/>
    <cellStyle name="20% - Accent3 2 5 2 3" xfId="7278"/>
    <cellStyle name="20% - Accent3 2 5 2 3 2" xfId="16141"/>
    <cellStyle name="20% - Accent3 2 5 2 3 3" xfId="16140"/>
    <cellStyle name="20% - Accent3 2 5 2 4" xfId="4151"/>
    <cellStyle name="20% - Accent3 2 5 2 4 2" xfId="16143"/>
    <cellStyle name="20% - Accent3 2 5 2 4 3" xfId="16142"/>
    <cellStyle name="20% - Accent3 2 5 2 5" xfId="10461"/>
    <cellStyle name="20% - Accent3 2 5 2 5 2" xfId="16145"/>
    <cellStyle name="20% - Accent3 2 5 2 5 3" xfId="16144"/>
    <cellStyle name="20% - Accent3 2 5 2 6" xfId="16146"/>
    <cellStyle name="20% - Accent3 2 5 2 7" xfId="16131"/>
    <cellStyle name="20% - Accent3 2 5 3" xfId="1876"/>
    <cellStyle name="20% - Accent3 2 5 3 2" xfId="8161"/>
    <cellStyle name="20% - Accent3 2 5 3 2 2" xfId="16149"/>
    <cellStyle name="20% - Accent3 2 5 3 2 3" xfId="16148"/>
    <cellStyle name="20% - Accent3 2 5 3 3" xfId="5034"/>
    <cellStyle name="20% - Accent3 2 5 3 3 2" xfId="16151"/>
    <cellStyle name="20% - Accent3 2 5 3 3 3" xfId="16150"/>
    <cellStyle name="20% - Accent3 2 5 3 4" xfId="11344"/>
    <cellStyle name="20% - Accent3 2 5 3 4 2" xfId="16153"/>
    <cellStyle name="20% - Accent3 2 5 3 4 3" xfId="16152"/>
    <cellStyle name="20% - Accent3 2 5 3 5" xfId="16154"/>
    <cellStyle name="20% - Accent3 2 5 3 6" xfId="16147"/>
    <cellStyle name="20% - Accent3 2 5 4" xfId="6598"/>
    <cellStyle name="20% - Accent3 2 5 4 2" xfId="16156"/>
    <cellStyle name="20% - Accent3 2 5 4 3" xfId="16155"/>
    <cellStyle name="20% - Accent3 2 5 5" xfId="3471"/>
    <cellStyle name="20% - Accent3 2 5 5 2" xfId="16158"/>
    <cellStyle name="20% - Accent3 2 5 5 3" xfId="16157"/>
    <cellStyle name="20% - Accent3 2 5 6" xfId="9839"/>
    <cellStyle name="20% - Accent3 2 5 6 2" xfId="16160"/>
    <cellStyle name="20% - Accent3 2 5 6 3" xfId="16159"/>
    <cellStyle name="20% - Accent3 2 5 7" xfId="16161"/>
    <cellStyle name="20% - Accent3 2 5 8" xfId="16130"/>
    <cellStyle name="20% - Accent3 2 6" xfId="335"/>
    <cellStyle name="20% - Accent3 2 6 2" xfId="1043"/>
    <cellStyle name="20% - Accent3 2 6 2 2" xfId="2609"/>
    <cellStyle name="20% - Accent3 2 6 2 2 2" xfId="8894"/>
    <cellStyle name="20% - Accent3 2 6 2 2 2 2" xfId="16166"/>
    <cellStyle name="20% - Accent3 2 6 2 2 2 3" xfId="16165"/>
    <cellStyle name="20% - Accent3 2 6 2 2 3" xfId="5767"/>
    <cellStyle name="20% - Accent3 2 6 2 2 3 2" xfId="16168"/>
    <cellStyle name="20% - Accent3 2 6 2 2 3 3" xfId="16167"/>
    <cellStyle name="20% - Accent3 2 6 2 2 4" xfId="12077"/>
    <cellStyle name="20% - Accent3 2 6 2 2 4 2" xfId="16170"/>
    <cellStyle name="20% - Accent3 2 6 2 2 4 3" xfId="16169"/>
    <cellStyle name="20% - Accent3 2 6 2 2 5" xfId="16171"/>
    <cellStyle name="20% - Accent3 2 6 2 2 6" xfId="16164"/>
    <cellStyle name="20% - Accent3 2 6 2 3" xfId="7331"/>
    <cellStyle name="20% - Accent3 2 6 2 3 2" xfId="16173"/>
    <cellStyle name="20% - Accent3 2 6 2 3 3" xfId="16172"/>
    <cellStyle name="20% - Accent3 2 6 2 4" xfId="4204"/>
    <cellStyle name="20% - Accent3 2 6 2 4 2" xfId="16175"/>
    <cellStyle name="20% - Accent3 2 6 2 4 3" xfId="16174"/>
    <cellStyle name="20% - Accent3 2 6 2 5" xfId="10514"/>
    <cellStyle name="20% - Accent3 2 6 2 5 2" xfId="16177"/>
    <cellStyle name="20% - Accent3 2 6 2 5 3" xfId="16176"/>
    <cellStyle name="20% - Accent3 2 6 2 6" xfId="16178"/>
    <cellStyle name="20% - Accent3 2 6 2 7" xfId="16163"/>
    <cellStyle name="20% - Accent3 2 6 3" xfId="1929"/>
    <cellStyle name="20% - Accent3 2 6 3 2" xfId="8214"/>
    <cellStyle name="20% - Accent3 2 6 3 2 2" xfId="16181"/>
    <cellStyle name="20% - Accent3 2 6 3 2 3" xfId="16180"/>
    <cellStyle name="20% - Accent3 2 6 3 3" xfId="5087"/>
    <cellStyle name="20% - Accent3 2 6 3 3 2" xfId="16183"/>
    <cellStyle name="20% - Accent3 2 6 3 3 3" xfId="16182"/>
    <cellStyle name="20% - Accent3 2 6 3 4" xfId="11397"/>
    <cellStyle name="20% - Accent3 2 6 3 4 2" xfId="16185"/>
    <cellStyle name="20% - Accent3 2 6 3 4 3" xfId="16184"/>
    <cellStyle name="20% - Accent3 2 6 3 5" xfId="16186"/>
    <cellStyle name="20% - Accent3 2 6 3 6" xfId="16179"/>
    <cellStyle name="20% - Accent3 2 6 4" xfId="6651"/>
    <cellStyle name="20% - Accent3 2 6 4 2" xfId="16188"/>
    <cellStyle name="20% - Accent3 2 6 4 3" xfId="16187"/>
    <cellStyle name="20% - Accent3 2 6 5" xfId="3524"/>
    <cellStyle name="20% - Accent3 2 6 5 2" xfId="16190"/>
    <cellStyle name="20% - Accent3 2 6 5 3" xfId="16189"/>
    <cellStyle name="20% - Accent3 2 6 6" xfId="9949"/>
    <cellStyle name="20% - Accent3 2 6 6 2" xfId="16192"/>
    <cellStyle name="20% - Accent3 2 6 6 3" xfId="16191"/>
    <cellStyle name="20% - Accent3 2 6 7" xfId="16193"/>
    <cellStyle name="20% - Accent3 2 6 8" xfId="16162"/>
    <cellStyle name="20% - Accent3 2 7" xfId="399"/>
    <cellStyle name="20% - Accent3 2 7 2" xfId="1106"/>
    <cellStyle name="20% - Accent3 2 7 2 2" xfId="2671"/>
    <cellStyle name="20% - Accent3 2 7 2 2 2" xfId="8956"/>
    <cellStyle name="20% - Accent3 2 7 2 2 2 2" xfId="16198"/>
    <cellStyle name="20% - Accent3 2 7 2 2 2 3" xfId="16197"/>
    <cellStyle name="20% - Accent3 2 7 2 2 3" xfId="5829"/>
    <cellStyle name="20% - Accent3 2 7 2 2 3 2" xfId="16200"/>
    <cellStyle name="20% - Accent3 2 7 2 2 3 3" xfId="16199"/>
    <cellStyle name="20% - Accent3 2 7 2 2 4" xfId="12139"/>
    <cellStyle name="20% - Accent3 2 7 2 2 4 2" xfId="16202"/>
    <cellStyle name="20% - Accent3 2 7 2 2 4 3" xfId="16201"/>
    <cellStyle name="20% - Accent3 2 7 2 2 5" xfId="16203"/>
    <cellStyle name="20% - Accent3 2 7 2 2 6" xfId="16196"/>
    <cellStyle name="20% - Accent3 2 7 2 3" xfId="7393"/>
    <cellStyle name="20% - Accent3 2 7 2 3 2" xfId="16205"/>
    <cellStyle name="20% - Accent3 2 7 2 3 3" xfId="16204"/>
    <cellStyle name="20% - Accent3 2 7 2 4" xfId="4266"/>
    <cellStyle name="20% - Accent3 2 7 2 4 2" xfId="16207"/>
    <cellStyle name="20% - Accent3 2 7 2 4 3" xfId="16206"/>
    <cellStyle name="20% - Accent3 2 7 2 5" xfId="10576"/>
    <cellStyle name="20% - Accent3 2 7 2 5 2" xfId="16209"/>
    <cellStyle name="20% - Accent3 2 7 2 5 3" xfId="16208"/>
    <cellStyle name="20% - Accent3 2 7 2 6" xfId="16210"/>
    <cellStyle name="20% - Accent3 2 7 2 7" xfId="16195"/>
    <cellStyle name="20% - Accent3 2 7 3" xfId="1991"/>
    <cellStyle name="20% - Accent3 2 7 3 2" xfId="8276"/>
    <cellStyle name="20% - Accent3 2 7 3 2 2" xfId="16213"/>
    <cellStyle name="20% - Accent3 2 7 3 2 3" xfId="16212"/>
    <cellStyle name="20% - Accent3 2 7 3 3" xfId="5149"/>
    <cellStyle name="20% - Accent3 2 7 3 3 2" xfId="16215"/>
    <cellStyle name="20% - Accent3 2 7 3 3 3" xfId="16214"/>
    <cellStyle name="20% - Accent3 2 7 3 4" xfId="11459"/>
    <cellStyle name="20% - Accent3 2 7 3 4 2" xfId="16217"/>
    <cellStyle name="20% - Accent3 2 7 3 4 3" xfId="16216"/>
    <cellStyle name="20% - Accent3 2 7 3 5" xfId="16218"/>
    <cellStyle name="20% - Accent3 2 7 3 6" xfId="16211"/>
    <cellStyle name="20% - Accent3 2 7 4" xfId="6713"/>
    <cellStyle name="20% - Accent3 2 7 4 2" xfId="16220"/>
    <cellStyle name="20% - Accent3 2 7 4 3" xfId="16219"/>
    <cellStyle name="20% - Accent3 2 7 5" xfId="3586"/>
    <cellStyle name="20% - Accent3 2 7 5 2" xfId="16222"/>
    <cellStyle name="20% - Accent3 2 7 5 3" xfId="16221"/>
    <cellStyle name="20% - Accent3 2 7 6" xfId="10019"/>
    <cellStyle name="20% - Accent3 2 7 6 2" xfId="16224"/>
    <cellStyle name="20% - Accent3 2 7 6 3" xfId="16223"/>
    <cellStyle name="20% - Accent3 2 7 7" xfId="16225"/>
    <cellStyle name="20% - Accent3 2 7 8" xfId="16194"/>
    <cellStyle name="20% - Accent3 2 8" xfId="562"/>
    <cellStyle name="20% - Accent3 2 8 2" xfId="1269"/>
    <cellStyle name="20% - Accent3 2 8 2 2" xfId="2834"/>
    <cellStyle name="20% - Accent3 2 8 2 2 2" xfId="9119"/>
    <cellStyle name="20% - Accent3 2 8 2 2 2 2" xfId="16230"/>
    <cellStyle name="20% - Accent3 2 8 2 2 2 3" xfId="16229"/>
    <cellStyle name="20% - Accent3 2 8 2 2 3" xfId="5992"/>
    <cellStyle name="20% - Accent3 2 8 2 2 3 2" xfId="16232"/>
    <cellStyle name="20% - Accent3 2 8 2 2 3 3" xfId="16231"/>
    <cellStyle name="20% - Accent3 2 8 2 2 4" xfId="12302"/>
    <cellStyle name="20% - Accent3 2 8 2 2 4 2" xfId="16234"/>
    <cellStyle name="20% - Accent3 2 8 2 2 4 3" xfId="16233"/>
    <cellStyle name="20% - Accent3 2 8 2 2 5" xfId="16235"/>
    <cellStyle name="20% - Accent3 2 8 2 2 6" xfId="16228"/>
    <cellStyle name="20% - Accent3 2 8 2 3" xfId="7556"/>
    <cellStyle name="20% - Accent3 2 8 2 3 2" xfId="16237"/>
    <cellStyle name="20% - Accent3 2 8 2 3 3" xfId="16236"/>
    <cellStyle name="20% - Accent3 2 8 2 4" xfId="4429"/>
    <cellStyle name="20% - Accent3 2 8 2 4 2" xfId="16239"/>
    <cellStyle name="20% - Accent3 2 8 2 4 3" xfId="16238"/>
    <cellStyle name="20% - Accent3 2 8 2 5" xfId="10739"/>
    <cellStyle name="20% - Accent3 2 8 2 5 2" xfId="16241"/>
    <cellStyle name="20% - Accent3 2 8 2 5 3" xfId="16240"/>
    <cellStyle name="20% - Accent3 2 8 2 6" xfId="16242"/>
    <cellStyle name="20% - Accent3 2 8 2 7" xfId="16227"/>
    <cellStyle name="20% - Accent3 2 8 3" xfId="2154"/>
    <cellStyle name="20% - Accent3 2 8 3 2" xfId="8439"/>
    <cellStyle name="20% - Accent3 2 8 3 2 2" xfId="16245"/>
    <cellStyle name="20% - Accent3 2 8 3 2 3" xfId="16244"/>
    <cellStyle name="20% - Accent3 2 8 3 3" xfId="5312"/>
    <cellStyle name="20% - Accent3 2 8 3 3 2" xfId="16247"/>
    <cellStyle name="20% - Accent3 2 8 3 3 3" xfId="16246"/>
    <cellStyle name="20% - Accent3 2 8 3 4" xfId="11622"/>
    <cellStyle name="20% - Accent3 2 8 3 4 2" xfId="16249"/>
    <cellStyle name="20% - Accent3 2 8 3 4 3" xfId="16248"/>
    <cellStyle name="20% - Accent3 2 8 3 5" xfId="16250"/>
    <cellStyle name="20% - Accent3 2 8 3 6" xfId="16243"/>
    <cellStyle name="20% - Accent3 2 8 4" xfId="6876"/>
    <cellStyle name="20% - Accent3 2 8 4 2" xfId="16252"/>
    <cellStyle name="20% - Accent3 2 8 4 3" xfId="16251"/>
    <cellStyle name="20% - Accent3 2 8 5" xfId="3749"/>
    <cellStyle name="20% - Accent3 2 8 5 2" xfId="16254"/>
    <cellStyle name="20% - Accent3 2 8 5 3" xfId="16253"/>
    <cellStyle name="20% - Accent3 2 8 6" xfId="10181"/>
    <cellStyle name="20% - Accent3 2 8 6 2" xfId="16256"/>
    <cellStyle name="20% - Accent3 2 8 6 3" xfId="16255"/>
    <cellStyle name="20% - Accent3 2 8 7" xfId="16257"/>
    <cellStyle name="20% - Accent3 2 8 8" xfId="16226"/>
    <cellStyle name="20% - Accent3 2 9" xfId="621"/>
    <cellStyle name="20% - Accent3 2 9 2" xfId="1326"/>
    <cellStyle name="20% - Accent3 2 9 2 2" xfId="2891"/>
    <cellStyle name="20% - Accent3 2 9 2 2 2" xfId="9176"/>
    <cellStyle name="20% - Accent3 2 9 2 2 2 2" xfId="16262"/>
    <cellStyle name="20% - Accent3 2 9 2 2 2 3" xfId="16261"/>
    <cellStyle name="20% - Accent3 2 9 2 2 3" xfId="6049"/>
    <cellStyle name="20% - Accent3 2 9 2 2 3 2" xfId="16264"/>
    <cellStyle name="20% - Accent3 2 9 2 2 3 3" xfId="16263"/>
    <cellStyle name="20% - Accent3 2 9 2 2 4" xfId="12359"/>
    <cellStyle name="20% - Accent3 2 9 2 2 4 2" xfId="16266"/>
    <cellStyle name="20% - Accent3 2 9 2 2 4 3" xfId="16265"/>
    <cellStyle name="20% - Accent3 2 9 2 2 5" xfId="16267"/>
    <cellStyle name="20% - Accent3 2 9 2 2 6" xfId="16260"/>
    <cellStyle name="20% - Accent3 2 9 2 3" xfId="7613"/>
    <cellStyle name="20% - Accent3 2 9 2 3 2" xfId="16269"/>
    <cellStyle name="20% - Accent3 2 9 2 3 3" xfId="16268"/>
    <cellStyle name="20% - Accent3 2 9 2 4" xfId="4486"/>
    <cellStyle name="20% - Accent3 2 9 2 4 2" xfId="16271"/>
    <cellStyle name="20% - Accent3 2 9 2 4 3" xfId="16270"/>
    <cellStyle name="20% - Accent3 2 9 2 5" xfId="10796"/>
    <cellStyle name="20% - Accent3 2 9 2 5 2" xfId="16273"/>
    <cellStyle name="20% - Accent3 2 9 2 5 3" xfId="16272"/>
    <cellStyle name="20% - Accent3 2 9 2 6" xfId="16274"/>
    <cellStyle name="20% - Accent3 2 9 2 7" xfId="16259"/>
    <cellStyle name="20% - Accent3 2 9 3" xfId="2211"/>
    <cellStyle name="20% - Accent3 2 9 3 2" xfId="8496"/>
    <cellStyle name="20% - Accent3 2 9 3 2 2" xfId="16277"/>
    <cellStyle name="20% - Accent3 2 9 3 2 3" xfId="16276"/>
    <cellStyle name="20% - Accent3 2 9 3 3" xfId="5369"/>
    <cellStyle name="20% - Accent3 2 9 3 3 2" xfId="16279"/>
    <cellStyle name="20% - Accent3 2 9 3 3 3" xfId="16278"/>
    <cellStyle name="20% - Accent3 2 9 3 4" xfId="11679"/>
    <cellStyle name="20% - Accent3 2 9 3 4 2" xfId="16281"/>
    <cellStyle name="20% - Accent3 2 9 3 4 3" xfId="16280"/>
    <cellStyle name="20% - Accent3 2 9 3 5" xfId="16282"/>
    <cellStyle name="20% - Accent3 2 9 3 6" xfId="16275"/>
    <cellStyle name="20% - Accent3 2 9 4" xfId="6933"/>
    <cellStyle name="20% - Accent3 2 9 4 2" xfId="16284"/>
    <cellStyle name="20% - Accent3 2 9 4 3" xfId="16283"/>
    <cellStyle name="20% - Accent3 2 9 5" xfId="3806"/>
    <cellStyle name="20% - Accent3 2 9 5 2" xfId="16286"/>
    <cellStyle name="20% - Accent3 2 9 5 3" xfId="16285"/>
    <cellStyle name="20% - Accent3 2 9 6" xfId="10239"/>
    <cellStyle name="20% - Accent3 2 9 6 2" xfId="16288"/>
    <cellStyle name="20% - Accent3 2 9 6 3" xfId="16287"/>
    <cellStyle name="20% - Accent3 2 9 7" xfId="16289"/>
    <cellStyle name="20% - Accent3 2 9 8" xfId="16258"/>
    <cellStyle name="20% - Accent3 20" xfId="1565"/>
    <cellStyle name="20% - Accent3 20 2" xfId="3130"/>
    <cellStyle name="20% - Accent3 20 2 2" xfId="9415"/>
    <cellStyle name="20% - Accent3 20 2 2 2" xfId="16293"/>
    <cellStyle name="20% - Accent3 20 2 2 3" xfId="16292"/>
    <cellStyle name="20% - Accent3 20 2 3" xfId="6288"/>
    <cellStyle name="20% - Accent3 20 2 3 2" xfId="16295"/>
    <cellStyle name="20% - Accent3 20 2 3 3" xfId="16294"/>
    <cellStyle name="20% - Accent3 20 2 4" xfId="12598"/>
    <cellStyle name="20% - Accent3 20 2 4 2" xfId="16297"/>
    <cellStyle name="20% - Accent3 20 2 4 3" xfId="16296"/>
    <cellStyle name="20% - Accent3 20 2 5" xfId="16298"/>
    <cellStyle name="20% - Accent3 20 2 6" xfId="16291"/>
    <cellStyle name="20% - Accent3 20 3" xfId="7852"/>
    <cellStyle name="20% - Accent3 20 3 2" xfId="16300"/>
    <cellStyle name="20% - Accent3 20 3 3" xfId="16299"/>
    <cellStyle name="20% - Accent3 20 4" xfId="4725"/>
    <cellStyle name="20% - Accent3 20 4 2" xfId="16302"/>
    <cellStyle name="20% - Accent3 20 4 3" xfId="16301"/>
    <cellStyle name="20% - Accent3 20 5" xfId="11035"/>
    <cellStyle name="20% - Accent3 20 5 2" xfId="16304"/>
    <cellStyle name="20% - Accent3 20 5 3" xfId="16303"/>
    <cellStyle name="20% - Accent3 20 6" xfId="16305"/>
    <cellStyle name="20% - Accent3 20 7" xfId="16290"/>
    <cellStyle name="20% - Accent3 21" xfId="1728"/>
    <cellStyle name="20% - Accent3 21 2" xfId="8015"/>
    <cellStyle name="20% - Accent3 21 2 2" xfId="16308"/>
    <cellStyle name="20% - Accent3 21 2 3" xfId="16307"/>
    <cellStyle name="20% - Accent3 21 3" xfId="4888"/>
    <cellStyle name="20% - Accent3 21 3 2" xfId="16310"/>
    <cellStyle name="20% - Accent3 21 3 3" xfId="16309"/>
    <cellStyle name="20% - Accent3 21 4" xfId="11198"/>
    <cellStyle name="20% - Accent3 21 4 2" xfId="16312"/>
    <cellStyle name="20% - Accent3 21 4 3" xfId="16311"/>
    <cellStyle name="20% - Accent3 21 5" xfId="16313"/>
    <cellStyle name="20% - Accent3 21 6" xfId="16306"/>
    <cellStyle name="20% - Accent3 22" xfId="108"/>
    <cellStyle name="20% - Accent3 22 2" xfId="6453"/>
    <cellStyle name="20% - Accent3 22 2 2" xfId="16316"/>
    <cellStyle name="20% - Accent3 22 2 3" xfId="16315"/>
    <cellStyle name="20% - Accent3 22 3" xfId="16317"/>
    <cellStyle name="20% - Accent3 22 4" xfId="16314"/>
    <cellStyle name="20% - Accent3 23" xfId="3297"/>
    <cellStyle name="20% - Accent3 23 2" xfId="9580"/>
    <cellStyle name="20% - Accent3 23 2 2" xfId="16320"/>
    <cellStyle name="20% - Accent3 23 2 3" xfId="16319"/>
    <cellStyle name="20% - Accent3 23 3" xfId="16321"/>
    <cellStyle name="20% - Accent3 23 4" xfId="16318"/>
    <cellStyle name="20% - Accent3 24" xfId="3326"/>
    <cellStyle name="20% - Accent3 24 2" xfId="16323"/>
    <cellStyle name="20% - Accent3 24 3" xfId="16322"/>
    <cellStyle name="20% - Accent3 25" xfId="9633"/>
    <cellStyle name="20% - Accent3 25 2" xfId="16325"/>
    <cellStyle name="20% - Accent3 25 3" xfId="16324"/>
    <cellStyle name="20% - Accent3 26" xfId="16326"/>
    <cellStyle name="20% - Accent3 27" xfId="15609"/>
    <cellStyle name="20% - Accent3 28" xfId="38126"/>
    <cellStyle name="20% - Accent3 3" xfId="77"/>
    <cellStyle name="20% - Accent3 3 10" xfId="1529"/>
    <cellStyle name="20% - Accent3 3 10 2" xfId="3094"/>
    <cellStyle name="20% - Accent3 3 10 2 2" xfId="9379"/>
    <cellStyle name="20% - Accent3 3 10 2 2 2" xfId="16331"/>
    <cellStyle name="20% - Accent3 3 10 2 2 3" xfId="16330"/>
    <cellStyle name="20% - Accent3 3 10 2 3" xfId="6252"/>
    <cellStyle name="20% - Accent3 3 10 2 3 2" xfId="16333"/>
    <cellStyle name="20% - Accent3 3 10 2 3 3" xfId="16332"/>
    <cellStyle name="20% - Accent3 3 10 2 4" xfId="12562"/>
    <cellStyle name="20% - Accent3 3 10 2 4 2" xfId="16335"/>
    <cellStyle name="20% - Accent3 3 10 2 4 3" xfId="16334"/>
    <cellStyle name="20% - Accent3 3 10 2 5" xfId="16336"/>
    <cellStyle name="20% - Accent3 3 10 2 6" xfId="16329"/>
    <cellStyle name="20% - Accent3 3 10 3" xfId="7816"/>
    <cellStyle name="20% - Accent3 3 10 3 2" xfId="16338"/>
    <cellStyle name="20% - Accent3 3 10 3 3" xfId="16337"/>
    <cellStyle name="20% - Accent3 3 10 4" xfId="4689"/>
    <cellStyle name="20% - Accent3 3 10 4 2" xfId="16340"/>
    <cellStyle name="20% - Accent3 3 10 4 3" xfId="16339"/>
    <cellStyle name="20% - Accent3 3 10 5" xfId="10999"/>
    <cellStyle name="20% - Accent3 3 10 5 2" xfId="16342"/>
    <cellStyle name="20% - Accent3 3 10 5 3" xfId="16341"/>
    <cellStyle name="20% - Accent3 3 10 6" xfId="16343"/>
    <cellStyle name="20% - Accent3 3 10 7" xfId="16328"/>
    <cellStyle name="20% - Accent3 3 11" xfId="1758"/>
    <cellStyle name="20% - Accent3 3 11 2" xfId="8043"/>
    <cellStyle name="20% - Accent3 3 11 2 2" xfId="16346"/>
    <cellStyle name="20% - Accent3 3 11 2 3" xfId="16345"/>
    <cellStyle name="20% - Accent3 3 11 3" xfId="4916"/>
    <cellStyle name="20% - Accent3 3 11 3 2" xfId="16348"/>
    <cellStyle name="20% - Accent3 3 11 3 3" xfId="16347"/>
    <cellStyle name="20% - Accent3 3 11 4" xfId="11226"/>
    <cellStyle name="20% - Accent3 3 11 4 2" xfId="16350"/>
    <cellStyle name="20% - Accent3 3 11 4 3" xfId="16349"/>
    <cellStyle name="20% - Accent3 3 11 5" xfId="16351"/>
    <cellStyle name="20% - Accent3 3 11 6" xfId="16344"/>
    <cellStyle name="20% - Accent3 3 12" xfId="135"/>
    <cellStyle name="20% - Accent3 3 12 2" xfId="6480"/>
    <cellStyle name="20% - Accent3 3 12 2 2" xfId="16354"/>
    <cellStyle name="20% - Accent3 3 12 2 3" xfId="16353"/>
    <cellStyle name="20% - Accent3 3 12 3" xfId="9934"/>
    <cellStyle name="20% - Accent3 3 12 3 2" xfId="16356"/>
    <cellStyle name="20% - Accent3 3 12 3 3" xfId="16355"/>
    <cellStyle name="20% - Accent3 3 12 4" xfId="16357"/>
    <cellStyle name="20% - Accent3 3 12 5" xfId="16352"/>
    <cellStyle name="20% - Accent3 3 13" xfId="3353"/>
    <cellStyle name="20% - Accent3 3 13 2" xfId="16359"/>
    <cellStyle name="20% - Accent3 3 13 3" xfId="16358"/>
    <cellStyle name="20% - Accent3 3 14" xfId="9597"/>
    <cellStyle name="20% - Accent3 3 14 2" xfId="16361"/>
    <cellStyle name="20% - Accent3 3 14 3" xfId="16360"/>
    <cellStyle name="20% - Accent3 3 15" xfId="16362"/>
    <cellStyle name="20% - Accent3 3 16" xfId="16327"/>
    <cellStyle name="20% - Accent3 3 17" xfId="38128"/>
    <cellStyle name="20% - Accent3 3 2" xfId="153"/>
    <cellStyle name="20% - Accent3 3 2 2" xfId="294"/>
    <cellStyle name="20% - Accent3 3 2 2 2" xfId="1004"/>
    <cellStyle name="20% - Accent3 3 2 2 2 2" xfId="2570"/>
    <cellStyle name="20% - Accent3 3 2 2 2 2 2" xfId="8855"/>
    <cellStyle name="20% - Accent3 3 2 2 2 2 2 2" xfId="16368"/>
    <cellStyle name="20% - Accent3 3 2 2 2 2 2 3" xfId="16367"/>
    <cellStyle name="20% - Accent3 3 2 2 2 2 3" xfId="5728"/>
    <cellStyle name="20% - Accent3 3 2 2 2 2 3 2" xfId="16370"/>
    <cellStyle name="20% - Accent3 3 2 2 2 2 3 3" xfId="16369"/>
    <cellStyle name="20% - Accent3 3 2 2 2 2 4" xfId="12038"/>
    <cellStyle name="20% - Accent3 3 2 2 2 2 4 2" xfId="16372"/>
    <cellStyle name="20% - Accent3 3 2 2 2 2 4 3" xfId="16371"/>
    <cellStyle name="20% - Accent3 3 2 2 2 2 5" xfId="16373"/>
    <cellStyle name="20% - Accent3 3 2 2 2 2 6" xfId="16366"/>
    <cellStyle name="20% - Accent3 3 2 2 2 3" xfId="7292"/>
    <cellStyle name="20% - Accent3 3 2 2 2 3 2" xfId="16375"/>
    <cellStyle name="20% - Accent3 3 2 2 2 3 3" xfId="16374"/>
    <cellStyle name="20% - Accent3 3 2 2 2 4" xfId="4165"/>
    <cellStyle name="20% - Accent3 3 2 2 2 4 2" xfId="16377"/>
    <cellStyle name="20% - Accent3 3 2 2 2 4 3" xfId="16376"/>
    <cellStyle name="20% - Accent3 3 2 2 2 5" xfId="10475"/>
    <cellStyle name="20% - Accent3 3 2 2 2 5 2" xfId="16379"/>
    <cellStyle name="20% - Accent3 3 2 2 2 5 3" xfId="16378"/>
    <cellStyle name="20% - Accent3 3 2 2 2 6" xfId="16380"/>
    <cellStyle name="20% - Accent3 3 2 2 2 7" xfId="16365"/>
    <cellStyle name="20% - Accent3 3 2 2 3" xfId="1890"/>
    <cellStyle name="20% - Accent3 3 2 2 3 2" xfId="8175"/>
    <cellStyle name="20% - Accent3 3 2 2 3 2 2" xfId="16383"/>
    <cellStyle name="20% - Accent3 3 2 2 3 2 3" xfId="16382"/>
    <cellStyle name="20% - Accent3 3 2 2 3 3" xfId="5048"/>
    <cellStyle name="20% - Accent3 3 2 2 3 3 2" xfId="16385"/>
    <cellStyle name="20% - Accent3 3 2 2 3 3 3" xfId="16384"/>
    <cellStyle name="20% - Accent3 3 2 2 3 4" xfId="11358"/>
    <cellStyle name="20% - Accent3 3 2 2 3 4 2" xfId="16387"/>
    <cellStyle name="20% - Accent3 3 2 2 3 4 3" xfId="16386"/>
    <cellStyle name="20% - Accent3 3 2 2 3 5" xfId="16388"/>
    <cellStyle name="20% - Accent3 3 2 2 3 6" xfId="16381"/>
    <cellStyle name="20% - Accent3 3 2 2 4" xfId="6612"/>
    <cellStyle name="20% - Accent3 3 2 2 4 2" xfId="16390"/>
    <cellStyle name="20% - Accent3 3 2 2 4 3" xfId="16389"/>
    <cellStyle name="20% - Accent3 3 2 2 5" xfId="3485"/>
    <cellStyle name="20% - Accent3 3 2 2 5 2" xfId="16392"/>
    <cellStyle name="20% - Accent3 3 2 2 5 3" xfId="16391"/>
    <cellStyle name="20% - Accent3 3 2 2 6" xfId="9809"/>
    <cellStyle name="20% - Accent3 3 2 2 6 2" xfId="16394"/>
    <cellStyle name="20% - Accent3 3 2 2 6 3" xfId="16393"/>
    <cellStyle name="20% - Accent3 3 2 2 7" xfId="16395"/>
    <cellStyle name="20% - Accent3 3 2 2 8" xfId="16364"/>
    <cellStyle name="20% - Accent3 3 2 3" xfId="889"/>
    <cellStyle name="20% - Accent3 3 2 3 2" xfId="2455"/>
    <cellStyle name="20% - Accent3 3 2 3 2 2" xfId="8740"/>
    <cellStyle name="20% - Accent3 3 2 3 2 2 2" xfId="16399"/>
    <cellStyle name="20% - Accent3 3 2 3 2 2 3" xfId="16398"/>
    <cellStyle name="20% - Accent3 3 2 3 2 3" xfId="5613"/>
    <cellStyle name="20% - Accent3 3 2 3 2 3 2" xfId="16401"/>
    <cellStyle name="20% - Accent3 3 2 3 2 3 3" xfId="16400"/>
    <cellStyle name="20% - Accent3 3 2 3 2 4" xfId="11923"/>
    <cellStyle name="20% - Accent3 3 2 3 2 4 2" xfId="16403"/>
    <cellStyle name="20% - Accent3 3 2 3 2 4 3" xfId="16402"/>
    <cellStyle name="20% - Accent3 3 2 3 2 5" xfId="16404"/>
    <cellStyle name="20% - Accent3 3 2 3 2 6" xfId="16397"/>
    <cellStyle name="20% - Accent3 3 2 3 3" xfId="7177"/>
    <cellStyle name="20% - Accent3 3 2 3 3 2" xfId="16406"/>
    <cellStyle name="20% - Accent3 3 2 3 3 3" xfId="16405"/>
    <cellStyle name="20% - Accent3 3 2 3 4" xfId="4050"/>
    <cellStyle name="20% - Accent3 3 2 3 4 2" xfId="16408"/>
    <cellStyle name="20% - Accent3 3 2 3 4 3" xfId="16407"/>
    <cellStyle name="20% - Accent3 3 2 3 5" xfId="10360"/>
    <cellStyle name="20% - Accent3 3 2 3 5 2" xfId="16410"/>
    <cellStyle name="20% - Accent3 3 2 3 5 3" xfId="16409"/>
    <cellStyle name="20% - Accent3 3 2 3 6" xfId="16411"/>
    <cellStyle name="20% - Accent3 3 2 3 7" xfId="16396"/>
    <cellStyle name="20% - Accent3 3 2 4" xfId="1775"/>
    <cellStyle name="20% - Accent3 3 2 4 2" xfId="8060"/>
    <cellStyle name="20% - Accent3 3 2 4 2 2" xfId="16414"/>
    <cellStyle name="20% - Accent3 3 2 4 2 3" xfId="16413"/>
    <cellStyle name="20% - Accent3 3 2 4 3" xfId="4933"/>
    <cellStyle name="20% - Accent3 3 2 4 3 2" xfId="16416"/>
    <cellStyle name="20% - Accent3 3 2 4 3 3" xfId="16415"/>
    <cellStyle name="20% - Accent3 3 2 4 4" xfId="11243"/>
    <cellStyle name="20% - Accent3 3 2 4 4 2" xfId="16418"/>
    <cellStyle name="20% - Accent3 3 2 4 4 3" xfId="16417"/>
    <cellStyle name="20% - Accent3 3 2 4 5" xfId="16419"/>
    <cellStyle name="20% - Accent3 3 2 4 6" xfId="16412"/>
    <cellStyle name="20% - Accent3 3 2 5" xfId="6497"/>
    <cellStyle name="20% - Accent3 3 2 5 2" xfId="16421"/>
    <cellStyle name="20% - Accent3 3 2 5 3" xfId="16420"/>
    <cellStyle name="20% - Accent3 3 2 6" xfId="3370"/>
    <cellStyle name="20% - Accent3 3 2 6 2" xfId="16423"/>
    <cellStyle name="20% - Accent3 3 2 6 3" xfId="16422"/>
    <cellStyle name="20% - Accent3 3 2 7" xfId="9924"/>
    <cellStyle name="20% - Accent3 3 2 7 2" xfId="16425"/>
    <cellStyle name="20% - Accent3 3 2 7 3" xfId="16424"/>
    <cellStyle name="20% - Accent3 3 2 8" xfId="16426"/>
    <cellStyle name="20% - Accent3 3 2 9" xfId="16363"/>
    <cellStyle name="20% - Accent3 3 3" xfId="229"/>
    <cellStyle name="20% - Accent3 3 3 2" xfId="940"/>
    <cellStyle name="20% - Accent3 3 3 2 2" xfId="2506"/>
    <cellStyle name="20% - Accent3 3 3 2 2 2" xfId="8791"/>
    <cellStyle name="20% - Accent3 3 3 2 2 2 2" xfId="16431"/>
    <cellStyle name="20% - Accent3 3 3 2 2 2 3" xfId="16430"/>
    <cellStyle name="20% - Accent3 3 3 2 2 3" xfId="5664"/>
    <cellStyle name="20% - Accent3 3 3 2 2 3 2" xfId="16433"/>
    <cellStyle name="20% - Accent3 3 3 2 2 3 3" xfId="16432"/>
    <cellStyle name="20% - Accent3 3 3 2 2 4" xfId="11974"/>
    <cellStyle name="20% - Accent3 3 3 2 2 4 2" xfId="16435"/>
    <cellStyle name="20% - Accent3 3 3 2 2 4 3" xfId="16434"/>
    <cellStyle name="20% - Accent3 3 3 2 2 5" xfId="16436"/>
    <cellStyle name="20% - Accent3 3 3 2 2 6" xfId="16429"/>
    <cellStyle name="20% - Accent3 3 3 2 3" xfId="7228"/>
    <cellStyle name="20% - Accent3 3 3 2 3 2" xfId="16438"/>
    <cellStyle name="20% - Accent3 3 3 2 3 3" xfId="16437"/>
    <cellStyle name="20% - Accent3 3 3 2 4" xfId="4101"/>
    <cellStyle name="20% - Accent3 3 3 2 4 2" xfId="16440"/>
    <cellStyle name="20% - Accent3 3 3 2 4 3" xfId="16439"/>
    <cellStyle name="20% - Accent3 3 3 2 5" xfId="10411"/>
    <cellStyle name="20% - Accent3 3 3 2 5 2" xfId="16442"/>
    <cellStyle name="20% - Accent3 3 3 2 5 3" xfId="16441"/>
    <cellStyle name="20% - Accent3 3 3 2 6" xfId="16443"/>
    <cellStyle name="20% - Accent3 3 3 2 7" xfId="16428"/>
    <cellStyle name="20% - Accent3 3 3 3" xfId="1826"/>
    <cellStyle name="20% - Accent3 3 3 3 2" xfId="8111"/>
    <cellStyle name="20% - Accent3 3 3 3 2 2" xfId="16446"/>
    <cellStyle name="20% - Accent3 3 3 3 2 3" xfId="16445"/>
    <cellStyle name="20% - Accent3 3 3 3 3" xfId="4984"/>
    <cellStyle name="20% - Accent3 3 3 3 3 2" xfId="16448"/>
    <cellStyle name="20% - Accent3 3 3 3 3 3" xfId="16447"/>
    <cellStyle name="20% - Accent3 3 3 3 4" xfId="11294"/>
    <cellStyle name="20% - Accent3 3 3 3 4 2" xfId="16450"/>
    <cellStyle name="20% - Accent3 3 3 3 4 3" xfId="16449"/>
    <cellStyle name="20% - Accent3 3 3 3 5" xfId="16451"/>
    <cellStyle name="20% - Accent3 3 3 3 6" xfId="16444"/>
    <cellStyle name="20% - Accent3 3 3 4" xfId="6548"/>
    <cellStyle name="20% - Accent3 3 3 4 2" xfId="16453"/>
    <cellStyle name="20% - Accent3 3 3 4 3" xfId="16452"/>
    <cellStyle name="20% - Accent3 3 3 5" xfId="3421"/>
    <cellStyle name="20% - Accent3 3 3 5 2" xfId="16455"/>
    <cellStyle name="20% - Accent3 3 3 5 3" xfId="16454"/>
    <cellStyle name="20% - Accent3 3 3 6" xfId="9898"/>
    <cellStyle name="20% - Accent3 3 3 6 2" xfId="16457"/>
    <cellStyle name="20% - Accent3 3 3 6 3" xfId="16456"/>
    <cellStyle name="20% - Accent3 3 3 7" xfId="16458"/>
    <cellStyle name="20% - Accent3 3 3 8" xfId="16427"/>
    <cellStyle name="20% - Accent3 3 4" xfId="286"/>
    <cellStyle name="20% - Accent3 3 4 2" xfId="996"/>
    <cellStyle name="20% - Accent3 3 4 2 2" xfId="2562"/>
    <cellStyle name="20% - Accent3 3 4 2 2 2" xfId="8847"/>
    <cellStyle name="20% - Accent3 3 4 2 2 2 2" xfId="16463"/>
    <cellStyle name="20% - Accent3 3 4 2 2 2 3" xfId="16462"/>
    <cellStyle name="20% - Accent3 3 4 2 2 3" xfId="5720"/>
    <cellStyle name="20% - Accent3 3 4 2 2 3 2" xfId="16465"/>
    <cellStyle name="20% - Accent3 3 4 2 2 3 3" xfId="16464"/>
    <cellStyle name="20% - Accent3 3 4 2 2 4" xfId="12030"/>
    <cellStyle name="20% - Accent3 3 4 2 2 4 2" xfId="16467"/>
    <cellStyle name="20% - Accent3 3 4 2 2 4 3" xfId="16466"/>
    <cellStyle name="20% - Accent3 3 4 2 2 5" xfId="16468"/>
    <cellStyle name="20% - Accent3 3 4 2 2 6" xfId="16461"/>
    <cellStyle name="20% - Accent3 3 4 2 3" xfId="7284"/>
    <cellStyle name="20% - Accent3 3 4 2 3 2" xfId="16470"/>
    <cellStyle name="20% - Accent3 3 4 2 3 3" xfId="16469"/>
    <cellStyle name="20% - Accent3 3 4 2 4" xfId="4157"/>
    <cellStyle name="20% - Accent3 3 4 2 4 2" xfId="16472"/>
    <cellStyle name="20% - Accent3 3 4 2 4 3" xfId="16471"/>
    <cellStyle name="20% - Accent3 3 4 2 5" xfId="10467"/>
    <cellStyle name="20% - Accent3 3 4 2 5 2" xfId="16474"/>
    <cellStyle name="20% - Accent3 3 4 2 5 3" xfId="16473"/>
    <cellStyle name="20% - Accent3 3 4 2 6" xfId="16475"/>
    <cellStyle name="20% - Accent3 3 4 2 7" xfId="16460"/>
    <cellStyle name="20% - Accent3 3 4 3" xfId="1882"/>
    <cellStyle name="20% - Accent3 3 4 3 2" xfId="8167"/>
    <cellStyle name="20% - Accent3 3 4 3 2 2" xfId="16478"/>
    <cellStyle name="20% - Accent3 3 4 3 2 3" xfId="16477"/>
    <cellStyle name="20% - Accent3 3 4 3 3" xfId="5040"/>
    <cellStyle name="20% - Accent3 3 4 3 3 2" xfId="16480"/>
    <cellStyle name="20% - Accent3 3 4 3 3 3" xfId="16479"/>
    <cellStyle name="20% - Accent3 3 4 3 4" xfId="11350"/>
    <cellStyle name="20% - Accent3 3 4 3 4 2" xfId="16482"/>
    <cellStyle name="20% - Accent3 3 4 3 4 3" xfId="16481"/>
    <cellStyle name="20% - Accent3 3 4 3 5" xfId="16483"/>
    <cellStyle name="20% - Accent3 3 4 3 6" xfId="16476"/>
    <cellStyle name="20% - Accent3 3 4 4" xfId="6604"/>
    <cellStyle name="20% - Accent3 3 4 4 2" xfId="16485"/>
    <cellStyle name="20% - Accent3 3 4 4 3" xfId="16484"/>
    <cellStyle name="20% - Accent3 3 4 5" xfId="3477"/>
    <cellStyle name="20% - Accent3 3 4 5 2" xfId="16487"/>
    <cellStyle name="20% - Accent3 3 4 5 3" xfId="16486"/>
    <cellStyle name="20% - Accent3 3 4 6" xfId="9847"/>
    <cellStyle name="20% - Accent3 3 4 6 2" xfId="16489"/>
    <cellStyle name="20% - Accent3 3 4 6 3" xfId="16488"/>
    <cellStyle name="20% - Accent3 3 4 7" xfId="16490"/>
    <cellStyle name="20% - Accent3 3 4 8" xfId="16459"/>
    <cellStyle name="20% - Accent3 3 5" xfId="336"/>
    <cellStyle name="20% - Accent3 3 5 2" xfId="1044"/>
    <cellStyle name="20% - Accent3 3 5 2 2" xfId="2610"/>
    <cellStyle name="20% - Accent3 3 5 2 2 2" xfId="8895"/>
    <cellStyle name="20% - Accent3 3 5 2 2 2 2" xfId="16495"/>
    <cellStyle name="20% - Accent3 3 5 2 2 2 3" xfId="16494"/>
    <cellStyle name="20% - Accent3 3 5 2 2 3" xfId="5768"/>
    <cellStyle name="20% - Accent3 3 5 2 2 3 2" xfId="16497"/>
    <cellStyle name="20% - Accent3 3 5 2 2 3 3" xfId="16496"/>
    <cellStyle name="20% - Accent3 3 5 2 2 4" xfId="12078"/>
    <cellStyle name="20% - Accent3 3 5 2 2 4 2" xfId="16499"/>
    <cellStyle name="20% - Accent3 3 5 2 2 4 3" xfId="16498"/>
    <cellStyle name="20% - Accent3 3 5 2 2 5" xfId="16500"/>
    <cellStyle name="20% - Accent3 3 5 2 2 6" xfId="16493"/>
    <cellStyle name="20% - Accent3 3 5 2 3" xfId="7332"/>
    <cellStyle name="20% - Accent3 3 5 2 3 2" xfId="16502"/>
    <cellStyle name="20% - Accent3 3 5 2 3 3" xfId="16501"/>
    <cellStyle name="20% - Accent3 3 5 2 4" xfId="4205"/>
    <cellStyle name="20% - Accent3 3 5 2 4 2" xfId="16504"/>
    <cellStyle name="20% - Accent3 3 5 2 4 3" xfId="16503"/>
    <cellStyle name="20% - Accent3 3 5 2 5" xfId="10515"/>
    <cellStyle name="20% - Accent3 3 5 2 5 2" xfId="16506"/>
    <cellStyle name="20% - Accent3 3 5 2 5 3" xfId="16505"/>
    <cellStyle name="20% - Accent3 3 5 2 6" xfId="16507"/>
    <cellStyle name="20% - Accent3 3 5 2 7" xfId="16492"/>
    <cellStyle name="20% - Accent3 3 5 3" xfId="1930"/>
    <cellStyle name="20% - Accent3 3 5 3 2" xfId="8215"/>
    <cellStyle name="20% - Accent3 3 5 3 2 2" xfId="16510"/>
    <cellStyle name="20% - Accent3 3 5 3 2 3" xfId="16509"/>
    <cellStyle name="20% - Accent3 3 5 3 3" xfId="5088"/>
    <cellStyle name="20% - Accent3 3 5 3 3 2" xfId="16512"/>
    <cellStyle name="20% - Accent3 3 5 3 3 3" xfId="16511"/>
    <cellStyle name="20% - Accent3 3 5 3 4" xfId="11398"/>
    <cellStyle name="20% - Accent3 3 5 3 4 2" xfId="16514"/>
    <cellStyle name="20% - Accent3 3 5 3 4 3" xfId="16513"/>
    <cellStyle name="20% - Accent3 3 5 3 5" xfId="16515"/>
    <cellStyle name="20% - Accent3 3 5 3 6" xfId="16508"/>
    <cellStyle name="20% - Accent3 3 5 4" xfId="6652"/>
    <cellStyle name="20% - Accent3 3 5 4 2" xfId="16517"/>
    <cellStyle name="20% - Accent3 3 5 4 3" xfId="16516"/>
    <cellStyle name="20% - Accent3 3 5 5" xfId="3525"/>
    <cellStyle name="20% - Accent3 3 5 5 2" xfId="16519"/>
    <cellStyle name="20% - Accent3 3 5 5 3" xfId="16518"/>
    <cellStyle name="20% - Accent3 3 5 6" xfId="9940"/>
    <cellStyle name="20% - Accent3 3 5 6 2" xfId="16521"/>
    <cellStyle name="20% - Accent3 3 5 6 3" xfId="16520"/>
    <cellStyle name="20% - Accent3 3 5 7" xfId="16522"/>
    <cellStyle name="20% - Accent3 3 5 8" xfId="16491"/>
    <cellStyle name="20% - Accent3 3 6" xfId="392"/>
    <cellStyle name="20% - Accent3 3 6 2" xfId="1099"/>
    <cellStyle name="20% - Accent3 3 6 2 2" xfId="2664"/>
    <cellStyle name="20% - Accent3 3 6 2 2 2" xfId="8949"/>
    <cellStyle name="20% - Accent3 3 6 2 2 2 2" xfId="16527"/>
    <cellStyle name="20% - Accent3 3 6 2 2 2 3" xfId="16526"/>
    <cellStyle name="20% - Accent3 3 6 2 2 3" xfId="5822"/>
    <cellStyle name="20% - Accent3 3 6 2 2 3 2" xfId="16529"/>
    <cellStyle name="20% - Accent3 3 6 2 2 3 3" xfId="16528"/>
    <cellStyle name="20% - Accent3 3 6 2 2 4" xfId="12132"/>
    <cellStyle name="20% - Accent3 3 6 2 2 4 2" xfId="16531"/>
    <cellStyle name="20% - Accent3 3 6 2 2 4 3" xfId="16530"/>
    <cellStyle name="20% - Accent3 3 6 2 2 5" xfId="16532"/>
    <cellStyle name="20% - Accent3 3 6 2 2 6" xfId="16525"/>
    <cellStyle name="20% - Accent3 3 6 2 3" xfId="7386"/>
    <cellStyle name="20% - Accent3 3 6 2 3 2" xfId="16534"/>
    <cellStyle name="20% - Accent3 3 6 2 3 3" xfId="16533"/>
    <cellStyle name="20% - Accent3 3 6 2 4" xfId="4259"/>
    <cellStyle name="20% - Accent3 3 6 2 4 2" xfId="16536"/>
    <cellStyle name="20% - Accent3 3 6 2 4 3" xfId="16535"/>
    <cellStyle name="20% - Accent3 3 6 2 5" xfId="10569"/>
    <cellStyle name="20% - Accent3 3 6 2 5 2" xfId="16538"/>
    <cellStyle name="20% - Accent3 3 6 2 5 3" xfId="16537"/>
    <cellStyle name="20% - Accent3 3 6 2 6" xfId="16539"/>
    <cellStyle name="20% - Accent3 3 6 2 7" xfId="16524"/>
    <cellStyle name="20% - Accent3 3 6 3" xfId="1984"/>
    <cellStyle name="20% - Accent3 3 6 3 2" xfId="8269"/>
    <cellStyle name="20% - Accent3 3 6 3 2 2" xfId="16542"/>
    <cellStyle name="20% - Accent3 3 6 3 2 3" xfId="16541"/>
    <cellStyle name="20% - Accent3 3 6 3 3" xfId="5142"/>
    <cellStyle name="20% - Accent3 3 6 3 3 2" xfId="16544"/>
    <cellStyle name="20% - Accent3 3 6 3 3 3" xfId="16543"/>
    <cellStyle name="20% - Accent3 3 6 3 4" xfId="11452"/>
    <cellStyle name="20% - Accent3 3 6 3 4 2" xfId="16546"/>
    <cellStyle name="20% - Accent3 3 6 3 4 3" xfId="16545"/>
    <cellStyle name="20% - Accent3 3 6 3 5" xfId="16547"/>
    <cellStyle name="20% - Accent3 3 6 3 6" xfId="16540"/>
    <cellStyle name="20% - Accent3 3 6 4" xfId="6706"/>
    <cellStyle name="20% - Accent3 3 6 4 2" xfId="16549"/>
    <cellStyle name="20% - Accent3 3 6 4 3" xfId="16548"/>
    <cellStyle name="20% - Accent3 3 6 5" xfId="3579"/>
    <cellStyle name="20% - Accent3 3 6 5 2" xfId="16551"/>
    <cellStyle name="20% - Accent3 3 6 5 3" xfId="16550"/>
    <cellStyle name="20% - Accent3 3 6 6" xfId="10012"/>
    <cellStyle name="20% - Accent3 3 6 6 2" xfId="16553"/>
    <cellStyle name="20% - Accent3 3 6 6 3" xfId="16552"/>
    <cellStyle name="20% - Accent3 3 6 7" xfId="16554"/>
    <cellStyle name="20% - Accent3 3 6 8" xfId="16523"/>
    <cellStyle name="20% - Accent3 3 7" xfId="563"/>
    <cellStyle name="20% - Accent3 3 7 2" xfId="1270"/>
    <cellStyle name="20% - Accent3 3 7 2 2" xfId="2835"/>
    <cellStyle name="20% - Accent3 3 7 2 2 2" xfId="9120"/>
    <cellStyle name="20% - Accent3 3 7 2 2 2 2" xfId="16559"/>
    <cellStyle name="20% - Accent3 3 7 2 2 2 3" xfId="16558"/>
    <cellStyle name="20% - Accent3 3 7 2 2 3" xfId="5993"/>
    <cellStyle name="20% - Accent3 3 7 2 2 3 2" xfId="16561"/>
    <cellStyle name="20% - Accent3 3 7 2 2 3 3" xfId="16560"/>
    <cellStyle name="20% - Accent3 3 7 2 2 4" xfId="12303"/>
    <cellStyle name="20% - Accent3 3 7 2 2 4 2" xfId="16563"/>
    <cellStyle name="20% - Accent3 3 7 2 2 4 3" xfId="16562"/>
    <cellStyle name="20% - Accent3 3 7 2 2 5" xfId="16564"/>
    <cellStyle name="20% - Accent3 3 7 2 2 6" xfId="16557"/>
    <cellStyle name="20% - Accent3 3 7 2 3" xfId="7557"/>
    <cellStyle name="20% - Accent3 3 7 2 3 2" xfId="16566"/>
    <cellStyle name="20% - Accent3 3 7 2 3 3" xfId="16565"/>
    <cellStyle name="20% - Accent3 3 7 2 4" xfId="4430"/>
    <cellStyle name="20% - Accent3 3 7 2 4 2" xfId="16568"/>
    <cellStyle name="20% - Accent3 3 7 2 4 3" xfId="16567"/>
    <cellStyle name="20% - Accent3 3 7 2 5" xfId="10740"/>
    <cellStyle name="20% - Accent3 3 7 2 5 2" xfId="16570"/>
    <cellStyle name="20% - Accent3 3 7 2 5 3" xfId="16569"/>
    <cellStyle name="20% - Accent3 3 7 2 6" xfId="16571"/>
    <cellStyle name="20% - Accent3 3 7 2 7" xfId="16556"/>
    <cellStyle name="20% - Accent3 3 7 3" xfId="2155"/>
    <cellStyle name="20% - Accent3 3 7 3 2" xfId="8440"/>
    <cellStyle name="20% - Accent3 3 7 3 2 2" xfId="16574"/>
    <cellStyle name="20% - Accent3 3 7 3 2 3" xfId="16573"/>
    <cellStyle name="20% - Accent3 3 7 3 3" xfId="5313"/>
    <cellStyle name="20% - Accent3 3 7 3 3 2" xfId="16576"/>
    <cellStyle name="20% - Accent3 3 7 3 3 3" xfId="16575"/>
    <cellStyle name="20% - Accent3 3 7 3 4" xfId="11623"/>
    <cellStyle name="20% - Accent3 3 7 3 4 2" xfId="16578"/>
    <cellStyle name="20% - Accent3 3 7 3 4 3" xfId="16577"/>
    <cellStyle name="20% - Accent3 3 7 3 5" xfId="16579"/>
    <cellStyle name="20% - Accent3 3 7 3 6" xfId="16572"/>
    <cellStyle name="20% - Accent3 3 7 4" xfId="6877"/>
    <cellStyle name="20% - Accent3 3 7 4 2" xfId="16581"/>
    <cellStyle name="20% - Accent3 3 7 4 3" xfId="16580"/>
    <cellStyle name="20% - Accent3 3 7 5" xfId="3750"/>
    <cellStyle name="20% - Accent3 3 7 5 2" xfId="16583"/>
    <cellStyle name="20% - Accent3 3 7 5 3" xfId="16582"/>
    <cellStyle name="20% - Accent3 3 7 6" xfId="10182"/>
    <cellStyle name="20% - Accent3 3 7 6 2" xfId="16585"/>
    <cellStyle name="20% - Accent3 3 7 6 3" xfId="16584"/>
    <cellStyle name="20% - Accent3 3 7 7" xfId="16586"/>
    <cellStyle name="20% - Accent3 3 7 8" xfId="16555"/>
    <cellStyle name="20% - Accent3 3 8" xfId="622"/>
    <cellStyle name="20% - Accent3 3 8 2" xfId="1327"/>
    <cellStyle name="20% - Accent3 3 8 2 2" xfId="2892"/>
    <cellStyle name="20% - Accent3 3 8 2 2 2" xfId="9177"/>
    <cellStyle name="20% - Accent3 3 8 2 2 2 2" xfId="16591"/>
    <cellStyle name="20% - Accent3 3 8 2 2 2 3" xfId="16590"/>
    <cellStyle name="20% - Accent3 3 8 2 2 3" xfId="6050"/>
    <cellStyle name="20% - Accent3 3 8 2 2 3 2" xfId="16593"/>
    <cellStyle name="20% - Accent3 3 8 2 2 3 3" xfId="16592"/>
    <cellStyle name="20% - Accent3 3 8 2 2 4" xfId="12360"/>
    <cellStyle name="20% - Accent3 3 8 2 2 4 2" xfId="16595"/>
    <cellStyle name="20% - Accent3 3 8 2 2 4 3" xfId="16594"/>
    <cellStyle name="20% - Accent3 3 8 2 2 5" xfId="16596"/>
    <cellStyle name="20% - Accent3 3 8 2 2 6" xfId="16589"/>
    <cellStyle name="20% - Accent3 3 8 2 3" xfId="7614"/>
    <cellStyle name="20% - Accent3 3 8 2 3 2" xfId="16598"/>
    <cellStyle name="20% - Accent3 3 8 2 3 3" xfId="16597"/>
    <cellStyle name="20% - Accent3 3 8 2 4" xfId="4487"/>
    <cellStyle name="20% - Accent3 3 8 2 4 2" xfId="16600"/>
    <cellStyle name="20% - Accent3 3 8 2 4 3" xfId="16599"/>
    <cellStyle name="20% - Accent3 3 8 2 5" xfId="10797"/>
    <cellStyle name="20% - Accent3 3 8 2 5 2" xfId="16602"/>
    <cellStyle name="20% - Accent3 3 8 2 5 3" xfId="16601"/>
    <cellStyle name="20% - Accent3 3 8 2 6" xfId="16603"/>
    <cellStyle name="20% - Accent3 3 8 2 7" xfId="16588"/>
    <cellStyle name="20% - Accent3 3 8 3" xfId="2212"/>
    <cellStyle name="20% - Accent3 3 8 3 2" xfId="8497"/>
    <cellStyle name="20% - Accent3 3 8 3 2 2" xfId="16606"/>
    <cellStyle name="20% - Accent3 3 8 3 2 3" xfId="16605"/>
    <cellStyle name="20% - Accent3 3 8 3 3" xfId="5370"/>
    <cellStyle name="20% - Accent3 3 8 3 3 2" xfId="16608"/>
    <cellStyle name="20% - Accent3 3 8 3 3 3" xfId="16607"/>
    <cellStyle name="20% - Accent3 3 8 3 4" xfId="11680"/>
    <cellStyle name="20% - Accent3 3 8 3 4 2" xfId="16610"/>
    <cellStyle name="20% - Accent3 3 8 3 4 3" xfId="16609"/>
    <cellStyle name="20% - Accent3 3 8 3 5" xfId="16611"/>
    <cellStyle name="20% - Accent3 3 8 3 6" xfId="16604"/>
    <cellStyle name="20% - Accent3 3 8 4" xfId="6934"/>
    <cellStyle name="20% - Accent3 3 8 4 2" xfId="16613"/>
    <cellStyle name="20% - Accent3 3 8 4 3" xfId="16612"/>
    <cellStyle name="20% - Accent3 3 8 5" xfId="3807"/>
    <cellStyle name="20% - Accent3 3 8 5 2" xfId="16615"/>
    <cellStyle name="20% - Accent3 3 8 5 3" xfId="16614"/>
    <cellStyle name="20% - Accent3 3 8 6" xfId="10240"/>
    <cellStyle name="20% - Accent3 3 8 6 2" xfId="16617"/>
    <cellStyle name="20% - Accent3 3 8 6 3" xfId="16616"/>
    <cellStyle name="20% - Accent3 3 8 7" xfId="16618"/>
    <cellStyle name="20% - Accent3 3 8 8" xfId="16587"/>
    <cellStyle name="20% - Accent3 3 9" xfId="872"/>
    <cellStyle name="20% - Accent3 3 9 2" xfId="2438"/>
    <cellStyle name="20% - Accent3 3 9 2 2" xfId="8723"/>
    <cellStyle name="20% - Accent3 3 9 2 2 2" xfId="16622"/>
    <cellStyle name="20% - Accent3 3 9 2 2 3" xfId="16621"/>
    <cellStyle name="20% - Accent3 3 9 2 3" xfId="5596"/>
    <cellStyle name="20% - Accent3 3 9 2 3 2" xfId="16624"/>
    <cellStyle name="20% - Accent3 3 9 2 3 3" xfId="16623"/>
    <cellStyle name="20% - Accent3 3 9 2 4" xfId="11906"/>
    <cellStyle name="20% - Accent3 3 9 2 4 2" xfId="16626"/>
    <cellStyle name="20% - Accent3 3 9 2 4 3" xfId="16625"/>
    <cellStyle name="20% - Accent3 3 9 2 5" xfId="16627"/>
    <cellStyle name="20% - Accent3 3 9 2 6" xfId="16620"/>
    <cellStyle name="20% - Accent3 3 9 3" xfId="7160"/>
    <cellStyle name="20% - Accent3 3 9 3 2" xfId="16629"/>
    <cellStyle name="20% - Accent3 3 9 3 3" xfId="16628"/>
    <cellStyle name="20% - Accent3 3 9 4" xfId="4033"/>
    <cellStyle name="20% - Accent3 3 9 4 2" xfId="16631"/>
    <cellStyle name="20% - Accent3 3 9 4 3" xfId="16630"/>
    <cellStyle name="20% - Accent3 3 9 5" xfId="10343"/>
    <cellStyle name="20% - Accent3 3 9 5 2" xfId="16633"/>
    <cellStyle name="20% - Accent3 3 9 5 3" xfId="16632"/>
    <cellStyle name="20% - Accent3 3 9 6" xfId="16634"/>
    <cellStyle name="20% - Accent3 3 9 7" xfId="16619"/>
    <cellStyle name="20% - Accent3 4" xfId="154"/>
    <cellStyle name="20% - Accent3 4 10" xfId="6498"/>
    <cellStyle name="20% - Accent3 4 10 2" xfId="16637"/>
    <cellStyle name="20% - Accent3 4 10 3" xfId="16636"/>
    <cellStyle name="20% - Accent3 4 11" xfId="3371"/>
    <cellStyle name="20% - Accent3 4 11 2" xfId="16639"/>
    <cellStyle name="20% - Accent3 4 11 3" xfId="16638"/>
    <cellStyle name="20% - Accent3 4 12" xfId="9598"/>
    <cellStyle name="20% - Accent3 4 12 2" xfId="16641"/>
    <cellStyle name="20% - Accent3 4 12 3" xfId="16640"/>
    <cellStyle name="20% - Accent3 4 13" xfId="16642"/>
    <cellStyle name="20% - Accent3 4 14" xfId="16635"/>
    <cellStyle name="20% - Accent3 4 2" xfId="230"/>
    <cellStyle name="20% - Accent3 4 2 2" xfId="941"/>
    <cellStyle name="20% - Accent3 4 2 2 2" xfId="2507"/>
    <cellStyle name="20% - Accent3 4 2 2 2 2" xfId="8792"/>
    <cellStyle name="20% - Accent3 4 2 2 2 2 2" xfId="16647"/>
    <cellStyle name="20% - Accent3 4 2 2 2 2 3" xfId="16646"/>
    <cellStyle name="20% - Accent3 4 2 2 2 3" xfId="5665"/>
    <cellStyle name="20% - Accent3 4 2 2 2 3 2" xfId="16649"/>
    <cellStyle name="20% - Accent3 4 2 2 2 3 3" xfId="16648"/>
    <cellStyle name="20% - Accent3 4 2 2 2 4" xfId="11975"/>
    <cellStyle name="20% - Accent3 4 2 2 2 4 2" xfId="16651"/>
    <cellStyle name="20% - Accent3 4 2 2 2 4 3" xfId="16650"/>
    <cellStyle name="20% - Accent3 4 2 2 2 5" xfId="16652"/>
    <cellStyle name="20% - Accent3 4 2 2 2 6" xfId="16645"/>
    <cellStyle name="20% - Accent3 4 2 2 3" xfId="7229"/>
    <cellStyle name="20% - Accent3 4 2 2 3 2" xfId="16654"/>
    <cellStyle name="20% - Accent3 4 2 2 3 3" xfId="16653"/>
    <cellStyle name="20% - Accent3 4 2 2 4" xfId="4102"/>
    <cellStyle name="20% - Accent3 4 2 2 4 2" xfId="16656"/>
    <cellStyle name="20% - Accent3 4 2 2 4 3" xfId="16655"/>
    <cellStyle name="20% - Accent3 4 2 2 5" xfId="10412"/>
    <cellStyle name="20% - Accent3 4 2 2 5 2" xfId="16658"/>
    <cellStyle name="20% - Accent3 4 2 2 5 3" xfId="16657"/>
    <cellStyle name="20% - Accent3 4 2 2 6" xfId="16659"/>
    <cellStyle name="20% - Accent3 4 2 2 7" xfId="16644"/>
    <cellStyle name="20% - Accent3 4 2 3" xfId="1827"/>
    <cellStyle name="20% - Accent3 4 2 3 2" xfId="8112"/>
    <cellStyle name="20% - Accent3 4 2 3 2 2" xfId="16662"/>
    <cellStyle name="20% - Accent3 4 2 3 2 3" xfId="16661"/>
    <cellStyle name="20% - Accent3 4 2 3 3" xfId="4985"/>
    <cellStyle name="20% - Accent3 4 2 3 3 2" xfId="16664"/>
    <cellStyle name="20% - Accent3 4 2 3 3 3" xfId="16663"/>
    <cellStyle name="20% - Accent3 4 2 3 4" xfId="11295"/>
    <cellStyle name="20% - Accent3 4 2 3 4 2" xfId="16666"/>
    <cellStyle name="20% - Accent3 4 2 3 4 3" xfId="16665"/>
    <cellStyle name="20% - Accent3 4 2 3 5" xfId="16667"/>
    <cellStyle name="20% - Accent3 4 2 3 6" xfId="16660"/>
    <cellStyle name="20% - Accent3 4 2 4" xfId="6549"/>
    <cellStyle name="20% - Accent3 4 2 4 2" xfId="16669"/>
    <cellStyle name="20% - Accent3 4 2 4 3" xfId="16668"/>
    <cellStyle name="20% - Accent3 4 2 5" xfId="3422"/>
    <cellStyle name="20% - Accent3 4 2 5 2" xfId="16671"/>
    <cellStyle name="20% - Accent3 4 2 5 3" xfId="16670"/>
    <cellStyle name="20% - Accent3 4 2 6" xfId="9819"/>
    <cellStyle name="20% - Accent3 4 2 6 2" xfId="16673"/>
    <cellStyle name="20% - Accent3 4 2 6 3" xfId="16672"/>
    <cellStyle name="20% - Accent3 4 2 7" xfId="16674"/>
    <cellStyle name="20% - Accent3 4 2 8" xfId="16643"/>
    <cellStyle name="20% - Accent3 4 3" xfId="337"/>
    <cellStyle name="20% - Accent3 4 3 2" xfId="1045"/>
    <cellStyle name="20% - Accent3 4 3 2 2" xfId="2611"/>
    <cellStyle name="20% - Accent3 4 3 2 2 2" xfId="8896"/>
    <cellStyle name="20% - Accent3 4 3 2 2 2 2" xfId="16679"/>
    <cellStyle name="20% - Accent3 4 3 2 2 2 3" xfId="16678"/>
    <cellStyle name="20% - Accent3 4 3 2 2 3" xfId="5769"/>
    <cellStyle name="20% - Accent3 4 3 2 2 3 2" xfId="16681"/>
    <cellStyle name="20% - Accent3 4 3 2 2 3 3" xfId="16680"/>
    <cellStyle name="20% - Accent3 4 3 2 2 4" xfId="12079"/>
    <cellStyle name="20% - Accent3 4 3 2 2 4 2" xfId="16683"/>
    <cellStyle name="20% - Accent3 4 3 2 2 4 3" xfId="16682"/>
    <cellStyle name="20% - Accent3 4 3 2 2 5" xfId="16684"/>
    <cellStyle name="20% - Accent3 4 3 2 2 6" xfId="16677"/>
    <cellStyle name="20% - Accent3 4 3 2 3" xfId="7333"/>
    <cellStyle name="20% - Accent3 4 3 2 3 2" xfId="16686"/>
    <cellStyle name="20% - Accent3 4 3 2 3 3" xfId="16685"/>
    <cellStyle name="20% - Accent3 4 3 2 4" xfId="4206"/>
    <cellStyle name="20% - Accent3 4 3 2 4 2" xfId="16688"/>
    <cellStyle name="20% - Accent3 4 3 2 4 3" xfId="16687"/>
    <cellStyle name="20% - Accent3 4 3 2 5" xfId="10516"/>
    <cellStyle name="20% - Accent3 4 3 2 5 2" xfId="16690"/>
    <cellStyle name="20% - Accent3 4 3 2 5 3" xfId="16689"/>
    <cellStyle name="20% - Accent3 4 3 2 6" xfId="16691"/>
    <cellStyle name="20% - Accent3 4 3 2 7" xfId="16676"/>
    <cellStyle name="20% - Accent3 4 3 3" xfId="1931"/>
    <cellStyle name="20% - Accent3 4 3 3 2" xfId="8216"/>
    <cellStyle name="20% - Accent3 4 3 3 2 2" xfId="16694"/>
    <cellStyle name="20% - Accent3 4 3 3 2 3" xfId="16693"/>
    <cellStyle name="20% - Accent3 4 3 3 3" xfId="5089"/>
    <cellStyle name="20% - Accent3 4 3 3 3 2" xfId="16696"/>
    <cellStyle name="20% - Accent3 4 3 3 3 3" xfId="16695"/>
    <cellStyle name="20% - Accent3 4 3 3 4" xfId="11399"/>
    <cellStyle name="20% - Accent3 4 3 3 4 2" xfId="16698"/>
    <cellStyle name="20% - Accent3 4 3 3 4 3" xfId="16697"/>
    <cellStyle name="20% - Accent3 4 3 3 5" xfId="16699"/>
    <cellStyle name="20% - Accent3 4 3 3 6" xfId="16692"/>
    <cellStyle name="20% - Accent3 4 3 4" xfId="6653"/>
    <cellStyle name="20% - Accent3 4 3 4 2" xfId="16701"/>
    <cellStyle name="20% - Accent3 4 3 4 3" xfId="16700"/>
    <cellStyle name="20% - Accent3 4 3 5" xfId="3526"/>
    <cellStyle name="20% - Accent3 4 3 5 2" xfId="16703"/>
    <cellStyle name="20% - Accent3 4 3 5 3" xfId="16702"/>
    <cellStyle name="20% - Accent3 4 3 6" xfId="9818"/>
    <cellStyle name="20% - Accent3 4 3 6 2" xfId="16705"/>
    <cellStyle name="20% - Accent3 4 3 6 3" xfId="16704"/>
    <cellStyle name="20% - Accent3 4 3 7" xfId="16706"/>
    <cellStyle name="20% - Accent3 4 3 8" xfId="16675"/>
    <cellStyle name="20% - Accent3 4 4" xfId="416"/>
    <cellStyle name="20% - Accent3 4 4 2" xfId="1123"/>
    <cellStyle name="20% - Accent3 4 4 2 2" xfId="2688"/>
    <cellStyle name="20% - Accent3 4 4 2 2 2" xfId="8973"/>
    <cellStyle name="20% - Accent3 4 4 2 2 2 2" xfId="16711"/>
    <cellStyle name="20% - Accent3 4 4 2 2 2 3" xfId="16710"/>
    <cellStyle name="20% - Accent3 4 4 2 2 3" xfId="5846"/>
    <cellStyle name="20% - Accent3 4 4 2 2 3 2" xfId="16713"/>
    <cellStyle name="20% - Accent3 4 4 2 2 3 3" xfId="16712"/>
    <cellStyle name="20% - Accent3 4 4 2 2 4" xfId="12156"/>
    <cellStyle name="20% - Accent3 4 4 2 2 4 2" xfId="16715"/>
    <cellStyle name="20% - Accent3 4 4 2 2 4 3" xfId="16714"/>
    <cellStyle name="20% - Accent3 4 4 2 2 5" xfId="16716"/>
    <cellStyle name="20% - Accent3 4 4 2 2 6" xfId="16709"/>
    <cellStyle name="20% - Accent3 4 4 2 3" xfId="7410"/>
    <cellStyle name="20% - Accent3 4 4 2 3 2" xfId="16718"/>
    <cellStyle name="20% - Accent3 4 4 2 3 3" xfId="16717"/>
    <cellStyle name="20% - Accent3 4 4 2 4" xfId="4283"/>
    <cellStyle name="20% - Accent3 4 4 2 4 2" xfId="16720"/>
    <cellStyle name="20% - Accent3 4 4 2 4 3" xfId="16719"/>
    <cellStyle name="20% - Accent3 4 4 2 5" xfId="10593"/>
    <cellStyle name="20% - Accent3 4 4 2 5 2" xfId="16722"/>
    <cellStyle name="20% - Accent3 4 4 2 5 3" xfId="16721"/>
    <cellStyle name="20% - Accent3 4 4 2 6" xfId="16723"/>
    <cellStyle name="20% - Accent3 4 4 2 7" xfId="16708"/>
    <cellStyle name="20% - Accent3 4 4 3" xfId="2008"/>
    <cellStyle name="20% - Accent3 4 4 3 2" xfId="8293"/>
    <cellStyle name="20% - Accent3 4 4 3 2 2" xfId="16726"/>
    <cellStyle name="20% - Accent3 4 4 3 2 3" xfId="16725"/>
    <cellStyle name="20% - Accent3 4 4 3 3" xfId="5166"/>
    <cellStyle name="20% - Accent3 4 4 3 3 2" xfId="16728"/>
    <cellStyle name="20% - Accent3 4 4 3 3 3" xfId="16727"/>
    <cellStyle name="20% - Accent3 4 4 3 4" xfId="11476"/>
    <cellStyle name="20% - Accent3 4 4 3 4 2" xfId="16730"/>
    <cellStyle name="20% - Accent3 4 4 3 4 3" xfId="16729"/>
    <cellStyle name="20% - Accent3 4 4 3 5" xfId="16731"/>
    <cellStyle name="20% - Accent3 4 4 3 6" xfId="16724"/>
    <cellStyle name="20% - Accent3 4 4 4" xfId="6730"/>
    <cellStyle name="20% - Accent3 4 4 4 2" xfId="16733"/>
    <cellStyle name="20% - Accent3 4 4 4 3" xfId="16732"/>
    <cellStyle name="20% - Accent3 4 4 5" xfId="3603"/>
    <cellStyle name="20% - Accent3 4 4 5 2" xfId="16735"/>
    <cellStyle name="20% - Accent3 4 4 5 3" xfId="16734"/>
    <cellStyle name="20% - Accent3 4 4 6" xfId="10036"/>
    <cellStyle name="20% - Accent3 4 4 6 2" xfId="16737"/>
    <cellStyle name="20% - Accent3 4 4 6 3" xfId="16736"/>
    <cellStyle name="20% - Accent3 4 4 7" xfId="16738"/>
    <cellStyle name="20% - Accent3 4 4 8" xfId="16707"/>
    <cellStyle name="20% - Accent3 4 5" xfId="564"/>
    <cellStyle name="20% - Accent3 4 5 2" xfId="1271"/>
    <cellStyle name="20% - Accent3 4 5 2 2" xfId="2836"/>
    <cellStyle name="20% - Accent3 4 5 2 2 2" xfId="9121"/>
    <cellStyle name="20% - Accent3 4 5 2 2 2 2" xfId="16743"/>
    <cellStyle name="20% - Accent3 4 5 2 2 2 3" xfId="16742"/>
    <cellStyle name="20% - Accent3 4 5 2 2 3" xfId="5994"/>
    <cellStyle name="20% - Accent3 4 5 2 2 3 2" xfId="16745"/>
    <cellStyle name="20% - Accent3 4 5 2 2 3 3" xfId="16744"/>
    <cellStyle name="20% - Accent3 4 5 2 2 4" xfId="12304"/>
    <cellStyle name="20% - Accent3 4 5 2 2 4 2" xfId="16747"/>
    <cellStyle name="20% - Accent3 4 5 2 2 4 3" xfId="16746"/>
    <cellStyle name="20% - Accent3 4 5 2 2 5" xfId="16748"/>
    <cellStyle name="20% - Accent3 4 5 2 2 6" xfId="16741"/>
    <cellStyle name="20% - Accent3 4 5 2 3" xfId="7558"/>
    <cellStyle name="20% - Accent3 4 5 2 3 2" xfId="16750"/>
    <cellStyle name="20% - Accent3 4 5 2 3 3" xfId="16749"/>
    <cellStyle name="20% - Accent3 4 5 2 4" xfId="4431"/>
    <cellStyle name="20% - Accent3 4 5 2 4 2" xfId="16752"/>
    <cellStyle name="20% - Accent3 4 5 2 4 3" xfId="16751"/>
    <cellStyle name="20% - Accent3 4 5 2 5" xfId="10741"/>
    <cellStyle name="20% - Accent3 4 5 2 5 2" xfId="16754"/>
    <cellStyle name="20% - Accent3 4 5 2 5 3" xfId="16753"/>
    <cellStyle name="20% - Accent3 4 5 2 6" xfId="16755"/>
    <cellStyle name="20% - Accent3 4 5 2 7" xfId="16740"/>
    <cellStyle name="20% - Accent3 4 5 3" xfId="2156"/>
    <cellStyle name="20% - Accent3 4 5 3 2" xfId="8441"/>
    <cellStyle name="20% - Accent3 4 5 3 2 2" xfId="16758"/>
    <cellStyle name="20% - Accent3 4 5 3 2 3" xfId="16757"/>
    <cellStyle name="20% - Accent3 4 5 3 3" xfId="5314"/>
    <cellStyle name="20% - Accent3 4 5 3 3 2" xfId="16760"/>
    <cellStyle name="20% - Accent3 4 5 3 3 3" xfId="16759"/>
    <cellStyle name="20% - Accent3 4 5 3 4" xfId="11624"/>
    <cellStyle name="20% - Accent3 4 5 3 4 2" xfId="16762"/>
    <cellStyle name="20% - Accent3 4 5 3 4 3" xfId="16761"/>
    <cellStyle name="20% - Accent3 4 5 3 5" xfId="16763"/>
    <cellStyle name="20% - Accent3 4 5 3 6" xfId="16756"/>
    <cellStyle name="20% - Accent3 4 5 4" xfId="6878"/>
    <cellStyle name="20% - Accent3 4 5 4 2" xfId="16765"/>
    <cellStyle name="20% - Accent3 4 5 4 3" xfId="16764"/>
    <cellStyle name="20% - Accent3 4 5 5" xfId="3751"/>
    <cellStyle name="20% - Accent3 4 5 5 2" xfId="16767"/>
    <cellStyle name="20% - Accent3 4 5 5 3" xfId="16766"/>
    <cellStyle name="20% - Accent3 4 5 6" xfId="10183"/>
    <cellStyle name="20% - Accent3 4 5 6 2" xfId="16769"/>
    <cellStyle name="20% - Accent3 4 5 6 3" xfId="16768"/>
    <cellStyle name="20% - Accent3 4 5 7" xfId="16770"/>
    <cellStyle name="20% - Accent3 4 5 8" xfId="16739"/>
    <cellStyle name="20% - Accent3 4 6" xfId="623"/>
    <cellStyle name="20% - Accent3 4 6 2" xfId="1328"/>
    <cellStyle name="20% - Accent3 4 6 2 2" xfId="2893"/>
    <cellStyle name="20% - Accent3 4 6 2 2 2" xfId="9178"/>
    <cellStyle name="20% - Accent3 4 6 2 2 2 2" xfId="16775"/>
    <cellStyle name="20% - Accent3 4 6 2 2 2 3" xfId="16774"/>
    <cellStyle name="20% - Accent3 4 6 2 2 3" xfId="6051"/>
    <cellStyle name="20% - Accent3 4 6 2 2 3 2" xfId="16777"/>
    <cellStyle name="20% - Accent3 4 6 2 2 3 3" xfId="16776"/>
    <cellStyle name="20% - Accent3 4 6 2 2 4" xfId="12361"/>
    <cellStyle name="20% - Accent3 4 6 2 2 4 2" xfId="16779"/>
    <cellStyle name="20% - Accent3 4 6 2 2 4 3" xfId="16778"/>
    <cellStyle name="20% - Accent3 4 6 2 2 5" xfId="16780"/>
    <cellStyle name="20% - Accent3 4 6 2 2 6" xfId="16773"/>
    <cellStyle name="20% - Accent3 4 6 2 3" xfId="7615"/>
    <cellStyle name="20% - Accent3 4 6 2 3 2" xfId="16782"/>
    <cellStyle name="20% - Accent3 4 6 2 3 3" xfId="16781"/>
    <cellStyle name="20% - Accent3 4 6 2 4" xfId="4488"/>
    <cellStyle name="20% - Accent3 4 6 2 4 2" xfId="16784"/>
    <cellStyle name="20% - Accent3 4 6 2 4 3" xfId="16783"/>
    <cellStyle name="20% - Accent3 4 6 2 5" xfId="10798"/>
    <cellStyle name="20% - Accent3 4 6 2 5 2" xfId="16786"/>
    <cellStyle name="20% - Accent3 4 6 2 5 3" xfId="16785"/>
    <cellStyle name="20% - Accent3 4 6 2 6" xfId="16787"/>
    <cellStyle name="20% - Accent3 4 6 2 7" xfId="16772"/>
    <cellStyle name="20% - Accent3 4 6 3" xfId="2213"/>
    <cellStyle name="20% - Accent3 4 6 3 2" xfId="8498"/>
    <cellStyle name="20% - Accent3 4 6 3 2 2" xfId="16790"/>
    <cellStyle name="20% - Accent3 4 6 3 2 3" xfId="16789"/>
    <cellStyle name="20% - Accent3 4 6 3 3" xfId="5371"/>
    <cellStyle name="20% - Accent3 4 6 3 3 2" xfId="16792"/>
    <cellStyle name="20% - Accent3 4 6 3 3 3" xfId="16791"/>
    <cellStyle name="20% - Accent3 4 6 3 4" xfId="11681"/>
    <cellStyle name="20% - Accent3 4 6 3 4 2" xfId="16794"/>
    <cellStyle name="20% - Accent3 4 6 3 4 3" xfId="16793"/>
    <cellStyle name="20% - Accent3 4 6 3 5" xfId="16795"/>
    <cellStyle name="20% - Accent3 4 6 3 6" xfId="16788"/>
    <cellStyle name="20% - Accent3 4 6 4" xfId="6935"/>
    <cellStyle name="20% - Accent3 4 6 4 2" xfId="16797"/>
    <cellStyle name="20% - Accent3 4 6 4 3" xfId="16796"/>
    <cellStyle name="20% - Accent3 4 6 5" xfId="3808"/>
    <cellStyle name="20% - Accent3 4 6 5 2" xfId="16799"/>
    <cellStyle name="20% - Accent3 4 6 5 3" xfId="16798"/>
    <cellStyle name="20% - Accent3 4 6 6" xfId="10241"/>
    <cellStyle name="20% - Accent3 4 6 6 2" xfId="16801"/>
    <cellStyle name="20% - Accent3 4 6 6 3" xfId="16800"/>
    <cellStyle name="20% - Accent3 4 6 7" xfId="16802"/>
    <cellStyle name="20% - Accent3 4 6 8" xfId="16771"/>
    <cellStyle name="20% - Accent3 4 7" xfId="890"/>
    <cellStyle name="20% - Accent3 4 7 2" xfId="2456"/>
    <cellStyle name="20% - Accent3 4 7 2 2" xfId="8741"/>
    <cellStyle name="20% - Accent3 4 7 2 2 2" xfId="16806"/>
    <cellStyle name="20% - Accent3 4 7 2 2 3" xfId="16805"/>
    <cellStyle name="20% - Accent3 4 7 2 3" xfId="5614"/>
    <cellStyle name="20% - Accent3 4 7 2 3 2" xfId="16808"/>
    <cellStyle name="20% - Accent3 4 7 2 3 3" xfId="16807"/>
    <cellStyle name="20% - Accent3 4 7 2 4" xfId="11924"/>
    <cellStyle name="20% - Accent3 4 7 2 4 2" xfId="16810"/>
    <cellStyle name="20% - Accent3 4 7 2 4 3" xfId="16809"/>
    <cellStyle name="20% - Accent3 4 7 2 5" xfId="16811"/>
    <cellStyle name="20% - Accent3 4 7 2 6" xfId="16804"/>
    <cellStyle name="20% - Accent3 4 7 3" xfId="7178"/>
    <cellStyle name="20% - Accent3 4 7 3 2" xfId="16813"/>
    <cellStyle name="20% - Accent3 4 7 3 3" xfId="16812"/>
    <cellStyle name="20% - Accent3 4 7 4" xfId="4051"/>
    <cellStyle name="20% - Accent3 4 7 4 2" xfId="16815"/>
    <cellStyle name="20% - Accent3 4 7 4 3" xfId="16814"/>
    <cellStyle name="20% - Accent3 4 7 5" xfId="10361"/>
    <cellStyle name="20% - Accent3 4 7 5 2" xfId="16817"/>
    <cellStyle name="20% - Accent3 4 7 5 3" xfId="16816"/>
    <cellStyle name="20% - Accent3 4 7 6" xfId="16818"/>
    <cellStyle name="20% - Accent3 4 7 7" xfId="16803"/>
    <cellStyle name="20% - Accent3 4 8" xfId="1530"/>
    <cellStyle name="20% - Accent3 4 8 2" xfId="3095"/>
    <cellStyle name="20% - Accent3 4 8 2 2" xfId="9380"/>
    <cellStyle name="20% - Accent3 4 8 2 2 2" xfId="16822"/>
    <cellStyle name="20% - Accent3 4 8 2 2 3" xfId="16821"/>
    <cellStyle name="20% - Accent3 4 8 2 3" xfId="6253"/>
    <cellStyle name="20% - Accent3 4 8 2 3 2" xfId="16824"/>
    <cellStyle name="20% - Accent3 4 8 2 3 3" xfId="16823"/>
    <cellStyle name="20% - Accent3 4 8 2 4" xfId="12563"/>
    <cellStyle name="20% - Accent3 4 8 2 4 2" xfId="16826"/>
    <cellStyle name="20% - Accent3 4 8 2 4 3" xfId="16825"/>
    <cellStyle name="20% - Accent3 4 8 2 5" xfId="16827"/>
    <cellStyle name="20% - Accent3 4 8 2 6" xfId="16820"/>
    <cellStyle name="20% - Accent3 4 8 3" xfId="7817"/>
    <cellStyle name="20% - Accent3 4 8 3 2" xfId="16829"/>
    <cellStyle name="20% - Accent3 4 8 3 3" xfId="16828"/>
    <cellStyle name="20% - Accent3 4 8 4" xfId="4690"/>
    <cellStyle name="20% - Accent3 4 8 4 2" xfId="16831"/>
    <cellStyle name="20% - Accent3 4 8 4 3" xfId="16830"/>
    <cellStyle name="20% - Accent3 4 8 5" xfId="11000"/>
    <cellStyle name="20% - Accent3 4 8 5 2" xfId="16833"/>
    <cellStyle name="20% - Accent3 4 8 5 3" xfId="16832"/>
    <cellStyle name="20% - Accent3 4 8 6" xfId="16834"/>
    <cellStyle name="20% - Accent3 4 8 7" xfId="16819"/>
    <cellStyle name="20% - Accent3 4 9" xfId="1776"/>
    <cellStyle name="20% - Accent3 4 9 2" xfId="8061"/>
    <cellStyle name="20% - Accent3 4 9 2 2" xfId="16837"/>
    <cellStyle name="20% - Accent3 4 9 2 3" xfId="16836"/>
    <cellStyle name="20% - Accent3 4 9 3" xfId="4934"/>
    <cellStyle name="20% - Accent3 4 9 3 2" xfId="16839"/>
    <cellStyle name="20% - Accent3 4 9 3 3" xfId="16838"/>
    <cellStyle name="20% - Accent3 4 9 4" xfId="11244"/>
    <cellStyle name="20% - Accent3 4 9 4 2" xfId="16841"/>
    <cellStyle name="20% - Accent3 4 9 4 3" xfId="16840"/>
    <cellStyle name="20% - Accent3 4 9 5" xfId="16842"/>
    <cellStyle name="20% - Accent3 4 9 6" xfId="16835"/>
    <cellStyle name="20% - Accent3 5" xfId="190"/>
    <cellStyle name="20% - Accent3 5 2" xfId="318"/>
    <cellStyle name="20% - Accent3 5 2 2" xfId="1028"/>
    <cellStyle name="20% - Accent3 5 2 2 2" xfId="2594"/>
    <cellStyle name="20% - Accent3 5 2 2 2 2" xfId="8879"/>
    <cellStyle name="20% - Accent3 5 2 2 2 2 2" xfId="16848"/>
    <cellStyle name="20% - Accent3 5 2 2 2 2 3" xfId="16847"/>
    <cellStyle name="20% - Accent3 5 2 2 2 3" xfId="5752"/>
    <cellStyle name="20% - Accent3 5 2 2 2 3 2" xfId="16850"/>
    <cellStyle name="20% - Accent3 5 2 2 2 3 3" xfId="16849"/>
    <cellStyle name="20% - Accent3 5 2 2 2 4" xfId="12062"/>
    <cellStyle name="20% - Accent3 5 2 2 2 4 2" xfId="16852"/>
    <cellStyle name="20% - Accent3 5 2 2 2 4 3" xfId="16851"/>
    <cellStyle name="20% - Accent3 5 2 2 2 5" xfId="16853"/>
    <cellStyle name="20% - Accent3 5 2 2 2 6" xfId="16846"/>
    <cellStyle name="20% - Accent3 5 2 2 3" xfId="7316"/>
    <cellStyle name="20% - Accent3 5 2 2 3 2" xfId="16855"/>
    <cellStyle name="20% - Accent3 5 2 2 3 3" xfId="16854"/>
    <cellStyle name="20% - Accent3 5 2 2 4" xfId="4189"/>
    <cellStyle name="20% - Accent3 5 2 2 4 2" xfId="16857"/>
    <cellStyle name="20% - Accent3 5 2 2 4 3" xfId="16856"/>
    <cellStyle name="20% - Accent3 5 2 2 5" xfId="10499"/>
    <cellStyle name="20% - Accent3 5 2 2 5 2" xfId="16859"/>
    <cellStyle name="20% - Accent3 5 2 2 5 3" xfId="16858"/>
    <cellStyle name="20% - Accent3 5 2 2 6" xfId="16860"/>
    <cellStyle name="20% - Accent3 5 2 2 7" xfId="16845"/>
    <cellStyle name="20% - Accent3 5 2 3" xfId="1914"/>
    <cellStyle name="20% - Accent3 5 2 3 2" xfId="8199"/>
    <cellStyle name="20% - Accent3 5 2 3 2 2" xfId="16863"/>
    <cellStyle name="20% - Accent3 5 2 3 2 3" xfId="16862"/>
    <cellStyle name="20% - Accent3 5 2 3 3" xfId="5072"/>
    <cellStyle name="20% - Accent3 5 2 3 3 2" xfId="16865"/>
    <cellStyle name="20% - Accent3 5 2 3 3 3" xfId="16864"/>
    <cellStyle name="20% - Accent3 5 2 3 4" xfId="11382"/>
    <cellStyle name="20% - Accent3 5 2 3 4 2" xfId="16867"/>
    <cellStyle name="20% - Accent3 5 2 3 4 3" xfId="16866"/>
    <cellStyle name="20% - Accent3 5 2 3 5" xfId="16868"/>
    <cellStyle name="20% - Accent3 5 2 3 6" xfId="16861"/>
    <cellStyle name="20% - Accent3 5 2 4" xfId="6636"/>
    <cellStyle name="20% - Accent3 5 2 4 2" xfId="16870"/>
    <cellStyle name="20% - Accent3 5 2 4 3" xfId="16869"/>
    <cellStyle name="20% - Accent3 5 2 5" xfId="3509"/>
    <cellStyle name="20% - Accent3 5 2 5 2" xfId="16872"/>
    <cellStyle name="20% - Accent3 5 2 5 3" xfId="16871"/>
    <cellStyle name="20% - Accent3 5 2 6" xfId="9799"/>
    <cellStyle name="20% - Accent3 5 2 6 2" xfId="16874"/>
    <cellStyle name="20% - Accent3 5 2 6 3" xfId="16873"/>
    <cellStyle name="20% - Accent3 5 2 7" xfId="16875"/>
    <cellStyle name="20% - Accent3 5 2 8" xfId="16844"/>
    <cellStyle name="20% - Accent3 5 3" xfId="923"/>
    <cellStyle name="20% - Accent3 5 3 2" xfId="2489"/>
    <cellStyle name="20% - Accent3 5 3 2 2" xfId="8774"/>
    <cellStyle name="20% - Accent3 5 3 2 2 2" xfId="16879"/>
    <cellStyle name="20% - Accent3 5 3 2 2 3" xfId="16878"/>
    <cellStyle name="20% - Accent3 5 3 2 3" xfId="5647"/>
    <cellStyle name="20% - Accent3 5 3 2 3 2" xfId="16881"/>
    <cellStyle name="20% - Accent3 5 3 2 3 3" xfId="16880"/>
    <cellStyle name="20% - Accent3 5 3 2 4" xfId="11957"/>
    <cellStyle name="20% - Accent3 5 3 2 4 2" xfId="16883"/>
    <cellStyle name="20% - Accent3 5 3 2 4 3" xfId="16882"/>
    <cellStyle name="20% - Accent3 5 3 2 5" xfId="16884"/>
    <cellStyle name="20% - Accent3 5 3 2 6" xfId="16877"/>
    <cellStyle name="20% - Accent3 5 3 3" xfId="7211"/>
    <cellStyle name="20% - Accent3 5 3 3 2" xfId="16886"/>
    <cellStyle name="20% - Accent3 5 3 3 3" xfId="16885"/>
    <cellStyle name="20% - Accent3 5 3 4" xfId="4084"/>
    <cellStyle name="20% - Accent3 5 3 4 2" xfId="16888"/>
    <cellStyle name="20% - Accent3 5 3 4 3" xfId="16887"/>
    <cellStyle name="20% - Accent3 5 3 5" xfId="10394"/>
    <cellStyle name="20% - Accent3 5 3 5 2" xfId="16890"/>
    <cellStyle name="20% - Accent3 5 3 5 3" xfId="16889"/>
    <cellStyle name="20% - Accent3 5 3 6" xfId="16891"/>
    <cellStyle name="20% - Accent3 5 3 7" xfId="16876"/>
    <cellStyle name="20% - Accent3 5 4" xfId="1809"/>
    <cellStyle name="20% - Accent3 5 4 2" xfId="8094"/>
    <cellStyle name="20% - Accent3 5 4 2 2" xfId="16894"/>
    <cellStyle name="20% - Accent3 5 4 2 3" xfId="16893"/>
    <cellStyle name="20% - Accent3 5 4 3" xfId="4967"/>
    <cellStyle name="20% - Accent3 5 4 3 2" xfId="16896"/>
    <cellStyle name="20% - Accent3 5 4 3 3" xfId="16895"/>
    <cellStyle name="20% - Accent3 5 4 4" xfId="11277"/>
    <cellStyle name="20% - Accent3 5 4 4 2" xfId="16898"/>
    <cellStyle name="20% - Accent3 5 4 4 3" xfId="16897"/>
    <cellStyle name="20% - Accent3 5 4 5" xfId="16899"/>
    <cellStyle name="20% - Accent3 5 4 6" xfId="16892"/>
    <cellStyle name="20% - Accent3 5 5" xfId="6531"/>
    <cellStyle name="20% - Accent3 5 5 2" xfId="16901"/>
    <cellStyle name="20% - Accent3 5 5 3" xfId="16900"/>
    <cellStyle name="20% - Accent3 5 6" xfId="3404"/>
    <cellStyle name="20% - Accent3 5 6 2" xfId="16903"/>
    <cellStyle name="20% - Accent3 5 6 3" xfId="16902"/>
    <cellStyle name="20% - Accent3 5 7" xfId="9908"/>
    <cellStyle name="20% - Accent3 5 7 2" xfId="16905"/>
    <cellStyle name="20% - Accent3 5 7 3" xfId="16904"/>
    <cellStyle name="20% - Accent3 5 8" xfId="16906"/>
    <cellStyle name="20% - Accent3 5 9" xfId="16843"/>
    <cellStyle name="20% - Accent3 6" xfId="265"/>
    <cellStyle name="20% - Accent3 6 2" xfId="976"/>
    <cellStyle name="20% - Accent3 6 2 2" xfId="2542"/>
    <cellStyle name="20% - Accent3 6 2 2 2" xfId="8827"/>
    <cellStyle name="20% - Accent3 6 2 2 2 2" xfId="16911"/>
    <cellStyle name="20% - Accent3 6 2 2 2 3" xfId="16910"/>
    <cellStyle name="20% - Accent3 6 2 2 3" xfId="5700"/>
    <cellStyle name="20% - Accent3 6 2 2 3 2" xfId="16913"/>
    <cellStyle name="20% - Accent3 6 2 2 3 3" xfId="16912"/>
    <cellStyle name="20% - Accent3 6 2 2 4" xfId="12010"/>
    <cellStyle name="20% - Accent3 6 2 2 4 2" xfId="16915"/>
    <cellStyle name="20% - Accent3 6 2 2 4 3" xfId="16914"/>
    <cellStyle name="20% - Accent3 6 2 2 5" xfId="16916"/>
    <cellStyle name="20% - Accent3 6 2 2 6" xfId="16909"/>
    <cellStyle name="20% - Accent3 6 2 3" xfId="7264"/>
    <cellStyle name="20% - Accent3 6 2 3 2" xfId="16918"/>
    <cellStyle name="20% - Accent3 6 2 3 3" xfId="16917"/>
    <cellStyle name="20% - Accent3 6 2 4" xfId="4137"/>
    <cellStyle name="20% - Accent3 6 2 4 2" xfId="16920"/>
    <cellStyle name="20% - Accent3 6 2 4 3" xfId="16919"/>
    <cellStyle name="20% - Accent3 6 2 5" xfId="10447"/>
    <cellStyle name="20% - Accent3 6 2 5 2" xfId="16922"/>
    <cellStyle name="20% - Accent3 6 2 5 3" xfId="16921"/>
    <cellStyle name="20% - Accent3 6 2 6" xfId="16923"/>
    <cellStyle name="20% - Accent3 6 2 7" xfId="16908"/>
    <cellStyle name="20% - Accent3 6 3" xfId="1862"/>
    <cellStyle name="20% - Accent3 6 3 2" xfId="8147"/>
    <cellStyle name="20% - Accent3 6 3 2 2" xfId="16926"/>
    <cellStyle name="20% - Accent3 6 3 2 3" xfId="16925"/>
    <cellStyle name="20% - Accent3 6 3 3" xfId="5020"/>
    <cellStyle name="20% - Accent3 6 3 3 2" xfId="16928"/>
    <cellStyle name="20% - Accent3 6 3 3 3" xfId="16927"/>
    <cellStyle name="20% - Accent3 6 3 4" xfId="11330"/>
    <cellStyle name="20% - Accent3 6 3 4 2" xfId="16930"/>
    <cellStyle name="20% - Accent3 6 3 4 3" xfId="16929"/>
    <cellStyle name="20% - Accent3 6 3 5" xfId="16931"/>
    <cellStyle name="20% - Accent3 6 3 6" xfId="16924"/>
    <cellStyle name="20% - Accent3 6 4" xfId="6584"/>
    <cellStyle name="20% - Accent3 6 4 2" xfId="16933"/>
    <cellStyle name="20% - Accent3 6 4 3" xfId="16932"/>
    <cellStyle name="20% - Accent3 6 5" xfId="3457"/>
    <cellStyle name="20% - Accent3 6 5 2" xfId="16935"/>
    <cellStyle name="20% - Accent3 6 5 3" xfId="16934"/>
    <cellStyle name="20% - Accent3 6 6" xfId="9876"/>
    <cellStyle name="20% - Accent3 6 6 2" xfId="16937"/>
    <cellStyle name="20% - Accent3 6 6 3" xfId="16936"/>
    <cellStyle name="20% - Accent3 6 7" xfId="16938"/>
    <cellStyle name="20% - Accent3 6 8" xfId="16907"/>
    <cellStyle name="20% - Accent3 7" xfId="372"/>
    <cellStyle name="20% - Accent3 7 2" xfId="1080"/>
    <cellStyle name="20% - Accent3 7 2 2" xfId="2646"/>
    <cellStyle name="20% - Accent3 7 2 2 2" xfId="8931"/>
    <cellStyle name="20% - Accent3 7 2 2 2 2" xfId="16943"/>
    <cellStyle name="20% - Accent3 7 2 2 2 3" xfId="16942"/>
    <cellStyle name="20% - Accent3 7 2 2 3" xfId="5804"/>
    <cellStyle name="20% - Accent3 7 2 2 3 2" xfId="16945"/>
    <cellStyle name="20% - Accent3 7 2 2 3 3" xfId="16944"/>
    <cellStyle name="20% - Accent3 7 2 2 4" xfId="12114"/>
    <cellStyle name="20% - Accent3 7 2 2 4 2" xfId="16947"/>
    <cellStyle name="20% - Accent3 7 2 2 4 3" xfId="16946"/>
    <cellStyle name="20% - Accent3 7 2 2 5" xfId="16948"/>
    <cellStyle name="20% - Accent3 7 2 2 6" xfId="16941"/>
    <cellStyle name="20% - Accent3 7 2 3" xfId="7368"/>
    <cellStyle name="20% - Accent3 7 2 3 2" xfId="16950"/>
    <cellStyle name="20% - Accent3 7 2 3 3" xfId="16949"/>
    <cellStyle name="20% - Accent3 7 2 4" xfId="4241"/>
    <cellStyle name="20% - Accent3 7 2 4 2" xfId="16952"/>
    <cellStyle name="20% - Accent3 7 2 4 3" xfId="16951"/>
    <cellStyle name="20% - Accent3 7 2 5" xfId="10551"/>
    <cellStyle name="20% - Accent3 7 2 5 2" xfId="16954"/>
    <cellStyle name="20% - Accent3 7 2 5 3" xfId="16953"/>
    <cellStyle name="20% - Accent3 7 2 6" xfId="16955"/>
    <cellStyle name="20% - Accent3 7 2 7" xfId="16940"/>
    <cellStyle name="20% - Accent3 7 3" xfId="1966"/>
    <cellStyle name="20% - Accent3 7 3 2" xfId="8251"/>
    <cellStyle name="20% - Accent3 7 3 2 2" xfId="16958"/>
    <cellStyle name="20% - Accent3 7 3 2 3" xfId="16957"/>
    <cellStyle name="20% - Accent3 7 3 3" xfId="5124"/>
    <cellStyle name="20% - Accent3 7 3 3 2" xfId="16960"/>
    <cellStyle name="20% - Accent3 7 3 3 3" xfId="16959"/>
    <cellStyle name="20% - Accent3 7 3 4" xfId="11434"/>
    <cellStyle name="20% - Accent3 7 3 4 2" xfId="16962"/>
    <cellStyle name="20% - Accent3 7 3 4 3" xfId="16961"/>
    <cellStyle name="20% - Accent3 7 3 5" xfId="16963"/>
    <cellStyle name="20% - Accent3 7 3 6" xfId="16956"/>
    <cellStyle name="20% - Accent3 7 4" xfId="6688"/>
    <cellStyle name="20% - Accent3 7 4 2" xfId="16965"/>
    <cellStyle name="20% - Accent3 7 4 3" xfId="16964"/>
    <cellStyle name="20% - Accent3 7 5" xfId="3561"/>
    <cellStyle name="20% - Accent3 7 5 2" xfId="16967"/>
    <cellStyle name="20% - Accent3 7 5 3" xfId="16966"/>
    <cellStyle name="20% - Accent3 7 6" xfId="9993"/>
    <cellStyle name="20% - Accent3 7 6 2" xfId="16969"/>
    <cellStyle name="20% - Accent3 7 6 3" xfId="16968"/>
    <cellStyle name="20% - Accent3 7 7" xfId="16970"/>
    <cellStyle name="20% - Accent3 7 8" xfId="16939"/>
    <cellStyle name="20% - Accent3 8" xfId="405"/>
    <cellStyle name="20% - Accent3 8 2" xfId="1112"/>
    <cellStyle name="20% - Accent3 8 2 2" xfId="2677"/>
    <cellStyle name="20% - Accent3 8 2 2 2" xfId="8962"/>
    <cellStyle name="20% - Accent3 8 2 2 2 2" xfId="16975"/>
    <cellStyle name="20% - Accent3 8 2 2 2 3" xfId="16974"/>
    <cellStyle name="20% - Accent3 8 2 2 3" xfId="5835"/>
    <cellStyle name="20% - Accent3 8 2 2 3 2" xfId="16977"/>
    <cellStyle name="20% - Accent3 8 2 2 3 3" xfId="16976"/>
    <cellStyle name="20% - Accent3 8 2 2 4" xfId="12145"/>
    <cellStyle name="20% - Accent3 8 2 2 4 2" xfId="16979"/>
    <cellStyle name="20% - Accent3 8 2 2 4 3" xfId="16978"/>
    <cellStyle name="20% - Accent3 8 2 2 5" xfId="16980"/>
    <cellStyle name="20% - Accent3 8 2 2 6" xfId="16973"/>
    <cellStyle name="20% - Accent3 8 2 3" xfId="7399"/>
    <cellStyle name="20% - Accent3 8 2 3 2" xfId="16982"/>
    <cellStyle name="20% - Accent3 8 2 3 3" xfId="16981"/>
    <cellStyle name="20% - Accent3 8 2 4" xfId="4272"/>
    <cellStyle name="20% - Accent3 8 2 4 2" xfId="16984"/>
    <cellStyle name="20% - Accent3 8 2 4 3" xfId="16983"/>
    <cellStyle name="20% - Accent3 8 2 5" xfId="10582"/>
    <cellStyle name="20% - Accent3 8 2 5 2" xfId="16986"/>
    <cellStyle name="20% - Accent3 8 2 5 3" xfId="16985"/>
    <cellStyle name="20% - Accent3 8 2 6" xfId="16987"/>
    <cellStyle name="20% - Accent3 8 2 7" xfId="16972"/>
    <cellStyle name="20% - Accent3 8 3" xfId="1997"/>
    <cellStyle name="20% - Accent3 8 3 2" xfId="8282"/>
    <cellStyle name="20% - Accent3 8 3 2 2" xfId="16990"/>
    <cellStyle name="20% - Accent3 8 3 2 3" xfId="16989"/>
    <cellStyle name="20% - Accent3 8 3 3" xfId="5155"/>
    <cellStyle name="20% - Accent3 8 3 3 2" xfId="16992"/>
    <cellStyle name="20% - Accent3 8 3 3 3" xfId="16991"/>
    <cellStyle name="20% - Accent3 8 3 4" xfId="11465"/>
    <cellStyle name="20% - Accent3 8 3 4 2" xfId="16994"/>
    <cellStyle name="20% - Accent3 8 3 4 3" xfId="16993"/>
    <cellStyle name="20% - Accent3 8 3 5" xfId="16995"/>
    <cellStyle name="20% - Accent3 8 3 6" xfId="16988"/>
    <cellStyle name="20% - Accent3 8 4" xfId="6719"/>
    <cellStyle name="20% - Accent3 8 4 2" xfId="16997"/>
    <cellStyle name="20% - Accent3 8 4 3" xfId="16996"/>
    <cellStyle name="20% - Accent3 8 5" xfId="3592"/>
    <cellStyle name="20% - Accent3 8 5 2" xfId="16999"/>
    <cellStyle name="20% - Accent3 8 5 3" xfId="16998"/>
    <cellStyle name="20% - Accent3 8 6" xfId="10025"/>
    <cellStyle name="20% - Accent3 8 6 2" xfId="17001"/>
    <cellStyle name="20% - Accent3 8 6 3" xfId="17000"/>
    <cellStyle name="20% - Accent3 8 7" xfId="17002"/>
    <cellStyle name="20% - Accent3 8 8" xfId="16971"/>
    <cellStyle name="20% - Accent3 9" xfId="447"/>
    <cellStyle name="20% - Accent3 9 2" xfId="1154"/>
    <cellStyle name="20% - Accent3 9 2 2" xfId="2719"/>
    <cellStyle name="20% - Accent3 9 2 2 2" xfId="9004"/>
    <cellStyle name="20% - Accent3 9 2 2 2 2" xfId="17007"/>
    <cellStyle name="20% - Accent3 9 2 2 2 3" xfId="17006"/>
    <cellStyle name="20% - Accent3 9 2 2 3" xfId="5877"/>
    <cellStyle name="20% - Accent3 9 2 2 3 2" xfId="17009"/>
    <cellStyle name="20% - Accent3 9 2 2 3 3" xfId="17008"/>
    <cellStyle name="20% - Accent3 9 2 2 4" xfId="12187"/>
    <cellStyle name="20% - Accent3 9 2 2 4 2" xfId="17011"/>
    <cellStyle name="20% - Accent3 9 2 2 4 3" xfId="17010"/>
    <cellStyle name="20% - Accent3 9 2 2 5" xfId="17012"/>
    <cellStyle name="20% - Accent3 9 2 2 6" xfId="17005"/>
    <cellStyle name="20% - Accent3 9 2 3" xfId="7441"/>
    <cellStyle name="20% - Accent3 9 2 3 2" xfId="17014"/>
    <cellStyle name="20% - Accent3 9 2 3 3" xfId="17013"/>
    <cellStyle name="20% - Accent3 9 2 4" xfId="4314"/>
    <cellStyle name="20% - Accent3 9 2 4 2" xfId="17016"/>
    <cellStyle name="20% - Accent3 9 2 4 3" xfId="17015"/>
    <cellStyle name="20% - Accent3 9 2 5" xfId="10624"/>
    <cellStyle name="20% - Accent3 9 2 5 2" xfId="17018"/>
    <cellStyle name="20% - Accent3 9 2 5 3" xfId="17017"/>
    <cellStyle name="20% - Accent3 9 2 6" xfId="17019"/>
    <cellStyle name="20% - Accent3 9 2 7" xfId="17004"/>
    <cellStyle name="20% - Accent3 9 3" xfId="2039"/>
    <cellStyle name="20% - Accent3 9 3 2" xfId="8324"/>
    <cellStyle name="20% - Accent3 9 3 2 2" xfId="17022"/>
    <cellStyle name="20% - Accent3 9 3 2 3" xfId="17021"/>
    <cellStyle name="20% - Accent3 9 3 3" xfId="5197"/>
    <cellStyle name="20% - Accent3 9 3 3 2" xfId="17024"/>
    <cellStyle name="20% - Accent3 9 3 3 3" xfId="17023"/>
    <cellStyle name="20% - Accent3 9 3 4" xfId="11507"/>
    <cellStyle name="20% - Accent3 9 3 4 2" xfId="17026"/>
    <cellStyle name="20% - Accent3 9 3 4 3" xfId="17025"/>
    <cellStyle name="20% - Accent3 9 3 5" xfId="17027"/>
    <cellStyle name="20% - Accent3 9 3 6" xfId="17020"/>
    <cellStyle name="20% - Accent3 9 4" xfId="6761"/>
    <cellStyle name="20% - Accent3 9 4 2" xfId="17029"/>
    <cellStyle name="20% - Accent3 9 4 3" xfId="17028"/>
    <cellStyle name="20% - Accent3 9 5" xfId="3634"/>
    <cellStyle name="20% - Accent3 9 5 2" xfId="17031"/>
    <cellStyle name="20% - Accent3 9 5 3" xfId="17030"/>
    <cellStyle name="20% - Accent3 9 6" xfId="10066"/>
    <cellStyle name="20% - Accent3 9 6 2" xfId="17033"/>
    <cellStyle name="20% - Accent3 9 6 3" xfId="17032"/>
    <cellStyle name="20% - Accent3 9 7" xfId="17034"/>
    <cellStyle name="20% - Accent3 9 8" xfId="17003"/>
    <cellStyle name="20% - Accent4" xfId="40" builtinId="42" customBuiltin="1"/>
    <cellStyle name="20% - Accent4 10" xfId="463"/>
    <cellStyle name="20% - Accent4 10 2" xfId="1170"/>
    <cellStyle name="20% - Accent4 10 2 2" xfId="2735"/>
    <cellStyle name="20% - Accent4 10 2 2 2" xfId="9020"/>
    <cellStyle name="20% - Accent4 10 2 2 2 2" xfId="17040"/>
    <cellStyle name="20% - Accent4 10 2 2 2 3" xfId="17039"/>
    <cellStyle name="20% - Accent4 10 2 2 3" xfId="5893"/>
    <cellStyle name="20% - Accent4 10 2 2 3 2" xfId="17042"/>
    <cellStyle name="20% - Accent4 10 2 2 3 3" xfId="17041"/>
    <cellStyle name="20% - Accent4 10 2 2 4" xfId="12203"/>
    <cellStyle name="20% - Accent4 10 2 2 4 2" xfId="17044"/>
    <cellStyle name="20% - Accent4 10 2 2 4 3" xfId="17043"/>
    <cellStyle name="20% - Accent4 10 2 2 5" xfId="17045"/>
    <cellStyle name="20% - Accent4 10 2 2 6" xfId="17038"/>
    <cellStyle name="20% - Accent4 10 2 3" xfId="7457"/>
    <cellStyle name="20% - Accent4 10 2 3 2" xfId="17047"/>
    <cellStyle name="20% - Accent4 10 2 3 3" xfId="17046"/>
    <cellStyle name="20% - Accent4 10 2 4" xfId="4330"/>
    <cellStyle name="20% - Accent4 10 2 4 2" xfId="17049"/>
    <cellStyle name="20% - Accent4 10 2 4 3" xfId="17048"/>
    <cellStyle name="20% - Accent4 10 2 5" xfId="10640"/>
    <cellStyle name="20% - Accent4 10 2 5 2" xfId="17051"/>
    <cellStyle name="20% - Accent4 10 2 5 3" xfId="17050"/>
    <cellStyle name="20% - Accent4 10 2 6" xfId="17052"/>
    <cellStyle name="20% - Accent4 10 2 7" xfId="17037"/>
    <cellStyle name="20% - Accent4 10 3" xfId="2055"/>
    <cellStyle name="20% - Accent4 10 3 2" xfId="8340"/>
    <cellStyle name="20% - Accent4 10 3 2 2" xfId="17055"/>
    <cellStyle name="20% - Accent4 10 3 2 3" xfId="17054"/>
    <cellStyle name="20% - Accent4 10 3 3" xfId="5213"/>
    <cellStyle name="20% - Accent4 10 3 3 2" xfId="17057"/>
    <cellStyle name="20% - Accent4 10 3 3 3" xfId="17056"/>
    <cellStyle name="20% - Accent4 10 3 4" xfId="11523"/>
    <cellStyle name="20% - Accent4 10 3 4 2" xfId="17059"/>
    <cellStyle name="20% - Accent4 10 3 4 3" xfId="17058"/>
    <cellStyle name="20% - Accent4 10 3 5" xfId="17060"/>
    <cellStyle name="20% - Accent4 10 3 6" xfId="17053"/>
    <cellStyle name="20% - Accent4 10 4" xfId="6777"/>
    <cellStyle name="20% - Accent4 10 4 2" xfId="17062"/>
    <cellStyle name="20% - Accent4 10 4 3" xfId="17061"/>
    <cellStyle name="20% - Accent4 10 5" xfId="3650"/>
    <cellStyle name="20% - Accent4 10 5 2" xfId="17064"/>
    <cellStyle name="20% - Accent4 10 5 3" xfId="17063"/>
    <cellStyle name="20% - Accent4 10 6" xfId="10082"/>
    <cellStyle name="20% - Accent4 10 6 2" xfId="17066"/>
    <cellStyle name="20% - Accent4 10 6 3" xfId="17065"/>
    <cellStyle name="20% - Accent4 10 7" xfId="17067"/>
    <cellStyle name="20% - Accent4 10 8" xfId="17036"/>
    <cellStyle name="20% - Accent4 11" xfId="478"/>
    <cellStyle name="20% - Accent4 11 2" xfId="1185"/>
    <cellStyle name="20% - Accent4 11 2 2" xfId="2750"/>
    <cellStyle name="20% - Accent4 11 2 2 2" xfId="9035"/>
    <cellStyle name="20% - Accent4 11 2 2 2 2" xfId="17072"/>
    <cellStyle name="20% - Accent4 11 2 2 2 3" xfId="17071"/>
    <cellStyle name="20% - Accent4 11 2 2 3" xfId="5908"/>
    <cellStyle name="20% - Accent4 11 2 2 3 2" xfId="17074"/>
    <cellStyle name="20% - Accent4 11 2 2 3 3" xfId="17073"/>
    <cellStyle name="20% - Accent4 11 2 2 4" xfId="12218"/>
    <cellStyle name="20% - Accent4 11 2 2 4 2" xfId="17076"/>
    <cellStyle name="20% - Accent4 11 2 2 4 3" xfId="17075"/>
    <cellStyle name="20% - Accent4 11 2 2 5" xfId="17077"/>
    <cellStyle name="20% - Accent4 11 2 2 6" xfId="17070"/>
    <cellStyle name="20% - Accent4 11 2 3" xfId="7472"/>
    <cellStyle name="20% - Accent4 11 2 3 2" xfId="17079"/>
    <cellStyle name="20% - Accent4 11 2 3 3" xfId="17078"/>
    <cellStyle name="20% - Accent4 11 2 4" xfId="4345"/>
    <cellStyle name="20% - Accent4 11 2 4 2" xfId="17081"/>
    <cellStyle name="20% - Accent4 11 2 4 3" xfId="17080"/>
    <cellStyle name="20% - Accent4 11 2 5" xfId="10655"/>
    <cellStyle name="20% - Accent4 11 2 5 2" xfId="17083"/>
    <cellStyle name="20% - Accent4 11 2 5 3" xfId="17082"/>
    <cellStyle name="20% - Accent4 11 2 6" xfId="17084"/>
    <cellStyle name="20% - Accent4 11 2 7" xfId="17069"/>
    <cellStyle name="20% - Accent4 11 3" xfId="2070"/>
    <cellStyle name="20% - Accent4 11 3 2" xfId="8355"/>
    <cellStyle name="20% - Accent4 11 3 2 2" xfId="17087"/>
    <cellStyle name="20% - Accent4 11 3 2 3" xfId="17086"/>
    <cellStyle name="20% - Accent4 11 3 3" xfId="5228"/>
    <cellStyle name="20% - Accent4 11 3 3 2" xfId="17089"/>
    <cellStyle name="20% - Accent4 11 3 3 3" xfId="17088"/>
    <cellStyle name="20% - Accent4 11 3 4" xfId="11538"/>
    <cellStyle name="20% - Accent4 11 3 4 2" xfId="17091"/>
    <cellStyle name="20% - Accent4 11 3 4 3" xfId="17090"/>
    <cellStyle name="20% - Accent4 11 3 5" xfId="17092"/>
    <cellStyle name="20% - Accent4 11 3 6" xfId="17085"/>
    <cellStyle name="20% - Accent4 11 4" xfId="6792"/>
    <cellStyle name="20% - Accent4 11 4 2" xfId="17094"/>
    <cellStyle name="20% - Accent4 11 4 3" xfId="17093"/>
    <cellStyle name="20% - Accent4 11 5" xfId="3665"/>
    <cellStyle name="20% - Accent4 11 5 2" xfId="17096"/>
    <cellStyle name="20% - Accent4 11 5 3" xfId="17095"/>
    <cellStyle name="20% - Accent4 11 6" xfId="10097"/>
    <cellStyle name="20% - Accent4 11 6 2" xfId="17098"/>
    <cellStyle name="20% - Accent4 11 6 3" xfId="17097"/>
    <cellStyle name="20% - Accent4 11 7" xfId="17099"/>
    <cellStyle name="20% - Accent4 11 8" xfId="17068"/>
    <cellStyle name="20% - Accent4 12" xfId="493"/>
    <cellStyle name="20% - Accent4 12 2" xfId="1200"/>
    <cellStyle name="20% - Accent4 12 2 2" xfId="2765"/>
    <cellStyle name="20% - Accent4 12 2 2 2" xfId="9050"/>
    <cellStyle name="20% - Accent4 12 2 2 2 2" xfId="17104"/>
    <cellStyle name="20% - Accent4 12 2 2 2 3" xfId="17103"/>
    <cellStyle name="20% - Accent4 12 2 2 3" xfId="5923"/>
    <cellStyle name="20% - Accent4 12 2 2 3 2" xfId="17106"/>
    <cellStyle name="20% - Accent4 12 2 2 3 3" xfId="17105"/>
    <cellStyle name="20% - Accent4 12 2 2 4" xfId="12233"/>
    <cellStyle name="20% - Accent4 12 2 2 4 2" xfId="17108"/>
    <cellStyle name="20% - Accent4 12 2 2 4 3" xfId="17107"/>
    <cellStyle name="20% - Accent4 12 2 2 5" xfId="17109"/>
    <cellStyle name="20% - Accent4 12 2 2 6" xfId="17102"/>
    <cellStyle name="20% - Accent4 12 2 3" xfId="7487"/>
    <cellStyle name="20% - Accent4 12 2 3 2" xfId="17111"/>
    <cellStyle name="20% - Accent4 12 2 3 3" xfId="17110"/>
    <cellStyle name="20% - Accent4 12 2 4" xfId="4360"/>
    <cellStyle name="20% - Accent4 12 2 4 2" xfId="17113"/>
    <cellStyle name="20% - Accent4 12 2 4 3" xfId="17112"/>
    <cellStyle name="20% - Accent4 12 2 5" xfId="10670"/>
    <cellStyle name="20% - Accent4 12 2 5 2" xfId="17115"/>
    <cellStyle name="20% - Accent4 12 2 5 3" xfId="17114"/>
    <cellStyle name="20% - Accent4 12 2 6" xfId="17116"/>
    <cellStyle name="20% - Accent4 12 2 7" xfId="17101"/>
    <cellStyle name="20% - Accent4 12 3" xfId="2085"/>
    <cellStyle name="20% - Accent4 12 3 2" xfId="8370"/>
    <cellStyle name="20% - Accent4 12 3 2 2" xfId="17119"/>
    <cellStyle name="20% - Accent4 12 3 2 3" xfId="17118"/>
    <cellStyle name="20% - Accent4 12 3 3" xfId="5243"/>
    <cellStyle name="20% - Accent4 12 3 3 2" xfId="17121"/>
    <cellStyle name="20% - Accent4 12 3 3 3" xfId="17120"/>
    <cellStyle name="20% - Accent4 12 3 4" xfId="11553"/>
    <cellStyle name="20% - Accent4 12 3 4 2" xfId="17123"/>
    <cellStyle name="20% - Accent4 12 3 4 3" xfId="17122"/>
    <cellStyle name="20% - Accent4 12 3 5" xfId="17124"/>
    <cellStyle name="20% - Accent4 12 3 6" xfId="17117"/>
    <cellStyle name="20% - Accent4 12 4" xfId="6807"/>
    <cellStyle name="20% - Accent4 12 4 2" xfId="17126"/>
    <cellStyle name="20% - Accent4 12 4 3" xfId="17125"/>
    <cellStyle name="20% - Accent4 12 5" xfId="3680"/>
    <cellStyle name="20% - Accent4 12 5 2" xfId="17128"/>
    <cellStyle name="20% - Accent4 12 5 3" xfId="17127"/>
    <cellStyle name="20% - Accent4 12 6" xfId="10112"/>
    <cellStyle name="20% - Accent4 12 6 2" xfId="17130"/>
    <cellStyle name="20% - Accent4 12 6 3" xfId="17129"/>
    <cellStyle name="20% - Accent4 12 7" xfId="17131"/>
    <cellStyle name="20% - Accent4 12 8" xfId="17100"/>
    <cellStyle name="20% - Accent4 13" xfId="506"/>
    <cellStyle name="20% - Accent4 13 2" xfId="1213"/>
    <cellStyle name="20% - Accent4 13 2 2" xfId="2778"/>
    <cellStyle name="20% - Accent4 13 2 2 2" xfId="9063"/>
    <cellStyle name="20% - Accent4 13 2 2 2 2" xfId="17136"/>
    <cellStyle name="20% - Accent4 13 2 2 2 3" xfId="17135"/>
    <cellStyle name="20% - Accent4 13 2 2 3" xfId="5936"/>
    <cellStyle name="20% - Accent4 13 2 2 3 2" xfId="17138"/>
    <cellStyle name="20% - Accent4 13 2 2 3 3" xfId="17137"/>
    <cellStyle name="20% - Accent4 13 2 2 4" xfId="12246"/>
    <cellStyle name="20% - Accent4 13 2 2 4 2" xfId="17140"/>
    <cellStyle name="20% - Accent4 13 2 2 4 3" xfId="17139"/>
    <cellStyle name="20% - Accent4 13 2 2 5" xfId="17141"/>
    <cellStyle name="20% - Accent4 13 2 2 6" xfId="17134"/>
    <cellStyle name="20% - Accent4 13 2 3" xfId="7500"/>
    <cellStyle name="20% - Accent4 13 2 3 2" xfId="17143"/>
    <cellStyle name="20% - Accent4 13 2 3 3" xfId="17142"/>
    <cellStyle name="20% - Accent4 13 2 4" xfId="4373"/>
    <cellStyle name="20% - Accent4 13 2 4 2" xfId="17145"/>
    <cellStyle name="20% - Accent4 13 2 4 3" xfId="17144"/>
    <cellStyle name="20% - Accent4 13 2 5" xfId="10683"/>
    <cellStyle name="20% - Accent4 13 2 5 2" xfId="17147"/>
    <cellStyle name="20% - Accent4 13 2 5 3" xfId="17146"/>
    <cellStyle name="20% - Accent4 13 2 6" xfId="17148"/>
    <cellStyle name="20% - Accent4 13 2 7" xfId="17133"/>
    <cellStyle name="20% - Accent4 13 3" xfId="2098"/>
    <cellStyle name="20% - Accent4 13 3 2" xfId="8383"/>
    <cellStyle name="20% - Accent4 13 3 2 2" xfId="17151"/>
    <cellStyle name="20% - Accent4 13 3 2 3" xfId="17150"/>
    <cellStyle name="20% - Accent4 13 3 3" xfId="5256"/>
    <cellStyle name="20% - Accent4 13 3 3 2" xfId="17153"/>
    <cellStyle name="20% - Accent4 13 3 3 3" xfId="17152"/>
    <cellStyle name="20% - Accent4 13 3 4" xfId="11566"/>
    <cellStyle name="20% - Accent4 13 3 4 2" xfId="17155"/>
    <cellStyle name="20% - Accent4 13 3 4 3" xfId="17154"/>
    <cellStyle name="20% - Accent4 13 3 5" xfId="17156"/>
    <cellStyle name="20% - Accent4 13 3 6" xfId="17149"/>
    <cellStyle name="20% - Accent4 13 4" xfId="6820"/>
    <cellStyle name="20% - Accent4 13 4 2" xfId="17158"/>
    <cellStyle name="20% - Accent4 13 4 3" xfId="17157"/>
    <cellStyle name="20% - Accent4 13 5" xfId="3693"/>
    <cellStyle name="20% - Accent4 13 5 2" xfId="17160"/>
    <cellStyle name="20% - Accent4 13 5 3" xfId="17159"/>
    <cellStyle name="20% - Accent4 13 6" xfId="10125"/>
    <cellStyle name="20% - Accent4 13 6 2" xfId="17162"/>
    <cellStyle name="20% - Accent4 13 6 3" xfId="17161"/>
    <cellStyle name="20% - Accent4 13 7" xfId="17163"/>
    <cellStyle name="20% - Accent4 13 8" xfId="17132"/>
    <cellStyle name="20% - Accent4 14" xfId="520"/>
    <cellStyle name="20% - Accent4 14 2" xfId="1227"/>
    <cellStyle name="20% - Accent4 14 2 2" xfId="2792"/>
    <cellStyle name="20% - Accent4 14 2 2 2" xfId="9077"/>
    <cellStyle name="20% - Accent4 14 2 2 2 2" xfId="17168"/>
    <cellStyle name="20% - Accent4 14 2 2 2 3" xfId="17167"/>
    <cellStyle name="20% - Accent4 14 2 2 3" xfId="5950"/>
    <cellStyle name="20% - Accent4 14 2 2 3 2" xfId="17170"/>
    <cellStyle name="20% - Accent4 14 2 2 3 3" xfId="17169"/>
    <cellStyle name="20% - Accent4 14 2 2 4" xfId="12260"/>
    <cellStyle name="20% - Accent4 14 2 2 4 2" xfId="17172"/>
    <cellStyle name="20% - Accent4 14 2 2 4 3" xfId="17171"/>
    <cellStyle name="20% - Accent4 14 2 2 5" xfId="17173"/>
    <cellStyle name="20% - Accent4 14 2 2 6" xfId="17166"/>
    <cellStyle name="20% - Accent4 14 2 3" xfId="7514"/>
    <cellStyle name="20% - Accent4 14 2 3 2" xfId="17175"/>
    <cellStyle name="20% - Accent4 14 2 3 3" xfId="17174"/>
    <cellStyle name="20% - Accent4 14 2 4" xfId="4387"/>
    <cellStyle name="20% - Accent4 14 2 4 2" xfId="17177"/>
    <cellStyle name="20% - Accent4 14 2 4 3" xfId="17176"/>
    <cellStyle name="20% - Accent4 14 2 5" xfId="10697"/>
    <cellStyle name="20% - Accent4 14 2 5 2" xfId="17179"/>
    <cellStyle name="20% - Accent4 14 2 5 3" xfId="17178"/>
    <cellStyle name="20% - Accent4 14 2 6" xfId="17180"/>
    <cellStyle name="20% - Accent4 14 2 7" xfId="17165"/>
    <cellStyle name="20% - Accent4 14 3" xfId="2112"/>
    <cellStyle name="20% - Accent4 14 3 2" xfId="8397"/>
    <cellStyle name="20% - Accent4 14 3 2 2" xfId="17183"/>
    <cellStyle name="20% - Accent4 14 3 2 3" xfId="17182"/>
    <cellStyle name="20% - Accent4 14 3 3" xfId="5270"/>
    <cellStyle name="20% - Accent4 14 3 3 2" xfId="17185"/>
    <cellStyle name="20% - Accent4 14 3 3 3" xfId="17184"/>
    <cellStyle name="20% - Accent4 14 3 4" xfId="11580"/>
    <cellStyle name="20% - Accent4 14 3 4 2" xfId="17187"/>
    <cellStyle name="20% - Accent4 14 3 4 3" xfId="17186"/>
    <cellStyle name="20% - Accent4 14 3 5" xfId="17188"/>
    <cellStyle name="20% - Accent4 14 3 6" xfId="17181"/>
    <cellStyle name="20% - Accent4 14 4" xfId="6834"/>
    <cellStyle name="20% - Accent4 14 4 2" xfId="17190"/>
    <cellStyle name="20% - Accent4 14 4 3" xfId="17189"/>
    <cellStyle name="20% - Accent4 14 5" xfId="3707"/>
    <cellStyle name="20% - Accent4 14 5 2" xfId="17192"/>
    <cellStyle name="20% - Accent4 14 5 3" xfId="17191"/>
    <cellStyle name="20% - Accent4 14 6" xfId="10139"/>
    <cellStyle name="20% - Accent4 14 6 2" xfId="17194"/>
    <cellStyle name="20% - Accent4 14 6 3" xfId="17193"/>
    <cellStyle name="20% - Accent4 14 7" xfId="17195"/>
    <cellStyle name="20% - Accent4 14 8" xfId="17164"/>
    <cellStyle name="20% - Accent4 15" xfId="534"/>
    <cellStyle name="20% - Accent4 15 2" xfId="1241"/>
    <cellStyle name="20% - Accent4 15 2 2" xfId="2806"/>
    <cellStyle name="20% - Accent4 15 2 2 2" xfId="9091"/>
    <cellStyle name="20% - Accent4 15 2 2 2 2" xfId="17200"/>
    <cellStyle name="20% - Accent4 15 2 2 2 3" xfId="17199"/>
    <cellStyle name="20% - Accent4 15 2 2 3" xfId="5964"/>
    <cellStyle name="20% - Accent4 15 2 2 3 2" xfId="17202"/>
    <cellStyle name="20% - Accent4 15 2 2 3 3" xfId="17201"/>
    <cellStyle name="20% - Accent4 15 2 2 4" xfId="12274"/>
    <cellStyle name="20% - Accent4 15 2 2 4 2" xfId="17204"/>
    <cellStyle name="20% - Accent4 15 2 2 4 3" xfId="17203"/>
    <cellStyle name="20% - Accent4 15 2 2 5" xfId="17205"/>
    <cellStyle name="20% - Accent4 15 2 2 6" xfId="17198"/>
    <cellStyle name="20% - Accent4 15 2 3" xfId="7528"/>
    <cellStyle name="20% - Accent4 15 2 3 2" xfId="17207"/>
    <cellStyle name="20% - Accent4 15 2 3 3" xfId="17206"/>
    <cellStyle name="20% - Accent4 15 2 4" xfId="4401"/>
    <cellStyle name="20% - Accent4 15 2 4 2" xfId="17209"/>
    <cellStyle name="20% - Accent4 15 2 4 3" xfId="17208"/>
    <cellStyle name="20% - Accent4 15 2 5" xfId="10711"/>
    <cellStyle name="20% - Accent4 15 2 5 2" xfId="17211"/>
    <cellStyle name="20% - Accent4 15 2 5 3" xfId="17210"/>
    <cellStyle name="20% - Accent4 15 2 6" xfId="17212"/>
    <cellStyle name="20% - Accent4 15 2 7" xfId="17197"/>
    <cellStyle name="20% - Accent4 15 3" xfId="2126"/>
    <cellStyle name="20% - Accent4 15 3 2" xfId="8411"/>
    <cellStyle name="20% - Accent4 15 3 2 2" xfId="17215"/>
    <cellStyle name="20% - Accent4 15 3 2 3" xfId="17214"/>
    <cellStyle name="20% - Accent4 15 3 3" xfId="5284"/>
    <cellStyle name="20% - Accent4 15 3 3 2" xfId="17217"/>
    <cellStyle name="20% - Accent4 15 3 3 3" xfId="17216"/>
    <cellStyle name="20% - Accent4 15 3 4" xfId="11594"/>
    <cellStyle name="20% - Accent4 15 3 4 2" xfId="17219"/>
    <cellStyle name="20% - Accent4 15 3 4 3" xfId="17218"/>
    <cellStyle name="20% - Accent4 15 3 5" xfId="17220"/>
    <cellStyle name="20% - Accent4 15 3 6" xfId="17213"/>
    <cellStyle name="20% - Accent4 15 4" xfId="6848"/>
    <cellStyle name="20% - Accent4 15 4 2" xfId="17222"/>
    <cellStyle name="20% - Accent4 15 4 3" xfId="17221"/>
    <cellStyle name="20% - Accent4 15 5" xfId="3721"/>
    <cellStyle name="20% - Accent4 15 5 2" xfId="17224"/>
    <cellStyle name="20% - Accent4 15 5 3" xfId="17223"/>
    <cellStyle name="20% - Accent4 15 6" xfId="10153"/>
    <cellStyle name="20% - Accent4 15 6 2" xfId="17226"/>
    <cellStyle name="20% - Accent4 15 6 3" xfId="17225"/>
    <cellStyle name="20% - Accent4 15 7" xfId="17227"/>
    <cellStyle name="20% - Accent4 15 8" xfId="17196"/>
    <cellStyle name="20% - Accent4 16" xfId="548"/>
    <cellStyle name="20% - Accent4 16 2" xfId="1255"/>
    <cellStyle name="20% - Accent4 16 2 2" xfId="2820"/>
    <cellStyle name="20% - Accent4 16 2 2 2" xfId="9105"/>
    <cellStyle name="20% - Accent4 16 2 2 2 2" xfId="17232"/>
    <cellStyle name="20% - Accent4 16 2 2 2 3" xfId="17231"/>
    <cellStyle name="20% - Accent4 16 2 2 3" xfId="5978"/>
    <cellStyle name="20% - Accent4 16 2 2 3 2" xfId="17234"/>
    <cellStyle name="20% - Accent4 16 2 2 3 3" xfId="17233"/>
    <cellStyle name="20% - Accent4 16 2 2 4" xfId="12288"/>
    <cellStyle name="20% - Accent4 16 2 2 4 2" xfId="17236"/>
    <cellStyle name="20% - Accent4 16 2 2 4 3" xfId="17235"/>
    <cellStyle name="20% - Accent4 16 2 2 5" xfId="17237"/>
    <cellStyle name="20% - Accent4 16 2 2 6" xfId="17230"/>
    <cellStyle name="20% - Accent4 16 2 3" xfId="7542"/>
    <cellStyle name="20% - Accent4 16 2 3 2" xfId="17239"/>
    <cellStyle name="20% - Accent4 16 2 3 3" xfId="17238"/>
    <cellStyle name="20% - Accent4 16 2 4" xfId="4415"/>
    <cellStyle name="20% - Accent4 16 2 4 2" xfId="17241"/>
    <cellStyle name="20% - Accent4 16 2 4 3" xfId="17240"/>
    <cellStyle name="20% - Accent4 16 2 5" xfId="10725"/>
    <cellStyle name="20% - Accent4 16 2 5 2" xfId="17243"/>
    <cellStyle name="20% - Accent4 16 2 5 3" xfId="17242"/>
    <cellStyle name="20% - Accent4 16 2 6" xfId="17244"/>
    <cellStyle name="20% - Accent4 16 2 7" xfId="17229"/>
    <cellStyle name="20% - Accent4 16 3" xfId="2140"/>
    <cellStyle name="20% - Accent4 16 3 2" xfId="8425"/>
    <cellStyle name="20% - Accent4 16 3 2 2" xfId="17247"/>
    <cellStyle name="20% - Accent4 16 3 2 3" xfId="17246"/>
    <cellStyle name="20% - Accent4 16 3 3" xfId="5298"/>
    <cellStyle name="20% - Accent4 16 3 3 2" xfId="17249"/>
    <cellStyle name="20% - Accent4 16 3 3 3" xfId="17248"/>
    <cellStyle name="20% - Accent4 16 3 4" xfId="11608"/>
    <cellStyle name="20% - Accent4 16 3 4 2" xfId="17251"/>
    <cellStyle name="20% - Accent4 16 3 4 3" xfId="17250"/>
    <cellStyle name="20% - Accent4 16 3 5" xfId="17252"/>
    <cellStyle name="20% - Accent4 16 3 6" xfId="17245"/>
    <cellStyle name="20% - Accent4 16 4" xfId="6862"/>
    <cellStyle name="20% - Accent4 16 4 2" xfId="17254"/>
    <cellStyle name="20% - Accent4 16 4 3" xfId="17253"/>
    <cellStyle name="20% - Accent4 16 5" xfId="3735"/>
    <cellStyle name="20% - Accent4 16 5 2" xfId="17256"/>
    <cellStyle name="20% - Accent4 16 5 3" xfId="17255"/>
    <cellStyle name="20% - Accent4 16 6" xfId="10167"/>
    <cellStyle name="20% - Accent4 16 6 2" xfId="17258"/>
    <cellStyle name="20% - Accent4 16 6 3" xfId="17257"/>
    <cellStyle name="20% - Accent4 16 7" xfId="17259"/>
    <cellStyle name="20% - Accent4 16 8" xfId="17228"/>
    <cellStyle name="20% - Accent4 17" xfId="601"/>
    <cellStyle name="20% - Accent4 17 2" xfId="1308"/>
    <cellStyle name="20% - Accent4 17 2 2" xfId="2873"/>
    <cellStyle name="20% - Accent4 17 2 2 2" xfId="9158"/>
    <cellStyle name="20% - Accent4 17 2 2 2 2" xfId="17264"/>
    <cellStyle name="20% - Accent4 17 2 2 2 3" xfId="17263"/>
    <cellStyle name="20% - Accent4 17 2 2 3" xfId="6031"/>
    <cellStyle name="20% - Accent4 17 2 2 3 2" xfId="17266"/>
    <cellStyle name="20% - Accent4 17 2 2 3 3" xfId="17265"/>
    <cellStyle name="20% - Accent4 17 2 2 4" xfId="12341"/>
    <cellStyle name="20% - Accent4 17 2 2 4 2" xfId="17268"/>
    <cellStyle name="20% - Accent4 17 2 2 4 3" xfId="17267"/>
    <cellStyle name="20% - Accent4 17 2 2 5" xfId="17269"/>
    <cellStyle name="20% - Accent4 17 2 2 6" xfId="17262"/>
    <cellStyle name="20% - Accent4 17 2 3" xfId="7595"/>
    <cellStyle name="20% - Accent4 17 2 3 2" xfId="17271"/>
    <cellStyle name="20% - Accent4 17 2 3 3" xfId="17270"/>
    <cellStyle name="20% - Accent4 17 2 4" xfId="4468"/>
    <cellStyle name="20% - Accent4 17 2 4 2" xfId="17273"/>
    <cellStyle name="20% - Accent4 17 2 4 3" xfId="17272"/>
    <cellStyle name="20% - Accent4 17 2 5" xfId="10778"/>
    <cellStyle name="20% - Accent4 17 2 5 2" xfId="17275"/>
    <cellStyle name="20% - Accent4 17 2 5 3" xfId="17274"/>
    <cellStyle name="20% - Accent4 17 2 6" xfId="17276"/>
    <cellStyle name="20% - Accent4 17 2 7" xfId="17261"/>
    <cellStyle name="20% - Accent4 17 3" xfId="2193"/>
    <cellStyle name="20% - Accent4 17 3 2" xfId="8478"/>
    <cellStyle name="20% - Accent4 17 3 2 2" xfId="17279"/>
    <cellStyle name="20% - Accent4 17 3 2 3" xfId="17278"/>
    <cellStyle name="20% - Accent4 17 3 3" xfId="5351"/>
    <cellStyle name="20% - Accent4 17 3 3 2" xfId="17281"/>
    <cellStyle name="20% - Accent4 17 3 3 3" xfId="17280"/>
    <cellStyle name="20% - Accent4 17 3 4" xfId="11661"/>
    <cellStyle name="20% - Accent4 17 3 4 2" xfId="17283"/>
    <cellStyle name="20% - Accent4 17 3 4 3" xfId="17282"/>
    <cellStyle name="20% - Accent4 17 3 5" xfId="17284"/>
    <cellStyle name="20% - Accent4 17 3 6" xfId="17277"/>
    <cellStyle name="20% - Accent4 17 4" xfId="6915"/>
    <cellStyle name="20% - Accent4 17 4 2" xfId="17286"/>
    <cellStyle name="20% - Accent4 17 4 3" xfId="17285"/>
    <cellStyle name="20% - Accent4 17 5" xfId="3788"/>
    <cellStyle name="20% - Accent4 17 5 2" xfId="17288"/>
    <cellStyle name="20% - Accent4 17 5 3" xfId="17287"/>
    <cellStyle name="20% - Accent4 17 6" xfId="10220"/>
    <cellStyle name="20% - Accent4 17 6 2" xfId="17290"/>
    <cellStyle name="20% - Accent4 17 6 3" xfId="17289"/>
    <cellStyle name="20% - Accent4 17 7" xfId="17291"/>
    <cellStyle name="20% - Accent4 17 8" xfId="17260"/>
    <cellStyle name="20% - Accent4 18" xfId="660"/>
    <cellStyle name="20% - Accent4 18 2" xfId="1365"/>
    <cellStyle name="20% - Accent4 18 2 2" xfId="2930"/>
    <cellStyle name="20% - Accent4 18 2 2 2" xfId="9215"/>
    <cellStyle name="20% - Accent4 18 2 2 2 2" xfId="17296"/>
    <cellStyle name="20% - Accent4 18 2 2 2 3" xfId="17295"/>
    <cellStyle name="20% - Accent4 18 2 2 3" xfId="6088"/>
    <cellStyle name="20% - Accent4 18 2 2 3 2" xfId="17298"/>
    <cellStyle name="20% - Accent4 18 2 2 3 3" xfId="17297"/>
    <cellStyle name="20% - Accent4 18 2 2 4" xfId="12398"/>
    <cellStyle name="20% - Accent4 18 2 2 4 2" xfId="17300"/>
    <cellStyle name="20% - Accent4 18 2 2 4 3" xfId="17299"/>
    <cellStyle name="20% - Accent4 18 2 2 5" xfId="17301"/>
    <cellStyle name="20% - Accent4 18 2 2 6" xfId="17294"/>
    <cellStyle name="20% - Accent4 18 2 3" xfId="7652"/>
    <cellStyle name="20% - Accent4 18 2 3 2" xfId="17303"/>
    <cellStyle name="20% - Accent4 18 2 3 3" xfId="17302"/>
    <cellStyle name="20% - Accent4 18 2 4" xfId="4525"/>
    <cellStyle name="20% - Accent4 18 2 4 2" xfId="17305"/>
    <cellStyle name="20% - Accent4 18 2 4 3" xfId="17304"/>
    <cellStyle name="20% - Accent4 18 2 5" xfId="10835"/>
    <cellStyle name="20% - Accent4 18 2 5 2" xfId="17307"/>
    <cellStyle name="20% - Accent4 18 2 5 3" xfId="17306"/>
    <cellStyle name="20% - Accent4 18 2 6" xfId="17308"/>
    <cellStyle name="20% - Accent4 18 2 7" xfId="17293"/>
    <cellStyle name="20% - Accent4 18 3" xfId="2250"/>
    <cellStyle name="20% - Accent4 18 3 2" xfId="8535"/>
    <cellStyle name="20% - Accent4 18 3 2 2" xfId="17311"/>
    <cellStyle name="20% - Accent4 18 3 2 3" xfId="17310"/>
    <cellStyle name="20% - Accent4 18 3 3" xfId="5408"/>
    <cellStyle name="20% - Accent4 18 3 3 2" xfId="17313"/>
    <cellStyle name="20% - Accent4 18 3 3 3" xfId="17312"/>
    <cellStyle name="20% - Accent4 18 3 4" xfId="11718"/>
    <cellStyle name="20% - Accent4 18 3 4 2" xfId="17315"/>
    <cellStyle name="20% - Accent4 18 3 4 3" xfId="17314"/>
    <cellStyle name="20% - Accent4 18 3 5" xfId="17316"/>
    <cellStyle name="20% - Accent4 18 3 6" xfId="17309"/>
    <cellStyle name="20% - Accent4 18 4" xfId="6972"/>
    <cellStyle name="20% - Accent4 18 4 2" xfId="17318"/>
    <cellStyle name="20% - Accent4 18 4 3" xfId="17317"/>
    <cellStyle name="20% - Accent4 18 5" xfId="3845"/>
    <cellStyle name="20% - Accent4 18 5 2" xfId="17320"/>
    <cellStyle name="20% - Accent4 18 5 3" xfId="17319"/>
    <cellStyle name="20% - Accent4 18 6" xfId="10278"/>
    <cellStyle name="20% - Accent4 18 6 2" xfId="17322"/>
    <cellStyle name="20% - Accent4 18 6 3" xfId="17321"/>
    <cellStyle name="20% - Accent4 18 7" xfId="17323"/>
    <cellStyle name="20% - Accent4 18 8" xfId="17292"/>
    <cellStyle name="20% - Accent4 19" xfId="847"/>
    <cellStyle name="20% - Accent4 19 2" xfId="2413"/>
    <cellStyle name="20% - Accent4 19 2 2" xfId="8698"/>
    <cellStyle name="20% - Accent4 19 2 2 2" xfId="17327"/>
    <cellStyle name="20% - Accent4 19 2 2 3" xfId="17326"/>
    <cellStyle name="20% - Accent4 19 2 3" xfId="5571"/>
    <cellStyle name="20% - Accent4 19 2 3 2" xfId="17329"/>
    <cellStyle name="20% - Accent4 19 2 3 3" xfId="17328"/>
    <cellStyle name="20% - Accent4 19 2 4" xfId="11881"/>
    <cellStyle name="20% - Accent4 19 2 4 2" xfId="17331"/>
    <cellStyle name="20% - Accent4 19 2 4 3" xfId="17330"/>
    <cellStyle name="20% - Accent4 19 2 5" xfId="17332"/>
    <cellStyle name="20% - Accent4 19 2 6" xfId="17325"/>
    <cellStyle name="20% - Accent4 19 3" xfId="7135"/>
    <cellStyle name="20% - Accent4 19 3 2" xfId="17334"/>
    <cellStyle name="20% - Accent4 19 3 3" xfId="17333"/>
    <cellStyle name="20% - Accent4 19 4" xfId="4008"/>
    <cellStyle name="20% - Accent4 19 4 2" xfId="17336"/>
    <cellStyle name="20% - Accent4 19 4 3" xfId="17335"/>
    <cellStyle name="20% - Accent4 19 5" xfId="10318"/>
    <cellStyle name="20% - Accent4 19 5 2" xfId="17338"/>
    <cellStyle name="20% - Accent4 19 5 3" xfId="17337"/>
    <cellStyle name="20% - Accent4 19 6" xfId="17339"/>
    <cellStyle name="20% - Accent4 19 7" xfId="17324"/>
    <cellStyle name="20% - Accent4 2" xfId="61"/>
    <cellStyle name="20% - Accent4 2 10" xfId="860"/>
    <cellStyle name="20% - Accent4 2 10 2" xfId="2426"/>
    <cellStyle name="20% - Accent4 2 10 2 2" xfId="8711"/>
    <cellStyle name="20% - Accent4 2 10 2 2 2" xfId="17344"/>
    <cellStyle name="20% - Accent4 2 10 2 2 3" xfId="17343"/>
    <cellStyle name="20% - Accent4 2 10 2 3" xfId="5584"/>
    <cellStyle name="20% - Accent4 2 10 2 3 2" xfId="17346"/>
    <cellStyle name="20% - Accent4 2 10 2 3 3" xfId="17345"/>
    <cellStyle name="20% - Accent4 2 10 2 4" xfId="11894"/>
    <cellStyle name="20% - Accent4 2 10 2 4 2" xfId="17348"/>
    <cellStyle name="20% - Accent4 2 10 2 4 3" xfId="17347"/>
    <cellStyle name="20% - Accent4 2 10 2 5" xfId="17349"/>
    <cellStyle name="20% - Accent4 2 10 2 6" xfId="17342"/>
    <cellStyle name="20% - Accent4 2 10 3" xfId="7148"/>
    <cellStyle name="20% - Accent4 2 10 3 2" xfId="17351"/>
    <cellStyle name="20% - Accent4 2 10 3 3" xfId="17350"/>
    <cellStyle name="20% - Accent4 2 10 4" xfId="4021"/>
    <cellStyle name="20% - Accent4 2 10 4 2" xfId="17353"/>
    <cellStyle name="20% - Accent4 2 10 4 3" xfId="17352"/>
    <cellStyle name="20% - Accent4 2 10 5" xfId="10331"/>
    <cellStyle name="20% - Accent4 2 10 5 2" xfId="17355"/>
    <cellStyle name="20% - Accent4 2 10 5 3" xfId="17354"/>
    <cellStyle name="20% - Accent4 2 10 6" xfId="17356"/>
    <cellStyle name="20% - Accent4 2 10 7" xfId="17341"/>
    <cellStyle name="20% - Accent4 2 11" xfId="1531"/>
    <cellStyle name="20% - Accent4 2 11 2" xfId="3096"/>
    <cellStyle name="20% - Accent4 2 11 2 2" xfId="9381"/>
    <cellStyle name="20% - Accent4 2 11 2 2 2" xfId="17360"/>
    <cellStyle name="20% - Accent4 2 11 2 2 3" xfId="17359"/>
    <cellStyle name="20% - Accent4 2 11 2 3" xfId="6254"/>
    <cellStyle name="20% - Accent4 2 11 2 3 2" xfId="17362"/>
    <cellStyle name="20% - Accent4 2 11 2 3 3" xfId="17361"/>
    <cellStyle name="20% - Accent4 2 11 2 4" xfId="12564"/>
    <cellStyle name="20% - Accent4 2 11 2 4 2" xfId="17364"/>
    <cellStyle name="20% - Accent4 2 11 2 4 3" xfId="17363"/>
    <cellStyle name="20% - Accent4 2 11 2 5" xfId="17365"/>
    <cellStyle name="20% - Accent4 2 11 2 6" xfId="17358"/>
    <cellStyle name="20% - Accent4 2 11 3" xfId="7818"/>
    <cellStyle name="20% - Accent4 2 11 3 2" xfId="17367"/>
    <cellStyle name="20% - Accent4 2 11 3 3" xfId="17366"/>
    <cellStyle name="20% - Accent4 2 11 4" xfId="4691"/>
    <cellStyle name="20% - Accent4 2 11 4 2" xfId="17369"/>
    <cellStyle name="20% - Accent4 2 11 4 3" xfId="17368"/>
    <cellStyle name="20% - Accent4 2 11 5" xfId="11001"/>
    <cellStyle name="20% - Accent4 2 11 5 2" xfId="17371"/>
    <cellStyle name="20% - Accent4 2 11 5 3" xfId="17370"/>
    <cellStyle name="20% - Accent4 2 11 6" xfId="17372"/>
    <cellStyle name="20% - Accent4 2 11 7" xfId="17357"/>
    <cellStyle name="20% - Accent4 2 12" xfId="1745"/>
    <cellStyle name="20% - Accent4 2 12 2" xfId="8031"/>
    <cellStyle name="20% - Accent4 2 12 2 2" xfId="17375"/>
    <cellStyle name="20% - Accent4 2 12 2 3" xfId="17374"/>
    <cellStyle name="20% - Accent4 2 12 3" xfId="4904"/>
    <cellStyle name="20% - Accent4 2 12 3 2" xfId="17377"/>
    <cellStyle name="20% - Accent4 2 12 3 3" xfId="17376"/>
    <cellStyle name="20% - Accent4 2 12 4" xfId="11214"/>
    <cellStyle name="20% - Accent4 2 12 4 2" xfId="17379"/>
    <cellStyle name="20% - Accent4 2 12 4 3" xfId="17378"/>
    <cellStyle name="20% - Accent4 2 12 5" xfId="17380"/>
    <cellStyle name="20% - Accent4 2 12 6" xfId="17373"/>
    <cellStyle name="20% - Accent4 2 13" xfId="123"/>
    <cellStyle name="20% - Accent4 2 13 2" xfId="6468"/>
    <cellStyle name="20% - Accent4 2 13 2 2" xfId="17383"/>
    <cellStyle name="20% - Accent4 2 13 2 3" xfId="17382"/>
    <cellStyle name="20% - Accent4 2 13 3" xfId="9867"/>
    <cellStyle name="20% - Accent4 2 13 3 2" xfId="17385"/>
    <cellStyle name="20% - Accent4 2 13 3 3" xfId="17384"/>
    <cellStyle name="20% - Accent4 2 13 4" xfId="17386"/>
    <cellStyle name="20% - Accent4 2 13 5" xfId="17381"/>
    <cellStyle name="20% - Accent4 2 14" xfId="3314"/>
    <cellStyle name="20% - Accent4 2 14 2" xfId="17388"/>
    <cellStyle name="20% - Accent4 2 14 3" xfId="17387"/>
    <cellStyle name="20% - Accent4 2 15" xfId="3341"/>
    <cellStyle name="20% - Accent4 2 15 2" xfId="17390"/>
    <cellStyle name="20% - Accent4 2 15 3" xfId="17389"/>
    <cellStyle name="20% - Accent4 2 16" xfId="9599"/>
    <cellStyle name="20% - Accent4 2 16 2" xfId="17392"/>
    <cellStyle name="20% - Accent4 2 16 3" xfId="17391"/>
    <cellStyle name="20% - Accent4 2 17" xfId="17393"/>
    <cellStyle name="20% - Accent4 2 18" xfId="17340"/>
    <cellStyle name="20% - Accent4 2 19" xfId="38130"/>
    <cellStyle name="20% - Accent4 2 2" xfId="94"/>
    <cellStyle name="20% - Accent4 2 2 2" xfId="295"/>
    <cellStyle name="20% - Accent4 2 2 2 2" xfId="1005"/>
    <cellStyle name="20% - Accent4 2 2 2 2 2" xfId="2571"/>
    <cellStyle name="20% - Accent4 2 2 2 2 2 2" xfId="8856"/>
    <cellStyle name="20% - Accent4 2 2 2 2 2 2 2" xfId="17399"/>
    <cellStyle name="20% - Accent4 2 2 2 2 2 2 3" xfId="17398"/>
    <cellStyle name="20% - Accent4 2 2 2 2 2 3" xfId="5729"/>
    <cellStyle name="20% - Accent4 2 2 2 2 2 3 2" xfId="17401"/>
    <cellStyle name="20% - Accent4 2 2 2 2 2 3 3" xfId="17400"/>
    <cellStyle name="20% - Accent4 2 2 2 2 2 4" xfId="12039"/>
    <cellStyle name="20% - Accent4 2 2 2 2 2 4 2" xfId="17403"/>
    <cellStyle name="20% - Accent4 2 2 2 2 2 4 3" xfId="17402"/>
    <cellStyle name="20% - Accent4 2 2 2 2 2 5" xfId="17404"/>
    <cellStyle name="20% - Accent4 2 2 2 2 2 6" xfId="17397"/>
    <cellStyle name="20% - Accent4 2 2 2 2 3" xfId="7293"/>
    <cellStyle name="20% - Accent4 2 2 2 2 3 2" xfId="17406"/>
    <cellStyle name="20% - Accent4 2 2 2 2 3 3" xfId="17405"/>
    <cellStyle name="20% - Accent4 2 2 2 2 4" xfId="4166"/>
    <cellStyle name="20% - Accent4 2 2 2 2 4 2" xfId="17408"/>
    <cellStyle name="20% - Accent4 2 2 2 2 4 3" xfId="17407"/>
    <cellStyle name="20% - Accent4 2 2 2 2 5" xfId="10476"/>
    <cellStyle name="20% - Accent4 2 2 2 2 5 2" xfId="17410"/>
    <cellStyle name="20% - Accent4 2 2 2 2 5 3" xfId="17409"/>
    <cellStyle name="20% - Accent4 2 2 2 2 6" xfId="17411"/>
    <cellStyle name="20% - Accent4 2 2 2 2 7" xfId="17396"/>
    <cellStyle name="20% - Accent4 2 2 2 3" xfId="1891"/>
    <cellStyle name="20% - Accent4 2 2 2 3 2" xfId="8176"/>
    <cellStyle name="20% - Accent4 2 2 2 3 2 2" xfId="17414"/>
    <cellStyle name="20% - Accent4 2 2 2 3 2 3" xfId="17413"/>
    <cellStyle name="20% - Accent4 2 2 2 3 3" xfId="5049"/>
    <cellStyle name="20% - Accent4 2 2 2 3 3 2" xfId="17416"/>
    <cellStyle name="20% - Accent4 2 2 2 3 3 3" xfId="17415"/>
    <cellStyle name="20% - Accent4 2 2 2 3 4" xfId="11359"/>
    <cellStyle name="20% - Accent4 2 2 2 3 4 2" xfId="17418"/>
    <cellStyle name="20% - Accent4 2 2 2 3 4 3" xfId="17417"/>
    <cellStyle name="20% - Accent4 2 2 2 3 5" xfId="17419"/>
    <cellStyle name="20% - Accent4 2 2 2 3 6" xfId="17412"/>
    <cellStyle name="20% - Accent4 2 2 2 4" xfId="6613"/>
    <cellStyle name="20% - Accent4 2 2 2 4 2" xfId="17421"/>
    <cellStyle name="20% - Accent4 2 2 2 4 3" xfId="17420"/>
    <cellStyle name="20% - Accent4 2 2 2 5" xfId="3486"/>
    <cellStyle name="20% - Accent4 2 2 2 5 2" xfId="17423"/>
    <cellStyle name="20% - Accent4 2 2 2 5 3" xfId="17422"/>
    <cellStyle name="20% - Accent4 2 2 2 6" xfId="9808"/>
    <cellStyle name="20% - Accent4 2 2 2 6 2" xfId="17425"/>
    <cellStyle name="20% - Accent4 2 2 2 6 3" xfId="17424"/>
    <cellStyle name="20% - Accent4 2 2 2 7" xfId="17426"/>
    <cellStyle name="20% - Accent4 2 2 2 8" xfId="17395"/>
    <cellStyle name="20% - Accent4 2 2 3" xfId="891"/>
    <cellStyle name="20% - Accent4 2 2 3 2" xfId="2457"/>
    <cellStyle name="20% - Accent4 2 2 3 2 2" xfId="8742"/>
    <cellStyle name="20% - Accent4 2 2 3 2 2 2" xfId="17430"/>
    <cellStyle name="20% - Accent4 2 2 3 2 2 3" xfId="17429"/>
    <cellStyle name="20% - Accent4 2 2 3 2 3" xfId="5615"/>
    <cellStyle name="20% - Accent4 2 2 3 2 3 2" xfId="17432"/>
    <cellStyle name="20% - Accent4 2 2 3 2 3 3" xfId="17431"/>
    <cellStyle name="20% - Accent4 2 2 3 2 4" xfId="11925"/>
    <cellStyle name="20% - Accent4 2 2 3 2 4 2" xfId="17434"/>
    <cellStyle name="20% - Accent4 2 2 3 2 4 3" xfId="17433"/>
    <cellStyle name="20% - Accent4 2 2 3 2 5" xfId="17435"/>
    <cellStyle name="20% - Accent4 2 2 3 2 6" xfId="17428"/>
    <cellStyle name="20% - Accent4 2 2 3 3" xfId="7179"/>
    <cellStyle name="20% - Accent4 2 2 3 3 2" xfId="17437"/>
    <cellStyle name="20% - Accent4 2 2 3 3 3" xfId="17436"/>
    <cellStyle name="20% - Accent4 2 2 3 4" xfId="4052"/>
    <cellStyle name="20% - Accent4 2 2 3 4 2" xfId="17439"/>
    <cellStyle name="20% - Accent4 2 2 3 4 3" xfId="17438"/>
    <cellStyle name="20% - Accent4 2 2 3 5" xfId="10362"/>
    <cellStyle name="20% - Accent4 2 2 3 5 2" xfId="17441"/>
    <cellStyle name="20% - Accent4 2 2 3 5 3" xfId="17440"/>
    <cellStyle name="20% - Accent4 2 2 3 6" xfId="17442"/>
    <cellStyle name="20% - Accent4 2 2 3 7" xfId="17427"/>
    <cellStyle name="20% - Accent4 2 2 4" xfId="1777"/>
    <cellStyle name="20% - Accent4 2 2 4 2" xfId="8062"/>
    <cellStyle name="20% - Accent4 2 2 4 2 2" xfId="17445"/>
    <cellStyle name="20% - Accent4 2 2 4 2 3" xfId="17444"/>
    <cellStyle name="20% - Accent4 2 2 4 3" xfId="4935"/>
    <cellStyle name="20% - Accent4 2 2 4 3 2" xfId="17447"/>
    <cellStyle name="20% - Accent4 2 2 4 3 3" xfId="17446"/>
    <cellStyle name="20% - Accent4 2 2 4 4" xfId="11245"/>
    <cellStyle name="20% - Accent4 2 2 4 4 2" xfId="17449"/>
    <cellStyle name="20% - Accent4 2 2 4 4 3" xfId="17448"/>
    <cellStyle name="20% - Accent4 2 2 4 5" xfId="17450"/>
    <cellStyle name="20% - Accent4 2 2 4 6" xfId="17443"/>
    <cellStyle name="20% - Accent4 2 2 5" xfId="155"/>
    <cellStyle name="20% - Accent4 2 2 5 2" xfId="6499"/>
    <cellStyle name="20% - Accent4 2 2 5 2 2" xfId="17453"/>
    <cellStyle name="20% - Accent4 2 2 5 2 3" xfId="17452"/>
    <cellStyle name="20% - Accent4 2 2 5 3" xfId="17454"/>
    <cellStyle name="20% - Accent4 2 2 5 4" xfId="17451"/>
    <cellStyle name="20% - Accent4 2 2 6" xfId="3372"/>
    <cellStyle name="20% - Accent4 2 2 6 2" xfId="17456"/>
    <cellStyle name="20% - Accent4 2 2 6 3" xfId="17455"/>
    <cellStyle name="20% - Accent4 2 2 7" xfId="9923"/>
    <cellStyle name="20% - Accent4 2 2 7 2" xfId="17458"/>
    <cellStyle name="20% - Accent4 2 2 7 3" xfId="17457"/>
    <cellStyle name="20% - Accent4 2 2 8" xfId="17459"/>
    <cellStyle name="20% - Accent4 2 2 9" xfId="17394"/>
    <cellStyle name="20% - Accent4 2 3" xfId="193"/>
    <cellStyle name="20% - Accent4 2 3 2" xfId="321"/>
    <cellStyle name="20% - Accent4 2 3 2 2" xfId="1031"/>
    <cellStyle name="20% - Accent4 2 3 2 2 2" xfId="2597"/>
    <cellStyle name="20% - Accent4 2 3 2 2 2 2" xfId="8882"/>
    <cellStyle name="20% - Accent4 2 3 2 2 2 2 2" xfId="17465"/>
    <cellStyle name="20% - Accent4 2 3 2 2 2 2 3" xfId="17464"/>
    <cellStyle name="20% - Accent4 2 3 2 2 2 3" xfId="5755"/>
    <cellStyle name="20% - Accent4 2 3 2 2 2 3 2" xfId="17467"/>
    <cellStyle name="20% - Accent4 2 3 2 2 2 3 3" xfId="17466"/>
    <cellStyle name="20% - Accent4 2 3 2 2 2 4" xfId="12065"/>
    <cellStyle name="20% - Accent4 2 3 2 2 2 4 2" xfId="17469"/>
    <cellStyle name="20% - Accent4 2 3 2 2 2 4 3" xfId="17468"/>
    <cellStyle name="20% - Accent4 2 3 2 2 2 5" xfId="17470"/>
    <cellStyle name="20% - Accent4 2 3 2 2 2 6" xfId="17463"/>
    <cellStyle name="20% - Accent4 2 3 2 2 3" xfId="7319"/>
    <cellStyle name="20% - Accent4 2 3 2 2 3 2" xfId="17472"/>
    <cellStyle name="20% - Accent4 2 3 2 2 3 3" xfId="17471"/>
    <cellStyle name="20% - Accent4 2 3 2 2 4" xfId="4192"/>
    <cellStyle name="20% - Accent4 2 3 2 2 4 2" xfId="17474"/>
    <cellStyle name="20% - Accent4 2 3 2 2 4 3" xfId="17473"/>
    <cellStyle name="20% - Accent4 2 3 2 2 5" xfId="10502"/>
    <cellStyle name="20% - Accent4 2 3 2 2 5 2" xfId="17476"/>
    <cellStyle name="20% - Accent4 2 3 2 2 5 3" xfId="17475"/>
    <cellStyle name="20% - Accent4 2 3 2 2 6" xfId="17477"/>
    <cellStyle name="20% - Accent4 2 3 2 2 7" xfId="17462"/>
    <cellStyle name="20% - Accent4 2 3 2 3" xfId="1917"/>
    <cellStyle name="20% - Accent4 2 3 2 3 2" xfId="8202"/>
    <cellStyle name="20% - Accent4 2 3 2 3 2 2" xfId="17480"/>
    <cellStyle name="20% - Accent4 2 3 2 3 2 3" xfId="17479"/>
    <cellStyle name="20% - Accent4 2 3 2 3 3" xfId="5075"/>
    <cellStyle name="20% - Accent4 2 3 2 3 3 2" xfId="17482"/>
    <cellStyle name="20% - Accent4 2 3 2 3 3 3" xfId="17481"/>
    <cellStyle name="20% - Accent4 2 3 2 3 4" xfId="11385"/>
    <cellStyle name="20% - Accent4 2 3 2 3 4 2" xfId="17484"/>
    <cellStyle name="20% - Accent4 2 3 2 3 4 3" xfId="17483"/>
    <cellStyle name="20% - Accent4 2 3 2 3 5" xfId="17485"/>
    <cellStyle name="20% - Accent4 2 3 2 3 6" xfId="17478"/>
    <cellStyle name="20% - Accent4 2 3 2 4" xfId="6639"/>
    <cellStyle name="20% - Accent4 2 3 2 4 2" xfId="17487"/>
    <cellStyle name="20% - Accent4 2 3 2 4 3" xfId="17486"/>
    <cellStyle name="20% - Accent4 2 3 2 5" xfId="3512"/>
    <cellStyle name="20% - Accent4 2 3 2 5 2" xfId="17489"/>
    <cellStyle name="20% - Accent4 2 3 2 5 3" xfId="17488"/>
    <cellStyle name="20% - Accent4 2 3 2 6" xfId="9827"/>
    <cellStyle name="20% - Accent4 2 3 2 6 2" xfId="17491"/>
    <cellStyle name="20% - Accent4 2 3 2 6 3" xfId="17490"/>
    <cellStyle name="20% - Accent4 2 3 2 7" xfId="17492"/>
    <cellStyle name="20% - Accent4 2 3 2 8" xfId="17461"/>
    <cellStyle name="20% - Accent4 2 3 3" xfId="926"/>
    <cellStyle name="20% - Accent4 2 3 3 2" xfId="2492"/>
    <cellStyle name="20% - Accent4 2 3 3 2 2" xfId="8777"/>
    <cellStyle name="20% - Accent4 2 3 3 2 2 2" xfId="17496"/>
    <cellStyle name="20% - Accent4 2 3 3 2 2 3" xfId="17495"/>
    <cellStyle name="20% - Accent4 2 3 3 2 3" xfId="5650"/>
    <cellStyle name="20% - Accent4 2 3 3 2 3 2" xfId="17498"/>
    <cellStyle name="20% - Accent4 2 3 3 2 3 3" xfId="17497"/>
    <cellStyle name="20% - Accent4 2 3 3 2 4" xfId="11960"/>
    <cellStyle name="20% - Accent4 2 3 3 2 4 2" xfId="17500"/>
    <cellStyle name="20% - Accent4 2 3 3 2 4 3" xfId="17499"/>
    <cellStyle name="20% - Accent4 2 3 3 2 5" xfId="17501"/>
    <cellStyle name="20% - Accent4 2 3 3 2 6" xfId="17494"/>
    <cellStyle name="20% - Accent4 2 3 3 3" xfId="7214"/>
    <cellStyle name="20% - Accent4 2 3 3 3 2" xfId="17503"/>
    <cellStyle name="20% - Accent4 2 3 3 3 3" xfId="17502"/>
    <cellStyle name="20% - Accent4 2 3 3 4" xfId="4087"/>
    <cellStyle name="20% - Accent4 2 3 3 4 2" xfId="17505"/>
    <cellStyle name="20% - Accent4 2 3 3 4 3" xfId="17504"/>
    <cellStyle name="20% - Accent4 2 3 3 5" xfId="10397"/>
    <cellStyle name="20% - Accent4 2 3 3 5 2" xfId="17507"/>
    <cellStyle name="20% - Accent4 2 3 3 5 3" xfId="17506"/>
    <cellStyle name="20% - Accent4 2 3 3 6" xfId="17508"/>
    <cellStyle name="20% - Accent4 2 3 3 7" xfId="17493"/>
    <cellStyle name="20% - Accent4 2 3 4" xfId="1812"/>
    <cellStyle name="20% - Accent4 2 3 4 2" xfId="8097"/>
    <cellStyle name="20% - Accent4 2 3 4 2 2" xfId="17511"/>
    <cellStyle name="20% - Accent4 2 3 4 2 3" xfId="17510"/>
    <cellStyle name="20% - Accent4 2 3 4 3" xfId="4970"/>
    <cellStyle name="20% - Accent4 2 3 4 3 2" xfId="17513"/>
    <cellStyle name="20% - Accent4 2 3 4 3 3" xfId="17512"/>
    <cellStyle name="20% - Accent4 2 3 4 4" xfId="11280"/>
    <cellStyle name="20% - Accent4 2 3 4 4 2" xfId="17515"/>
    <cellStyle name="20% - Accent4 2 3 4 4 3" xfId="17514"/>
    <cellStyle name="20% - Accent4 2 3 4 5" xfId="17516"/>
    <cellStyle name="20% - Accent4 2 3 4 6" xfId="17509"/>
    <cellStyle name="20% - Accent4 2 3 5" xfId="6534"/>
    <cellStyle name="20% - Accent4 2 3 5 2" xfId="17518"/>
    <cellStyle name="20% - Accent4 2 3 5 3" xfId="17517"/>
    <cellStyle name="20% - Accent4 2 3 6" xfId="3407"/>
    <cellStyle name="20% - Accent4 2 3 6 2" xfId="17520"/>
    <cellStyle name="20% - Accent4 2 3 6 3" xfId="17519"/>
    <cellStyle name="20% - Accent4 2 3 7" xfId="9907"/>
    <cellStyle name="20% - Accent4 2 3 7 2" xfId="17522"/>
    <cellStyle name="20% - Accent4 2 3 7 3" xfId="17521"/>
    <cellStyle name="20% - Accent4 2 3 8" xfId="17523"/>
    <cellStyle name="20% - Accent4 2 3 9" xfId="17460"/>
    <cellStyle name="20% - Accent4 2 4" xfId="231"/>
    <cellStyle name="20% - Accent4 2 4 2" xfId="942"/>
    <cellStyle name="20% - Accent4 2 4 2 2" xfId="2508"/>
    <cellStyle name="20% - Accent4 2 4 2 2 2" xfId="8793"/>
    <cellStyle name="20% - Accent4 2 4 2 2 2 2" xfId="17528"/>
    <cellStyle name="20% - Accent4 2 4 2 2 2 3" xfId="17527"/>
    <cellStyle name="20% - Accent4 2 4 2 2 3" xfId="5666"/>
    <cellStyle name="20% - Accent4 2 4 2 2 3 2" xfId="17530"/>
    <cellStyle name="20% - Accent4 2 4 2 2 3 3" xfId="17529"/>
    <cellStyle name="20% - Accent4 2 4 2 2 4" xfId="11976"/>
    <cellStyle name="20% - Accent4 2 4 2 2 4 2" xfId="17532"/>
    <cellStyle name="20% - Accent4 2 4 2 2 4 3" xfId="17531"/>
    <cellStyle name="20% - Accent4 2 4 2 2 5" xfId="17533"/>
    <cellStyle name="20% - Accent4 2 4 2 2 6" xfId="17526"/>
    <cellStyle name="20% - Accent4 2 4 2 3" xfId="7230"/>
    <cellStyle name="20% - Accent4 2 4 2 3 2" xfId="17535"/>
    <cellStyle name="20% - Accent4 2 4 2 3 3" xfId="17534"/>
    <cellStyle name="20% - Accent4 2 4 2 4" xfId="4103"/>
    <cellStyle name="20% - Accent4 2 4 2 4 2" xfId="17537"/>
    <cellStyle name="20% - Accent4 2 4 2 4 3" xfId="17536"/>
    <cellStyle name="20% - Accent4 2 4 2 5" xfId="10413"/>
    <cellStyle name="20% - Accent4 2 4 2 5 2" xfId="17539"/>
    <cellStyle name="20% - Accent4 2 4 2 5 3" xfId="17538"/>
    <cellStyle name="20% - Accent4 2 4 2 6" xfId="17540"/>
    <cellStyle name="20% - Accent4 2 4 2 7" xfId="17525"/>
    <cellStyle name="20% - Accent4 2 4 3" xfId="1828"/>
    <cellStyle name="20% - Accent4 2 4 3 2" xfId="8113"/>
    <cellStyle name="20% - Accent4 2 4 3 2 2" xfId="17543"/>
    <cellStyle name="20% - Accent4 2 4 3 2 3" xfId="17542"/>
    <cellStyle name="20% - Accent4 2 4 3 3" xfId="4986"/>
    <cellStyle name="20% - Accent4 2 4 3 3 2" xfId="17545"/>
    <cellStyle name="20% - Accent4 2 4 3 3 3" xfId="17544"/>
    <cellStyle name="20% - Accent4 2 4 3 4" xfId="11296"/>
    <cellStyle name="20% - Accent4 2 4 3 4 2" xfId="17547"/>
    <cellStyle name="20% - Accent4 2 4 3 4 3" xfId="17546"/>
    <cellStyle name="20% - Accent4 2 4 3 5" xfId="17548"/>
    <cellStyle name="20% - Accent4 2 4 3 6" xfId="17541"/>
    <cellStyle name="20% - Accent4 2 4 4" xfId="6550"/>
    <cellStyle name="20% - Accent4 2 4 4 2" xfId="17550"/>
    <cellStyle name="20% - Accent4 2 4 4 3" xfId="17549"/>
    <cellStyle name="20% - Accent4 2 4 5" xfId="3423"/>
    <cellStyle name="20% - Accent4 2 4 5 2" xfId="17552"/>
    <cellStyle name="20% - Accent4 2 4 5 3" xfId="17551"/>
    <cellStyle name="20% - Accent4 2 4 6" xfId="9831"/>
    <cellStyle name="20% - Accent4 2 4 6 2" xfId="17554"/>
    <cellStyle name="20% - Accent4 2 4 6 3" xfId="17553"/>
    <cellStyle name="20% - Accent4 2 4 7" xfId="17555"/>
    <cellStyle name="20% - Accent4 2 4 8" xfId="17524"/>
    <cellStyle name="20% - Accent4 2 5" xfId="281"/>
    <cellStyle name="20% - Accent4 2 5 2" xfId="992"/>
    <cellStyle name="20% - Accent4 2 5 2 2" xfId="2558"/>
    <cellStyle name="20% - Accent4 2 5 2 2 2" xfId="8843"/>
    <cellStyle name="20% - Accent4 2 5 2 2 2 2" xfId="17560"/>
    <cellStyle name="20% - Accent4 2 5 2 2 2 3" xfId="17559"/>
    <cellStyle name="20% - Accent4 2 5 2 2 3" xfId="5716"/>
    <cellStyle name="20% - Accent4 2 5 2 2 3 2" xfId="17562"/>
    <cellStyle name="20% - Accent4 2 5 2 2 3 3" xfId="17561"/>
    <cellStyle name="20% - Accent4 2 5 2 2 4" xfId="12026"/>
    <cellStyle name="20% - Accent4 2 5 2 2 4 2" xfId="17564"/>
    <cellStyle name="20% - Accent4 2 5 2 2 4 3" xfId="17563"/>
    <cellStyle name="20% - Accent4 2 5 2 2 5" xfId="17565"/>
    <cellStyle name="20% - Accent4 2 5 2 2 6" xfId="17558"/>
    <cellStyle name="20% - Accent4 2 5 2 3" xfId="7280"/>
    <cellStyle name="20% - Accent4 2 5 2 3 2" xfId="17567"/>
    <cellStyle name="20% - Accent4 2 5 2 3 3" xfId="17566"/>
    <cellStyle name="20% - Accent4 2 5 2 4" xfId="4153"/>
    <cellStyle name="20% - Accent4 2 5 2 4 2" xfId="17569"/>
    <cellStyle name="20% - Accent4 2 5 2 4 3" xfId="17568"/>
    <cellStyle name="20% - Accent4 2 5 2 5" xfId="10463"/>
    <cellStyle name="20% - Accent4 2 5 2 5 2" xfId="17571"/>
    <cellStyle name="20% - Accent4 2 5 2 5 3" xfId="17570"/>
    <cellStyle name="20% - Accent4 2 5 2 6" xfId="17572"/>
    <cellStyle name="20% - Accent4 2 5 2 7" xfId="17557"/>
    <cellStyle name="20% - Accent4 2 5 3" xfId="1878"/>
    <cellStyle name="20% - Accent4 2 5 3 2" xfId="8163"/>
    <cellStyle name="20% - Accent4 2 5 3 2 2" xfId="17575"/>
    <cellStyle name="20% - Accent4 2 5 3 2 3" xfId="17574"/>
    <cellStyle name="20% - Accent4 2 5 3 3" xfId="5036"/>
    <cellStyle name="20% - Accent4 2 5 3 3 2" xfId="17577"/>
    <cellStyle name="20% - Accent4 2 5 3 3 3" xfId="17576"/>
    <cellStyle name="20% - Accent4 2 5 3 4" xfId="11346"/>
    <cellStyle name="20% - Accent4 2 5 3 4 2" xfId="17579"/>
    <cellStyle name="20% - Accent4 2 5 3 4 3" xfId="17578"/>
    <cellStyle name="20% - Accent4 2 5 3 5" xfId="17580"/>
    <cellStyle name="20% - Accent4 2 5 3 6" xfId="17573"/>
    <cellStyle name="20% - Accent4 2 5 4" xfId="6600"/>
    <cellStyle name="20% - Accent4 2 5 4 2" xfId="17582"/>
    <cellStyle name="20% - Accent4 2 5 4 3" xfId="17581"/>
    <cellStyle name="20% - Accent4 2 5 5" xfId="3473"/>
    <cellStyle name="20% - Accent4 2 5 5 2" xfId="17584"/>
    <cellStyle name="20% - Accent4 2 5 5 3" xfId="17583"/>
    <cellStyle name="20% - Accent4 2 5 6" xfId="9841"/>
    <cellStyle name="20% - Accent4 2 5 6 2" xfId="17586"/>
    <cellStyle name="20% - Accent4 2 5 6 3" xfId="17585"/>
    <cellStyle name="20% - Accent4 2 5 7" xfId="17587"/>
    <cellStyle name="20% - Accent4 2 5 8" xfId="17556"/>
    <cellStyle name="20% - Accent4 2 6" xfId="338"/>
    <cellStyle name="20% - Accent4 2 6 2" xfId="1046"/>
    <cellStyle name="20% - Accent4 2 6 2 2" xfId="2612"/>
    <cellStyle name="20% - Accent4 2 6 2 2 2" xfId="8897"/>
    <cellStyle name="20% - Accent4 2 6 2 2 2 2" xfId="17592"/>
    <cellStyle name="20% - Accent4 2 6 2 2 2 3" xfId="17591"/>
    <cellStyle name="20% - Accent4 2 6 2 2 3" xfId="5770"/>
    <cellStyle name="20% - Accent4 2 6 2 2 3 2" xfId="17594"/>
    <cellStyle name="20% - Accent4 2 6 2 2 3 3" xfId="17593"/>
    <cellStyle name="20% - Accent4 2 6 2 2 4" xfId="12080"/>
    <cellStyle name="20% - Accent4 2 6 2 2 4 2" xfId="17596"/>
    <cellStyle name="20% - Accent4 2 6 2 2 4 3" xfId="17595"/>
    <cellStyle name="20% - Accent4 2 6 2 2 5" xfId="17597"/>
    <cellStyle name="20% - Accent4 2 6 2 2 6" xfId="17590"/>
    <cellStyle name="20% - Accent4 2 6 2 3" xfId="7334"/>
    <cellStyle name="20% - Accent4 2 6 2 3 2" xfId="17599"/>
    <cellStyle name="20% - Accent4 2 6 2 3 3" xfId="17598"/>
    <cellStyle name="20% - Accent4 2 6 2 4" xfId="4207"/>
    <cellStyle name="20% - Accent4 2 6 2 4 2" xfId="17601"/>
    <cellStyle name="20% - Accent4 2 6 2 4 3" xfId="17600"/>
    <cellStyle name="20% - Accent4 2 6 2 5" xfId="10517"/>
    <cellStyle name="20% - Accent4 2 6 2 5 2" xfId="17603"/>
    <cellStyle name="20% - Accent4 2 6 2 5 3" xfId="17602"/>
    <cellStyle name="20% - Accent4 2 6 2 6" xfId="17604"/>
    <cellStyle name="20% - Accent4 2 6 2 7" xfId="17589"/>
    <cellStyle name="20% - Accent4 2 6 3" xfId="1932"/>
    <cellStyle name="20% - Accent4 2 6 3 2" xfId="8217"/>
    <cellStyle name="20% - Accent4 2 6 3 2 2" xfId="17607"/>
    <cellStyle name="20% - Accent4 2 6 3 2 3" xfId="17606"/>
    <cellStyle name="20% - Accent4 2 6 3 3" xfId="5090"/>
    <cellStyle name="20% - Accent4 2 6 3 3 2" xfId="17609"/>
    <cellStyle name="20% - Accent4 2 6 3 3 3" xfId="17608"/>
    <cellStyle name="20% - Accent4 2 6 3 4" xfId="11400"/>
    <cellStyle name="20% - Accent4 2 6 3 4 2" xfId="17611"/>
    <cellStyle name="20% - Accent4 2 6 3 4 3" xfId="17610"/>
    <cellStyle name="20% - Accent4 2 6 3 5" xfId="17612"/>
    <cellStyle name="20% - Accent4 2 6 3 6" xfId="17605"/>
    <cellStyle name="20% - Accent4 2 6 4" xfId="6654"/>
    <cellStyle name="20% - Accent4 2 6 4 2" xfId="17614"/>
    <cellStyle name="20% - Accent4 2 6 4 3" xfId="17613"/>
    <cellStyle name="20% - Accent4 2 6 5" xfId="3527"/>
    <cellStyle name="20% - Accent4 2 6 5 2" xfId="17616"/>
    <cellStyle name="20% - Accent4 2 6 5 3" xfId="17615"/>
    <cellStyle name="20% - Accent4 2 6 6" xfId="9959"/>
    <cellStyle name="20% - Accent4 2 6 6 2" xfId="17618"/>
    <cellStyle name="20% - Accent4 2 6 6 3" xfId="17617"/>
    <cellStyle name="20% - Accent4 2 6 7" xfId="17619"/>
    <cellStyle name="20% - Accent4 2 6 8" xfId="17588"/>
    <cellStyle name="20% - Accent4 2 7" xfId="389"/>
    <cellStyle name="20% - Accent4 2 7 2" xfId="1096"/>
    <cellStyle name="20% - Accent4 2 7 2 2" xfId="2661"/>
    <cellStyle name="20% - Accent4 2 7 2 2 2" xfId="8946"/>
    <cellStyle name="20% - Accent4 2 7 2 2 2 2" xfId="17624"/>
    <cellStyle name="20% - Accent4 2 7 2 2 2 3" xfId="17623"/>
    <cellStyle name="20% - Accent4 2 7 2 2 3" xfId="5819"/>
    <cellStyle name="20% - Accent4 2 7 2 2 3 2" xfId="17626"/>
    <cellStyle name="20% - Accent4 2 7 2 2 3 3" xfId="17625"/>
    <cellStyle name="20% - Accent4 2 7 2 2 4" xfId="12129"/>
    <cellStyle name="20% - Accent4 2 7 2 2 4 2" xfId="17628"/>
    <cellStyle name="20% - Accent4 2 7 2 2 4 3" xfId="17627"/>
    <cellStyle name="20% - Accent4 2 7 2 2 5" xfId="17629"/>
    <cellStyle name="20% - Accent4 2 7 2 2 6" xfId="17622"/>
    <cellStyle name="20% - Accent4 2 7 2 3" xfId="7383"/>
    <cellStyle name="20% - Accent4 2 7 2 3 2" xfId="17631"/>
    <cellStyle name="20% - Accent4 2 7 2 3 3" xfId="17630"/>
    <cellStyle name="20% - Accent4 2 7 2 4" xfId="4256"/>
    <cellStyle name="20% - Accent4 2 7 2 4 2" xfId="17633"/>
    <cellStyle name="20% - Accent4 2 7 2 4 3" xfId="17632"/>
    <cellStyle name="20% - Accent4 2 7 2 5" xfId="10566"/>
    <cellStyle name="20% - Accent4 2 7 2 5 2" xfId="17635"/>
    <cellStyle name="20% - Accent4 2 7 2 5 3" xfId="17634"/>
    <cellStyle name="20% - Accent4 2 7 2 6" xfId="17636"/>
    <cellStyle name="20% - Accent4 2 7 2 7" xfId="17621"/>
    <cellStyle name="20% - Accent4 2 7 3" xfId="1981"/>
    <cellStyle name="20% - Accent4 2 7 3 2" xfId="8266"/>
    <cellStyle name="20% - Accent4 2 7 3 2 2" xfId="17639"/>
    <cellStyle name="20% - Accent4 2 7 3 2 3" xfId="17638"/>
    <cellStyle name="20% - Accent4 2 7 3 3" xfId="5139"/>
    <cellStyle name="20% - Accent4 2 7 3 3 2" xfId="17641"/>
    <cellStyle name="20% - Accent4 2 7 3 3 3" xfId="17640"/>
    <cellStyle name="20% - Accent4 2 7 3 4" xfId="11449"/>
    <cellStyle name="20% - Accent4 2 7 3 4 2" xfId="17643"/>
    <cellStyle name="20% - Accent4 2 7 3 4 3" xfId="17642"/>
    <cellStyle name="20% - Accent4 2 7 3 5" xfId="17644"/>
    <cellStyle name="20% - Accent4 2 7 3 6" xfId="17637"/>
    <cellStyle name="20% - Accent4 2 7 4" xfId="6703"/>
    <cellStyle name="20% - Accent4 2 7 4 2" xfId="17646"/>
    <cellStyle name="20% - Accent4 2 7 4 3" xfId="17645"/>
    <cellStyle name="20% - Accent4 2 7 5" xfId="3576"/>
    <cellStyle name="20% - Accent4 2 7 5 2" xfId="17648"/>
    <cellStyle name="20% - Accent4 2 7 5 3" xfId="17647"/>
    <cellStyle name="20% - Accent4 2 7 6" xfId="10009"/>
    <cellStyle name="20% - Accent4 2 7 6 2" xfId="17650"/>
    <cellStyle name="20% - Accent4 2 7 6 3" xfId="17649"/>
    <cellStyle name="20% - Accent4 2 7 7" xfId="17651"/>
    <cellStyle name="20% - Accent4 2 7 8" xfId="17620"/>
    <cellStyle name="20% - Accent4 2 8" xfId="565"/>
    <cellStyle name="20% - Accent4 2 8 2" xfId="1272"/>
    <cellStyle name="20% - Accent4 2 8 2 2" xfId="2837"/>
    <cellStyle name="20% - Accent4 2 8 2 2 2" xfId="9122"/>
    <cellStyle name="20% - Accent4 2 8 2 2 2 2" xfId="17656"/>
    <cellStyle name="20% - Accent4 2 8 2 2 2 3" xfId="17655"/>
    <cellStyle name="20% - Accent4 2 8 2 2 3" xfId="5995"/>
    <cellStyle name="20% - Accent4 2 8 2 2 3 2" xfId="17658"/>
    <cellStyle name="20% - Accent4 2 8 2 2 3 3" xfId="17657"/>
    <cellStyle name="20% - Accent4 2 8 2 2 4" xfId="12305"/>
    <cellStyle name="20% - Accent4 2 8 2 2 4 2" xfId="17660"/>
    <cellStyle name="20% - Accent4 2 8 2 2 4 3" xfId="17659"/>
    <cellStyle name="20% - Accent4 2 8 2 2 5" xfId="17661"/>
    <cellStyle name="20% - Accent4 2 8 2 2 6" xfId="17654"/>
    <cellStyle name="20% - Accent4 2 8 2 3" xfId="7559"/>
    <cellStyle name="20% - Accent4 2 8 2 3 2" xfId="17663"/>
    <cellStyle name="20% - Accent4 2 8 2 3 3" xfId="17662"/>
    <cellStyle name="20% - Accent4 2 8 2 4" xfId="4432"/>
    <cellStyle name="20% - Accent4 2 8 2 4 2" xfId="17665"/>
    <cellStyle name="20% - Accent4 2 8 2 4 3" xfId="17664"/>
    <cellStyle name="20% - Accent4 2 8 2 5" xfId="10742"/>
    <cellStyle name="20% - Accent4 2 8 2 5 2" xfId="17667"/>
    <cellStyle name="20% - Accent4 2 8 2 5 3" xfId="17666"/>
    <cellStyle name="20% - Accent4 2 8 2 6" xfId="17668"/>
    <cellStyle name="20% - Accent4 2 8 2 7" xfId="17653"/>
    <cellStyle name="20% - Accent4 2 8 3" xfId="2157"/>
    <cellStyle name="20% - Accent4 2 8 3 2" xfId="8442"/>
    <cellStyle name="20% - Accent4 2 8 3 2 2" xfId="17671"/>
    <cellStyle name="20% - Accent4 2 8 3 2 3" xfId="17670"/>
    <cellStyle name="20% - Accent4 2 8 3 3" xfId="5315"/>
    <cellStyle name="20% - Accent4 2 8 3 3 2" xfId="17673"/>
    <cellStyle name="20% - Accent4 2 8 3 3 3" xfId="17672"/>
    <cellStyle name="20% - Accent4 2 8 3 4" xfId="11625"/>
    <cellStyle name="20% - Accent4 2 8 3 4 2" xfId="17675"/>
    <cellStyle name="20% - Accent4 2 8 3 4 3" xfId="17674"/>
    <cellStyle name="20% - Accent4 2 8 3 5" xfId="17676"/>
    <cellStyle name="20% - Accent4 2 8 3 6" xfId="17669"/>
    <cellStyle name="20% - Accent4 2 8 4" xfId="6879"/>
    <cellStyle name="20% - Accent4 2 8 4 2" xfId="17678"/>
    <cellStyle name="20% - Accent4 2 8 4 3" xfId="17677"/>
    <cellStyle name="20% - Accent4 2 8 5" xfId="3752"/>
    <cellStyle name="20% - Accent4 2 8 5 2" xfId="17680"/>
    <cellStyle name="20% - Accent4 2 8 5 3" xfId="17679"/>
    <cellStyle name="20% - Accent4 2 8 6" xfId="10184"/>
    <cellStyle name="20% - Accent4 2 8 6 2" xfId="17682"/>
    <cellStyle name="20% - Accent4 2 8 6 3" xfId="17681"/>
    <cellStyle name="20% - Accent4 2 8 7" xfId="17683"/>
    <cellStyle name="20% - Accent4 2 8 8" xfId="17652"/>
    <cellStyle name="20% - Accent4 2 9" xfId="624"/>
    <cellStyle name="20% - Accent4 2 9 2" xfId="1329"/>
    <cellStyle name="20% - Accent4 2 9 2 2" xfId="2894"/>
    <cellStyle name="20% - Accent4 2 9 2 2 2" xfId="9179"/>
    <cellStyle name="20% - Accent4 2 9 2 2 2 2" xfId="17688"/>
    <cellStyle name="20% - Accent4 2 9 2 2 2 3" xfId="17687"/>
    <cellStyle name="20% - Accent4 2 9 2 2 3" xfId="6052"/>
    <cellStyle name="20% - Accent4 2 9 2 2 3 2" xfId="17690"/>
    <cellStyle name="20% - Accent4 2 9 2 2 3 3" xfId="17689"/>
    <cellStyle name="20% - Accent4 2 9 2 2 4" xfId="12362"/>
    <cellStyle name="20% - Accent4 2 9 2 2 4 2" xfId="17692"/>
    <cellStyle name="20% - Accent4 2 9 2 2 4 3" xfId="17691"/>
    <cellStyle name="20% - Accent4 2 9 2 2 5" xfId="17693"/>
    <cellStyle name="20% - Accent4 2 9 2 2 6" xfId="17686"/>
    <cellStyle name="20% - Accent4 2 9 2 3" xfId="7616"/>
    <cellStyle name="20% - Accent4 2 9 2 3 2" xfId="17695"/>
    <cellStyle name="20% - Accent4 2 9 2 3 3" xfId="17694"/>
    <cellStyle name="20% - Accent4 2 9 2 4" xfId="4489"/>
    <cellStyle name="20% - Accent4 2 9 2 4 2" xfId="17697"/>
    <cellStyle name="20% - Accent4 2 9 2 4 3" xfId="17696"/>
    <cellStyle name="20% - Accent4 2 9 2 5" xfId="10799"/>
    <cellStyle name="20% - Accent4 2 9 2 5 2" xfId="17699"/>
    <cellStyle name="20% - Accent4 2 9 2 5 3" xfId="17698"/>
    <cellStyle name="20% - Accent4 2 9 2 6" xfId="17700"/>
    <cellStyle name="20% - Accent4 2 9 2 7" xfId="17685"/>
    <cellStyle name="20% - Accent4 2 9 3" xfId="2214"/>
    <cellStyle name="20% - Accent4 2 9 3 2" xfId="8499"/>
    <cellStyle name="20% - Accent4 2 9 3 2 2" xfId="17703"/>
    <cellStyle name="20% - Accent4 2 9 3 2 3" xfId="17702"/>
    <cellStyle name="20% - Accent4 2 9 3 3" xfId="5372"/>
    <cellStyle name="20% - Accent4 2 9 3 3 2" xfId="17705"/>
    <cellStyle name="20% - Accent4 2 9 3 3 3" xfId="17704"/>
    <cellStyle name="20% - Accent4 2 9 3 4" xfId="11682"/>
    <cellStyle name="20% - Accent4 2 9 3 4 2" xfId="17707"/>
    <cellStyle name="20% - Accent4 2 9 3 4 3" xfId="17706"/>
    <cellStyle name="20% - Accent4 2 9 3 5" xfId="17708"/>
    <cellStyle name="20% - Accent4 2 9 3 6" xfId="17701"/>
    <cellStyle name="20% - Accent4 2 9 4" xfId="6936"/>
    <cellStyle name="20% - Accent4 2 9 4 2" xfId="17710"/>
    <cellStyle name="20% - Accent4 2 9 4 3" xfId="17709"/>
    <cellStyle name="20% - Accent4 2 9 5" xfId="3809"/>
    <cellStyle name="20% - Accent4 2 9 5 2" xfId="17712"/>
    <cellStyle name="20% - Accent4 2 9 5 3" xfId="17711"/>
    <cellStyle name="20% - Accent4 2 9 6" xfId="10242"/>
    <cellStyle name="20% - Accent4 2 9 6 2" xfId="17714"/>
    <cellStyle name="20% - Accent4 2 9 6 3" xfId="17713"/>
    <cellStyle name="20% - Accent4 2 9 7" xfId="17715"/>
    <cellStyle name="20% - Accent4 2 9 8" xfId="17684"/>
    <cellStyle name="20% - Accent4 20" xfId="1567"/>
    <cellStyle name="20% - Accent4 20 2" xfId="3132"/>
    <cellStyle name="20% - Accent4 20 2 2" xfId="9417"/>
    <cellStyle name="20% - Accent4 20 2 2 2" xfId="17719"/>
    <cellStyle name="20% - Accent4 20 2 2 3" xfId="17718"/>
    <cellStyle name="20% - Accent4 20 2 3" xfId="6290"/>
    <cellStyle name="20% - Accent4 20 2 3 2" xfId="17721"/>
    <cellStyle name="20% - Accent4 20 2 3 3" xfId="17720"/>
    <cellStyle name="20% - Accent4 20 2 4" xfId="12600"/>
    <cellStyle name="20% - Accent4 20 2 4 2" xfId="17723"/>
    <cellStyle name="20% - Accent4 20 2 4 3" xfId="17722"/>
    <cellStyle name="20% - Accent4 20 2 5" xfId="17724"/>
    <cellStyle name="20% - Accent4 20 2 6" xfId="17717"/>
    <cellStyle name="20% - Accent4 20 3" xfId="7854"/>
    <cellStyle name="20% - Accent4 20 3 2" xfId="17726"/>
    <cellStyle name="20% - Accent4 20 3 3" xfId="17725"/>
    <cellStyle name="20% - Accent4 20 4" xfId="4727"/>
    <cellStyle name="20% - Accent4 20 4 2" xfId="17728"/>
    <cellStyle name="20% - Accent4 20 4 3" xfId="17727"/>
    <cellStyle name="20% - Accent4 20 5" xfId="11037"/>
    <cellStyle name="20% - Accent4 20 5 2" xfId="17730"/>
    <cellStyle name="20% - Accent4 20 5 3" xfId="17729"/>
    <cellStyle name="20% - Accent4 20 6" xfId="17731"/>
    <cellStyle name="20% - Accent4 20 7" xfId="17716"/>
    <cellStyle name="20% - Accent4 21" xfId="1730"/>
    <cellStyle name="20% - Accent4 21 2" xfId="8017"/>
    <cellStyle name="20% - Accent4 21 2 2" xfId="17734"/>
    <cellStyle name="20% - Accent4 21 2 3" xfId="17733"/>
    <cellStyle name="20% - Accent4 21 3" xfId="4890"/>
    <cellStyle name="20% - Accent4 21 3 2" xfId="17736"/>
    <cellStyle name="20% - Accent4 21 3 3" xfId="17735"/>
    <cellStyle name="20% - Accent4 21 4" xfId="11200"/>
    <cellStyle name="20% - Accent4 21 4 2" xfId="17738"/>
    <cellStyle name="20% - Accent4 21 4 3" xfId="17737"/>
    <cellStyle name="20% - Accent4 21 5" xfId="17739"/>
    <cellStyle name="20% - Accent4 21 6" xfId="17732"/>
    <cellStyle name="20% - Accent4 22" xfId="110"/>
    <cellStyle name="20% - Accent4 22 2" xfId="6455"/>
    <cellStyle name="20% - Accent4 22 2 2" xfId="17742"/>
    <cellStyle name="20% - Accent4 22 2 3" xfId="17741"/>
    <cellStyle name="20% - Accent4 22 3" xfId="17743"/>
    <cellStyle name="20% - Accent4 22 4" xfId="17740"/>
    <cellStyle name="20% - Accent4 23" xfId="3299"/>
    <cellStyle name="20% - Accent4 23 2" xfId="9582"/>
    <cellStyle name="20% - Accent4 23 2 2" xfId="17746"/>
    <cellStyle name="20% - Accent4 23 2 3" xfId="17745"/>
    <cellStyle name="20% - Accent4 23 3" xfId="17747"/>
    <cellStyle name="20% - Accent4 23 4" xfId="17744"/>
    <cellStyle name="20% - Accent4 24" xfId="3328"/>
    <cellStyle name="20% - Accent4 24 2" xfId="17749"/>
    <cellStyle name="20% - Accent4 24 3" xfId="17748"/>
    <cellStyle name="20% - Accent4 25" xfId="9635"/>
    <cellStyle name="20% - Accent4 25 2" xfId="17751"/>
    <cellStyle name="20% - Accent4 25 3" xfId="17750"/>
    <cellStyle name="20% - Accent4 26" xfId="17752"/>
    <cellStyle name="20% - Accent4 27" xfId="17035"/>
    <cellStyle name="20% - Accent4 28" xfId="38129"/>
    <cellStyle name="20% - Accent4 3" xfId="79"/>
    <cellStyle name="20% - Accent4 3 10" xfId="1532"/>
    <cellStyle name="20% - Accent4 3 10 2" xfId="3097"/>
    <cellStyle name="20% - Accent4 3 10 2 2" xfId="9382"/>
    <cellStyle name="20% - Accent4 3 10 2 2 2" xfId="17757"/>
    <cellStyle name="20% - Accent4 3 10 2 2 3" xfId="17756"/>
    <cellStyle name="20% - Accent4 3 10 2 3" xfId="6255"/>
    <cellStyle name="20% - Accent4 3 10 2 3 2" xfId="17759"/>
    <cellStyle name="20% - Accent4 3 10 2 3 3" xfId="17758"/>
    <cellStyle name="20% - Accent4 3 10 2 4" xfId="12565"/>
    <cellStyle name="20% - Accent4 3 10 2 4 2" xfId="17761"/>
    <cellStyle name="20% - Accent4 3 10 2 4 3" xfId="17760"/>
    <cellStyle name="20% - Accent4 3 10 2 5" xfId="17762"/>
    <cellStyle name="20% - Accent4 3 10 2 6" xfId="17755"/>
    <cellStyle name="20% - Accent4 3 10 3" xfId="7819"/>
    <cellStyle name="20% - Accent4 3 10 3 2" xfId="17764"/>
    <cellStyle name="20% - Accent4 3 10 3 3" xfId="17763"/>
    <cellStyle name="20% - Accent4 3 10 4" xfId="4692"/>
    <cellStyle name="20% - Accent4 3 10 4 2" xfId="17766"/>
    <cellStyle name="20% - Accent4 3 10 4 3" xfId="17765"/>
    <cellStyle name="20% - Accent4 3 10 5" xfId="11002"/>
    <cellStyle name="20% - Accent4 3 10 5 2" xfId="17768"/>
    <cellStyle name="20% - Accent4 3 10 5 3" xfId="17767"/>
    <cellStyle name="20% - Accent4 3 10 6" xfId="17769"/>
    <cellStyle name="20% - Accent4 3 10 7" xfId="17754"/>
    <cellStyle name="20% - Accent4 3 11" xfId="1760"/>
    <cellStyle name="20% - Accent4 3 11 2" xfId="8045"/>
    <cellStyle name="20% - Accent4 3 11 2 2" xfId="17772"/>
    <cellStyle name="20% - Accent4 3 11 2 3" xfId="17771"/>
    <cellStyle name="20% - Accent4 3 11 3" xfId="4918"/>
    <cellStyle name="20% - Accent4 3 11 3 2" xfId="17774"/>
    <cellStyle name="20% - Accent4 3 11 3 3" xfId="17773"/>
    <cellStyle name="20% - Accent4 3 11 4" xfId="11228"/>
    <cellStyle name="20% - Accent4 3 11 4 2" xfId="17776"/>
    <cellStyle name="20% - Accent4 3 11 4 3" xfId="17775"/>
    <cellStyle name="20% - Accent4 3 11 5" xfId="17777"/>
    <cellStyle name="20% - Accent4 3 11 6" xfId="17770"/>
    <cellStyle name="20% - Accent4 3 12" xfId="137"/>
    <cellStyle name="20% - Accent4 3 12 2" xfId="6482"/>
    <cellStyle name="20% - Accent4 3 12 2 2" xfId="17780"/>
    <cellStyle name="20% - Accent4 3 12 2 3" xfId="17779"/>
    <cellStyle name="20% - Accent4 3 12 3" xfId="9939"/>
    <cellStyle name="20% - Accent4 3 12 3 2" xfId="17782"/>
    <cellStyle name="20% - Accent4 3 12 3 3" xfId="17781"/>
    <cellStyle name="20% - Accent4 3 12 4" xfId="17783"/>
    <cellStyle name="20% - Accent4 3 12 5" xfId="17778"/>
    <cellStyle name="20% - Accent4 3 13" xfId="3355"/>
    <cellStyle name="20% - Accent4 3 13 2" xfId="17785"/>
    <cellStyle name="20% - Accent4 3 13 3" xfId="17784"/>
    <cellStyle name="20% - Accent4 3 14" xfId="9600"/>
    <cellStyle name="20% - Accent4 3 14 2" xfId="17787"/>
    <cellStyle name="20% - Accent4 3 14 3" xfId="17786"/>
    <cellStyle name="20% - Accent4 3 15" xfId="17788"/>
    <cellStyle name="20% - Accent4 3 16" xfId="17753"/>
    <cellStyle name="20% - Accent4 3 17" xfId="38131"/>
    <cellStyle name="20% - Accent4 3 2" xfId="156"/>
    <cellStyle name="20% - Accent4 3 2 2" xfId="296"/>
    <cellStyle name="20% - Accent4 3 2 2 2" xfId="1006"/>
    <cellStyle name="20% - Accent4 3 2 2 2 2" xfId="2572"/>
    <cellStyle name="20% - Accent4 3 2 2 2 2 2" xfId="8857"/>
    <cellStyle name="20% - Accent4 3 2 2 2 2 2 2" xfId="17794"/>
    <cellStyle name="20% - Accent4 3 2 2 2 2 2 3" xfId="17793"/>
    <cellStyle name="20% - Accent4 3 2 2 2 2 3" xfId="5730"/>
    <cellStyle name="20% - Accent4 3 2 2 2 2 3 2" xfId="17796"/>
    <cellStyle name="20% - Accent4 3 2 2 2 2 3 3" xfId="17795"/>
    <cellStyle name="20% - Accent4 3 2 2 2 2 4" xfId="12040"/>
    <cellStyle name="20% - Accent4 3 2 2 2 2 4 2" xfId="17798"/>
    <cellStyle name="20% - Accent4 3 2 2 2 2 4 3" xfId="17797"/>
    <cellStyle name="20% - Accent4 3 2 2 2 2 5" xfId="17799"/>
    <cellStyle name="20% - Accent4 3 2 2 2 2 6" xfId="17792"/>
    <cellStyle name="20% - Accent4 3 2 2 2 3" xfId="7294"/>
    <cellStyle name="20% - Accent4 3 2 2 2 3 2" xfId="17801"/>
    <cellStyle name="20% - Accent4 3 2 2 2 3 3" xfId="17800"/>
    <cellStyle name="20% - Accent4 3 2 2 2 4" xfId="4167"/>
    <cellStyle name="20% - Accent4 3 2 2 2 4 2" xfId="17803"/>
    <cellStyle name="20% - Accent4 3 2 2 2 4 3" xfId="17802"/>
    <cellStyle name="20% - Accent4 3 2 2 2 5" xfId="10477"/>
    <cellStyle name="20% - Accent4 3 2 2 2 5 2" xfId="17805"/>
    <cellStyle name="20% - Accent4 3 2 2 2 5 3" xfId="17804"/>
    <cellStyle name="20% - Accent4 3 2 2 2 6" xfId="17806"/>
    <cellStyle name="20% - Accent4 3 2 2 2 7" xfId="17791"/>
    <cellStyle name="20% - Accent4 3 2 2 3" xfId="1892"/>
    <cellStyle name="20% - Accent4 3 2 2 3 2" xfId="8177"/>
    <cellStyle name="20% - Accent4 3 2 2 3 2 2" xfId="17809"/>
    <cellStyle name="20% - Accent4 3 2 2 3 2 3" xfId="17808"/>
    <cellStyle name="20% - Accent4 3 2 2 3 3" xfId="5050"/>
    <cellStyle name="20% - Accent4 3 2 2 3 3 2" xfId="17811"/>
    <cellStyle name="20% - Accent4 3 2 2 3 3 3" xfId="17810"/>
    <cellStyle name="20% - Accent4 3 2 2 3 4" xfId="11360"/>
    <cellStyle name="20% - Accent4 3 2 2 3 4 2" xfId="17813"/>
    <cellStyle name="20% - Accent4 3 2 2 3 4 3" xfId="17812"/>
    <cellStyle name="20% - Accent4 3 2 2 3 5" xfId="17814"/>
    <cellStyle name="20% - Accent4 3 2 2 3 6" xfId="17807"/>
    <cellStyle name="20% - Accent4 3 2 2 4" xfId="6614"/>
    <cellStyle name="20% - Accent4 3 2 2 4 2" xfId="17816"/>
    <cellStyle name="20% - Accent4 3 2 2 4 3" xfId="17815"/>
    <cellStyle name="20% - Accent4 3 2 2 5" xfId="3487"/>
    <cellStyle name="20% - Accent4 3 2 2 5 2" xfId="17818"/>
    <cellStyle name="20% - Accent4 3 2 2 5 3" xfId="17817"/>
    <cellStyle name="20% - Accent4 3 2 2 6" xfId="9814"/>
    <cellStyle name="20% - Accent4 3 2 2 6 2" xfId="17820"/>
    <cellStyle name="20% - Accent4 3 2 2 6 3" xfId="17819"/>
    <cellStyle name="20% - Accent4 3 2 2 7" xfId="17821"/>
    <cellStyle name="20% - Accent4 3 2 2 8" xfId="17790"/>
    <cellStyle name="20% - Accent4 3 2 3" xfId="892"/>
    <cellStyle name="20% - Accent4 3 2 3 2" xfId="2458"/>
    <cellStyle name="20% - Accent4 3 2 3 2 2" xfId="8743"/>
    <cellStyle name="20% - Accent4 3 2 3 2 2 2" xfId="17825"/>
    <cellStyle name="20% - Accent4 3 2 3 2 2 3" xfId="17824"/>
    <cellStyle name="20% - Accent4 3 2 3 2 3" xfId="5616"/>
    <cellStyle name="20% - Accent4 3 2 3 2 3 2" xfId="17827"/>
    <cellStyle name="20% - Accent4 3 2 3 2 3 3" xfId="17826"/>
    <cellStyle name="20% - Accent4 3 2 3 2 4" xfId="11926"/>
    <cellStyle name="20% - Accent4 3 2 3 2 4 2" xfId="17829"/>
    <cellStyle name="20% - Accent4 3 2 3 2 4 3" xfId="17828"/>
    <cellStyle name="20% - Accent4 3 2 3 2 5" xfId="17830"/>
    <cellStyle name="20% - Accent4 3 2 3 2 6" xfId="17823"/>
    <cellStyle name="20% - Accent4 3 2 3 3" xfId="7180"/>
    <cellStyle name="20% - Accent4 3 2 3 3 2" xfId="17832"/>
    <cellStyle name="20% - Accent4 3 2 3 3 3" xfId="17831"/>
    <cellStyle name="20% - Accent4 3 2 3 4" xfId="4053"/>
    <cellStyle name="20% - Accent4 3 2 3 4 2" xfId="17834"/>
    <cellStyle name="20% - Accent4 3 2 3 4 3" xfId="17833"/>
    <cellStyle name="20% - Accent4 3 2 3 5" xfId="10363"/>
    <cellStyle name="20% - Accent4 3 2 3 5 2" xfId="17836"/>
    <cellStyle name="20% - Accent4 3 2 3 5 3" xfId="17835"/>
    <cellStyle name="20% - Accent4 3 2 3 6" xfId="17837"/>
    <cellStyle name="20% - Accent4 3 2 3 7" xfId="17822"/>
    <cellStyle name="20% - Accent4 3 2 4" xfId="1778"/>
    <cellStyle name="20% - Accent4 3 2 4 2" xfId="8063"/>
    <cellStyle name="20% - Accent4 3 2 4 2 2" xfId="17840"/>
    <cellStyle name="20% - Accent4 3 2 4 2 3" xfId="17839"/>
    <cellStyle name="20% - Accent4 3 2 4 3" xfId="4936"/>
    <cellStyle name="20% - Accent4 3 2 4 3 2" xfId="17842"/>
    <cellStyle name="20% - Accent4 3 2 4 3 3" xfId="17841"/>
    <cellStyle name="20% - Accent4 3 2 4 4" xfId="11246"/>
    <cellStyle name="20% - Accent4 3 2 4 4 2" xfId="17844"/>
    <cellStyle name="20% - Accent4 3 2 4 4 3" xfId="17843"/>
    <cellStyle name="20% - Accent4 3 2 4 5" xfId="17845"/>
    <cellStyle name="20% - Accent4 3 2 4 6" xfId="17838"/>
    <cellStyle name="20% - Accent4 3 2 5" xfId="6500"/>
    <cellStyle name="20% - Accent4 3 2 5 2" xfId="17847"/>
    <cellStyle name="20% - Accent4 3 2 5 3" xfId="17846"/>
    <cellStyle name="20% - Accent4 3 2 6" xfId="3373"/>
    <cellStyle name="20% - Accent4 3 2 6 2" xfId="17849"/>
    <cellStyle name="20% - Accent4 3 2 6 3" xfId="17848"/>
    <cellStyle name="20% - Accent4 3 2 7" xfId="9868"/>
    <cellStyle name="20% - Accent4 3 2 7 2" xfId="17851"/>
    <cellStyle name="20% - Accent4 3 2 7 3" xfId="17850"/>
    <cellStyle name="20% - Accent4 3 2 8" xfId="17852"/>
    <cellStyle name="20% - Accent4 3 2 9" xfId="17789"/>
    <cellStyle name="20% - Accent4 3 3" xfId="232"/>
    <cellStyle name="20% - Accent4 3 3 2" xfId="943"/>
    <cellStyle name="20% - Accent4 3 3 2 2" xfId="2509"/>
    <cellStyle name="20% - Accent4 3 3 2 2 2" xfId="8794"/>
    <cellStyle name="20% - Accent4 3 3 2 2 2 2" xfId="17857"/>
    <cellStyle name="20% - Accent4 3 3 2 2 2 3" xfId="17856"/>
    <cellStyle name="20% - Accent4 3 3 2 2 3" xfId="5667"/>
    <cellStyle name="20% - Accent4 3 3 2 2 3 2" xfId="17859"/>
    <cellStyle name="20% - Accent4 3 3 2 2 3 3" xfId="17858"/>
    <cellStyle name="20% - Accent4 3 3 2 2 4" xfId="11977"/>
    <cellStyle name="20% - Accent4 3 3 2 2 4 2" xfId="17861"/>
    <cellStyle name="20% - Accent4 3 3 2 2 4 3" xfId="17860"/>
    <cellStyle name="20% - Accent4 3 3 2 2 5" xfId="17862"/>
    <cellStyle name="20% - Accent4 3 3 2 2 6" xfId="17855"/>
    <cellStyle name="20% - Accent4 3 3 2 3" xfId="7231"/>
    <cellStyle name="20% - Accent4 3 3 2 3 2" xfId="17864"/>
    <cellStyle name="20% - Accent4 3 3 2 3 3" xfId="17863"/>
    <cellStyle name="20% - Accent4 3 3 2 4" xfId="4104"/>
    <cellStyle name="20% - Accent4 3 3 2 4 2" xfId="17866"/>
    <cellStyle name="20% - Accent4 3 3 2 4 3" xfId="17865"/>
    <cellStyle name="20% - Accent4 3 3 2 5" xfId="10414"/>
    <cellStyle name="20% - Accent4 3 3 2 5 2" xfId="17868"/>
    <cellStyle name="20% - Accent4 3 3 2 5 3" xfId="17867"/>
    <cellStyle name="20% - Accent4 3 3 2 6" xfId="17869"/>
    <cellStyle name="20% - Accent4 3 3 2 7" xfId="17854"/>
    <cellStyle name="20% - Accent4 3 3 3" xfId="1829"/>
    <cellStyle name="20% - Accent4 3 3 3 2" xfId="8114"/>
    <cellStyle name="20% - Accent4 3 3 3 2 2" xfId="17872"/>
    <cellStyle name="20% - Accent4 3 3 3 2 3" xfId="17871"/>
    <cellStyle name="20% - Accent4 3 3 3 3" xfId="4987"/>
    <cellStyle name="20% - Accent4 3 3 3 3 2" xfId="17874"/>
    <cellStyle name="20% - Accent4 3 3 3 3 3" xfId="17873"/>
    <cellStyle name="20% - Accent4 3 3 3 4" xfId="11297"/>
    <cellStyle name="20% - Accent4 3 3 3 4 2" xfId="17876"/>
    <cellStyle name="20% - Accent4 3 3 3 4 3" xfId="17875"/>
    <cellStyle name="20% - Accent4 3 3 3 5" xfId="17877"/>
    <cellStyle name="20% - Accent4 3 3 3 6" xfId="17870"/>
    <cellStyle name="20% - Accent4 3 3 4" xfId="6551"/>
    <cellStyle name="20% - Accent4 3 3 4 2" xfId="17879"/>
    <cellStyle name="20% - Accent4 3 3 4 3" xfId="17878"/>
    <cellStyle name="20% - Accent4 3 3 5" xfId="3424"/>
    <cellStyle name="20% - Accent4 3 3 5 2" xfId="17881"/>
    <cellStyle name="20% - Accent4 3 3 5 3" xfId="17880"/>
    <cellStyle name="20% - Accent4 3 3 6" xfId="9897"/>
    <cellStyle name="20% - Accent4 3 3 6 2" xfId="17883"/>
    <cellStyle name="20% - Accent4 3 3 6 3" xfId="17882"/>
    <cellStyle name="20% - Accent4 3 3 7" xfId="17884"/>
    <cellStyle name="20% - Accent4 3 3 8" xfId="17853"/>
    <cellStyle name="20% - Accent4 3 4" xfId="288"/>
    <cellStyle name="20% - Accent4 3 4 2" xfId="998"/>
    <cellStyle name="20% - Accent4 3 4 2 2" xfId="2564"/>
    <cellStyle name="20% - Accent4 3 4 2 2 2" xfId="8849"/>
    <cellStyle name="20% - Accent4 3 4 2 2 2 2" xfId="17889"/>
    <cellStyle name="20% - Accent4 3 4 2 2 2 3" xfId="17888"/>
    <cellStyle name="20% - Accent4 3 4 2 2 3" xfId="5722"/>
    <cellStyle name="20% - Accent4 3 4 2 2 3 2" xfId="17891"/>
    <cellStyle name="20% - Accent4 3 4 2 2 3 3" xfId="17890"/>
    <cellStyle name="20% - Accent4 3 4 2 2 4" xfId="12032"/>
    <cellStyle name="20% - Accent4 3 4 2 2 4 2" xfId="17893"/>
    <cellStyle name="20% - Accent4 3 4 2 2 4 3" xfId="17892"/>
    <cellStyle name="20% - Accent4 3 4 2 2 5" xfId="17894"/>
    <cellStyle name="20% - Accent4 3 4 2 2 6" xfId="17887"/>
    <cellStyle name="20% - Accent4 3 4 2 3" xfId="7286"/>
    <cellStyle name="20% - Accent4 3 4 2 3 2" xfId="17896"/>
    <cellStyle name="20% - Accent4 3 4 2 3 3" xfId="17895"/>
    <cellStyle name="20% - Accent4 3 4 2 4" xfId="4159"/>
    <cellStyle name="20% - Accent4 3 4 2 4 2" xfId="17898"/>
    <cellStyle name="20% - Accent4 3 4 2 4 3" xfId="17897"/>
    <cellStyle name="20% - Accent4 3 4 2 5" xfId="10469"/>
    <cellStyle name="20% - Accent4 3 4 2 5 2" xfId="17900"/>
    <cellStyle name="20% - Accent4 3 4 2 5 3" xfId="17899"/>
    <cellStyle name="20% - Accent4 3 4 2 6" xfId="17901"/>
    <cellStyle name="20% - Accent4 3 4 2 7" xfId="17886"/>
    <cellStyle name="20% - Accent4 3 4 3" xfId="1884"/>
    <cellStyle name="20% - Accent4 3 4 3 2" xfId="8169"/>
    <cellStyle name="20% - Accent4 3 4 3 2 2" xfId="17904"/>
    <cellStyle name="20% - Accent4 3 4 3 2 3" xfId="17903"/>
    <cellStyle name="20% - Accent4 3 4 3 3" xfId="5042"/>
    <cellStyle name="20% - Accent4 3 4 3 3 2" xfId="17906"/>
    <cellStyle name="20% - Accent4 3 4 3 3 3" xfId="17905"/>
    <cellStyle name="20% - Accent4 3 4 3 4" xfId="11352"/>
    <cellStyle name="20% - Accent4 3 4 3 4 2" xfId="17908"/>
    <cellStyle name="20% - Accent4 3 4 3 4 3" xfId="17907"/>
    <cellStyle name="20% - Accent4 3 4 3 5" xfId="17909"/>
    <cellStyle name="20% - Accent4 3 4 3 6" xfId="17902"/>
    <cellStyle name="20% - Accent4 3 4 4" xfId="6606"/>
    <cellStyle name="20% - Accent4 3 4 4 2" xfId="17911"/>
    <cellStyle name="20% - Accent4 3 4 4 3" xfId="17910"/>
    <cellStyle name="20% - Accent4 3 4 5" xfId="3479"/>
    <cellStyle name="20% - Accent4 3 4 5 2" xfId="17913"/>
    <cellStyle name="20% - Accent4 3 4 5 3" xfId="17912"/>
    <cellStyle name="20% - Accent4 3 4 6" xfId="9850"/>
    <cellStyle name="20% - Accent4 3 4 6 2" xfId="17915"/>
    <cellStyle name="20% - Accent4 3 4 6 3" xfId="17914"/>
    <cellStyle name="20% - Accent4 3 4 7" xfId="17916"/>
    <cellStyle name="20% - Accent4 3 4 8" xfId="17885"/>
    <cellStyle name="20% - Accent4 3 5" xfId="339"/>
    <cellStyle name="20% - Accent4 3 5 2" xfId="1047"/>
    <cellStyle name="20% - Accent4 3 5 2 2" xfId="2613"/>
    <cellStyle name="20% - Accent4 3 5 2 2 2" xfId="8898"/>
    <cellStyle name="20% - Accent4 3 5 2 2 2 2" xfId="17921"/>
    <cellStyle name="20% - Accent4 3 5 2 2 2 3" xfId="17920"/>
    <cellStyle name="20% - Accent4 3 5 2 2 3" xfId="5771"/>
    <cellStyle name="20% - Accent4 3 5 2 2 3 2" xfId="17923"/>
    <cellStyle name="20% - Accent4 3 5 2 2 3 3" xfId="17922"/>
    <cellStyle name="20% - Accent4 3 5 2 2 4" xfId="12081"/>
    <cellStyle name="20% - Accent4 3 5 2 2 4 2" xfId="17925"/>
    <cellStyle name="20% - Accent4 3 5 2 2 4 3" xfId="17924"/>
    <cellStyle name="20% - Accent4 3 5 2 2 5" xfId="17926"/>
    <cellStyle name="20% - Accent4 3 5 2 2 6" xfId="17919"/>
    <cellStyle name="20% - Accent4 3 5 2 3" xfId="7335"/>
    <cellStyle name="20% - Accent4 3 5 2 3 2" xfId="17928"/>
    <cellStyle name="20% - Accent4 3 5 2 3 3" xfId="17927"/>
    <cellStyle name="20% - Accent4 3 5 2 4" xfId="4208"/>
    <cellStyle name="20% - Accent4 3 5 2 4 2" xfId="17930"/>
    <cellStyle name="20% - Accent4 3 5 2 4 3" xfId="17929"/>
    <cellStyle name="20% - Accent4 3 5 2 5" xfId="10518"/>
    <cellStyle name="20% - Accent4 3 5 2 5 2" xfId="17932"/>
    <cellStyle name="20% - Accent4 3 5 2 5 3" xfId="17931"/>
    <cellStyle name="20% - Accent4 3 5 2 6" xfId="17933"/>
    <cellStyle name="20% - Accent4 3 5 2 7" xfId="17918"/>
    <cellStyle name="20% - Accent4 3 5 3" xfId="1933"/>
    <cellStyle name="20% - Accent4 3 5 3 2" xfId="8218"/>
    <cellStyle name="20% - Accent4 3 5 3 2 2" xfId="17936"/>
    <cellStyle name="20% - Accent4 3 5 3 2 3" xfId="17935"/>
    <cellStyle name="20% - Accent4 3 5 3 3" xfId="5091"/>
    <cellStyle name="20% - Accent4 3 5 3 3 2" xfId="17938"/>
    <cellStyle name="20% - Accent4 3 5 3 3 3" xfId="17937"/>
    <cellStyle name="20% - Accent4 3 5 3 4" xfId="11401"/>
    <cellStyle name="20% - Accent4 3 5 3 4 2" xfId="17940"/>
    <cellStyle name="20% - Accent4 3 5 3 4 3" xfId="17939"/>
    <cellStyle name="20% - Accent4 3 5 3 5" xfId="17941"/>
    <cellStyle name="20% - Accent4 3 5 3 6" xfId="17934"/>
    <cellStyle name="20% - Accent4 3 5 4" xfId="6655"/>
    <cellStyle name="20% - Accent4 3 5 4 2" xfId="17943"/>
    <cellStyle name="20% - Accent4 3 5 4 3" xfId="17942"/>
    <cellStyle name="20% - Accent4 3 5 5" xfId="3528"/>
    <cellStyle name="20% - Accent4 3 5 5 2" xfId="17945"/>
    <cellStyle name="20% - Accent4 3 5 5 3" xfId="17944"/>
    <cellStyle name="20% - Accent4 3 5 6" xfId="9960"/>
    <cellStyle name="20% - Accent4 3 5 6 2" xfId="17947"/>
    <cellStyle name="20% - Accent4 3 5 6 3" xfId="17946"/>
    <cellStyle name="20% - Accent4 3 5 7" xfId="17948"/>
    <cellStyle name="20% - Accent4 3 5 8" xfId="17917"/>
    <cellStyle name="20% - Accent4 3 6" xfId="386"/>
    <cellStyle name="20% - Accent4 3 6 2" xfId="1093"/>
    <cellStyle name="20% - Accent4 3 6 2 2" xfId="2658"/>
    <cellStyle name="20% - Accent4 3 6 2 2 2" xfId="8943"/>
    <cellStyle name="20% - Accent4 3 6 2 2 2 2" xfId="17953"/>
    <cellStyle name="20% - Accent4 3 6 2 2 2 3" xfId="17952"/>
    <cellStyle name="20% - Accent4 3 6 2 2 3" xfId="5816"/>
    <cellStyle name="20% - Accent4 3 6 2 2 3 2" xfId="17955"/>
    <cellStyle name="20% - Accent4 3 6 2 2 3 3" xfId="17954"/>
    <cellStyle name="20% - Accent4 3 6 2 2 4" xfId="12126"/>
    <cellStyle name="20% - Accent4 3 6 2 2 4 2" xfId="17957"/>
    <cellStyle name="20% - Accent4 3 6 2 2 4 3" xfId="17956"/>
    <cellStyle name="20% - Accent4 3 6 2 2 5" xfId="17958"/>
    <cellStyle name="20% - Accent4 3 6 2 2 6" xfId="17951"/>
    <cellStyle name="20% - Accent4 3 6 2 3" xfId="7380"/>
    <cellStyle name="20% - Accent4 3 6 2 3 2" xfId="17960"/>
    <cellStyle name="20% - Accent4 3 6 2 3 3" xfId="17959"/>
    <cellStyle name="20% - Accent4 3 6 2 4" xfId="4253"/>
    <cellStyle name="20% - Accent4 3 6 2 4 2" xfId="17962"/>
    <cellStyle name="20% - Accent4 3 6 2 4 3" xfId="17961"/>
    <cellStyle name="20% - Accent4 3 6 2 5" xfId="10563"/>
    <cellStyle name="20% - Accent4 3 6 2 5 2" xfId="17964"/>
    <cellStyle name="20% - Accent4 3 6 2 5 3" xfId="17963"/>
    <cellStyle name="20% - Accent4 3 6 2 6" xfId="17965"/>
    <cellStyle name="20% - Accent4 3 6 2 7" xfId="17950"/>
    <cellStyle name="20% - Accent4 3 6 3" xfId="1978"/>
    <cellStyle name="20% - Accent4 3 6 3 2" xfId="8263"/>
    <cellStyle name="20% - Accent4 3 6 3 2 2" xfId="17968"/>
    <cellStyle name="20% - Accent4 3 6 3 2 3" xfId="17967"/>
    <cellStyle name="20% - Accent4 3 6 3 3" xfId="5136"/>
    <cellStyle name="20% - Accent4 3 6 3 3 2" xfId="17970"/>
    <cellStyle name="20% - Accent4 3 6 3 3 3" xfId="17969"/>
    <cellStyle name="20% - Accent4 3 6 3 4" xfId="11446"/>
    <cellStyle name="20% - Accent4 3 6 3 4 2" xfId="17972"/>
    <cellStyle name="20% - Accent4 3 6 3 4 3" xfId="17971"/>
    <cellStyle name="20% - Accent4 3 6 3 5" xfId="17973"/>
    <cellStyle name="20% - Accent4 3 6 3 6" xfId="17966"/>
    <cellStyle name="20% - Accent4 3 6 4" xfId="6700"/>
    <cellStyle name="20% - Accent4 3 6 4 2" xfId="17975"/>
    <cellStyle name="20% - Accent4 3 6 4 3" xfId="17974"/>
    <cellStyle name="20% - Accent4 3 6 5" xfId="3573"/>
    <cellStyle name="20% - Accent4 3 6 5 2" xfId="17977"/>
    <cellStyle name="20% - Accent4 3 6 5 3" xfId="17976"/>
    <cellStyle name="20% - Accent4 3 6 6" xfId="10006"/>
    <cellStyle name="20% - Accent4 3 6 6 2" xfId="17979"/>
    <cellStyle name="20% - Accent4 3 6 6 3" xfId="17978"/>
    <cellStyle name="20% - Accent4 3 6 7" xfId="17980"/>
    <cellStyle name="20% - Accent4 3 6 8" xfId="17949"/>
    <cellStyle name="20% - Accent4 3 7" xfId="566"/>
    <cellStyle name="20% - Accent4 3 7 2" xfId="1273"/>
    <cellStyle name="20% - Accent4 3 7 2 2" xfId="2838"/>
    <cellStyle name="20% - Accent4 3 7 2 2 2" xfId="9123"/>
    <cellStyle name="20% - Accent4 3 7 2 2 2 2" xfId="17985"/>
    <cellStyle name="20% - Accent4 3 7 2 2 2 3" xfId="17984"/>
    <cellStyle name="20% - Accent4 3 7 2 2 3" xfId="5996"/>
    <cellStyle name="20% - Accent4 3 7 2 2 3 2" xfId="17987"/>
    <cellStyle name="20% - Accent4 3 7 2 2 3 3" xfId="17986"/>
    <cellStyle name="20% - Accent4 3 7 2 2 4" xfId="12306"/>
    <cellStyle name="20% - Accent4 3 7 2 2 4 2" xfId="17989"/>
    <cellStyle name="20% - Accent4 3 7 2 2 4 3" xfId="17988"/>
    <cellStyle name="20% - Accent4 3 7 2 2 5" xfId="17990"/>
    <cellStyle name="20% - Accent4 3 7 2 2 6" xfId="17983"/>
    <cellStyle name="20% - Accent4 3 7 2 3" xfId="7560"/>
    <cellStyle name="20% - Accent4 3 7 2 3 2" xfId="17992"/>
    <cellStyle name="20% - Accent4 3 7 2 3 3" xfId="17991"/>
    <cellStyle name="20% - Accent4 3 7 2 4" xfId="4433"/>
    <cellStyle name="20% - Accent4 3 7 2 4 2" xfId="17994"/>
    <cellStyle name="20% - Accent4 3 7 2 4 3" xfId="17993"/>
    <cellStyle name="20% - Accent4 3 7 2 5" xfId="10743"/>
    <cellStyle name="20% - Accent4 3 7 2 5 2" xfId="17996"/>
    <cellStyle name="20% - Accent4 3 7 2 5 3" xfId="17995"/>
    <cellStyle name="20% - Accent4 3 7 2 6" xfId="17997"/>
    <cellStyle name="20% - Accent4 3 7 2 7" xfId="17982"/>
    <cellStyle name="20% - Accent4 3 7 3" xfId="2158"/>
    <cellStyle name="20% - Accent4 3 7 3 2" xfId="8443"/>
    <cellStyle name="20% - Accent4 3 7 3 2 2" xfId="18000"/>
    <cellStyle name="20% - Accent4 3 7 3 2 3" xfId="17999"/>
    <cellStyle name="20% - Accent4 3 7 3 3" xfId="5316"/>
    <cellStyle name="20% - Accent4 3 7 3 3 2" xfId="18002"/>
    <cellStyle name="20% - Accent4 3 7 3 3 3" xfId="18001"/>
    <cellStyle name="20% - Accent4 3 7 3 4" xfId="11626"/>
    <cellStyle name="20% - Accent4 3 7 3 4 2" xfId="18004"/>
    <cellStyle name="20% - Accent4 3 7 3 4 3" xfId="18003"/>
    <cellStyle name="20% - Accent4 3 7 3 5" xfId="18005"/>
    <cellStyle name="20% - Accent4 3 7 3 6" xfId="17998"/>
    <cellStyle name="20% - Accent4 3 7 4" xfId="6880"/>
    <cellStyle name="20% - Accent4 3 7 4 2" xfId="18007"/>
    <cellStyle name="20% - Accent4 3 7 4 3" xfId="18006"/>
    <cellStyle name="20% - Accent4 3 7 5" xfId="3753"/>
    <cellStyle name="20% - Accent4 3 7 5 2" xfId="18009"/>
    <cellStyle name="20% - Accent4 3 7 5 3" xfId="18008"/>
    <cellStyle name="20% - Accent4 3 7 6" xfId="10185"/>
    <cellStyle name="20% - Accent4 3 7 6 2" xfId="18011"/>
    <cellStyle name="20% - Accent4 3 7 6 3" xfId="18010"/>
    <cellStyle name="20% - Accent4 3 7 7" xfId="18012"/>
    <cellStyle name="20% - Accent4 3 7 8" xfId="17981"/>
    <cellStyle name="20% - Accent4 3 8" xfId="625"/>
    <cellStyle name="20% - Accent4 3 8 2" xfId="1330"/>
    <cellStyle name="20% - Accent4 3 8 2 2" xfId="2895"/>
    <cellStyle name="20% - Accent4 3 8 2 2 2" xfId="9180"/>
    <cellStyle name="20% - Accent4 3 8 2 2 2 2" xfId="18017"/>
    <cellStyle name="20% - Accent4 3 8 2 2 2 3" xfId="18016"/>
    <cellStyle name="20% - Accent4 3 8 2 2 3" xfId="6053"/>
    <cellStyle name="20% - Accent4 3 8 2 2 3 2" xfId="18019"/>
    <cellStyle name="20% - Accent4 3 8 2 2 3 3" xfId="18018"/>
    <cellStyle name="20% - Accent4 3 8 2 2 4" xfId="12363"/>
    <cellStyle name="20% - Accent4 3 8 2 2 4 2" xfId="18021"/>
    <cellStyle name="20% - Accent4 3 8 2 2 4 3" xfId="18020"/>
    <cellStyle name="20% - Accent4 3 8 2 2 5" xfId="18022"/>
    <cellStyle name="20% - Accent4 3 8 2 2 6" xfId="18015"/>
    <cellStyle name="20% - Accent4 3 8 2 3" xfId="7617"/>
    <cellStyle name="20% - Accent4 3 8 2 3 2" xfId="18024"/>
    <cellStyle name="20% - Accent4 3 8 2 3 3" xfId="18023"/>
    <cellStyle name="20% - Accent4 3 8 2 4" xfId="4490"/>
    <cellStyle name="20% - Accent4 3 8 2 4 2" xfId="18026"/>
    <cellStyle name="20% - Accent4 3 8 2 4 3" xfId="18025"/>
    <cellStyle name="20% - Accent4 3 8 2 5" xfId="10800"/>
    <cellStyle name="20% - Accent4 3 8 2 5 2" xfId="18028"/>
    <cellStyle name="20% - Accent4 3 8 2 5 3" xfId="18027"/>
    <cellStyle name="20% - Accent4 3 8 2 6" xfId="18029"/>
    <cellStyle name="20% - Accent4 3 8 2 7" xfId="18014"/>
    <cellStyle name="20% - Accent4 3 8 3" xfId="2215"/>
    <cellStyle name="20% - Accent4 3 8 3 2" xfId="8500"/>
    <cellStyle name="20% - Accent4 3 8 3 2 2" xfId="18032"/>
    <cellStyle name="20% - Accent4 3 8 3 2 3" xfId="18031"/>
    <cellStyle name="20% - Accent4 3 8 3 3" xfId="5373"/>
    <cellStyle name="20% - Accent4 3 8 3 3 2" xfId="18034"/>
    <cellStyle name="20% - Accent4 3 8 3 3 3" xfId="18033"/>
    <cellStyle name="20% - Accent4 3 8 3 4" xfId="11683"/>
    <cellStyle name="20% - Accent4 3 8 3 4 2" xfId="18036"/>
    <cellStyle name="20% - Accent4 3 8 3 4 3" xfId="18035"/>
    <cellStyle name="20% - Accent4 3 8 3 5" xfId="18037"/>
    <cellStyle name="20% - Accent4 3 8 3 6" xfId="18030"/>
    <cellStyle name="20% - Accent4 3 8 4" xfId="6937"/>
    <cellStyle name="20% - Accent4 3 8 4 2" xfId="18039"/>
    <cellStyle name="20% - Accent4 3 8 4 3" xfId="18038"/>
    <cellStyle name="20% - Accent4 3 8 5" xfId="3810"/>
    <cellStyle name="20% - Accent4 3 8 5 2" xfId="18041"/>
    <cellStyle name="20% - Accent4 3 8 5 3" xfId="18040"/>
    <cellStyle name="20% - Accent4 3 8 6" xfId="10243"/>
    <cellStyle name="20% - Accent4 3 8 6 2" xfId="18043"/>
    <cellStyle name="20% - Accent4 3 8 6 3" xfId="18042"/>
    <cellStyle name="20% - Accent4 3 8 7" xfId="18044"/>
    <cellStyle name="20% - Accent4 3 8 8" xfId="18013"/>
    <cellStyle name="20% - Accent4 3 9" xfId="874"/>
    <cellStyle name="20% - Accent4 3 9 2" xfId="2440"/>
    <cellStyle name="20% - Accent4 3 9 2 2" xfId="8725"/>
    <cellStyle name="20% - Accent4 3 9 2 2 2" xfId="18048"/>
    <cellStyle name="20% - Accent4 3 9 2 2 3" xfId="18047"/>
    <cellStyle name="20% - Accent4 3 9 2 3" xfId="5598"/>
    <cellStyle name="20% - Accent4 3 9 2 3 2" xfId="18050"/>
    <cellStyle name="20% - Accent4 3 9 2 3 3" xfId="18049"/>
    <cellStyle name="20% - Accent4 3 9 2 4" xfId="11908"/>
    <cellStyle name="20% - Accent4 3 9 2 4 2" xfId="18052"/>
    <cellStyle name="20% - Accent4 3 9 2 4 3" xfId="18051"/>
    <cellStyle name="20% - Accent4 3 9 2 5" xfId="18053"/>
    <cellStyle name="20% - Accent4 3 9 2 6" xfId="18046"/>
    <cellStyle name="20% - Accent4 3 9 3" xfId="7162"/>
    <cellStyle name="20% - Accent4 3 9 3 2" xfId="18055"/>
    <cellStyle name="20% - Accent4 3 9 3 3" xfId="18054"/>
    <cellStyle name="20% - Accent4 3 9 4" xfId="4035"/>
    <cellStyle name="20% - Accent4 3 9 4 2" xfId="18057"/>
    <cellStyle name="20% - Accent4 3 9 4 3" xfId="18056"/>
    <cellStyle name="20% - Accent4 3 9 5" xfId="10345"/>
    <cellStyle name="20% - Accent4 3 9 5 2" xfId="18059"/>
    <cellStyle name="20% - Accent4 3 9 5 3" xfId="18058"/>
    <cellStyle name="20% - Accent4 3 9 6" xfId="18060"/>
    <cellStyle name="20% - Accent4 3 9 7" xfId="18045"/>
    <cellStyle name="20% - Accent4 4" xfId="157"/>
    <cellStyle name="20% - Accent4 4 10" xfId="6501"/>
    <cellStyle name="20% - Accent4 4 10 2" xfId="18063"/>
    <cellStyle name="20% - Accent4 4 10 3" xfId="18062"/>
    <cellStyle name="20% - Accent4 4 11" xfId="3374"/>
    <cellStyle name="20% - Accent4 4 11 2" xfId="18065"/>
    <cellStyle name="20% - Accent4 4 11 3" xfId="18064"/>
    <cellStyle name="20% - Accent4 4 12" xfId="9601"/>
    <cellStyle name="20% - Accent4 4 12 2" xfId="18067"/>
    <cellStyle name="20% - Accent4 4 12 3" xfId="18066"/>
    <cellStyle name="20% - Accent4 4 13" xfId="18068"/>
    <cellStyle name="20% - Accent4 4 14" xfId="18061"/>
    <cellStyle name="20% - Accent4 4 2" xfId="233"/>
    <cellStyle name="20% - Accent4 4 2 2" xfId="944"/>
    <cellStyle name="20% - Accent4 4 2 2 2" xfId="2510"/>
    <cellStyle name="20% - Accent4 4 2 2 2 2" xfId="8795"/>
    <cellStyle name="20% - Accent4 4 2 2 2 2 2" xfId="18073"/>
    <cellStyle name="20% - Accent4 4 2 2 2 2 3" xfId="18072"/>
    <cellStyle name="20% - Accent4 4 2 2 2 3" xfId="5668"/>
    <cellStyle name="20% - Accent4 4 2 2 2 3 2" xfId="18075"/>
    <cellStyle name="20% - Accent4 4 2 2 2 3 3" xfId="18074"/>
    <cellStyle name="20% - Accent4 4 2 2 2 4" xfId="11978"/>
    <cellStyle name="20% - Accent4 4 2 2 2 4 2" xfId="18077"/>
    <cellStyle name="20% - Accent4 4 2 2 2 4 3" xfId="18076"/>
    <cellStyle name="20% - Accent4 4 2 2 2 5" xfId="18078"/>
    <cellStyle name="20% - Accent4 4 2 2 2 6" xfId="18071"/>
    <cellStyle name="20% - Accent4 4 2 2 3" xfId="7232"/>
    <cellStyle name="20% - Accent4 4 2 2 3 2" xfId="18080"/>
    <cellStyle name="20% - Accent4 4 2 2 3 3" xfId="18079"/>
    <cellStyle name="20% - Accent4 4 2 2 4" xfId="4105"/>
    <cellStyle name="20% - Accent4 4 2 2 4 2" xfId="18082"/>
    <cellStyle name="20% - Accent4 4 2 2 4 3" xfId="18081"/>
    <cellStyle name="20% - Accent4 4 2 2 5" xfId="10415"/>
    <cellStyle name="20% - Accent4 4 2 2 5 2" xfId="18084"/>
    <cellStyle name="20% - Accent4 4 2 2 5 3" xfId="18083"/>
    <cellStyle name="20% - Accent4 4 2 2 6" xfId="18085"/>
    <cellStyle name="20% - Accent4 4 2 2 7" xfId="18070"/>
    <cellStyle name="20% - Accent4 4 2 3" xfId="1830"/>
    <cellStyle name="20% - Accent4 4 2 3 2" xfId="8115"/>
    <cellStyle name="20% - Accent4 4 2 3 2 2" xfId="18088"/>
    <cellStyle name="20% - Accent4 4 2 3 2 3" xfId="18087"/>
    <cellStyle name="20% - Accent4 4 2 3 3" xfId="4988"/>
    <cellStyle name="20% - Accent4 4 2 3 3 2" xfId="18090"/>
    <cellStyle name="20% - Accent4 4 2 3 3 3" xfId="18089"/>
    <cellStyle name="20% - Accent4 4 2 3 4" xfId="11298"/>
    <cellStyle name="20% - Accent4 4 2 3 4 2" xfId="18092"/>
    <cellStyle name="20% - Accent4 4 2 3 4 3" xfId="18091"/>
    <cellStyle name="20% - Accent4 4 2 3 5" xfId="18093"/>
    <cellStyle name="20% - Accent4 4 2 3 6" xfId="18086"/>
    <cellStyle name="20% - Accent4 4 2 4" xfId="6552"/>
    <cellStyle name="20% - Accent4 4 2 4 2" xfId="18095"/>
    <cellStyle name="20% - Accent4 4 2 4 3" xfId="18094"/>
    <cellStyle name="20% - Accent4 4 2 5" xfId="3425"/>
    <cellStyle name="20% - Accent4 4 2 5 2" xfId="18097"/>
    <cellStyle name="20% - Accent4 4 2 5 3" xfId="18096"/>
    <cellStyle name="20% - Accent4 4 2 6" xfId="9856"/>
    <cellStyle name="20% - Accent4 4 2 6 2" xfId="18099"/>
    <cellStyle name="20% - Accent4 4 2 6 3" xfId="18098"/>
    <cellStyle name="20% - Accent4 4 2 7" xfId="18100"/>
    <cellStyle name="20% - Accent4 4 2 8" xfId="18069"/>
    <cellStyle name="20% - Accent4 4 3" xfId="340"/>
    <cellStyle name="20% - Accent4 4 3 2" xfId="1048"/>
    <cellStyle name="20% - Accent4 4 3 2 2" xfId="2614"/>
    <cellStyle name="20% - Accent4 4 3 2 2 2" xfId="8899"/>
    <cellStyle name="20% - Accent4 4 3 2 2 2 2" xfId="18105"/>
    <cellStyle name="20% - Accent4 4 3 2 2 2 3" xfId="18104"/>
    <cellStyle name="20% - Accent4 4 3 2 2 3" xfId="5772"/>
    <cellStyle name="20% - Accent4 4 3 2 2 3 2" xfId="18107"/>
    <cellStyle name="20% - Accent4 4 3 2 2 3 3" xfId="18106"/>
    <cellStyle name="20% - Accent4 4 3 2 2 4" xfId="12082"/>
    <cellStyle name="20% - Accent4 4 3 2 2 4 2" xfId="18109"/>
    <cellStyle name="20% - Accent4 4 3 2 2 4 3" xfId="18108"/>
    <cellStyle name="20% - Accent4 4 3 2 2 5" xfId="18110"/>
    <cellStyle name="20% - Accent4 4 3 2 2 6" xfId="18103"/>
    <cellStyle name="20% - Accent4 4 3 2 3" xfId="7336"/>
    <cellStyle name="20% - Accent4 4 3 2 3 2" xfId="18112"/>
    <cellStyle name="20% - Accent4 4 3 2 3 3" xfId="18111"/>
    <cellStyle name="20% - Accent4 4 3 2 4" xfId="4209"/>
    <cellStyle name="20% - Accent4 4 3 2 4 2" xfId="18114"/>
    <cellStyle name="20% - Accent4 4 3 2 4 3" xfId="18113"/>
    <cellStyle name="20% - Accent4 4 3 2 5" xfId="10519"/>
    <cellStyle name="20% - Accent4 4 3 2 5 2" xfId="18116"/>
    <cellStyle name="20% - Accent4 4 3 2 5 3" xfId="18115"/>
    <cellStyle name="20% - Accent4 4 3 2 6" xfId="18117"/>
    <cellStyle name="20% - Accent4 4 3 2 7" xfId="18102"/>
    <cellStyle name="20% - Accent4 4 3 3" xfId="1934"/>
    <cellStyle name="20% - Accent4 4 3 3 2" xfId="8219"/>
    <cellStyle name="20% - Accent4 4 3 3 2 2" xfId="18120"/>
    <cellStyle name="20% - Accent4 4 3 3 2 3" xfId="18119"/>
    <cellStyle name="20% - Accent4 4 3 3 3" xfId="5092"/>
    <cellStyle name="20% - Accent4 4 3 3 3 2" xfId="18122"/>
    <cellStyle name="20% - Accent4 4 3 3 3 3" xfId="18121"/>
    <cellStyle name="20% - Accent4 4 3 3 4" xfId="11402"/>
    <cellStyle name="20% - Accent4 4 3 3 4 2" xfId="18124"/>
    <cellStyle name="20% - Accent4 4 3 3 4 3" xfId="18123"/>
    <cellStyle name="20% - Accent4 4 3 3 5" xfId="18125"/>
    <cellStyle name="20% - Accent4 4 3 3 6" xfId="18118"/>
    <cellStyle name="20% - Accent4 4 3 4" xfId="6656"/>
    <cellStyle name="20% - Accent4 4 3 4 2" xfId="18127"/>
    <cellStyle name="20% - Accent4 4 3 4 3" xfId="18126"/>
    <cellStyle name="20% - Accent4 4 3 5" xfId="3529"/>
    <cellStyle name="20% - Accent4 4 3 5 2" xfId="18129"/>
    <cellStyle name="20% - Accent4 4 3 5 3" xfId="18128"/>
    <cellStyle name="20% - Accent4 4 3 6" xfId="9961"/>
    <cellStyle name="20% - Accent4 4 3 6 2" xfId="18131"/>
    <cellStyle name="20% - Accent4 4 3 6 3" xfId="18130"/>
    <cellStyle name="20% - Accent4 4 3 7" xfId="18132"/>
    <cellStyle name="20% - Accent4 4 3 8" xfId="18101"/>
    <cellStyle name="20% - Accent4 4 4" xfId="387"/>
    <cellStyle name="20% - Accent4 4 4 2" xfId="1094"/>
    <cellStyle name="20% - Accent4 4 4 2 2" xfId="2659"/>
    <cellStyle name="20% - Accent4 4 4 2 2 2" xfId="8944"/>
    <cellStyle name="20% - Accent4 4 4 2 2 2 2" xfId="18137"/>
    <cellStyle name="20% - Accent4 4 4 2 2 2 3" xfId="18136"/>
    <cellStyle name="20% - Accent4 4 4 2 2 3" xfId="5817"/>
    <cellStyle name="20% - Accent4 4 4 2 2 3 2" xfId="18139"/>
    <cellStyle name="20% - Accent4 4 4 2 2 3 3" xfId="18138"/>
    <cellStyle name="20% - Accent4 4 4 2 2 4" xfId="12127"/>
    <cellStyle name="20% - Accent4 4 4 2 2 4 2" xfId="18141"/>
    <cellStyle name="20% - Accent4 4 4 2 2 4 3" xfId="18140"/>
    <cellStyle name="20% - Accent4 4 4 2 2 5" xfId="18142"/>
    <cellStyle name="20% - Accent4 4 4 2 2 6" xfId="18135"/>
    <cellStyle name="20% - Accent4 4 4 2 3" xfId="7381"/>
    <cellStyle name="20% - Accent4 4 4 2 3 2" xfId="18144"/>
    <cellStyle name="20% - Accent4 4 4 2 3 3" xfId="18143"/>
    <cellStyle name="20% - Accent4 4 4 2 4" xfId="4254"/>
    <cellStyle name="20% - Accent4 4 4 2 4 2" xfId="18146"/>
    <cellStyle name="20% - Accent4 4 4 2 4 3" xfId="18145"/>
    <cellStyle name="20% - Accent4 4 4 2 5" xfId="10564"/>
    <cellStyle name="20% - Accent4 4 4 2 5 2" xfId="18148"/>
    <cellStyle name="20% - Accent4 4 4 2 5 3" xfId="18147"/>
    <cellStyle name="20% - Accent4 4 4 2 6" xfId="18149"/>
    <cellStyle name="20% - Accent4 4 4 2 7" xfId="18134"/>
    <cellStyle name="20% - Accent4 4 4 3" xfId="1979"/>
    <cellStyle name="20% - Accent4 4 4 3 2" xfId="8264"/>
    <cellStyle name="20% - Accent4 4 4 3 2 2" xfId="18152"/>
    <cellStyle name="20% - Accent4 4 4 3 2 3" xfId="18151"/>
    <cellStyle name="20% - Accent4 4 4 3 3" xfId="5137"/>
    <cellStyle name="20% - Accent4 4 4 3 3 2" xfId="18154"/>
    <cellStyle name="20% - Accent4 4 4 3 3 3" xfId="18153"/>
    <cellStyle name="20% - Accent4 4 4 3 4" xfId="11447"/>
    <cellStyle name="20% - Accent4 4 4 3 4 2" xfId="18156"/>
    <cellStyle name="20% - Accent4 4 4 3 4 3" xfId="18155"/>
    <cellStyle name="20% - Accent4 4 4 3 5" xfId="18157"/>
    <cellStyle name="20% - Accent4 4 4 3 6" xfId="18150"/>
    <cellStyle name="20% - Accent4 4 4 4" xfId="6701"/>
    <cellStyle name="20% - Accent4 4 4 4 2" xfId="18159"/>
    <cellStyle name="20% - Accent4 4 4 4 3" xfId="18158"/>
    <cellStyle name="20% - Accent4 4 4 5" xfId="3574"/>
    <cellStyle name="20% - Accent4 4 4 5 2" xfId="18161"/>
    <cellStyle name="20% - Accent4 4 4 5 3" xfId="18160"/>
    <cellStyle name="20% - Accent4 4 4 6" xfId="10007"/>
    <cellStyle name="20% - Accent4 4 4 6 2" xfId="18163"/>
    <cellStyle name="20% - Accent4 4 4 6 3" xfId="18162"/>
    <cellStyle name="20% - Accent4 4 4 7" xfId="18164"/>
    <cellStyle name="20% - Accent4 4 4 8" xfId="18133"/>
    <cellStyle name="20% - Accent4 4 5" xfId="567"/>
    <cellStyle name="20% - Accent4 4 5 2" xfId="1274"/>
    <cellStyle name="20% - Accent4 4 5 2 2" xfId="2839"/>
    <cellStyle name="20% - Accent4 4 5 2 2 2" xfId="9124"/>
    <cellStyle name="20% - Accent4 4 5 2 2 2 2" xfId="18169"/>
    <cellStyle name="20% - Accent4 4 5 2 2 2 3" xfId="18168"/>
    <cellStyle name="20% - Accent4 4 5 2 2 3" xfId="5997"/>
    <cellStyle name="20% - Accent4 4 5 2 2 3 2" xfId="18171"/>
    <cellStyle name="20% - Accent4 4 5 2 2 3 3" xfId="18170"/>
    <cellStyle name="20% - Accent4 4 5 2 2 4" xfId="12307"/>
    <cellStyle name="20% - Accent4 4 5 2 2 4 2" xfId="18173"/>
    <cellStyle name="20% - Accent4 4 5 2 2 4 3" xfId="18172"/>
    <cellStyle name="20% - Accent4 4 5 2 2 5" xfId="18174"/>
    <cellStyle name="20% - Accent4 4 5 2 2 6" xfId="18167"/>
    <cellStyle name="20% - Accent4 4 5 2 3" xfId="7561"/>
    <cellStyle name="20% - Accent4 4 5 2 3 2" xfId="18176"/>
    <cellStyle name="20% - Accent4 4 5 2 3 3" xfId="18175"/>
    <cellStyle name="20% - Accent4 4 5 2 4" xfId="4434"/>
    <cellStyle name="20% - Accent4 4 5 2 4 2" xfId="18178"/>
    <cellStyle name="20% - Accent4 4 5 2 4 3" xfId="18177"/>
    <cellStyle name="20% - Accent4 4 5 2 5" xfId="10744"/>
    <cellStyle name="20% - Accent4 4 5 2 5 2" xfId="18180"/>
    <cellStyle name="20% - Accent4 4 5 2 5 3" xfId="18179"/>
    <cellStyle name="20% - Accent4 4 5 2 6" xfId="18181"/>
    <cellStyle name="20% - Accent4 4 5 2 7" xfId="18166"/>
    <cellStyle name="20% - Accent4 4 5 3" xfId="2159"/>
    <cellStyle name="20% - Accent4 4 5 3 2" xfId="8444"/>
    <cellStyle name="20% - Accent4 4 5 3 2 2" xfId="18184"/>
    <cellStyle name="20% - Accent4 4 5 3 2 3" xfId="18183"/>
    <cellStyle name="20% - Accent4 4 5 3 3" xfId="5317"/>
    <cellStyle name="20% - Accent4 4 5 3 3 2" xfId="18186"/>
    <cellStyle name="20% - Accent4 4 5 3 3 3" xfId="18185"/>
    <cellStyle name="20% - Accent4 4 5 3 4" xfId="11627"/>
    <cellStyle name="20% - Accent4 4 5 3 4 2" xfId="18188"/>
    <cellStyle name="20% - Accent4 4 5 3 4 3" xfId="18187"/>
    <cellStyle name="20% - Accent4 4 5 3 5" xfId="18189"/>
    <cellStyle name="20% - Accent4 4 5 3 6" xfId="18182"/>
    <cellStyle name="20% - Accent4 4 5 4" xfId="6881"/>
    <cellStyle name="20% - Accent4 4 5 4 2" xfId="18191"/>
    <cellStyle name="20% - Accent4 4 5 4 3" xfId="18190"/>
    <cellStyle name="20% - Accent4 4 5 5" xfId="3754"/>
    <cellStyle name="20% - Accent4 4 5 5 2" xfId="18193"/>
    <cellStyle name="20% - Accent4 4 5 5 3" xfId="18192"/>
    <cellStyle name="20% - Accent4 4 5 6" xfId="10186"/>
    <cellStyle name="20% - Accent4 4 5 6 2" xfId="18195"/>
    <cellStyle name="20% - Accent4 4 5 6 3" xfId="18194"/>
    <cellStyle name="20% - Accent4 4 5 7" xfId="18196"/>
    <cellStyle name="20% - Accent4 4 5 8" xfId="18165"/>
    <cellStyle name="20% - Accent4 4 6" xfId="626"/>
    <cellStyle name="20% - Accent4 4 6 2" xfId="1331"/>
    <cellStyle name="20% - Accent4 4 6 2 2" xfId="2896"/>
    <cellStyle name="20% - Accent4 4 6 2 2 2" xfId="9181"/>
    <cellStyle name="20% - Accent4 4 6 2 2 2 2" xfId="18201"/>
    <cellStyle name="20% - Accent4 4 6 2 2 2 3" xfId="18200"/>
    <cellStyle name="20% - Accent4 4 6 2 2 3" xfId="6054"/>
    <cellStyle name="20% - Accent4 4 6 2 2 3 2" xfId="18203"/>
    <cellStyle name="20% - Accent4 4 6 2 2 3 3" xfId="18202"/>
    <cellStyle name="20% - Accent4 4 6 2 2 4" xfId="12364"/>
    <cellStyle name="20% - Accent4 4 6 2 2 4 2" xfId="18205"/>
    <cellStyle name="20% - Accent4 4 6 2 2 4 3" xfId="18204"/>
    <cellStyle name="20% - Accent4 4 6 2 2 5" xfId="18206"/>
    <cellStyle name="20% - Accent4 4 6 2 2 6" xfId="18199"/>
    <cellStyle name="20% - Accent4 4 6 2 3" xfId="7618"/>
    <cellStyle name="20% - Accent4 4 6 2 3 2" xfId="18208"/>
    <cellStyle name="20% - Accent4 4 6 2 3 3" xfId="18207"/>
    <cellStyle name="20% - Accent4 4 6 2 4" xfId="4491"/>
    <cellStyle name="20% - Accent4 4 6 2 4 2" xfId="18210"/>
    <cellStyle name="20% - Accent4 4 6 2 4 3" xfId="18209"/>
    <cellStyle name="20% - Accent4 4 6 2 5" xfId="10801"/>
    <cellStyle name="20% - Accent4 4 6 2 5 2" xfId="18212"/>
    <cellStyle name="20% - Accent4 4 6 2 5 3" xfId="18211"/>
    <cellStyle name="20% - Accent4 4 6 2 6" xfId="18213"/>
    <cellStyle name="20% - Accent4 4 6 2 7" xfId="18198"/>
    <cellStyle name="20% - Accent4 4 6 3" xfId="2216"/>
    <cellStyle name="20% - Accent4 4 6 3 2" xfId="8501"/>
    <cellStyle name="20% - Accent4 4 6 3 2 2" xfId="18216"/>
    <cellStyle name="20% - Accent4 4 6 3 2 3" xfId="18215"/>
    <cellStyle name="20% - Accent4 4 6 3 3" xfId="5374"/>
    <cellStyle name="20% - Accent4 4 6 3 3 2" xfId="18218"/>
    <cellStyle name="20% - Accent4 4 6 3 3 3" xfId="18217"/>
    <cellStyle name="20% - Accent4 4 6 3 4" xfId="11684"/>
    <cellStyle name="20% - Accent4 4 6 3 4 2" xfId="18220"/>
    <cellStyle name="20% - Accent4 4 6 3 4 3" xfId="18219"/>
    <cellStyle name="20% - Accent4 4 6 3 5" xfId="18221"/>
    <cellStyle name="20% - Accent4 4 6 3 6" xfId="18214"/>
    <cellStyle name="20% - Accent4 4 6 4" xfId="6938"/>
    <cellStyle name="20% - Accent4 4 6 4 2" xfId="18223"/>
    <cellStyle name="20% - Accent4 4 6 4 3" xfId="18222"/>
    <cellStyle name="20% - Accent4 4 6 5" xfId="3811"/>
    <cellStyle name="20% - Accent4 4 6 5 2" xfId="18225"/>
    <cellStyle name="20% - Accent4 4 6 5 3" xfId="18224"/>
    <cellStyle name="20% - Accent4 4 6 6" xfId="10244"/>
    <cellStyle name="20% - Accent4 4 6 6 2" xfId="18227"/>
    <cellStyle name="20% - Accent4 4 6 6 3" xfId="18226"/>
    <cellStyle name="20% - Accent4 4 6 7" xfId="18228"/>
    <cellStyle name="20% - Accent4 4 6 8" xfId="18197"/>
    <cellStyle name="20% - Accent4 4 7" xfId="893"/>
    <cellStyle name="20% - Accent4 4 7 2" xfId="2459"/>
    <cellStyle name="20% - Accent4 4 7 2 2" xfId="8744"/>
    <cellStyle name="20% - Accent4 4 7 2 2 2" xfId="18232"/>
    <cellStyle name="20% - Accent4 4 7 2 2 3" xfId="18231"/>
    <cellStyle name="20% - Accent4 4 7 2 3" xfId="5617"/>
    <cellStyle name="20% - Accent4 4 7 2 3 2" xfId="18234"/>
    <cellStyle name="20% - Accent4 4 7 2 3 3" xfId="18233"/>
    <cellStyle name="20% - Accent4 4 7 2 4" xfId="11927"/>
    <cellStyle name="20% - Accent4 4 7 2 4 2" xfId="18236"/>
    <cellStyle name="20% - Accent4 4 7 2 4 3" xfId="18235"/>
    <cellStyle name="20% - Accent4 4 7 2 5" xfId="18237"/>
    <cellStyle name="20% - Accent4 4 7 2 6" xfId="18230"/>
    <cellStyle name="20% - Accent4 4 7 3" xfId="7181"/>
    <cellStyle name="20% - Accent4 4 7 3 2" xfId="18239"/>
    <cellStyle name="20% - Accent4 4 7 3 3" xfId="18238"/>
    <cellStyle name="20% - Accent4 4 7 4" xfId="4054"/>
    <cellStyle name="20% - Accent4 4 7 4 2" xfId="18241"/>
    <cellStyle name="20% - Accent4 4 7 4 3" xfId="18240"/>
    <cellStyle name="20% - Accent4 4 7 5" xfId="10364"/>
    <cellStyle name="20% - Accent4 4 7 5 2" xfId="18243"/>
    <cellStyle name="20% - Accent4 4 7 5 3" xfId="18242"/>
    <cellStyle name="20% - Accent4 4 7 6" xfId="18244"/>
    <cellStyle name="20% - Accent4 4 7 7" xfId="18229"/>
    <cellStyle name="20% - Accent4 4 8" xfId="1533"/>
    <cellStyle name="20% - Accent4 4 8 2" xfId="3098"/>
    <cellStyle name="20% - Accent4 4 8 2 2" xfId="9383"/>
    <cellStyle name="20% - Accent4 4 8 2 2 2" xfId="18248"/>
    <cellStyle name="20% - Accent4 4 8 2 2 3" xfId="18247"/>
    <cellStyle name="20% - Accent4 4 8 2 3" xfId="6256"/>
    <cellStyle name="20% - Accent4 4 8 2 3 2" xfId="18250"/>
    <cellStyle name="20% - Accent4 4 8 2 3 3" xfId="18249"/>
    <cellStyle name="20% - Accent4 4 8 2 4" xfId="12566"/>
    <cellStyle name="20% - Accent4 4 8 2 4 2" xfId="18252"/>
    <cellStyle name="20% - Accent4 4 8 2 4 3" xfId="18251"/>
    <cellStyle name="20% - Accent4 4 8 2 5" xfId="18253"/>
    <cellStyle name="20% - Accent4 4 8 2 6" xfId="18246"/>
    <cellStyle name="20% - Accent4 4 8 3" xfId="7820"/>
    <cellStyle name="20% - Accent4 4 8 3 2" xfId="18255"/>
    <cellStyle name="20% - Accent4 4 8 3 3" xfId="18254"/>
    <cellStyle name="20% - Accent4 4 8 4" xfId="4693"/>
    <cellStyle name="20% - Accent4 4 8 4 2" xfId="18257"/>
    <cellStyle name="20% - Accent4 4 8 4 3" xfId="18256"/>
    <cellStyle name="20% - Accent4 4 8 5" xfId="11003"/>
    <cellStyle name="20% - Accent4 4 8 5 2" xfId="18259"/>
    <cellStyle name="20% - Accent4 4 8 5 3" xfId="18258"/>
    <cellStyle name="20% - Accent4 4 8 6" xfId="18260"/>
    <cellStyle name="20% - Accent4 4 8 7" xfId="18245"/>
    <cellStyle name="20% - Accent4 4 9" xfId="1779"/>
    <cellStyle name="20% - Accent4 4 9 2" xfId="8064"/>
    <cellStyle name="20% - Accent4 4 9 2 2" xfId="18263"/>
    <cellStyle name="20% - Accent4 4 9 2 3" xfId="18262"/>
    <cellStyle name="20% - Accent4 4 9 3" xfId="4937"/>
    <cellStyle name="20% - Accent4 4 9 3 2" xfId="18265"/>
    <cellStyle name="20% - Accent4 4 9 3 3" xfId="18264"/>
    <cellStyle name="20% - Accent4 4 9 4" xfId="11247"/>
    <cellStyle name="20% - Accent4 4 9 4 2" xfId="18267"/>
    <cellStyle name="20% - Accent4 4 9 4 3" xfId="18266"/>
    <cellStyle name="20% - Accent4 4 9 5" xfId="18268"/>
    <cellStyle name="20% - Accent4 4 9 6" xfId="18261"/>
    <cellStyle name="20% - Accent4 5" xfId="192"/>
    <cellStyle name="20% - Accent4 5 2" xfId="320"/>
    <cellStyle name="20% - Accent4 5 2 2" xfId="1030"/>
    <cellStyle name="20% - Accent4 5 2 2 2" xfId="2596"/>
    <cellStyle name="20% - Accent4 5 2 2 2 2" xfId="8881"/>
    <cellStyle name="20% - Accent4 5 2 2 2 2 2" xfId="18274"/>
    <cellStyle name="20% - Accent4 5 2 2 2 2 3" xfId="18273"/>
    <cellStyle name="20% - Accent4 5 2 2 2 3" xfId="5754"/>
    <cellStyle name="20% - Accent4 5 2 2 2 3 2" xfId="18276"/>
    <cellStyle name="20% - Accent4 5 2 2 2 3 3" xfId="18275"/>
    <cellStyle name="20% - Accent4 5 2 2 2 4" xfId="12064"/>
    <cellStyle name="20% - Accent4 5 2 2 2 4 2" xfId="18278"/>
    <cellStyle name="20% - Accent4 5 2 2 2 4 3" xfId="18277"/>
    <cellStyle name="20% - Accent4 5 2 2 2 5" xfId="18279"/>
    <cellStyle name="20% - Accent4 5 2 2 2 6" xfId="18272"/>
    <cellStyle name="20% - Accent4 5 2 2 3" xfId="7318"/>
    <cellStyle name="20% - Accent4 5 2 2 3 2" xfId="18281"/>
    <cellStyle name="20% - Accent4 5 2 2 3 3" xfId="18280"/>
    <cellStyle name="20% - Accent4 5 2 2 4" xfId="4191"/>
    <cellStyle name="20% - Accent4 5 2 2 4 2" xfId="18283"/>
    <cellStyle name="20% - Accent4 5 2 2 4 3" xfId="18282"/>
    <cellStyle name="20% - Accent4 5 2 2 5" xfId="10501"/>
    <cellStyle name="20% - Accent4 5 2 2 5 2" xfId="18285"/>
    <cellStyle name="20% - Accent4 5 2 2 5 3" xfId="18284"/>
    <cellStyle name="20% - Accent4 5 2 2 6" xfId="18286"/>
    <cellStyle name="20% - Accent4 5 2 2 7" xfId="18271"/>
    <cellStyle name="20% - Accent4 5 2 3" xfId="1916"/>
    <cellStyle name="20% - Accent4 5 2 3 2" xfId="8201"/>
    <cellStyle name="20% - Accent4 5 2 3 2 2" xfId="18289"/>
    <cellStyle name="20% - Accent4 5 2 3 2 3" xfId="18288"/>
    <cellStyle name="20% - Accent4 5 2 3 3" xfId="5074"/>
    <cellStyle name="20% - Accent4 5 2 3 3 2" xfId="18291"/>
    <cellStyle name="20% - Accent4 5 2 3 3 3" xfId="18290"/>
    <cellStyle name="20% - Accent4 5 2 3 4" xfId="11384"/>
    <cellStyle name="20% - Accent4 5 2 3 4 2" xfId="18293"/>
    <cellStyle name="20% - Accent4 5 2 3 4 3" xfId="18292"/>
    <cellStyle name="20% - Accent4 5 2 3 5" xfId="18294"/>
    <cellStyle name="20% - Accent4 5 2 3 6" xfId="18287"/>
    <cellStyle name="20% - Accent4 5 2 4" xfId="6638"/>
    <cellStyle name="20% - Accent4 5 2 4 2" xfId="18296"/>
    <cellStyle name="20% - Accent4 5 2 4 3" xfId="18295"/>
    <cellStyle name="20% - Accent4 5 2 5" xfId="3511"/>
    <cellStyle name="20% - Accent4 5 2 5 2" xfId="18298"/>
    <cellStyle name="20% - Accent4 5 2 5 3" xfId="18297"/>
    <cellStyle name="20% - Accent4 5 2 6" xfId="9798"/>
    <cellStyle name="20% - Accent4 5 2 6 2" xfId="18300"/>
    <cellStyle name="20% - Accent4 5 2 6 3" xfId="18299"/>
    <cellStyle name="20% - Accent4 5 2 7" xfId="18301"/>
    <cellStyle name="20% - Accent4 5 2 8" xfId="18270"/>
    <cellStyle name="20% - Accent4 5 3" xfId="925"/>
    <cellStyle name="20% - Accent4 5 3 2" xfId="2491"/>
    <cellStyle name="20% - Accent4 5 3 2 2" xfId="8776"/>
    <cellStyle name="20% - Accent4 5 3 2 2 2" xfId="18305"/>
    <cellStyle name="20% - Accent4 5 3 2 2 3" xfId="18304"/>
    <cellStyle name="20% - Accent4 5 3 2 3" xfId="5649"/>
    <cellStyle name="20% - Accent4 5 3 2 3 2" xfId="18307"/>
    <cellStyle name="20% - Accent4 5 3 2 3 3" xfId="18306"/>
    <cellStyle name="20% - Accent4 5 3 2 4" xfId="11959"/>
    <cellStyle name="20% - Accent4 5 3 2 4 2" xfId="18309"/>
    <cellStyle name="20% - Accent4 5 3 2 4 3" xfId="18308"/>
    <cellStyle name="20% - Accent4 5 3 2 5" xfId="18310"/>
    <cellStyle name="20% - Accent4 5 3 2 6" xfId="18303"/>
    <cellStyle name="20% - Accent4 5 3 3" xfId="7213"/>
    <cellStyle name="20% - Accent4 5 3 3 2" xfId="18312"/>
    <cellStyle name="20% - Accent4 5 3 3 3" xfId="18311"/>
    <cellStyle name="20% - Accent4 5 3 4" xfId="4086"/>
    <cellStyle name="20% - Accent4 5 3 4 2" xfId="18314"/>
    <cellStyle name="20% - Accent4 5 3 4 3" xfId="18313"/>
    <cellStyle name="20% - Accent4 5 3 5" xfId="10396"/>
    <cellStyle name="20% - Accent4 5 3 5 2" xfId="18316"/>
    <cellStyle name="20% - Accent4 5 3 5 3" xfId="18315"/>
    <cellStyle name="20% - Accent4 5 3 6" xfId="18317"/>
    <cellStyle name="20% - Accent4 5 3 7" xfId="18302"/>
    <cellStyle name="20% - Accent4 5 4" xfId="1811"/>
    <cellStyle name="20% - Accent4 5 4 2" xfId="8096"/>
    <cellStyle name="20% - Accent4 5 4 2 2" xfId="18320"/>
    <cellStyle name="20% - Accent4 5 4 2 3" xfId="18319"/>
    <cellStyle name="20% - Accent4 5 4 3" xfId="4969"/>
    <cellStyle name="20% - Accent4 5 4 3 2" xfId="18322"/>
    <cellStyle name="20% - Accent4 5 4 3 3" xfId="18321"/>
    <cellStyle name="20% - Accent4 5 4 4" xfId="11279"/>
    <cellStyle name="20% - Accent4 5 4 4 2" xfId="18324"/>
    <cellStyle name="20% - Accent4 5 4 4 3" xfId="18323"/>
    <cellStyle name="20% - Accent4 5 4 5" xfId="18325"/>
    <cellStyle name="20% - Accent4 5 4 6" xfId="18318"/>
    <cellStyle name="20% - Accent4 5 5" xfId="6533"/>
    <cellStyle name="20% - Accent4 5 5 2" xfId="18327"/>
    <cellStyle name="20% - Accent4 5 5 3" xfId="18326"/>
    <cellStyle name="20% - Accent4 5 6" xfId="3406"/>
    <cellStyle name="20% - Accent4 5 6 2" xfId="18329"/>
    <cellStyle name="20% - Accent4 5 6 3" xfId="18328"/>
    <cellStyle name="20% - Accent4 5 7" xfId="9822"/>
    <cellStyle name="20% - Accent4 5 7 2" xfId="18331"/>
    <cellStyle name="20% - Accent4 5 7 3" xfId="18330"/>
    <cellStyle name="20% - Accent4 5 8" xfId="18332"/>
    <cellStyle name="20% - Accent4 5 9" xfId="18269"/>
    <cellStyle name="20% - Accent4 6" xfId="267"/>
    <cellStyle name="20% - Accent4 6 2" xfId="978"/>
    <cellStyle name="20% - Accent4 6 2 2" xfId="2544"/>
    <cellStyle name="20% - Accent4 6 2 2 2" xfId="8829"/>
    <cellStyle name="20% - Accent4 6 2 2 2 2" xfId="18337"/>
    <cellStyle name="20% - Accent4 6 2 2 2 3" xfId="18336"/>
    <cellStyle name="20% - Accent4 6 2 2 3" xfId="5702"/>
    <cellStyle name="20% - Accent4 6 2 2 3 2" xfId="18339"/>
    <cellStyle name="20% - Accent4 6 2 2 3 3" xfId="18338"/>
    <cellStyle name="20% - Accent4 6 2 2 4" xfId="12012"/>
    <cellStyle name="20% - Accent4 6 2 2 4 2" xfId="18341"/>
    <cellStyle name="20% - Accent4 6 2 2 4 3" xfId="18340"/>
    <cellStyle name="20% - Accent4 6 2 2 5" xfId="18342"/>
    <cellStyle name="20% - Accent4 6 2 2 6" xfId="18335"/>
    <cellStyle name="20% - Accent4 6 2 3" xfId="7266"/>
    <cellStyle name="20% - Accent4 6 2 3 2" xfId="18344"/>
    <cellStyle name="20% - Accent4 6 2 3 3" xfId="18343"/>
    <cellStyle name="20% - Accent4 6 2 4" xfId="4139"/>
    <cellStyle name="20% - Accent4 6 2 4 2" xfId="18346"/>
    <cellStyle name="20% - Accent4 6 2 4 3" xfId="18345"/>
    <cellStyle name="20% - Accent4 6 2 5" xfId="10449"/>
    <cellStyle name="20% - Accent4 6 2 5 2" xfId="18348"/>
    <cellStyle name="20% - Accent4 6 2 5 3" xfId="18347"/>
    <cellStyle name="20% - Accent4 6 2 6" xfId="18349"/>
    <cellStyle name="20% - Accent4 6 2 7" xfId="18334"/>
    <cellStyle name="20% - Accent4 6 3" xfId="1864"/>
    <cellStyle name="20% - Accent4 6 3 2" xfId="8149"/>
    <cellStyle name="20% - Accent4 6 3 2 2" xfId="18352"/>
    <cellStyle name="20% - Accent4 6 3 2 3" xfId="18351"/>
    <cellStyle name="20% - Accent4 6 3 3" xfId="5022"/>
    <cellStyle name="20% - Accent4 6 3 3 2" xfId="18354"/>
    <cellStyle name="20% - Accent4 6 3 3 3" xfId="18353"/>
    <cellStyle name="20% - Accent4 6 3 4" xfId="11332"/>
    <cellStyle name="20% - Accent4 6 3 4 2" xfId="18356"/>
    <cellStyle name="20% - Accent4 6 3 4 3" xfId="18355"/>
    <cellStyle name="20% - Accent4 6 3 5" xfId="18357"/>
    <cellStyle name="20% - Accent4 6 3 6" xfId="18350"/>
    <cellStyle name="20% - Accent4 6 4" xfId="6586"/>
    <cellStyle name="20% - Accent4 6 4 2" xfId="18359"/>
    <cellStyle name="20% - Accent4 6 4 3" xfId="18358"/>
    <cellStyle name="20% - Accent4 6 5" xfId="3459"/>
    <cellStyle name="20% - Accent4 6 5 2" xfId="18361"/>
    <cellStyle name="20% - Accent4 6 5 3" xfId="18360"/>
    <cellStyle name="20% - Accent4 6 6" xfId="9874"/>
    <cellStyle name="20% - Accent4 6 6 2" xfId="18363"/>
    <cellStyle name="20% - Accent4 6 6 3" xfId="18362"/>
    <cellStyle name="20% - Accent4 6 7" xfId="18364"/>
    <cellStyle name="20% - Accent4 6 8" xfId="18333"/>
    <cellStyle name="20% - Accent4 7" xfId="374"/>
    <cellStyle name="20% - Accent4 7 2" xfId="1082"/>
    <cellStyle name="20% - Accent4 7 2 2" xfId="2648"/>
    <cellStyle name="20% - Accent4 7 2 2 2" xfId="8933"/>
    <cellStyle name="20% - Accent4 7 2 2 2 2" xfId="18369"/>
    <cellStyle name="20% - Accent4 7 2 2 2 3" xfId="18368"/>
    <cellStyle name="20% - Accent4 7 2 2 3" xfId="5806"/>
    <cellStyle name="20% - Accent4 7 2 2 3 2" xfId="18371"/>
    <cellStyle name="20% - Accent4 7 2 2 3 3" xfId="18370"/>
    <cellStyle name="20% - Accent4 7 2 2 4" xfId="12116"/>
    <cellStyle name="20% - Accent4 7 2 2 4 2" xfId="18373"/>
    <cellStyle name="20% - Accent4 7 2 2 4 3" xfId="18372"/>
    <cellStyle name="20% - Accent4 7 2 2 5" xfId="18374"/>
    <cellStyle name="20% - Accent4 7 2 2 6" xfId="18367"/>
    <cellStyle name="20% - Accent4 7 2 3" xfId="7370"/>
    <cellStyle name="20% - Accent4 7 2 3 2" xfId="18376"/>
    <cellStyle name="20% - Accent4 7 2 3 3" xfId="18375"/>
    <cellStyle name="20% - Accent4 7 2 4" xfId="4243"/>
    <cellStyle name="20% - Accent4 7 2 4 2" xfId="18378"/>
    <cellStyle name="20% - Accent4 7 2 4 3" xfId="18377"/>
    <cellStyle name="20% - Accent4 7 2 5" xfId="10553"/>
    <cellStyle name="20% - Accent4 7 2 5 2" xfId="18380"/>
    <cellStyle name="20% - Accent4 7 2 5 3" xfId="18379"/>
    <cellStyle name="20% - Accent4 7 2 6" xfId="18381"/>
    <cellStyle name="20% - Accent4 7 2 7" xfId="18366"/>
    <cellStyle name="20% - Accent4 7 3" xfId="1968"/>
    <cellStyle name="20% - Accent4 7 3 2" xfId="8253"/>
    <cellStyle name="20% - Accent4 7 3 2 2" xfId="18384"/>
    <cellStyle name="20% - Accent4 7 3 2 3" xfId="18383"/>
    <cellStyle name="20% - Accent4 7 3 3" xfId="5126"/>
    <cellStyle name="20% - Accent4 7 3 3 2" xfId="18386"/>
    <cellStyle name="20% - Accent4 7 3 3 3" xfId="18385"/>
    <cellStyle name="20% - Accent4 7 3 4" xfId="11436"/>
    <cellStyle name="20% - Accent4 7 3 4 2" xfId="18388"/>
    <cellStyle name="20% - Accent4 7 3 4 3" xfId="18387"/>
    <cellStyle name="20% - Accent4 7 3 5" xfId="18389"/>
    <cellStyle name="20% - Accent4 7 3 6" xfId="18382"/>
    <cellStyle name="20% - Accent4 7 4" xfId="6690"/>
    <cellStyle name="20% - Accent4 7 4 2" xfId="18391"/>
    <cellStyle name="20% - Accent4 7 4 3" xfId="18390"/>
    <cellStyle name="20% - Accent4 7 5" xfId="3563"/>
    <cellStyle name="20% - Accent4 7 5 2" xfId="18393"/>
    <cellStyle name="20% - Accent4 7 5 3" xfId="18392"/>
    <cellStyle name="20% - Accent4 7 6" xfId="9995"/>
    <cellStyle name="20% - Accent4 7 6 2" xfId="18395"/>
    <cellStyle name="20% - Accent4 7 6 3" xfId="18394"/>
    <cellStyle name="20% - Accent4 7 7" xfId="18396"/>
    <cellStyle name="20% - Accent4 7 8" xfId="18365"/>
    <cellStyle name="20% - Accent4 8" xfId="409"/>
    <cellStyle name="20% - Accent4 8 2" xfId="1116"/>
    <cellStyle name="20% - Accent4 8 2 2" xfId="2681"/>
    <cellStyle name="20% - Accent4 8 2 2 2" xfId="8966"/>
    <cellStyle name="20% - Accent4 8 2 2 2 2" xfId="18401"/>
    <cellStyle name="20% - Accent4 8 2 2 2 3" xfId="18400"/>
    <cellStyle name="20% - Accent4 8 2 2 3" xfId="5839"/>
    <cellStyle name="20% - Accent4 8 2 2 3 2" xfId="18403"/>
    <cellStyle name="20% - Accent4 8 2 2 3 3" xfId="18402"/>
    <cellStyle name="20% - Accent4 8 2 2 4" xfId="12149"/>
    <cellStyle name="20% - Accent4 8 2 2 4 2" xfId="18405"/>
    <cellStyle name="20% - Accent4 8 2 2 4 3" xfId="18404"/>
    <cellStyle name="20% - Accent4 8 2 2 5" xfId="18406"/>
    <cellStyle name="20% - Accent4 8 2 2 6" xfId="18399"/>
    <cellStyle name="20% - Accent4 8 2 3" xfId="7403"/>
    <cellStyle name="20% - Accent4 8 2 3 2" xfId="18408"/>
    <cellStyle name="20% - Accent4 8 2 3 3" xfId="18407"/>
    <cellStyle name="20% - Accent4 8 2 4" xfId="4276"/>
    <cellStyle name="20% - Accent4 8 2 4 2" xfId="18410"/>
    <cellStyle name="20% - Accent4 8 2 4 3" xfId="18409"/>
    <cellStyle name="20% - Accent4 8 2 5" xfId="10586"/>
    <cellStyle name="20% - Accent4 8 2 5 2" xfId="18412"/>
    <cellStyle name="20% - Accent4 8 2 5 3" xfId="18411"/>
    <cellStyle name="20% - Accent4 8 2 6" xfId="18413"/>
    <cellStyle name="20% - Accent4 8 2 7" xfId="18398"/>
    <cellStyle name="20% - Accent4 8 3" xfId="2001"/>
    <cellStyle name="20% - Accent4 8 3 2" xfId="8286"/>
    <cellStyle name="20% - Accent4 8 3 2 2" xfId="18416"/>
    <cellStyle name="20% - Accent4 8 3 2 3" xfId="18415"/>
    <cellStyle name="20% - Accent4 8 3 3" xfId="5159"/>
    <cellStyle name="20% - Accent4 8 3 3 2" xfId="18418"/>
    <cellStyle name="20% - Accent4 8 3 3 3" xfId="18417"/>
    <cellStyle name="20% - Accent4 8 3 4" xfId="11469"/>
    <cellStyle name="20% - Accent4 8 3 4 2" xfId="18420"/>
    <cellStyle name="20% - Accent4 8 3 4 3" xfId="18419"/>
    <cellStyle name="20% - Accent4 8 3 5" xfId="18421"/>
    <cellStyle name="20% - Accent4 8 3 6" xfId="18414"/>
    <cellStyle name="20% - Accent4 8 4" xfId="6723"/>
    <cellStyle name="20% - Accent4 8 4 2" xfId="18423"/>
    <cellStyle name="20% - Accent4 8 4 3" xfId="18422"/>
    <cellStyle name="20% - Accent4 8 5" xfId="3596"/>
    <cellStyle name="20% - Accent4 8 5 2" xfId="18425"/>
    <cellStyle name="20% - Accent4 8 5 3" xfId="18424"/>
    <cellStyle name="20% - Accent4 8 6" xfId="10029"/>
    <cellStyle name="20% - Accent4 8 6 2" xfId="18427"/>
    <cellStyle name="20% - Accent4 8 6 3" xfId="18426"/>
    <cellStyle name="20% - Accent4 8 7" xfId="18428"/>
    <cellStyle name="20% - Accent4 8 8" xfId="18397"/>
    <cellStyle name="20% - Accent4 9" xfId="449"/>
    <cellStyle name="20% - Accent4 9 2" xfId="1156"/>
    <cellStyle name="20% - Accent4 9 2 2" xfId="2721"/>
    <cellStyle name="20% - Accent4 9 2 2 2" xfId="9006"/>
    <cellStyle name="20% - Accent4 9 2 2 2 2" xfId="18433"/>
    <cellStyle name="20% - Accent4 9 2 2 2 3" xfId="18432"/>
    <cellStyle name="20% - Accent4 9 2 2 3" xfId="5879"/>
    <cellStyle name="20% - Accent4 9 2 2 3 2" xfId="18435"/>
    <cellStyle name="20% - Accent4 9 2 2 3 3" xfId="18434"/>
    <cellStyle name="20% - Accent4 9 2 2 4" xfId="12189"/>
    <cellStyle name="20% - Accent4 9 2 2 4 2" xfId="18437"/>
    <cellStyle name="20% - Accent4 9 2 2 4 3" xfId="18436"/>
    <cellStyle name="20% - Accent4 9 2 2 5" xfId="18438"/>
    <cellStyle name="20% - Accent4 9 2 2 6" xfId="18431"/>
    <cellStyle name="20% - Accent4 9 2 3" xfId="7443"/>
    <cellStyle name="20% - Accent4 9 2 3 2" xfId="18440"/>
    <cellStyle name="20% - Accent4 9 2 3 3" xfId="18439"/>
    <cellStyle name="20% - Accent4 9 2 4" xfId="4316"/>
    <cellStyle name="20% - Accent4 9 2 4 2" xfId="18442"/>
    <cellStyle name="20% - Accent4 9 2 4 3" xfId="18441"/>
    <cellStyle name="20% - Accent4 9 2 5" xfId="10626"/>
    <cellStyle name="20% - Accent4 9 2 5 2" xfId="18444"/>
    <cellStyle name="20% - Accent4 9 2 5 3" xfId="18443"/>
    <cellStyle name="20% - Accent4 9 2 6" xfId="18445"/>
    <cellStyle name="20% - Accent4 9 2 7" xfId="18430"/>
    <cellStyle name="20% - Accent4 9 3" xfId="2041"/>
    <cellStyle name="20% - Accent4 9 3 2" xfId="8326"/>
    <cellStyle name="20% - Accent4 9 3 2 2" xfId="18448"/>
    <cellStyle name="20% - Accent4 9 3 2 3" xfId="18447"/>
    <cellStyle name="20% - Accent4 9 3 3" xfId="5199"/>
    <cellStyle name="20% - Accent4 9 3 3 2" xfId="18450"/>
    <cellStyle name="20% - Accent4 9 3 3 3" xfId="18449"/>
    <cellStyle name="20% - Accent4 9 3 4" xfId="11509"/>
    <cellStyle name="20% - Accent4 9 3 4 2" xfId="18452"/>
    <cellStyle name="20% - Accent4 9 3 4 3" xfId="18451"/>
    <cellStyle name="20% - Accent4 9 3 5" xfId="18453"/>
    <cellStyle name="20% - Accent4 9 3 6" xfId="18446"/>
    <cellStyle name="20% - Accent4 9 4" xfId="6763"/>
    <cellStyle name="20% - Accent4 9 4 2" xfId="18455"/>
    <cellStyle name="20% - Accent4 9 4 3" xfId="18454"/>
    <cellStyle name="20% - Accent4 9 5" xfId="3636"/>
    <cellStyle name="20% - Accent4 9 5 2" xfId="18457"/>
    <cellStyle name="20% - Accent4 9 5 3" xfId="18456"/>
    <cellStyle name="20% - Accent4 9 6" xfId="10068"/>
    <cellStyle name="20% - Accent4 9 6 2" xfId="18459"/>
    <cellStyle name="20% - Accent4 9 6 3" xfId="18458"/>
    <cellStyle name="20% - Accent4 9 7" xfId="18460"/>
    <cellStyle name="20% - Accent4 9 8" xfId="18429"/>
    <cellStyle name="20% - Accent5" xfId="44" builtinId="46" customBuiltin="1"/>
    <cellStyle name="20% - Accent5 10" xfId="480"/>
    <cellStyle name="20% - Accent5 10 2" xfId="1187"/>
    <cellStyle name="20% - Accent5 10 2 2" xfId="2752"/>
    <cellStyle name="20% - Accent5 10 2 2 2" xfId="9037"/>
    <cellStyle name="20% - Accent5 10 2 2 2 2" xfId="18466"/>
    <cellStyle name="20% - Accent5 10 2 2 2 3" xfId="18465"/>
    <cellStyle name="20% - Accent5 10 2 2 3" xfId="5910"/>
    <cellStyle name="20% - Accent5 10 2 2 3 2" xfId="18468"/>
    <cellStyle name="20% - Accent5 10 2 2 3 3" xfId="18467"/>
    <cellStyle name="20% - Accent5 10 2 2 4" xfId="12220"/>
    <cellStyle name="20% - Accent5 10 2 2 4 2" xfId="18470"/>
    <cellStyle name="20% - Accent5 10 2 2 4 3" xfId="18469"/>
    <cellStyle name="20% - Accent5 10 2 2 5" xfId="18471"/>
    <cellStyle name="20% - Accent5 10 2 2 6" xfId="18464"/>
    <cellStyle name="20% - Accent5 10 2 3" xfId="7474"/>
    <cellStyle name="20% - Accent5 10 2 3 2" xfId="18473"/>
    <cellStyle name="20% - Accent5 10 2 3 3" xfId="18472"/>
    <cellStyle name="20% - Accent5 10 2 4" xfId="4347"/>
    <cellStyle name="20% - Accent5 10 2 4 2" xfId="18475"/>
    <cellStyle name="20% - Accent5 10 2 4 3" xfId="18474"/>
    <cellStyle name="20% - Accent5 10 2 5" xfId="10657"/>
    <cellStyle name="20% - Accent5 10 2 5 2" xfId="18477"/>
    <cellStyle name="20% - Accent5 10 2 5 3" xfId="18476"/>
    <cellStyle name="20% - Accent5 10 2 6" xfId="18478"/>
    <cellStyle name="20% - Accent5 10 2 7" xfId="18463"/>
    <cellStyle name="20% - Accent5 10 3" xfId="2072"/>
    <cellStyle name="20% - Accent5 10 3 2" xfId="8357"/>
    <cellStyle name="20% - Accent5 10 3 2 2" xfId="18481"/>
    <cellStyle name="20% - Accent5 10 3 2 3" xfId="18480"/>
    <cellStyle name="20% - Accent5 10 3 3" xfId="5230"/>
    <cellStyle name="20% - Accent5 10 3 3 2" xfId="18483"/>
    <cellStyle name="20% - Accent5 10 3 3 3" xfId="18482"/>
    <cellStyle name="20% - Accent5 10 3 4" xfId="11540"/>
    <cellStyle name="20% - Accent5 10 3 4 2" xfId="18485"/>
    <cellStyle name="20% - Accent5 10 3 4 3" xfId="18484"/>
    <cellStyle name="20% - Accent5 10 3 5" xfId="18486"/>
    <cellStyle name="20% - Accent5 10 3 6" xfId="18479"/>
    <cellStyle name="20% - Accent5 10 4" xfId="6794"/>
    <cellStyle name="20% - Accent5 10 4 2" xfId="18488"/>
    <cellStyle name="20% - Accent5 10 4 3" xfId="18487"/>
    <cellStyle name="20% - Accent5 10 5" xfId="3667"/>
    <cellStyle name="20% - Accent5 10 5 2" xfId="18490"/>
    <cellStyle name="20% - Accent5 10 5 3" xfId="18489"/>
    <cellStyle name="20% - Accent5 10 6" xfId="10099"/>
    <cellStyle name="20% - Accent5 10 6 2" xfId="18492"/>
    <cellStyle name="20% - Accent5 10 6 3" xfId="18491"/>
    <cellStyle name="20% - Accent5 10 7" xfId="18493"/>
    <cellStyle name="20% - Accent5 10 8" xfId="18462"/>
    <cellStyle name="20% - Accent5 11" xfId="495"/>
    <cellStyle name="20% - Accent5 11 2" xfId="1202"/>
    <cellStyle name="20% - Accent5 11 2 2" xfId="2767"/>
    <cellStyle name="20% - Accent5 11 2 2 2" xfId="9052"/>
    <cellStyle name="20% - Accent5 11 2 2 2 2" xfId="18498"/>
    <cellStyle name="20% - Accent5 11 2 2 2 3" xfId="18497"/>
    <cellStyle name="20% - Accent5 11 2 2 3" xfId="5925"/>
    <cellStyle name="20% - Accent5 11 2 2 3 2" xfId="18500"/>
    <cellStyle name="20% - Accent5 11 2 2 3 3" xfId="18499"/>
    <cellStyle name="20% - Accent5 11 2 2 4" xfId="12235"/>
    <cellStyle name="20% - Accent5 11 2 2 4 2" xfId="18502"/>
    <cellStyle name="20% - Accent5 11 2 2 4 3" xfId="18501"/>
    <cellStyle name="20% - Accent5 11 2 2 5" xfId="18503"/>
    <cellStyle name="20% - Accent5 11 2 2 6" xfId="18496"/>
    <cellStyle name="20% - Accent5 11 2 3" xfId="7489"/>
    <cellStyle name="20% - Accent5 11 2 3 2" xfId="18505"/>
    <cellStyle name="20% - Accent5 11 2 3 3" xfId="18504"/>
    <cellStyle name="20% - Accent5 11 2 4" xfId="4362"/>
    <cellStyle name="20% - Accent5 11 2 4 2" xfId="18507"/>
    <cellStyle name="20% - Accent5 11 2 4 3" xfId="18506"/>
    <cellStyle name="20% - Accent5 11 2 5" xfId="10672"/>
    <cellStyle name="20% - Accent5 11 2 5 2" xfId="18509"/>
    <cellStyle name="20% - Accent5 11 2 5 3" xfId="18508"/>
    <cellStyle name="20% - Accent5 11 2 6" xfId="18510"/>
    <cellStyle name="20% - Accent5 11 2 7" xfId="18495"/>
    <cellStyle name="20% - Accent5 11 3" xfId="2087"/>
    <cellStyle name="20% - Accent5 11 3 2" xfId="8372"/>
    <cellStyle name="20% - Accent5 11 3 2 2" xfId="18513"/>
    <cellStyle name="20% - Accent5 11 3 2 3" xfId="18512"/>
    <cellStyle name="20% - Accent5 11 3 3" xfId="5245"/>
    <cellStyle name="20% - Accent5 11 3 3 2" xfId="18515"/>
    <cellStyle name="20% - Accent5 11 3 3 3" xfId="18514"/>
    <cellStyle name="20% - Accent5 11 3 4" xfId="11555"/>
    <cellStyle name="20% - Accent5 11 3 4 2" xfId="18517"/>
    <cellStyle name="20% - Accent5 11 3 4 3" xfId="18516"/>
    <cellStyle name="20% - Accent5 11 3 5" xfId="18518"/>
    <cellStyle name="20% - Accent5 11 3 6" xfId="18511"/>
    <cellStyle name="20% - Accent5 11 4" xfId="6809"/>
    <cellStyle name="20% - Accent5 11 4 2" xfId="18520"/>
    <cellStyle name="20% - Accent5 11 4 3" xfId="18519"/>
    <cellStyle name="20% - Accent5 11 5" xfId="3682"/>
    <cellStyle name="20% - Accent5 11 5 2" xfId="18522"/>
    <cellStyle name="20% - Accent5 11 5 3" xfId="18521"/>
    <cellStyle name="20% - Accent5 11 6" xfId="10114"/>
    <cellStyle name="20% - Accent5 11 6 2" xfId="18524"/>
    <cellStyle name="20% - Accent5 11 6 3" xfId="18523"/>
    <cellStyle name="20% - Accent5 11 7" xfId="18525"/>
    <cellStyle name="20% - Accent5 11 8" xfId="18494"/>
    <cellStyle name="20% - Accent5 12" xfId="508"/>
    <cellStyle name="20% - Accent5 12 2" xfId="1215"/>
    <cellStyle name="20% - Accent5 12 2 2" xfId="2780"/>
    <cellStyle name="20% - Accent5 12 2 2 2" xfId="9065"/>
    <cellStyle name="20% - Accent5 12 2 2 2 2" xfId="18530"/>
    <cellStyle name="20% - Accent5 12 2 2 2 3" xfId="18529"/>
    <cellStyle name="20% - Accent5 12 2 2 3" xfId="5938"/>
    <cellStyle name="20% - Accent5 12 2 2 3 2" xfId="18532"/>
    <cellStyle name="20% - Accent5 12 2 2 3 3" xfId="18531"/>
    <cellStyle name="20% - Accent5 12 2 2 4" xfId="12248"/>
    <cellStyle name="20% - Accent5 12 2 2 4 2" xfId="18534"/>
    <cellStyle name="20% - Accent5 12 2 2 4 3" xfId="18533"/>
    <cellStyle name="20% - Accent5 12 2 2 5" xfId="18535"/>
    <cellStyle name="20% - Accent5 12 2 2 6" xfId="18528"/>
    <cellStyle name="20% - Accent5 12 2 3" xfId="7502"/>
    <cellStyle name="20% - Accent5 12 2 3 2" xfId="18537"/>
    <cellStyle name="20% - Accent5 12 2 3 3" xfId="18536"/>
    <cellStyle name="20% - Accent5 12 2 4" xfId="4375"/>
    <cellStyle name="20% - Accent5 12 2 4 2" xfId="18539"/>
    <cellStyle name="20% - Accent5 12 2 4 3" xfId="18538"/>
    <cellStyle name="20% - Accent5 12 2 5" xfId="10685"/>
    <cellStyle name="20% - Accent5 12 2 5 2" xfId="18541"/>
    <cellStyle name="20% - Accent5 12 2 5 3" xfId="18540"/>
    <cellStyle name="20% - Accent5 12 2 6" xfId="18542"/>
    <cellStyle name="20% - Accent5 12 2 7" xfId="18527"/>
    <cellStyle name="20% - Accent5 12 3" xfId="2100"/>
    <cellStyle name="20% - Accent5 12 3 2" xfId="8385"/>
    <cellStyle name="20% - Accent5 12 3 2 2" xfId="18545"/>
    <cellStyle name="20% - Accent5 12 3 2 3" xfId="18544"/>
    <cellStyle name="20% - Accent5 12 3 3" xfId="5258"/>
    <cellStyle name="20% - Accent5 12 3 3 2" xfId="18547"/>
    <cellStyle name="20% - Accent5 12 3 3 3" xfId="18546"/>
    <cellStyle name="20% - Accent5 12 3 4" xfId="11568"/>
    <cellStyle name="20% - Accent5 12 3 4 2" xfId="18549"/>
    <cellStyle name="20% - Accent5 12 3 4 3" xfId="18548"/>
    <cellStyle name="20% - Accent5 12 3 5" xfId="18550"/>
    <cellStyle name="20% - Accent5 12 3 6" xfId="18543"/>
    <cellStyle name="20% - Accent5 12 4" xfId="6822"/>
    <cellStyle name="20% - Accent5 12 4 2" xfId="18552"/>
    <cellStyle name="20% - Accent5 12 4 3" xfId="18551"/>
    <cellStyle name="20% - Accent5 12 5" xfId="3695"/>
    <cellStyle name="20% - Accent5 12 5 2" xfId="18554"/>
    <cellStyle name="20% - Accent5 12 5 3" xfId="18553"/>
    <cellStyle name="20% - Accent5 12 6" xfId="10127"/>
    <cellStyle name="20% - Accent5 12 6 2" xfId="18556"/>
    <cellStyle name="20% - Accent5 12 6 3" xfId="18555"/>
    <cellStyle name="20% - Accent5 12 7" xfId="18557"/>
    <cellStyle name="20% - Accent5 12 8" xfId="18526"/>
    <cellStyle name="20% - Accent5 13" xfId="522"/>
    <cellStyle name="20% - Accent5 13 2" xfId="1229"/>
    <cellStyle name="20% - Accent5 13 2 2" xfId="2794"/>
    <cellStyle name="20% - Accent5 13 2 2 2" xfId="9079"/>
    <cellStyle name="20% - Accent5 13 2 2 2 2" xfId="18562"/>
    <cellStyle name="20% - Accent5 13 2 2 2 3" xfId="18561"/>
    <cellStyle name="20% - Accent5 13 2 2 3" xfId="5952"/>
    <cellStyle name="20% - Accent5 13 2 2 3 2" xfId="18564"/>
    <cellStyle name="20% - Accent5 13 2 2 3 3" xfId="18563"/>
    <cellStyle name="20% - Accent5 13 2 2 4" xfId="12262"/>
    <cellStyle name="20% - Accent5 13 2 2 4 2" xfId="18566"/>
    <cellStyle name="20% - Accent5 13 2 2 4 3" xfId="18565"/>
    <cellStyle name="20% - Accent5 13 2 2 5" xfId="18567"/>
    <cellStyle name="20% - Accent5 13 2 2 6" xfId="18560"/>
    <cellStyle name="20% - Accent5 13 2 3" xfId="7516"/>
    <cellStyle name="20% - Accent5 13 2 3 2" xfId="18569"/>
    <cellStyle name="20% - Accent5 13 2 3 3" xfId="18568"/>
    <cellStyle name="20% - Accent5 13 2 4" xfId="4389"/>
    <cellStyle name="20% - Accent5 13 2 4 2" xfId="18571"/>
    <cellStyle name="20% - Accent5 13 2 4 3" xfId="18570"/>
    <cellStyle name="20% - Accent5 13 2 5" xfId="10699"/>
    <cellStyle name="20% - Accent5 13 2 5 2" xfId="18573"/>
    <cellStyle name="20% - Accent5 13 2 5 3" xfId="18572"/>
    <cellStyle name="20% - Accent5 13 2 6" xfId="18574"/>
    <cellStyle name="20% - Accent5 13 2 7" xfId="18559"/>
    <cellStyle name="20% - Accent5 13 3" xfId="2114"/>
    <cellStyle name="20% - Accent5 13 3 2" xfId="8399"/>
    <cellStyle name="20% - Accent5 13 3 2 2" xfId="18577"/>
    <cellStyle name="20% - Accent5 13 3 2 3" xfId="18576"/>
    <cellStyle name="20% - Accent5 13 3 3" xfId="5272"/>
    <cellStyle name="20% - Accent5 13 3 3 2" xfId="18579"/>
    <cellStyle name="20% - Accent5 13 3 3 3" xfId="18578"/>
    <cellStyle name="20% - Accent5 13 3 4" xfId="11582"/>
    <cellStyle name="20% - Accent5 13 3 4 2" xfId="18581"/>
    <cellStyle name="20% - Accent5 13 3 4 3" xfId="18580"/>
    <cellStyle name="20% - Accent5 13 3 5" xfId="18582"/>
    <cellStyle name="20% - Accent5 13 3 6" xfId="18575"/>
    <cellStyle name="20% - Accent5 13 4" xfId="6836"/>
    <cellStyle name="20% - Accent5 13 4 2" xfId="18584"/>
    <cellStyle name="20% - Accent5 13 4 3" xfId="18583"/>
    <cellStyle name="20% - Accent5 13 5" xfId="3709"/>
    <cellStyle name="20% - Accent5 13 5 2" xfId="18586"/>
    <cellStyle name="20% - Accent5 13 5 3" xfId="18585"/>
    <cellStyle name="20% - Accent5 13 6" xfId="10141"/>
    <cellStyle name="20% - Accent5 13 6 2" xfId="18588"/>
    <cellStyle name="20% - Accent5 13 6 3" xfId="18587"/>
    <cellStyle name="20% - Accent5 13 7" xfId="18589"/>
    <cellStyle name="20% - Accent5 13 8" xfId="18558"/>
    <cellStyle name="20% - Accent5 14" xfId="536"/>
    <cellStyle name="20% - Accent5 14 2" xfId="1243"/>
    <cellStyle name="20% - Accent5 14 2 2" xfId="2808"/>
    <cellStyle name="20% - Accent5 14 2 2 2" xfId="9093"/>
    <cellStyle name="20% - Accent5 14 2 2 2 2" xfId="18594"/>
    <cellStyle name="20% - Accent5 14 2 2 2 3" xfId="18593"/>
    <cellStyle name="20% - Accent5 14 2 2 3" xfId="5966"/>
    <cellStyle name="20% - Accent5 14 2 2 3 2" xfId="18596"/>
    <cellStyle name="20% - Accent5 14 2 2 3 3" xfId="18595"/>
    <cellStyle name="20% - Accent5 14 2 2 4" xfId="12276"/>
    <cellStyle name="20% - Accent5 14 2 2 4 2" xfId="18598"/>
    <cellStyle name="20% - Accent5 14 2 2 4 3" xfId="18597"/>
    <cellStyle name="20% - Accent5 14 2 2 5" xfId="18599"/>
    <cellStyle name="20% - Accent5 14 2 2 6" xfId="18592"/>
    <cellStyle name="20% - Accent5 14 2 3" xfId="7530"/>
    <cellStyle name="20% - Accent5 14 2 3 2" xfId="18601"/>
    <cellStyle name="20% - Accent5 14 2 3 3" xfId="18600"/>
    <cellStyle name="20% - Accent5 14 2 4" xfId="4403"/>
    <cellStyle name="20% - Accent5 14 2 4 2" xfId="18603"/>
    <cellStyle name="20% - Accent5 14 2 4 3" xfId="18602"/>
    <cellStyle name="20% - Accent5 14 2 5" xfId="10713"/>
    <cellStyle name="20% - Accent5 14 2 5 2" xfId="18605"/>
    <cellStyle name="20% - Accent5 14 2 5 3" xfId="18604"/>
    <cellStyle name="20% - Accent5 14 2 6" xfId="18606"/>
    <cellStyle name="20% - Accent5 14 2 7" xfId="18591"/>
    <cellStyle name="20% - Accent5 14 3" xfId="2128"/>
    <cellStyle name="20% - Accent5 14 3 2" xfId="8413"/>
    <cellStyle name="20% - Accent5 14 3 2 2" xfId="18609"/>
    <cellStyle name="20% - Accent5 14 3 2 3" xfId="18608"/>
    <cellStyle name="20% - Accent5 14 3 3" xfId="5286"/>
    <cellStyle name="20% - Accent5 14 3 3 2" xfId="18611"/>
    <cellStyle name="20% - Accent5 14 3 3 3" xfId="18610"/>
    <cellStyle name="20% - Accent5 14 3 4" xfId="11596"/>
    <cellStyle name="20% - Accent5 14 3 4 2" xfId="18613"/>
    <cellStyle name="20% - Accent5 14 3 4 3" xfId="18612"/>
    <cellStyle name="20% - Accent5 14 3 5" xfId="18614"/>
    <cellStyle name="20% - Accent5 14 3 6" xfId="18607"/>
    <cellStyle name="20% - Accent5 14 4" xfId="6850"/>
    <cellStyle name="20% - Accent5 14 4 2" xfId="18616"/>
    <cellStyle name="20% - Accent5 14 4 3" xfId="18615"/>
    <cellStyle name="20% - Accent5 14 5" xfId="3723"/>
    <cellStyle name="20% - Accent5 14 5 2" xfId="18618"/>
    <cellStyle name="20% - Accent5 14 5 3" xfId="18617"/>
    <cellStyle name="20% - Accent5 14 6" xfId="10155"/>
    <cellStyle name="20% - Accent5 14 6 2" xfId="18620"/>
    <cellStyle name="20% - Accent5 14 6 3" xfId="18619"/>
    <cellStyle name="20% - Accent5 14 7" xfId="18621"/>
    <cellStyle name="20% - Accent5 14 8" xfId="18590"/>
    <cellStyle name="20% - Accent5 15" xfId="550"/>
    <cellStyle name="20% - Accent5 15 2" xfId="1257"/>
    <cellStyle name="20% - Accent5 15 2 2" xfId="2822"/>
    <cellStyle name="20% - Accent5 15 2 2 2" xfId="9107"/>
    <cellStyle name="20% - Accent5 15 2 2 2 2" xfId="18626"/>
    <cellStyle name="20% - Accent5 15 2 2 2 3" xfId="18625"/>
    <cellStyle name="20% - Accent5 15 2 2 3" xfId="5980"/>
    <cellStyle name="20% - Accent5 15 2 2 3 2" xfId="18628"/>
    <cellStyle name="20% - Accent5 15 2 2 3 3" xfId="18627"/>
    <cellStyle name="20% - Accent5 15 2 2 4" xfId="12290"/>
    <cellStyle name="20% - Accent5 15 2 2 4 2" xfId="18630"/>
    <cellStyle name="20% - Accent5 15 2 2 4 3" xfId="18629"/>
    <cellStyle name="20% - Accent5 15 2 2 5" xfId="18631"/>
    <cellStyle name="20% - Accent5 15 2 2 6" xfId="18624"/>
    <cellStyle name="20% - Accent5 15 2 3" xfId="7544"/>
    <cellStyle name="20% - Accent5 15 2 3 2" xfId="18633"/>
    <cellStyle name="20% - Accent5 15 2 3 3" xfId="18632"/>
    <cellStyle name="20% - Accent5 15 2 4" xfId="4417"/>
    <cellStyle name="20% - Accent5 15 2 4 2" xfId="18635"/>
    <cellStyle name="20% - Accent5 15 2 4 3" xfId="18634"/>
    <cellStyle name="20% - Accent5 15 2 5" xfId="10727"/>
    <cellStyle name="20% - Accent5 15 2 5 2" xfId="18637"/>
    <cellStyle name="20% - Accent5 15 2 5 3" xfId="18636"/>
    <cellStyle name="20% - Accent5 15 2 6" xfId="18638"/>
    <cellStyle name="20% - Accent5 15 2 7" xfId="18623"/>
    <cellStyle name="20% - Accent5 15 3" xfId="2142"/>
    <cellStyle name="20% - Accent5 15 3 2" xfId="8427"/>
    <cellStyle name="20% - Accent5 15 3 2 2" xfId="18641"/>
    <cellStyle name="20% - Accent5 15 3 2 3" xfId="18640"/>
    <cellStyle name="20% - Accent5 15 3 3" xfId="5300"/>
    <cellStyle name="20% - Accent5 15 3 3 2" xfId="18643"/>
    <cellStyle name="20% - Accent5 15 3 3 3" xfId="18642"/>
    <cellStyle name="20% - Accent5 15 3 4" xfId="11610"/>
    <cellStyle name="20% - Accent5 15 3 4 2" xfId="18645"/>
    <cellStyle name="20% - Accent5 15 3 4 3" xfId="18644"/>
    <cellStyle name="20% - Accent5 15 3 5" xfId="18646"/>
    <cellStyle name="20% - Accent5 15 3 6" xfId="18639"/>
    <cellStyle name="20% - Accent5 15 4" xfId="6864"/>
    <cellStyle name="20% - Accent5 15 4 2" xfId="18648"/>
    <cellStyle name="20% - Accent5 15 4 3" xfId="18647"/>
    <cellStyle name="20% - Accent5 15 5" xfId="3737"/>
    <cellStyle name="20% - Accent5 15 5 2" xfId="18650"/>
    <cellStyle name="20% - Accent5 15 5 3" xfId="18649"/>
    <cellStyle name="20% - Accent5 15 6" xfId="10169"/>
    <cellStyle name="20% - Accent5 15 6 2" xfId="18652"/>
    <cellStyle name="20% - Accent5 15 6 3" xfId="18651"/>
    <cellStyle name="20% - Accent5 15 7" xfId="18653"/>
    <cellStyle name="20% - Accent5 15 8" xfId="18622"/>
    <cellStyle name="20% - Accent5 16" xfId="603"/>
    <cellStyle name="20% - Accent5 16 2" xfId="1310"/>
    <cellStyle name="20% - Accent5 16 2 2" xfId="2875"/>
    <cellStyle name="20% - Accent5 16 2 2 2" xfId="9160"/>
    <cellStyle name="20% - Accent5 16 2 2 2 2" xfId="18658"/>
    <cellStyle name="20% - Accent5 16 2 2 2 3" xfId="18657"/>
    <cellStyle name="20% - Accent5 16 2 2 3" xfId="6033"/>
    <cellStyle name="20% - Accent5 16 2 2 3 2" xfId="18660"/>
    <cellStyle name="20% - Accent5 16 2 2 3 3" xfId="18659"/>
    <cellStyle name="20% - Accent5 16 2 2 4" xfId="12343"/>
    <cellStyle name="20% - Accent5 16 2 2 4 2" xfId="18662"/>
    <cellStyle name="20% - Accent5 16 2 2 4 3" xfId="18661"/>
    <cellStyle name="20% - Accent5 16 2 2 5" xfId="18663"/>
    <cellStyle name="20% - Accent5 16 2 2 6" xfId="18656"/>
    <cellStyle name="20% - Accent5 16 2 3" xfId="7597"/>
    <cellStyle name="20% - Accent5 16 2 3 2" xfId="18665"/>
    <cellStyle name="20% - Accent5 16 2 3 3" xfId="18664"/>
    <cellStyle name="20% - Accent5 16 2 4" xfId="4470"/>
    <cellStyle name="20% - Accent5 16 2 4 2" xfId="18667"/>
    <cellStyle name="20% - Accent5 16 2 4 3" xfId="18666"/>
    <cellStyle name="20% - Accent5 16 2 5" xfId="10780"/>
    <cellStyle name="20% - Accent5 16 2 5 2" xfId="18669"/>
    <cellStyle name="20% - Accent5 16 2 5 3" xfId="18668"/>
    <cellStyle name="20% - Accent5 16 2 6" xfId="18670"/>
    <cellStyle name="20% - Accent5 16 2 7" xfId="18655"/>
    <cellStyle name="20% - Accent5 16 3" xfId="2195"/>
    <cellStyle name="20% - Accent5 16 3 2" xfId="8480"/>
    <cellStyle name="20% - Accent5 16 3 2 2" xfId="18673"/>
    <cellStyle name="20% - Accent5 16 3 2 3" xfId="18672"/>
    <cellStyle name="20% - Accent5 16 3 3" xfId="5353"/>
    <cellStyle name="20% - Accent5 16 3 3 2" xfId="18675"/>
    <cellStyle name="20% - Accent5 16 3 3 3" xfId="18674"/>
    <cellStyle name="20% - Accent5 16 3 4" xfId="11663"/>
    <cellStyle name="20% - Accent5 16 3 4 2" xfId="18677"/>
    <cellStyle name="20% - Accent5 16 3 4 3" xfId="18676"/>
    <cellStyle name="20% - Accent5 16 3 5" xfId="18678"/>
    <cellStyle name="20% - Accent5 16 3 6" xfId="18671"/>
    <cellStyle name="20% - Accent5 16 4" xfId="6917"/>
    <cellStyle name="20% - Accent5 16 4 2" xfId="18680"/>
    <cellStyle name="20% - Accent5 16 4 3" xfId="18679"/>
    <cellStyle name="20% - Accent5 16 5" xfId="3790"/>
    <cellStyle name="20% - Accent5 16 5 2" xfId="18682"/>
    <cellStyle name="20% - Accent5 16 5 3" xfId="18681"/>
    <cellStyle name="20% - Accent5 16 6" xfId="10222"/>
    <cellStyle name="20% - Accent5 16 6 2" xfId="18684"/>
    <cellStyle name="20% - Accent5 16 6 3" xfId="18683"/>
    <cellStyle name="20% - Accent5 16 7" xfId="18685"/>
    <cellStyle name="20% - Accent5 16 8" xfId="18654"/>
    <cellStyle name="20% - Accent5 17" xfId="662"/>
    <cellStyle name="20% - Accent5 17 2" xfId="1367"/>
    <cellStyle name="20% - Accent5 17 2 2" xfId="2932"/>
    <cellStyle name="20% - Accent5 17 2 2 2" xfId="9217"/>
    <cellStyle name="20% - Accent5 17 2 2 2 2" xfId="18690"/>
    <cellStyle name="20% - Accent5 17 2 2 2 3" xfId="18689"/>
    <cellStyle name="20% - Accent5 17 2 2 3" xfId="6090"/>
    <cellStyle name="20% - Accent5 17 2 2 3 2" xfId="18692"/>
    <cellStyle name="20% - Accent5 17 2 2 3 3" xfId="18691"/>
    <cellStyle name="20% - Accent5 17 2 2 4" xfId="12400"/>
    <cellStyle name="20% - Accent5 17 2 2 4 2" xfId="18694"/>
    <cellStyle name="20% - Accent5 17 2 2 4 3" xfId="18693"/>
    <cellStyle name="20% - Accent5 17 2 2 5" xfId="18695"/>
    <cellStyle name="20% - Accent5 17 2 2 6" xfId="18688"/>
    <cellStyle name="20% - Accent5 17 2 3" xfId="7654"/>
    <cellStyle name="20% - Accent5 17 2 3 2" xfId="18697"/>
    <cellStyle name="20% - Accent5 17 2 3 3" xfId="18696"/>
    <cellStyle name="20% - Accent5 17 2 4" xfId="4527"/>
    <cellStyle name="20% - Accent5 17 2 4 2" xfId="18699"/>
    <cellStyle name="20% - Accent5 17 2 4 3" xfId="18698"/>
    <cellStyle name="20% - Accent5 17 2 5" xfId="10837"/>
    <cellStyle name="20% - Accent5 17 2 5 2" xfId="18701"/>
    <cellStyle name="20% - Accent5 17 2 5 3" xfId="18700"/>
    <cellStyle name="20% - Accent5 17 2 6" xfId="18702"/>
    <cellStyle name="20% - Accent5 17 2 7" xfId="18687"/>
    <cellStyle name="20% - Accent5 17 3" xfId="2252"/>
    <cellStyle name="20% - Accent5 17 3 2" xfId="8537"/>
    <cellStyle name="20% - Accent5 17 3 2 2" xfId="18705"/>
    <cellStyle name="20% - Accent5 17 3 2 3" xfId="18704"/>
    <cellStyle name="20% - Accent5 17 3 3" xfId="5410"/>
    <cellStyle name="20% - Accent5 17 3 3 2" xfId="18707"/>
    <cellStyle name="20% - Accent5 17 3 3 3" xfId="18706"/>
    <cellStyle name="20% - Accent5 17 3 4" xfId="11720"/>
    <cellStyle name="20% - Accent5 17 3 4 2" xfId="18709"/>
    <cellStyle name="20% - Accent5 17 3 4 3" xfId="18708"/>
    <cellStyle name="20% - Accent5 17 3 5" xfId="18710"/>
    <cellStyle name="20% - Accent5 17 3 6" xfId="18703"/>
    <cellStyle name="20% - Accent5 17 4" xfId="6974"/>
    <cellStyle name="20% - Accent5 17 4 2" xfId="18712"/>
    <cellStyle name="20% - Accent5 17 4 3" xfId="18711"/>
    <cellStyle name="20% - Accent5 17 5" xfId="3847"/>
    <cellStyle name="20% - Accent5 17 5 2" xfId="18714"/>
    <cellStyle name="20% - Accent5 17 5 3" xfId="18713"/>
    <cellStyle name="20% - Accent5 17 6" xfId="10280"/>
    <cellStyle name="20% - Accent5 17 6 2" xfId="18716"/>
    <cellStyle name="20% - Accent5 17 6 3" xfId="18715"/>
    <cellStyle name="20% - Accent5 17 7" xfId="18717"/>
    <cellStyle name="20% - Accent5 17 8" xfId="18686"/>
    <cellStyle name="20% - Accent5 18" xfId="849"/>
    <cellStyle name="20% - Accent5 18 2" xfId="2415"/>
    <cellStyle name="20% - Accent5 18 2 2" xfId="8700"/>
    <cellStyle name="20% - Accent5 18 2 2 2" xfId="18721"/>
    <cellStyle name="20% - Accent5 18 2 2 3" xfId="18720"/>
    <cellStyle name="20% - Accent5 18 2 3" xfId="5573"/>
    <cellStyle name="20% - Accent5 18 2 3 2" xfId="18723"/>
    <cellStyle name="20% - Accent5 18 2 3 3" xfId="18722"/>
    <cellStyle name="20% - Accent5 18 2 4" xfId="11883"/>
    <cellStyle name="20% - Accent5 18 2 4 2" xfId="18725"/>
    <cellStyle name="20% - Accent5 18 2 4 3" xfId="18724"/>
    <cellStyle name="20% - Accent5 18 2 5" xfId="18726"/>
    <cellStyle name="20% - Accent5 18 2 6" xfId="18719"/>
    <cellStyle name="20% - Accent5 18 3" xfId="7137"/>
    <cellStyle name="20% - Accent5 18 3 2" xfId="18728"/>
    <cellStyle name="20% - Accent5 18 3 3" xfId="18727"/>
    <cellStyle name="20% - Accent5 18 4" xfId="4010"/>
    <cellStyle name="20% - Accent5 18 4 2" xfId="18730"/>
    <cellStyle name="20% - Accent5 18 4 3" xfId="18729"/>
    <cellStyle name="20% - Accent5 18 5" xfId="10320"/>
    <cellStyle name="20% - Accent5 18 5 2" xfId="18732"/>
    <cellStyle name="20% - Accent5 18 5 3" xfId="18731"/>
    <cellStyle name="20% - Accent5 18 6" xfId="18733"/>
    <cellStyle name="20% - Accent5 18 7" xfId="18718"/>
    <cellStyle name="20% - Accent5 19" xfId="1569"/>
    <cellStyle name="20% - Accent5 19 2" xfId="3134"/>
    <cellStyle name="20% - Accent5 19 2 2" xfId="9419"/>
    <cellStyle name="20% - Accent5 19 2 2 2" xfId="18737"/>
    <cellStyle name="20% - Accent5 19 2 2 3" xfId="18736"/>
    <cellStyle name="20% - Accent5 19 2 3" xfId="6292"/>
    <cellStyle name="20% - Accent5 19 2 3 2" xfId="18739"/>
    <cellStyle name="20% - Accent5 19 2 3 3" xfId="18738"/>
    <cellStyle name="20% - Accent5 19 2 4" xfId="12602"/>
    <cellStyle name="20% - Accent5 19 2 4 2" xfId="18741"/>
    <cellStyle name="20% - Accent5 19 2 4 3" xfId="18740"/>
    <cellStyle name="20% - Accent5 19 2 5" xfId="18742"/>
    <cellStyle name="20% - Accent5 19 2 6" xfId="18735"/>
    <cellStyle name="20% - Accent5 19 3" xfId="7856"/>
    <cellStyle name="20% - Accent5 19 3 2" xfId="18744"/>
    <cellStyle name="20% - Accent5 19 3 3" xfId="18743"/>
    <cellStyle name="20% - Accent5 19 4" xfId="4729"/>
    <cellStyle name="20% - Accent5 19 4 2" xfId="18746"/>
    <cellStyle name="20% - Accent5 19 4 3" xfId="18745"/>
    <cellStyle name="20% - Accent5 19 5" xfId="11039"/>
    <cellStyle name="20% - Accent5 19 5 2" xfId="18748"/>
    <cellStyle name="20% - Accent5 19 5 3" xfId="18747"/>
    <cellStyle name="20% - Accent5 19 6" xfId="18749"/>
    <cellStyle name="20% - Accent5 19 7" xfId="18734"/>
    <cellStyle name="20% - Accent5 2" xfId="63"/>
    <cellStyle name="20% - Accent5 2 10" xfId="1747"/>
    <cellStyle name="20% - Accent5 2 10 2" xfId="8033"/>
    <cellStyle name="20% - Accent5 2 10 2 2" xfId="18753"/>
    <cellStyle name="20% - Accent5 2 10 2 3" xfId="18752"/>
    <cellStyle name="20% - Accent5 2 10 3" xfId="4906"/>
    <cellStyle name="20% - Accent5 2 10 3 2" xfId="18755"/>
    <cellStyle name="20% - Accent5 2 10 3 3" xfId="18754"/>
    <cellStyle name="20% - Accent5 2 10 4" xfId="11216"/>
    <cellStyle name="20% - Accent5 2 10 4 2" xfId="18757"/>
    <cellStyle name="20% - Accent5 2 10 4 3" xfId="18756"/>
    <cellStyle name="20% - Accent5 2 10 5" xfId="18758"/>
    <cellStyle name="20% - Accent5 2 10 6" xfId="18751"/>
    <cellStyle name="20% - Accent5 2 11" xfId="125"/>
    <cellStyle name="20% - Accent5 2 11 2" xfId="6470"/>
    <cellStyle name="20% - Accent5 2 11 2 2" xfId="18761"/>
    <cellStyle name="20% - Accent5 2 11 2 3" xfId="18760"/>
    <cellStyle name="20% - Accent5 2 11 3" xfId="18762"/>
    <cellStyle name="20% - Accent5 2 11 4" xfId="18759"/>
    <cellStyle name="20% - Accent5 2 12" xfId="3316"/>
    <cellStyle name="20% - Accent5 2 12 2" xfId="18764"/>
    <cellStyle name="20% - Accent5 2 12 3" xfId="18763"/>
    <cellStyle name="20% - Accent5 2 13" xfId="3343"/>
    <cellStyle name="20% - Accent5 2 13 2" xfId="18766"/>
    <cellStyle name="20% - Accent5 2 13 3" xfId="18765"/>
    <cellStyle name="20% - Accent5 2 14" xfId="9602"/>
    <cellStyle name="20% - Accent5 2 14 2" xfId="18768"/>
    <cellStyle name="20% - Accent5 2 14 3" xfId="18767"/>
    <cellStyle name="20% - Accent5 2 15" xfId="18769"/>
    <cellStyle name="20% - Accent5 2 16" xfId="18750"/>
    <cellStyle name="20% - Accent5 2 17" xfId="38133"/>
    <cellStyle name="20% - Accent5 2 2" xfId="96"/>
    <cellStyle name="20% - Accent5 2 2 2" xfId="297"/>
    <cellStyle name="20% - Accent5 2 2 2 2" xfId="1007"/>
    <cellStyle name="20% - Accent5 2 2 2 2 2" xfId="2573"/>
    <cellStyle name="20% - Accent5 2 2 2 2 2 2" xfId="8858"/>
    <cellStyle name="20% - Accent5 2 2 2 2 2 2 2" xfId="18775"/>
    <cellStyle name="20% - Accent5 2 2 2 2 2 2 3" xfId="18774"/>
    <cellStyle name="20% - Accent5 2 2 2 2 2 3" xfId="5731"/>
    <cellStyle name="20% - Accent5 2 2 2 2 2 3 2" xfId="18777"/>
    <cellStyle name="20% - Accent5 2 2 2 2 2 3 3" xfId="18776"/>
    <cellStyle name="20% - Accent5 2 2 2 2 2 4" xfId="12041"/>
    <cellStyle name="20% - Accent5 2 2 2 2 2 4 2" xfId="18779"/>
    <cellStyle name="20% - Accent5 2 2 2 2 2 4 3" xfId="18778"/>
    <cellStyle name="20% - Accent5 2 2 2 2 2 5" xfId="18780"/>
    <cellStyle name="20% - Accent5 2 2 2 2 2 6" xfId="18773"/>
    <cellStyle name="20% - Accent5 2 2 2 2 3" xfId="7295"/>
    <cellStyle name="20% - Accent5 2 2 2 2 3 2" xfId="18782"/>
    <cellStyle name="20% - Accent5 2 2 2 2 3 3" xfId="18781"/>
    <cellStyle name="20% - Accent5 2 2 2 2 4" xfId="4168"/>
    <cellStyle name="20% - Accent5 2 2 2 2 4 2" xfId="18784"/>
    <cellStyle name="20% - Accent5 2 2 2 2 4 3" xfId="18783"/>
    <cellStyle name="20% - Accent5 2 2 2 2 5" xfId="10478"/>
    <cellStyle name="20% - Accent5 2 2 2 2 5 2" xfId="18786"/>
    <cellStyle name="20% - Accent5 2 2 2 2 5 3" xfId="18785"/>
    <cellStyle name="20% - Accent5 2 2 2 2 6" xfId="18787"/>
    <cellStyle name="20% - Accent5 2 2 2 2 7" xfId="18772"/>
    <cellStyle name="20% - Accent5 2 2 2 3" xfId="1893"/>
    <cellStyle name="20% - Accent5 2 2 2 3 2" xfId="8178"/>
    <cellStyle name="20% - Accent5 2 2 2 3 2 2" xfId="18790"/>
    <cellStyle name="20% - Accent5 2 2 2 3 2 3" xfId="18789"/>
    <cellStyle name="20% - Accent5 2 2 2 3 3" xfId="5051"/>
    <cellStyle name="20% - Accent5 2 2 2 3 3 2" xfId="18792"/>
    <cellStyle name="20% - Accent5 2 2 2 3 3 3" xfId="18791"/>
    <cellStyle name="20% - Accent5 2 2 2 3 4" xfId="11361"/>
    <cellStyle name="20% - Accent5 2 2 2 3 4 2" xfId="18794"/>
    <cellStyle name="20% - Accent5 2 2 2 3 4 3" xfId="18793"/>
    <cellStyle name="20% - Accent5 2 2 2 3 5" xfId="18795"/>
    <cellStyle name="20% - Accent5 2 2 2 3 6" xfId="18788"/>
    <cellStyle name="20% - Accent5 2 2 2 4" xfId="6615"/>
    <cellStyle name="20% - Accent5 2 2 2 4 2" xfId="18797"/>
    <cellStyle name="20% - Accent5 2 2 2 4 3" xfId="18796"/>
    <cellStyle name="20% - Accent5 2 2 2 5" xfId="3488"/>
    <cellStyle name="20% - Accent5 2 2 2 5 2" xfId="18799"/>
    <cellStyle name="20% - Accent5 2 2 2 5 3" xfId="18798"/>
    <cellStyle name="20% - Accent5 2 2 2 6" xfId="9829"/>
    <cellStyle name="20% - Accent5 2 2 2 6 2" xfId="18801"/>
    <cellStyle name="20% - Accent5 2 2 2 6 3" xfId="18800"/>
    <cellStyle name="20% - Accent5 2 2 2 7" xfId="18802"/>
    <cellStyle name="20% - Accent5 2 2 2 8" xfId="18771"/>
    <cellStyle name="20% - Accent5 2 2 3" xfId="894"/>
    <cellStyle name="20% - Accent5 2 2 3 2" xfId="2460"/>
    <cellStyle name="20% - Accent5 2 2 3 2 2" xfId="8745"/>
    <cellStyle name="20% - Accent5 2 2 3 2 2 2" xfId="18806"/>
    <cellStyle name="20% - Accent5 2 2 3 2 2 3" xfId="18805"/>
    <cellStyle name="20% - Accent5 2 2 3 2 3" xfId="5618"/>
    <cellStyle name="20% - Accent5 2 2 3 2 3 2" xfId="18808"/>
    <cellStyle name="20% - Accent5 2 2 3 2 3 3" xfId="18807"/>
    <cellStyle name="20% - Accent5 2 2 3 2 4" xfId="11928"/>
    <cellStyle name="20% - Accent5 2 2 3 2 4 2" xfId="18810"/>
    <cellStyle name="20% - Accent5 2 2 3 2 4 3" xfId="18809"/>
    <cellStyle name="20% - Accent5 2 2 3 2 5" xfId="18811"/>
    <cellStyle name="20% - Accent5 2 2 3 2 6" xfId="18804"/>
    <cellStyle name="20% - Accent5 2 2 3 3" xfId="7182"/>
    <cellStyle name="20% - Accent5 2 2 3 3 2" xfId="18813"/>
    <cellStyle name="20% - Accent5 2 2 3 3 3" xfId="18812"/>
    <cellStyle name="20% - Accent5 2 2 3 4" xfId="4055"/>
    <cellStyle name="20% - Accent5 2 2 3 4 2" xfId="18815"/>
    <cellStyle name="20% - Accent5 2 2 3 4 3" xfId="18814"/>
    <cellStyle name="20% - Accent5 2 2 3 5" xfId="10365"/>
    <cellStyle name="20% - Accent5 2 2 3 5 2" xfId="18817"/>
    <cellStyle name="20% - Accent5 2 2 3 5 3" xfId="18816"/>
    <cellStyle name="20% - Accent5 2 2 3 6" xfId="18818"/>
    <cellStyle name="20% - Accent5 2 2 3 7" xfId="18803"/>
    <cellStyle name="20% - Accent5 2 2 4" xfId="1780"/>
    <cellStyle name="20% - Accent5 2 2 4 2" xfId="8065"/>
    <cellStyle name="20% - Accent5 2 2 4 2 2" xfId="18821"/>
    <cellStyle name="20% - Accent5 2 2 4 2 3" xfId="18820"/>
    <cellStyle name="20% - Accent5 2 2 4 3" xfId="4938"/>
    <cellStyle name="20% - Accent5 2 2 4 3 2" xfId="18823"/>
    <cellStyle name="20% - Accent5 2 2 4 3 3" xfId="18822"/>
    <cellStyle name="20% - Accent5 2 2 4 4" xfId="11248"/>
    <cellStyle name="20% - Accent5 2 2 4 4 2" xfId="18825"/>
    <cellStyle name="20% - Accent5 2 2 4 4 3" xfId="18824"/>
    <cellStyle name="20% - Accent5 2 2 4 5" xfId="18826"/>
    <cellStyle name="20% - Accent5 2 2 4 6" xfId="18819"/>
    <cellStyle name="20% - Accent5 2 2 5" xfId="158"/>
    <cellStyle name="20% - Accent5 2 2 5 2" xfId="6502"/>
    <cellStyle name="20% - Accent5 2 2 5 2 2" xfId="18829"/>
    <cellStyle name="20% - Accent5 2 2 5 2 3" xfId="18828"/>
    <cellStyle name="20% - Accent5 2 2 5 3" xfId="18830"/>
    <cellStyle name="20% - Accent5 2 2 5 4" xfId="18827"/>
    <cellStyle name="20% - Accent5 2 2 6" xfId="3375"/>
    <cellStyle name="20% - Accent5 2 2 6 2" xfId="18832"/>
    <cellStyle name="20% - Accent5 2 2 6 3" xfId="18831"/>
    <cellStyle name="20% - Accent5 2 2 7" xfId="9921"/>
    <cellStyle name="20% - Accent5 2 2 7 2" xfId="18834"/>
    <cellStyle name="20% - Accent5 2 2 7 3" xfId="18833"/>
    <cellStyle name="20% - Accent5 2 2 8" xfId="18835"/>
    <cellStyle name="20% - Accent5 2 2 9" xfId="18770"/>
    <cellStyle name="20% - Accent5 2 3" xfId="234"/>
    <cellStyle name="20% - Accent5 2 3 2" xfId="945"/>
    <cellStyle name="20% - Accent5 2 3 2 2" xfId="2511"/>
    <cellStyle name="20% - Accent5 2 3 2 2 2" xfId="8796"/>
    <cellStyle name="20% - Accent5 2 3 2 2 2 2" xfId="18840"/>
    <cellStyle name="20% - Accent5 2 3 2 2 2 3" xfId="18839"/>
    <cellStyle name="20% - Accent5 2 3 2 2 3" xfId="5669"/>
    <cellStyle name="20% - Accent5 2 3 2 2 3 2" xfId="18842"/>
    <cellStyle name="20% - Accent5 2 3 2 2 3 3" xfId="18841"/>
    <cellStyle name="20% - Accent5 2 3 2 2 4" xfId="11979"/>
    <cellStyle name="20% - Accent5 2 3 2 2 4 2" xfId="18844"/>
    <cellStyle name="20% - Accent5 2 3 2 2 4 3" xfId="18843"/>
    <cellStyle name="20% - Accent5 2 3 2 2 5" xfId="18845"/>
    <cellStyle name="20% - Accent5 2 3 2 2 6" xfId="18838"/>
    <cellStyle name="20% - Accent5 2 3 2 3" xfId="7233"/>
    <cellStyle name="20% - Accent5 2 3 2 3 2" xfId="18847"/>
    <cellStyle name="20% - Accent5 2 3 2 3 3" xfId="18846"/>
    <cellStyle name="20% - Accent5 2 3 2 4" xfId="4106"/>
    <cellStyle name="20% - Accent5 2 3 2 4 2" xfId="18849"/>
    <cellStyle name="20% - Accent5 2 3 2 4 3" xfId="18848"/>
    <cellStyle name="20% - Accent5 2 3 2 5" xfId="10416"/>
    <cellStyle name="20% - Accent5 2 3 2 5 2" xfId="18851"/>
    <cellStyle name="20% - Accent5 2 3 2 5 3" xfId="18850"/>
    <cellStyle name="20% - Accent5 2 3 2 6" xfId="18852"/>
    <cellStyle name="20% - Accent5 2 3 2 7" xfId="18837"/>
    <cellStyle name="20% - Accent5 2 3 3" xfId="1831"/>
    <cellStyle name="20% - Accent5 2 3 3 2" xfId="8116"/>
    <cellStyle name="20% - Accent5 2 3 3 2 2" xfId="18855"/>
    <cellStyle name="20% - Accent5 2 3 3 2 3" xfId="18854"/>
    <cellStyle name="20% - Accent5 2 3 3 3" xfId="4989"/>
    <cellStyle name="20% - Accent5 2 3 3 3 2" xfId="18857"/>
    <cellStyle name="20% - Accent5 2 3 3 3 3" xfId="18856"/>
    <cellStyle name="20% - Accent5 2 3 3 4" xfId="11299"/>
    <cellStyle name="20% - Accent5 2 3 3 4 2" xfId="18859"/>
    <cellStyle name="20% - Accent5 2 3 3 4 3" xfId="18858"/>
    <cellStyle name="20% - Accent5 2 3 3 5" xfId="18860"/>
    <cellStyle name="20% - Accent5 2 3 3 6" xfId="18853"/>
    <cellStyle name="20% - Accent5 2 3 4" xfId="6553"/>
    <cellStyle name="20% - Accent5 2 3 4 2" xfId="18862"/>
    <cellStyle name="20% - Accent5 2 3 4 3" xfId="18861"/>
    <cellStyle name="20% - Accent5 2 3 5" xfId="3426"/>
    <cellStyle name="20% - Accent5 2 3 5 2" xfId="18864"/>
    <cellStyle name="20% - Accent5 2 3 5 3" xfId="18863"/>
    <cellStyle name="20% - Accent5 2 3 6" xfId="9944"/>
    <cellStyle name="20% - Accent5 2 3 6 2" xfId="18866"/>
    <cellStyle name="20% - Accent5 2 3 6 3" xfId="18865"/>
    <cellStyle name="20% - Accent5 2 3 7" xfId="18867"/>
    <cellStyle name="20% - Accent5 2 3 8" xfId="18836"/>
    <cellStyle name="20% - Accent5 2 4" xfId="341"/>
    <cellStyle name="20% - Accent5 2 4 2" xfId="1049"/>
    <cellStyle name="20% - Accent5 2 4 2 2" xfId="2615"/>
    <cellStyle name="20% - Accent5 2 4 2 2 2" xfId="8900"/>
    <cellStyle name="20% - Accent5 2 4 2 2 2 2" xfId="18872"/>
    <cellStyle name="20% - Accent5 2 4 2 2 2 3" xfId="18871"/>
    <cellStyle name="20% - Accent5 2 4 2 2 3" xfId="5773"/>
    <cellStyle name="20% - Accent5 2 4 2 2 3 2" xfId="18874"/>
    <cellStyle name="20% - Accent5 2 4 2 2 3 3" xfId="18873"/>
    <cellStyle name="20% - Accent5 2 4 2 2 4" xfId="12083"/>
    <cellStyle name="20% - Accent5 2 4 2 2 4 2" xfId="18876"/>
    <cellStyle name="20% - Accent5 2 4 2 2 4 3" xfId="18875"/>
    <cellStyle name="20% - Accent5 2 4 2 2 5" xfId="18877"/>
    <cellStyle name="20% - Accent5 2 4 2 2 6" xfId="18870"/>
    <cellStyle name="20% - Accent5 2 4 2 3" xfId="7337"/>
    <cellStyle name="20% - Accent5 2 4 2 3 2" xfId="18879"/>
    <cellStyle name="20% - Accent5 2 4 2 3 3" xfId="18878"/>
    <cellStyle name="20% - Accent5 2 4 2 4" xfId="4210"/>
    <cellStyle name="20% - Accent5 2 4 2 4 2" xfId="18881"/>
    <cellStyle name="20% - Accent5 2 4 2 4 3" xfId="18880"/>
    <cellStyle name="20% - Accent5 2 4 2 5" xfId="10520"/>
    <cellStyle name="20% - Accent5 2 4 2 5 2" xfId="18883"/>
    <cellStyle name="20% - Accent5 2 4 2 5 3" xfId="18882"/>
    <cellStyle name="20% - Accent5 2 4 2 6" xfId="18884"/>
    <cellStyle name="20% - Accent5 2 4 2 7" xfId="18869"/>
    <cellStyle name="20% - Accent5 2 4 3" xfId="1935"/>
    <cellStyle name="20% - Accent5 2 4 3 2" xfId="8220"/>
    <cellStyle name="20% - Accent5 2 4 3 2 2" xfId="18887"/>
    <cellStyle name="20% - Accent5 2 4 3 2 3" xfId="18886"/>
    <cellStyle name="20% - Accent5 2 4 3 3" xfId="5093"/>
    <cellStyle name="20% - Accent5 2 4 3 3 2" xfId="18889"/>
    <cellStyle name="20% - Accent5 2 4 3 3 3" xfId="18888"/>
    <cellStyle name="20% - Accent5 2 4 3 4" xfId="11403"/>
    <cellStyle name="20% - Accent5 2 4 3 4 2" xfId="18891"/>
    <cellStyle name="20% - Accent5 2 4 3 4 3" xfId="18890"/>
    <cellStyle name="20% - Accent5 2 4 3 5" xfId="18892"/>
    <cellStyle name="20% - Accent5 2 4 3 6" xfId="18885"/>
    <cellStyle name="20% - Accent5 2 4 4" xfId="6657"/>
    <cellStyle name="20% - Accent5 2 4 4 2" xfId="18894"/>
    <cellStyle name="20% - Accent5 2 4 4 3" xfId="18893"/>
    <cellStyle name="20% - Accent5 2 4 5" xfId="3530"/>
    <cellStyle name="20% - Accent5 2 4 5 2" xfId="18896"/>
    <cellStyle name="20% - Accent5 2 4 5 3" xfId="18895"/>
    <cellStyle name="20% - Accent5 2 4 6" xfId="9962"/>
    <cellStyle name="20% - Accent5 2 4 6 2" xfId="18898"/>
    <cellStyle name="20% - Accent5 2 4 6 3" xfId="18897"/>
    <cellStyle name="20% - Accent5 2 4 7" xfId="18899"/>
    <cellStyle name="20% - Accent5 2 4 8" xfId="18868"/>
    <cellStyle name="20% - Accent5 2 5" xfId="393"/>
    <cellStyle name="20% - Accent5 2 5 2" xfId="1100"/>
    <cellStyle name="20% - Accent5 2 5 2 2" xfId="2665"/>
    <cellStyle name="20% - Accent5 2 5 2 2 2" xfId="8950"/>
    <cellStyle name="20% - Accent5 2 5 2 2 2 2" xfId="18904"/>
    <cellStyle name="20% - Accent5 2 5 2 2 2 3" xfId="18903"/>
    <cellStyle name="20% - Accent5 2 5 2 2 3" xfId="5823"/>
    <cellStyle name="20% - Accent5 2 5 2 2 3 2" xfId="18906"/>
    <cellStyle name="20% - Accent5 2 5 2 2 3 3" xfId="18905"/>
    <cellStyle name="20% - Accent5 2 5 2 2 4" xfId="12133"/>
    <cellStyle name="20% - Accent5 2 5 2 2 4 2" xfId="18908"/>
    <cellStyle name="20% - Accent5 2 5 2 2 4 3" xfId="18907"/>
    <cellStyle name="20% - Accent5 2 5 2 2 5" xfId="18909"/>
    <cellStyle name="20% - Accent5 2 5 2 2 6" xfId="18902"/>
    <cellStyle name="20% - Accent5 2 5 2 3" xfId="7387"/>
    <cellStyle name="20% - Accent5 2 5 2 3 2" xfId="18911"/>
    <cellStyle name="20% - Accent5 2 5 2 3 3" xfId="18910"/>
    <cellStyle name="20% - Accent5 2 5 2 4" xfId="4260"/>
    <cellStyle name="20% - Accent5 2 5 2 4 2" xfId="18913"/>
    <cellStyle name="20% - Accent5 2 5 2 4 3" xfId="18912"/>
    <cellStyle name="20% - Accent5 2 5 2 5" xfId="10570"/>
    <cellStyle name="20% - Accent5 2 5 2 5 2" xfId="18915"/>
    <cellStyle name="20% - Accent5 2 5 2 5 3" xfId="18914"/>
    <cellStyle name="20% - Accent5 2 5 2 6" xfId="18916"/>
    <cellStyle name="20% - Accent5 2 5 2 7" xfId="18901"/>
    <cellStyle name="20% - Accent5 2 5 3" xfId="1985"/>
    <cellStyle name="20% - Accent5 2 5 3 2" xfId="8270"/>
    <cellStyle name="20% - Accent5 2 5 3 2 2" xfId="18919"/>
    <cellStyle name="20% - Accent5 2 5 3 2 3" xfId="18918"/>
    <cellStyle name="20% - Accent5 2 5 3 3" xfId="5143"/>
    <cellStyle name="20% - Accent5 2 5 3 3 2" xfId="18921"/>
    <cellStyle name="20% - Accent5 2 5 3 3 3" xfId="18920"/>
    <cellStyle name="20% - Accent5 2 5 3 4" xfId="11453"/>
    <cellStyle name="20% - Accent5 2 5 3 4 2" xfId="18923"/>
    <cellStyle name="20% - Accent5 2 5 3 4 3" xfId="18922"/>
    <cellStyle name="20% - Accent5 2 5 3 5" xfId="18924"/>
    <cellStyle name="20% - Accent5 2 5 3 6" xfId="18917"/>
    <cellStyle name="20% - Accent5 2 5 4" xfId="6707"/>
    <cellStyle name="20% - Accent5 2 5 4 2" xfId="18926"/>
    <cellStyle name="20% - Accent5 2 5 4 3" xfId="18925"/>
    <cellStyle name="20% - Accent5 2 5 5" xfId="3580"/>
    <cellStyle name="20% - Accent5 2 5 5 2" xfId="18928"/>
    <cellStyle name="20% - Accent5 2 5 5 3" xfId="18927"/>
    <cellStyle name="20% - Accent5 2 5 6" xfId="10013"/>
    <cellStyle name="20% - Accent5 2 5 6 2" xfId="18930"/>
    <cellStyle name="20% - Accent5 2 5 6 3" xfId="18929"/>
    <cellStyle name="20% - Accent5 2 5 7" xfId="18931"/>
    <cellStyle name="20% - Accent5 2 5 8" xfId="18900"/>
    <cellStyle name="20% - Accent5 2 6" xfId="568"/>
    <cellStyle name="20% - Accent5 2 6 2" xfId="1275"/>
    <cellStyle name="20% - Accent5 2 6 2 2" xfId="2840"/>
    <cellStyle name="20% - Accent5 2 6 2 2 2" xfId="9125"/>
    <cellStyle name="20% - Accent5 2 6 2 2 2 2" xfId="18936"/>
    <cellStyle name="20% - Accent5 2 6 2 2 2 3" xfId="18935"/>
    <cellStyle name="20% - Accent5 2 6 2 2 3" xfId="5998"/>
    <cellStyle name="20% - Accent5 2 6 2 2 3 2" xfId="18938"/>
    <cellStyle name="20% - Accent5 2 6 2 2 3 3" xfId="18937"/>
    <cellStyle name="20% - Accent5 2 6 2 2 4" xfId="12308"/>
    <cellStyle name="20% - Accent5 2 6 2 2 4 2" xfId="18940"/>
    <cellStyle name="20% - Accent5 2 6 2 2 4 3" xfId="18939"/>
    <cellStyle name="20% - Accent5 2 6 2 2 5" xfId="18941"/>
    <cellStyle name="20% - Accent5 2 6 2 2 6" xfId="18934"/>
    <cellStyle name="20% - Accent5 2 6 2 3" xfId="7562"/>
    <cellStyle name="20% - Accent5 2 6 2 3 2" xfId="18943"/>
    <cellStyle name="20% - Accent5 2 6 2 3 3" xfId="18942"/>
    <cellStyle name="20% - Accent5 2 6 2 4" xfId="4435"/>
    <cellStyle name="20% - Accent5 2 6 2 4 2" xfId="18945"/>
    <cellStyle name="20% - Accent5 2 6 2 4 3" xfId="18944"/>
    <cellStyle name="20% - Accent5 2 6 2 5" xfId="10745"/>
    <cellStyle name="20% - Accent5 2 6 2 5 2" xfId="18947"/>
    <cellStyle name="20% - Accent5 2 6 2 5 3" xfId="18946"/>
    <cellStyle name="20% - Accent5 2 6 2 6" xfId="18948"/>
    <cellStyle name="20% - Accent5 2 6 2 7" xfId="18933"/>
    <cellStyle name="20% - Accent5 2 6 3" xfId="2160"/>
    <cellStyle name="20% - Accent5 2 6 3 2" xfId="8445"/>
    <cellStyle name="20% - Accent5 2 6 3 2 2" xfId="18951"/>
    <cellStyle name="20% - Accent5 2 6 3 2 3" xfId="18950"/>
    <cellStyle name="20% - Accent5 2 6 3 3" xfId="5318"/>
    <cellStyle name="20% - Accent5 2 6 3 3 2" xfId="18953"/>
    <cellStyle name="20% - Accent5 2 6 3 3 3" xfId="18952"/>
    <cellStyle name="20% - Accent5 2 6 3 4" xfId="11628"/>
    <cellStyle name="20% - Accent5 2 6 3 4 2" xfId="18955"/>
    <cellStyle name="20% - Accent5 2 6 3 4 3" xfId="18954"/>
    <cellStyle name="20% - Accent5 2 6 3 5" xfId="18956"/>
    <cellStyle name="20% - Accent5 2 6 3 6" xfId="18949"/>
    <cellStyle name="20% - Accent5 2 6 4" xfId="6882"/>
    <cellStyle name="20% - Accent5 2 6 4 2" xfId="18958"/>
    <cellStyle name="20% - Accent5 2 6 4 3" xfId="18957"/>
    <cellStyle name="20% - Accent5 2 6 5" xfId="3755"/>
    <cellStyle name="20% - Accent5 2 6 5 2" xfId="18960"/>
    <cellStyle name="20% - Accent5 2 6 5 3" xfId="18959"/>
    <cellStyle name="20% - Accent5 2 6 6" xfId="10187"/>
    <cellStyle name="20% - Accent5 2 6 6 2" xfId="18962"/>
    <cellStyle name="20% - Accent5 2 6 6 3" xfId="18961"/>
    <cellStyle name="20% - Accent5 2 6 7" xfId="18963"/>
    <cellStyle name="20% - Accent5 2 6 8" xfId="18932"/>
    <cellStyle name="20% - Accent5 2 7" xfId="627"/>
    <cellStyle name="20% - Accent5 2 7 2" xfId="1332"/>
    <cellStyle name="20% - Accent5 2 7 2 2" xfId="2897"/>
    <cellStyle name="20% - Accent5 2 7 2 2 2" xfId="9182"/>
    <cellStyle name="20% - Accent5 2 7 2 2 2 2" xfId="18968"/>
    <cellStyle name="20% - Accent5 2 7 2 2 2 3" xfId="18967"/>
    <cellStyle name="20% - Accent5 2 7 2 2 3" xfId="6055"/>
    <cellStyle name="20% - Accent5 2 7 2 2 3 2" xfId="18970"/>
    <cellStyle name="20% - Accent5 2 7 2 2 3 3" xfId="18969"/>
    <cellStyle name="20% - Accent5 2 7 2 2 4" xfId="12365"/>
    <cellStyle name="20% - Accent5 2 7 2 2 4 2" xfId="18972"/>
    <cellStyle name="20% - Accent5 2 7 2 2 4 3" xfId="18971"/>
    <cellStyle name="20% - Accent5 2 7 2 2 5" xfId="18973"/>
    <cellStyle name="20% - Accent5 2 7 2 2 6" xfId="18966"/>
    <cellStyle name="20% - Accent5 2 7 2 3" xfId="7619"/>
    <cellStyle name="20% - Accent5 2 7 2 3 2" xfId="18975"/>
    <cellStyle name="20% - Accent5 2 7 2 3 3" xfId="18974"/>
    <cellStyle name="20% - Accent5 2 7 2 4" xfId="4492"/>
    <cellStyle name="20% - Accent5 2 7 2 4 2" xfId="18977"/>
    <cellStyle name="20% - Accent5 2 7 2 4 3" xfId="18976"/>
    <cellStyle name="20% - Accent5 2 7 2 5" xfId="10802"/>
    <cellStyle name="20% - Accent5 2 7 2 5 2" xfId="18979"/>
    <cellStyle name="20% - Accent5 2 7 2 5 3" xfId="18978"/>
    <cellStyle name="20% - Accent5 2 7 2 6" xfId="18980"/>
    <cellStyle name="20% - Accent5 2 7 2 7" xfId="18965"/>
    <cellStyle name="20% - Accent5 2 7 3" xfId="2217"/>
    <cellStyle name="20% - Accent5 2 7 3 2" xfId="8502"/>
    <cellStyle name="20% - Accent5 2 7 3 2 2" xfId="18983"/>
    <cellStyle name="20% - Accent5 2 7 3 2 3" xfId="18982"/>
    <cellStyle name="20% - Accent5 2 7 3 3" xfId="5375"/>
    <cellStyle name="20% - Accent5 2 7 3 3 2" xfId="18985"/>
    <cellStyle name="20% - Accent5 2 7 3 3 3" xfId="18984"/>
    <cellStyle name="20% - Accent5 2 7 3 4" xfId="11685"/>
    <cellStyle name="20% - Accent5 2 7 3 4 2" xfId="18987"/>
    <cellStyle name="20% - Accent5 2 7 3 4 3" xfId="18986"/>
    <cellStyle name="20% - Accent5 2 7 3 5" xfId="18988"/>
    <cellStyle name="20% - Accent5 2 7 3 6" xfId="18981"/>
    <cellStyle name="20% - Accent5 2 7 4" xfId="6939"/>
    <cellStyle name="20% - Accent5 2 7 4 2" xfId="18990"/>
    <cellStyle name="20% - Accent5 2 7 4 3" xfId="18989"/>
    <cellStyle name="20% - Accent5 2 7 5" xfId="3812"/>
    <cellStyle name="20% - Accent5 2 7 5 2" xfId="18992"/>
    <cellStyle name="20% - Accent5 2 7 5 3" xfId="18991"/>
    <cellStyle name="20% - Accent5 2 7 6" xfId="10245"/>
    <cellStyle name="20% - Accent5 2 7 6 2" xfId="18994"/>
    <cellStyle name="20% - Accent5 2 7 6 3" xfId="18993"/>
    <cellStyle name="20% - Accent5 2 7 7" xfId="18995"/>
    <cellStyle name="20% - Accent5 2 7 8" xfId="18964"/>
    <cellStyle name="20% - Accent5 2 8" xfId="862"/>
    <cellStyle name="20% - Accent5 2 8 2" xfId="2428"/>
    <cellStyle name="20% - Accent5 2 8 2 2" xfId="8713"/>
    <cellStyle name="20% - Accent5 2 8 2 2 2" xfId="18999"/>
    <cellStyle name="20% - Accent5 2 8 2 2 3" xfId="18998"/>
    <cellStyle name="20% - Accent5 2 8 2 3" xfId="5586"/>
    <cellStyle name="20% - Accent5 2 8 2 3 2" xfId="19001"/>
    <cellStyle name="20% - Accent5 2 8 2 3 3" xfId="19000"/>
    <cellStyle name="20% - Accent5 2 8 2 4" xfId="11896"/>
    <cellStyle name="20% - Accent5 2 8 2 4 2" xfId="19003"/>
    <cellStyle name="20% - Accent5 2 8 2 4 3" xfId="19002"/>
    <cellStyle name="20% - Accent5 2 8 2 5" xfId="19004"/>
    <cellStyle name="20% - Accent5 2 8 2 6" xfId="18997"/>
    <cellStyle name="20% - Accent5 2 8 3" xfId="7150"/>
    <cellStyle name="20% - Accent5 2 8 3 2" xfId="19006"/>
    <cellStyle name="20% - Accent5 2 8 3 3" xfId="19005"/>
    <cellStyle name="20% - Accent5 2 8 4" xfId="4023"/>
    <cellStyle name="20% - Accent5 2 8 4 2" xfId="19008"/>
    <cellStyle name="20% - Accent5 2 8 4 3" xfId="19007"/>
    <cellStyle name="20% - Accent5 2 8 5" xfId="10333"/>
    <cellStyle name="20% - Accent5 2 8 5 2" xfId="19010"/>
    <cellStyle name="20% - Accent5 2 8 5 3" xfId="19009"/>
    <cellStyle name="20% - Accent5 2 8 6" xfId="19011"/>
    <cellStyle name="20% - Accent5 2 8 7" xfId="18996"/>
    <cellStyle name="20% - Accent5 2 9" xfId="1534"/>
    <cellStyle name="20% - Accent5 2 9 2" xfId="3099"/>
    <cellStyle name="20% - Accent5 2 9 2 2" xfId="9384"/>
    <cellStyle name="20% - Accent5 2 9 2 2 2" xfId="19015"/>
    <cellStyle name="20% - Accent5 2 9 2 2 3" xfId="19014"/>
    <cellStyle name="20% - Accent5 2 9 2 3" xfId="6257"/>
    <cellStyle name="20% - Accent5 2 9 2 3 2" xfId="19017"/>
    <cellStyle name="20% - Accent5 2 9 2 3 3" xfId="19016"/>
    <cellStyle name="20% - Accent5 2 9 2 4" xfId="12567"/>
    <cellStyle name="20% - Accent5 2 9 2 4 2" xfId="19019"/>
    <cellStyle name="20% - Accent5 2 9 2 4 3" xfId="19018"/>
    <cellStyle name="20% - Accent5 2 9 2 5" xfId="19020"/>
    <cellStyle name="20% - Accent5 2 9 2 6" xfId="19013"/>
    <cellStyle name="20% - Accent5 2 9 3" xfId="7821"/>
    <cellStyle name="20% - Accent5 2 9 3 2" xfId="19022"/>
    <cellStyle name="20% - Accent5 2 9 3 3" xfId="19021"/>
    <cellStyle name="20% - Accent5 2 9 4" xfId="4694"/>
    <cellStyle name="20% - Accent5 2 9 4 2" xfId="19024"/>
    <cellStyle name="20% - Accent5 2 9 4 3" xfId="19023"/>
    <cellStyle name="20% - Accent5 2 9 5" xfId="11004"/>
    <cellStyle name="20% - Accent5 2 9 5 2" xfId="19026"/>
    <cellStyle name="20% - Accent5 2 9 5 3" xfId="19025"/>
    <cellStyle name="20% - Accent5 2 9 6" xfId="19027"/>
    <cellStyle name="20% - Accent5 2 9 7" xfId="19012"/>
    <cellStyle name="20% - Accent5 20" xfId="1733"/>
    <cellStyle name="20% - Accent5 20 2" xfId="8020"/>
    <cellStyle name="20% - Accent5 20 2 2" xfId="19030"/>
    <cellStyle name="20% - Accent5 20 2 3" xfId="19029"/>
    <cellStyle name="20% - Accent5 20 3" xfId="4893"/>
    <cellStyle name="20% - Accent5 20 3 2" xfId="19032"/>
    <cellStyle name="20% - Accent5 20 3 3" xfId="19031"/>
    <cellStyle name="20% - Accent5 20 4" xfId="11203"/>
    <cellStyle name="20% - Accent5 20 4 2" xfId="19034"/>
    <cellStyle name="20% - Accent5 20 4 3" xfId="19033"/>
    <cellStyle name="20% - Accent5 20 5" xfId="19035"/>
    <cellStyle name="20% - Accent5 20 6" xfId="19028"/>
    <cellStyle name="20% - Accent5 21" xfId="112"/>
    <cellStyle name="20% - Accent5 21 2" xfId="6457"/>
    <cellStyle name="20% - Accent5 21 2 2" xfId="19038"/>
    <cellStyle name="20% - Accent5 21 2 3" xfId="19037"/>
    <cellStyle name="20% - Accent5 21 3" xfId="19039"/>
    <cellStyle name="20% - Accent5 21 4" xfId="19036"/>
    <cellStyle name="20% - Accent5 22" xfId="3301"/>
    <cellStyle name="20% - Accent5 22 2" xfId="9584"/>
    <cellStyle name="20% - Accent5 22 2 2" xfId="19042"/>
    <cellStyle name="20% - Accent5 22 2 3" xfId="19041"/>
    <cellStyle name="20% - Accent5 22 3" xfId="19043"/>
    <cellStyle name="20% - Accent5 22 4" xfId="19040"/>
    <cellStyle name="20% - Accent5 23" xfId="3330"/>
    <cellStyle name="20% - Accent5 23 2" xfId="19045"/>
    <cellStyle name="20% - Accent5 23 3" xfId="19044"/>
    <cellStyle name="20% - Accent5 24" xfId="9637"/>
    <cellStyle name="20% - Accent5 24 2" xfId="19047"/>
    <cellStyle name="20% - Accent5 24 3" xfId="19046"/>
    <cellStyle name="20% - Accent5 25" xfId="19048"/>
    <cellStyle name="20% - Accent5 26" xfId="18461"/>
    <cellStyle name="20% - Accent5 27" xfId="38132"/>
    <cellStyle name="20% - Accent5 3" xfId="81"/>
    <cellStyle name="20% - Accent5 3 10" xfId="1762"/>
    <cellStyle name="20% - Accent5 3 10 2" xfId="8047"/>
    <cellStyle name="20% - Accent5 3 10 2 2" xfId="19052"/>
    <cellStyle name="20% - Accent5 3 10 2 3" xfId="19051"/>
    <cellStyle name="20% - Accent5 3 10 3" xfId="4920"/>
    <cellStyle name="20% - Accent5 3 10 3 2" xfId="19054"/>
    <cellStyle name="20% - Accent5 3 10 3 3" xfId="19053"/>
    <cellStyle name="20% - Accent5 3 10 4" xfId="11230"/>
    <cellStyle name="20% - Accent5 3 10 4 2" xfId="19056"/>
    <cellStyle name="20% - Accent5 3 10 4 3" xfId="19055"/>
    <cellStyle name="20% - Accent5 3 10 5" xfId="19057"/>
    <cellStyle name="20% - Accent5 3 10 6" xfId="19050"/>
    <cellStyle name="20% - Accent5 3 11" xfId="139"/>
    <cellStyle name="20% - Accent5 3 11 2" xfId="6484"/>
    <cellStyle name="20% - Accent5 3 11 2 2" xfId="19060"/>
    <cellStyle name="20% - Accent5 3 11 2 3" xfId="19059"/>
    <cellStyle name="20% - Accent5 3 11 3" xfId="19061"/>
    <cellStyle name="20% - Accent5 3 11 4" xfId="19058"/>
    <cellStyle name="20% - Accent5 3 12" xfId="3357"/>
    <cellStyle name="20% - Accent5 3 12 2" xfId="19063"/>
    <cellStyle name="20% - Accent5 3 12 3" xfId="19062"/>
    <cellStyle name="20% - Accent5 3 13" xfId="9603"/>
    <cellStyle name="20% - Accent5 3 13 2" xfId="19065"/>
    <cellStyle name="20% - Accent5 3 13 3" xfId="19064"/>
    <cellStyle name="20% - Accent5 3 14" xfId="19066"/>
    <cellStyle name="20% - Accent5 3 15" xfId="19049"/>
    <cellStyle name="20% - Accent5 3 16" xfId="38134"/>
    <cellStyle name="20% - Accent5 3 2" xfId="159"/>
    <cellStyle name="20% - Accent5 3 2 2" xfId="298"/>
    <cellStyle name="20% - Accent5 3 2 2 2" xfId="1008"/>
    <cellStyle name="20% - Accent5 3 2 2 2 2" xfId="2574"/>
    <cellStyle name="20% - Accent5 3 2 2 2 2 2" xfId="8859"/>
    <cellStyle name="20% - Accent5 3 2 2 2 2 2 2" xfId="19072"/>
    <cellStyle name="20% - Accent5 3 2 2 2 2 2 3" xfId="19071"/>
    <cellStyle name="20% - Accent5 3 2 2 2 2 3" xfId="5732"/>
    <cellStyle name="20% - Accent5 3 2 2 2 2 3 2" xfId="19074"/>
    <cellStyle name="20% - Accent5 3 2 2 2 2 3 3" xfId="19073"/>
    <cellStyle name="20% - Accent5 3 2 2 2 2 4" xfId="12042"/>
    <cellStyle name="20% - Accent5 3 2 2 2 2 4 2" xfId="19076"/>
    <cellStyle name="20% - Accent5 3 2 2 2 2 4 3" xfId="19075"/>
    <cellStyle name="20% - Accent5 3 2 2 2 2 5" xfId="19077"/>
    <cellStyle name="20% - Accent5 3 2 2 2 2 6" xfId="19070"/>
    <cellStyle name="20% - Accent5 3 2 2 2 3" xfId="7296"/>
    <cellStyle name="20% - Accent5 3 2 2 2 3 2" xfId="19079"/>
    <cellStyle name="20% - Accent5 3 2 2 2 3 3" xfId="19078"/>
    <cellStyle name="20% - Accent5 3 2 2 2 4" xfId="4169"/>
    <cellStyle name="20% - Accent5 3 2 2 2 4 2" xfId="19081"/>
    <cellStyle name="20% - Accent5 3 2 2 2 4 3" xfId="19080"/>
    <cellStyle name="20% - Accent5 3 2 2 2 5" xfId="10479"/>
    <cellStyle name="20% - Accent5 3 2 2 2 5 2" xfId="19083"/>
    <cellStyle name="20% - Accent5 3 2 2 2 5 3" xfId="19082"/>
    <cellStyle name="20% - Accent5 3 2 2 2 6" xfId="19084"/>
    <cellStyle name="20% - Accent5 3 2 2 2 7" xfId="19069"/>
    <cellStyle name="20% - Accent5 3 2 2 3" xfId="1894"/>
    <cellStyle name="20% - Accent5 3 2 2 3 2" xfId="8179"/>
    <cellStyle name="20% - Accent5 3 2 2 3 2 2" xfId="19087"/>
    <cellStyle name="20% - Accent5 3 2 2 3 2 3" xfId="19086"/>
    <cellStyle name="20% - Accent5 3 2 2 3 3" xfId="5052"/>
    <cellStyle name="20% - Accent5 3 2 2 3 3 2" xfId="19089"/>
    <cellStyle name="20% - Accent5 3 2 2 3 3 3" xfId="19088"/>
    <cellStyle name="20% - Accent5 3 2 2 3 4" xfId="11362"/>
    <cellStyle name="20% - Accent5 3 2 2 3 4 2" xfId="19091"/>
    <cellStyle name="20% - Accent5 3 2 2 3 4 3" xfId="19090"/>
    <cellStyle name="20% - Accent5 3 2 2 3 5" xfId="19092"/>
    <cellStyle name="20% - Accent5 3 2 2 3 6" xfId="19085"/>
    <cellStyle name="20% - Accent5 3 2 2 4" xfId="6616"/>
    <cellStyle name="20% - Accent5 3 2 2 4 2" xfId="19094"/>
    <cellStyle name="20% - Accent5 3 2 2 4 3" xfId="19093"/>
    <cellStyle name="20% - Accent5 3 2 2 5" xfId="3489"/>
    <cellStyle name="20% - Accent5 3 2 2 5 2" xfId="19096"/>
    <cellStyle name="20% - Accent5 3 2 2 5 3" xfId="19095"/>
    <cellStyle name="20% - Accent5 3 2 2 6" xfId="9951"/>
    <cellStyle name="20% - Accent5 3 2 2 6 2" xfId="19098"/>
    <cellStyle name="20% - Accent5 3 2 2 6 3" xfId="19097"/>
    <cellStyle name="20% - Accent5 3 2 2 7" xfId="19099"/>
    <cellStyle name="20% - Accent5 3 2 2 8" xfId="19068"/>
    <cellStyle name="20% - Accent5 3 2 3" xfId="895"/>
    <cellStyle name="20% - Accent5 3 2 3 2" xfId="2461"/>
    <cellStyle name="20% - Accent5 3 2 3 2 2" xfId="8746"/>
    <cellStyle name="20% - Accent5 3 2 3 2 2 2" xfId="19103"/>
    <cellStyle name="20% - Accent5 3 2 3 2 2 3" xfId="19102"/>
    <cellStyle name="20% - Accent5 3 2 3 2 3" xfId="5619"/>
    <cellStyle name="20% - Accent5 3 2 3 2 3 2" xfId="19105"/>
    <cellStyle name="20% - Accent5 3 2 3 2 3 3" xfId="19104"/>
    <cellStyle name="20% - Accent5 3 2 3 2 4" xfId="11929"/>
    <cellStyle name="20% - Accent5 3 2 3 2 4 2" xfId="19107"/>
    <cellStyle name="20% - Accent5 3 2 3 2 4 3" xfId="19106"/>
    <cellStyle name="20% - Accent5 3 2 3 2 5" xfId="19108"/>
    <cellStyle name="20% - Accent5 3 2 3 2 6" xfId="19101"/>
    <cellStyle name="20% - Accent5 3 2 3 3" xfId="7183"/>
    <cellStyle name="20% - Accent5 3 2 3 3 2" xfId="19110"/>
    <cellStyle name="20% - Accent5 3 2 3 3 3" xfId="19109"/>
    <cellStyle name="20% - Accent5 3 2 3 4" xfId="4056"/>
    <cellStyle name="20% - Accent5 3 2 3 4 2" xfId="19112"/>
    <cellStyle name="20% - Accent5 3 2 3 4 3" xfId="19111"/>
    <cellStyle name="20% - Accent5 3 2 3 5" xfId="10366"/>
    <cellStyle name="20% - Accent5 3 2 3 5 2" xfId="19114"/>
    <cellStyle name="20% - Accent5 3 2 3 5 3" xfId="19113"/>
    <cellStyle name="20% - Accent5 3 2 3 6" xfId="19115"/>
    <cellStyle name="20% - Accent5 3 2 3 7" xfId="19100"/>
    <cellStyle name="20% - Accent5 3 2 4" xfId="1781"/>
    <cellStyle name="20% - Accent5 3 2 4 2" xfId="8066"/>
    <cellStyle name="20% - Accent5 3 2 4 2 2" xfId="19118"/>
    <cellStyle name="20% - Accent5 3 2 4 2 3" xfId="19117"/>
    <cellStyle name="20% - Accent5 3 2 4 3" xfId="4939"/>
    <cellStyle name="20% - Accent5 3 2 4 3 2" xfId="19120"/>
    <cellStyle name="20% - Accent5 3 2 4 3 3" xfId="19119"/>
    <cellStyle name="20% - Accent5 3 2 4 4" xfId="11249"/>
    <cellStyle name="20% - Accent5 3 2 4 4 2" xfId="19122"/>
    <cellStyle name="20% - Accent5 3 2 4 4 3" xfId="19121"/>
    <cellStyle name="20% - Accent5 3 2 4 5" xfId="19123"/>
    <cellStyle name="20% - Accent5 3 2 4 6" xfId="19116"/>
    <cellStyle name="20% - Accent5 3 2 5" xfId="6503"/>
    <cellStyle name="20% - Accent5 3 2 5 2" xfId="19125"/>
    <cellStyle name="20% - Accent5 3 2 5 3" xfId="19124"/>
    <cellStyle name="20% - Accent5 3 2 6" xfId="3376"/>
    <cellStyle name="20% - Accent5 3 2 6 2" xfId="19127"/>
    <cellStyle name="20% - Accent5 3 2 6 3" xfId="19126"/>
    <cellStyle name="20% - Accent5 3 2 7" xfId="9920"/>
    <cellStyle name="20% - Accent5 3 2 7 2" xfId="19129"/>
    <cellStyle name="20% - Accent5 3 2 7 3" xfId="19128"/>
    <cellStyle name="20% - Accent5 3 2 8" xfId="19130"/>
    <cellStyle name="20% - Accent5 3 2 9" xfId="19067"/>
    <cellStyle name="20% - Accent5 3 3" xfId="235"/>
    <cellStyle name="20% - Accent5 3 3 2" xfId="946"/>
    <cellStyle name="20% - Accent5 3 3 2 2" xfId="2512"/>
    <cellStyle name="20% - Accent5 3 3 2 2 2" xfId="8797"/>
    <cellStyle name="20% - Accent5 3 3 2 2 2 2" xfId="19135"/>
    <cellStyle name="20% - Accent5 3 3 2 2 2 3" xfId="19134"/>
    <cellStyle name="20% - Accent5 3 3 2 2 3" xfId="5670"/>
    <cellStyle name="20% - Accent5 3 3 2 2 3 2" xfId="19137"/>
    <cellStyle name="20% - Accent5 3 3 2 2 3 3" xfId="19136"/>
    <cellStyle name="20% - Accent5 3 3 2 2 4" xfId="11980"/>
    <cellStyle name="20% - Accent5 3 3 2 2 4 2" xfId="19139"/>
    <cellStyle name="20% - Accent5 3 3 2 2 4 3" xfId="19138"/>
    <cellStyle name="20% - Accent5 3 3 2 2 5" xfId="19140"/>
    <cellStyle name="20% - Accent5 3 3 2 2 6" xfId="19133"/>
    <cellStyle name="20% - Accent5 3 3 2 3" xfId="7234"/>
    <cellStyle name="20% - Accent5 3 3 2 3 2" xfId="19142"/>
    <cellStyle name="20% - Accent5 3 3 2 3 3" xfId="19141"/>
    <cellStyle name="20% - Accent5 3 3 2 4" xfId="4107"/>
    <cellStyle name="20% - Accent5 3 3 2 4 2" xfId="19144"/>
    <cellStyle name="20% - Accent5 3 3 2 4 3" xfId="19143"/>
    <cellStyle name="20% - Accent5 3 3 2 5" xfId="10417"/>
    <cellStyle name="20% - Accent5 3 3 2 5 2" xfId="19146"/>
    <cellStyle name="20% - Accent5 3 3 2 5 3" xfId="19145"/>
    <cellStyle name="20% - Accent5 3 3 2 6" xfId="19147"/>
    <cellStyle name="20% - Accent5 3 3 2 7" xfId="19132"/>
    <cellStyle name="20% - Accent5 3 3 3" xfId="1832"/>
    <cellStyle name="20% - Accent5 3 3 3 2" xfId="8117"/>
    <cellStyle name="20% - Accent5 3 3 3 2 2" xfId="19150"/>
    <cellStyle name="20% - Accent5 3 3 3 2 3" xfId="19149"/>
    <cellStyle name="20% - Accent5 3 3 3 3" xfId="4990"/>
    <cellStyle name="20% - Accent5 3 3 3 3 2" xfId="19152"/>
    <cellStyle name="20% - Accent5 3 3 3 3 3" xfId="19151"/>
    <cellStyle name="20% - Accent5 3 3 3 4" xfId="11300"/>
    <cellStyle name="20% - Accent5 3 3 3 4 2" xfId="19154"/>
    <cellStyle name="20% - Accent5 3 3 3 4 3" xfId="19153"/>
    <cellStyle name="20% - Accent5 3 3 3 5" xfId="19155"/>
    <cellStyle name="20% - Accent5 3 3 3 6" xfId="19148"/>
    <cellStyle name="20% - Accent5 3 3 4" xfId="6554"/>
    <cellStyle name="20% - Accent5 3 3 4 2" xfId="19157"/>
    <cellStyle name="20% - Accent5 3 3 4 3" xfId="19156"/>
    <cellStyle name="20% - Accent5 3 3 5" xfId="3427"/>
    <cellStyle name="20% - Accent5 3 3 5 2" xfId="19159"/>
    <cellStyle name="20% - Accent5 3 3 5 3" xfId="19158"/>
    <cellStyle name="20% - Accent5 3 3 6" xfId="9855"/>
    <cellStyle name="20% - Accent5 3 3 6 2" xfId="19161"/>
    <cellStyle name="20% - Accent5 3 3 6 3" xfId="19160"/>
    <cellStyle name="20% - Accent5 3 3 7" xfId="19162"/>
    <cellStyle name="20% - Accent5 3 3 8" xfId="19131"/>
    <cellStyle name="20% - Accent5 3 4" xfId="342"/>
    <cellStyle name="20% - Accent5 3 4 2" xfId="1050"/>
    <cellStyle name="20% - Accent5 3 4 2 2" xfId="2616"/>
    <cellStyle name="20% - Accent5 3 4 2 2 2" xfId="8901"/>
    <cellStyle name="20% - Accent5 3 4 2 2 2 2" xfId="19167"/>
    <cellStyle name="20% - Accent5 3 4 2 2 2 3" xfId="19166"/>
    <cellStyle name="20% - Accent5 3 4 2 2 3" xfId="5774"/>
    <cellStyle name="20% - Accent5 3 4 2 2 3 2" xfId="19169"/>
    <cellStyle name="20% - Accent5 3 4 2 2 3 3" xfId="19168"/>
    <cellStyle name="20% - Accent5 3 4 2 2 4" xfId="12084"/>
    <cellStyle name="20% - Accent5 3 4 2 2 4 2" xfId="19171"/>
    <cellStyle name="20% - Accent5 3 4 2 2 4 3" xfId="19170"/>
    <cellStyle name="20% - Accent5 3 4 2 2 5" xfId="19172"/>
    <cellStyle name="20% - Accent5 3 4 2 2 6" xfId="19165"/>
    <cellStyle name="20% - Accent5 3 4 2 3" xfId="7338"/>
    <cellStyle name="20% - Accent5 3 4 2 3 2" xfId="19174"/>
    <cellStyle name="20% - Accent5 3 4 2 3 3" xfId="19173"/>
    <cellStyle name="20% - Accent5 3 4 2 4" xfId="4211"/>
    <cellStyle name="20% - Accent5 3 4 2 4 2" xfId="19176"/>
    <cellStyle name="20% - Accent5 3 4 2 4 3" xfId="19175"/>
    <cellStyle name="20% - Accent5 3 4 2 5" xfId="10521"/>
    <cellStyle name="20% - Accent5 3 4 2 5 2" xfId="19178"/>
    <cellStyle name="20% - Accent5 3 4 2 5 3" xfId="19177"/>
    <cellStyle name="20% - Accent5 3 4 2 6" xfId="19179"/>
    <cellStyle name="20% - Accent5 3 4 2 7" xfId="19164"/>
    <cellStyle name="20% - Accent5 3 4 3" xfId="1936"/>
    <cellStyle name="20% - Accent5 3 4 3 2" xfId="8221"/>
    <cellStyle name="20% - Accent5 3 4 3 2 2" xfId="19182"/>
    <cellStyle name="20% - Accent5 3 4 3 2 3" xfId="19181"/>
    <cellStyle name="20% - Accent5 3 4 3 3" xfId="5094"/>
    <cellStyle name="20% - Accent5 3 4 3 3 2" xfId="19184"/>
    <cellStyle name="20% - Accent5 3 4 3 3 3" xfId="19183"/>
    <cellStyle name="20% - Accent5 3 4 3 4" xfId="11404"/>
    <cellStyle name="20% - Accent5 3 4 3 4 2" xfId="19186"/>
    <cellStyle name="20% - Accent5 3 4 3 4 3" xfId="19185"/>
    <cellStyle name="20% - Accent5 3 4 3 5" xfId="19187"/>
    <cellStyle name="20% - Accent5 3 4 3 6" xfId="19180"/>
    <cellStyle name="20% - Accent5 3 4 4" xfId="6658"/>
    <cellStyle name="20% - Accent5 3 4 4 2" xfId="19189"/>
    <cellStyle name="20% - Accent5 3 4 4 3" xfId="19188"/>
    <cellStyle name="20% - Accent5 3 4 5" xfId="3531"/>
    <cellStyle name="20% - Accent5 3 4 5 2" xfId="19191"/>
    <cellStyle name="20% - Accent5 3 4 5 3" xfId="19190"/>
    <cellStyle name="20% - Accent5 3 4 6" xfId="9963"/>
    <cellStyle name="20% - Accent5 3 4 6 2" xfId="19193"/>
    <cellStyle name="20% - Accent5 3 4 6 3" xfId="19192"/>
    <cellStyle name="20% - Accent5 3 4 7" xfId="19194"/>
    <cellStyle name="20% - Accent5 3 4 8" xfId="19163"/>
    <cellStyle name="20% - Accent5 3 5" xfId="390"/>
    <cellStyle name="20% - Accent5 3 5 2" xfId="1097"/>
    <cellStyle name="20% - Accent5 3 5 2 2" xfId="2662"/>
    <cellStyle name="20% - Accent5 3 5 2 2 2" xfId="8947"/>
    <cellStyle name="20% - Accent5 3 5 2 2 2 2" xfId="19199"/>
    <cellStyle name="20% - Accent5 3 5 2 2 2 3" xfId="19198"/>
    <cellStyle name="20% - Accent5 3 5 2 2 3" xfId="5820"/>
    <cellStyle name="20% - Accent5 3 5 2 2 3 2" xfId="19201"/>
    <cellStyle name="20% - Accent5 3 5 2 2 3 3" xfId="19200"/>
    <cellStyle name="20% - Accent5 3 5 2 2 4" xfId="12130"/>
    <cellStyle name="20% - Accent5 3 5 2 2 4 2" xfId="19203"/>
    <cellStyle name="20% - Accent5 3 5 2 2 4 3" xfId="19202"/>
    <cellStyle name="20% - Accent5 3 5 2 2 5" xfId="19204"/>
    <cellStyle name="20% - Accent5 3 5 2 2 6" xfId="19197"/>
    <cellStyle name="20% - Accent5 3 5 2 3" xfId="7384"/>
    <cellStyle name="20% - Accent5 3 5 2 3 2" xfId="19206"/>
    <cellStyle name="20% - Accent5 3 5 2 3 3" xfId="19205"/>
    <cellStyle name="20% - Accent5 3 5 2 4" xfId="4257"/>
    <cellStyle name="20% - Accent5 3 5 2 4 2" xfId="19208"/>
    <cellStyle name="20% - Accent5 3 5 2 4 3" xfId="19207"/>
    <cellStyle name="20% - Accent5 3 5 2 5" xfId="10567"/>
    <cellStyle name="20% - Accent5 3 5 2 5 2" xfId="19210"/>
    <cellStyle name="20% - Accent5 3 5 2 5 3" xfId="19209"/>
    <cellStyle name="20% - Accent5 3 5 2 6" xfId="19211"/>
    <cellStyle name="20% - Accent5 3 5 2 7" xfId="19196"/>
    <cellStyle name="20% - Accent5 3 5 3" xfId="1982"/>
    <cellStyle name="20% - Accent5 3 5 3 2" xfId="8267"/>
    <cellStyle name="20% - Accent5 3 5 3 2 2" xfId="19214"/>
    <cellStyle name="20% - Accent5 3 5 3 2 3" xfId="19213"/>
    <cellStyle name="20% - Accent5 3 5 3 3" xfId="5140"/>
    <cellStyle name="20% - Accent5 3 5 3 3 2" xfId="19216"/>
    <cellStyle name="20% - Accent5 3 5 3 3 3" xfId="19215"/>
    <cellStyle name="20% - Accent5 3 5 3 4" xfId="11450"/>
    <cellStyle name="20% - Accent5 3 5 3 4 2" xfId="19218"/>
    <cellStyle name="20% - Accent5 3 5 3 4 3" xfId="19217"/>
    <cellStyle name="20% - Accent5 3 5 3 5" xfId="19219"/>
    <cellStyle name="20% - Accent5 3 5 3 6" xfId="19212"/>
    <cellStyle name="20% - Accent5 3 5 4" xfId="6704"/>
    <cellStyle name="20% - Accent5 3 5 4 2" xfId="19221"/>
    <cellStyle name="20% - Accent5 3 5 4 3" xfId="19220"/>
    <cellStyle name="20% - Accent5 3 5 5" xfId="3577"/>
    <cellStyle name="20% - Accent5 3 5 5 2" xfId="19223"/>
    <cellStyle name="20% - Accent5 3 5 5 3" xfId="19222"/>
    <cellStyle name="20% - Accent5 3 5 6" xfId="10010"/>
    <cellStyle name="20% - Accent5 3 5 6 2" xfId="19225"/>
    <cellStyle name="20% - Accent5 3 5 6 3" xfId="19224"/>
    <cellStyle name="20% - Accent5 3 5 7" xfId="19226"/>
    <cellStyle name="20% - Accent5 3 5 8" xfId="19195"/>
    <cellStyle name="20% - Accent5 3 6" xfId="569"/>
    <cellStyle name="20% - Accent5 3 6 2" xfId="1276"/>
    <cellStyle name="20% - Accent5 3 6 2 2" xfId="2841"/>
    <cellStyle name="20% - Accent5 3 6 2 2 2" xfId="9126"/>
    <cellStyle name="20% - Accent5 3 6 2 2 2 2" xfId="19231"/>
    <cellStyle name="20% - Accent5 3 6 2 2 2 3" xfId="19230"/>
    <cellStyle name="20% - Accent5 3 6 2 2 3" xfId="5999"/>
    <cellStyle name="20% - Accent5 3 6 2 2 3 2" xfId="19233"/>
    <cellStyle name="20% - Accent5 3 6 2 2 3 3" xfId="19232"/>
    <cellStyle name="20% - Accent5 3 6 2 2 4" xfId="12309"/>
    <cellStyle name="20% - Accent5 3 6 2 2 4 2" xfId="19235"/>
    <cellStyle name="20% - Accent5 3 6 2 2 4 3" xfId="19234"/>
    <cellStyle name="20% - Accent5 3 6 2 2 5" xfId="19236"/>
    <cellStyle name="20% - Accent5 3 6 2 2 6" xfId="19229"/>
    <cellStyle name="20% - Accent5 3 6 2 3" xfId="7563"/>
    <cellStyle name="20% - Accent5 3 6 2 3 2" xfId="19238"/>
    <cellStyle name="20% - Accent5 3 6 2 3 3" xfId="19237"/>
    <cellStyle name="20% - Accent5 3 6 2 4" xfId="4436"/>
    <cellStyle name="20% - Accent5 3 6 2 4 2" xfId="19240"/>
    <cellStyle name="20% - Accent5 3 6 2 4 3" xfId="19239"/>
    <cellStyle name="20% - Accent5 3 6 2 5" xfId="10746"/>
    <cellStyle name="20% - Accent5 3 6 2 5 2" xfId="19242"/>
    <cellStyle name="20% - Accent5 3 6 2 5 3" xfId="19241"/>
    <cellStyle name="20% - Accent5 3 6 2 6" xfId="19243"/>
    <cellStyle name="20% - Accent5 3 6 2 7" xfId="19228"/>
    <cellStyle name="20% - Accent5 3 6 3" xfId="2161"/>
    <cellStyle name="20% - Accent5 3 6 3 2" xfId="8446"/>
    <cellStyle name="20% - Accent5 3 6 3 2 2" xfId="19246"/>
    <cellStyle name="20% - Accent5 3 6 3 2 3" xfId="19245"/>
    <cellStyle name="20% - Accent5 3 6 3 3" xfId="5319"/>
    <cellStyle name="20% - Accent5 3 6 3 3 2" xfId="19248"/>
    <cellStyle name="20% - Accent5 3 6 3 3 3" xfId="19247"/>
    <cellStyle name="20% - Accent5 3 6 3 4" xfId="11629"/>
    <cellStyle name="20% - Accent5 3 6 3 4 2" xfId="19250"/>
    <cellStyle name="20% - Accent5 3 6 3 4 3" xfId="19249"/>
    <cellStyle name="20% - Accent5 3 6 3 5" xfId="19251"/>
    <cellStyle name="20% - Accent5 3 6 3 6" xfId="19244"/>
    <cellStyle name="20% - Accent5 3 6 4" xfId="6883"/>
    <cellStyle name="20% - Accent5 3 6 4 2" xfId="19253"/>
    <cellStyle name="20% - Accent5 3 6 4 3" xfId="19252"/>
    <cellStyle name="20% - Accent5 3 6 5" xfId="3756"/>
    <cellStyle name="20% - Accent5 3 6 5 2" xfId="19255"/>
    <cellStyle name="20% - Accent5 3 6 5 3" xfId="19254"/>
    <cellStyle name="20% - Accent5 3 6 6" xfId="10188"/>
    <cellStyle name="20% - Accent5 3 6 6 2" xfId="19257"/>
    <cellStyle name="20% - Accent5 3 6 6 3" xfId="19256"/>
    <cellStyle name="20% - Accent5 3 6 7" xfId="19258"/>
    <cellStyle name="20% - Accent5 3 6 8" xfId="19227"/>
    <cellStyle name="20% - Accent5 3 7" xfId="628"/>
    <cellStyle name="20% - Accent5 3 7 2" xfId="1333"/>
    <cellStyle name="20% - Accent5 3 7 2 2" xfId="2898"/>
    <cellStyle name="20% - Accent5 3 7 2 2 2" xfId="9183"/>
    <cellStyle name="20% - Accent5 3 7 2 2 2 2" xfId="19263"/>
    <cellStyle name="20% - Accent5 3 7 2 2 2 3" xfId="19262"/>
    <cellStyle name="20% - Accent5 3 7 2 2 3" xfId="6056"/>
    <cellStyle name="20% - Accent5 3 7 2 2 3 2" xfId="19265"/>
    <cellStyle name="20% - Accent5 3 7 2 2 3 3" xfId="19264"/>
    <cellStyle name="20% - Accent5 3 7 2 2 4" xfId="12366"/>
    <cellStyle name="20% - Accent5 3 7 2 2 4 2" xfId="19267"/>
    <cellStyle name="20% - Accent5 3 7 2 2 4 3" xfId="19266"/>
    <cellStyle name="20% - Accent5 3 7 2 2 5" xfId="19268"/>
    <cellStyle name="20% - Accent5 3 7 2 2 6" xfId="19261"/>
    <cellStyle name="20% - Accent5 3 7 2 3" xfId="7620"/>
    <cellStyle name="20% - Accent5 3 7 2 3 2" xfId="19270"/>
    <cellStyle name="20% - Accent5 3 7 2 3 3" xfId="19269"/>
    <cellStyle name="20% - Accent5 3 7 2 4" xfId="4493"/>
    <cellStyle name="20% - Accent5 3 7 2 4 2" xfId="19272"/>
    <cellStyle name="20% - Accent5 3 7 2 4 3" xfId="19271"/>
    <cellStyle name="20% - Accent5 3 7 2 5" xfId="10803"/>
    <cellStyle name="20% - Accent5 3 7 2 5 2" xfId="19274"/>
    <cellStyle name="20% - Accent5 3 7 2 5 3" xfId="19273"/>
    <cellStyle name="20% - Accent5 3 7 2 6" xfId="19275"/>
    <cellStyle name="20% - Accent5 3 7 2 7" xfId="19260"/>
    <cellStyle name="20% - Accent5 3 7 3" xfId="2218"/>
    <cellStyle name="20% - Accent5 3 7 3 2" xfId="8503"/>
    <cellStyle name="20% - Accent5 3 7 3 2 2" xfId="19278"/>
    <cellStyle name="20% - Accent5 3 7 3 2 3" xfId="19277"/>
    <cellStyle name="20% - Accent5 3 7 3 3" xfId="5376"/>
    <cellStyle name="20% - Accent5 3 7 3 3 2" xfId="19280"/>
    <cellStyle name="20% - Accent5 3 7 3 3 3" xfId="19279"/>
    <cellStyle name="20% - Accent5 3 7 3 4" xfId="11686"/>
    <cellStyle name="20% - Accent5 3 7 3 4 2" xfId="19282"/>
    <cellStyle name="20% - Accent5 3 7 3 4 3" xfId="19281"/>
    <cellStyle name="20% - Accent5 3 7 3 5" xfId="19283"/>
    <cellStyle name="20% - Accent5 3 7 3 6" xfId="19276"/>
    <cellStyle name="20% - Accent5 3 7 4" xfId="6940"/>
    <cellStyle name="20% - Accent5 3 7 4 2" xfId="19285"/>
    <cellStyle name="20% - Accent5 3 7 4 3" xfId="19284"/>
    <cellStyle name="20% - Accent5 3 7 5" xfId="3813"/>
    <cellStyle name="20% - Accent5 3 7 5 2" xfId="19287"/>
    <cellStyle name="20% - Accent5 3 7 5 3" xfId="19286"/>
    <cellStyle name="20% - Accent5 3 7 6" xfId="10246"/>
    <cellStyle name="20% - Accent5 3 7 6 2" xfId="19289"/>
    <cellStyle name="20% - Accent5 3 7 6 3" xfId="19288"/>
    <cellStyle name="20% - Accent5 3 7 7" xfId="19290"/>
    <cellStyle name="20% - Accent5 3 7 8" xfId="19259"/>
    <cellStyle name="20% - Accent5 3 8" xfId="876"/>
    <cellStyle name="20% - Accent5 3 8 2" xfId="2442"/>
    <cellStyle name="20% - Accent5 3 8 2 2" xfId="8727"/>
    <cellStyle name="20% - Accent5 3 8 2 2 2" xfId="19294"/>
    <cellStyle name="20% - Accent5 3 8 2 2 3" xfId="19293"/>
    <cellStyle name="20% - Accent5 3 8 2 3" xfId="5600"/>
    <cellStyle name="20% - Accent5 3 8 2 3 2" xfId="19296"/>
    <cellStyle name="20% - Accent5 3 8 2 3 3" xfId="19295"/>
    <cellStyle name="20% - Accent5 3 8 2 4" xfId="11910"/>
    <cellStyle name="20% - Accent5 3 8 2 4 2" xfId="19298"/>
    <cellStyle name="20% - Accent5 3 8 2 4 3" xfId="19297"/>
    <cellStyle name="20% - Accent5 3 8 2 5" xfId="19299"/>
    <cellStyle name="20% - Accent5 3 8 2 6" xfId="19292"/>
    <cellStyle name="20% - Accent5 3 8 3" xfId="7164"/>
    <cellStyle name="20% - Accent5 3 8 3 2" xfId="19301"/>
    <cellStyle name="20% - Accent5 3 8 3 3" xfId="19300"/>
    <cellStyle name="20% - Accent5 3 8 4" xfId="4037"/>
    <cellStyle name="20% - Accent5 3 8 4 2" xfId="19303"/>
    <cellStyle name="20% - Accent5 3 8 4 3" xfId="19302"/>
    <cellStyle name="20% - Accent5 3 8 5" xfId="10347"/>
    <cellStyle name="20% - Accent5 3 8 5 2" xfId="19305"/>
    <cellStyle name="20% - Accent5 3 8 5 3" xfId="19304"/>
    <cellStyle name="20% - Accent5 3 8 6" xfId="19306"/>
    <cellStyle name="20% - Accent5 3 8 7" xfId="19291"/>
    <cellStyle name="20% - Accent5 3 9" xfId="1535"/>
    <cellStyle name="20% - Accent5 3 9 2" xfId="3100"/>
    <cellStyle name="20% - Accent5 3 9 2 2" xfId="9385"/>
    <cellStyle name="20% - Accent5 3 9 2 2 2" xfId="19310"/>
    <cellStyle name="20% - Accent5 3 9 2 2 3" xfId="19309"/>
    <cellStyle name="20% - Accent5 3 9 2 3" xfId="6258"/>
    <cellStyle name="20% - Accent5 3 9 2 3 2" xfId="19312"/>
    <cellStyle name="20% - Accent5 3 9 2 3 3" xfId="19311"/>
    <cellStyle name="20% - Accent5 3 9 2 4" xfId="12568"/>
    <cellStyle name="20% - Accent5 3 9 2 4 2" xfId="19314"/>
    <cellStyle name="20% - Accent5 3 9 2 4 3" xfId="19313"/>
    <cellStyle name="20% - Accent5 3 9 2 5" xfId="19315"/>
    <cellStyle name="20% - Accent5 3 9 2 6" xfId="19308"/>
    <cellStyle name="20% - Accent5 3 9 3" xfId="7822"/>
    <cellStyle name="20% - Accent5 3 9 3 2" xfId="19317"/>
    <cellStyle name="20% - Accent5 3 9 3 3" xfId="19316"/>
    <cellStyle name="20% - Accent5 3 9 4" xfId="4695"/>
    <cellStyle name="20% - Accent5 3 9 4 2" xfId="19319"/>
    <cellStyle name="20% - Accent5 3 9 4 3" xfId="19318"/>
    <cellStyle name="20% - Accent5 3 9 5" xfId="11005"/>
    <cellStyle name="20% - Accent5 3 9 5 2" xfId="19321"/>
    <cellStyle name="20% - Accent5 3 9 5 3" xfId="19320"/>
    <cellStyle name="20% - Accent5 3 9 6" xfId="19322"/>
    <cellStyle name="20% - Accent5 3 9 7" xfId="19307"/>
    <cellStyle name="20% - Accent5 4" xfId="160"/>
    <cellStyle name="20% - Accent5 4 10" xfId="6504"/>
    <cellStyle name="20% - Accent5 4 10 2" xfId="19325"/>
    <cellStyle name="20% - Accent5 4 10 3" xfId="19324"/>
    <cellStyle name="20% - Accent5 4 11" xfId="3377"/>
    <cellStyle name="20% - Accent5 4 11 2" xfId="19327"/>
    <cellStyle name="20% - Accent5 4 11 3" xfId="19326"/>
    <cellStyle name="20% - Accent5 4 12" xfId="9604"/>
    <cellStyle name="20% - Accent5 4 12 2" xfId="19329"/>
    <cellStyle name="20% - Accent5 4 12 3" xfId="19328"/>
    <cellStyle name="20% - Accent5 4 13" xfId="19330"/>
    <cellStyle name="20% - Accent5 4 14" xfId="19323"/>
    <cellStyle name="20% - Accent5 4 2" xfId="236"/>
    <cellStyle name="20% - Accent5 4 2 2" xfId="947"/>
    <cellStyle name="20% - Accent5 4 2 2 2" xfId="2513"/>
    <cellStyle name="20% - Accent5 4 2 2 2 2" xfId="8798"/>
    <cellStyle name="20% - Accent5 4 2 2 2 2 2" xfId="19335"/>
    <cellStyle name="20% - Accent5 4 2 2 2 2 3" xfId="19334"/>
    <cellStyle name="20% - Accent5 4 2 2 2 3" xfId="5671"/>
    <cellStyle name="20% - Accent5 4 2 2 2 3 2" xfId="19337"/>
    <cellStyle name="20% - Accent5 4 2 2 2 3 3" xfId="19336"/>
    <cellStyle name="20% - Accent5 4 2 2 2 4" xfId="11981"/>
    <cellStyle name="20% - Accent5 4 2 2 2 4 2" xfId="19339"/>
    <cellStyle name="20% - Accent5 4 2 2 2 4 3" xfId="19338"/>
    <cellStyle name="20% - Accent5 4 2 2 2 5" xfId="19340"/>
    <cellStyle name="20% - Accent5 4 2 2 2 6" xfId="19333"/>
    <cellStyle name="20% - Accent5 4 2 2 3" xfId="7235"/>
    <cellStyle name="20% - Accent5 4 2 2 3 2" xfId="19342"/>
    <cellStyle name="20% - Accent5 4 2 2 3 3" xfId="19341"/>
    <cellStyle name="20% - Accent5 4 2 2 4" xfId="4108"/>
    <cellStyle name="20% - Accent5 4 2 2 4 2" xfId="19344"/>
    <cellStyle name="20% - Accent5 4 2 2 4 3" xfId="19343"/>
    <cellStyle name="20% - Accent5 4 2 2 5" xfId="10418"/>
    <cellStyle name="20% - Accent5 4 2 2 5 2" xfId="19346"/>
    <cellStyle name="20% - Accent5 4 2 2 5 3" xfId="19345"/>
    <cellStyle name="20% - Accent5 4 2 2 6" xfId="19347"/>
    <cellStyle name="20% - Accent5 4 2 2 7" xfId="19332"/>
    <cellStyle name="20% - Accent5 4 2 3" xfId="1833"/>
    <cellStyle name="20% - Accent5 4 2 3 2" xfId="8118"/>
    <cellStyle name="20% - Accent5 4 2 3 2 2" xfId="19350"/>
    <cellStyle name="20% - Accent5 4 2 3 2 3" xfId="19349"/>
    <cellStyle name="20% - Accent5 4 2 3 3" xfId="4991"/>
    <cellStyle name="20% - Accent5 4 2 3 3 2" xfId="19352"/>
    <cellStyle name="20% - Accent5 4 2 3 3 3" xfId="19351"/>
    <cellStyle name="20% - Accent5 4 2 3 4" xfId="11301"/>
    <cellStyle name="20% - Accent5 4 2 3 4 2" xfId="19354"/>
    <cellStyle name="20% - Accent5 4 2 3 4 3" xfId="19353"/>
    <cellStyle name="20% - Accent5 4 2 3 5" xfId="19355"/>
    <cellStyle name="20% - Accent5 4 2 3 6" xfId="19348"/>
    <cellStyle name="20% - Accent5 4 2 4" xfId="6555"/>
    <cellStyle name="20% - Accent5 4 2 4 2" xfId="19357"/>
    <cellStyle name="20% - Accent5 4 2 4 3" xfId="19356"/>
    <cellStyle name="20% - Accent5 4 2 5" xfId="3428"/>
    <cellStyle name="20% - Accent5 4 2 5 2" xfId="19359"/>
    <cellStyle name="20% - Accent5 4 2 5 3" xfId="19358"/>
    <cellStyle name="20% - Accent5 4 2 6" xfId="9927"/>
    <cellStyle name="20% - Accent5 4 2 6 2" xfId="19361"/>
    <cellStyle name="20% - Accent5 4 2 6 3" xfId="19360"/>
    <cellStyle name="20% - Accent5 4 2 7" xfId="19362"/>
    <cellStyle name="20% - Accent5 4 2 8" xfId="19331"/>
    <cellStyle name="20% - Accent5 4 3" xfId="343"/>
    <cellStyle name="20% - Accent5 4 3 2" xfId="1051"/>
    <cellStyle name="20% - Accent5 4 3 2 2" xfId="2617"/>
    <cellStyle name="20% - Accent5 4 3 2 2 2" xfId="8902"/>
    <cellStyle name="20% - Accent5 4 3 2 2 2 2" xfId="19367"/>
    <cellStyle name="20% - Accent5 4 3 2 2 2 3" xfId="19366"/>
    <cellStyle name="20% - Accent5 4 3 2 2 3" xfId="5775"/>
    <cellStyle name="20% - Accent5 4 3 2 2 3 2" xfId="19369"/>
    <cellStyle name="20% - Accent5 4 3 2 2 3 3" xfId="19368"/>
    <cellStyle name="20% - Accent5 4 3 2 2 4" xfId="12085"/>
    <cellStyle name="20% - Accent5 4 3 2 2 4 2" xfId="19371"/>
    <cellStyle name="20% - Accent5 4 3 2 2 4 3" xfId="19370"/>
    <cellStyle name="20% - Accent5 4 3 2 2 5" xfId="19372"/>
    <cellStyle name="20% - Accent5 4 3 2 2 6" xfId="19365"/>
    <cellStyle name="20% - Accent5 4 3 2 3" xfId="7339"/>
    <cellStyle name="20% - Accent5 4 3 2 3 2" xfId="19374"/>
    <cellStyle name="20% - Accent5 4 3 2 3 3" xfId="19373"/>
    <cellStyle name="20% - Accent5 4 3 2 4" xfId="4212"/>
    <cellStyle name="20% - Accent5 4 3 2 4 2" xfId="19376"/>
    <cellStyle name="20% - Accent5 4 3 2 4 3" xfId="19375"/>
    <cellStyle name="20% - Accent5 4 3 2 5" xfId="10522"/>
    <cellStyle name="20% - Accent5 4 3 2 5 2" xfId="19378"/>
    <cellStyle name="20% - Accent5 4 3 2 5 3" xfId="19377"/>
    <cellStyle name="20% - Accent5 4 3 2 6" xfId="19379"/>
    <cellStyle name="20% - Accent5 4 3 2 7" xfId="19364"/>
    <cellStyle name="20% - Accent5 4 3 3" xfId="1937"/>
    <cellStyle name="20% - Accent5 4 3 3 2" xfId="8222"/>
    <cellStyle name="20% - Accent5 4 3 3 2 2" xfId="19382"/>
    <cellStyle name="20% - Accent5 4 3 3 2 3" xfId="19381"/>
    <cellStyle name="20% - Accent5 4 3 3 3" xfId="5095"/>
    <cellStyle name="20% - Accent5 4 3 3 3 2" xfId="19384"/>
    <cellStyle name="20% - Accent5 4 3 3 3 3" xfId="19383"/>
    <cellStyle name="20% - Accent5 4 3 3 4" xfId="11405"/>
    <cellStyle name="20% - Accent5 4 3 3 4 2" xfId="19386"/>
    <cellStyle name="20% - Accent5 4 3 3 4 3" xfId="19385"/>
    <cellStyle name="20% - Accent5 4 3 3 5" xfId="19387"/>
    <cellStyle name="20% - Accent5 4 3 3 6" xfId="19380"/>
    <cellStyle name="20% - Accent5 4 3 4" xfId="6659"/>
    <cellStyle name="20% - Accent5 4 3 4 2" xfId="19389"/>
    <cellStyle name="20% - Accent5 4 3 4 3" xfId="19388"/>
    <cellStyle name="20% - Accent5 4 3 5" xfId="3532"/>
    <cellStyle name="20% - Accent5 4 3 5 2" xfId="19391"/>
    <cellStyle name="20% - Accent5 4 3 5 3" xfId="19390"/>
    <cellStyle name="20% - Accent5 4 3 6" xfId="9964"/>
    <cellStyle name="20% - Accent5 4 3 6 2" xfId="19393"/>
    <cellStyle name="20% - Accent5 4 3 6 3" xfId="19392"/>
    <cellStyle name="20% - Accent5 4 3 7" xfId="19394"/>
    <cellStyle name="20% - Accent5 4 3 8" xfId="19363"/>
    <cellStyle name="20% - Accent5 4 4" xfId="388"/>
    <cellStyle name="20% - Accent5 4 4 2" xfId="1095"/>
    <cellStyle name="20% - Accent5 4 4 2 2" xfId="2660"/>
    <cellStyle name="20% - Accent5 4 4 2 2 2" xfId="8945"/>
    <cellStyle name="20% - Accent5 4 4 2 2 2 2" xfId="19399"/>
    <cellStyle name="20% - Accent5 4 4 2 2 2 3" xfId="19398"/>
    <cellStyle name="20% - Accent5 4 4 2 2 3" xfId="5818"/>
    <cellStyle name="20% - Accent5 4 4 2 2 3 2" xfId="19401"/>
    <cellStyle name="20% - Accent5 4 4 2 2 3 3" xfId="19400"/>
    <cellStyle name="20% - Accent5 4 4 2 2 4" xfId="12128"/>
    <cellStyle name="20% - Accent5 4 4 2 2 4 2" xfId="19403"/>
    <cellStyle name="20% - Accent5 4 4 2 2 4 3" xfId="19402"/>
    <cellStyle name="20% - Accent5 4 4 2 2 5" xfId="19404"/>
    <cellStyle name="20% - Accent5 4 4 2 2 6" xfId="19397"/>
    <cellStyle name="20% - Accent5 4 4 2 3" xfId="7382"/>
    <cellStyle name="20% - Accent5 4 4 2 3 2" xfId="19406"/>
    <cellStyle name="20% - Accent5 4 4 2 3 3" xfId="19405"/>
    <cellStyle name="20% - Accent5 4 4 2 4" xfId="4255"/>
    <cellStyle name="20% - Accent5 4 4 2 4 2" xfId="19408"/>
    <cellStyle name="20% - Accent5 4 4 2 4 3" xfId="19407"/>
    <cellStyle name="20% - Accent5 4 4 2 5" xfId="10565"/>
    <cellStyle name="20% - Accent5 4 4 2 5 2" xfId="19410"/>
    <cellStyle name="20% - Accent5 4 4 2 5 3" xfId="19409"/>
    <cellStyle name="20% - Accent5 4 4 2 6" xfId="19411"/>
    <cellStyle name="20% - Accent5 4 4 2 7" xfId="19396"/>
    <cellStyle name="20% - Accent5 4 4 3" xfId="1980"/>
    <cellStyle name="20% - Accent5 4 4 3 2" xfId="8265"/>
    <cellStyle name="20% - Accent5 4 4 3 2 2" xfId="19414"/>
    <cellStyle name="20% - Accent5 4 4 3 2 3" xfId="19413"/>
    <cellStyle name="20% - Accent5 4 4 3 3" xfId="5138"/>
    <cellStyle name="20% - Accent5 4 4 3 3 2" xfId="19416"/>
    <cellStyle name="20% - Accent5 4 4 3 3 3" xfId="19415"/>
    <cellStyle name="20% - Accent5 4 4 3 4" xfId="11448"/>
    <cellStyle name="20% - Accent5 4 4 3 4 2" xfId="19418"/>
    <cellStyle name="20% - Accent5 4 4 3 4 3" xfId="19417"/>
    <cellStyle name="20% - Accent5 4 4 3 5" xfId="19419"/>
    <cellStyle name="20% - Accent5 4 4 3 6" xfId="19412"/>
    <cellStyle name="20% - Accent5 4 4 4" xfId="6702"/>
    <cellStyle name="20% - Accent5 4 4 4 2" xfId="19421"/>
    <cellStyle name="20% - Accent5 4 4 4 3" xfId="19420"/>
    <cellStyle name="20% - Accent5 4 4 5" xfId="3575"/>
    <cellStyle name="20% - Accent5 4 4 5 2" xfId="19423"/>
    <cellStyle name="20% - Accent5 4 4 5 3" xfId="19422"/>
    <cellStyle name="20% - Accent5 4 4 6" xfId="10008"/>
    <cellStyle name="20% - Accent5 4 4 6 2" xfId="19425"/>
    <cellStyle name="20% - Accent5 4 4 6 3" xfId="19424"/>
    <cellStyle name="20% - Accent5 4 4 7" xfId="19426"/>
    <cellStyle name="20% - Accent5 4 4 8" xfId="19395"/>
    <cellStyle name="20% - Accent5 4 5" xfId="570"/>
    <cellStyle name="20% - Accent5 4 5 2" xfId="1277"/>
    <cellStyle name="20% - Accent5 4 5 2 2" xfId="2842"/>
    <cellStyle name="20% - Accent5 4 5 2 2 2" xfId="9127"/>
    <cellStyle name="20% - Accent5 4 5 2 2 2 2" xfId="19431"/>
    <cellStyle name="20% - Accent5 4 5 2 2 2 3" xfId="19430"/>
    <cellStyle name="20% - Accent5 4 5 2 2 3" xfId="6000"/>
    <cellStyle name="20% - Accent5 4 5 2 2 3 2" xfId="19433"/>
    <cellStyle name="20% - Accent5 4 5 2 2 3 3" xfId="19432"/>
    <cellStyle name="20% - Accent5 4 5 2 2 4" xfId="12310"/>
    <cellStyle name="20% - Accent5 4 5 2 2 4 2" xfId="19435"/>
    <cellStyle name="20% - Accent5 4 5 2 2 4 3" xfId="19434"/>
    <cellStyle name="20% - Accent5 4 5 2 2 5" xfId="19436"/>
    <cellStyle name="20% - Accent5 4 5 2 2 6" xfId="19429"/>
    <cellStyle name="20% - Accent5 4 5 2 3" xfId="7564"/>
    <cellStyle name="20% - Accent5 4 5 2 3 2" xfId="19438"/>
    <cellStyle name="20% - Accent5 4 5 2 3 3" xfId="19437"/>
    <cellStyle name="20% - Accent5 4 5 2 4" xfId="4437"/>
    <cellStyle name="20% - Accent5 4 5 2 4 2" xfId="19440"/>
    <cellStyle name="20% - Accent5 4 5 2 4 3" xfId="19439"/>
    <cellStyle name="20% - Accent5 4 5 2 5" xfId="10747"/>
    <cellStyle name="20% - Accent5 4 5 2 5 2" xfId="19442"/>
    <cellStyle name="20% - Accent5 4 5 2 5 3" xfId="19441"/>
    <cellStyle name="20% - Accent5 4 5 2 6" xfId="19443"/>
    <cellStyle name="20% - Accent5 4 5 2 7" xfId="19428"/>
    <cellStyle name="20% - Accent5 4 5 3" xfId="2162"/>
    <cellStyle name="20% - Accent5 4 5 3 2" xfId="8447"/>
    <cellStyle name="20% - Accent5 4 5 3 2 2" xfId="19446"/>
    <cellStyle name="20% - Accent5 4 5 3 2 3" xfId="19445"/>
    <cellStyle name="20% - Accent5 4 5 3 3" xfId="5320"/>
    <cellStyle name="20% - Accent5 4 5 3 3 2" xfId="19448"/>
    <cellStyle name="20% - Accent5 4 5 3 3 3" xfId="19447"/>
    <cellStyle name="20% - Accent5 4 5 3 4" xfId="11630"/>
    <cellStyle name="20% - Accent5 4 5 3 4 2" xfId="19450"/>
    <cellStyle name="20% - Accent5 4 5 3 4 3" xfId="19449"/>
    <cellStyle name="20% - Accent5 4 5 3 5" xfId="19451"/>
    <cellStyle name="20% - Accent5 4 5 3 6" xfId="19444"/>
    <cellStyle name="20% - Accent5 4 5 4" xfId="6884"/>
    <cellStyle name="20% - Accent5 4 5 4 2" xfId="19453"/>
    <cellStyle name="20% - Accent5 4 5 4 3" xfId="19452"/>
    <cellStyle name="20% - Accent5 4 5 5" xfId="3757"/>
    <cellStyle name="20% - Accent5 4 5 5 2" xfId="19455"/>
    <cellStyle name="20% - Accent5 4 5 5 3" xfId="19454"/>
    <cellStyle name="20% - Accent5 4 5 6" xfId="10189"/>
    <cellStyle name="20% - Accent5 4 5 6 2" xfId="19457"/>
    <cellStyle name="20% - Accent5 4 5 6 3" xfId="19456"/>
    <cellStyle name="20% - Accent5 4 5 7" xfId="19458"/>
    <cellStyle name="20% - Accent5 4 5 8" xfId="19427"/>
    <cellStyle name="20% - Accent5 4 6" xfId="629"/>
    <cellStyle name="20% - Accent5 4 6 2" xfId="1334"/>
    <cellStyle name="20% - Accent5 4 6 2 2" xfId="2899"/>
    <cellStyle name="20% - Accent5 4 6 2 2 2" xfId="9184"/>
    <cellStyle name="20% - Accent5 4 6 2 2 2 2" xfId="19463"/>
    <cellStyle name="20% - Accent5 4 6 2 2 2 3" xfId="19462"/>
    <cellStyle name="20% - Accent5 4 6 2 2 3" xfId="6057"/>
    <cellStyle name="20% - Accent5 4 6 2 2 3 2" xfId="19465"/>
    <cellStyle name="20% - Accent5 4 6 2 2 3 3" xfId="19464"/>
    <cellStyle name="20% - Accent5 4 6 2 2 4" xfId="12367"/>
    <cellStyle name="20% - Accent5 4 6 2 2 4 2" xfId="19467"/>
    <cellStyle name="20% - Accent5 4 6 2 2 4 3" xfId="19466"/>
    <cellStyle name="20% - Accent5 4 6 2 2 5" xfId="19468"/>
    <cellStyle name="20% - Accent5 4 6 2 2 6" xfId="19461"/>
    <cellStyle name="20% - Accent5 4 6 2 3" xfId="7621"/>
    <cellStyle name="20% - Accent5 4 6 2 3 2" xfId="19470"/>
    <cellStyle name="20% - Accent5 4 6 2 3 3" xfId="19469"/>
    <cellStyle name="20% - Accent5 4 6 2 4" xfId="4494"/>
    <cellStyle name="20% - Accent5 4 6 2 4 2" xfId="19472"/>
    <cellStyle name="20% - Accent5 4 6 2 4 3" xfId="19471"/>
    <cellStyle name="20% - Accent5 4 6 2 5" xfId="10804"/>
    <cellStyle name="20% - Accent5 4 6 2 5 2" xfId="19474"/>
    <cellStyle name="20% - Accent5 4 6 2 5 3" xfId="19473"/>
    <cellStyle name="20% - Accent5 4 6 2 6" xfId="19475"/>
    <cellStyle name="20% - Accent5 4 6 2 7" xfId="19460"/>
    <cellStyle name="20% - Accent5 4 6 3" xfId="2219"/>
    <cellStyle name="20% - Accent5 4 6 3 2" xfId="8504"/>
    <cellStyle name="20% - Accent5 4 6 3 2 2" xfId="19478"/>
    <cellStyle name="20% - Accent5 4 6 3 2 3" xfId="19477"/>
    <cellStyle name="20% - Accent5 4 6 3 3" xfId="5377"/>
    <cellStyle name="20% - Accent5 4 6 3 3 2" xfId="19480"/>
    <cellStyle name="20% - Accent5 4 6 3 3 3" xfId="19479"/>
    <cellStyle name="20% - Accent5 4 6 3 4" xfId="11687"/>
    <cellStyle name="20% - Accent5 4 6 3 4 2" xfId="19482"/>
    <cellStyle name="20% - Accent5 4 6 3 4 3" xfId="19481"/>
    <cellStyle name="20% - Accent5 4 6 3 5" xfId="19483"/>
    <cellStyle name="20% - Accent5 4 6 3 6" xfId="19476"/>
    <cellStyle name="20% - Accent5 4 6 4" xfId="6941"/>
    <cellStyle name="20% - Accent5 4 6 4 2" xfId="19485"/>
    <cellStyle name="20% - Accent5 4 6 4 3" xfId="19484"/>
    <cellStyle name="20% - Accent5 4 6 5" xfId="3814"/>
    <cellStyle name="20% - Accent5 4 6 5 2" xfId="19487"/>
    <cellStyle name="20% - Accent5 4 6 5 3" xfId="19486"/>
    <cellStyle name="20% - Accent5 4 6 6" xfId="10247"/>
    <cellStyle name="20% - Accent5 4 6 6 2" xfId="19489"/>
    <cellStyle name="20% - Accent5 4 6 6 3" xfId="19488"/>
    <cellStyle name="20% - Accent5 4 6 7" xfId="19490"/>
    <cellStyle name="20% - Accent5 4 6 8" xfId="19459"/>
    <cellStyle name="20% - Accent5 4 7" xfId="896"/>
    <cellStyle name="20% - Accent5 4 7 2" xfId="2462"/>
    <cellStyle name="20% - Accent5 4 7 2 2" xfId="8747"/>
    <cellStyle name="20% - Accent5 4 7 2 2 2" xfId="19494"/>
    <cellStyle name="20% - Accent5 4 7 2 2 3" xfId="19493"/>
    <cellStyle name="20% - Accent5 4 7 2 3" xfId="5620"/>
    <cellStyle name="20% - Accent5 4 7 2 3 2" xfId="19496"/>
    <cellStyle name="20% - Accent5 4 7 2 3 3" xfId="19495"/>
    <cellStyle name="20% - Accent5 4 7 2 4" xfId="11930"/>
    <cellStyle name="20% - Accent5 4 7 2 4 2" xfId="19498"/>
    <cellStyle name="20% - Accent5 4 7 2 4 3" xfId="19497"/>
    <cellStyle name="20% - Accent5 4 7 2 5" xfId="19499"/>
    <cellStyle name="20% - Accent5 4 7 2 6" xfId="19492"/>
    <cellStyle name="20% - Accent5 4 7 3" xfId="7184"/>
    <cellStyle name="20% - Accent5 4 7 3 2" xfId="19501"/>
    <cellStyle name="20% - Accent5 4 7 3 3" xfId="19500"/>
    <cellStyle name="20% - Accent5 4 7 4" xfId="4057"/>
    <cellStyle name="20% - Accent5 4 7 4 2" xfId="19503"/>
    <cellStyle name="20% - Accent5 4 7 4 3" xfId="19502"/>
    <cellStyle name="20% - Accent5 4 7 5" xfId="10367"/>
    <cellStyle name="20% - Accent5 4 7 5 2" xfId="19505"/>
    <cellStyle name="20% - Accent5 4 7 5 3" xfId="19504"/>
    <cellStyle name="20% - Accent5 4 7 6" xfId="19506"/>
    <cellStyle name="20% - Accent5 4 7 7" xfId="19491"/>
    <cellStyle name="20% - Accent5 4 8" xfId="1536"/>
    <cellStyle name="20% - Accent5 4 8 2" xfId="3101"/>
    <cellStyle name="20% - Accent5 4 8 2 2" xfId="9386"/>
    <cellStyle name="20% - Accent5 4 8 2 2 2" xfId="19510"/>
    <cellStyle name="20% - Accent5 4 8 2 2 3" xfId="19509"/>
    <cellStyle name="20% - Accent5 4 8 2 3" xfId="6259"/>
    <cellStyle name="20% - Accent5 4 8 2 3 2" xfId="19512"/>
    <cellStyle name="20% - Accent5 4 8 2 3 3" xfId="19511"/>
    <cellStyle name="20% - Accent5 4 8 2 4" xfId="12569"/>
    <cellStyle name="20% - Accent5 4 8 2 4 2" xfId="19514"/>
    <cellStyle name="20% - Accent5 4 8 2 4 3" xfId="19513"/>
    <cellStyle name="20% - Accent5 4 8 2 5" xfId="19515"/>
    <cellStyle name="20% - Accent5 4 8 2 6" xfId="19508"/>
    <cellStyle name="20% - Accent5 4 8 3" xfId="7823"/>
    <cellStyle name="20% - Accent5 4 8 3 2" xfId="19517"/>
    <cellStyle name="20% - Accent5 4 8 3 3" xfId="19516"/>
    <cellStyle name="20% - Accent5 4 8 4" xfId="4696"/>
    <cellStyle name="20% - Accent5 4 8 4 2" xfId="19519"/>
    <cellStyle name="20% - Accent5 4 8 4 3" xfId="19518"/>
    <cellStyle name="20% - Accent5 4 8 5" xfId="11006"/>
    <cellStyle name="20% - Accent5 4 8 5 2" xfId="19521"/>
    <cellStyle name="20% - Accent5 4 8 5 3" xfId="19520"/>
    <cellStyle name="20% - Accent5 4 8 6" xfId="19522"/>
    <cellStyle name="20% - Accent5 4 8 7" xfId="19507"/>
    <cellStyle name="20% - Accent5 4 9" xfId="1782"/>
    <cellStyle name="20% - Accent5 4 9 2" xfId="8067"/>
    <cellStyle name="20% - Accent5 4 9 2 2" xfId="19525"/>
    <cellStyle name="20% - Accent5 4 9 2 3" xfId="19524"/>
    <cellStyle name="20% - Accent5 4 9 3" xfId="4940"/>
    <cellStyle name="20% - Accent5 4 9 3 2" xfId="19527"/>
    <cellStyle name="20% - Accent5 4 9 3 3" xfId="19526"/>
    <cellStyle name="20% - Accent5 4 9 4" xfId="11250"/>
    <cellStyle name="20% - Accent5 4 9 4 2" xfId="19529"/>
    <cellStyle name="20% - Accent5 4 9 4 3" xfId="19528"/>
    <cellStyle name="20% - Accent5 4 9 5" xfId="19530"/>
    <cellStyle name="20% - Accent5 4 9 6" xfId="19523"/>
    <cellStyle name="20% - Accent5 5" xfId="269"/>
    <cellStyle name="20% - Accent5 5 2" xfId="980"/>
    <cellStyle name="20% - Accent5 5 2 2" xfId="2546"/>
    <cellStyle name="20% - Accent5 5 2 2 2" xfId="8831"/>
    <cellStyle name="20% - Accent5 5 2 2 2 2" xfId="19535"/>
    <cellStyle name="20% - Accent5 5 2 2 2 3" xfId="19534"/>
    <cellStyle name="20% - Accent5 5 2 2 3" xfId="5704"/>
    <cellStyle name="20% - Accent5 5 2 2 3 2" xfId="19537"/>
    <cellStyle name="20% - Accent5 5 2 2 3 3" xfId="19536"/>
    <cellStyle name="20% - Accent5 5 2 2 4" xfId="12014"/>
    <cellStyle name="20% - Accent5 5 2 2 4 2" xfId="19539"/>
    <cellStyle name="20% - Accent5 5 2 2 4 3" xfId="19538"/>
    <cellStyle name="20% - Accent5 5 2 2 5" xfId="19540"/>
    <cellStyle name="20% - Accent5 5 2 2 6" xfId="19533"/>
    <cellStyle name="20% - Accent5 5 2 3" xfId="7268"/>
    <cellStyle name="20% - Accent5 5 2 3 2" xfId="19542"/>
    <cellStyle name="20% - Accent5 5 2 3 3" xfId="19541"/>
    <cellStyle name="20% - Accent5 5 2 4" xfId="4141"/>
    <cellStyle name="20% - Accent5 5 2 4 2" xfId="19544"/>
    <cellStyle name="20% - Accent5 5 2 4 3" xfId="19543"/>
    <cellStyle name="20% - Accent5 5 2 5" xfId="10451"/>
    <cellStyle name="20% - Accent5 5 2 5 2" xfId="19546"/>
    <cellStyle name="20% - Accent5 5 2 5 3" xfId="19545"/>
    <cellStyle name="20% - Accent5 5 2 6" xfId="19547"/>
    <cellStyle name="20% - Accent5 5 2 7" xfId="19532"/>
    <cellStyle name="20% - Accent5 5 3" xfId="1866"/>
    <cellStyle name="20% - Accent5 5 3 2" xfId="8151"/>
    <cellStyle name="20% - Accent5 5 3 2 2" xfId="19550"/>
    <cellStyle name="20% - Accent5 5 3 2 3" xfId="19549"/>
    <cellStyle name="20% - Accent5 5 3 3" xfId="5024"/>
    <cellStyle name="20% - Accent5 5 3 3 2" xfId="19552"/>
    <cellStyle name="20% - Accent5 5 3 3 3" xfId="19551"/>
    <cellStyle name="20% - Accent5 5 3 4" xfId="11334"/>
    <cellStyle name="20% - Accent5 5 3 4 2" xfId="19554"/>
    <cellStyle name="20% - Accent5 5 3 4 3" xfId="19553"/>
    <cellStyle name="20% - Accent5 5 3 5" xfId="19555"/>
    <cellStyle name="20% - Accent5 5 3 6" xfId="19548"/>
    <cellStyle name="20% - Accent5 5 4" xfId="6588"/>
    <cellStyle name="20% - Accent5 5 4 2" xfId="19557"/>
    <cellStyle name="20% - Accent5 5 4 3" xfId="19556"/>
    <cellStyle name="20% - Accent5 5 5" xfId="3461"/>
    <cellStyle name="20% - Accent5 5 5 2" xfId="19559"/>
    <cellStyle name="20% - Accent5 5 5 3" xfId="19558"/>
    <cellStyle name="20% - Accent5 5 6" xfId="9872"/>
    <cellStyle name="20% - Accent5 5 6 2" xfId="19561"/>
    <cellStyle name="20% - Accent5 5 6 3" xfId="19560"/>
    <cellStyle name="20% - Accent5 5 7" xfId="19562"/>
    <cellStyle name="20% - Accent5 5 8" xfId="19531"/>
    <cellStyle name="20% - Accent5 6" xfId="376"/>
    <cellStyle name="20% - Accent5 6 2" xfId="1084"/>
    <cellStyle name="20% - Accent5 6 2 2" xfId="2650"/>
    <cellStyle name="20% - Accent5 6 2 2 2" xfId="8935"/>
    <cellStyle name="20% - Accent5 6 2 2 2 2" xfId="19567"/>
    <cellStyle name="20% - Accent5 6 2 2 2 3" xfId="19566"/>
    <cellStyle name="20% - Accent5 6 2 2 3" xfId="5808"/>
    <cellStyle name="20% - Accent5 6 2 2 3 2" xfId="19569"/>
    <cellStyle name="20% - Accent5 6 2 2 3 3" xfId="19568"/>
    <cellStyle name="20% - Accent5 6 2 2 4" xfId="12118"/>
    <cellStyle name="20% - Accent5 6 2 2 4 2" xfId="19571"/>
    <cellStyle name="20% - Accent5 6 2 2 4 3" xfId="19570"/>
    <cellStyle name="20% - Accent5 6 2 2 5" xfId="19572"/>
    <cellStyle name="20% - Accent5 6 2 2 6" xfId="19565"/>
    <cellStyle name="20% - Accent5 6 2 3" xfId="7372"/>
    <cellStyle name="20% - Accent5 6 2 3 2" xfId="19574"/>
    <cellStyle name="20% - Accent5 6 2 3 3" xfId="19573"/>
    <cellStyle name="20% - Accent5 6 2 4" xfId="4245"/>
    <cellStyle name="20% - Accent5 6 2 4 2" xfId="19576"/>
    <cellStyle name="20% - Accent5 6 2 4 3" xfId="19575"/>
    <cellStyle name="20% - Accent5 6 2 5" xfId="10555"/>
    <cellStyle name="20% - Accent5 6 2 5 2" xfId="19578"/>
    <cellStyle name="20% - Accent5 6 2 5 3" xfId="19577"/>
    <cellStyle name="20% - Accent5 6 2 6" xfId="19579"/>
    <cellStyle name="20% - Accent5 6 2 7" xfId="19564"/>
    <cellStyle name="20% - Accent5 6 3" xfId="1970"/>
    <cellStyle name="20% - Accent5 6 3 2" xfId="8255"/>
    <cellStyle name="20% - Accent5 6 3 2 2" xfId="19582"/>
    <cellStyle name="20% - Accent5 6 3 2 3" xfId="19581"/>
    <cellStyle name="20% - Accent5 6 3 3" xfId="5128"/>
    <cellStyle name="20% - Accent5 6 3 3 2" xfId="19584"/>
    <cellStyle name="20% - Accent5 6 3 3 3" xfId="19583"/>
    <cellStyle name="20% - Accent5 6 3 4" xfId="11438"/>
    <cellStyle name="20% - Accent5 6 3 4 2" xfId="19586"/>
    <cellStyle name="20% - Accent5 6 3 4 3" xfId="19585"/>
    <cellStyle name="20% - Accent5 6 3 5" xfId="19587"/>
    <cellStyle name="20% - Accent5 6 3 6" xfId="19580"/>
    <cellStyle name="20% - Accent5 6 4" xfId="6692"/>
    <cellStyle name="20% - Accent5 6 4 2" xfId="19589"/>
    <cellStyle name="20% - Accent5 6 4 3" xfId="19588"/>
    <cellStyle name="20% - Accent5 6 5" xfId="3565"/>
    <cellStyle name="20% - Accent5 6 5 2" xfId="19591"/>
    <cellStyle name="20% - Accent5 6 5 3" xfId="19590"/>
    <cellStyle name="20% - Accent5 6 6" xfId="9997"/>
    <cellStyle name="20% - Accent5 6 6 2" xfId="19593"/>
    <cellStyle name="20% - Accent5 6 6 3" xfId="19592"/>
    <cellStyle name="20% - Accent5 6 7" xfId="19594"/>
    <cellStyle name="20% - Accent5 6 8" xfId="19563"/>
    <cellStyle name="20% - Accent5 7" xfId="411"/>
    <cellStyle name="20% - Accent5 7 2" xfId="1118"/>
    <cellStyle name="20% - Accent5 7 2 2" xfId="2683"/>
    <cellStyle name="20% - Accent5 7 2 2 2" xfId="8968"/>
    <cellStyle name="20% - Accent5 7 2 2 2 2" xfId="19599"/>
    <cellStyle name="20% - Accent5 7 2 2 2 3" xfId="19598"/>
    <cellStyle name="20% - Accent5 7 2 2 3" xfId="5841"/>
    <cellStyle name="20% - Accent5 7 2 2 3 2" xfId="19601"/>
    <cellStyle name="20% - Accent5 7 2 2 3 3" xfId="19600"/>
    <cellStyle name="20% - Accent5 7 2 2 4" xfId="12151"/>
    <cellStyle name="20% - Accent5 7 2 2 4 2" xfId="19603"/>
    <cellStyle name="20% - Accent5 7 2 2 4 3" xfId="19602"/>
    <cellStyle name="20% - Accent5 7 2 2 5" xfId="19604"/>
    <cellStyle name="20% - Accent5 7 2 2 6" xfId="19597"/>
    <cellStyle name="20% - Accent5 7 2 3" xfId="7405"/>
    <cellStyle name="20% - Accent5 7 2 3 2" xfId="19606"/>
    <cellStyle name="20% - Accent5 7 2 3 3" xfId="19605"/>
    <cellStyle name="20% - Accent5 7 2 4" xfId="4278"/>
    <cellStyle name="20% - Accent5 7 2 4 2" xfId="19608"/>
    <cellStyle name="20% - Accent5 7 2 4 3" xfId="19607"/>
    <cellStyle name="20% - Accent5 7 2 5" xfId="10588"/>
    <cellStyle name="20% - Accent5 7 2 5 2" xfId="19610"/>
    <cellStyle name="20% - Accent5 7 2 5 3" xfId="19609"/>
    <cellStyle name="20% - Accent5 7 2 6" xfId="19611"/>
    <cellStyle name="20% - Accent5 7 2 7" xfId="19596"/>
    <cellStyle name="20% - Accent5 7 3" xfId="2003"/>
    <cellStyle name="20% - Accent5 7 3 2" xfId="8288"/>
    <cellStyle name="20% - Accent5 7 3 2 2" xfId="19614"/>
    <cellStyle name="20% - Accent5 7 3 2 3" xfId="19613"/>
    <cellStyle name="20% - Accent5 7 3 3" xfId="5161"/>
    <cellStyle name="20% - Accent5 7 3 3 2" xfId="19616"/>
    <cellStyle name="20% - Accent5 7 3 3 3" xfId="19615"/>
    <cellStyle name="20% - Accent5 7 3 4" xfId="11471"/>
    <cellStyle name="20% - Accent5 7 3 4 2" xfId="19618"/>
    <cellStyle name="20% - Accent5 7 3 4 3" xfId="19617"/>
    <cellStyle name="20% - Accent5 7 3 5" xfId="19619"/>
    <cellStyle name="20% - Accent5 7 3 6" xfId="19612"/>
    <cellStyle name="20% - Accent5 7 4" xfId="6725"/>
    <cellStyle name="20% - Accent5 7 4 2" xfId="19621"/>
    <cellStyle name="20% - Accent5 7 4 3" xfId="19620"/>
    <cellStyle name="20% - Accent5 7 5" xfId="3598"/>
    <cellStyle name="20% - Accent5 7 5 2" xfId="19623"/>
    <cellStyle name="20% - Accent5 7 5 3" xfId="19622"/>
    <cellStyle name="20% - Accent5 7 6" xfId="10031"/>
    <cellStyle name="20% - Accent5 7 6 2" xfId="19625"/>
    <cellStyle name="20% - Accent5 7 6 3" xfId="19624"/>
    <cellStyle name="20% - Accent5 7 7" xfId="19626"/>
    <cellStyle name="20% - Accent5 7 8" xfId="19595"/>
    <cellStyle name="20% - Accent5 8" xfId="451"/>
    <cellStyle name="20% - Accent5 8 2" xfId="1158"/>
    <cellStyle name="20% - Accent5 8 2 2" xfId="2723"/>
    <cellStyle name="20% - Accent5 8 2 2 2" xfId="9008"/>
    <cellStyle name="20% - Accent5 8 2 2 2 2" xfId="19631"/>
    <cellStyle name="20% - Accent5 8 2 2 2 3" xfId="19630"/>
    <cellStyle name="20% - Accent5 8 2 2 3" xfId="5881"/>
    <cellStyle name="20% - Accent5 8 2 2 3 2" xfId="19633"/>
    <cellStyle name="20% - Accent5 8 2 2 3 3" xfId="19632"/>
    <cellStyle name="20% - Accent5 8 2 2 4" xfId="12191"/>
    <cellStyle name="20% - Accent5 8 2 2 4 2" xfId="19635"/>
    <cellStyle name="20% - Accent5 8 2 2 4 3" xfId="19634"/>
    <cellStyle name="20% - Accent5 8 2 2 5" xfId="19636"/>
    <cellStyle name="20% - Accent5 8 2 2 6" xfId="19629"/>
    <cellStyle name="20% - Accent5 8 2 3" xfId="7445"/>
    <cellStyle name="20% - Accent5 8 2 3 2" xfId="19638"/>
    <cellStyle name="20% - Accent5 8 2 3 3" xfId="19637"/>
    <cellStyle name="20% - Accent5 8 2 4" xfId="4318"/>
    <cellStyle name="20% - Accent5 8 2 4 2" xfId="19640"/>
    <cellStyle name="20% - Accent5 8 2 4 3" xfId="19639"/>
    <cellStyle name="20% - Accent5 8 2 5" xfId="10628"/>
    <cellStyle name="20% - Accent5 8 2 5 2" xfId="19642"/>
    <cellStyle name="20% - Accent5 8 2 5 3" xfId="19641"/>
    <cellStyle name="20% - Accent5 8 2 6" xfId="19643"/>
    <cellStyle name="20% - Accent5 8 2 7" xfId="19628"/>
    <cellStyle name="20% - Accent5 8 3" xfId="2043"/>
    <cellStyle name="20% - Accent5 8 3 2" xfId="8328"/>
    <cellStyle name="20% - Accent5 8 3 2 2" xfId="19646"/>
    <cellStyle name="20% - Accent5 8 3 2 3" xfId="19645"/>
    <cellStyle name="20% - Accent5 8 3 3" xfId="5201"/>
    <cellStyle name="20% - Accent5 8 3 3 2" xfId="19648"/>
    <cellStyle name="20% - Accent5 8 3 3 3" xfId="19647"/>
    <cellStyle name="20% - Accent5 8 3 4" xfId="11511"/>
    <cellStyle name="20% - Accent5 8 3 4 2" xfId="19650"/>
    <cellStyle name="20% - Accent5 8 3 4 3" xfId="19649"/>
    <cellStyle name="20% - Accent5 8 3 5" xfId="19651"/>
    <cellStyle name="20% - Accent5 8 3 6" xfId="19644"/>
    <cellStyle name="20% - Accent5 8 4" xfId="6765"/>
    <cellStyle name="20% - Accent5 8 4 2" xfId="19653"/>
    <cellStyle name="20% - Accent5 8 4 3" xfId="19652"/>
    <cellStyle name="20% - Accent5 8 5" xfId="3638"/>
    <cellStyle name="20% - Accent5 8 5 2" xfId="19655"/>
    <cellStyle name="20% - Accent5 8 5 3" xfId="19654"/>
    <cellStyle name="20% - Accent5 8 6" xfId="10070"/>
    <cellStyle name="20% - Accent5 8 6 2" xfId="19657"/>
    <cellStyle name="20% - Accent5 8 6 3" xfId="19656"/>
    <cellStyle name="20% - Accent5 8 7" xfId="19658"/>
    <cellStyle name="20% - Accent5 8 8" xfId="19627"/>
    <cellStyle name="20% - Accent5 9" xfId="465"/>
    <cellStyle name="20% - Accent5 9 2" xfId="1172"/>
    <cellStyle name="20% - Accent5 9 2 2" xfId="2737"/>
    <cellStyle name="20% - Accent5 9 2 2 2" xfId="9022"/>
    <cellStyle name="20% - Accent5 9 2 2 2 2" xfId="19663"/>
    <cellStyle name="20% - Accent5 9 2 2 2 3" xfId="19662"/>
    <cellStyle name="20% - Accent5 9 2 2 3" xfId="5895"/>
    <cellStyle name="20% - Accent5 9 2 2 3 2" xfId="19665"/>
    <cellStyle name="20% - Accent5 9 2 2 3 3" xfId="19664"/>
    <cellStyle name="20% - Accent5 9 2 2 4" xfId="12205"/>
    <cellStyle name="20% - Accent5 9 2 2 4 2" xfId="19667"/>
    <cellStyle name="20% - Accent5 9 2 2 4 3" xfId="19666"/>
    <cellStyle name="20% - Accent5 9 2 2 5" xfId="19668"/>
    <cellStyle name="20% - Accent5 9 2 2 6" xfId="19661"/>
    <cellStyle name="20% - Accent5 9 2 3" xfId="7459"/>
    <cellStyle name="20% - Accent5 9 2 3 2" xfId="19670"/>
    <cellStyle name="20% - Accent5 9 2 3 3" xfId="19669"/>
    <cellStyle name="20% - Accent5 9 2 4" xfId="4332"/>
    <cellStyle name="20% - Accent5 9 2 4 2" xfId="19672"/>
    <cellStyle name="20% - Accent5 9 2 4 3" xfId="19671"/>
    <cellStyle name="20% - Accent5 9 2 5" xfId="10642"/>
    <cellStyle name="20% - Accent5 9 2 5 2" xfId="19674"/>
    <cellStyle name="20% - Accent5 9 2 5 3" xfId="19673"/>
    <cellStyle name="20% - Accent5 9 2 6" xfId="19675"/>
    <cellStyle name="20% - Accent5 9 2 7" xfId="19660"/>
    <cellStyle name="20% - Accent5 9 3" xfId="2057"/>
    <cellStyle name="20% - Accent5 9 3 2" xfId="8342"/>
    <cellStyle name="20% - Accent5 9 3 2 2" xfId="19678"/>
    <cellStyle name="20% - Accent5 9 3 2 3" xfId="19677"/>
    <cellStyle name="20% - Accent5 9 3 3" xfId="5215"/>
    <cellStyle name="20% - Accent5 9 3 3 2" xfId="19680"/>
    <cellStyle name="20% - Accent5 9 3 3 3" xfId="19679"/>
    <cellStyle name="20% - Accent5 9 3 4" xfId="11525"/>
    <cellStyle name="20% - Accent5 9 3 4 2" xfId="19682"/>
    <cellStyle name="20% - Accent5 9 3 4 3" xfId="19681"/>
    <cellStyle name="20% - Accent5 9 3 5" xfId="19683"/>
    <cellStyle name="20% - Accent5 9 3 6" xfId="19676"/>
    <cellStyle name="20% - Accent5 9 4" xfId="6779"/>
    <cellStyle name="20% - Accent5 9 4 2" xfId="19685"/>
    <cellStyle name="20% - Accent5 9 4 3" xfId="19684"/>
    <cellStyle name="20% - Accent5 9 5" xfId="3652"/>
    <cellStyle name="20% - Accent5 9 5 2" xfId="19687"/>
    <cellStyle name="20% - Accent5 9 5 3" xfId="19686"/>
    <cellStyle name="20% - Accent5 9 6" xfId="10084"/>
    <cellStyle name="20% - Accent5 9 6 2" xfId="19689"/>
    <cellStyle name="20% - Accent5 9 6 3" xfId="19688"/>
    <cellStyle name="20% - Accent5 9 7" xfId="19690"/>
    <cellStyle name="20% - Accent5 9 8" xfId="19659"/>
    <cellStyle name="20% - Accent6" xfId="48" builtinId="50" customBuiltin="1"/>
    <cellStyle name="20% - Accent6 10" xfId="482"/>
    <cellStyle name="20% - Accent6 10 2" xfId="1189"/>
    <cellStyle name="20% - Accent6 10 2 2" xfId="2754"/>
    <cellStyle name="20% - Accent6 10 2 2 2" xfId="9039"/>
    <cellStyle name="20% - Accent6 10 2 2 2 2" xfId="19696"/>
    <cellStyle name="20% - Accent6 10 2 2 2 3" xfId="19695"/>
    <cellStyle name="20% - Accent6 10 2 2 3" xfId="5912"/>
    <cellStyle name="20% - Accent6 10 2 2 3 2" xfId="19698"/>
    <cellStyle name="20% - Accent6 10 2 2 3 3" xfId="19697"/>
    <cellStyle name="20% - Accent6 10 2 2 4" xfId="12222"/>
    <cellStyle name="20% - Accent6 10 2 2 4 2" xfId="19700"/>
    <cellStyle name="20% - Accent6 10 2 2 4 3" xfId="19699"/>
    <cellStyle name="20% - Accent6 10 2 2 5" xfId="19701"/>
    <cellStyle name="20% - Accent6 10 2 2 6" xfId="19694"/>
    <cellStyle name="20% - Accent6 10 2 3" xfId="7476"/>
    <cellStyle name="20% - Accent6 10 2 3 2" xfId="19703"/>
    <cellStyle name="20% - Accent6 10 2 3 3" xfId="19702"/>
    <cellStyle name="20% - Accent6 10 2 4" xfId="4349"/>
    <cellStyle name="20% - Accent6 10 2 4 2" xfId="19705"/>
    <cellStyle name="20% - Accent6 10 2 4 3" xfId="19704"/>
    <cellStyle name="20% - Accent6 10 2 5" xfId="10659"/>
    <cellStyle name="20% - Accent6 10 2 5 2" xfId="19707"/>
    <cellStyle name="20% - Accent6 10 2 5 3" xfId="19706"/>
    <cellStyle name="20% - Accent6 10 2 6" xfId="19708"/>
    <cellStyle name="20% - Accent6 10 2 7" xfId="19693"/>
    <cellStyle name="20% - Accent6 10 3" xfId="2074"/>
    <cellStyle name="20% - Accent6 10 3 2" xfId="8359"/>
    <cellStyle name="20% - Accent6 10 3 2 2" xfId="19711"/>
    <cellStyle name="20% - Accent6 10 3 2 3" xfId="19710"/>
    <cellStyle name="20% - Accent6 10 3 3" xfId="5232"/>
    <cellStyle name="20% - Accent6 10 3 3 2" xfId="19713"/>
    <cellStyle name="20% - Accent6 10 3 3 3" xfId="19712"/>
    <cellStyle name="20% - Accent6 10 3 4" xfId="11542"/>
    <cellStyle name="20% - Accent6 10 3 4 2" xfId="19715"/>
    <cellStyle name="20% - Accent6 10 3 4 3" xfId="19714"/>
    <cellStyle name="20% - Accent6 10 3 5" xfId="19716"/>
    <cellStyle name="20% - Accent6 10 3 6" xfId="19709"/>
    <cellStyle name="20% - Accent6 10 4" xfId="6796"/>
    <cellStyle name="20% - Accent6 10 4 2" xfId="19718"/>
    <cellStyle name="20% - Accent6 10 4 3" xfId="19717"/>
    <cellStyle name="20% - Accent6 10 5" xfId="3669"/>
    <cellStyle name="20% - Accent6 10 5 2" xfId="19720"/>
    <cellStyle name="20% - Accent6 10 5 3" xfId="19719"/>
    <cellStyle name="20% - Accent6 10 6" xfId="10101"/>
    <cellStyle name="20% - Accent6 10 6 2" xfId="19722"/>
    <cellStyle name="20% - Accent6 10 6 3" xfId="19721"/>
    <cellStyle name="20% - Accent6 10 7" xfId="19723"/>
    <cellStyle name="20% - Accent6 10 8" xfId="19692"/>
    <cellStyle name="20% - Accent6 11" xfId="497"/>
    <cellStyle name="20% - Accent6 11 2" xfId="1204"/>
    <cellStyle name="20% - Accent6 11 2 2" xfId="2769"/>
    <cellStyle name="20% - Accent6 11 2 2 2" xfId="9054"/>
    <cellStyle name="20% - Accent6 11 2 2 2 2" xfId="19728"/>
    <cellStyle name="20% - Accent6 11 2 2 2 3" xfId="19727"/>
    <cellStyle name="20% - Accent6 11 2 2 3" xfId="5927"/>
    <cellStyle name="20% - Accent6 11 2 2 3 2" xfId="19730"/>
    <cellStyle name="20% - Accent6 11 2 2 3 3" xfId="19729"/>
    <cellStyle name="20% - Accent6 11 2 2 4" xfId="12237"/>
    <cellStyle name="20% - Accent6 11 2 2 4 2" xfId="19732"/>
    <cellStyle name="20% - Accent6 11 2 2 4 3" xfId="19731"/>
    <cellStyle name="20% - Accent6 11 2 2 5" xfId="19733"/>
    <cellStyle name="20% - Accent6 11 2 2 6" xfId="19726"/>
    <cellStyle name="20% - Accent6 11 2 3" xfId="7491"/>
    <cellStyle name="20% - Accent6 11 2 3 2" xfId="19735"/>
    <cellStyle name="20% - Accent6 11 2 3 3" xfId="19734"/>
    <cellStyle name="20% - Accent6 11 2 4" xfId="4364"/>
    <cellStyle name="20% - Accent6 11 2 4 2" xfId="19737"/>
    <cellStyle name="20% - Accent6 11 2 4 3" xfId="19736"/>
    <cellStyle name="20% - Accent6 11 2 5" xfId="10674"/>
    <cellStyle name="20% - Accent6 11 2 5 2" xfId="19739"/>
    <cellStyle name="20% - Accent6 11 2 5 3" xfId="19738"/>
    <cellStyle name="20% - Accent6 11 2 6" xfId="19740"/>
    <cellStyle name="20% - Accent6 11 2 7" xfId="19725"/>
    <cellStyle name="20% - Accent6 11 3" xfId="2089"/>
    <cellStyle name="20% - Accent6 11 3 2" xfId="8374"/>
    <cellStyle name="20% - Accent6 11 3 2 2" xfId="19743"/>
    <cellStyle name="20% - Accent6 11 3 2 3" xfId="19742"/>
    <cellStyle name="20% - Accent6 11 3 3" xfId="5247"/>
    <cellStyle name="20% - Accent6 11 3 3 2" xfId="19745"/>
    <cellStyle name="20% - Accent6 11 3 3 3" xfId="19744"/>
    <cellStyle name="20% - Accent6 11 3 4" xfId="11557"/>
    <cellStyle name="20% - Accent6 11 3 4 2" xfId="19747"/>
    <cellStyle name="20% - Accent6 11 3 4 3" xfId="19746"/>
    <cellStyle name="20% - Accent6 11 3 5" xfId="19748"/>
    <cellStyle name="20% - Accent6 11 3 6" xfId="19741"/>
    <cellStyle name="20% - Accent6 11 4" xfId="6811"/>
    <cellStyle name="20% - Accent6 11 4 2" xfId="19750"/>
    <cellStyle name="20% - Accent6 11 4 3" xfId="19749"/>
    <cellStyle name="20% - Accent6 11 5" xfId="3684"/>
    <cellStyle name="20% - Accent6 11 5 2" xfId="19752"/>
    <cellStyle name="20% - Accent6 11 5 3" xfId="19751"/>
    <cellStyle name="20% - Accent6 11 6" xfId="10116"/>
    <cellStyle name="20% - Accent6 11 6 2" xfId="19754"/>
    <cellStyle name="20% - Accent6 11 6 3" xfId="19753"/>
    <cellStyle name="20% - Accent6 11 7" xfId="19755"/>
    <cellStyle name="20% - Accent6 11 8" xfId="19724"/>
    <cellStyle name="20% - Accent6 12" xfId="510"/>
    <cellStyle name="20% - Accent6 12 2" xfId="1217"/>
    <cellStyle name="20% - Accent6 12 2 2" xfId="2782"/>
    <cellStyle name="20% - Accent6 12 2 2 2" xfId="9067"/>
    <cellStyle name="20% - Accent6 12 2 2 2 2" xfId="19760"/>
    <cellStyle name="20% - Accent6 12 2 2 2 3" xfId="19759"/>
    <cellStyle name="20% - Accent6 12 2 2 3" xfId="5940"/>
    <cellStyle name="20% - Accent6 12 2 2 3 2" xfId="19762"/>
    <cellStyle name="20% - Accent6 12 2 2 3 3" xfId="19761"/>
    <cellStyle name="20% - Accent6 12 2 2 4" xfId="12250"/>
    <cellStyle name="20% - Accent6 12 2 2 4 2" xfId="19764"/>
    <cellStyle name="20% - Accent6 12 2 2 4 3" xfId="19763"/>
    <cellStyle name="20% - Accent6 12 2 2 5" xfId="19765"/>
    <cellStyle name="20% - Accent6 12 2 2 6" xfId="19758"/>
    <cellStyle name="20% - Accent6 12 2 3" xfId="7504"/>
    <cellStyle name="20% - Accent6 12 2 3 2" xfId="19767"/>
    <cellStyle name="20% - Accent6 12 2 3 3" xfId="19766"/>
    <cellStyle name="20% - Accent6 12 2 4" xfId="4377"/>
    <cellStyle name="20% - Accent6 12 2 4 2" xfId="19769"/>
    <cellStyle name="20% - Accent6 12 2 4 3" xfId="19768"/>
    <cellStyle name="20% - Accent6 12 2 5" xfId="10687"/>
    <cellStyle name="20% - Accent6 12 2 5 2" xfId="19771"/>
    <cellStyle name="20% - Accent6 12 2 5 3" xfId="19770"/>
    <cellStyle name="20% - Accent6 12 2 6" xfId="19772"/>
    <cellStyle name="20% - Accent6 12 2 7" xfId="19757"/>
    <cellStyle name="20% - Accent6 12 3" xfId="2102"/>
    <cellStyle name="20% - Accent6 12 3 2" xfId="8387"/>
    <cellStyle name="20% - Accent6 12 3 2 2" xfId="19775"/>
    <cellStyle name="20% - Accent6 12 3 2 3" xfId="19774"/>
    <cellStyle name="20% - Accent6 12 3 3" xfId="5260"/>
    <cellStyle name="20% - Accent6 12 3 3 2" xfId="19777"/>
    <cellStyle name="20% - Accent6 12 3 3 3" xfId="19776"/>
    <cellStyle name="20% - Accent6 12 3 4" xfId="11570"/>
    <cellStyle name="20% - Accent6 12 3 4 2" xfId="19779"/>
    <cellStyle name="20% - Accent6 12 3 4 3" xfId="19778"/>
    <cellStyle name="20% - Accent6 12 3 5" xfId="19780"/>
    <cellStyle name="20% - Accent6 12 3 6" xfId="19773"/>
    <cellStyle name="20% - Accent6 12 4" xfId="6824"/>
    <cellStyle name="20% - Accent6 12 4 2" xfId="19782"/>
    <cellStyle name="20% - Accent6 12 4 3" xfId="19781"/>
    <cellStyle name="20% - Accent6 12 5" xfId="3697"/>
    <cellStyle name="20% - Accent6 12 5 2" xfId="19784"/>
    <cellStyle name="20% - Accent6 12 5 3" xfId="19783"/>
    <cellStyle name="20% - Accent6 12 6" xfId="10129"/>
    <cellStyle name="20% - Accent6 12 6 2" xfId="19786"/>
    <cellStyle name="20% - Accent6 12 6 3" xfId="19785"/>
    <cellStyle name="20% - Accent6 12 7" xfId="19787"/>
    <cellStyle name="20% - Accent6 12 8" xfId="19756"/>
    <cellStyle name="20% - Accent6 13" xfId="524"/>
    <cellStyle name="20% - Accent6 13 2" xfId="1231"/>
    <cellStyle name="20% - Accent6 13 2 2" xfId="2796"/>
    <cellStyle name="20% - Accent6 13 2 2 2" xfId="9081"/>
    <cellStyle name="20% - Accent6 13 2 2 2 2" xfId="19792"/>
    <cellStyle name="20% - Accent6 13 2 2 2 3" xfId="19791"/>
    <cellStyle name="20% - Accent6 13 2 2 3" xfId="5954"/>
    <cellStyle name="20% - Accent6 13 2 2 3 2" xfId="19794"/>
    <cellStyle name="20% - Accent6 13 2 2 3 3" xfId="19793"/>
    <cellStyle name="20% - Accent6 13 2 2 4" xfId="12264"/>
    <cellStyle name="20% - Accent6 13 2 2 4 2" xfId="19796"/>
    <cellStyle name="20% - Accent6 13 2 2 4 3" xfId="19795"/>
    <cellStyle name="20% - Accent6 13 2 2 5" xfId="19797"/>
    <cellStyle name="20% - Accent6 13 2 2 6" xfId="19790"/>
    <cellStyle name="20% - Accent6 13 2 3" xfId="7518"/>
    <cellStyle name="20% - Accent6 13 2 3 2" xfId="19799"/>
    <cellStyle name="20% - Accent6 13 2 3 3" xfId="19798"/>
    <cellStyle name="20% - Accent6 13 2 4" xfId="4391"/>
    <cellStyle name="20% - Accent6 13 2 4 2" xfId="19801"/>
    <cellStyle name="20% - Accent6 13 2 4 3" xfId="19800"/>
    <cellStyle name="20% - Accent6 13 2 5" xfId="10701"/>
    <cellStyle name="20% - Accent6 13 2 5 2" xfId="19803"/>
    <cellStyle name="20% - Accent6 13 2 5 3" xfId="19802"/>
    <cellStyle name="20% - Accent6 13 2 6" xfId="19804"/>
    <cellStyle name="20% - Accent6 13 2 7" xfId="19789"/>
    <cellStyle name="20% - Accent6 13 3" xfId="2116"/>
    <cellStyle name="20% - Accent6 13 3 2" xfId="8401"/>
    <cellStyle name="20% - Accent6 13 3 2 2" xfId="19807"/>
    <cellStyle name="20% - Accent6 13 3 2 3" xfId="19806"/>
    <cellStyle name="20% - Accent6 13 3 3" xfId="5274"/>
    <cellStyle name="20% - Accent6 13 3 3 2" xfId="19809"/>
    <cellStyle name="20% - Accent6 13 3 3 3" xfId="19808"/>
    <cellStyle name="20% - Accent6 13 3 4" xfId="11584"/>
    <cellStyle name="20% - Accent6 13 3 4 2" xfId="19811"/>
    <cellStyle name="20% - Accent6 13 3 4 3" xfId="19810"/>
    <cellStyle name="20% - Accent6 13 3 5" xfId="19812"/>
    <cellStyle name="20% - Accent6 13 3 6" xfId="19805"/>
    <cellStyle name="20% - Accent6 13 4" xfId="6838"/>
    <cellStyle name="20% - Accent6 13 4 2" xfId="19814"/>
    <cellStyle name="20% - Accent6 13 4 3" xfId="19813"/>
    <cellStyle name="20% - Accent6 13 5" xfId="3711"/>
    <cellStyle name="20% - Accent6 13 5 2" xfId="19816"/>
    <cellStyle name="20% - Accent6 13 5 3" xfId="19815"/>
    <cellStyle name="20% - Accent6 13 6" xfId="10143"/>
    <cellStyle name="20% - Accent6 13 6 2" xfId="19818"/>
    <cellStyle name="20% - Accent6 13 6 3" xfId="19817"/>
    <cellStyle name="20% - Accent6 13 7" xfId="19819"/>
    <cellStyle name="20% - Accent6 13 8" xfId="19788"/>
    <cellStyle name="20% - Accent6 14" xfId="538"/>
    <cellStyle name="20% - Accent6 14 2" xfId="1245"/>
    <cellStyle name="20% - Accent6 14 2 2" xfId="2810"/>
    <cellStyle name="20% - Accent6 14 2 2 2" xfId="9095"/>
    <cellStyle name="20% - Accent6 14 2 2 2 2" xfId="19824"/>
    <cellStyle name="20% - Accent6 14 2 2 2 3" xfId="19823"/>
    <cellStyle name="20% - Accent6 14 2 2 3" xfId="5968"/>
    <cellStyle name="20% - Accent6 14 2 2 3 2" xfId="19826"/>
    <cellStyle name="20% - Accent6 14 2 2 3 3" xfId="19825"/>
    <cellStyle name="20% - Accent6 14 2 2 4" xfId="12278"/>
    <cellStyle name="20% - Accent6 14 2 2 4 2" xfId="19828"/>
    <cellStyle name="20% - Accent6 14 2 2 4 3" xfId="19827"/>
    <cellStyle name="20% - Accent6 14 2 2 5" xfId="19829"/>
    <cellStyle name="20% - Accent6 14 2 2 6" xfId="19822"/>
    <cellStyle name="20% - Accent6 14 2 3" xfId="7532"/>
    <cellStyle name="20% - Accent6 14 2 3 2" xfId="19831"/>
    <cellStyle name="20% - Accent6 14 2 3 3" xfId="19830"/>
    <cellStyle name="20% - Accent6 14 2 4" xfId="4405"/>
    <cellStyle name="20% - Accent6 14 2 4 2" xfId="19833"/>
    <cellStyle name="20% - Accent6 14 2 4 3" xfId="19832"/>
    <cellStyle name="20% - Accent6 14 2 5" xfId="10715"/>
    <cellStyle name="20% - Accent6 14 2 5 2" xfId="19835"/>
    <cellStyle name="20% - Accent6 14 2 5 3" xfId="19834"/>
    <cellStyle name="20% - Accent6 14 2 6" xfId="19836"/>
    <cellStyle name="20% - Accent6 14 2 7" xfId="19821"/>
    <cellStyle name="20% - Accent6 14 3" xfId="2130"/>
    <cellStyle name="20% - Accent6 14 3 2" xfId="8415"/>
    <cellStyle name="20% - Accent6 14 3 2 2" xfId="19839"/>
    <cellStyle name="20% - Accent6 14 3 2 3" xfId="19838"/>
    <cellStyle name="20% - Accent6 14 3 3" xfId="5288"/>
    <cellStyle name="20% - Accent6 14 3 3 2" xfId="19841"/>
    <cellStyle name="20% - Accent6 14 3 3 3" xfId="19840"/>
    <cellStyle name="20% - Accent6 14 3 4" xfId="11598"/>
    <cellStyle name="20% - Accent6 14 3 4 2" xfId="19843"/>
    <cellStyle name="20% - Accent6 14 3 4 3" xfId="19842"/>
    <cellStyle name="20% - Accent6 14 3 5" xfId="19844"/>
    <cellStyle name="20% - Accent6 14 3 6" xfId="19837"/>
    <cellStyle name="20% - Accent6 14 4" xfId="6852"/>
    <cellStyle name="20% - Accent6 14 4 2" xfId="19846"/>
    <cellStyle name="20% - Accent6 14 4 3" xfId="19845"/>
    <cellStyle name="20% - Accent6 14 5" xfId="3725"/>
    <cellStyle name="20% - Accent6 14 5 2" xfId="19848"/>
    <cellStyle name="20% - Accent6 14 5 3" xfId="19847"/>
    <cellStyle name="20% - Accent6 14 6" xfId="10157"/>
    <cellStyle name="20% - Accent6 14 6 2" xfId="19850"/>
    <cellStyle name="20% - Accent6 14 6 3" xfId="19849"/>
    <cellStyle name="20% - Accent6 14 7" xfId="19851"/>
    <cellStyle name="20% - Accent6 14 8" xfId="19820"/>
    <cellStyle name="20% - Accent6 15" xfId="552"/>
    <cellStyle name="20% - Accent6 15 2" xfId="1259"/>
    <cellStyle name="20% - Accent6 15 2 2" xfId="2824"/>
    <cellStyle name="20% - Accent6 15 2 2 2" xfId="9109"/>
    <cellStyle name="20% - Accent6 15 2 2 2 2" xfId="19856"/>
    <cellStyle name="20% - Accent6 15 2 2 2 3" xfId="19855"/>
    <cellStyle name="20% - Accent6 15 2 2 3" xfId="5982"/>
    <cellStyle name="20% - Accent6 15 2 2 3 2" xfId="19858"/>
    <cellStyle name="20% - Accent6 15 2 2 3 3" xfId="19857"/>
    <cellStyle name="20% - Accent6 15 2 2 4" xfId="12292"/>
    <cellStyle name="20% - Accent6 15 2 2 4 2" xfId="19860"/>
    <cellStyle name="20% - Accent6 15 2 2 4 3" xfId="19859"/>
    <cellStyle name="20% - Accent6 15 2 2 5" xfId="19861"/>
    <cellStyle name="20% - Accent6 15 2 2 6" xfId="19854"/>
    <cellStyle name="20% - Accent6 15 2 3" xfId="7546"/>
    <cellStyle name="20% - Accent6 15 2 3 2" xfId="19863"/>
    <cellStyle name="20% - Accent6 15 2 3 3" xfId="19862"/>
    <cellStyle name="20% - Accent6 15 2 4" xfId="4419"/>
    <cellStyle name="20% - Accent6 15 2 4 2" xfId="19865"/>
    <cellStyle name="20% - Accent6 15 2 4 3" xfId="19864"/>
    <cellStyle name="20% - Accent6 15 2 5" xfId="10729"/>
    <cellStyle name="20% - Accent6 15 2 5 2" xfId="19867"/>
    <cellStyle name="20% - Accent6 15 2 5 3" xfId="19866"/>
    <cellStyle name="20% - Accent6 15 2 6" xfId="19868"/>
    <cellStyle name="20% - Accent6 15 2 7" xfId="19853"/>
    <cellStyle name="20% - Accent6 15 3" xfId="2144"/>
    <cellStyle name="20% - Accent6 15 3 2" xfId="8429"/>
    <cellStyle name="20% - Accent6 15 3 2 2" xfId="19871"/>
    <cellStyle name="20% - Accent6 15 3 2 3" xfId="19870"/>
    <cellStyle name="20% - Accent6 15 3 3" xfId="5302"/>
    <cellStyle name="20% - Accent6 15 3 3 2" xfId="19873"/>
    <cellStyle name="20% - Accent6 15 3 3 3" xfId="19872"/>
    <cellStyle name="20% - Accent6 15 3 4" xfId="11612"/>
    <cellStyle name="20% - Accent6 15 3 4 2" xfId="19875"/>
    <cellStyle name="20% - Accent6 15 3 4 3" xfId="19874"/>
    <cellStyle name="20% - Accent6 15 3 5" xfId="19876"/>
    <cellStyle name="20% - Accent6 15 3 6" xfId="19869"/>
    <cellStyle name="20% - Accent6 15 4" xfId="6866"/>
    <cellStyle name="20% - Accent6 15 4 2" xfId="19878"/>
    <cellStyle name="20% - Accent6 15 4 3" xfId="19877"/>
    <cellStyle name="20% - Accent6 15 5" xfId="3739"/>
    <cellStyle name="20% - Accent6 15 5 2" xfId="19880"/>
    <cellStyle name="20% - Accent6 15 5 3" xfId="19879"/>
    <cellStyle name="20% - Accent6 15 6" xfId="10171"/>
    <cellStyle name="20% - Accent6 15 6 2" xfId="19882"/>
    <cellStyle name="20% - Accent6 15 6 3" xfId="19881"/>
    <cellStyle name="20% - Accent6 15 7" xfId="19883"/>
    <cellStyle name="20% - Accent6 15 8" xfId="19852"/>
    <cellStyle name="20% - Accent6 16" xfId="605"/>
    <cellStyle name="20% - Accent6 16 2" xfId="1312"/>
    <cellStyle name="20% - Accent6 16 2 2" xfId="2877"/>
    <cellStyle name="20% - Accent6 16 2 2 2" xfId="9162"/>
    <cellStyle name="20% - Accent6 16 2 2 2 2" xfId="19888"/>
    <cellStyle name="20% - Accent6 16 2 2 2 3" xfId="19887"/>
    <cellStyle name="20% - Accent6 16 2 2 3" xfId="6035"/>
    <cellStyle name="20% - Accent6 16 2 2 3 2" xfId="19890"/>
    <cellStyle name="20% - Accent6 16 2 2 3 3" xfId="19889"/>
    <cellStyle name="20% - Accent6 16 2 2 4" xfId="12345"/>
    <cellStyle name="20% - Accent6 16 2 2 4 2" xfId="19892"/>
    <cellStyle name="20% - Accent6 16 2 2 4 3" xfId="19891"/>
    <cellStyle name="20% - Accent6 16 2 2 5" xfId="19893"/>
    <cellStyle name="20% - Accent6 16 2 2 6" xfId="19886"/>
    <cellStyle name="20% - Accent6 16 2 3" xfId="7599"/>
    <cellStyle name="20% - Accent6 16 2 3 2" xfId="19895"/>
    <cellStyle name="20% - Accent6 16 2 3 3" xfId="19894"/>
    <cellStyle name="20% - Accent6 16 2 4" xfId="4472"/>
    <cellStyle name="20% - Accent6 16 2 4 2" xfId="19897"/>
    <cellStyle name="20% - Accent6 16 2 4 3" xfId="19896"/>
    <cellStyle name="20% - Accent6 16 2 5" xfId="10782"/>
    <cellStyle name="20% - Accent6 16 2 5 2" xfId="19899"/>
    <cellStyle name="20% - Accent6 16 2 5 3" xfId="19898"/>
    <cellStyle name="20% - Accent6 16 2 6" xfId="19900"/>
    <cellStyle name="20% - Accent6 16 2 7" xfId="19885"/>
    <cellStyle name="20% - Accent6 16 3" xfId="2197"/>
    <cellStyle name="20% - Accent6 16 3 2" xfId="8482"/>
    <cellStyle name="20% - Accent6 16 3 2 2" xfId="19903"/>
    <cellStyle name="20% - Accent6 16 3 2 3" xfId="19902"/>
    <cellStyle name="20% - Accent6 16 3 3" xfId="5355"/>
    <cellStyle name="20% - Accent6 16 3 3 2" xfId="19905"/>
    <cellStyle name="20% - Accent6 16 3 3 3" xfId="19904"/>
    <cellStyle name="20% - Accent6 16 3 4" xfId="11665"/>
    <cellStyle name="20% - Accent6 16 3 4 2" xfId="19907"/>
    <cellStyle name="20% - Accent6 16 3 4 3" xfId="19906"/>
    <cellStyle name="20% - Accent6 16 3 5" xfId="19908"/>
    <cellStyle name="20% - Accent6 16 3 6" xfId="19901"/>
    <cellStyle name="20% - Accent6 16 4" xfId="6919"/>
    <cellStyle name="20% - Accent6 16 4 2" xfId="19910"/>
    <cellStyle name="20% - Accent6 16 4 3" xfId="19909"/>
    <cellStyle name="20% - Accent6 16 5" xfId="3792"/>
    <cellStyle name="20% - Accent6 16 5 2" xfId="19912"/>
    <cellStyle name="20% - Accent6 16 5 3" xfId="19911"/>
    <cellStyle name="20% - Accent6 16 6" xfId="10224"/>
    <cellStyle name="20% - Accent6 16 6 2" xfId="19914"/>
    <cellStyle name="20% - Accent6 16 6 3" xfId="19913"/>
    <cellStyle name="20% - Accent6 16 7" xfId="19915"/>
    <cellStyle name="20% - Accent6 16 8" xfId="19884"/>
    <cellStyle name="20% - Accent6 17" xfId="664"/>
    <cellStyle name="20% - Accent6 17 2" xfId="1369"/>
    <cellStyle name="20% - Accent6 17 2 2" xfId="2934"/>
    <cellStyle name="20% - Accent6 17 2 2 2" xfId="9219"/>
    <cellStyle name="20% - Accent6 17 2 2 2 2" xfId="19920"/>
    <cellStyle name="20% - Accent6 17 2 2 2 3" xfId="19919"/>
    <cellStyle name="20% - Accent6 17 2 2 3" xfId="6092"/>
    <cellStyle name="20% - Accent6 17 2 2 3 2" xfId="19922"/>
    <cellStyle name="20% - Accent6 17 2 2 3 3" xfId="19921"/>
    <cellStyle name="20% - Accent6 17 2 2 4" xfId="12402"/>
    <cellStyle name="20% - Accent6 17 2 2 4 2" xfId="19924"/>
    <cellStyle name="20% - Accent6 17 2 2 4 3" xfId="19923"/>
    <cellStyle name="20% - Accent6 17 2 2 5" xfId="19925"/>
    <cellStyle name="20% - Accent6 17 2 2 6" xfId="19918"/>
    <cellStyle name="20% - Accent6 17 2 3" xfId="7656"/>
    <cellStyle name="20% - Accent6 17 2 3 2" xfId="19927"/>
    <cellStyle name="20% - Accent6 17 2 3 3" xfId="19926"/>
    <cellStyle name="20% - Accent6 17 2 4" xfId="4529"/>
    <cellStyle name="20% - Accent6 17 2 4 2" xfId="19929"/>
    <cellStyle name="20% - Accent6 17 2 4 3" xfId="19928"/>
    <cellStyle name="20% - Accent6 17 2 5" xfId="10839"/>
    <cellStyle name="20% - Accent6 17 2 5 2" xfId="19931"/>
    <cellStyle name="20% - Accent6 17 2 5 3" xfId="19930"/>
    <cellStyle name="20% - Accent6 17 2 6" xfId="19932"/>
    <cellStyle name="20% - Accent6 17 2 7" xfId="19917"/>
    <cellStyle name="20% - Accent6 17 3" xfId="2254"/>
    <cellStyle name="20% - Accent6 17 3 2" xfId="8539"/>
    <cellStyle name="20% - Accent6 17 3 2 2" xfId="19935"/>
    <cellStyle name="20% - Accent6 17 3 2 3" xfId="19934"/>
    <cellStyle name="20% - Accent6 17 3 3" xfId="5412"/>
    <cellStyle name="20% - Accent6 17 3 3 2" xfId="19937"/>
    <cellStyle name="20% - Accent6 17 3 3 3" xfId="19936"/>
    <cellStyle name="20% - Accent6 17 3 4" xfId="11722"/>
    <cellStyle name="20% - Accent6 17 3 4 2" xfId="19939"/>
    <cellStyle name="20% - Accent6 17 3 4 3" xfId="19938"/>
    <cellStyle name="20% - Accent6 17 3 5" xfId="19940"/>
    <cellStyle name="20% - Accent6 17 3 6" xfId="19933"/>
    <cellStyle name="20% - Accent6 17 4" xfId="6976"/>
    <cellStyle name="20% - Accent6 17 4 2" xfId="19942"/>
    <cellStyle name="20% - Accent6 17 4 3" xfId="19941"/>
    <cellStyle name="20% - Accent6 17 5" xfId="3849"/>
    <cellStyle name="20% - Accent6 17 5 2" xfId="19944"/>
    <cellStyle name="20% - Accent6 17 5 3" xfId="19943"/>
    <cellStyle name="20% - Accent6 17 6" xfId="10282"/>
    <cellStyle name="20% - Accent6 17 6 2" xfId="19946"/>
    <cellStyle name="20% - Accent6 17 6 3" xfId="19945"/>
    <cellStyle name="20% - Accent6 17 7" xfId="19947"/>
    <cellStyle name="20% - Accent6 17 8" xfId="19916"/>
    <cellStyle name="20% - Accent6 18" xfId="851"/>
    <cellStyle name="20% - Accent6 18 2" xfId="2417"/>
    <cellStyle name="20% - Accent6 18 2 2" xfId="8702"/>
    <cellStyle name="20% - Accent6 18 2 2 2" xfId="19951"/>
    <cellStyle name="20% - Accent6 18 2 2 3" xfId="19950"/>
    <cellStyle name="20% - Accent6 18 2 3" xfId="5575"/>
    <cellStyle name="20% - Accent6 18 2 3 2" xfId="19953"/>
    <cellStyle name="20% - Accent6 18 2 3 3" xfId="19952"/>
    <cellStyle name="20% - Accent6 18 2 4" xfId="11885"/>
    <cellStyle name="20% - Accent6 18 2 4 2" xfId="19955"/>
    <cellStyle name="20% - Accent6 18 2 4 3" xfId="19954"/>
    <cellStyle name="20% - Accent6 18 2 5" xfId="19956"/>
    <cellStyle name="20% - Accent6 18 2 6" xfId="19949"/>
    <cellStyle name="20% - Accent6 18 3" xfId="7139"/>
    <cellStyle name="20% - Accent6 18 3 2" xfId="19958"/>
    <cellStyle name="20% - Accent6 18 3 3" xfId="19957"/>
    <cellStyle name="20% - Accent6 18 4" xfId="4012"/>
    <cellStyle name="20% - Accent6 18 4 2" xfId="19960"/>
    <cellStyle name="20% - Accent6 18 4 3" xfId="19959"/>
    <cellStyle name="20% - Accent6 18 5" xfId="10322"/>
    <cellStyle name="20% - Accent6 18 5 2" xfId="19962"/>
    <cellStyle name="20% - Accent6 18 5 3" xfId="19961"/>
    <cellStyle name="20% - Accent6 18 6" xfId="19963"/>
    <cellStyle name="20% - Accent6 18 7" xfId="19948"/>
    <cellStyle name="20% - Accent6 19" xfId="1571"/>
    <cellStyle name="20% - Accent6 19 2" xfId="3136"/>
    <cellStyle name="20% - Accent6 19 2 2" xfId="9421"/>
    <cellStyle name="20% - Accent6 19 2 2 2" xfId="19967"/>
    <cellStyle name="20% - Accent6 19 2 2 3" xfId="19966"/>
    <cellStyle name="20% - Accent6 19 2 3" xfId="6294"/>
    <cellStyle name="20% - Accent6 19 2 3 2" xfId="19969"/>
    <cellStyle name="20% - Accent6 19 2 3 3" xfId="19968"/>
    <cellStyle name="20% - Accent6 19 2 4" xfId="12604"/>
    <cellStyle name="20% - Accent6 19 2 4 2" xfId="19971"/>
    <cellStyle name="20% - Accent6 19 2 4 3" xfId="19970"/>
    <cellStyle name="20% - Accent6 19 2 5" xfId="19972"/>
    <cellStyle name="20% - Accent6 19 2 6" xfId="19965"/>
    <cellStyle name="20% - Accent6 19 3" xfId="7858"/>
    <cellStyle name="20% - Accent6 19 3 2" xfId="19974"/>
    <cellStyle name="20% - Accent6 19 3 3" xfId="19973"/>
    <cellStyle name="20% - Accent6 19 4" xfId="4731"/>
    <cellStyle name="20% - Accent6 19 4 2" xfId="19976"/>
    <cellStyle name="20% - Accent6 19 4 3" xfId="19975"/>
    <cellStyle name="20% - Accent6 19 5" xfId="11041"/>
    <cellStyle name="20% - Accent6 19 5 2" xfId="19978"/>
    <cellStyle name="20% - Accent6 19 5 3" xfId="19977"/>
    <cellStyle name="20% - Accent6 19 6" xfId="19979"/>
    <cellStyle name="20% - Accent6 19 7" xfId="19964"/>
    <cellStyle name="20% - Accent6 2" xfId="65"/>
    <cellStyle name="20% - Accent6 2 10" xfId="1749"/>
    <cellStyle name="20% - Accent6 2 10 2" xfId="8035"/>
    <cellStyle name="20% - Accent6 2 10 2 2" xfId="19983"/>
    <cellStyle name="20% - Accent6 2 10 2 3" xfId="19982"/>
    <cellStyle name="20% - Accent6 2 10 3" xfId="4908"/>
    <cellStyle name="20% - Accent6 2 10 3 2" xfId="19985"/>
    <cellStyle name="20% - Accent6 2 10 3 3" xfId="19984"/>
    <cellStyle name="20% - Accent6 2 10 4" xfId="11218"/>
    <cellStyle name="20% - Accent6 2 10 4 2" xfId="19987"/>
    <cellStyle name="20% - Accent6 2 10 4 3" xfId="19986"/>
    <cellStyle name="20% - Accent6 2 10 5" xfId="19988"/>
    <cellStyle name="20% - Accent6 2 10 6" xfId="19981"/>
    <cellStyle name="20% - Accent6 2 11" xfId="127"/>
    <cellStyle name="20% - Accent6 2 11 2" xfId="6472"/>
    <cellStyle name="20% - Accent6 2 11 2 2" xfId="19991"/>
    <cellStyle name="20% - Accent6 2 11 2 3" xfId="19990"/>
    <cellStyle name="20% - Accent6 2 11 3" xfId="19992"/>
    <cellStyle name="20% - Accent6 2 11 4" xfId="19989"/>
    <cellStyle name="20% - Accent6 2 12" xfId="3318"/>
    <cellStyle name="20% - Accent6 2 12 2" xfId="19994"/>
    <cellStyle name="20% - Accent6 2 12 3" xfId="19993"/>
    <cellStyle name="20% - Accent6 2 13" xfId="3345"/>
    <cellStyle name="20% - Accent6 2 13 2" xfId="19996"/>
    <cellStyle name="20% - Accent6 2 13 3" xfId="19995"/>
    <cellStyle name="20% - Accent6 2 14" xfId="9605"/>
    <cellStyle name="20% - Accent6 2 14 2" xfId="19998"/>
    <cellStyle name="20% - Accent6 2 14 3" xfId="19997"/>
    <cellStyle name="20% - Accent6 2 15" xfId="19999"/>
    <cellStyle name="20% - Accent6 2 16" xfId="19980"/>
    <cellStyle name="20% - Accent6 2 17" xfId="38136"/>
    <cellStyle name="20% - Accent6 2 2" xfId="98"/>
    <cellStyle name="20% - Accent6 2 2 2" xfId="299"/>
    <cellStyle name="20% - Accent6 2 2 2 2" xfId="1009"/>
    <cellStyle name="20% - Accent6 2 2 2 2 2" xfId="2575"/>
    <cellStyle name="20% - Accent6 2 2 2 2 2 2" xfId="8860"/>
    <cellStyle name="20% - Accent6 2 2 2 2 2 2 2" xfId="20005"/>
    <cellStyle name="20% - Accent6 2 2 2 2 2 2 3" xfId="20004"/>
    <cellStyle name="20% - Accent6 2 2 2 2 2 3" xfId="5733"/>
    <cellStyle name="20% - Accent6 2 2 2 2 2 3 2" xfId="20007"/>
    <cellStyle name="20% - Accent6 2 2 2 2 2 3 3" xfId="20006"/>
    <cellStyle name="20% - Accent6 2 2 2 2 2 4" xfId="12043"/>
    <cellStyle name="20% - Accent6 2 2 2 2 2 4 2" xfId="20009"/>
    <cellStyle name="20% - Accent6 2 2 2 2 2 4 3" xfId="20008"/>
    <cellStyle name="20% - Accent6 2 2 2 2 2 5" xfId="20010"/>
    <cellStyle name="20% - Accent6 2 2 2 2 2 6" xfId="20003"/>
    <cellStyle name="20% - Accent6 2 2 2 2 3" xfId="7297"/>
    <cellStyle name="20% - Accent6 2 2 2 2 3 2" xfId="20012"/>
    <cellStyle name="20% - Accent6 2 2 2 2 3 3" xfId="20011"/>
    <cellStyle name="20% - Accent6 2 2 2 2 4" xfId="4170"/>
    <cellStyle name="20% - Accent6 2 2 2 2 4 2" xfId="20014"/>
    <cellStyle name="20% - Accent6 2 2 2 2 4 3" xfId="20013"/>
    <cellStyle name="20% - Accent6 2 2 2 2 5" xfId="10480"/>
    <cellStyle name="20% - Accent6 2 2 2 2 5 2" xfId="20016"/>
    <cellStyle name="20% - Accent6 2 2 2 2 5 3" xfId="20015"/>
    <cellStyle name="20% - Accent6 2 2 2 2 6" xfId="20017"/>
    <cellStyle name="20% - Accent6 2 2 2 2 7" xfId="20002"/>
    <cellStyle name="20% - Accent6 2 2 2 3" xfId="1895"/>
    <cellStyle name="20% - Accent6 2 2 2 3 2" xfId="8180"/>
    <cellStyle name="20% - Accent6 2 2 2 3 2 2" xfId="20020"/>
    <cellStyle name="20% - Accent6 2 2 2 3 2 3" xfId="20019"/>
    <cellStyle name="20% - Accent6 2 2 2 3 3" xfId="5053"/>
    <cellStyle name="20% - Accent6 2 2 2 3 3 2" xfId="20022"/>
    <cellStyle name="20% - Accent6 2 2 2 3 3 3" xfId="20021"/>
    <cellStyle name="20% - Accent6 2 2 2 3 4" xfId="11363"/>
    <cellStyle name="20% - Accent6 2 2 2 3 4 2" xfId="20024"/>
    <cellStyle name="20% - Accent6 2 2 2 3 4 3" xfId="20023"/>
    <cellStyle name="20% - Accent6 2 2 2 3 5" xfId="20025"/>
    <cellStyle name="20% - Accent6 2 2 2 3 6" xfId="20018"/>
    <cellStyle name="20% - Accent6 2 2 2 4" xfId="6617"/>
    <cellStyle name="20% - Accent6 2 2 2 4 2" xfId="20027"/>
    <cellStyle name="20% - Accent6 2 2 2 4 3" xfId="20026"/>
    <cellStyle name="20% - Accent6 2 2 2 5" xfId="3490"/>
    <cellStyle name="20% - Accent6 2 2 2 5 2" xfId="20029"/>
    <cellStyle name="20% - Accent6 2 2 2 5 3" xfId="20028"/>
    <cellStyle name="20% - Accent6 2 2 2 6" xfId="9950"/>
    <cellStyle name="20% - Accent6 2 2 2 6 2" xfId="20031"/>
    <cellStyle name="20% - Accent6 2 2 2 6 3" xfId="20030"/>
    <cellStyle name="20% - Accent6 2 2 2 7" xfId="20032"/>
    <cellStyle name="20% - Accent6 2 2 2 8" xfId="20001"/>
    <cellStyle name="20% - Accent6 2 2 3" xfId="897"/>
    <cellStyle name="20% - Accent6 2 2 3 2" xfId="2463"/>
    <cellStyle name="20% - Accent6 2 2 3 2 2" xfId="8748"/>
    <cellStyle name="20% - Accent6 2 2 3 2 2 2" xfId="20036"/>
    <cellStyle name="20% - Accent6 2 2 3 2 2 3" xfId="20035"/>
    <cellStyle name="20% - Accent6 2 2 3 2 3" xfId="5621"/>
    <cellStyle name="20% - Accent6 2 2 3 2 3 2" xfId="20038"/>
    <cellStyle name="20% - Accent6 2 2 3 2 3 3" xfId="20037"/>
    <cellStyle name="20% - Accent6 2 2 3 2 4" xfId="11931"/>
    <cellStyle name="20% - Accent6 2 2 3 2 4 2" xfId="20040"/>
    <cellStyle name="20% - Accent6 2 2 3 2 4 3" xfId="20039"/>
    <cellStyle name="20% - Accent6 2 2 3 2 5" xfId="20041"/>
    <cellStyle name="20% - Accent6 2 2 3 2 6" xfId="20034"/>
    <cellStyle name="20% - Accent6 2 2 3 3" xfId="7185"/>
    <cellStyle name="20% - Accent6 2 2 3 3 2" xfId="20043"/>
    <cellStyle name="20% - Accent6 2 2 3 3 3" xfId="20042"/>
    <cellStyle name="20% - Accent6 2 2 3 4" xfId="4058"/>
    <cellStyle name="20% - Accent6 2 2 3 4 2" xfId="20045"/>
    <cellStyle name="20% - Accent6 2 2 3 4 3" xfId="20044"/>
    <cellStyle name="20% - Accent6 2 2 3 5" xfId="10368"/>
    <cellStyle name="20% - Accent6 2 2 3 5 2" xfId="20047"/>
    <cellStyle name="20% - Accent6 2 2 3 5 3" xfId="20046"/>
    <cellStyle name="20% - Accent6 2 2 3 6" xfId="20048"/>
    <cellStyle name="20% - Accent6 2 2 3 7" xfId="20033"/>
    <cellStyle name="20% - Accent6 2 2 4" xfId="1783"/>
    <cellStyle name="20% - Accent6 2 2 4 2" xfId="8068"/>
    <cellStyle name="20% - Accent6 2 2 4 2 2" xfId="20051"/>
    <cellStyle name="20% - Accent6 2 2 4 2 3" xfId="20050"/>
    <cellStyle name="20% - Accent6 2 2 4 3" xfId="4941"/>
    <cellStyle name="20% - Accent6 2 2 4 3 2" xfId="20053"/>
    <cellStyle name="20% - Accent6 2 2 4 3 3" xfId="20052"/>
    <cellStyle name="20% - Accent6 2 2 4 4" xfId="11251"/>
    <cellStyle name="20% - Accent6 2 2 4 4 2" xfId="20055"/>
    <cellStyle name="20% - Accent6 2 2 4 4 3" xfId="20054"/>
    <cellStyle name="20% - Accent6 2 2 4 5" xfId="20056"/>
    <cellStyle name="20% - Accent6 2 2 4 6" xfId="20049"/>
    <cellStyle name="20% - Accent6 2 2 5" xfId="161"/>
    <cellStyle name="20% - Accent6 2 2 5 2" xfId="6505"/>
    <cellStyle name="20% - Accent6 2 2 5 2 2" xfId="20059"/>
    <cellStyle name="20% - Accent6 2 2 5 2 3" xfId="20058"/>
    <cellStyle name="20% - Accent6 2 2 5 3" xfId="20060"/>
    <cellStyle name="20% - Accent6 2 2 5 4" xfId="20057"/>
    <cellStyle name="20% - Accent6 2 2 6" xfId="3378"/>
    <cellStyle name="20% - Accent6 2 2 6 2" xfId="20062"/>
    <cellStyle name="20% - Accent6 2 2 6 3" xfId="20061"/>
    <cellStyle name="20% - Accent6 2 2 7" xfId="9919"/>
    <cellStyle name="20% - Accent6 2 2 7 2" xfId="20064"/>
    <cellStyle name="20% - Accent6 2 2 7 3" xfId="20063"/>
    <cellStyle name="20% - Accent6 2 2 8" xfId="20065"/>
    <cellStyle name="20% - Accent6 2 2 9" xfId="20000"/>
    <cellStyle name="20% - Accent6 2 3" xfId="237"/>
    <cellStyle name="20% - Accent6 2 3 2" xfId="948"/>
    <cellStyle name="20% - Accent6 2 3 2 2" xfId="2514"/>
    <cellStyle name="20% - Accent6 2 3 2 2 2" xfId="8799"/>
    <cellStyle name="20% - Accent6 2 3 2 2 2 2" xfId="20070"/>
    <cellStyle name="20% - Accent6 2 3 2 2 2 3" xfId="20069"/>
    <cellStyle name="20% - Accent6 2 3 2 2 3" xfId="5672"/>
    <cellStyle name="20% - Accent6 2 3 2 2 3 2" xfId="20072"/>
    <cellStyle name="20% - Accent6 2 3 2 2 3 3" xfId="20071"/>
    <cellStyle name="20% - Accent6 2 3 2 2 4" xfId="11982"/>
    <cellStyle name="20% - Accent6 2 3 2 2 4 2" xfId="20074"/>
    <cellStyle name="20% - Accent6 2 3 2 2 4 3" xfId="20073"/>
    <cellStyle name="20% - Accent6 2 3 2 2 5" xfId="20075"/>
    <cellStyle name="20% - Accent6 2 3 2 2 6" xfId="20068"/>
    <cellStyle name="20% - Accent6 2 3 2 3" xfId="7236"/>
    <cellStyle name="20% - Accent6 2 3 2 3 2" xfId="20077"/>
    <cellStyle name="20% - Accent6 2 3 2 3 3" xfId="20076"/>
    <cellStyle name="20% - Accent6 2 3 2 4" xfId="4109"/>
    <cellStyle name="20% - Accent6 2 3 2 4 2" xfId="20079"/>
    <cellStyle name="20% - Accent6 2 3 2 4 3" xfId="20078"/>
    <cellStyle name="20% - Accent6 2 3 2 5" xfId="10419"/>
    <cellStyle name="20% - Accent6 2 3 2 5 2" xfId="20081"/>
    <cellStyle name="20% - Accent6 2 3 2 5 3" xfId="20080"/>
    <cellStyle name="20% - Accent6 2 3 2 6" xfId="20082"/>
    <cellStyle name="20% - Accent6 2 3 2 7" xfId="20067"/>
    <cellStyle name="20% - Accent6 2 3 3" xfId="1834"/>
    <cellStyle name="20% - Accent6 2 3 3 2" xfId="8119"/>
    <cellStyle name="20% - Accent6 2 3 3 2 2" xfId="20085"/>
    <cellStyle name="20% - Accent6 2 3 3 2 3" xfId="20084"/>
    <cellStyle name="20% - Accent6 2 3 3 3" xfId="4992"/>
    <cellStyle name="20% - Accent6 2 3 3 3 2" xfId="20087"/>
    <cellStyle name="20% - Accent6 2 3 3 3 3" xfId="20086"/>
    <cellStyle name="20% - Accent6 2 3 3 4" xfId="11302"/>
    <cellStyle name="20% - Accent6 2 3 3 4 2" xfId="20089"/>
    <cellStyle name="20% - Accent6 2 3 3 4 3" xfId="20088"/>
    <cellStyle name="20% - Accent6 2 3 3 5" xfId="20090"/>
    <cellStyle name="20% - Accent6 2 3 3 6" xfId="20083"/>
    <cellStyle name="20% - Accent6 2 3 4" xfId="6556"/>
    <cellStyle name="20% - Accent6 2 3 4 2" xfId="20092"/>
    <cellStyle name="20% - Accent6 2 3 4 3" xfId="20091"/>
    <cellStyle name="20% - Accent6 2 3 5" xfId="3429"/>
    <cellStyle name="20% - Accent6 2 3 5 2" xfId="20094"/>
    <cellStyle name="20% - Accent6 2 3 5 3" xfId="20093"/>
    <cellStyle name="20% - Accent6 2 3 6" xfId="9958"/>
    <cellStyle name="20% - Accent6 2 3 6 2" xfId="20096"/>
    <cellStyle name="20% - Accent6 2 3 6 3" xfId="20095"/>
    <cellStyle name="20% - Accent6 2 3 7" xfId="20097"/>
    <cellStyle name="20% - Accent6 2 3 8" xfId="20066"/>
    <cellStyle name="20% - Accent6 2 4" xfId="344"/>
    <cellStyle name="20% - Accent6 2 4 2" xfId="1052"/>
    <cellStyle name="20% - Accent6 2 4 2 2" xfId="2618"/>
    <cellStyle name="20% - Accent6 2 4 2 2 2" xfId="8903"/>
    <cellStyle name="20% - Accent6 2 4 2 2 2 2" xfId="20102"/>
    <cellStyle name="20% - Accent6 2 4 2 2 2 3" xfId="20101"/>
    <cellStyle name="20% - Accent6 2 4 2 2 3" xfId="5776"/>
    <cellStyle name="20% - Accent6 2 4 2 2 3 2" xfId="20104"/>
    <cellStyle name="20% - Accent6 2 4 2 2 3 3" xfId="20103"/>
    <cellStyle name="20% - Accent6 2 4 2 2 4" xfId="12086"/>
    <cellStyle name="20% - Accent6 2 4 2 2 4 2" xfId="20106"/>
    <cellStyle name="20% - Accent6 2 4 2 2 4 3" xfId="20105"/>
    <cellStyle name="20% - Accent6 2 4 2 2 5" xfId="20107"/>
    <cellStyle name="20% - Accent6 2 4 2 2 6" xfId="20100"/>
    <cellStyle name="20% - Accent6 2 4 2 3" xfId="7340"/>
    <cellStyle name="20% - Accent6 2 4 2 3 2" xfId="20109"/>
    <cellStyle name="20% - Accent6 2 4 2 3 3" xfId="20108"/>
    <cellStyle name="20% - Accent6 2 4 2 4" xfId="4213"/>
    <cellStyle name="20% - Accent6 2 4 2 4 2" xfId="20111"/>
    <cellStyle name="20% - Accent6 2 4 2 4 3" xfId="20110"/>
    <cellStyle name="20% - Accent6 2 4 2 5" xfId="10523"/>
    <cellStyle name="20% - Accent6 2 4 2 5 2" xfId="20113"/>
    <cellStyle name="20% - Accent6 2 4 2 5 3" xfId="20112"/>
    <cellStyle name="20% - Accent6 2 4 2 6" xfId="20114"/>
    <cellStyle name="20% - Accent6 2 4 2 7" xfId="20099"/>
    <cellStyle name="20% - Accent6 2 4 3" xfId="1938"/>
    <cellStyle name="20% - Accent6 2 4 3 2" xfId="8223"/>
    <cellStyle name="20% - Accent6 2 4 3 2 2" xfId="20117"/>
    <cellStyle name="20% - Accent6 2 4 3 2 3" xfId="20116"/>
    <cellStyle name="20% - Accent6 2 4 3 3" xfId="5096"/>
    <cellStyle name="20% - Accent6 2 4 3 3 2" xfId="20119"/>
    <cellStyle name="20% - Accent6 2 4 3 3 3" xfId="20118"/>
    <cellStyle name="20% - Accent6 2 4 3 4" xfId="11406"/>
    <cellStyle name="20% - Accent6 2 4 3 4 2" xfId="20121"/>
    <cellStyle name="20% - Accent6 2 4 3 4 3" xfId="20120"/>
    <cellStyle name="20% - Accent6 2 4 3 5" xfId="20122"/>
    <cellStyle name="20% - Accent6 2 4 3 6" xfId="20115"/>
    <cellStyle name="20% - Accent6 2 4 4" xfId="6660"/>
    <cellStyle name="20% - Accent6 2 4 4 2" xfId="20124"/>
    <cellStyle name="20% - Accent6 2 4 4 3" xfId="20123"/>
    <cellStyle name="20% - Accent6 2 4 5" xfId="3533"/>
    <cellStyle name="20% - Accent6 2 4 5 2" xfId="20126"/>
    <cellStyle name="20% - Accent6 2 4 5 3" xfId="20125"/>
    <cellStyle name="20% - Accent6 2 4 6" xfId="9965"/>
    <cellStyle name="20% - Accent6 2 4 6 2" xfId="20128"/>
    <cellStyle name="20% - Accent6 2 4 6 3" xfId="20127"/>
    <cellStyle name="20% - Accent6 2 4 7" xfId="20129"/>
    <cellStyle name="20% - Accent6 2 4 8" xfId="20098"/>
    <cellStyle name="20% - Accent6 2 5" xfId="435"/>
    <cellStyle name="20% - Accent6 2 5 2" xfId="1142"/>
    <cellStyle name="20% - Accent6 2 5 2 2" xfId="2707"/>
    <cellStyle name="20% - Accent6 2 5 2 2 2" xfId="8992"/>
    <cellStyle name="20% - Accent6 2 5 2 2 2 2" xfId="20134"/>
    <cellStyle name="20% - Accent6 2 5 2 2 2 3" xfId="20133"/>
    <cellStyle name="20% - Accent6 2 5 2 2 3" xfId="5865"/>
    <cellStyle name="20% - Accent6 2 5 2 2 3 2" xfId="20136"/>
    <cellStyle name="20% - Accent6 2 5 2 2 3 3" xfId="20135"/>
    <cellStyle name="20% - Accent6 2 5 2 2 4" xfId="12175"/>
    <cellStyle name="20% - Accent6 2 5 2 2 4 2" xfId="20138"/>
    <cellStyle name="20% - Accent6 2 5 2 2 4 3" xfId="20137"/>
    <cellStyle name="20% - Accent6 2 5 2 2 5" xfId="20139"/>
    <cellStyle name="20% - Accent6 2 5 2 2 6" xfId="20132"/>
    <cellStyle name="20% - Accent6 2 5 2 3" xfId="7429"/>
    <cellStyle name="20% - Accent6 2 5 2 3 2" xfId="20141"/>
    <cellStyle name="20% - Accent6 2 5 2 3 3" xfId="20140"/>
    <cellStyle name="20% - Accent6 2 5 2 4" xfId="4302"/>
    <cellStyle name="20% - Accent6 2 5 2 4 2" xfId="20143"/>
    <cellStyle name="20% - Accent6 2 5 2 4 3" xfId="20142"/>
    <cellStyle name="20% - Accent6 2 5 2 5" xfId="10612"/>
    <cellStyle name="20% - Accent6 2 5 2 5 2" xfId="20145"/>
    <cellStyle name="20% - Accent6 2 5 2 5 3" xfId="20144"/>
    <cellStyle name="20% - Accent6 2 5 2 6" xfId="20146"/>
    <cellStyle name="20% - Accent6 2 5 2 7" xfId="20131"/>
    <cellStyle name="20% - Accent6 2 5 3" xfId="2027"/>
    <cellStyle name="20% - Accent6 2 5 3 2" xfId="8312"/>
    <cellStyle name="20% - Accent6 2 5 3 2 2" xfId="20149"/>
    <cellStyle name="20% - Accent6 2 5 3 2 3" xfId="20148"/>
    <cellStyle name="20% - Accent6 2 5 3 3" xfId="5185"/>
    <cellStyle name="20% - Accent6 2 5 3 3 2" xfId="20151"/>
    <cellStyle name="20% - Accent6 2 5 3 3 3" xfId="20150"/>
    <cellStyle name="20% - Accent6 2 5 3 4" xfId="11495"/>
    <cellStyle name="20% - Accent6 2 5 3 4 2" xfId="20153"/>
    <cellStyle name="20% - Accent6 2 5 3 4 3" xfId="20152"/>
    <cellStyle name="20% - Accent6 2 5 3 5" xfId="20154"/>
    <cellStyle name="20% - Accent6 2 5 3 6" xfId="20147"/>
    <cellStyle name="20% - Accent6 2 5 4" xfId="6749"/>
    <cellStyle name="20% - Accent6 2 5 4 2" xfId="20156"/>
    <cellStyle name="20% - Accent6 2 5 4 3" xfId="20155"/>
    <cellStyle name="20% - Accent6 2 5 5" xfId="3622"/>
    <cellStyle name="20% - Accent6 2 5 5 2" xfId="20158"/>
    <cellStyle name="20% - Accent6 2 5 5 3" xfId="20157"/>
    <cellStyle name="20% - Accent6 2 5 6" xfId="10055"/>
    <cellStyle name="20% - Accent6 2 5 6 2" xfId="20160"/>
    <cellStyle name="20% - Accent6 2 5 6 3" xfId="20159"/>
    <cellStyle name="20% - Accent6 2 5 7" xfId="20161"/>
    <cellStyle name="20% - Accent6 2 5 8" xfId="20130"/>
    <cellStyle name="20% - Accent6 2 6" xfId="571"/>
    <cellStyle name="20% - Accent6 2 6 2" xfId="1278"/>
    <cellStyle name="20% - Accent6 2 6 2 2" xfId="2843"/>
    <cellStyle name="20% - Accent6 2 6 2 2 2" xfId="9128"/>
    <cellStyle name="20% - Accent6 2 6 2 2 2 2" xfId="20166"/>
    <cellStyle name="20% - Accent6 2 6 2 2 2 3" xfId="20165"/>
    <cellStyle name="20% - Accent6 2 6 2 2 3" xfId="6001"/>
    <cellStyle name="20% - Accent6 2 6 2 2 3 2" xfId="20168"/>
    <cellStyle name="20% - Accent6 2 6 2 2 3 3" xfId="20167"/>
    <cellStyle name="20% - Accent6 2 6 2 2 4" xfId="12311"/>
    <cellStyle name="20% - Accent6 2 6 2 2 4 2" xfId="20170"/>
    <cellStyle name="20% - Accent6 2 6 2 2 4 3" xfId="20169"/>
    <cellStyle name="20% - Accent6 2 6 2 2 5" xfId="20171"/>
    <cellStyle name="20% - Accent6 2 6 2 2 6" xfId="20164"/>
    <cellStyle name="20% - Accent6 2 6 2 3" xfId="7565"/>
    <cellStyle name="20% - Accent6 2 6 2 3 2" xfId="20173"/>
    <cellStyle name="20% - Accent6 2 6 2 3 3" xfId="20172"/>
    <cellStyle name="20% - Accent6 2 6 2 4" xfId="4438"/>
    <cellStyle name="20% - Accent6 2 6 2 4 2" xfId="20175"/>
    <cellStyle name="20% - Accent6 2 6 2 4 3" xfId="20174"/>
    <cellStyle name="20% - Accent6 2 6 2 5" xfId="10748"/>
    <cellStyle name="20% - Accent6 2 6 2 5 2" xfId="20177"/>
    <cellStyle name="20% - Accent6 2 6 2 5 3" xfId="20176"/>
    <cellStyle name="20% - Accent6 2 6 2 6" xfId="20178"/>
    <cellStyle name="20% - Accent6 2 6 2 7" xfId="20163"/>
    <cellStyle name="20% - Accent6 2 6 3" xfId="2163"/>
    <cellStyle name="20% - Accent6 2 6 3 2" xfId="8448"/>
    <cellStyle name="20% - Accent6 2 6 3 2 2" xfId="20181"/>
    <cellStyle name="20% - Accent6 2 6 3 2 3" xfId="20180"/>
    <cellStyle name="20% - Accent6 2 6 3 3" xfId="5321"/>
    <cellStyle name="20% - Accent6 2 6 3 3 2" xfId="20183"/>
    <cellStyle name="20% - Accent6 2 6 3 3 3" xfId="20182"/>
    <cellStyle name="20% - Accent6 2 6 3 4" xfId="11631"/>
    <cellStyle name="20% - Accent6 2 6 3 4 2" xfId="20185"/>
    <cellStyle name="20% - Accent6 2 6 3 4 3" xfId="20184"/>
    <cellStyle name="20% - Accent6 2 6 3 5" xfId="20186"/>
    <cellStyle name="20% - Accent6 2 6 3 6" xfId="20179"/>
    <cellStyle name="20% - Accent6 2 6 4" xfId="6885"/>
    <cellStyle name="20% - Accent6 2 6 4 2" xfId="20188"/>
    <cellStyle name="20% - Accent6 2 6 4 3" xfId="20187"/>
    <cellStyle name="20% - Accent6 2 6 5" xfId="3758"/>
    <cellStyle name="20% - Accent6 2 6 5 2" xfId="20190"/>
    <cellStyle name="20% - Accent6 2 6 5 3" xfId="20189"/>
    <cellStyle name="20% - Accent6 2 6 6" xfId="10190"/>
    <cellStyle name="20% - Accent6 2 6 6 2" xfId="20192"/>
    <cellStyle name="20% - Accent6 2 6 6 3" xfId="20191"/>
    <cellStyle name="20% - Accent6 2 6 7" xfId="20193"/>
    <cellStyle name="20% - Accent6 2 6 8" xfId="20162"/>
    <cellStyle name="20% - Accent6 2 7" xfId="630"/>
    <cellStyle name="20% - Accent6 2 7 2" xfId="1335"/>
    <cellStyle name="20% - Accent6 2 7 2 2" xfId="2900"/>
    <cellStyle name="20% - Accent6 2 7 2 2 2" xfId="9185"/>
    <cellStyle name="20% - Accent6 2 7 2 2 2 2" xfId="20198"/>
    <cellStyle name="20% - Accent6 2 7 2 2 2 3" xfId="20197"/>
    <cellStyle name="20% - Accent6 2 7 2 2 3" xfId="6058"/>
    <cellStyle name="20% - Accent6 2 7 2 2 3 2" xfId="20200"/>
    <cellStyle name="20% - Accent6 2 7 2 2 3 3" xfId="20199"/>
    <cellStyle name="20% - Accent6 2 7 2 2 4" xfId="12368"/>
    <cellStyle name="20% - Accent6 2 7 2 2 4 2" xfId="20202"/>
    <cellStyle name="20% - Accent6 2 7 2 2 4 3" xfId="20201"/>
    <cellStyle name="20% - Accent6 2 7 2 2 5" xfId="20203"/>
    <cellStyle name="20% - Accent6 2 7 2 2 6" xfId="20196"/>
    <cellStyle name="20% - Accent6 2 7 2 3" xfId="7622"/>
    <cellStyle name="20% - Accent6 2 7 2 3 2" xfId="20205"/>
    <cellStyle name="20% - Accent6 2 7 2 3 3" xfId="20204"/>
    <cellStyle name="20% - Accent6 2 7 2 4" xfId="4495"/>
    <cellStyle name="20% - Accent6 2 7 2 4 2" xfId="20207"/>
    <cellStyle name="20% - Accent6 2 7 2 4 3" xfId="20206"/>
    <cellStyle name="20% - Accent6 2 7 2 5" xfId="10805"/>
    <cellStyle name="20% - Accent6 2 7 2 5 2" xfId="20209"/>
    <cellStyle name="20% - Accent6 2 7 2 5 3" xfId="20208"/>
    <cellStyle name="20% - Accent6 2 7 2 6" xfId="20210"/>
    <cellStyle name="20% - Accent6 2 7 2 7" xfId="20195"/>
    <cellStyle name="20% - Accent6 2 7 3" xfId="2220"/>
    <cellStyle name="20% - Accent6 2 7 3 2" xfId="8505"/>
    <cellStyle name="20% - Accent6 2 7 3 2 2" xfId="20213"/>
    <cellStyle name="20% - Accent6 2 7 3 2 3" xfId="20212"/>
    <cellStyle name="20% - Accent6 2 7 3 3" xfId="5378"/>
    <cellStyle name="20% - Accent6 2 7 3 3 2" xfId="20215"/>
    <cellStyle name="20% - Accent6 2 7 3 3 3" xfId="20214"/>
    <cellStyle name="20% - Accent6 2 7 3 4" xfId="11688"/>
    <cellStyle name="20% - Accent6 2 7 3 4 2" xfId="20217"/>
    <cellStyle name="20% - Accent6 2 7 3 4 3" xfId="20216"/>
    <cellStyle name="20% - Accent6 2 7 3 5" xfId="20218"/>
    <cellStyle name="20% - Accent6 2 7 3 6" xfId="20211"/>
    <cellStyle name="20% - Accent6 2 7 4" xfId="6942"/>
    <cellStyle name="20% - Accent6 2 7 4 2" xfId="20220"/>
    <cellStyle name="20% - Accent6 2 7 4 3" xfId="20219"/>
    <cellStyle name="20% - Accent6 2 7 5" xfId="3815"/>
    <cellStyle name="20% - Accent6 2 7 5 2" xfId="20222"/>
    <cellStyle name="20% - Accent6 2 7 5 3" xfId="20221"/>
    <cellStyle name="20% - Accent6 2 7 6" xfId="10248"/>
    <cellStyle name="20% - Accent6 2 7 6 2" xfId="20224"/>
    <cellStyle name="20% - Accent6 2 7 6 3" xfId="20223"/>
    <cellStyle name="20% - Accent6 2 7 7" xfId="20225"/>
    <cellStyle name="20% - Accent6 2 7 8" xfId="20194"/>
    <cellStyle name="20% - Accent6 2 8" xfId="864"/>
    <cellStyle name="20% - Accent6 2 8 2" xfId="2430"/>
    <cellStyle name="20% - Accent6 2 8 2 2" xfId="8715"/>
    <cellStyle name="20% - Accent6 2 8 2 2 2" xfId="20229"/>
    <cellStyle name="20% - Accent6 2 8 2 2 3" xfId="20228"/>
    <cellStyle name="20% - Accent6 2 8 2 3" xfId="5588"/>
    <cellStyle name="20% - Accent6 2 8 2 3 2" xfId="20231"/>
    <cellStyle name="20% - Accent6 2 8 2 3 3" xfId="20230"/>
    <cellStyle name="20% - Accent6 2 8 2 4" xfId="11898"/>
    <cellStyle name="20% - Accent6 2 8 2 4 2" xfId="20233"/>
    <cellStyle name="20% - Accent6 2 8 2 4 3" xfId="20232"/>
    <cellStyle name="20% - Accent6 2 8 2 5" xfId="20234"/>
    <cellStyle name="20% - Accent6 2 8 2 6" xfId="20227"/>
    <cellStyle name="20% - Accent6 2 8 3" xfId="7152"/>
    <cellStyle name="20% - Accent6 2 8 3 2" xfId="20236"/>
    <cellStyle name="20% - Accent6 2 8 3 3" xfId="20235"/>
    <cellStyle name="20% - Accent6 2 8 4" xfId="4025"/>
    <cellStyle name="20% - Accent6 2 8 4 2" xfId="20238"/>
    <cellStyle name="20% - Accent6 2 8 4 3" xfId="20237"/>
    <cellStyle name="20% - Accent6 2 8 5" xfId="10335"/>
    <cellStyle name="20% - Accent6 2 8 5 2" xfId="20240"/>
    <cellStyle name="20% - Accent6 2 8 5 3" xfId="20239"/>
    <cellStyle name="20% - Accent6 2 8 6" xfId="20241"/>
    <cellStyle name="20% - Accent6 2 8 7" xfId="20226"/>
    <cellStyle name="20% - Accent6 2 9" xfId="1537"/>
    <cellStyle name="20% - Accent6 2 9 2" xfId="3102"/>
    <cellStyle name="20% - Accent6 2 9 2 2" xfId="9387"/>
    <cellStyle name="20% - Accent6 2 9 2 2 2" xfId="20245"/>
    <cellStyle name="20% - Accent6 2 9 2 2 3" xfId="20244"/>
    <cellStyle name="20% - Accent6 2 9 2 3" xfId="6260"/>
    <cellStyle name="20% - Accent6 2 9 2 3 2" xfId="20247"/>
    <cellStyle name="20% - Accent6 2 9 2 3 3" xfId="20246"/>
    <cellStyle name="20% - Accent6 2 9 2 4" xfId="12570"/>
    <cellStyle name="20% - Accent6 2 9 2 4 2" xfId="20249"/>
    <cellStyle name="20% - Accent6 2 9 2 4 3" xfId="20248"/>
    <cellStyle name="20% - Accent6 2 9 2 5" xfId="20250"/>
    <cellStyle name="20% - Accent6 2 9 2 6" xfId="20243"/>
    <cellStyle name="20% - Accent6 2 9 3" xfId="7824"/>
    <cellStyle name="20% - Accent6 2 9 3 2" xfId="20252"/>
    <cellStyle name="20% - Accent6 2 9 3 3" xfId="20251"/>
    <cellStyle name="20% - Accent6 2 9 4" xfId="4697"/>
    <cellStyle name="20% - Accent6 2 9 4 2" xfId="20254"/>
    <cellStyle name="20% - Accent6 2 9 4 3" xfId="20253"/>
    <cellStyle name="20% - Accent6 2 9 5" xfId="11007"/>
    <cellStyle name="20% - Accent6 2 9 5 2" xfId="20256"/>
    <cellStyle name="20% - Accent6 2 9 5 3" xfId="20255"/>
    <cellStyle name="20% - Accent6 2 9 6" xfId="20257"/>
    <cellStyle name="20% - Accent6 2 9 7" xfId="20242"/>
    <cellStyle name="20% - Accent6 20" xfId="1735"/>
    <cellStyle name="20% - Accent6 20 2" xfId="8022"/>
    <cellStyle name="20% - Accent6 20 2 2" xfId="20260"/>
    <cellStyle name="20% - Accent6 20 2 3" xfId="20259"/>
    <cellStyle name="20% - Accent6 20 3" xfId="4895"/>
    <cellStyle name="20% - Accent6 20 3 2" xfId="20262"/>
    <cellStyle name="20% - Accent6 20 3 3" xfId="20261"/>
    <cellStyle name="20% - Accent6 20 4" xfId="11205"/>
    <cellStyle name="20% - Accent6 20 4 2" xfId="20264"/>
    <cellStyle name="20% - Accent6 20 4 3" xfId="20263"/>
    <cellStyle name="20% - Accent6 20 5" xfId="20265"/>
    <cellStyle name="20% - Accent6 20 6" xfId="20258"/>
    <cellStyle name="20% - Accent6 21" xfId="114"/>
    <cellStyle name="20% - Accent6 21 2" xfId="6459"/>
    <cellStyle name="20% - Accent6 21 2 2" xfId="20268"/>
    <cellStyle name="20% - Accent6 21 2 3" xfId="20267"/>
    <cellStyle name="20% - Accent6 21 3" xfId="20269"/>
    <cellStyle name="20% - Accent6 21 4" xfId="20266"/>
    <cellStyle name="20% - Accent6 22" xfId="3303"/>
    <cellStyle name="20% - Accent6 22 2" xfId="9586"/>
    <cellStyle name="20% - Accent6 22 2 2" xfId="20272"/>
    <cellStyle name="20% - Accent6 22 2 3" xfId="20271"/>
    <cellStyle name="20% - Accent6 22 3" xfId="20273"/>
    <cellStyle name="20% - Accent6 22 4" xfId="20270"/>
    <cellStyle name="20% - Accent6 23" xfId="3332"/>
    <cellStyle name="20% - Accent6 23 2" xfId="20275"/>
    <cellStyle name="20% - Accent6 23 3" xfId="20274"/>
    <cellStyle name="20% - Accent6 24" xfId="9639"/>
    <cellStyle name="20% - Accent6 24 2" xfId="20277"/>
    <cellStyle name="20% - Accent6 24 3" xfId="20276"/>
    <cellStyle name="20% - Accent6 25" xfId="20278"/>
    <cellStyle name="20% - Accent6 26" xfId="19691"/>
    <cellStyle name="20% - Accent6 27" xfId="38135"/>
    <cellStyle name="20% - Accent6 3" xfId="83"/>
    <cellStyle name="20% - Accent6 3 10" xfId="1764"/>
    <cellStyle name="20% - Accent6 3 10 2" xfId="8049"/>
    <cellStyle name="20% - Accent6 3 10 2 2" xfId="20282"/>
    <cellStyle name="20% - Accent6 3 10 2 3" xfId="20281"/>
    <cellStyle name="20% - Accent6 3 10 3" xfId="4922"/>
    <cellStyle name="20% - Accent6 3 10 3 2" xfId="20284"/>
    <cellStyle name="20% - Accent6 3 10 3 3" xfId="20283"/>
    <cellStyle name="20% - Accent6 3 10 4" xfId="11232"/>
    <cellStyle name="20% - Accent6 3 10 4 2" xfId="20286"/>
    <cellStyle name="20% - Accent6 3 10 4 3" xfId="20285"/>
    <cellStyle name="20% - Accent6 3 10 5" xfId="20287"/>
    <cellStyle name="20% - Accent6 3 10 6" xfId="20280"/>
    <cellStyle name="20% - Accent6 3 11" xfId="141"/>
    <cellStyle name="20% - Accent6 3 11 2" xfId="6486"/>
    <cellStyle name="20% - Accent6 3 11 2 2" xfId="20290"/>
    <cellStyle name="20% - Accent6 3 11 2 3" xfId="20289"/>
    <cellStyle name="20% - Accent6 3 11 3" xfId="20291"/>
    <cellStyle name="20% - Accent6 3 11 4" xfId="20288"/>
    <cellStyle name="20% - Accent6 3 12" xfId="3359"/>
    <cellStyle name="20% - Accent6 3 12 2" xfId="20293"/>
    <cellStyle name="20% - Accent6 3 12 3" xfId="20292"/>
    <cellStyle name="20% - Accent6 3 13" xfId="9606"/>
    <cellStyle name="20% - Accent6 3 13 2" xfId="20295"/>
    <cellStyle name="20% - Accent6 3 13 3" xfId="20294"/>
    <cellStyle name="20% - Accent6 3 14" xfId="20296"/>
    <cellStyle name="20% - Accent6 3 15" xfId="20279"/>
    <cellStyle name="20% - Accent6 3 16" xfId="38137"/>
    <cellStyle name="20% - Accent6 3 2" xfId="162"/>
    <cellStyle name="20% - Accent6 3 2 2" xfId="300"/>
    <cellStyle name="20% - Accent6 3 2 2 2" xfId="1010"/>
    <cellStyle name="20% - Accent6 3 2 2 2 2" xfId="2576"/>
    <cellStyle name="20% - Accent6 3 2 2 2 2 2" xfId="8861"/>
    <cellStyle name="20% - Accent6 3 2 2 2 2 2 2" xfId="20302"/>
    <cellStyle name="20% - Accent6 3 2 2 2 2 2 3" xfId="20301"/>
    <cellStyle name="20% - Accent6 3 2 2 2 2 3" xfId="5734"/>
    <cellStyle name="20% - Accent6 3 2 2 2 2 3 2" xfId="20304"/>
    <cellStyle name="20% - Accent6 3 2 2 2 2 3 3" xfId="20303"/>
    <cellStyle name="20% - Accent6 3 2 2 2 2 4" xfId="12044"/>
    <cellStyle name="20% - Accent6 3 2 2 2 2 4 2" xfId="20306"/>
    <cellStyle name="20% - Accent6 3 2 2 2 2 4 3" xfId="20305"/>
    <cellStyle name="20% - Accent6 3 2 2 2 2 5" xfId="20307"/>
    <cellStyle name="20% - Accent6 3 2 2 2 2 6" xfId="20300"/>
    <cellStyle name="20% - Accent6 3 2 2 2 3" xfId="7298"/>
    <cellStyle name="20% - Accent6 3 2 2 2 3 2" xfId="20309"/>
    <cellStyle name="20% - Accent6 3 2 2 2 3 3" xfId="20308"/>
    <cellStyle name="20% - Accent6 3 2 2 2 4" xfId="4171"/>
    <cellStyle name="20% - Accent6 3 2 2 2 4 2" xfId="20311"/>
    <cellStyle name="20% - Accent6 3 2 2 2 4 3" xfId="20310"/>
    <cellStyle name="20% - Accent6 3 2 2 2 5" xfId="10481"/>
    <cellStyle name="20% - Accent6 3 2 2 2 5 2" xfId="20313"/>
    <cellStyle name="20% - Accent6 3 2 2 2 5 3" xfId="20312"/>
    <cellStyle name="20% - Accent6 3 2 2 2 6" xfId="20314"/>
    <cellStyle name="20% - Accent6 3 2 2 2 7" xfId="20299"/>
    <cellStyle name="20% - Accent6 3 2 2 3" xfId="1896"/>
    <cellStyle name="20% - Accent6 3 2 2 3 2" xfId="8181"/>
    <cellStyle name="20% - Accent6 3 2 2 3 2 2" xfId="20317"/>
    <cellStyle name="20% - Accent6 3 2 2 3 2 3" xfId="20316"/>
    <cellStyle name="20% - Accent6 3 2 2 3 3" xfId="5054"/>
    <cellStyle name="20% - Accent6 3 2 2 3 3 2" xfId="20319"/>
    <cellStyle name="20% - Accent6 3 2 2 3 3 3" xfId="20318"/>
    <cellStyle name="20% - Accent6 3 2 2 3 4" xfId="11364"/>
    <cellStyle name="20% - Accent6 3 2 2 3 4 2" xfId="20321"/>
    <cellStyle name="20% - Accent6 3 2 2 3 4 3" xfId="20320"/>
    <cellStyle name="20% - Accent6 3 2 2 3 5" xfId="20322"/>
    <cellStyle name="20% - Accent6 3 2 2 3 6" xfId="20315"/>
    <cellStyle name="20% - Accent6 3 2 2 4" xfId="6618"/>
    <cellStyle name="20% - Accent6 3 2 2 4 2" xfId="20324"/>
    <cellStyle name="20% - Accent6 3 2 2 4 3" xfId="20323"/>
    <cellStyle name="20% - Accent6 3 2 2 5" xfId="3491"/>
    <cellStyle name="20% - Accent6 3 2 2 5 2" xfId="20326"/>
    <cellStyle name="20% - Accent6 3 2 2 5 3" xfId="20325"/>
    <cellStyle name="20% - Accent6 3 2 2 6" xfId="9943"/>
    <cellStyle name="20% - Accent6 3 2 2 6 2" xfId="20328"/>
    <cellStyle name="20% - Accent6 3 2 2 6 3" xfId="20327"/>
    <cellStyle name="20% - Accent6 3 2 2 7" xfId="20329"/>
    <cellStyle name="20% - Accent6 3 2 2 8" xfId="20298"/>
    <cellStyle name="20% - Accent6 3 2 3" xfId="898"/>
    <cellStyle name="20% - Accent6 3 2 3 2" xfId="2464"/>
    <cellStyle name="20% - Accent6 3 2 3 2 2" xfId="8749"/>
    <cellStyle name="20% - Accent6 3 2 3 2 2 2" xfId="20333"/>
    <cellStyle name="20% - Accent6 3 2 3 2 2 3" xfId="20332"/>
    <cellStyle name="20% - Accent6 3 2 3 2 3" xfId="5622"/>
    <cellStyle name="20% - Accent6 3 2 3 2 3 2" xfId="20335"/>
    <cellStyle name="20% - Accent6 3 2 3 2 3 3" xfId="20334"/>
    <cellStyle name="20% - Accent6 3 2 3 2 4" xfId="11932"/>
    <cellStyle name="20% - Accent6 3 2 3 2 4 2" xfId="20337"/>
    <cellStyle name="20% - Accent6 3 2 3 2 4 3" xfId="20336"/>
    <cellStyle name="20% - Accent6 3 2 3 2 5" xfId="20338"/>
    <cellStyle name="20% - Accent6 3 2 3 2 6" xfId="20331"/>
    <cellStyle name="20% - Accent6 3 2 3 3" xfId="7186"/>
    <cellStyle name="20% - Accent6 3 2 3 3 2" xfId="20340"/>
    <cellStyle name="20% - Accent6 3 2 3 3 3" xfId="20339"/>
    <cellStyle name="20% - Accent6 3 2 3 4" xfId="4059"/>
    <cellStyle name="20% - Accent6 3 2 3 4 2" xfId="20342"/>
    <cellStyle name="20% - Accent6 3 2 3 4 3" xfId="20341"/>
    <cellStyle name="20% - Accent6 3 2 3 5" xfId="10369"/>
    <cellStyle name="20% - Accent6 3 2 3 5 2" xfId="20344"/>
    <cellStyle name="20% - Accent6 3 2 3 5 3" xfId="20343"/>
    <cellStyle name="20% - Accent6 3 2 3 6" xfId="20345"/>
    <cellStyle name="20% - Accent6 3 2 3 7" xfId="20330"/>
    <cellStyle name="20% - Accent6 3 2 4" xfId="1784"/>
    <cellStyle name="20% - Accent6 3 2 4 2" xfId="8069"/>
    <cellStyle name="20% - Accent6 3 2 4 2 2" xfId="20348"/>
    <cellStyle name="20% - Accent6 3 2 4 2 3" xfId="20347"/>
    <cellStyle name="20% - Accent6 3 2 4 3" xfId="4942"/>
    <cellStyle name="20% - Accent6 3 2 4 3 2" xfId="20350"/>
    <cellStyle name="20% - Accent6 3 2 4 3 3" xfId="20349"/>
    <cellStyle name="20% - Accent6 3 2 4 4" xfId="11252"/>
    <cellStyle name="20% - Accent6 3 2 4 4 2" xfId="20352"/>
    <cellStyle name="20% - Accent6 3 2 4 4 3" xfId="20351"/>
    <cellStyle name="20% - Accent6 3 2 4 5" xfId="20353"/>
    <cellStyle name="20% - Accent6 3 2 4 6" xfId="20346"/>
    <cellStyle name="20% - Accent6 3 2 5" xfId="6506"/>
    <cellStyle name="20% - Accent6 3 2 5 2" xfId="20355"/>
    <cellStyle name="20% - Accent6 3 2 5 3" xfId="20354"/>
    <cellStyle name="20% - Accent6 3 2 6" xfId="3379"/>
    <cellStyle name="20% - Accent6 3 2 6 2" xfId="20357"/>
    <cellStyle name="20% - Accent6 3 2 6 3" xfId="20356"/>
    <cellStyle name="20% - Accent6 3 2 7" xfId="9852"/>
    <cellStyle name="20% - Accent6 3 2 7 2" xfId="20359"/>
    <cellStyle name="20% - Accent6 3 2 7 3" xfId="20358"/>
    <cellStyle name="20% - Accent6 3 2 8" xfId="20360"/>
    <cellStyle name="20% - Accent6 3 2 9" xfId="20297"/>
    <cellStyle name="20% - Accent6 3 3" xfId="238"/>
    <cellStyle name="20% - Accent6 3 3 2" xfId="949"/>
    <cellStyle name="20% - Accent6 3 3 2 2" xfId="2515"/>
    <cellStyle name="20% - Accent6 3 3 2 2 2" xfId="8800"/>
    <cellStyle name="20% - Accent6 3 3 2 2 2 2" xfId="20365"/>
    <cellStyle name="20% - Accent6 3 3 2 2 2 3" xfId="20364"/>
    <cellStyle name="20% - Accent6 3 3 2 2 3" xfId="5673"/>
    <cellStyle name="20% - Accent6 3 3 2 2 3 2" xfId="20367"/>
    <cellStyle name="20% - Accent6 3 3 2 2 3 3" xfId="20366"/>
    <cellStyle name="20% - Accent6 3 3 2 2 4" xfId="11983"/>
    <cellStyle name="20% - Accent6 3 3 2 2 4 2" xfId="20369"/>
    <cellStyle name="20% - Accent6 3 3 2 2 4 3" xfId="20368"/>
    <cellStyle name="20% - Accent6 3 3 2 2 5" xfId="20370"/>
    <cellStyle name="20% - Accent6 3 3 2 2 6" xfId="20363"/>
    <cellStyle name="20% - Accent6 3 3 2 3" xfId="7237"/>
    <cellStyle name="20% - Accent6 3 3 2 3 2" xfId="20372"/>
    <cellStyle name="20% - Accent6 3 3 2 3 3" xfId="20371"/>
    <cellStyle name="20% - Accent6 3 3 2 4" xfId="4110"/>
    <cellStyle name="20% - Accent6 3 3 2 4 2" xfId="20374"/>
    <cellStyle name="20% - Accent6 3 3 2 4 3" xfId="20373"/>
    <cellStyle name="20% - Accent6 3 3 2 5" xfId="10420"/>
    <cellStyle name="20% - Accent6 3 3 2 5 2" xfId="20376"/>
    <cellStyle name="20% - Accent6 3 3 2 5 3" xfId="20375"/>
    <cellStyle name="20% - Accent6 3 3 2 6" xfId="20377"/>
    <cellStyle name="20% - Accent6 3 3 2 7" xfId="20362"/>
    <cellStyle name="20% - Accent6 3 3 3" xfId="1835"/>
    <cellStyle name="20% - Accent6 3 3 3 2" xfId="8120"/>
    <cellStyle name="20% - Accent6 3 3 3 2 2" xfId="20380"/>
    <cellStyle name="20% - Accent6 3 3 3 2 3" xfId="20379"/>
    <cellStyle name="20% - Accent6 3 3 3 3" xfId="4993"/>
    <cellStyle name="20% - Accent6 3 3 3 3 2" xfId="20382"/>
    <cellStyle name="20% - Accent6 3 3 3 3 3" xfId="20381"/>
    <cellStyle name="20% - Accent6 3 3 3 4" xfId="11303"/>
    <cellStyle name="20% - Accent6 3 3 3 4 2" xfId="20384"/>
    <cellStyle name="20% - Accent6 3 3 3 4 3" xfId="20383"/>
    <cellStyle name="20% - Accent6 3 3 3 5" xfId="20385"/>
    <cellStyle name="20% - Accent6 3 3 3 6" xfId="20378"/>
    <cellStyle name="20% - Accent6 3 3 4" xfId="6557"/>
    <cellStyle name="20% - Accent6 3 3 4 2" xfId="20387"/>
    <cellStyle name="20% - Accent6 3 3 4 3" xfId="20386"/>
    <cellStyle name="20% - Accent6 3 3 5" xfId="3430"/>
    <cellStyle name="20% - Accent6 3 3 5 2" xfId="20389"/>
    <cellStyle name="20% - Accent6 3 3 5 3" xfId="20388"/>
    <cellStyle name="20% - Accent6 3 3 6" xfId="9830"/>
    <cellStyle name="20% - Accent6 3 3 6 2" xfId="20391"/>
    <cellStyle name="20% - Accent6 3 3 6 3" xfId="20390"/>
    <cellStyle name="20% - Accent6 3 3 7" xfId="20392"/>
    <cellStyle name="20% - Accent6 3 3 8" xfId="20361"/>
    <cellStyle name="20% - Accent6 3 4" xfId="345"/>
    <cellStyle name="20% - Accent6 3 4 2" xfId="1053"/>
    <cellStyle name="20% - Accent6 3 4 2 2" xfId="2619"/>
    <cellStyle name="20% - Accent6 3 4 2 2 2" xfId="8904"/>
    <cellStyle name="20% - Accent6 3 4 2 2 2 2" xfId="20397"/>
    <cellStyle name="20% - Accent6 3 4 2 2 2 3" xfId="20396"/>
    <cellStyle name="20% - Accent6 3 4 2 2 3" xfId="5777"/>
    <cellStyle name="20% - Accent6 3 4 2 2 3 2" xfId="20399"/>
    <cellStyle name="20% - Accent6 3 4 2 2 3 3" xfId="20398"/>
    <cellStyle name="20% - Accent6 3 4 2 2 4" xfId="12087"/>
    <cellStyle name="20% - Accent6 3 4 2 2 4 2" xfId="20401"/>
    <cellStyle name="20% - Accent6 3 4 2 2 4 3" xfId="20400"/>
    <cellStyle name="20% - Accent6 3 4 2 2 5" xfId="20402"/>
    <cellStyle name="20% - Accent6 3 4 2 2 6" xfId="20395"/>
    <cellStyle name="20% - Accent6 3 4 2 3" xfId="7341"/>
    <cellStyle name="20% - Accent6 3 4 2 3 2" xfId="20404"/>
    <cellStyle name="20% - Accent6 3 4 2 3 3" xfId="20403"/>
    <cellStyle name="20% - Accent6 3 4 2 4" xfId="4214"/>
    <cellStyle name="20% - Accent6 3 4 2 4 2" xfId="20406"/>
    <cellStyle name="20% - Accent6 3 4 2 4 3" xfId="20405"/>
    <cellStyle name="20% - Accent6 3 4 2 5" xfId="10524"/>
    <cellStyle name="20% - Accent6 3 4 2 5 2" xfId="20408"/>
    <cellStyle name="20% - Accent6 3 4 2 5 3" xfId="20407"/>
    <cellStyle name="20% - Accent6 3 4 2 6" xfId="20409"/>
    <cellStyle name="20% - Accent6 3 4 2 7" xfId="20394"/>
    <cellStyle name="20% - Accent6 3 4 3" xfId="1939"/>
    <cellStyle name="20% - Accent6 3 4 3 2" xfId="8224"/>
    <cellStyle name="20% - Accent6 3 4 3 2 2" xfId="20412"/>
    <cellStyle name="20% - Accent6 3 4 3 2 3" xfId="20411"/>
    <cellStyle name="20% - Accent6 3 4 3 3" xfId="5097"/>
    <cellStyle name="20% - Accent6 3 4 3 3 2" xfId="20414"/>
    <cellStyle name="20% - Accent6 3 4 3 3 3" xfId="20413"/>
    <cellStyle name="20% - Accent6 3 4 3 4" xfId="11407"/>
    <cellStyle name="20% - Accent6 3 4 3 4 2" xfId="20416"/>
    <cellStyle name="20% - Accent6 3 4 3 4 3" xfId="20415"/>
    <cellStyle name="20% - Accent6 3 4 3 5" xfId="20417"/>
    <cellStyle name="20% - Accent6 3 4 3 6" xfId="20410"/>
    <cellStyle name="20% - Accent6 3 4 4" xfId="6661"/>
    <cellStyle name="20% - Accent6 3 4 4 2" xfId="20419"/>
    <cellStyle name="20% - Accent6 3 4 4 3" xfId="20418"/>
    <cellStyle name="20% - Accent6 3 4 5" xfId="3534"/>
    <cellStyle name="20% - Accent6 3 4 5 2" xfId="20421"/>
    <cellStyle name="20% - Accent6 3 4 5 3" xfId="20420"/>
    <cellStyle name="20% - Accent6 3 4 6" xfId="9966"/>
    <cellStyle name="20% - Accent6 3 4 6 2" xfId="20423"/>
    <cellStyle name="20% - Accent6 3 4 6 3" xfId="20422"/>
    <cellStyle name="20% - Accent6 3 4 7" xfId="20424"/>
    <cellStyle name="20% - Accent6 3 4 8" xfId="20393"/>
    <cellStyle name="20% - Accent6 3 5" xfId="400"/>
    <cellStyle name="20% - Accent6 3 5 2" xfId="1107"/>
    <cellStyle name="20% - Accent6 3 5 2 2" xfId="2672"/>
    <cellStyle name="20% - Accent6 3 5 2 2 2" xfId="8957"/>
    <cellStyle name="20% - Accent6 3 5 2 2 2 2" xfId="20429"/>
    <cellStyle name="20% - Accent6 3 5 2 2 2 3" xfId="20428"/>
    <cellStyle name="20% - Accent6 3 5 2 2 3" xfId="5830"/>
    <cellStyle name="20% - Accent6 3 5 2 2 3 2" xfId="20431"/>
    <cellStyle name="20% - Accent6 3 5 2 2 3 3" xfId="20430"/>
    <cellStyle name="20% - Accent6 3 5 2 2 4" xfId="12140"/>
    <cellStyle name="20% - Accent6 3 5 2 2 4 2" xfId="20433"/>
    <cellStyle name="20% - Accent6 3 5 2 2 4 3" xfId="20432"/>
    <cellStyle name="20% - Accent6 3 5 2 2 5" xfId="20434"/>
    <cellStyle name="20% - Accent6 3 5 2 2 6" xfId="20427"/>
    <cellStyle name="20% - Accent6 3 5 2 3" xfId="7394"/>
    <cellStyle name="20% - Accent6 3 5 2 3 2" xfId="20436"/>
    <cellStyle name="20% - Accent6 3 5 2 3 3" xfId="20435"/>
    <cellStyle name="20% - Accent6 3 5 2 4" xfId="4267"/>
    <cellStyle name="20% - Accent6 3 5 2 4 2" xfId="20438"/>
    <cellStyle name="20% - Accent6 3 5 2 4 3" xfId="20437"/>
    <cellStyle name="20% - Accent6 3 5 2 5" xfId="10577"/>
    <cellStyle name="20% - Accent6 3 5 2 5 2" xfId="20440"/>
    <cellStyle name="20% - Accent6 3 5 2 5 3" xfId="20439"/>
    <cellStyle name="20% - Accent6 3 5 2 6" xfId="20441"/>
    <cellStyle name="20% - Accent6 3 5 2 7" xfId="20426"/>
    <cellStyle name="20% - Accent6 3 5 3" xfId="1992"/>
    <cellStyle name="20% - Accent6 3 5 3 2" xfId="8277"/>
    <cellStyle name="20% - Accent6 3 5 3 2 2" xfId="20444"/>
    <cellStyle name="20% - Accent6 3 5 3 2 3" xfId="20443"/>
    <cellStyle name="20% - Accent6 3 5 3 3" xfId="5150"/>
    <cellStyle name="20% - Accent6 3 5 3 3 2" xfId="20446"/>
    <cellStyle name="20% - Accent6 3 5 3 3 3" xfId="20445"/>
    <cellStyle name="20% - Accent6 3 5 3 4" xfId="11460"/>
    <cellStyle name="20% - Accent6 3 5 3 4 2" xfId="20448"/>
    <cellStyle name="20% - Accent6 3 5 3 4 3" xfId="20447"/>
    <cellStyle name="20% - Accent6 3 5 3 5" xfId="20449"/>
    <cellStyle name="20% - Accent6 3 5 3 6" xfId="20442"/>
    <cellStyle name="20% - Accent6 3 5 4" xfId="6714"/>
    <cellStyle name="20% - Accent6 3 5 4 2" xfId="20451"/>
    <cellStyle name="20% - Accent6 3 5 4 3" xfId="20450"/>
    <cellStyle name="20% - Accent6 3 5 5" xfId="3587"/>
    <cellStyle name="20% - Accent6 3 5 5 2" xfId="20453"/>
    <cellStyle name="20% - Accent6 3 5 5 3" xfId="20452"/>
    <cellStyle name="20% - Accent6 3 5 6" xfId="10020"/>
    <cellStyle name="20% - Accent6 3 5 6 2" xfId="20455"/>
    <cellStyle name="20% - Accent6 3 5 6 3" xfId="20454"/>
    <cellStyle name="20% - Accent6 3 5 7" xfId="20456"/>
    <cellStyle name="20% - Accent6 3 5 8" xfId="20425"/>
    <cellStyle name="20% - Accent6 3 6" xfId="572"/>
    <cellStyle name="20% - Accent6 3 6 2" xfId="1279"/>
    <cellStyle name="20% - Accent6 3 6 2 2" xfId="2844"/>
    <cellStyle name="20% - Accent6 3 6 2 2 2" xfId="9129"/>
    <cellStyle name="20% - Accent6 3 6 2 2 2 2" xfId="20461"/>
    <cellStyle name="20% - Accent6 3 6 2 2 2 3" xfId="20460"/>
    <cellStyle name="20% - Accent6 3 6 2 2 3" xfId="6002"/>
    <cellStyle name="20% - Accent6 3 6 2 2 3 2" xfId="20463"/>
    <cellStyle name="20% - Accent6 3 6 2 2 3 3" xfId="20462"/>
    <cellStyle name="20% - Accent6 3 6 2 2 4" xfId="12312"/>
    <cellStyle name="20% - Accent6 3 6 2 2 4 2" xfId="20465"/>
    <cellStyle name="20% - Accent6 3 6 2 2 4 3" xfId="20464"/>
    <cellStyle name="20% - Accent6 3 6 2 2 5" xfId="20466"/>
    <cellStyle name="20% - Accent6 3 6 2 2 6" xfId="20459"/>
    <cellStyle name="20% - Accent6 3 6 2 3" xfId="7566"/>
    <cellStyle name="20% - Accent6 3 6 2 3 2" xfId="20468"/>
    <cellStyle name="20% - Accent6 3 6 2 3 3" xfId="20467"/>
    <cellStyle name="20% - Accent6 3 6 2 4" xfId="4439"/>
    <cellStyle name="20% - Accent6 3 6 2 4 2" xfId="20470"/>
    <cellStyle name="20% - Accent6 3 6 2 4 3" xfId="20469"/>
    <cellStyle name="20% - Accent6 3 6 2 5" xfId="10749"/>
    <cellStyle name="20% - Accent6 3 6 2 5 2" xfId="20472"/>
    <cellStyle name="20% - Accent6 3 6 2 5 3" xfId="20471"/>
    <cellStyle name="20% - Accent6 3 6 2 6" xfId="20473"/>
    <cellStyle name="20% - Accent6 3 6 2 7" xfId="20458"/>
    <cellStyle name="20% - Accent6 3 6 3" xfId="2164"/>
    <cellStyle name="20% - Accent6 3 6 3 2" xfId="8449"/>
    <cellStyle name="20% - Accent6 3 6 3 2 2" xfId="20476"/>
    <cellStyle name="20% - Accent6 3 6 3 2 3" xfId="20475"/>
    <cellStyle name="20% - Accent6 3 6 3 3" xfId="5322"/>
    <cellStyle name="20% - Accent6 3 6 3 3 2" xfId="20478"/>
    <cellStyle name="20% - Accent6 3 6 3 3 3" xfId="20477"/>
    <cellStyle name="20% - Accent6 3 6 3 4" xfId="11632"/>
    <cellStyle name="20% - Accent6 3 6 3 4 2" xfId="20480"/>
    <cellStyle name="20% - Accent6 3 6 3 4 3" xfId="20479"/>
    <cellStyle name="20% - Accent6 3 6 3 5" xfId="20481"/>
    <cellStyle name="20% - Accent6 3 6 3 6" xfId="20474"/>
    <cellStyle name="20% - Accent6 3 6 4" xfId="6886"/>
    <cellStyle name="20% - Accent6 3 6 4 2" xfId="20483"/>
    <cellStyle name="20% - Accent6 3 6 4 3" xfId="20482"/>
    <cellStyle name="20% - Accent6 3 6 5" xfId="3759"/>
    <cellStyle name="20% - Accent6 3 6 5 2" xfId="20485"/>
    <cellStyle name="20% - Accent6 3 6 5 3" xfId="20484"/>
    <cellStyle name="20% - Accent6 3 6 6" xfId="10191"/>
    <cellStyle name="20% - Accent6 3 6 6 2" xfId="20487"/>
    <cellStyle name="20% - Accent6 3 6 6 3" xfId="20486"/>
    <cellStyle name="20% - Accent6 3 6 7" xfId="20488"/>
    <cellStyle name="20% - Accent6 3 6 8" xfId="20457"/>
    <cellStyle name="20% - Accent6 3 7" xfId="631"/>
    <cellStyle name="20% - Accent6 3 7 2" xfId="1336"/>
    <cellStyle name="20% - Accent6 3 7 2 2" xfId="2901"/>
    <cellStyle name="20% - Accent6 3 7 2 2 2" xfId="9186"/>
    <cellStyle name="20% - Accent6 3 7 2 2 2 2" xfId="20493"/>
    <cellStyle name="20% - Accent6 3 7 2 2 2 3" xfId="20492"/>
    <cellStyle name="20% - Accent6 3 7 2 2 3" xfId="6059"/>
    <cellStyle name="20% - Accent6 3 7 2 2 3 2" xfId="20495"/>
    <cellStyle name="20% - Accent6 3 7 2 2 3 3" xfId="20494"/>
    <cellStyle name="20% - Accent6 3 7 2 2 4" xfId="12369"/>
    <cellStyle name="20% - Accent6 3 7 2 2 4 2" xfId="20497"/>
    <cellStyle name="20% - Accent6 3 7 2 2 4 3" xfId="20496"/>
    <cellStyle name="20% - Accent6 3 7 2 2 5" xfId="20498"/>
    <cellStyle name="20% - Accent6 3 7 2 2 6" xfId="20491"/>
    <cellStyle name="20% - Accent6 3 7 2 3" xfId="7623"/>
    <cellStyle name="20% - Accent6 3 7 2 3 2" xfId="20500"/>
    <cellStyle name="20% - Accent6 3 7 2 3 3" xfId="20499"/>
    <cellStyle name="20% - Accent6 3 7 2 4" xfId="4496"/>
    <cellStyle name="20% - Accent6 3 7 2 4 2" xfId="20502"/>
    <cellStyle name="20% - Accent6 3 7 2 4 3" xfId="20501"/>
    <cellStyle name="20% - Accent6 3 7 2 5" xfId="10806"/>
    <cellStyle name="20% - Accent6 3 7 2 5 2" xfId="20504"/>
    <cellStyle name="20% - Accent6 3 7 2 5 3" xfId="20503"/>
    <cellStyle name="20% - Accent6 3 7 2 6" xfId="20505"/>
    <cellStyle name="20% - Accent6 3 7 2 7" xfId="20490"/>
    <cellStyle name="20% - Accent6 3 7 3" xfId="2221"/>
    <cellStyle name="20% - Accent6 3 7 3 2" xfId="8506"/>
    <cellStyle name="20% - Accent6 3 7 3 2 2" xfId="20508"/>
    <cellStyle name="20% - Accent6 3 7 3 2 3" xfId="20507"/>
    <cellStyle name="20% - Accent6 3 7 3 3" xfId="5379"/>
    <cellStyle name="20% - Accent6 3 7 3 3 2" xfId="20510"/>
    <cellStyle name="20% - Accent6 3 7 3 3 3" xfId="20509"/>
    <cellStyle name="20% - Accent6 3 7 3 4" xfId="11689"/>
    <cellStyle name="20% - Accent6 3 7 3 4 2" xfId="20512"/>
    <cellStyle name="20% - Accent6 3 7 3 4 3" xfId="20511"/>
    <cellStyle name="20% - Accent6 3 7 3 5" xfId="20513"/>
    <cellStyle name="20% - Accent6 3 7 3 6" xfId="20506"/>
    <cellStyle name="20% - Accent6 3 7 4" xfId="6943"/>
    <cellStyle name="20% - Accent6 3 7 4 2" xfId="20515"/>
    <cellStyle name="20% - Accent6 3 7 4 3" xfId="20514"/>
    <cellStyle name="20% - Accent6 3 7 5" xfId="3816"/>
    <cellStyle name="20% - Accent6 3 7 5 2" xfId="20517"/>
    <cellStyle name="20% - Accent6 3 7 5 3" xfId="20516"/>
    <cellStyle name="20% - Accent6 3 7 6" xfId="10249"/>
    <cellStyle name="20% - Accent6 3 7 6 2" xfId="20519"/>
    <cellStyle name="20% - Accent6 3 7 6 3" xfId="20518"/>
    <cellStyle name="20% - Accent6 3 7 7" xfId="20520"/>
    <cellStyle name="20% - Accent6 3 7 8" xfId="20489"/>
    <cellStyle name="20% - Accent6 3 8" xfId="878"/>
    <cellStyle name="20% - Accent6 3 8 2" xfId="2444"/>
    <cellStyle name="20% - Accent6 3 8 2 2" xfId="8729"/>
    <cellStyle name="20% - Accent6 3 8 2 2 2" xfId="20524"/>
    <cellStyle name="20% - Accent6 3 8 2 2 3" xfId="20523"/>
    <cellStyle name="20% - Accent6 3 8 2 3" xfId="5602"/>
    <cellStyle name="20% - Accent6 3 8 2 3 2" xfId="20526"/>
    <cellStyle name="20% - Accent6 3 8 2 3 3" xfId="20525"/>
    <cellStyle name="20% - Accent6 3 8 2 4" xfId="11912"/>
    <cellStyle name="20% - Accent6 3 8 2 4 2" xfId="20528"/>
    <cellStyle name="20% - Accent6 3 8 2 4 3" xfId="20527"/>
    <cellStyle name="20% - Accent6 3 8 2 5" xfId="20529"/>
    <cellStyle name="20% - Accent6 3 8 2 6" xfId="20522"/>
    <cellStyle name="20% - Accent6 3 8 3" xfId="7166"/>
    <cellStyle name="20% - Accent6 3 8 3 2" xfId="20531"/>
    <cellStyle name="20% - Accent6 3 8 3 3" xfId="20530"/>
    <cellStyle name="20% - Accent6 3 8 4" xfId="4039"/>
    <cellStyle name="20% - Accent6 3 8 4 2" xfId="20533"/>
    <cellStyle name="20% - Accent6 3 8 4 3" xfId="20532"/>
    <cellStyle name="20% - Accent6 3 8 5" xfId="10349"/>
    <cellStyle name="20% - Accent6 3 8 5 2" xfId="20535"/>
    <cellStyle name="20% - Accent6 3 8 5 3" xfId="20534"/>
    <cellStyle name="20% - Accent6 3 8 6" xfId="20536"/>
    <cellStyle name="20% - Accent6 3 8 7" xfId="20521"/>
    <cellStyle name="20% - Accent6 3 9" xfId="1538"/>
    <cellStyle name="20% - Accent6 3 9 2" xfId="3103"/>
    <cellStyle name="20% - Accent6 3 9 2 2" xfId="9388"/>
    <cellStyle name="20% - Accent6 3 9 2 2 2" xfId="20540"/>
    <cellStyle name="20% - Accent6 3 9 2 2 3" xfId="20539"/>
    <cellStyle name="20% - Accent6 3 9 2 3" xfId="6261"/>
    <cellStyle name="20% - Accent6 3 9 2 3 2" xfId="20542"/>
    <cellStyle name="20% - Accent6 3 9 2 3 3" xfId="20541"/>
    <cellStyle name="20% - Accent6 3 9 2 4" xfId="12571"/>
    <cellStyle name="20% - Accent6 3 9 2 4 2" xfId="20544"/>
    <cellStyle name="20% - Accent6 3 9 2 4 3" xfId="20543"/>
    <cellStyle name="20% - Accent6 3 9 2 5" xfId="20545"/>
    <cellStyle name="20% - Accent6 3 9 2 6" xfId="20538"/>
    <cellStyle name="20% - Accent6 3 9 3" xfId="7825"/>
    <cellStyle name="20% - Accent6 3 9 3 2" xfId="20547"/>
    <cellStyle name="20% - Accent6 3 9 3 3" xfId="20546"/>
    <cellStyle name="20% - Accent6 3 9 4" xfId="4698"/>
    <cellStyle name="20% - Accent6 3 9 4 2" xfId="20549"/>
    <cellStyle name="20% - Accent6 3 9 4 3" xfId="20548"/>
    <cellStyle name="20% - Accent6 3 9 5" xfId="11008"/>
    <cellStyle name="20% - Accent6 3 9 5 2" xfId="20551"/>
    <cellStyle name="20% - Accent6 3 9 5 3" xfId="20550"/>
    <cellStyle name="20% - Accent6 3 9 6" xfId="20552"/>
    <cellStyle name="20% - Accent6 3 9 7" xfId="20537"/>
    <cellStyle name="20% - Accent6 4" xfId="163"/>
    <cellStyle name="20% - Accent6 4 10" xfId="6507"/>
    <cellStyle name="20% - Accent6 4 10 2" xfId="20555"/>
    <cellStyle name="20% - Accent6 4 10 3" xfId="20554"/>
    <cellStyle name="20% - Accent6 4 11" xfId="3380"/>
    <cellStyle name="20% - Accent6 4 11 2" xfId="20557"/>
    <cellStyle name="20% - Accent6 4 11 3" xfId="20556"/>
    <cellStyle name="20% - Accent6 4 12" xfId="9607"/>
    <cellStyle name="20% - Accent6 4 12 2" xfId="20559"/>
    <cellStyle name="20% - Accent6 4 12 3" xfId="20558"/>
    <cellStyle name="20% - Accent6 4 13" xfId="20560"/>
    <cellStyle name="20% - Accent6 4 14" xfId="20553"/>
    <cellStyle name="20% - Accent6 4 2" xfId="239"/>
    <cellStyle name="20% - Accent6 4 2 2" xfId="950"/>
    <cellStyle name="20% - Accent6 4 2 2 2" xfId="2516"/>
    <cellStyle name="20% - Accent6 4 2 2 2 2" xfId="8801"/>
    <cellStyle name="20% - Accent6 4 2 2 2 2 2" xfId="20565"/>
    <cellStyle name="20% - Accent6 4 2 2 2 2 3" xfId="20564"/>
    <cellStyle name="20% - Accent6 4 2 2 2 3" xfId="5674"/>
    <cellStyle name="20% - Accent6 4 2 2 2 3 2" xfId="20567"/>
    <cellStyle name="20% - Accent6 4 2 2 2 3 3" xfId="20566"/>
    <cellStyle name="20% - Accent6 4 2 2 2 4" xfId="11984"/>
    <cellStyle name="20% - Accent6 4 2 2 2 4 2" xfId="20569"/>
    <cellStyle name="20% - Accent6 4 2 2 2 4 3" xfId="20568"/>
    <cellStyle name="20% - Accent6 4 2 2 2 5" xfId="20570"/>
    <cellStyle name="20% - Accent6 4 2 2 2 6" xfId="20563"/>
    <cellStyle name="20% - Accent6 4 2 2 3" xfId="7238"/>
    <cellStyle name="20% - Accent6 4 2 2 3 2" xfId="20572"/>
    <cellStyle name="20% - Accent6 4 2 2 3 3" xfId="20571"/>
    <cellStyle name="20% - Accent6 4 2 2 4" xfId="4111"/>
    <cellStyle name="20% - Accent6 4 2 2 4 2" xfId="20574"/>
    <cellStyle name="20% - Accent6 4 2 2 4 3" xfId="20573"/>
    <cellStyle name="20% - Accent6 4 2 2 5" xfId="10421"/>
    <cellStyle name="20% - Accent6 4 2 2 5 2" xfId="20576"/>
    <cellStyle name="20% - Accent6 4 2 2 5 3" xfId="20575"/>
    <cellStyle name="20% - Accent6 4 2 2 6" xfId="20577"/>
    <cellStyle name="20% - Accent6 4 2 2 7" xfId="20562"/>
    <cellStyle name="20% - Accent6 4 2 3" xfId="1836"/>
    <cellStyle name="20% - Accent6 4 2 3 2" xfId="8121"/>
    <cellStyle name="20% - Accent6 4 2 3 2 2" xfId="20580"/>
    <cellStyle name="20% - Accent6 4 2 3 2 3" xfId="20579"/>
    <cellStyle name="20% - Accent6 4 2 3 3" xfId="4994"/>
    <cellStyle name="20% - Accent6 4 2 3 3 2" xfId="20582"/>
    <cellStyle name="20% - Accent6 4 2 3 3 3" xfId="20581"/>
    <cellStyle name="20% - Accent6 4 2 3 4" xfId="11304"/>
    <cellStyle name="20% - Accent6 4 2 3 4 2" xfId="20584"/>
    <cellStyle name="20% - Accent6 4 2 3 4 3" xfId="20583"/>
    <cellStyle name="20% - Accent6 4 2 3 5" xfId="20585"/>
    <cellStyle name="20% - Accent6 4 2 3 6" xfId="20578"/>
    <cellStyle name="20% - Accent6 4 2 4" xfId="6558"/>
    <cellStyle name="20% - Accent6 4 2 4 2" xfId="20587"/>
    <cellStyle name="20% - Accent6 4 2 4 3" xfId="20586"/>
    <cellStyle name="20% - Accent6 4 2 5" xfId="3431"/>
    <cellStyle name="20% - Accent6 4 2 5 2" xfId="20589"/>
    <cellStyle name="20% - Accent6 4 2 5 3" xfId="20588"/>
    <cellStyle name="20% - Accent6 4 2 6" xfId="9896"/>
    <cellStyle name="20% - Accent6 4 2 6 2" xfId="20591"/>
    <cellStyle name="20% - Accent6 4 2 6 3" xfId="20590"/>
    <cellStyle name="20% - Accent6 4 2 7" xfId="20592"/>
    <cellStyle name="20% - Accent6 4 2 8" xfId="20561"/>
    <cellStyle name="20% - Accent6 4 3" xfId="346"/>
    <cellStyle name="20% - Accent6 4 3 2" xfId="1054"/>
    <cellStyle name="20% - Accent6 4 3 2 2" xfId="2620"/>
    <cellStyle name="20% - Accent6 4 3 2 2 2" xfId="8905"/>
    <cellStyle name="20% - Accent6 4 3 2 2 2 2" xfId="20597"/>
    <cellStyle name="20% - Accent6 4 3 2 2 2 3" xfId="20596"/>
    <cellStyle name="20% - Accent6 4 3 2 2 3" xfId="5778"/>
    <cellStyle name="20% - Accent6 4 3 2 2 3 2" xfId="20599"/>
    <cellStyle name="20% - Accent6 4 3 2 2 3 3" xfId="20598"/>
    <cellStyle name="20% - Accent6 4 3 2 2 4" xfId="12088"/>
    <cellStyle name="20% - Accent6 4 3 2 2 4 2" xfId="20601"/>
    <cellStyle name="20% - Accent6 4 3 2 2 4 3" xfId="20600"/>
    <cellStyle name="20% - Accent6 4 3 2 2 5" xfId="20602"/>
    <cellStyle name="20% - Accent6 4 3 2 2 6" xfId="20595"/>
    <cellStyle name="20% - Accent6 4 3 2 3" xfId="7342"/>
    <cellStyle name="20% - Accent6 4 3 2 3 2" xfId="20604"/>
    <cellStyle name="20% - Accent6 4 3 2 3 3" xfId="20603"/>
    <cellStyle name="20% - Accent6 4 3 2 4" xfId="4215"/>
    <cellStyle name="20% - Accent6 4 3 2 4 2" xfId="20606"/>
    <cellStyle name="20% - Accent6 4 3 2 4 3" xfId="20605"/>
    <cellStyle name="20% - Accent6 4 3 2 5" xfId="10525"/>
    <cellStyle name="20% - Accent6 4 3 2 5 2" xfId="20608"/>
    <cellStyle name="20% - Accent6 4 3 2 5 3" xfId="20607"/>
    <cellStyle name="20% - Accent6 4 3 2 6" xfId="20609"/>
    <cellStyle name="20% - Accent6 4 3 2 7" xfId="20594"/>
    <cellStyle name="20% - Accent6 4 3 3" xfId="1940"/>
    <cellStyle name="20% - Accent6 4 3 3 2" xfId="8225"/>
    <cellStyle name="20% - Accent6 4 3 3 2 2" xfId="20612"/>
    <cellStyle name="20% - Accent6 4 3 3 2 3" xfId="20611"/>
    <cellStyle name="20% - Accent6 4 3 3 3" xfId="5098"/>
    <cellStyle name="20% - Accent6 4 3 3 3 2" xfId="20614"/>
    <cellStyle name="20% - Accent6 4 3 3 3 3" xfId="20613"/>
    <cellStyle name="20% - Accent6 4 3 3 4" xfId="11408"/>
    <cellStyle name="20% - Accent6 4 3 3 4 2" xfId="20616"/>
    <cellStyle name="20% - Accent6 4 3 3 4 3" xfId="20615"/>
    <cellStyle name="20% - Accent6 4 3 3 5" xfId="20617"/>
    <cellStyle name="20% - Accent6 4 3 3 6" xfId="20610"/>
    <cellStyle name="20% - Accent6 4 3 4" xfId="6662"/>
    <cellStyle name="20% - Accent6 4 3 4 2" xfId="20619"/>
    <cellStyle name="20% - Accent6 4 3 4 3" xfId="20618"/>
    <cellStyle name="20% - Accent6 4 3 5" xfId="3535"/>
    <cellStyle name="20% - Accent6 4 3 5 2" xfId="20621"/>
    <cellStyle name="20% - Accent6 4 3 5 3" xfId="20620"/>
    <cellStyle name="20% - Accent6 4 3 6" xfId="9967"/>
    <cellStyle name="20% - Accent6 4 3 6 2" xfId="20623"/>
    <cellStyle name="20% - Accent6 4 3 6 3" xfId="20622"/>
    <cellStyle name="20% - Accent6 4 3 7" xfId="20624"/>
    <cellStyle name="20% - Accent6 4 3 8" xfId="20593"/>
    <cellStyle name="20% - Accent6 4 4" xfId="413"/>
    <cellStyle name="20% - Accent6 4 4 2" xfId="1120"/>
    <cellStyle name="20% - Accent6 4 4 2 2" xfId="2685"/>
    <cellStyle name="20% - Accent6 4 4 2 2 2" xfId="8970"/>
    <cellStyle name="20% - Accent6 4 4 2 2 2 2" xfId="20629"/>
    <cellStyle name="20% - Accent6 4 4 2 2 2 3" xfId="20628"/>
    <cellStyle name="20% - Accent6 4 4 2 2 3" xfId="5843"/>
    <cellStyle name="20% - Accent6 4 4 2 2 3 2" xfId="20631"/>
    <cellStyle name="20% - Accent6 4 4 2 2 3 3" xfId="20630"/>
    <cellStyle name="20% - Accent6 4 4 2 2 4" xfId="12153"/>
    <cellStyle name="20% - Accent6 4 4 2 2 4 2" xfId="20633"/>
    <cellStyle name="20% - Accent6 4 4 2 2 4 3" xfId="20632"/>
    <cellStyle name="20% - Accent6 4 4 2 2 5" xfId="20634"/>
    <cellStyle name="20% - Accent6 4 4 2 2 6" xfId="20627"/>
    <cellStyle name="20% - Accent6 4 4 2 3" xfId="7407"/>
    <cellStyle name="20% - Accent6 4 4 2 3 2" xfId="20636"/>
    <cellStyle name="20% - Accent6 4 4 2 3 3" xfId="20635"/>
    <cellStyle name="20% - Accent6 4 4 2 4" xfId="4280"/>
    <cellStyle name="20% - Accent6 4 4 2 4 2" xfId="20638"/>
    <cellStyle name="20% - Accent6 4 4 2 4 3" xfId="20637"/>
    <cellStyle name="20% - Accent6 4 4 2 5" xfId="10590"/>
    <cellStyle name="20% - Accent6 4 4 2 5 2" xfId="20640"/>
    <cellStyle name="20% - Accent6 4 4 2 5 3" xfId="20639"/>
    <cellStyle name="20% - Accent6 4 4 2 6" xfId="20641"/>
    <cellStyle name="20% - Accent6 4 4 2 7" xfId="20626"/>
    <cellStyle name="20% - Accent6 4 4 3" xfId="2005"/>
    <cellStyle name="20% - Accent6 4 4 3 2" xfId="8290"/>
    <cellStyle name="20% - Accent6 4 4 3 2 2" xfId="20644"/>
    <cellStyle name="20% - Accent6 4 4 3 2 3" xfId="20643"/>
    <cellStyle name="20% - Accent6 4 4 3 3" xfId="5163"/>
    <cellStyle name="20% - Accent6 4 4 3 3 2" xfId="20646"/>
    <cellStyle name="20% - Accent6 4 4 3 3 3" xfId="20645"/>
    <cellStyle name="20% - Accent6 4 4 3 4" xfId="11473"/>
    <cellStyle name="20% - Accent6 4 4 3 4 2" xfId="20648"/>
    <cellStyle name="20% - Accent6 4 4 3 4 3" xfId="20647"/>
    <cellStyle name="20% - Accent6 4 4 3 5" xfId="20649"/>
    <cellStyle name="20% - Accent6 4 4 3 6" xfId="20642"/>
    <cellStyle name="20% - Accent6 4 4 4" xfId="6727"/>
    <cellStyle name="20% - Accent6 4 4 4 2" xfId="20651"/>
    <cellStyle name="20% - Accent6 4 4 4 3" xfId="20650"/>
    <cellStyle name="20% - Accent6 4 4 5" xfId="3600"/>
    <cellStyle name="20% - Accent6 4 4 5 2" xfId="20653"/>
    <cellStyle name="20% - Accent6 4 4 5 3" xfId="20652"/>
    <cellStyle name="20% - Accent6 4 4 6" xfId="10033"/>
    <cellStyle name="20% - Accent6 4 4 6 2" xfId="20655"/>
    <cellStyle name="20% - Accent6 4 4 6 3" xfId="20654"/>
    <cellStyle name="20% - Accent6 4 4 7" xfId="20656"/>
    <cellStyle name="20% - Accent6 4 4 8" xfId="20625"/>
    <cellStyle name="20% - Accent6 4 5" xfId="573"/>
    <cellStyle name="20% - Accent6 4 5 2" xfId="1280"/>
    <cellStyle name="20% - Accent6 4 5 2 2" xfId="2845"/>
    <cellStyle name="20% - Accent6 4 5 2 2 2" xfId="9130"/>
    <cellStyle name="20% - Accent6 4 5 2 2 2 2" xfId="20661"/>
    <cellStyle name="20% - Accent6 4 5 2 2 2 3" xfId="20660"/>
    <cellStyle name="20% - Accent6 4 5 2 2 3" xfId="6003"/>
    <cellStyle name="20% - Accent6 4 5 2 2 3 2" xfId="20663"/>
    <cellStyle name="20% - Accent6 4 5 2 2 3 3" xfId="20662"/>
    <cellStyle name="20% - Accent6 4 5 2 2 4" xfId="12313"/>
    <cellStyle name="20% - Accent6 4 5 2 2 4 2" xfId="20665"/>
    <cellStyle name="20% - Accent6 4 5 2 2 4 3" xfId="20664"/>
    <cellStyle name="20% - Accent6 4 5 2 2 5" xfId="20666"/>
    <cellStyle name="20% - Accent6 4 5 2 2 6" xfId="20659"/>
    <cellStyle name="20% - Accent6 4 5 2 3" xfId="7567"/>
    <cellStyle name="20% - Accent6 4 5 2 3 2" xfId="20668"/>
    <cellStyle name="20% - Accent6 4 5 2 3 3" xfId="20667"/>
    <cellStyle name="20% - Accent6 4 5 2 4" xfId="4440"/>
    <cellStyle name="20% - Accent6 4 5 2 4 2" xfId="20670"/>
    <cellStyle name="20% - Accent6 4 5 2 4 3" xfId="20669"/>
    <cellStyle name="20% - Accent6 4 5 2 5" xfId="10750"/>
    <cellStyle name="20% - Accent6 4 5 2 5 2" xfId="20672"/>
    <cellStyle name="20% - Accent6 4 5 2 5 3" xfId="20671"/>
    <cellStyle name="20% - Accent6 4 5 2 6" xfId="20673"/>
    <cellStyle name="20% - Accent6 4 5 2 7" xfId="20658"/>
    <cellStyle name="20% - Accent6 4 5 3" xfId="2165"/>
    <cellStyle name="20% - Accent6 4 5 3 2" xfId="8450"/>
    <cellStyle name="20% - Accent6 4 5 3 2 2" xfId="20676"/>
    <cellStyle name="20% - Accent6 4 5 3 2 3" xfId="20675"/>
    <cellStyle name="20% - Accent6 4 5 3 3" xfId="5323"/>
    <cellStyle name="20% - Accent6 4 5 3 3 2" xfId="20678"/>
    <cellStyle name="20% - Accent6 4 5 3 3 3" xfId="20677"/>
    <cellStyle name="20% - Accent6 4 5 3 4" xfId="11633"/>
    <cellStyle name="20% - Accent6 4 5 3 4 2" xfId="20680"/>
    <cellStyle name="20% - Accent6 4 5 3 4 3" xfId="20679"/>
    <cellStyle name="20% - Accent6 4 5 3 5" xfId="20681"/>
    <cellStyle name="20% - Accent6 4 5 3 6" xfId="20674"/>
    <cellStyle name="20% - Accent6 4 5 4" xfId="6887"/>
    <cellStyle name="20% - Accent6 4 5 4 2" xfId="20683"/>
    <cellStyle name="20% - Accent6 4 5 4 3" xfId="20682"/>
    <cellStyle name="20% - Accent6 4 5 5" xfId="3760"/>
    <cellStyle name="20% - Accent6 4 5 5 2" xfId="20685"/>
    <cellStyle name="20% - Accent6 4 5 5 3" xfId="20684"/>
    <cellStyle name="20% - Accent6 4 5 6" xfId="10192"/>
    <cellStyle name="20% - Accent6 4 5 6 2" xfId="20687"/>
    <cellStyle name="20% - Accent6 4 5 6 3" xfId="20686"/>
    <cellStyle name="20% - Accent6 4 5 7" xfId="20688"/>
    <cellStyle name="20% - Accent6 4 5 8" xfId="20657"/>
    <cellStyle name="20% - Accent6 4 6" xfId="632"/>
    <cellStyle name="20% - Accent6 4 6 2" xfId="1337"/>
    <cellStyle name="20% - Accent6 4 6 2 2" xfId="2902"/>
    <cellStyle name="20% - Accent6 4 6 2 2 2" xfId="9187"/>
    <cellStyle name="20% - Accent6 4 6 2 2 2 2" xfId="20693"/>
    <cellStyle name="20% - Accent6 4 6 2 2 2 3" xfId="20692"/>
    <cellStyle name="20% - Accent6 4 6 2 2 3" xfId="6060"/>
    <cellStyle name="20% - Accent6 4 6 2 2 3 2" xfId="20695"/>
    <cellStyle name="20% - Accent6 4 6 2 2 3 3" xfId="20694"/>
    <cellStyle name="20% - Accent6 4 6 2 2 4" xfId="12370"/>
    <cellStyle name="20% - Accent6 4 6 2 2 4 2" xfId="20697"/>
    <cellStyle name="20% - Accent6 4 6 2 2 4 3" xfId="20696"/>
    <cellStyle name="20% - Accent6 4 6 2 2 5" xfId="20698"/>
    <cellStyle name="20% - Accent6 4 6 2 2 6" xfId="20691"/>
    <cellStyle name="20% - Accent6 4 6 2 3" xfId="7624"/>
    <cellStyle name="20% - Accent6 4 6 2 3 2" xfId="20700"/>
    <cellStyle name="20% - Accent6 4 6 2 3 3" xfId="20699"/>
    <cellStyle name="20% - Accent6 4 6 2 4" xfId="4497"/>
    <cellStyle name="20% - Accent6 4 6 2 4 2" xfId="20702"/>
    <cellStyle name="20% - Accent6 4 6 2 4 3" xfId="20701"/>
    <cellStyle name="20% - Accent6 4 6 2 5" xfId="10807"/>
    <cellStyle name="20% - Accent6 4 6 2 5 2" xfId="20704"/>
    <cellStyle name="20% - Accent6 4 6 2 5 3" xfId="20703"/>
    <cellStyle name="20% - Accent6 4 6 2 6" xfId="20705"/>
    <cellStyle name="20% - Accent6 4 6 2 7" xfId="20690"/>
    <cellStyle name="20% - Accent6 4 6 3" xfId="2222"/>
    <cellStyle name="20% - Accent6 4 6 3 2" xfId="8507"/>
    <cellStyle name="20% - Accent6 4 6 3 2 2" xfId="20708"/>
    <cellStyle name="20% - Accent6 4 6 3 2 3" xfId="20707"/>
    <cellStyle name="20% - Accent6 4 6 3 3" xfId="5380"/>
    <cellStyle name="20% - Accent6 4 6 3 3 2" xfId="20710"/>
    <cellStyle name="20% - Accent6 4 6 3 3 3" xfId="20709"/>
    <cellStyle name="20% - Accent6 4 6 3 4" xfId="11690"/>
    <cellStyle name="20% - Accent6 4 6 3 4 2" xfId="20712"/>
    <cellStyle name="20% - Accent6 4 6 3 4 3" xfId="20711"/>
    <cellStyle name="20% - Accent6 4 6 3 5" xfId="20713"/>
    <cellStyle name="20% - Accent6 4 6 3 6" xfId="20706"/>
    <cellStyle name="20% - Accent6 4 6 4" xfId="6944"/>
    <cellStyle name="20% - Accent6 4 6 4 2" xfId="20715"/>
    <cellStyle name="20% - Accent6 4 6 4 3" xfId="20714"/>
    <cellStyle name="20% - Accent6 4 6 5" xfId="3817"/>
    <cellStyle name="20% - Accent6 4 6 5 2" xfId="20717"/>
    <cellStyle name="20% - Accent6 4 6 5 3" xfId="20716"/>
    <cellStyle name="20% - Accent6 4 6 6" xfId="10250"/>
    <cellStyle name="20% - Accent6 4 6 6 2" xfId="20719"/>
    <cellStyle name="20% - Accent6 4 6 6 3" xfId="20718"/>
    <cellStyle name="20% - Accent6 4 6 7" xfId="20720"/>
    <cellStyle name="20% - Accent6 4 6 8" xfId="20689"/>
    <cellStyle name="20% - Accent6 4 7" xfId="899"/>
    <cellStyle name="20% - Accent6 4 7 2" xfId="2465"/>
    <cellStyle name="20% - Accent6 4 7 2 2" xfId="8750"/>
    <cellStyle name="20% - Accent6 4 7 2 2 2" xfId="20724"/>
    <cellStyle name="20% - Accent6 4 7 2 2 3" xfId="20723"/>
    <cellStyle name="20% - Accent6 4 7 2 3" xfId="5623"/>
    <cellStyle name="20% - Accent6 4 7 2 3 2" xfId="20726"/>
    <cellStyle name="20% - Accent6 4 7 2 3 3" xfId="20725"/>
    <cellStyle name="20% - Accent6 4 7 2 4" xfId="11933"/>
    <cellStyle name="20% - Accent6 4 7 2 4 2" xfId="20728"/>
    <cellStyle name="20% - Accent6 4 7 2 4 3" xfId="20727"/>
    <cellStyle name="20% - Accent6 4 7 2 5" xfId="20729"/>
    <cellStyle name="20% - Accent6 4 7 2 6" xfId="20722"/>
    <cellStyle name="20% - Accent6 4 7 3" xfId="7187"/>
    <cellStyle name="20% - Accent6 4 7 3 2" xfId="20731"/>
    <cellStyle name="20% - Accent6 4 7 3 3" xfId="20730"/>
    <cellStyle name="20% - Accent6 4 7 4" xfId="4060"/>
    <cellStyle name="20% - Accent6 4 7 4 2" xfId="20733"/>
    <cellStyle name="20% - Accent6 4 7 4 3" xfId="20732"/>
    <cellStyle name="20% - Accent6 4 7 5" xfId="10370"/>
    <cellStyle name="20% - Accent6 4 7 5 2" xfId="20735"/>
    <cellStyle name="20% - Accent6 4 7 5 3" xfId="20734"/>
    <cellStyle name="20% - Accent6 4 7 6" xfId="20736"/>
    <cellStyle name="20% - Accent6 4 7 7" xfId="20721"/>
    <cellStyle name="20% - Accent6 4 8" xfId="1539"/>
    <cellStyle name="20% - Accent6 4 8 2" xfId="3104"/>
    <cellStyle name="20% - Accent6 4 8 2 2" xfId="9389"/>
    <cellStyle name="20% - Accent6 4 8 2 2 2" xfId="20740"/>
    <cellStyle name="20% - Accent6 4 8 2 2 3" xfId="20739"/>
    <cellStyle name="20% - Accent6 4 8 2 3" xfId="6262"/>
    <cellStyle name="20% - Accent6 4 8 2 3 2" xfId="20742"/>
    <cellStyle name="20% - Accent6 4 8 2 3 3" xfId="20741"/>
    <cellStyle name="20% - Accent6 4 8 2 4" xfId="12572"/>
    <cellStyle name="20% - Accent6 4 8 2 4 2" xfId="20744"/>
    <cellStyle name="20% - Accent6 4 8 2 4 3" xfId="20743"/>
    <cellStyle name="20% - Accent6 4 8 2 5" xfId="20745"/>
    <cellStyle name="20% - Accent6 4 8 2 6" xfId="20738"/>
    <cellStyle name="20% - Accent6 4 8 3" xfId="7826"/>
    <cellStyle name="20% - Accent6 4 8 3 2" xfId="20747"/>
    <cellStyle name="20% - Accent6 4 8 3 3" xfId="20746"/>
    <cellStyle name="20% - Accent6 4 8 4" xfId="4699"/>
    <cellStyle name="20% - Accent6 4 8 4 2" xfId="20749"/>
    <cellStyle name="20% - Accent6 4 8 4 3" xfId="20748"/>
    <cellStyle name="20% - Accent6 4 8 5" xfId="11009"/>
    <cellStyle name="20% - Accent6 4 8 5 2" xfId="20751"/>
    <cellStyle name="20% - Accent6 4 8 5 3" xfId="20750"/>
    <cellStyle name="20% - Accent6 4 8 6" xfId="20752"/>
    <cellStyle name="20% - Accent6 4 8 7" xfId="20737"/>
    <cellStyle name="20% - Accent6 4 9" xfId="1785"/>
    <cellStyle name="20% - Accent6 4 9 2" xfId="8070"/>
    <cellStyle name="20% - Accent6 4 9 2 2" xfId="20755"/>
    <cellStyle name="20% - Accent6 4 9 2 3" xfId="20754"/>
    <cellStyle name="20% - Accent6 4 9 3" xfId="4943"/>
    <cellStyle name="20% - Accent6 4 9 3 2" xfId="20757"/>
    <cellStyle name="20% - Accent6 4 9 3 3" xfId="20756"/>
    <cellStyle name="20% - Accent6 4 9 4" xfId="11253"/>
    <cellStyle name="20% - Accent6 4 9 4 2" xfId="20759"/>
    <cellStyle name="20% - Accent6 4 9 4 3" xfId="20758"/>
    <cellStyle name="20% - Accent6 4 9 5" xfId="20760"/>
    <cellStyle name="20% - Accent6 4 9 6" xfId="20753"/>
    <cellStyle name="20% - Accent6 5" xfId="271"/>
    <cellStyle name="20% - Accent6 5 2" xfId="982"/>
    <cellStyle name="20% - Accent6 5 2 2" xfId="2548"/>
    <cellStyle name="20% - Accent6 5 2 2 2" xfId="8833"/>
    <cellStyle name="20% - Accent6 5 2 2 2 2" xfId="20765"/>
    <cellStyle name="20% - Accent6 5 2 2 2 3" xfId="20764"/>
    <cellStyle name="20% - Accent6 5 2 2 3" xfId="5706"/>
    <cellStyle name="20% - Accent6 5 2 2 3 2" xfId="20767"/>
    <cellStyle name="20% - Accent6 5 2 2 3 3" xfId="20766"/>
    <cellStyle name="20% - Accent6 5 2 2 4" xfId="12016"/>
    <cellStyle name="20% - Accent6 5 2 2 4 2" xfId="20769"/>
    <cellStyle name="20% - Accent6 5 2 2 4 3" xfId="20768"/>
    <cellStyle name="20% - Accent6 5 2 2 5" xfId="20770"/>
    <cellStyle name="20% - Accent6 5 2 2 6" xfId="20763"/>
    <cellStyle name="20% - Accent6 5 2 3" xfId="7270"/>
    <cellStyle name="20% - Accent6 5 2 3 2" xfId="20772"/>
    <cellStyle name="20% - Accent6 5 2 3 3" xfId="20771"/>
    <cellStyle name="20% - Accent6 5 2 4" xfId="4143"/>
    <cellStyle name="20% - Accent6 5 2 4 2" xfId="20774"/>
    <cellStyle name="20% - Accent6 5 2 4 3" xfId="20773"/>
    <cellStyle name="20% - Accent6 5 2 5" xfId="10453"/>
    <cellStyle name="20% - Accent6 5 2 5 2" xfId="20776"/>
    <cellStyle name="20% - Accent6 5 2 5 3" xfId="20775"/>
    <cellStyle name="20% - Accent6 5 2 6" xfId="20777"/>
    <cellStyle name="20% - Accent6 5 2 7" xfId="20762"/>
    <cellStyle name="20% - Accent6 5 3" xfId="1868"/>
    <cellStyle name="20% - Accent6 5 3 2" xfId="8153"/>
    <cellStyle name="20% - Accent6 5 3 2 2" xfId="20780"/>
    <cellStyle name="20% - Accent6 5 3 2 3" xfId="20779"/>
    <cellStyle name="20% - Accent6 5 3 3" xfId="5026"/>
    <cellStyle name="20% - Accent6 5 3 3 2" xfId="20782"/>
    <cellStyle name="20% - Accent6 5 3 3 3" xfId="20781"/>
    <cellStyle name="20% - Accent6 5 3 4" xfId="11336"/>
    <cellStyle name="20% - Accent6 5 3 4 2" xfId="20784"/>
    <cellStyle name="20% - Accent6 5 3 4 3" xfId="20783"/>
    <cellStyle name="20% - Accent6 5 3 5" xfId="20785"/>
    <cellStyle name="20% - Accent6 5 3 6" xfId="20778"/>
    <cellStyle name="20% - Accent6 5 4" xfId="6590"/>
    <cellStyle name="20% - Accent6 5 4 2" xfId="20787"/>
    <cellStyle name="20% - Accent6 5 4 3" xfId="20786"/>
    <cellStyle name="20% - Accent6 5 5" xfId="3463"/>
    <cellStyle name="20% - Accent6 5 5 2" xfId="20789"/>
    <cellStyle name="20% - Accent6 5 5 3" xfId="20788"/>
    <cellStyle name="20% - Accent6 5 6" xfId="9871"/>
    <cellStyle name="20% - Accent6 5 6 2" xfId="20791"/>
    <cellStyle name="20% - Accent6 5 6 3" xfId="20790"/>
    <cellStyle name="20% - Accent6 5 7" xfId="20792"/>
    <cellStyle name="20% - Accent6 5 8" xfId="20761"/>
    <cellStyle name="20% - Accent6 6" xfId="378"/>
    <cellStyle name="20% - Accent6 6 2" xfId="1086"/>
    <cellStyle name="20% - Accent6 6 2 2" xfId="2652"/>
    <cellStyle name="20% - Accent6 6 2 2 2" xfId="8937"/>
    <cellStyle name="20% - Accent6 6 2 2 2 2" xfId="20797"/>
    <cellStyle name="20% - Accent6 6 2 2 2 3" xfId="20796"/>
    <cellStyle name="20% - Accent6 6 2 2 3" xfId="5810"/>
    <cellStyle name="20% - Accent6 6 2 2 3 2" xfId="20799"/>
    <cellStyle name="20% - Accent6 6 2 2 3 3" xfId="20798"/>
    <cellStyle name="20% - Accent6 6 2 2 4" xfId="12120"/>
    <cellStyle name="20% - Accent6 6 2 2 4 2" xfId="20801"/>
    <cellStyle name="20% - Accent6 6 2 2 4 3" xfId="20800"/>
    <cellStyle name="20% - Accent6 6 2 2 5" xfId="20802"/>
    <cellStyle name="20% - Accent6 6 2 2 6" xfId="20795"/>
    <cellStyle name="20% - Accent6 6 2 3" xfId="7374"/>
    <cellStyle name="20% - Accent6 6 2 3 2" xfId="20804"/>
    <cellStyle name="20% - Accent6 6 2 3 3" xfId="20803"/>
    <cellStyle name="20% - Accent6 6 2 4" xfId="4247"/>
    <cellStyle name="20% - Accent6 6 2 4 2" xfId="20806"/>
    <cellStyle name="20% - Accent6 6 2 4 3" xfId="20805"/>
    <cellStyle name="20% - Accent6 6 2 5" xfId="10557"/>
    <cellStyle name="20% - Accent6 6 2 5 2" xfId="20808"/>
    <cellStyle name="20% - Accent6 6 2 5 3" xfId="20807"/>
    <cellStyle name="20% - Accent6 6 2 6" xfId="20809"/>
    <cellStyle name="20% - Accent6 6 2 7" xfId="20794"/>
    <cellStyle name="20% - Accent6 6 3" xfId="1972"/>
    <cellStyle name="20% - Accent6 6 3 2" xfId="8257"/>
    <cellStyle name="20% - Accent6 6 3 2 2" xfId="20812"/>
    <cellStyle name="20% - Accent6 6 3 2 3" xfId="20811"/>
    <cellStyle name="20% - Accent6 6 3 3" xfId="5130"/>
    <cellStyle name="20% - Accent6 6 3 3 2" xfId="20814"/>
    <cellStyle name="20% - Accent6 6 3 3 3" xfId="20813"/>
    <cellStyle name="20% - Accent6 6 3 4" xfId="11440"/>
    <cellStyle name="20% - Accent6 6 3 4 2" xfId="20816"/>
    <cellStyle name="20% - Accent6 6 3 4 3" xfId="20815"/>
    <cellStyle name="20% - Accent6 6 3 5" xfId="20817"/>
    <cellStyle name="20% - Accent6 6 3 6" xfId="20810"/>
    <cellStyle name="20% - Accent6 6 4" xfId="6694"/>
    <cellStyle name="20% - Accent6 6 4 2" xfId="20819"/>
    <cellStyle name="20% - Accent6 6 4 3" xfId="20818"/>
    <cellStyle name="20% - Accent6 6 5" xfId="3567"/>
    <cellStyle name="20% - Accent6 6 5 2" xfId="20821"/>
    <cellStyle name="20% - Accent6 6 5 3" xfId="20820"/>
    <cellStyle name="20% - Accent6 6 6" xfId="9999"/>
    <cellStyle name="20% - Accent6 6 6 2" xfId="20823"/>
    <cellStyle name="20% - Accent6 6 6 3" xfId="20822"/>
    <cellStyle name="20% - Accent6 6 7" xfId="20824"/>
    <cellStyle name="20% - Accent6 6 8" xfId="20793"/>
    <cellStyle name="20% - Accent6 7" xfId="414"/>
    <cellStyle name="20% - Accent6 7 2" xfId="1121"/>
    <cellStyle name="20% - Accent6 7 2 2" xfId="2686"/>
    <cellStyle name="20% - Accent6 7 2 2 2" xfId="8971"/>
    <cellStyle name="20% - Accent6 7 2 2 2 2" xfId="20829"/>
    <cellStyle name="20% - Accent6 7 2 2 2 3" xfId="20828"/>
    <cellStyle name="20% - Accent6 7 2 2 3" xfId="5844"/>
    <cellStyle name="20% - Accent6 7 2 2 3 2" xfId="20831"/>
    <cellStyle name="20% - Accent6 7 2 2 3 3" xfId="20830"/>
    <cellStyle name="20% - Accent6 7 2 2 4" xfId="12154"/>
    <cellStyle name="20% - Accent6 7 2 2 4 2" xfId="20833"/>
    <cellStyle name="20% - Accent6 7 2 2 4 3" xfId="20832"/>
    <cellStyle name="20% - Accent6 7 2 2 5" xfId="20834"/>
    <cellStyle name="20% - Accent6 7 2 2 6" xfId="20827"/>
    <cellStyle name="20% - Accent6 7 2 3" xfId="7408"/>
    <cellStyle name="20% - Accent6 7 2 3 2" xfId="20836"/>
    <cellStyle name="20% - Accent6 7 2 3 3" xfId="20835"/>
    <cellStyle name="20% - Accent6 7 2 4" xfId="4281"/>
    <cellStyle name="20% - Accent6 7 2 4 2" xfId="20838"/>
    <cellStyle name="20% - Accent6 7 2 4 3" xfId="20837"/>
    <cellStyle name="20% - Accent6 7 2 5" xfId="10591"/>
    <cellStyle name="20% - Accent6 7 2 5 2" xfId="20840"/>
    <cellStyle name="20% - Accent6 7 2 5 3" xfId="20839"/>
    <cellStyle name="20% - Accent6 7 2 6" xfId="20841"/>
    <cellStyle name="20% - Accent6 7 2 7" xfId="20826"/>
    <cellStyle name="20% - Accent6 7 3" xfId="2006"/>
    <cellStyle name="20% - Accent6 7 3 2" xfId="8291"/>
    <cellStyle name="20% - Accent6 7 3 2 2" xfId="20844"/>
    <cellStyle name="20% - Accent6 7 3 2 3" xfId="20843"/>
    <cellStyle name="20% - Accent6 7 3 3" xfId="5164"/>
    <cellStyle name="20% - Accent6 7 3 3 2" xfId="20846"/>
    <cellStyle name="20% - Accent6 7 3 3 3" xfId="20845"/>
    <cellStyle name="20% - Accent6 7 3 4" xfId="11474"/>
    <cellStyle name="20% - Accent6 7 3 4 2" xfId="20848"/>
    <cellStyle name="20% - Accent6 7 3 4 3" xfId="20847"/>
    <cellStyle name="20% - Accent6 7 3 5" xfId="20849"/>
    <cellStyle name="20% - Accent6 7 3 6" xfId="20842"/>
    <cellStyle name="20% - Accent6 7 4" xfId="6728"/>
    <cellStyle name="20% - Accent6 7 4 2" xfId="20851"/>
    <cellStyle name="20% - Accent6 7 4 3" xfId="20850"/>
    <cellStyle name="20% - Accent6 7 5" xfId="3601"/>
    <cellStyle name="20% - Accent6 7 5 2" xfId="20853"/>
    <cellStyle name="20% - Accent6 7 5 3" xfId="20852"/>
    <cellStyle name="20% - Accent6 7 6" xfId="10034"/>
    <cellStyle name="20% - Accent6 7 6 2" xfId="20855"/>
    <cellStyle name="20% - Accent6 7 6 3" xfId="20854"/>
    <cellStyle name="20% - Accent6 7 7" xfId="20856"/>
    <cellStyle name="20% - Accent6 7 8" xfId="20825"/>
    <cellStyle name="20% - Accent6 8" xfId="453"/>
    <cellStyle name="20% - Accent6 8 2" xfId="1160"/>
    <cellStyle name="20% - Accent6 8 2 2" xfId="2725"/>
    <cellStyle name="20% - Accent6 8 2 2 2" xfId="9010"/>
    <cellStyle name="20% - Accent6 8 2 2 2 2" xfId="20861"/>
    <cellStyle name="20% - Accent6 8 2 2 2 3" xfId="20860"/>
    <cellStyle name="20% - Accent6 8 2 2 3" xfId="5883"/>
    <cellStyle name="20% - Accent6 8 2 2 3 2" xfId="20863"/>
    <cellStyle name="20% - Accent6 8 2 2 3 3" xfId="20862"/>
    <cellStyle name="20% - Accent6 8 2 2 4" xfId="12193"/>
    <cellStyle name="20% - Accent6 8 2 2 4 2" xfId="20865"/>
    <cellStyle name="20% - Accent6 8 2 2 4 3" xfId="20864"/>
    <cellStyle name="20% - Accent6 8 2 2 5" xfId="20866"/>
    <cellStyle name="20% - Accent6 8 2 2 6" xfId="20859"/>
    <cellStyle name="20% - Accent6 8 2 3" xfId="7447"/>
    <cellStyle name="20% - Accent6 8 2 3 2" xfId="20868"/>
    <cellStyle name="20% - Accent6 8 2 3 3" xfId="20867"/>
    <cellStyle name="20% - Accent6 8 2 4" xfId="4320"/>
    <cellStyle name="20% - Accent6 8 2 4 2" xfId="20870"/>
    <cellStyle name="20% - Accent6 8 2 4 3" xfId="20869"/>
    <cellStyle name="20% - Accent6 8 2 5" xfId="10630"/>
    <cellStyle name="20% - Accent6 8 2 5 2" xfId="20872"/>
    <cellStyle name="20% - Accent6 8 2 5 3" xfId="20871"/>
    <cellStyle name="20% - Accent6 8 2 6" xfId="20873"/>
    <cellStyle name="20% - Accent6 8 2 7" xfId="20858"/>
    <cellStyle name="20% - Accent6 8 3" xfId="2045"/>
    <cellStyle name="20% - Accent6 8 3 2" xfId="8330"/>
    <cellStyle name="20% - Accent6 8 3 2 2" xfId="20876"/>
    <cellStyle name="20% - Accent6 8 3 2 3" xfId="20875"/>
    <cellStyle name="20% - Accent6 8 3 3" xfId="5203"/>
    <cellStyle name="20% - Accent6 8 3 3 2" xfId="20878"/>
    <cellStyle name="20% - Accent6 8 3 3 3" xfId="20877"/>
    <cellStyle name="20% - Accent6 8 3 4" xfId="11513"/>
    <cellStyle name="20% - Accent6 8 3 4 2" xfId="20880"/>
    <cellStyle name="20% - Accent6 8 3 4 3" xfId="20879"/>
    <cellStyle name="20% - Accent6 8 3 5" xfId="20881"/>
    <cellStyle name="20% - Accent6 8 3 6" xfId="20874"/>
    <cellStyle name="20% - Accent6 8 4" xfId="6767"/>
    <cellStyle name="20% - Accent6 8 4 2" xfId="20883"/>
    <cellStyle name="20% - Accent6 8 4 3" xfId="20882"/>
    <cellStyle name="20% - Accent6 8 5" xfId="3640"/>
    <cellStyle name="20% - Accent6 8 5 2" xfId="20885"/>
    <cellStyle name="20% - Accent6 8 5 3" xfId="20884"/>
    <cellStyle name="20% - Accent6 8 6" xfId="10072"/>
    <cellStyle name="20% - Accent6 8 6 2" xfId="20887"/>
    <cellStyle name="20% - Accent6 8 6 3" xfId="20886"/>
    <cellStyle name="20% - Accent6 8 7" xfId="20888"/>
    <cellStyle name="20% - Accent6 8 8" xfId="20857"/>
    <cellStyle name="20% - Accent6 9" xfId="468"/>
    <cellStyle name="20% - Accent6 9 2" xfId="1175"/>
    <cellStyle name="20% - Accent6 9 2 2" xfId="2740"/>
    <cellStyle name="20% - Accent6 9 2 2 2" xfId="9025"/>
    <cellStyle name="20% - Accent6 9 2 2 2 2" xfId="20893"/>
    <cellStyle name="20% - Accent6 9 2 2 2 3" xfId="20892"/>
    <cellStyle name="20% - Accent6 9 2 2 3" xfId="5898"/>
    <cellStyle name="20% - Accent6 9 2 2 3 2" xfId="20895"/>
    <cellStyle name="20% - Accent6 9 2 2 3 3" xfId="20894"/>
    <cellStyle name="20% - Accent6 9 2 2 4" xfId="12208"/>
    <cellStyle name="20% - Accent6 9 2 2 4 2" xfId="20897"/>
    <cellStyle name="20% - Accent6 9 2 2 4 3" xfId="20896"/>
    <cellStyle name="20% - Accent6 9 2 2 5" xfId="20898"/>
    <cellStyle name="20% - Accent6 9 2 2 6" xfId="20891"/>
    <cellStyle name="20% - Accent6 9 2 3" xfId="7462"/>
    <cellStyle name="20% - Accent6 9 2 3 2" xfId="20900"/>
    <cellStyle name="20% - Accent6 9 2 3 3" xfId="20899"/>
    <cellStyle name="20% - Accent6 9 2 4" xfId="4335"/>
    <cellStyle name="20% - Accent6 9 2 4 2" xfId="20902"/>
    <cellStyle name="20% - Accent6 9 2 4 3" xfId="20901"/>
    <cellStyle name="20% - Accent6 9 2 5" xfId="10645"/>
    <cellStyle name="20% - Accent6 9 2 5 2" xfId="20904"/>
    <cellStyle name="20% - Accent6 9 2 5 3" xfId="20903"/>
    <cellStyle name="20% - Accent6 9 2 6" xfId="20905"/>
    <cellStyle name="20% - Accent6 9 2 7" xfId="20890"/>
    <cellStyle name="20% - Accent6 9 3" xfId="2060"/>
    <cellStyle name="20% - Accent6 9 3 2" xfId="8345"/>
    <cellStyle name="20% - Accent6 9 3 2 2" xfId="20908"/>
    <cellStyle name="20% - Accent6 9 3 2 3" xfId="20907"/>
    <cellStyle name="20% - Accent6 9 3 3" xfId="5218"/>
    <cellStyle name="20% - Accent6 9 3 3 2" xfId="20910"/>
    <cellStyle name="20% - Accent6 9 3 3 3" xfId="20909"/>
    <cellStyle name="20% - Accent6 9 3 4" xfId="11528"/>
    <cellStyle name="20% - Accent6 9 3 4 2" xfId="20912"/>
    <cellStyle name="20% - Accent6 9 3 4 3" xfId="20911"/>
    <cellStyle name="20% - Accent6 9 3 5" xfId="20913"/>
    <cellStyle name="20% - Accent6 9 3 6" xfId="20906"/>
    <cellStyle name="20% - Accent6 9 4" xfId="6782"/>
    <cellStyle name="20% - Accent6 9 4 2" xfId="20915"/>
    <cellStyle name="20% - Accent6 9 4 3" xfId="20914"/>
    <cellStyle name="20% - Accent6 9 5" xfId="3655"/>
    <cellStyle name="20% - Accent6 9 5 2" xfId="20917"/>
    <cellStyle name="20% - Accent6 9 5 3" xfId="20916"/>
    <cellStyle name="20% - Accent6 9 6" xfId="10087"/>
    <cellStyle name="20% - Accent6 9 6 2" xfId="20919"/>
    <cellStyle name="20% - Accent6 9 6 3" xfId="20918"/>
    <cellStyle name="20% - Accent6 9 7" xfId="20920"/>
    <cellStyle name="20% - Accent6 9 8" xfId="20889"/>
    <cellStyle name="40% - Accent1" xfId="29" builtinId="31" customBuiltin="1"/>
    <cellStyle name="40% - Accent1 10" xfId="473"/>
    <cellStyle name="40% - Accent1 10 2" xfId="1180"/>
    <cellStyle name="40% - Accent1 10 2 2" xfId="2745"/>
    <cellStyle name="40% - Accent1 10 2 2 2" xfId="9030"/>
    <cellStyle name="40% - Accent1 10 2 2 2 2" xfId="20926"/>
    <cellStyle name="40% - Accent1 10 2 2 2 3" xfId="20925"/>
    <cellStyle name="40% - Accent1 10 2 2 3" xfId="5903"/>
    <cellStyle name="40% - Accent1 10 2 2 3 2" xfId="20928"/>
    <cellStyle name="40% - Accent1 10 2 2 3 3" xfId="20927"/>
    <cellStyle name="40% - Accent1 10 2 2 4" xfId="12213"/>
    <cellStyle name="40% - Accent1 10 2 2 4 2" xfId="20930"/>
    <cellStyle name="40% - Accent1 10 2 2 4 3" xfId="20929"/>
    <cellStyle name="40% - Accent1 10 2 2 5" xfId="20931"/>
    <cellStyle name="40% - Accent1 10 2 2 6" xfId="20924"/>
    <cellStyle name="40% - Accent1 10 2 3" xfId="7467"/>
    <cellStyle name="40% - Accent1 10 2 3 2" xfId="20933"/>
    <cellStyle name="40% - Accent1 10 2 3 3" xfId="20932"/>
    <cellStyle name="40% - Accent1 10 2 4" xfId="4340"/>
    <cellStyle name="40% - Accent1 10 2 4 2" xfId="20935"/>
    <cellStyle name="40% - Accent1 10 2 4 3" xfId="20934"/>
    <cellStyle name="40% - Accent1 10 2 5" xfId="10650"/>
    <cellStyle name="40% - Accent1 10 2 5 2" xfId="20937"/>
    <cellStyle name="40% - Accent1 10 2 5 3" xfId="20936"/>
    <cellStyle name="40% - Accent1 10 2 6" xfId="20938"/>
    <cellStyle name="40% - Accent1 10 2 7" xfId="20923"/>
    <cellStyle name="40% - Accent1 10 3" xfId="2065"/>
    <cellStyle name="40% - Accent1 10 3 2" xfId="8350"/>
    <cellStyle name="40% - Accent1 10 3 2 2" xfId="20941"/>
    <cellStyle name="40% - Accent1 10 3 2 3" xfId="20940"/>
    <cellStyle name="40% - Accent1 10 3 3" xfId="5223"/>
    <cellStyle name="40% - Accent1 10 3 3 2" xfId="20943"/>
    <cellStyle name="40% - Accent1 10 3 3 3" xfId="20942"/>
    <cellStyle name="40% - Accent1 10 3 4" xfId="11533"/>
    <cellStyle name="40% - Accent1 10 3 4 2" xfId="20945"/>
    <cellStyle name="40% - Accent1 10 3 4 3" xfId="20944"/>
    <cellStyle name="40% - Accent1 10 3 5" xfId="20946"/>
    <cellStyle name="40% - Accent1 10 3 6" xfId="20939"/>
    <cellStyle name="40% - Accent1 10 4" xfId="6787"/>
    <cellStyle name="40% - Accent1 10 4 2" xfId="20948"/>
    <cellStyle name="40% - Accent1 10 4 3" xfId="20947"/>
    <cellStyle name="40% - Accent1 10 5" xfId="3660"/>
    <cellStyle name="40% - Accent1 10 5 2" xfId="20950"/>
    <cellStyle name="40% - Accent1 10 5 3" xfId="20949"/>
    <cellStyle name="40% - Accent1 10 6" xfId="10092"/>
    <cellStyle name="40% - Accent1 10 6 2" xfId="20952"/>
    <cellStyle name="40% - Accent1 10 6 3" xfId="20951"/>
    <cellStyle name="40% - Accent1 10 7" xfId="20953"/>
    <cellStyle name="40% - Accent1 10 8" xfId="20922"/>
    <cellStyle name="40% - Accent1 11" xfId="488"/>
    <cellStyle name="40% - Accent1 11 2" xfId="1195"/>
    <cellStyle name="40% - Accent1 11 2 2" xfId="2760"/>
    <cellStyle name="40% - Accent1 11 2 2 2" xfId="9045"/>
    <cellStyle name="40% - Accent1 11 2 2 2 2" xfId="20958"/>
    <cellStyle name="40% - Accent1 11 2 2 2 3" xfId="20957"/>
    <cellStyle name="40% - Accent1 11 2 2 3" xfId="5918"/>
    <cellStyle name="40% - Accent1 11 2 2 3 2" xfId="20960"/>
    <cellStyle name="40% - Accent1 11 2 2 3 3" xfId="20959"/>
    <cellStyle name="40% - Accent1 11 2 2 4" xfId="12228"/>
    <cellStyle name="40% - Accent1 11 2 2 4 2" xfId="20962"/>
    <cellStyle name="40% - Accent1 11 2 2 4 3" xfId="20961"/>
    <cellStyle name="40% - Accent1 11 2 2 5" xfId="20963"/>
    <cellStyle name="40% - Accent1 11 2 2 6" xfId="20956"/>
    <cellStyle name="40% - Accent1 11 2 3" xfId="7482"/>
    <cellStyle name="40% - Accent1 11 2 3 2" xfId="20965"/>
    <cellStyle name="40% - Accent1 11 2 3 3" xfId="20964"/>
    <cellStyle name="40% - Accent1 11 2 4" xfId="4355"/>
    <cellStyle name="40% - Accent1 11 2 4 2" xfId="20967"/>
    <cellStyle name="40% - Accent1 11 2 4 3" xfId="20966"/>
    <cellStyle name="40% - Accent1 11 2 5" xfId="10665"/>
    <cellStyle name="40% - Accent1 11 2 5 2" xfId="20969"/>
    <cellStyle name="40% - Accent1 11 2 5 3" xfId="20968"/>
    <cellStyle name="40% - Accent1 11 2 6" xfId="20970"/>
    <cellStyle name="40% - Accent1 11 2 7" xfId="20955"/>
    <cellStyle name="40% - Accent1 11 3" xfId="2080"/>
    <cellStyle name="40% - Accent1 11 3 2" xfId="8365"/>
    <cellStyle name="40% - Accent1 11 3 2 2" xfId="20973"/>
    <cellStyle name="40% - Accent1 11 3 2 3" xfId="20972"/>
    <cellStyle name="40% - Accent1 11 3 3" xfId="5238"/>
    <cellStyle name="40% - Accent1 11 3 3 2" xfId="20975"/>
    <cellStyle name="40% - Accent1 11 3 3 3" xfId="20974"/>
    <cellStyle name="40% - Accent1 11 3 4" xfId="11548"/>
    <cellStyle name="40% - Accent1 11 3 4 2" xfId="20977"/>
    <cellStyle name="40% - Accent1 11 3 4 3" xfId="20976"/>
    <cellStyle name="40% - Accent1 11 3 5" xfId="20978"/>
    <cellStyle name="40% - Accent1 11 3 6" xfId="20971"/>
    <cellStyle name="40% - Accent1 11 4" xfId="6802"/>
    <cellStyle name="40% - Accent1 11 4 2" xfId="20980"/>
    <cellStyle name="40% - Accent1 11 4 3" xfId="20979"/>
    <cellStyle name="40% - Accent1 11 5" xfId="3675"/>
    <cellStyle name="40% - Accent1 11 5 2" xfId="20982"/>
    <cellStyle name="40% - Accent1 11 5 3" xfId="20981"/>
    <cellStyle name="40% - Accent1 11 6" xfId="10107"/>
    <cellStyle name="40% - Accent1 11 6 2" xfId="20984"/>
    <cellStyle name="40% - Accent1 11 6 3" xfId="20983"/>
    <cellStyle name="40% - Accent1 11 7" xfId="20985"/>
    <cellStyle name="40% - Accent1 11 8" xfId="20954"/>
    <cellStyle name="40% - Accent1 12" xfId="501"/>
    <cellStyle name="40% - Accent1 12 2" xfId="1208"/>
    <cellStyle name="40% - Accent1 12 2 2" xfId="2773"/>
    <cellStyle name="40% - Accent1 12 2 2 2" xfId="9058"/>
    <cellStyle name="40% - Accent1 12 2 2 2 2" xfId="20990"/>
    <cellStyle name="40% - Accent1 12 2 2 2 3" xfId="20989"/>
    <cellStyle name="40% - Accent1 12 2 2 3" xfId="5931"/>
    <cellStyle name="40% - Accent1 12 2 2 3 2" xfId="20992"/>
    <cellStyle name="40% - Accent1 12 2 2 3 3" xfId="20991"/>
    <cellStyle name="40% - Accent1 12 2 2 4" xfId="12241"/>
    <cellStyle name="40% - Accent1 12 2 2 4 2" xfId="20994"/>
    <cellStyle name="40% - Accent1 12 2 2 4 3" xfId="20993"/>
    <cellStyle name="40% - Accent1 12 2 2 5" xfId="20995"/>
    <cellStyle name="40% - Accent1 12 2 2 6" xfId="20988"/>
    <cellStyle name="40% - Accent1 12 2 3" xfId="7495"/>
    <cellStyle name="40% - Accent1 12 2 3 2" xfId="20997"/>
    <cellStyle name="40% - Accent1 12 2 3 3" xfId="20996"/>
    <cellStyle name="40% - Accent1 12 2 4" xfId="4368"/>
    <cellStyle name="40% - Accent1 12 2 4 2" xfId="20999"/>
    <cellStyle name="40% - Accent1 12 2 4 3" xfId="20998"/>
    <cellStyle name="40% - Accent1 12 2 5" xfId="10678"/>
    <cellStyle name="40% - Accent1 12 2 5 2" xfId="21001"/>
    <cellStyle name="40% - Accent1 12 2 5 3" xfId="21000"/>
    <cellStyle name="40% - Accent1 12 2 6" xfId="21002"/>
    <cellStyle name="40% - Accent1 12 2 7" xfId="20987"/>
    <cellStyle name="40% - Accent1 12 3" xfId="2093"/>
    <cellStyle name="40% - Accent1 12 3 2" xfId="8378"/>
    <cellStyle name="40% - Accent1 12 3 2 2" xfId="21005"/>
    <cellStyle name="40% - Accent1 12 3 2 3" xfId="21004"/>
    <cellStyle name="40% - Accent1 12 3 3" xfId="5251"/>
    <cellStyle name="40% - Accent1 12 3 3 2" xfId="21007"/>
    <cellStyle name="40% - Accent1 12 3 3 3" xfId="21006"/>
    <cellStyle name="40% - Accent1 12 3 4" xfId="11561"/>
    <cellStyle name="40% - Accent1 12 3 4 2" xfId="21009"/>
    <cellStyle name="40% - Accent1 12 3 4 3" xfId="21008"/>
    <cellStyle name="40% - Accent1 12 3 5" xfId="21010"/>
    <cellStyle name="40% - Accent1 12 3 6" xfId="21003"/>
    <cellStyle name="40% - Accent1 12 4" xfId="6815"/>
    <cellStyle name="40% - Accent1 12 4 2" xfId="21012"/>
    <cellStyle name="40% - Accent1 12 4 3" xfId="21011"/>
    <cellStyle name="40% - Accent1 12 5" xfId="3688"/>
    <cellStyle name="40% - Accent1 12 5 2" xfId="21014"/>
    <cellStyle name="40% - Accent1 12 5 3" xfId="21013"/>
    <cellStyle name="40% - Accent1 12 6" xfId="10120"/>
    <cellStyle name="40% - Accent1 12 6 2" xfId="21016"/>
    <cellStyle name="40% - Accent1 12 6 3" xfId="21015"/>
    <cellStyle name="40% - Accent1 12 7" xfId="21017"/>
    <cellStyle name="40% - Accent1 12 8" xfId="20986"/>
    <cellStyle name="40% - Accent1 13" xfId="515"/>
    <cellStyle name="40% - Accent1 13 2" xfId="1222"/>
    <cellStyle name="40% - Accent1 13 2 2" xfId="2787"/>
    <cellStyle name="40% - Accent1 13 2 2 2" xfId="9072"/>
    <cellStyle name="40% - Accent1 13 2 2 2 2" xfId="21022"/>
    <cellStyle name="40% - Accent1 13 2 2 2 3" xfId="21021"/>
    <cellStyle name="40% - Accent1 13 2 2 3" xfId="5945"/>
    <cellStyle name="40% - Accent1 13 2 2 3 2" xfId="21024"/>
    <cellStyle name="40% - Accent1 13 2 2 3 3" xfId="21023"/>
    <cellStyle name="40% - Accent1 13 2 2 4" xfId="12255"/>
    <cellStyle name="40% - Accent1 13 2 2 4 2" xfId="21026"/>
    <cellStyle name="40% - Accent1 13 2 2 4 3" xfId="21025"/>
    <cellStyle name="40% - Accent1 13 2 2 5" xfId="21027"/>
    <cellStyle name="40% - Accent1 13 2 2 6" xfId="21020"/>
    <cellStyle name="40% - Accent1 13 2 3" xfId="7509"/>
    <cellStyle name="40% - Accent1 13 2 3 2" xfId="21029"/>
    <cellStyle name="40% - Accent1 13 2 3 3" xfId="21028"/>
    <cellStyle name="40% - Accent1 13 2 4" xfId="4382"/>
    <cellStyle name="40% - Accent1 13 2 4 2" xfId="21031"/>
    <cellStyle name="40% - Accent1 13 2 4 3" xfId="21030"/>
    <cellStyle name="40% - Accent1 13 2 5" xfId="10692"/>
    <cellStyle name="40% - Accent1 13 2 5 2" xfId="21033"/>
    <cellStyle name="40% - Accent1 13 2 5 3" xfId="21032"/>
    <cellStyle name="40% - Accent1 13 2 6" xfId="21034"/>
    <cellStyle name="40% - Accent1 13 2 7" xfId="21019"/>
    <cellStyle name="40% - Accent1 13 3" xfId="2107"/>
    <cellStyle name="40% - Accent1 13 3 2" xfId="8392"/>
    <cellStyle name="40% - Accent1 13 3 2 2" xfId="21037"/>
    <cellStyle name="40% - Accent1 13 3 2 3" xfId="21036"/>
    <cellStyle name="40% - Accent1 13 3 3" xfId="5265"/>
    <cellStyle name="40% - Accent1 13 3 3 2" xfId="21039"/>
    <cellStyle name="40% - Accent1 13 3 3 3" xfId="21038"/>
    <cellStyle name="40% - Accent1 13 3 4" xfId="11575"/>
    <cellStyle name="40% - Accent1 13 3 4 2" xfId="21041"/>
    <cellStyle name="40% - Accent1 13 3 4 3" xfId="21040"/>
    <cellStyle name="40% - Accent1 13 3 5" xfId="21042"/>
    <cellStyle name="40% - Accent1 13 3 6" xfId="21035"/>
    <cellStyle name="40% - Accent1 13 4" xfId="6829"/>
    <cellStyle name="40% - Accent1 13 4 2" xfId="21044"/>
    <cellStyle name="40% - Accent1 13 4 3" xfId="21043"/>
    <cellStyle name="40% - Accent1 13 5" xfId="3702"/>
    <cellStyle name="40% - Accent1 13 5 2" xfId="21046"/>
    <cellStyle name="40% - Accent1 13 5 3" xfId="21045"/>
    <cellStyle name="40% - Accent1 13 6" xfId="10134"/>
    <cellStyle name="40% - Accent1 13 6 2" xfId="21048"/>
    <cellStyle name="40% - Accent1 13 6 3" xfId="21047"/>
    <cellStyle name="40% - Accent1 13 7" xfId="21049"/>
    <cellStyle name="40% - Accent1 13 8" xfId="21018"/>
    <cellStyle name="40% - Accent1 14" xfId="529"/>
    <cellStyle name="40% - Accent1 14 2" xfId="1236"/>
    <cellStyle name="40% - Accent1 14 2 2" xfId="2801"/>
    <cellStyle name="40% - Accent1 14 2 2 2" xfId="9086"/>
    <cellStyle name="40% - Accent1 14 2 2 2 2" xfId="21054"/>
    <cellStyle name="40% - Accent1 14 2 2 2 3" xfId="21053"/>
    <cellStyle name="40% - Accent1 14 2 2 3" xfId="5959"/>
    <cellStyle name="40% - Accent1 14 2 2 3 2" xfId="21056"/>
    <cellStyle name="40% - Accent1 14 2 2 3 3" xfId="21055"/>
    <cellStyle name="40% - Accent1 14 2 2 4" xfId="12269"/>
    <cellStyle name="40% - Accent1 14 2 2 4 2" xfId="21058"/>
    <cellStyle name="40% - Accent1 14 2 2 4 3" xfId="21057"/>
    <cellStyle name="40% - Accent1 14 2 2 5" xfId="21059"/>
    <cellStyle name="40% - Accent1 14 2 2 6" xfId="21052"/>
    <cellStyle name="40% - Accent1 14 2 3" xfId="7523"/>
    <cellStyle name="40% - Accent1 14 2 3 2" xfId="21061"/>
    <cellStyle name="40% - Accent1 14 2 3 3" xfId="21060"/>
    <cellStyle name="40% - Accent1 14 2 4" xfId="4396"/>
    <cellStyle name="40% - Accent1 14 2 4 2" xfId="21063"/>
    <cellStyle name="40% - Accent1 14 2 4 3" xfId="21062"/>
    <cellStyle name="40% - Accent1 14 2 5" xfId="10706"/>
    <cellStyle name="40% - Accent1 14 2 5 2" xfId="21065"/>
    <cellStyle name="40% - Accent1 14 2 5 3" xfId="21064"/>
    <cellStyle name="40% - Accent1 14 2 6" xfId="21066"/>
    <cellStyle name="40% - Accent1 14 2 7" xfId="21051"/>
    <cellStyle name="40% - Accent1 14 3" xfId="2121"/>
    <cellStyle name="40% - Accent1 14 3 2" xfId="8406"/>
    <cellStyle name="40% - Accent1 14 3 2 2" xfId="21069"/>
    <cellStyle name="40% - Accent1 14 3 2 3" xfId="21068"/>
    <cellStyle name="40% - Accent1 14 3 3" xfId="5279"/>
    <cellStyle name="40% - Accent1 14 3 3 2" xfId="21071"/>
    <cellStyle name="40% - Accent1 14 3 3 3" xfId="21070"/>
    <cellStyle name="40% - Accent1 14 3 4" xfId="11589"/>
    <cellStyle name="40% - Accent1 14 3 4 2" xfId="21073"/>
    <cellStyle name="40% - Accent1 14 3 4 3" xfId="21072"/>
    <cellStyle name="40% - Accent1 14 3 5" xfId="21074"/>
    <cellStyle name="40% - Accent1 14 3 6" xfId="21067"/>
    <cellStyle name="40% - Accent1 14 4" xfId="6843"/>
    <cellStyle name="40% - Accent1 14 4 2" xfId="21076"/>
    <cellStyle name="40% - Accent1 14 4 3" xfId="21075"/>
    <cellStyle name="40% - Accent1 14 5" xfId="3716"/>
    <cellStyle name="40% - Accent1 14 5 2" xfId="21078"/>
    <cellStyle name="40% - Accent1 14 5 3" xfId="21077"/>
    <cellStyle name="40% - Accent1 14 6" xfId="10148"/>
    <cellStyle name="40% - Accent1 14 6 2" xfId="21080"/>
    <cellStyle name="40% - Accent1 14 6 3" xfId="21079"/>
    <cellStyle name="40% - Accent1 14 7" xfId="21081"/>
    <cellStyle name="40% - Accent1 14 8" xfId="21050"/>
    <cellStyle name="40% - Accent1 15" xfId="543"/>
    <cellStyle name="40% - Accent1 15 2" xfId="1250"/>
    <cellStyle name="40% - Accent1 15 2 2" xfId="2815"/>
    <cellStyle name="40% - Accent1 15 2 2 2" xfId="9100"/>
    <cellStyle name="40% - Accent1 15 2 2 2 2" xfId="21086"/>
    <cellStyle name="40% - Accent1 15 2 2 2 3" xfId="21085"/>
    <cellStyle name="40% - Accent1 15 2 2 3" xfId="5973"/>
    <cellStyle name="40% - Accent1 15 2 2 3 2" xfId="21088"/>
    <cellStyle name="40% - Accent1 15 2 2 3 3" xfId="21087"/>
    <cellStyle name="40% - Accent1 15 2 2 4" xfId="12283"/>
    <cellStyle name="40% - Accent1 15 2 2 4 2" xfId="21090"/>
    <cellStyle name="40% - Accent1 15 2 2 4 3" xfId="21089"/>
    <cellStyle name="40% - Accent1 15 2 2 5" xfId="21091"/>
    <cellStyle name="40% - Accent1 15 2 2 6" xfId="21084"/>
    <cellStyle name="40% - Accent1 15 2 3" xfId="7537"/>
    <cellStyle name="40% - Accent1 15 2 3 2" xfId="21093"/>
    <cellStyle name="40% - Accent1 15 2 3 3" xfId="21092"/>
    <cellStyle name="40% - Accent1 15 2 4" xfId="4410"/>
    <cellStyle name="40% - Accent1 15 2 4 2" xfId="21095"/>
    <cellStyle name="40% - Accent1 15 2 4 3" xfId="21094"/>
    <cellStyle name="40% - Accent1 15 2 5" xfId="10720"/>
    <cellStyle name="40% - Accent1 15 2 5 2" xfId="21097"/>
    <cellStyle name="40% - Accent1 15 2 5 3" xfId="21096"/>
    <cellStyle name="40% - Accent1 15 2 6" xfId="21098"/>
    <cellStyle name="40% - Accent1 15 2 7" xfId="21083"/>
    <cellStyle name="40% - Accent1 15 3" xfId="2135"/>
    <cellStyle name="40% - Accent1 15 3 2" xfId="8420"/>
    <cellStyle name="40% - Accent1 15 3 2 2" xfId="21101"/>
    <cellStyle name="40% - Accent1 15 3 2 3" xfId="21100"/>
    <cellStyle name="40% - Accent1 15 3 3" xfId="5293"/>
    <cellStyle name="40% - Accent1 15 3 3 2" xfId="21103"/>
    <cellStyle name="40% - Accent1 15 3 3 3" xfId="21102"/>
    <cellStyle name="40% - Accent1 15 3 4" xfId="11603"/>
    <cellStyle name="40% - Accent1 15 3 4 2" xfId="21105"/>
    <cellStyle name="40% - Accent1 15 3 4 3" xfId="21104"/>
    <cellStyle name="40% - Accent1 15 3 5" xfId="21106"/>
    <cellStyle name="40% - Accent1 15 3 6" xfId="21099"/>
    <cellStyle name="40% - Accent1 15 4" xfId="6857"/>
    <cellStyle name="40% - Accent1 15 4 2" xfId="21108"/>
    <cellStyle name="40% - Accent1 15 4 3" xfId="21107"/>
    <cellStyle name="40% - Accent1 15 5" xfId="3730"/>
    <cellStyle name="40% - Accent1 15 5 2" xfId="21110"/>
    <cellStyle name="40% - Accent1 15 5 3" xfId="21109"/>
    <cellStyle name="40% - Accent1 15 6" xfId="10162"/>
    <cellStyle name="40% - Accent1 15 6 2" xfId="21112"/>
    <cellStyle name="40% - Accent1 15 6 3" xfId="21111"/>
    <cellStyle name="40% - Accent1 15 7" xfId="21113"/>
    <cellStyle name="40% - Accent1 15 8" xfId="21082"/>
    <cellStyle name="40% - Accent1 16" xfId="596"/>
    <cellStyle name="40% - Accent1 16 2" xfId="1303"/>
    <cellStyle name="40% - Accent1 16 2 2" xfId="2868"/>
    <cellStyle name="40% - Accent1 16 2 2 2" xfId="9153"/>
    <cellStyle name="40% - Accent1 16 2 2 2 2" xfId="21118"/>
    <cellStyle name="40% - Accent1 16 2 2 2 3" xfId="21117"/>
    <cellStyle name="40% - Accent1 16 2 2 3" xfId="6026"/>
    <cellStyle name="40% - Accent1 16 2 2 3 2" xfId="21120"/>
    <cellStyle name="40% - Accent1 16 2 2 3 3" xfId="21119"/>
    <cellStyle name="40% - Accent1 16 2 2 4" xfId="12336"/>
    <cellStyle name="40% - Accent1 16 2 2 4 2" xfId="21122"/>
    <cellStyle name="40% - Accent1 16 2 2 4 3" xfId="21121"/>
    <cellStyle name="40% - Accent1 16 2 2 5" xfId="21123"/>
    <cellStyle name="40% - Accent1 16 2 2 6" xfId="21116"/>
    <cellStyle name="40% - Accent1 16 2 3" xfId="7590"/>
    <cellStyle name="40% - Accent1 16 2 3 2" xfId="21125"/>
    <cellStyle name="40% - Accent1 16 2 3 3" xfId="21124"/>
    <cellStyle name="40% - Accent1 16 2 4" xfId="4463"/>
    <cellStyle name="40% - Accent1 16 2 4 2" xfId="21127"/>
    <cellStyle name="40% - Accent1 16 2 4 3" xfId="21126"/>
    <cellStyle name="40% - Accent1 16 2 5" xfId="10773"/>
    <cellStyle name="40% - Accent1 16 2 5 2" xfId="21129"/>
    <cellStyle name="40% - Accent1 16 2 5 3" xfId="21128"/>
    <cellStyle name="40% - Accent1 16 2 6" xfId="21130"/>
    <cellStyle name="40% - Accent1 16 2 7" xfId="21115"/>
    <cellStyle name="40% - Accent1 16 3" xfId="2188"/>
    <cellStyle name="40% - Accent1 16 3 2" xfId="8473"/>
    <cellStyle name="40% - Accent1 16 3 2 2" xfId="21133"/>
    <cellStyle name="40% - Accent1 16 3 2 3" xfId="21132"/>
    <cellStyle name="40% - Accent1 16 3 3" xfId="5346"/>
    <cellStyle name="40% - Accent1 16 3 3 2" xfId="21135"/>
    <cellStyle name="40% - Accent1 16 3 3 3" xfId="21134"/>
    <cellStyle name="40% - Accent1 16 3 4" xfId="11656"/>
    <cellStyle name="40% - Accent1 16 3 4 2" xfId="21137"/>
    <cellStyle name="40% - Accent1 16 3 4 3" xfId="21136"/>
    <cellStyle name="40% - Accent1 16 3 5" xfId="21138"/>
    <cellStyle name="40% - Accent1 16 3 6" xfId="21131"/>
    <cellStyle name="40% - Accent1 16 4" xfId="6910"/>
    <cellStyle name="40% - Accent1 16 4 2" xfId="21140"/>
    <cellStyle name="40% - Accent1 16 4 3" xfId="21139"/>
    <cellStyle name="40% - Accent1 16 5" xfId="3783"/>
    <cellStyle name="40% - Accent1 16 5 2" xfId="21142"/>
    <cellStyle name="40% - Accent1 16 5 3" xfId="21141"/>
    <cellStyle name="40% - Accent1 16 6" xfId="10215"/>
    <cellStyle name="40% - Accent1 16 6 2" xfId="21144"/>
    <cellStyle name="40% - Accent1 16 6 3" xfId="21143"/>
    <cellStyle name="40% - Accent1 16 7" xfId="21145"/>
    <cellStyle name="40% - Accent1 16 8" xfId="21114"/>
    <cellStyle name="40% - Accent1 17" xfId="655"/>
    <cellStyle name="40% - Accent1 17 2" xfId="1360"/>
    <cellStyle name="40% - Accent1 17 2 2" xfId="2925"/>
    <cellStyle name="40% - Accent1 17 2 2 2" xfId="9210"/>
    <cellStyle name="40% - Accent1 17 2 2 2 2" xfId="21150"/>
    <cellStyle name="40% - Accent1 17 2 2 2 3" xfId="21149"/>
    <cellStyle name="40% - Accent1 17 2 2 3" xfId="6083"/>
    <cellStyle name="40% - Accent1 17 2 2 3 2" xfId="21152"/>
    <cellStyle name="40% - Accent1 17 2 2 3 3" xfId="21151"/>
    <cellStyle name="40% - Accent1 17 2 2 4" xfId="12393"/>
    <cellStyle name="40% - Accent1 17 2 2 4 2" xfId="21154"/>
    <cellStyle name="40% - Accent1 17 2 2 4 3" xfId="21153"/>
    <cellStyle name="40% - Accent1 17 2 2 5" xfId="21155"/>
    <cellStyle name="40% - Accent1 17 2 2 6" xfId="21148"/>
    <cellStyle name="40% - Accent1 17 2 3" xfId="7647"/>
    <cellStyle name="40% - Accent1 17 2 3 2" xfId="21157"/>
    <cellStyle name="40% - Accent1 17 2 3 3" xfId="21156"/>
    <cellStyle name="40% - Accent1 17 2 4" xfId="4520"/>
    <cellStyle name="40% - Accent1 17 2 4 2" xfId="21159"/>
    <cellStyle name="40% - Accent1 17 2 4 3" xfId="21158"/>
    <cellStyle name="40% - Accent1 17 2 5" xfId="10830"/>
    <cellStyle name="40% - Accent1 17 2 5 2" xfId="21161"/>
    <cellStyle name="40% - Accent1 17 2 5 3" xfId="21160"/>
    <cellStyle name="40% - Accent1 17 2 6" xfId="21162"/>
    <cellStyle name="40% - Accent1 17 2 7" xfId="21147"/>
    <cellStyle name="40% - Accent1 17 3" xfId="2245"/>
    <cellStyle name="40% - Accent1 17 3 2" xfId="8530"/>
    <cellStyle name="40% - Accent1 17 3 2 2" xfId="21165"/>
    <cellStyle name="40% - Accent1 17 3 2 3" xfId="21164"/>
    <cellStyle name="40% - Accent1 17 3 3" xfId="5403"/>
    <cellStyle name="40% - Accent1 17 3 3 2" xfId="21167"/>
    <cellStyle name="40% - Accent1 17 3 3 3" xfId="21166"/>
    <cellStyle name="40% - Accent1 17 3 4" xfId="11713"/>
    <cellStyle name="40% - Accent1 17 3 4 2" xfId="21169"/>
    <cellStyle name="40% - Accent1 17 3 4 3" xfId="21168"/>
    <cellStyle name="40% - Accent1 17 3 5" xfId="21170"/>
    <cellStyle name="40% - Accent1 17 3 6" xfId="21163"/>
    <cellStyle name="40% - Accent1 17 4" xfId="6967"/>
    <cellStyle name="40% - Accent1 17 4 2" xfId="21172"/>
    <cellStyle name="40% - Accent1 17 4 3" xfId="21171"/>
    <cellStyle name="40% - Accent1 17 5" xfId="3840"/>
    <cellStyle name="40% - Accent1 17 5 2" xfId="21174"/>
    <cellStyle name="40% - Accent1 17 5 3" xfId="21173"/>
    <cellStyle name="40% - Accent1 17 6" xfId="10273"/>
    <cellStyle name="40% - Accent1 17 6 2" xfId="21176"/>
    <cellStyle name="40% - Accent1 17 6 3" xfId="21175"/>
    <cellStyle name="40% - Accent1 17 7" xfId="21177"/>
    <cellStyle name="40% - Accent1 17 8" xfId="21146"/>
    <cellStyle name="40% - Accent1 18" xfId="842"/>
    <cellStyle name="40% - Accent1 18 2" xfId="2408"/>
    <cellStyle name="40% - Accent1 18 2 2" xfId="8693"/>
    <cellStyle name="40% - Accent1 18 2 2 2" xfId="21181"/>
    <cellStyle name="40% - Accent1 18 2 2 3" xfId="21180"/>
    <cellStyle name="40% - Accent1 18 2 3" xfId="5566"/>
    <cellStyle name="40% - Accent1 18 2 3 2" xfId="21183"/>
    <cellStyle name="40% - Accent1 18 2 3 3" xfId="21182"/>
    <cellStyle name="40% - Accent1 18 2 4" xfId="11876"/>
    <cellStyle name="40% - Accent1 18 2 4 2" xfId="21185"/>
    <cellStyle name="40% - Accent1 18 2 4 3" xfId="21184"/>
    <cellStyle name="40% - Accent1 18 2 5" xfId="21186"/>
    <cellStyle name="40% - Accent1 18 2 6" xfId="21179"/>
    <cellStyle name="40% - Accent1 18 3" xfId="7130"/>
    <cellStyle name="40% - Accent1 18 3 2" xfId="21188"/>
    <cellStyle name="40% - Accent1 18 3 3" xfId="21187"/>
    <cellStyle name="40% - Accent1 18 4" xfId="4003"/>
    <cellStyle name="40% - Accent1 18 4 2" xfId="21190"/>
    <cellStyle name="40% - Accent1 18 4 3" xfId="21189"/>
    <cellStyle name="40% - Accent1 18 5" xfId="10313"/>
    <cellStyle name="40% - Accent1 18 5 2" xfId="21192"/>
    <cellStyle name="40% - Accent1 18 5 3" xfId="21191"/>
    <cellStyle name="40% - Accent1 18 6" xfId="21193"/>
    <cellStyle name="40% - Accent1 18 7" xfId="21178"/>
    <cellStyle name="40% - Accent1 19" xfId="1562"/>
    <cellStyle name="40% - Accent1 19 2" xfId="3127"/>
    <cellStyle name="40% - Accent1 19 2 2" xfId="9412"/>
    <cellStyle name="40% - Accent1 19 2 2 2" xfId="21197"/>
    <cellStyle name="40% - Accent1 19 2 2 3" xfId="21196"/>
    <cellStyle name="40% - Accent1 19 2 3" xfId="6285"/>
    <cellStyle name="40% - Accent1 19 2 3 2" xfId="21199"/>
    <cellStyle name="40% - Accent1 19 2 3 3" xfId="21198"/>
    <cellStyle name="40% - Accent1 19 2 4" xfId="12595"/>
    <cellStyle name="40% - Accent1 19 2 4 2" xfId="21201"/>
    <cellStyle name="40% - Accent1 19 2 4 3" xfId="21200"/>
    <cellStyle name="40% - Accent1 19 2 5" xfId="21202"/>
    <cellStyle name="40% - Accent1 19 2 6" xfId="21195"/>
    <cellStyle name="40% - Accent1 19 3" xfId="7849"/>
    <cellStyle name="40% - Accent1 19 3 2" xfId="21204"/>
    <cellStyle name="40% - Accent1 19 3 3" xfId="21203"/>
    <cellStyle name="40% - Accent1 19 4" xfId="4722"/>
    <cellStyle name="40% - Accent1 19 4 2" xfId="21206"/>
    <cellStyle name="40% - Accent1 19 4 3" xfId="21205"/>
    <cellStyle name="40% - Accent1 19 5" xfId="11032"/>
    <cellStyle name="40% - Accent1 19 5 2" xfId="21208"/>
    <cellStyle name="40% - Accent1 19 5 3" xfId="21207"/>
    <cellStyle name="40% - Accent1 19 6" xfId="21209"/>
    <cellStyle name="40% - Accent1 19 7" xfId="21194"/>
    <cellStyle name="40% - Accent1 2" xfId="56"/>
    <cellStyle name="40% - Accent1 2 10" xfId="1740"/>
    <cellStyle name="40% - Accent1 2 10 2" xfId="8026"/>
    <cellStyle name="40% - Accent1 2 10 2 2" xfId="21213"/>
    <cellStyle name="40% - Accent1 2 10 2 3" xfId="21212"/>
    <cellStyle name="40% - Accent1 2 10 3" xfId="4899"/>
    <cellStyle name="40% - Accent1 2 10 3 2" xfId="21215"/>
    <cellStyle name="40% - Accent1 2 10 3 3" xfId="21214"/>
    <cellStyle name="40% - Accent1 2 10 4" xfId="11209"/>
    <cellStyle name="40% - Accent1 2 10 4 2" xfId="21217"/>
    <cellStyle name="40% - Accent1 2 10 4 3" xfId="21216"/>
    <cellStyle name="40% - Accent1 2 10 5" xfId="21218"/>
    <cellStyle name="40% - Accent1 2 10 6" xfId="21211"/>
    <cellStyle name="40% - Accent1 2 11" xfId="118"/>
    <cellStyle name="40% - Accent1 2 11 2" xfId="6463"/>
    <cellStyle name="40% - Accent1 2 11 2 2" xfId="21221"/>
    <cellStyle name="40% - Accent1 2 11 2 3" xfId="21220"/>
    <cellStyle name="40% - Accent1 2 11 3" xfId="21222"/>
    <cellStyle name="40% - Accent1 2 11 4" xfId="21219"/>
    <cellStyle name="40% - Accent1 2 12" xfId="3309"/>
    <cellStyle name="40% - Accent1 2 12 2" xfId="21224"/>
    <cellStyle name="40% - Accent1 2 12 3" xfId="21223"/>
    <cellStyle name="40% - Accent1 2 13" xfId="3336"/>
    <cellStyle name="40% - Accent1 2 13 2" xfId="21226"/>
    <cellStyle name="40% - Accent1 2 13 3" xfId="21225"/>
    <cellStyle name="40% - Accent1 2 14" xfId="9608"/>
    <cellStyle name="40% - Accent1 2 14 2" xfId="21228"/>
    <cellStyle name="40% - Accent1 2 14 3" xfId="21227"/>
    <cellStyle name="40% - Accent1 2 15" xfId="21229"/>
    <cellStyle name="40% - Accent1 2 16" xfId="21210"/>
    <cellStyle name="40% - Accent1 2 17" xfId="38139"/>
    <cellStyle name="40% - Accent1 2 2" xfId="89"/>
    <cellStyle name="40% - Accent1 2 2 2" xfId="301"/>
    <cellStyle name="40% - Accent1 2 2 2 2" xfId="1011"/>
    <cellStyle name="40% - Accent1 2 2 2 2 2" xfId="2577"/>
    <cellStyle name="40% - Accent1 2 2 2 2 2 2" xfId="8862"/>
    <cellStyle name="40% - Accent1 2 2 2 2 2 2 2" xfId="21235"/>
    <cellStyle name="40% - Accent1 2 2 2 2 2 2 3" xfId="21234"/>
    <cellStyle name="40% - Accent1 2 2 2 2 2 3" xfId="5735"/>
    <cellStyle name="40% - Accent1 2 2 2 2 2 3 2" xfId="21237"/>
    <cellStyle name="40% - Accent1 2 2 2 2 2 3 3" xfId="21236"/>
    <cellStyle name="40% - Accent1 2 2 2 2 2 4" xfId="12045"/>
    <cellStyle name="40% - Accent1 2 2 2 2 2 4 2" xfId="21239"/>
    <cellStyle name="40% - Accent1 2 2 2 2 2 4 3" xfId="21238"/>
    <cellStyle name="40% - Accent1 2 2 2 2 2 5" xfId="21240"/>
    <cellStyle name="40% - Accent1 2 2 2 2 2 6" xfId="21233"/>
    <cellStyle name="40% - Accent1 2 2 2 2 3" xfId="7299"/>
    <cellStyle name="40% - Accent1 2 2 2 2 3 2" xfId="21242"/>
    <cellStyle name="40% - Accent1 2 2 2 2 3 3" xfId="21241"/>
    <cellStyle name="40% - Accent1 2 2 2 2 4" xfId="4172"/>
    <cellStyle name="40% - Accent1 2 2 2 2 4 2" xfId="21244"/>
    <cellStyle name="40% - Accent1 2 2 2 2 4 3" xfId="21243"/>
    <cellStyle name="40% - Accent1 2 2 2 2 5" xfId="10482"/>
    <cellStyle name="40% - Accent1 2 2 2 2 5 2" xfId="21246"/>
    <cellStyle name="40% - Accent1 2 2 2 2 5 3" xfId="21245"/>
    <cellStyle name="40% - Accent1 2 2 2 2 6" xfId="21247"/>
    <cellStyle name="40% - Accent1 2 2 2 2 7" xfId="21232"/>
    <cellStyle name="40% - Accent1 2 2 2 3" xfId="1897"/>
    <cellStyle name="40% - Accent1 2 2 2 3 2" xfId="8182"/>
    <cellStyle name="40% - Accent1 2 2 2 3 2 2" xfId="21250"/>
    <cellStyle name="40% - Accent1 2 2 2 3 2 3" xfId="21249"/>
    <cellStyle name="40% - Accent1 2 2 2 3 3" xfId="5055"/>
    <cellStyle name="40% - Accent1 2 2 2 3 3 2" xfId="21252"/>
    <cellStyle name="40% - Accent1 2 2 2 3 3 3" xfId="21251"/>
    <cellStyle name="40% - Accent1 2 2 2 3 4" xfId="11365"/>
    <cellStyle name="40% - Accent1 2 2 2 3 4 2" xfId="21254"/>
    <cellStyle name="40% - Accent1 2 2 2 3 4 3" xfId="21253"/>
    <cellStyle name="40% - Accent1 2 2 2 3 5" xfId="21255"/>
    <cellStyle name="40% - Accent1 2 2 2 3 6" xfId="21248"/>
    <cellStyle name="40% - Accent1 2 2 2 4" xfId="6619"/>
    <cellStyle name="40% - Accent1 2 2 2 4 2" xfId="21257"/>
    <cellStyle name="40% - Accent1 2 2 2 4 3" xfId="21256"/>
    <cellStyle name="40% - Accent1 2 2 2 5" xfId="3492"/>
    <cellStyle name="40% - Accent1 2 2 2 5 2" xfId="21259"/>
    <cellStyle name="40% - Accent1 2 2 2 5 3" xfId="21258"/>
    <cellStyle name="40% - Accent1 2 2 2 6" xfId="9844"/>
    <cellStyle name="40% - Accent1 2 2 2 6 2" xfId="21261"/>
    <cellStyle name="40% - Accent1 2 2 2 6 3" xfId="21260"/>
    <cellStyle name="40% - Accent1 2 2 2 7" xfId="21262"/>
    <cellStyle name="40% - Accent1 2 2 2 8" xfId="21231"/>
    <cellStyle name="40% - Accent1 2 2 3" xfId="900"/>
    <cellStyle name="40% - Accent1 2 2 3 2" xfId="2466"/>
    <cellStyle name="40% - Accent1 2 2 3 2 2" xfId="8751"/>
    <cellStyle name="40% - Accent1 2 2 3 2 2 2" xfId="21266"/>
    <cellStyle name="40% - Accent1 2 2 3 2 2 3" xfId="21265"/>
    <cellStyle name="40% - Accent1 2 2 3 2 3" xfId="5624"/>
    <cellStyle name="40% - Accent1 2 2 3 2 3 2" xfId="21268"/>
    <cellStyle name="40% - Accent1 2 2 3 2 3 3" xfId="21267"/>
    <cellStyle name="40% - Accent1 2 2 3 2 4" xfId="11934"/>
    <cellStyle name="40% - Accent1 2 2 3 2 4 2" xfId="21270"/>
    <cellStyle name="40% - Accent1 2 2 3 2 4 3" xfId="21269"/>
    <cellStyle name="40% - Accent1 2 2 3 2 5" xfId="21271"/>
    <cellStyle name="40% - Accent1 2 2 3 2 6" xfId="21264"/>
    <cellStyle name="40% - Accent1 2 2 3 3" xfId="7188"/>
    <cellStyle name="40% - Accent1 2 2 3 3 2" xfId="21273"/>
    <cellStyle name="40% - Accent1 2 2 3 3 3" xfId="21272"/>
    <cellStyle name="40% - Accent1 2 2 3 4" xfId="4061"/>
    <cellStyle name="40% - Accent1 2 2 3 4 2" xfId="21275"/>
    <cellStyle name="40% - Accent1 2 2 3 4 3" xfId="21274"/>
    <cellStyle name="40% - Accent1 2 2 3 5" xfId="10371"/>
    <cellStyle name="40% - Accent1 2 2 3 5 2" xfId="21277"/>
    <cellStyle name="40% - Accent1 2 2 3 5 3" xfId="21276"/>
    <cellStyle name="40% - Accent1 2 2 3 6" xfId="21278"/>
    <cellStyle name="40% - Accent1 2 2 3 7" xfId="21263"/>
    <cellStyle name="40% - Accent1 2 2 4" xfId="1786"/>
    <cellStyle name="40% - Accent1 2 2 4 2" xfId="8071"/>
    <cellStyle name="40% - Accent1 2 2 4 2 2" xfId="21281"/>
    <cellStyle name="40% - Accent1 2 2 4 2 3" xfId="21280"/>
    <cellStyle name="40% - Accent1 2 2 4 3" xfId="4944"/>
    <cellStyle name="40% - Accent1 2 2 4 3 2" xfId="21283"/>
    <cellStyle name="40% - Accent1 2 2 4 3 3" xfId="21282"/>
    <cellStyle name="40% - Accent1 2 2 4 4" xfId="11254"/>
    <cellStyle name="40% - Accent1 2 2 4 4 2" xfId="21285"/>
    <cellStyle name="40% - Accent1 2 2 4 4 3" xfId="21284"/>
    <cellStyle name="40% - Accent1 2 2 4 5" xfId="21286"/>
    <cellStyle name="40% - Accent1 2 2 4 6" xfId="21279"/>
    <cellStyle name="40% - Accent1 2 2 5" xfId="164"/>
    <cellStyle name="40% - Accent1 2 2 5 2" xfId="6508"/>
    <cellStyle name="40% - Accent1 2 2 5 2 2" xfId="21289"/>
    <cellStyle name="40% - Accent1 2 2 5 2 3" xfId="21288"/>
    <cellStyle name="40% - Accent1 2 2 5 3" xfId="21290"/>
    <cellStyle name="40% - Accent1 2 2 5 4" xfId="21287"/>
    <cellStyle name="40% - Accent1 2 2 6" xfId="3381"/>
    <cellStyle name="40% - Accent1 2 2 6 2" xfId="21292"/>
    <cellStyle name="40% - Accent1 2 2 6 3" xfId="21291"/>
    <cellStyle name="40% - Accent1 2 2 7" xfId="9918"/>
    <cellStyle name="40% - Accent1 2 2 7 2" xfId="21294"/>
    <cellStyle name="40% - Accent1 2 2 7 3" xfId="21293"/>
    <cellStyle name="40% - Accent1 2 2 8" xfId="21295"/>
    <cellStyle name="40% - Accent1 2 2 9" xfId="21230"/>
    <cellStyle name="40% - Accent1 2 3" xfId="240"/>
    <cellStyle name="40% - Accent1 2 3 2" xfId="951"/>
    <cellStyle name="40% - Accent1 2 3 2 2" xfId="2517"/>
    <cellStyle name="40% - Accent1 2 3 2 2 2" xfId="8802"/>
    <cellStyle name="40% - Accent1 2 3 2 2 2 2" xfId="21300"/>
    <cellStyle name="40% - Accent1 2 3 2 2 2 3" xfId="21299"/>
    <cellStyle name="40% - Accent1 2 3 2 2 3" xfId="5675"/>
    <cellStyle name="40% - Accent1 2 3 2 2 3 2" xfId="21302"/>
    <cellStyle name="40% - Accent1 2 3 2 2 3 3" xfId="21301"/>
    <cellStyle name="40% - Accent1 2 3 2 2 4" xfId="11985"/>
    <cellStyle name="40% - Accent1 2 3 2 2 4 2" xfId="21304"/>
    <cellStyle name="40% - Accent1 2 3 2 2 4 3" xfId="21303"/>
    <cellStyle name="40% - Accent1 2 3 2 2 5" xfId="21305"/>
    <cellStyle name="40% - Accent1 2 3 2 2 6" xfId="21298"/>
    <cellStyle name="40% - Accent1 2 3 2 3" xfId="7239"/>
    <cellStyle name="40% - Accent1 2 3 2 3 2" xfId="21307"/>
    <cellStyle name="40% - Accent1 2 3 2 3 3" xfId="21306"/>
    <cellStyle name="40% - Accent1 2 3 2 4" xfId="4112"/>
    <cellStyle name="40% - Accent1 2 3 2 4 2" xfId="21309"/>
    <cellStyle name="40% - Accent1 2 3 2 4 3" xfId="21308"/>
    <cellStyle name="40% - Accent1 2 3 2 5" xfId="10422"/>
    <cellStyle name="40% - Accent1 2 3 2 5 2" xfId="21311"/>
    <cellStyle name="40% - Accent1 2 3 2 5 3" xfId="21310"/>
    <cellStyle name="40% - Accent1 2 3 2 6" xfId="21312"/>
    <cellStyle name="40% - Accent1 2 3 2 7" xfId="21297"/>
    <cellStyle name="40% - Accent1 2 3 3" xfId="1837"/>
    <cellStyle name="40% - Accent1 2 3 3 2" xfId="8122"/>
    <cellStyle name="40% - Accent1 2 3 3 2 2" xfId="21315"/>
    <cellStyle name="40% - Accent1 2 3 3 2 3" xfId="21314"/>
    <cellStyle name="40% - Accent1 2 3 3 3" xfId="4995"/>
    <cellStyle name="40% - Accent1 2 3 3 3 2" xfId="21317"/>
    <cellStyle name="40% - Accent1 2 3 3 3 3" xfId="21316"/>
    <cellStyle name="40% - Accent1 2 3 3 4" xfId="11305"/>
    <cellStyle name="40% - Accent1 2 3 3 4 2" xfId="21319"/>
    <cellStyle name="40% - Accent1 2 3 3 4 3" xfId="21318"/>
    <cellStyle name="40% - Accent1 2 3 3 5" xfId="21320"/>
    <cellStyle name="40% - Accent1 2 3 3 6" xfId="21313"/>
    <cellStyle name="40% - Accent1 2 3 4" xfId="6559"/>
    <cellStyle name="40% - Accent1 2 3 4 2" xfId="21322"/>
    <cellStyle name="40% - Accent1 2 3 4 3" xfId="21321"/>
    <cellStyle name="40% - Accent1 2 3 5" xfId="3432"/>
    <cellStyle name="40% - Accent1 2 3 5 2" xfId="21324"/>
    <cellStyle name="40% - Accent1 2 3 5 3" xfId="21323"/>
    <cellStyle name="40% - Accent1 2 3 6" xfId="9956"/>
    <cellStyle name="40% - Accent1 2 3 6 2" xfId="21326"/>
    <cellStyle name="40% - Accent1 2 3 6 3" xfId="21325"/>
    <cellStyle name="40% - Accent1 2 3 7" xfId="21327"/>
    <cellStyle name="40% - Accent1 2 3 8" xfId="21296"/>
    <cellStyle name="40% - Accent1 2 4" xfId="347"/>
    <cellStyle name="40% - Accent1 2 4 2" xfId="1055"/>
    <cellStyle name="40% - Accent1 2 4 2 2" xfId="2621"/>
    <cellStyle name="40% - Accent1 2 4 2 2 2" xfId="8906"/>
    <cellStyle name="40% - Accent1 2 4 2 2 2 2" xfId="21332"/>
    <cellStyle name="40% - Accent1 2 4 2 2 2 3" xfId="21331"/>
    <cellStyle name="40% - Accent1 2 4 2 2 3" xfId="5779"/>
    <cellStyle name="40% - Accent1 2 4 2 2 3 2" xfId="21334"/>
    <cellStyle name="40% - Accent1 2 4 2 2 3 3" xfId="21333"/>
    <cellStyle name="40% - Accent1 2 4 2 2 4" xfId="12089"/>
    <cellStyle name="40% - Accent1 2 4 2 2 4 2" xfId="21336"/>
    <cellStyle name="40% - Accent1 2 4 2 2 4 3" xfId="21335"/>
    <cellStyle name="40% - Accent1 2 4 2 2 5" xfId="21337"/>
    <cellStyle name="40% - Accent1 2 4 2 2 6" xfId="21330"/>
    <cellStyle name="40% - Accent1 2 4 2 3" xfId="7343"/>
    <cellStyle name="40% - Accent1 2 4 2 3 2" xfId="21339"/>
    <cellStyle name="40% - Accent1 2 4 2 3 3" xfId="21338"/>
    <cellStyle name="40% - Accent1 2 4 2 4" xfId="4216"/>
    <cellStyle name="40% - Accent1 2 4 2 4 2" xfId="21341"/>
    <cellStyle name="40% - Accent1 2 4 2 4 3" xfId="21340"/>
    <cellStyle name="40% - Accent1 2 4 2 5" xfId="10526"/>
    <cellStyle name="40% - Accent1 2 4 2 5 2" xfId="21343"/>
    <cellStyle name="40% - Accent1 2 4 2 5 3" xfId="21342"/>
    <cellStyle name="40% - Accent1 2 4 2 6" xfId="21344"/>
    <cellStyle name="40% - Accent1 2 4 2 7" xfId="21329"/>
    <cellStyle name="40% - Accent1 2 4 3" xfId="1941"/>
    <cellStyle name="40% - Accent1 2 4 3 2" xfId="8226"/>
    <cellStyle name="40% - Accent1 2 4 3 2 2" xfId="21347"/>
    <cellStyle name="40% - Accent1 2 4 3 2 3" xfId="21346"/>
    <cellStyle name="40% - Accent1 2 4 3 3" xfId="5099"/>
    <cellStyle name="40% - Accent1 2 4 3 3 2" xfId="21349"/>
    <cellStyle name="40% - Accent1 2 4 3 3 3" xfId="21348"/>
    <cellStyle name="40% - Accent1 2 4 3 4" xfId="11409"/>
    <cellStyle name="40% - Accent1 2 4 3 4 2" xfId="21351"/>
    <cellStyle name="40% - Accent1 2 4 3 4 3" xfId="21350"/>
    <cellStyle name="40% - Accent1 2 4 3 5" xfId="21352"/>
    <cellStyle name="40% - Accent1 2 4 3 6" xfId="21345"/>
    <cellStyle name="40% - Accent1 2 4 4" xfId="6663"/>
    <cellStyle name="40% - Accent1 2 4 4 2" xfId="21354"/>
    <cellStyle name="40% - Accent1 2 4 4 3" xfId="21353"/>
    <cellStyle name="40% - Accent1 2 4 5" xfId="3536"/>
    <cellStyle name="40% - Accent1 2 4 5 2" xfId="21356"/>
    <cellStyle name="40% - Accent1 2 4 5 3" xfId="21355"/>
    <cellStyle name="40% - Accent1 2 4 6" xfId="9968"/>
    <cellStyle name="40% - Accent1 2 4 6 2" xfId="21358"/>
    <cellStyle name="40% - Accent1 2 4 6 3" xfId="21357"/>
    <cellStyle name="40% - Accent1 2 4 7" xfId="21359"/>
    <cellStyle name="40% - Accent1 2 4 8" xfId="21328"/>
    <cellStyle name="40% - Accent1 2 5" xfId="421"/>
    <cellStyle name="40% - Accent1 2 5 2" xfId="1128"/>
    <cellStyle name="40% - Accent1 2 5 2 2" xfId="2693"/>
    <cellStyle name="40% - Accent1 2 5 2 2 2" xfId="8978"/>
    <cellStyle name="40% - Accent1 2 5 2 2 2 2" xfId="21364"/>
    <cellStyle name="40% - Accent1 2 5 2 2 2 3" xfId="21363"/>
    <cellStyle name="40% - Accent1 2 5 2 2 3" xfId="5851"/>
    <cellStyle name="40% - Accent1 2 5 2 2 3 2" xfId="21366"/>
    <cellStyle name="40% - Accent1 2 5 2 2 3 3" xfId="21365"/>
    <cellStyle name="40% - Accent1 2 5 2 2 4" xfId="12161"/>
    <cellStyle name="40% - Accent1 2 5 2 2 4 2" xfId="21368"/>
    <cellStyle name="40% - Accent1 2 5 2 2 4 3" xfId="21367"/>
    <cellStyle name="40% - Accent1 2 5 2 2 5" xfId="21369"/>
    <cellStyle name="40% - Accent1 2 5 2 2 6" xfId="21362"/>
    <cellStyle name="40% - Accent1 2 5 2 3" xfId="7415"/>
    <cellStyle name="40% - Accent1 2 5 2 3 2" xfId="21371"/>
    <cellStyle name="40% - Accent1 2 5 2 3 3" xfId="21370"/>
    <cellStyle name="40% - Accent1 2 5 2 4" xfId="4288"/>
    <cellStyle name="40% - Accent1 2 5 2 4 2" xfId="21373"/>
    <cellStyle name="40% - Accent1 2 5 2 4 3" xfId="21372"/>
    <cellStyle name="40% - Accent1 2 5 2 5" xfId="10598"/>
    <cellStyle name="40% - Accent1 2 5 2 5 2" xfId="21375"/>
    <cellStyle name="40% - Accent1 2 5 2 5 3" xfId="21374"/>
    <cellStyle name="40% - Accent1 2 5 2 6" xfId="21376"/>
    <cellStyle name="40% - Accent1 2 5 2 7" xfId="21361"/>
    <cellStyle name="40% - Accent1 2 5 3" xfId="2013"/>
    <cellStyle name="40% - Accent1 2 5 3 2" xfId="8298"/>
    <cellStyle name="40% - Accent1 2 5 3 2 2" xfId="21379"/>
    <cellStyle name="40% - Accent1 2 5 3 2 3" xfId="21378"/>
    <cellStyle name="40% - Accent1 2 5 3 3" xfId="5171"/>
    <cellStyle name="40% - Accent1 2 5 3 3 2" xfId="21381"/>
    <cellStyle name="40% - Accent1 2 5 3 3 3" xfId="21380"/>
    <cellStyle name="40% - Accent1 2 5 3 4" xfId="11481"/>
    <cellStyle name="40% - Accent1 2 5 3 4 2" xfId="21383"/>
    <cellStyle name="40% - Accent1 2 5 3 4 3" xfId="21382"/>
    <cellStyle name="40% - Accent1 2 5 3 5" xfId="21384"/>
    <cellStyle name="40% - Accent1 2 5 3 6" xfId="21377"/>
    <cellStyle name="40% - Accent1 2 5 4" xfId="6735"/>
    <cellStyle name="40% - Accent1 2 5 4 2" xfId="21386"/>
    <cellStyle name="40% - Accent1 2 5 4 3" xfId="21385"/>
    <cellStyle name="40% - Accent1 2 5 5" xfId="3608"/>
    <cellStyle name="40% - Accent1 2 5 5 2" xfId="21388"/>
    <cellStyle name="40% - Accent1 2 5 5 3" xfId="21387"/>
    <cellStyle name="40% - Accent1 2 5 6" xfId="10041"/>
    <cellStyle name="40% - Accent1 2 5 6 2" xfId="21390"/>
    <cellStyle name="40% - Accent1 2 5 6 3" xfId="21389"/>
    <cellStyle name="40% - Accent1 2 5 7" xfId="21391"/>
    <cellStyle name="40% - Accent1 2 5 8" xfId="21360"/>
    <cellStyle name="40% - Accent1 2 6" xfId="574"/>
    <cellStyle name="40% - Accent1 2 6 2" xfId="1281"/>
    <cellStyle name="40% - Accent1 2 6 2 2" xfId="2846"/>
    <cellStyle name="40% - Accent1 2 6 2 2 2" xfId="9131"/>
    <cellStyle name="40% - Accent1 2 6 2 2 2 2" xfId="21396"/>
    <cellStyle name="40% - Accent1 2 6 2 2 2 3" xfId="21395"/>
    <cellStyle name="40% - Accent1 2 6 2 2 3" xfId="6004"/>
    <cellStyle name="40% - Accent1 2 6 2 2 3 2" xfId="21398"/>
    <cellStyle name="40% - Accent1 2 6 2 2 3 3" xfId="21397"/>
    <cellStyle name="40% - Accent1 2 6 2 2 4" xfId="12314"/>
    <cellStyle name="40% - Accent1 2 6 2 2 4 2" xfId="21400"/>
    <cellStyle name="40% - Accent1 2 6 2 2 4 3" xfId="21399"/>
    <cellStyle name="40% - Accent1 2 6 2 2 5" xfId="21401"/>
    <cellStyle name="40% - Accent1 2 6 2 2 6" xfId="21394"/>
    <cellStyle name="40% - Accent1 2 6 2 3" xfId="7568"/>
    <cellStyle name="40% - Accent1 2 6 2 3 2" xfId="21403"/>
    <cellStyle name="40% - Accent1 2 6 2 3 3" xfId="21402"/>
    <cellStyle name="40% - Accent1 2 6 2 4" xfId="4441"/>
    <cellStyle name="40% - Accent1 2 6 2 4 2" xfId="21405"/>
    <cellStyle name="40% - Accent1 2 6 2 4 3" xfId="21404"/>
    <cellStyle name="40% - Accent1 2 6 2 5" xfId="10751"/>
    <cellStyle name="40% - Accent1 2 6 2 5 2" xfId="21407"/>
    <cellStyle name="40% - Accent1 2 6 2 5 3" xfId="21406"/>
    <cellStyle name="40% - Accent1 2 6 2 6" xfId="21408"/>
    <cellStyle name="40% - Accent1 2 6 2 7" xfId="21393"/>
    <cellStyle name="40% - Accent1 2 6 3" xfId="2166"/>
    <cellStyle name="40% - Accent1 2 6 3 2" xfId="8451"/>
    <cellStyle name="40% - Accent1 2 6 3 2 2" xfId="21411"/>
    <cellStyle name="40% - Accent1 2 6 3 2 3" xfId="21410"/>
    <cellStyle name="40% - Accent1 2 6 3 3" xfId="5324"/>
    <cellStyle name="40% - Accent1 2 6 3 3 2" xfId="21413"/>
    <cellStyle name="40% - Accent1 2 6 3 3 3" xfId="21412"/>
    <cellStyle name="40% - Accent1 2 6 3 4" xfId="11634"/>
    <cellStyle name="40% - Accent1 2 6 3 4 2" xfId="21415"/>
    <cellStyle name="40% - Accent1 2 6 3 4 3" xfId="21414"/>
    <cellStyle name="40% - Accent1 2 6 3 5" xfId="21416"/>
    <cellStyle name="40% - Accent1 2 6 3 6" xfId="21409"/>
    <cellStyle name="40% - Accent1 2 6 4" xfId="6888"/>
    <cellStyle name="40% - Accent1 2 6 4 2" xfId="21418"/>
    <cellStyle name="40% - Accent1 2 6 4 3" xfId="21417"/>
    <cellStyle name="40% - Accent1 2 6 5" xfId="3761"/>
    <cellStyle name="40% - Accent1 2 6 5 2" xfId="21420"/>
    <cellStyle name="40% - Accent1 2 6 5 3" xfId="21419"/>
    <cellStyle name="40% - Accent1 2 6 6" xfId="10193"/>
    <cellStyle name="40% - Accent1 2 6 6 2" xfId="21422"/>
    <cellStyle name="40% - Accent1 2 6 6 3" xfId="21421"/>
    <cellStyle name="40% - Accent1 2 6 7" xfId="21423"/>
    <cellStyle name="40% - Accent1 2 6 8" xfId="21392"/>
    <cellStyle name="40% - Accent1 2 7" xfId="633"/>
    <cellStyle name="40% - Accent1 2 7 2" xfId="1338"/>
    <cellStyle name="40% - Accent1 2 7 2 2" xfId="2903"/>
    <cellStyle name="40% - Accent1 2 7 2 2 2" xfId="9188"/>
    <cellStyle name="40% - Accent1 2 7 2 2 2 2" xfId="21428"/>
    <cellStyle name="40% - Accent1 2 7 2 2 2 3" xfId="21427"/>
    <cellStyle name="40% - Accent1 2 7 2 2 3" xfId="6061"/>
    <cellStyle name="40% - Accent1 2 7 2 2 3 2" xfId="21430"/>
    <cellStyle name="40% - Accent1 2 7 2 2 3 3" xfId="21429"/>
    <cellStyle name="40% - Accent1 2 7 2 2 4" xfId="12371"/>
    <cellStyle name="40% - Accent1 2 7 2 2 4 2" xfId="21432"/>
    <cellStyle name="40% - Accent1 2 7 2 2 4 3" xfId="21431"/>
    <cellStyle name="40% - Accent1 2 7 2 2 5" xfId="21433"/>
    <cellStyle name="40% - Accent1 2 7 2 2 6" xfId="21426"/>
    <cellStyle name="40% - Accent1 2 7 2 3" xfId="7625"/>
    <cellStyle name="40% - Accent1 2 7 2 3 2" xfId="21435"/>
    <cellStyle name="40% - Accent1 2 7 2 3 3" xfId="21434"/>
    <cellStyle name="40% - Accent1 2 7 2 4" xfId="4498"/>
    <cellStyle name="40% - Accent1 2 7 2 4 2" xfId="21437"/>
    <cellStyle name="40% - Accent1 2 7 2 4 3" xfId="21436"/>
    <cellStyle name="40% - Accent1 2 7 2 5" xfId="10808"/>
    <cellStyle name="40% - Accent1 2 7 2 5 2" xfId="21439"/>
    <cellStyle name="40% - Accent1 2 7 2 5 3" xfId="21438"/>
    <cellStyle name="40% - Accent1 2 7 2 6" xfId="21440"/>
    <cellStyle name="40% - Accent1 2 7 2 7" xfId="21425"/>
    <cellStyle name="40% - Accent1 2 7 3" xfId="2223"/>
    <cellStyle name="40% - Accent1 2 7 3 2" xfId="8508"/>
    <cellStyle name="40% - Accent1 2 7 3 2 2" xfId="21443"/>
    <cellStyle name="40% - Accent1 2 7 3 2 3" xfId="21442"/>
    <cellStyle name="40% - Accent1 2 7 3 3" xfId="5381"/>
    <cellStyle name="40% - Accent1 2 7 3 3 2" xfId="21445"/>
    <cellStyle name="40% - Accent1 2 7 3 3 3" xfId="21444"/>
    <cellStyle name="40% - Accent1 2 7 3 4" xfId="11691"/>
    <cellStyle name="40% - Accent1 2 7 3 4 2" xfId="21447"/>
    <cellStyle name="40% - Accent1 2 7 3 4 3" xfId="21446"/>
    <cellStyle name="40% - Accent1 2 7 3 5" xfId="21448"/>
    <cellStyle name="40% - Accent1 2 7 3 6" xfId="21441"/>
    <cellStyle name="40% - Accent1 2 7 4" xfId="6945"/>
    <cellStyle name="40% - Accent1 2 7 4 2" xfId="21450"/>
    <cellStyle name="40% - Accent1 2 7 4 3" xfId="21449"/>
    <cellStyle name="40% - Accent1 2 7 5" xfId="3818"/>
    <cellStyle name="40% - Accent1 2 7 5 2" xfId="21452"/>
    <cellStyle name="40% - Accent1 2 7 5 3" xfId="21451"/>
    <cellStyle name="40% - Accent1 2 7 6" xfId="10251"/>
    <cellStyle name="40% - Accent1 2 7 6 2" xfId="21454"/>
    <cellStyle name="40% - Accent1 2 7 6 3" xfId="21453"/>
    <cellStyle name="40% - Accent1 2 7 7" xfId="21455"/>
    <cellStyle name="40% - Accent1 2 7 8" xfId="21424"/>
    <cellStyle name="40% - Accent1 2 8" xfId="855"/>
    <cellStyle name="40% - Accent1 2 8 2" xfId="2421"/>
    <cellStyle name="40% - Accent1 2 8 2 2" xfId="8706"/>
    <cellStyle name="40% - Accent1 2 8 2 2 2" xfId="21459"/>
    <cellStyle name="40% - Accent1 2 8 2 2 3" xfId="21458"/>
    <cellStyle name="40% - Accent1 2 8 2 3" xfId="5579"/>
    <cellStyle name="40% - Accent1 2 8 2 3 2" xfId="21461"/>
    <cellStyle name="40% - Accent1 2 8 2 3 3" xfId="21460"/>
    <cellStyle name="40% - Accent1 2 8 2 4" xfId="11889"/>
    <cellStyle name="40% - Accent1 2 8 2 4 2" xfId="21463"/>
    <cellStyle name="40% - Accent1 2 8 2 4 3" xfId="21462"/>
    <cellStyle name="40% - Accent1 2 8 2 5" xfId="21464"/>
    <cellStyle name="40% - Accent1 2 8 2 6" xfId="21457"/>
    <cellStyle name="40% - Accent1 2 8 3" xfId="7143"/>
    <cellStyle name="40% - Accent1 2 8 3 2" xfId="21466"/>
    <cellStyle name="40% - Accent1 2 8 3 3" xfId="21465"/>
    <cellStyle name="40% - Accent1 2 8 4" xfId="4016"/>
    <cellStyle name="40% - Accent1 2 8 4 2" xfId="21468"/>
    <cellStyle name="40% - Accent1 2 8 4 3" xfId="21467"/>
    <cellStyle name="40% - Accent1 2 8 5" xfId="10326"/>
    <cellStyle name="40% - Accent1 2 8 5 2" xfId="21470"/>
    <cellStyle name="40% - Accent1 2 8 5 3" xfId="21469"/>
    <cellStyle name="40% - Accent1 2 8 6" xfId="21471"/>
    <cellStyle name="40% - Accent1 2 8 7" xfId="21456"/>
    <cellStyle name="40% - Accent1 2 9" xfId="1540"/>
    <cellStyle name="40% - Accent1 2 9 2" xfId="3105"/>
    <cellStyle name="40% - Accent1 2 9 2 2" xfId="9390"/>
    <cellStyle name="40% - Accent1 2 9 2 2 2" xfId="21475"/>
    <cellStyle name="40% - Accent1 2 9 2 2 3" xfId="21474"/>
    <cellStyle name="40% - Accent1 2 9 2 3" xfId="6263"/>
    <cellStyle name="40% - Accent1 2 9 2 3 2" xfId="21477"/>
    <cellStyle name="40% - Accent1 2 9 2 3 3" xfId="21476"/>
    <cellStyle name="40% - Accent1 2 9 2 4" xfId="12573"/>
    <cellStyle name="40% - Accent1 2 9 2 4 2" xfId="21479"/>
    <cellStyle name="40% - Accent1 2 9 2 4 3" xfId="21478"/>
    <cellStyle name="40% - Accent1 2 9 2 5" xfId="21480"/>
    <cellStyle name="40% - Accent1 2 9 2 6" xfId="21473"/>
    <cellStyle name="40% - Accent1 2 9 3" xfId="7827"/>
    <cellStyle name="40% - Accent1 2 9 3 2" xfId="21482"/>
    <cellStyle name="40% - Accent1 2 9 3 3" xfId="21481"/>
    <cellStyle name="40% - Accent1 2 9 4" xfId="4700"/>
    <cellStyle name="40% - Accent1 2 9 4 2" xfId="21484"/>
    <cellStyle name="40% - Accent1 2 9 4 3" xfId="21483"/>
    <cellStyle name="40% - Accent1 2 9 5" xfId="11010"/>
    <cellStyle name="40% - Accent1 2 9 5 2" xfId="21486"/>
    <cellStyle name="40% - Accent1 2 9 5 3" xfId="21485"/>
    <cellStyle name="40% - Accent1 2 9 6" xfId="21487"/>
    <cellStyle name="40% - Accent1 2 9 7" xfId="21472"/>
    <cellStyle name="40% - Accent1 20" xfId="1725"/>
    <cellStyle name="40% - Accent1 20 2" xfId="8012"/>
    <cellStyle name="40% - Accent1 20 2 2" xfId="21490"/>
    <cellStyle name="40% - Accent1 20 2 3" xfId="21489"/>
    <cellStyle name="40% - Accent1 20 3" xfId="4885"/>
    <cellStyle name="40% - Accent1 20 3 2" xfId="21492"/>
    <cellStyle name="40% - Accent1 20 3 3" xfId="21491"/>
    <cellStyle name="40% - Accent1 20 4" xfId="11195"/>
    <cellStyle name="40% - Accent1 20 4 2" xfId="21494"/>
    <cellStyle name="40% - Accent1 20 4 3" xfId="21493"/>
    <cellStyle name="40% - Accent1 20 5" xfId="21495"/>
    <cellStyle name="40% - Accent1 20 6" xfId="21488"/>
    <cellStyle name="40% - Accent1 21" xfId="105"/>
    <cellStyle name="40% - Accent1 21 2" xfId="6450"/>
    <cellStyle name="40% - Accent1 21 2 2" xfId="21498"/>
    <cellStyle name="40% - Accent1 21 2 3" xfId="21497"/>
    <cellStyle name="40% - Accent1 21 3" xfId="21499"/>
    <cellStyle name="40% - Accent1 21 4" xfId="21496"/>
    <cellStyle name="40% - Accent1 22" xfId="3294"/>
    <cellStyle name="40% - Accent1 22 2" xfId="9577"/>
    <cellStyle name="40% - Accent1 22 2 2" xfId="21502"/>
    <cellStyle name="40% - Accent1 22 2 3" xfId="21501"/>
    <cellStyle name="40% - Accent1 22 3" xfId="21503"/>
    <cellStyle name="40% - Accent1 22 4" xfId="21500"/>
    <cellStyle name="40% - Accent1 23" xfId="3323"/>
    <cellStyle name="40% - Accent1 23 2" xfId="21505"/>
    <cellStyle name="40% - Accent1 23 3" xfId="21504"/>
    <cellStyle name="40% - Accent1 24" xfId="9630"/>
    <cellStyle name="40% - Accent1 24 2" xfId="21507"/>
    <cellStyle name="40% - Accent1 24 3" xfId="21506"/>
    <cellStyle name="40% - Accent1 25" xfId="21508"/>
    <cellStyle name="40% - Accent1 26" xfId="20921"/>
    <cellStyle name="40% - Accent1 27" xfId="38138"/>
    <cellStyle name="40% - Accent1 3" xfId="74"/>
    <cellStyle name="40% - Accent1 3 10" xfId="1755"/>
    <cellStyle name="40% - Accent1 3 10 2" xfId="8040"/>
    <cellStyle name="40% - Accent1 3 10 2 2" xfId="21512"/>
    <cellStyle name="40% - Accent1 3 10 2 3" xfId="21511"/>
    <cellStyle name="40% - Accent1 3 10 3" xfId="4913"/>
    <cellStyle name="40% - Accent1 3 10 3 2" xfId="21514"/>
    <cellStyle name="40% - Accent1 3 10 3 3" xfId="21513"/>
    <cellStyle name="40% - Accent1 3 10 4" xfId="11223"/>
    <cellStyle name="40% - Accent1 3 10 4 2" xfId="21516"/>
    <cellStyle name="40% - Accent1 3 10 4 3" xfId="21515"/>
    <cellStyle name="40% - Accent1 3 10 5" xfId="21517"/>
    <cellStyle name="40% - Accent1 3 10 6" xfId="21510"/>
    <cellStyle name="40% - Accent1 3 11" xfId="132"/>
    <cellStyle name="40% - Accent1 3 11 2" xfId="6477"/>
    <cellStyle name="40% - Accent1 3 11 2 2" xfId="21520"/>
    <cellStyle name="40% - Accent1 3 11 2 3" xfId="21519"/>
    <cellStyle name="40% - Accent1 3 11 3" xfId="21521"/>
    <cellStyle name="40% - Accent1 3 11 4" xfId="21518"/>
    <cellStyle name="40% - Accent1 3 12" xfId="3350"/>
    <cellStyle name="40% - Accent1 3 12 2" xfId="21523"/>
    <cellStyle name="40% - Accent1 3 12 3" xfId="21522"/>
    <cellStyle name="40% - Accent1 3 13" xfId="9609"/>
    <cellStyle name="40% - Accent1 3 13 2" xfId="21525"/>
    <cellStyle name="40% - Accent1 3 13 3" xfId="21524"/>
    <cellStyle name="40% - Accent1 3 14" xfId="21526"/>
    <cellStyle name="40% - Accent1 3 15" xfId="21509"/>
    <cellStyle name="40% - Accent1 3 16" xfId="38140"/>
    <cellStyle name="40% - Accent1 3 2" xfId="165"/>
    <cellStyle name="40% - Accent1 3 2 2" xfId="302"/>
    <cellStyle name="40% - Accent1 3 2 2 2" xfId="1012"/>
    <cellStyle name="40% - Accent1 3 2 2 2 2" xfId="2578"/>
    <cellStyle name="40% - Accent1 3 2 2 2 2 2" xfId="8863"/>
    <cellStyle name="40% - Accent1 3 2 2 2 2 2 2" xfId="21532"/>
    <cellStyle name="40% - Accent1 3 2 2 2 2 2 3" xfId="21531"/>
    <cellStyle name="40% - Accent1 3 2 2 2 2 3" xfId="5736"/>
    <cellStyle name="40% - Accent1 3 2 2 2 2 3 2" xfId="21534"/>
    <cellStyle name="40% - Accent1 3 2 2 2 2 3 3" xfId="21533"/>
    <cellStyle name="40% - Accent1 3 2 2 2 2 4" xfId="12046"/>
    <cellStyle name="40% - Accent1 3 2 2 2 2 4 2" xfId="21536"/>
    <cellStyle name="40% - Accent1 3 2 2 2 2 4 3" xfId="21535"/>
    <cellStyle name="40% - Accent1 3 2 2 2 2 5" xfId="21537"/>
    <cellStyle name="40% - Accent1 3 2 2 2 2 6" xfId="21530"/>
    <cellStyle name="40% - Accent1 3 2 2 2 3" xfId="7300"/>
    <cellStyle name="40% - Accent1 3 2 2 2 3 2" xfId="21539"/>
    <cellStyle name="40% - Accent1 3 2 2 2 3 3" xfId="21538"/>
    <cellStyle name="40% - Accent1 3 2 2 2 4" xfId="4173"/>
    <cellStyle name="40% - Accent1 3 2 2 2 4 2" xfId="21541"/>
    <cellStyle name="40% - Accent1 3 2 2 2 4 3" xfId="21540"/>
    <cellStyle name="40% - Accent1 3 2 2 2 5" xfId="10483"/>
    <cellStyle name="40% - Accent1 3 2 2 2 5 2" xfId="21543"/>
    <cellStyle name="40% - Accent1 3 2 2 2 5 3" xfId="21542"/>
    <cellStyle name="40% - Accent1 3 2 2 2 6" xfId="21544"/>
    <cellStyle name="40% - Accent1 3 2 2 2 7" xfId="21529"/>
    <cellStyle name="40% - Accent1 3 2 2 3" xfId="1898"/>
    <cellStyle name="40% - Accent1 3 2 2 3 2" xfId="8183"/>
    <cellStyle name="40% - Accent1 3 2 2 3 2 2" xfId="21547"/>
    <cellStyle name="40% - Accent1 3 2 2 3 2 3" xfId="21546"/>
    <cellStyle name="40% - Accent1 3 2 2 3 3" xfId="5056"/>
    <cellStyle name="40% - Accent1 3 2 2 3 3 2" xfId="21549"/>
    <cellStyle name="40% - Accent1 3 2 2 3 3 3" xfId="21548"/>
    <cellStyle name="40% - Accent1 3 2 2 3 4" xfId="11366"/>
    <cellStyle name="40% - Accent1 3 2 2 3 4 2" xfId="21551"/>
    <cellStyle name="40% - Accent1 3 2 2 3 4 3" xfId="21550"/>
    <cellStyle name="40% - Accent1 3 2 2 3 5" xfId="21552"/>
    <cellStyle name="40% - Accent1 3 2 2 3 6" xfId="21545"/>
    <cellStyle name="40% - Accent1 3 2 2 4" xfId="6620"/>
    <cellStyle name="40% - Accent1 3 2 2 4 2" xfId="21554"/>
    <cellStyle name="40% - Accent1 3 2 2 4 3" xfId="21553"/>
    <cellStyle name="40% - Accent1 3 2 2 5" xfId="3493"/>
    <cellStyle name="40% - Accent1 3 2 2 5 2" xfId="21556"/>
    <cellStyle name="40% - Accent1 3 2 2 5 3" xfId="21555"/>
    <cellStyle name="40% - Accent1 3 2 2 6" xfId="9928"/>
    <cellStyle name="40% - Accent1 3 2 2 6 2" xfId="21558"/>
    <cellStyle name="40% - Accent1 3 2 2 6 3" xfId="21557"/>
    <cellStyle name="40% - Accent1 3 2 2 7" xfId="21559"/>
    <cellStyle name="40% - Accent1 3 2 2 8" xfId="21528"/>
    <cellStyle name="40% - Accent1 3 2 3" xfId="901"/>
    <cellStyle name="40% - Accent1 3 2 3 2" xfId="2467"/>
    <cellStyle name="40% - Accent1 3 2 3 2 2" xfId="8752"/>
    <cellStyle name="40% - Accent1 3 2 3 2 2 2" xfId="21563"/>
    <cellStyle name="40% - Accent1 3 2 3 2 2 3" xfId="21562"/>
    <cellStyle name="40% - Accent1 3 2 3 2 3" xfId="5625"/>
    <cellStyle name="40% - Accent1 3 2 3 2 3 2" xfId="21565"/>
    <cellStyle name="40% - Accent1 3 2 3 2 3 3" xfId="21564"/>
    <cellStyle name="40% - Accent1 3 2 3 2 4" xfId="11935"/>
    <cellStyle name="40% - Accent1 3 2 3 2 4 2" xfId="21567"/>
    <cellStyle name="40% - Accent1 3 2 3 2 4 3" xfId="21566"/>
    <cellStyle name="40% - Accent1 3 2 3 2 5" xfId="21568"/>
    <cellStyle name="40% - Accent1 3 2 3 2 6" xfId="21561"/>
    <cellStyle name="40% - Accent1 3 2 3 3" xfId="7189"/>
    <cellStyle name="40% - Accent1 3 2 3 3 2" xfId="21570"/>
    <cellStyle name="40% - Accent1 3 2 3 3 3" xfId="21569"/>
    <cellStyle name="40% - Accent1 3 2 3 4" xfId="4062"/>
    <cellStyle name="40% - Accent1 3 2 3 4 2" xfId="21572"/>
    <cellStyle name="40% - Accent1 3 2 3 4 3" xfId="21571"/>
    <cellStyle name="40% - Accent1 3 2 3 5" xfId="10372"/>
    <cellStyle name="40% - Accent1 3 2 3 5 2" xfId="21574"/>
    <cellStyle name="40% - Accent1 3 2 3 5 3" xfId="21573"/>
    <cellStyle name="40% - Accent1 3 2 3 6" xfId="21575"/>
    <cellStyle name="40% - Accent1 3 2 3 7" xfId="21560"/>
    <cellStyle name="40% - Accent1 3 2 4" xfId="1787"/>
    <cellStyle name="40% - Accent1 3 2 4 2" xfId="8072"/>
    <cellStyle name="40% - Accent1 3 2 4 2 2" xfId="21578"/>
    <cellStyle name="40% - Accent1 3 2 4 2 3" xfId="21577"/>
    <cellStyle name="40% - Accent1 3 2 4 3" xfId="4945"/>
    <cellStyle name="40% - Accent1 3 2 4 3 2" xfId="21580"/>
    <cellStyle name="40% - Accent1 3 2 4 3 3" xfId="21579"/>
    <cellStyle name="40% - Accent1 3 2 4 4" xfId="11255"/>
    <cellStyle name="40% - Accent1 3 2 4 4 2" xfId="21582"/>
    <cellStyle name="40% - Accent1 3 2 4 4 3" xfId="21581"/>
    <cellStyle name="40% - Accent1 3 2 4 5" xfId="21583"/>
    <cellStyle name="40% - Accent1 3 2 4 6" xfId="21576"/>
    <cellStyle name="40% - Accent1 3 2 5" xfId="6509"/>
    <cellStyle name="40% - Accent1 3 2 5 2" xfId="21585"/>
    <cellStyle name="40% - Accent1 3 2 5 3" xfId="21584"/>
    <cellStyle name="40% - Accent1 3 2 6" xfId="3382"/>
    <cellStyle name="40% - Accent1 3 2 6 2" xfId="21587"/>
    <cellStyle name="40% - Accent1 3 2 6 3" xfId="21586"/>
    <cellStyle name="40% - Accent1 3 2 7" xfId="9917"/>
    <cellStyle name="40% - Accent1 3 2 7 2" xfId="21589"/>
    <cellStyle name="40% - Accent1 3 2 7 3" xfId="21588"/>
    <cellStyle name="40% - Accent1 3 2 8" xfId="21590"/>
    <cellStyle name="40% - Accent1 3 2 9" xfId="21527"/>
    <cellStyle name="40% - Accent1 3 3" xfId="241"/>
    <cellStyle name="40% - Accent1 3 3 2" xfId="952"/>
    <cellStyle name="40% - Accent1 3 3 2 2" xfId="2518"/>
    <cellStyle name="40% - Accent1 3 3 2 2 2" xfId="8803"/>
    <cellStyle name="40% - Accent1 3 3 2 2 2 2" xfId="21595"/>
    <cellStyle name="40% - Accent1 3 3 2 2 2 3" xfId="21594"/>
    <cellStyle name="40% - Accent1 3 3 2 2 3" xfId="5676"/>
    <cellStyle name="40% - Accent1 3 3 2 2 3 2" xfId="21597"/>
    <cellStyle name="40% - Accent1 3 3 2 2 3 3" xfId="21596"/>
    <cellStyle name="40% - Accent1 3 3 2 2 4" xfId="11986"/>
    <cellStyle name="40% - Accent1 3 3 2 2 4 2" xfId="21599"/>
    <cellStyle name="40% - Accent1 3 3 2 2 4 3" xfId="21598"/>
    <cellStyle name="40% - Accent1 3 3 2 2 5" xfId="21600"/>
    <cellStyle name="40% - Accent1 3 3 2 2 6" xfId="21593"/>
    <cellStyle name="40% - Accent1 3 3 2 3" xfId="7240"/>
    <cellStyle name="40% - Accent1 3 3 2 3 2" xfId="21602"/>
    <cellStyle name="40% - Accent1 3 3 2 3 3" xfId="21601"/>
    <cellStyle name="40% - Accent1 3 3 2 4" xfId="4113"/>
    <cellStyle name="40% - Accent1 3 3 2 4 2" xfId="21604"/>
    <cellStyle name="40% - Accent1 3 3 2 4 3" xfId="21603"/>
    <cellStyle name="40% - Accent1 3 3 2 5" xfId="10423"/>
    <cellStyle name="40% - Accent1 3 3 2 5 2" xfId="21606"/>
    <cellStyle name="40% - Accent1 3 3 2 5 3" xfId="21605"/>
    <cellStyle name="40% - Accent1 3 3 2 6" xfId="21607"/>
    <cellStyle name="40% - Accent1 3 3 2 7" xfId="21592"/>
    <cellStyle name="40% - Accent1 3 3 3" xfId="1838"/>
    <cellStyle name="40% - Accent1 3 3 3 2" xfId="8123"/>
    <cellStyle name="40% - Accent1 3 3 3 2 2" xfId="21610"/>
    <cellStyle name="40% - Accent1 3 3 3 2 3" xfId="21609"/>
    <cellStyle name="40% - Accent1 3 3 3 3" xfId="4996"/>
    <cellStyle name="40% - Accent1 3 3 3 3 2" xfId="21612"/>
    <cellStyle name="40% - Accent1 3 3 3 3 3" xfId="21611"/>
    <cellStyle name="40% - Accent1 3 3 3 4" xfId="11306"/>
    <cellStyle name="40% - Accent1 3 3 3 4 2" xfId="21614"/>
    <cellStyle name="40% - Accent1 3 3 3 4 3" xfId="21613"/>
    <cellStyle name="40% - Accent1 3 3 3 5" xfId="21615"/>
    <cellStyle name="40% - Accent1 3 3 3 6" xfId="21608"/>
    <cellStyle name="40% - Accent1 3 3 4" xfId="6560"/>
    <cellStyle name="40% - Accent1 3 3 4 2" xfId="21617"/>
    <cellStyle name="40% - Accent1 3 3 4 3" xfId="21616"/>
    <cellStyle name="40% - Accent1 3 3 5" xfId="3433"/>
    <cellStyle name="40% - Accent1 3 3 5 2" xfId="21619"/>
    <cellStyle name="40% - Accent1 3 3 5 3" xfId="21618"/>
    <cellStyle name="40% - Accent1 3 3 6" xfId="9895"/>
    <cellStyle name="40% - Accent1 3 3 6 2" xfId="21621"/>
    <cellStyle name="40% - Accent1 3 3 6 3" xfId="21620"/>
    <cellStyle name="40% - Accent1 3 3 7" xfId="21622"/>
    <cellStyle name="40% - Accent1 3 3 8" xfId="21591"/>
    <cellStyle name="40% - Accent1 3 4" xfId="348"/>
    <cellStyle name="40% - Accent1 3 4 2" xfId="1056"/>
    <cellStyle name="40% - Accent1 3 4 2 2" xfId="2622"/>
    <cellStyle name="40% - Accent1 3 4 2 2 2" xfId="8907"/>
    <cellStyle name="40% - Accent1 3 4 2 2 2 2" xfId="21627"/>
    <cellStyle name="40% - Accent1 3 4 2 2 2 3" xfId="21626"/>
    <cellStyle name="40% - Accent1 3 4 2 2 3" xfId="5780"/>
    <cellStyle name="40% - Accent1 3 4 2 2 3 2" xfId="21629"/>
    <cellStyle name="40% - Accent1 3 4 2 2 3 3" xfId="21628"/>
    <cellStyle name="40% - Accent1 3 4 2 2 4" xfId="12090"/>
    <cellStyle name="40% - Accent1 3 4 2 2 4 2" xfId="21631"/>
    <cellStyle name="40% - Accent1 3 4 2 2 4 3" xfId="21630"/>
    <cellStyle name="40% - Accent1 3 4 2 2 5" xfId="21632"/>
    <cellStyle name="40% - Accent1 3 4 2 2 6" xfId="21625"/>
    <cellStyle name="40% - Accent1 3 4 2 3" xfId="7344"/>
    <cellStyle name="40% - Accent1 3 4 2 3 2" xfId="21634"/>
    <cellStyle name="40% - Accent1 3 4 2 3 3" xfId="21633"/>
    <cellStyle name="40% - Accent1 3 4 2 4" xfId="4217"/>
    <cellStyle name="40% - Accent1 3 4 2 4 2" xfId="21636"/>
    <cellStyle name="40% - Accent1 3 4 2 4 3" xfId="21635"/>
    <cellStyle name="40% - Accent1 3 4 2 5" xfId="10527"/>
    <cellStyle name="40% - Accent1 3 4 2 5 2" xfId="21638"/>
    <cellStyle name="40% - Accent1 3 4 2 5 3" xfId="21637"/>
    <cellStyle name="40% - Accent1 3 4 2 6" xfId="21639"/>
    <cellStyle name="40% - Accent1 3 4 2 7" xfId="21624"/>
    <cellStyle name="40% - Accent1 3 4 3" xfId="1942"/>
    <cellStyle name="40% - Accent1 3 4 3 2" xfId="8227"/>
    <cellStyle name="40% - Accent1 3 4 3 2 2" xfId="21642"/>
    <cellStyle name="40% - Accent1 3 4 3 2 3" xfId="21641"/>
    <cellStyle name="40% - Accent1 3 4 3 3" xfId="5100"/>
    <cellStyle name="40% - Accent1 3 4 3 3 2" xfId="21644"/>
    <cellStyle name="40% - Accent1 3 4 3 3 3" xfId="21643"/>
    <cellStyle name="40% - Accent1 3 4 3 4" xfId="11410"/>
    <cellStyle name="40% - Accent1 3 4 3 4 2" xfId="21646"/>
    <cellStyle name="40% - Accent1 3 4 3 4 3" xfId="21645"/>
    <cellStyle name="40% - Accent1 3 4 3 5" xfId="21647"/>
    <cellStyle name="40% - Accent1 3 4 3 6" xfId="21640"/>
    <cellStyle name="40% - Accent1 3 4 4" xfId="6664"/>
    <cellStyle name="40% - Accent1 3 4 4 2" xfId="21649"/>
    <cellStyle name="40% - Accent1 3 4 4 3" xfId="21648"/>
    <cellStyle name="40% - Accent1 3 4 5" xfId="3537"/>
    <cellStyle name="40% - Accent1 3 4 5 2" xfId="21651"/>
    <cellStyle name="40% - Accent1 3 4 5 3" xfId="21650"/>
    <cellStyle name="40% - Accent1 3 4 6" xfId="9969"/>
    <cellStyle name="40% - Accent1 3 4 6 2" xfId="21653"/>
    <cellStyle name="40% - Accent1 3 4 6 3" xfId="21652"/>
    <cellStyle name="40% - Accent1 3 4 7" xfId="21654"/>
    <cellStyle name="40% - Accent1 3 4 8" xfId="21623"/>
    <cellStyle name="40% - Accent1 3 5" xfId="426"/>
    <cellStyle name="40% - Accent1 3 5 2" xfId="1133"/>
    <cellStyle name="40% - Accent1 3 5 2 2" xfId="2698"/>
    <cellStyle name="40% - Accent1 3 5 2 2 2" xfId="8983"/>
    <cellStyle name="40% - Accent1 3 5 2 2 2 2" xfId="21659"/>
    <cellStyle name="40% - Accent1 3 5 2 2 2 3" xfId="21658"/>
    <cellStyle name="40% - Accent1 3 5 2 2 3" xfId="5856"/>
    <cellStyle name="40% - Accent1 3 5 2 2 3 2" xfId="21661"/>
    <cellStyle name="40% - Accent1 3 5 2 2 3 3" xfId="21660"/>
    <cellStyle name="40% - Accent1 3 5 2 2 4" xfId="12166"/>
    <cellStyle name="40% - Accent1 3 5 2 2 4 2" xfId="21663"/>
    <cellStyle name="40% - Accent1 3 5 2 2 4 3" xfId="21662"/>
    <cellStyle name="40% - Accent1 3 5 2 2 5" xfId="21664"/>
    <cellStyle name="40% - Accent1 3 5 2 2 6" xfId="21657"/>
    <cellStyle name="40% - Accent1 3 5 2 3" xfId="7420"/>
    <cellStyle name="40% - Accent1 3 5 2 3 2" xfId="21666"/>
    <cellStyle name="40% - Accent1 3 5 2 3 3" xfId="21665"/>
    <cellStyle name="40% - Accent1 3 5 2 4" xfId="4293"/>
    <cellStyle name="40% - Accent1 3 5 2 4 2" xfId="21668"/>
    <cellStyle name="40% - Accent1 3 5 2 4 3" xfId="21667"/>
    <cellStyle name="40% - Accent1 3 5 2 5" xfId="10603"/>
    <cellStyle name="40% - Accent1 3 5 2 5 2" xfId="21670"/>
    <cellStyle name="40% - Accent1 3 5 2 5 3" xfId="21669"/>
    <cellStyle name="40% - Accent1 3 5 2 6" xfId="21671"/>
    <cellStyle name="40% - Accent1 3 5 2 7" xfId="21656"/>
    <cellStyle name="40% - Accent1 3 5 3" xfId="2018"/>
    <cellStyle name="40% - Accent1 3 5 3 2" xfId="8303"/>
    <cellStyle name="40% - Accent1 3 5 3 2 2" xfId="21674"/>
    <cellStyle name="40% - Accent1 3 5 3 2 3" xfId="21673"/>
    <cellStyle name="40% - Accent1 3 5 3 3" xfId="5176"/>
    <cellStyle name="40% - Accent1 3 5 3 3 2" xfId="21676"/>
    <cellStyle name="40% - Accent1 3 5 3 3 3" xfId="21675"/>
    <cellStyle name="40% - Accent1 3 5 3 4" xfId="11486"/>
    <cellStyle name="40% - Accent1 3 5 3 4 2" xfId="21678"/>
    <cellStyle name="40% - Accent1 3 5 3 4 3" xfId="21677"/>
    <cellStyle name="40% - Accent1 3 5 3 5" xfId="21679"/>
    <cellStyle name="40% - Accent1 3 5 3 6" xfId="21672"/>
    <cellStyle name="40% - Accent1 3 5 4" xfId="6740"/>
    <cellStyle name="40% - Accent1 3 5 4 2" xfId="21681"/>
    <cellStyle name="40% - Accent1 3 5 4 3" xfId="21680"/>
    <cellStyle name="40% - Accent1 3 5 5" xfId="3613"/>
    <cellStyle name="40% - Accent1 3 5 5 2" xfId="21683"/>
    <cellStyle name="40% - Accent1 3 5 5 3" xfId="21682"/>
    <cellStyle name="40% - Accent1 3 5 6" xfId="10046"/>
    <cellStyle name="40% - Accent1 3 5 6 2" xfId="21685"/>
    <cellStyle name="40% - Accent1 3 5 6 3" xfId="21684"/>
    <cellStyle name="40% - Accent1 3 5 7" xfId="21686"/>
    <cellStyle name="40% - Accent1 3 5 8" xfId="21655"/>
    <cellStyle name="40% - Accent1 3 6" xfId="575"/>
    <cellStyle name="40% - Accent1 3 6 2" xfId="1282"/>
    <cellStyle name="40% - Accent1 3 6 2 2" xfId="2847"/>
    <cellStyle name="40% - Accent1 3 6 2 2 2" xfId="9132"/>
    <cellStyle name="40% - Accent1 3 6 2 2 2 2" xfId="21691"/>
    <cellStyle name="40% - Accent1 3 6 2 2 2 3" xfId="21690"/>
    <cellStyle name="40% - Accent1 3 6 2 2 3" xfId="6005"/>
    <cellStyle name="40% - Accent1 3 6 2 2 3 2" xfId="21693"/>
    <cellStyle name="40% - Accent1 3 6 2 2 3 3" xfId="21692"/>
    <cellStyle name="40% - Accent1 3 6 2 2 4" xfId="12315"/>
    <cellStyle name="40% - Accent1 3 6 2 2 4 2" xfId="21695"/>
    <cellStyle name="40% - Accent1 3 6 2 2 4 3" xfId="21694"/>
    <cellStyle name="40% - Accent1 3 6 2 2 5" xfId="21696"/>
    <cellStyle name="40% - Accent1 3 6 2 2 6" xfId="21689"/>
    <cellStyle name="40% - Accent1 3 6 2 3" xfId="7569"/>
    <cellStyle name="40% - Accent1 3 6 2 3 2" xfId="21698"/>
    <cellStyle name="40% - Accent1 3 6 2 3 3" xfId="21697"/>
    <cellStyle name="40% - Accent1 3 6 2 4" xfId="4442"/>
    <cellStyle name="40% - Accent1 3 6 2 4 2" xfId="21700"/>
    <cellStyle name="40% - Accent1 3 6 2 4 3" xfId="21699"/>
    <cellStyle name="40% - Accent1 3 6 2 5" xfId="10752"/>
    <cellStyle name="40% - Accent1 3 6 2 5 2" xfId="21702"/>
    <cellStyle name="40% - Accent1 3 6 2 5 3" xfId="21701"/>
    <cellStyle name="40% - Accent1 3 6 2 6" xfId="21703"/>
    <cellStyle name="40% - Accent1 3 6 2 7" xfId="21688"/>
    <cellStyle name="40% - Accent1 3 6 3" xfId="2167"/>
    <cellStyle name="40% - Accent1 3 6 3 2" xfId="8452"/>
    <cellStyle name="40% - Accent1 3 6 3 2 2" xfId="21706"/>
    <cellStyle name="40% - Accent1 3 6 3 2 3" xfId="21705"/>
    <cellStyle name="40% - Accent1 3 6 3 3" xfId="5325"/>
    <cellStyle name="40% - Accent1 3 6 3 3 2" xfId="21708"/>
    <cellStyle name="40% - Accent1 3 6 3 3 3" xfId="21707"/>
    <cellStyle name="40% - Accent1 3 6 3 4" xfId="11635"/>
    <cellStyle name="40% - Accent1 3 6 3 4 2" xfId="21710"/>
    <cellStyle name="40% - Accent1 3 6 3 4 3" xfId="21709"/>
    <cellStyle name="40% - Accent1 3 6 3 5" xfId="21711"/>
    <cellStyle name="40% - Accent1 3 6 3 6" xfId="21704"/>
    <cellStyle name="40% - Accent1 3 6 4" xfId="6889"/>
    <cellStyle name="40% - Accent1 3 6 4 2" xfId="21713"/>
    <cellStyle name="40% - Accent1 3 6 4 3" xfId="21712"/>
    <cellStyle name="40% - Accent1 3 6 5" xfId="3762"/>
    <cellStyle name="40% - Accent1 3 6 5 2" xfId="21715"/>
    <cellStyle name="40% - Accent1 3 6 5 3" xfId="21714"/>
    <cellStyle name="40% - Accent1 3 6 6" xfId="10194"/>
    <cellStyle name="40% - Accent1 3 6 6 2" xfId="21717"/>
    <cellStyle name="40% - Accent1 3 6 6 3" xfId="21716"/>
    <cellStyle name="40% - Accent1 3 6 7" xfId="21718"/>
    <cellStyle name="40% - Accent1 3 6 8" xfId="21687"/>
    <cellStyle name="40% - Accent1 3 7" xfId="634"/>
    <cellStyle name="40% - Accent1 3 7 2" xfId="1339"/>
    <cellStyle name="40% - Accent1 3 7 2 2" xfId="2904"/>
    <cellStyle name="40% - Accent1 3 7 2 2 2" xfId="9189"/>
    <cellStyle name="40% - Accent1 3 7 2 2 2 2" xfId="21723"/>
    <cellStyle name="40% - Accent1 3 7 2 2 2 3" xfId="21722"/>
    <cellStyle name="40% - Accent1 3 7 2 2 3" xfId="6062"/>
    <cellStyle name="40% - Accent1 3 7 2 2 3 2" xfId="21725"/>
    <cellStyle name="40% - Accent1 3 7 2 2 3 3" xfId="21724"/>
    <cellStyle name="40% - Accent1 3 7 2 2 4" xfId="12372"/>
    <cellStyle name="40% - Accent1 3 7 2 2 4 2" xfId="21727"/>
    <cellStyle name="40% - Accent1 3 7 2 2 4 3" xfId="21726"/>
    <cellStyle name="40% - Accent1 3 7 2 2 5" xfId="21728"/>
    <cellStyle name="40% - Accent1 3 7 2 2 6" xfId="21721"/>
    <cellStyle name="40% - Accent1 3 7 2 3" xfId="7626"/>
    <cellStyle name="40% - Accent1 3 7 2 3 2" xfId="21730"/>
    <cellStyle name="40% - Accent1 3 7 2 3 3" xfId="21729"/>
    <cellStyle name="40% - Accent1 3 7 2 4" xfId="4499"/>
    <cellStyle name="40% - Accent1 3 7 2 4 2" xfId="21732"/>
    <cellStyle name="40% - Accent1 3 7 2 4 3" xfId="21731"/>
    <cellStyle name="40% - Accent1 3 7 2 5" xfId="10809"/>
    <cellStyle name="40% - Accent1 3 7 2 5 2" xfId="21734"/>
    <cellStyle name="40% - Accent1 3 7 2 5 3" xfId="21733"/>
    <cellStyle name="40% - Accent1 3 7 2 6" xfId="21735"/>
    <cellStyle name="40% - Accent1 3 7 2 7" xfId="21720"/>
    <cellStyle name="40% - Accent1 3 7 3" xfId="2224"/>
    <cellStyle name="40% - Accent1 3 7 3 2" xfId="8509"/>
    <cellStyle name="40% - Accent1 3 7 3 2 2" xfId="21738"/>
    <cellStyle name="40% - Accent1 3 7 3 2 3" xfId="21737"/>
    <cellStyle name="40% - Accent1 3 7 3 3" xfId="5382"/>
    <cellStyle name="40% - Accent1 3 7 3 3 2" xfId="21740"/>
    <cellStyle name="40% - Accent1 3 7 3 3 3" xfId="21739"/>
    <cellStyle name="40% - Accent1 3 7 3 4" xfId="11692"/>
    <cellStyle name="40% - Accent1 3 7 3 4 2" xfId="21742"/>
    <cellStyle name="40% - Accent1 3 7 3 4 3" xfId="21741"/>
    <cellStyle name="40% - Accent1 3 7 3 5" xfId="21743"/>
    <cellStyle name="40% - Accent1 3 7 3 6" xfId="21736"/>
    <cellStyle name="40% - Accent1 3 7 4" xfId="6946"/>
    <cellStyle name="40% - Accent1 3 7 4 2" xfId="21745"/>
    <cellStyle name="40% - Accent1 3 7 4 3" xfId="21744"/>
    <cellStyle name="40% - Accent1 3 7 5" xfId="3819"/>
    <cellStyle name="40% - Accent1 3 7 5 2" xfId="21747"/>
    <cellStyle name="40% - Accent1 3 7 5 3" xfId="21746"/>
    <cellStyle name="40% - Accent1 3 7 6" xfId="10252"/>
    <cellStyle name="40% - Accent1 3 7 6 2" xfId="21749"/>
    <cellStyle name="40% - Accent1 3 7 6 3" xfId="21748"/>
    <cellStyle name="40% - Accent1 3 7 7" xfId="21750"/>
    <cellStyle name="40% - Accent1 3 7 8" xfId="21719"/>
    <cellStyle name="40% - Accent1 3 8" xfId="869"/>
    <cellStyle name="40% - Accent1 3 8 2" xfId="2435"/>
    <cellStyle name="40% - Accent1 3 8 2 2" xfId="8720"/>
    <cellStyle name="40% - Accent1 3 8 2 2 2" xfId="21754"/>
    <cellStyle name="40% - Accent1 3 8 2 2 3" xfId="21753"/>
    <cellStyle name="40% - Accent1 3 8 2 3" xfId="5593"/>
    <cellStyle name="40% - Accent1 3 8 2 3 2" xfId="21756"/>
    <cellStyle name="40% - Accent1 3 8 2 3 3" xfId="21755"/>
    <cellStyle name="40% - Accent1 3 8 2 4" xfId="11903"/>
    <cellStyle name="40% - Accent1 3 8 2 4 2" xfId="21758"/>
    <cellStyle name="40% - Accent1 3 8 2 4 3" xfId="21757"/>
    <cellStyle name="40% - Accent1 3 8 2 5" xfId="21759"/>
    <cellStyle name="40% - Accent1 3 8 2 6" xfId="21752"/>
    <cellStyle name="40% - Accent1 3 8 3" xfId="7157"/>
    <cellStyle name="40% - Accent1 3 8 3 2" xfId="21761"/>
    <cellStyle name="40% - Accent1 3 8 3 3" xfId="21760"/>
    <cellStyle name="40% - Accent1 3 8 4" xfId="4030"/>
    <cellStyle name="40% - Accent1 3 8 4 2" xfId="21763"/>
    <cellStyle name="40% - Accent1 3 8 4 3" xfId="21762"/>
    <cellStyle name="40% - Accent1 3 8 5" xfId="10340"/>
    <cellStyle name="40% - Accent1 3 8 5 2" xfId="21765"/>
    <cellStyle name="40% - Accent1 3 8 5 3" xfId="21764"/>
    <cellStyle name="40% - Accent1 3 8 6" xfId="21766"/>
    <cellStyle name="40% - Accent1 3 8 7" xfId="21751"/>
    <cellStyle name="40% - Accent1 3 9" xfId="1541"/>
    <cellStyle name="40% - Accent1 3 9 2" xfId="3106"/>
    <cellStyle name="40% - Accent1 3 9 2 2" xfId="9391"/>
    <cellStyle name="40% - Accent1 3 9 2 2 2" xfId="21770"/>
    <cellStyle name="40% - Accent1 3 9 2 2 3" xfId="21769"/>
    <cellStyle name="40% - Accent1 3 9 2 3" xfId="6264"/>
    <cellStyle name="40% - Accent1 3 9 2 3 2" xfId="21772"/>
    <cellStyle name="40% - Accent1 3 9 2 3 3" xfId="21771"/>
    <cellStyle name="40% - Accent1 3 9 2 4" xfId="12574"/>
    <cellStyle name="40% - Accent1 3 9 2 4 2" xfId="21774"/>
    <cellStyle name="40% - Accent1 3 9 2 4 3" xfId="21773"/>
    <cellStyle name="40% - Accent1 3 9 2 5" xfId="21775"/>
    <cellStyle name="40% - Accent1 3 9 2 6" xfId="21768"/>
    <cellStyle name="40% - Accent1 3 9 3" xfId="7828"/>
    <cellStyle name="40% - Accent1 3 9 3 2" xfId="21777"/>
    <cellStyle name="40% - Accent1 3 9 3 3" xfId="21776"/>
    <cellStyle name="40% - Accent1 3 9 4" xfId="4701"/>
    <cellStyle name="40% - Accent1 3 9 4 2" xfId="21779"/>
    <cellStyle name="40% - Accent1 3 9 4 3" xfId="21778"/>
    <cellStyle name="40% - Accent1 3 9 5" xfId="11011"/>
    <cellStyle name="40% - Accent1 3 9 5 2" xfId="21781"/>
    <cellStyle name="40% - Accent1 3 9 5 3" xfId="21780"/>
    <cellStyle name="40% - Accent1 3 9 6" xfId="21782"/>
    <cellStyle name="40% - Accent1 3 9 7" xfId="21767"/>
    <cellStyle name="40% - Accent1 4" xfId="166"/>
    <cellStyle name="40% - Accent1 4 10" xfId="6510"/>
    <cellStyle name="40% - Accent1 4 10 2" xfId="21785"/>
    <cellStyle name="40% - Accent1 4 10 3" xfId="21784"/>
    <cellStyle name="40% - Accent1 4 11" xfId="3383"/>
    <cellStyle name="40% - Accent1 4 11 2" xfId="21787"/>
    <cellStyle name="40% - Accent1 4 11 3" xfId="21786"/>
    <cellStyle name="40% - Accent1 4 12" xfId="9610"/>
    <cellStyle name="40% - Accent1 4 12 2" xfId="21789"/>
    <cellStyle name="40% - Accent1 4 12 3" xfId="21788"/>
    <cellStyle name="40% - Accent1 4 13" xfId="21790"/>
    <cellStyle name="40% - Accent1 4 14" xfId="21783"/>
    <cellStyle name="40% - Accent1 4 2" xfId="242"/>
    <cellStyle name="40% - Accent1 4 2 2" xfId="953"/>
    <cellStyle name="40% - Accent1 4 2 2 2" xfId="2519"/>
    <cellStyle name="40% - Accent1 4 2 2 2 2" xfId="8804"/>
    <cellStyle name="40% - Accent1 4 2 2 2 2 2" xfId="21795"/>
    <cellStyle name="40% - Accent1 4 2 2 2 2 3" xfId="21794"/>
    <cellStyle name="40% - Accent1 4 2 2 2 3" xfId="5677"/>
    <cellStyle name="40% - Accent1 4 2 2 2 3 2" xfId="21797"/>
    <cellStyle name="40% - Accent1 4 2 2 2 3 3" xfId="21796"/>
    <cellStyle name="40% - Accent1 4 2 2 2 4" xfId="11987"/>
    <cellStyle name="40% - Accent1 4 2 2 2 4 2" xfId="21799"/>
    <cellStyle name="40% - Accent1 4 2 2 2 4 3" xfId="21798"/>
    <cellStyle name="40% - Accent1 4 2 2 2 5" xfId="21800"/>
    <cellStyle name="40% - Accent1 4 2 2 2 6" xfId="21793"/>
    <cellStyle name="40% - Accent1 4 2 2 3" xfId="7241"/>
    <cellStyle name="40% - Accent1 4 2 2 3 2" xfId="21802"/>
    <cellStyle name="40% - Accent1 4 2 2 3 3" xfId="21801"/>
    <cellStyle name="40% - Accent1 4 2 2 4" xfId="4114"/>
    <cellStyle name="40% - Accent1 4 2 2 4 2" xfId="21804"/>
    <cellStyle name="40% - Accent1 4 2 2 4 3" xfId="21803"/>
    <cellStyle name="40% - Accent1 4 2 2 5" xfId="10424"/>
    <cellStyle name="40% - Accent1 4 2 2 5 2" xfId="21806"/>
    <cellStyle name="40% - Accent1 4 2 2 5 3" xfId="21805"/>
    <cellStyle name="40% - Accent1 4 2 2 6" xfId="21807"/>
    <cellStyle name="40% - Accent1 4 2 2 7" xfId="21792"/>
    <cellStyle name="40% - Accent1 4 2 3" xfId="1839"/>
    <cellStyle name="40% - Accent1 4 2 3 2" xfId="8124"/>
    <cellStyle name="40% - Accent1 4 2 3 2 2" xfId="21810"/>
    <cellStyle name="40% - Accent1 4 2 3 2 3" xfId="21809"/>
    <cellStyle name="40% - Accent1 4 2 3 3" xfId="4997"/>
    <cellStyle name="40% - Accent1 4 2 3 3 2" xfId="21812"/>
    <cellStyle name="40% - Accent1 4 2 3 3 3" xfId="21811"/>
    <cellStyle name="40% - Accent1 4 2 3 4" xfId="11307"/>
    <cellStyle name="40% - Accent1 4 2 3 4 2" xfId="21814"/>
    <cellStyle name="40% - Accent1 4 2 3 4 3" xfId="21813"/>
    <cellStyle name="40% - Accent1 4 2 3 5" xfId="21815"/>
    <cellStyle name="40% - Accent1 4 2 3 6" xfId="21808"/>
    <cellStyle name="40% - Accent1 4 2 4" xfId="6561"/>
    <cellStyle name="40% - Accent1 4 2 4 2" xfId="21817"/>
    <cellStyle name="40% - Accent1 4 2 4 3" xfId="21816"/>
    <cellStyle name="40% - Accent1 4 2 5" xfId="3434"/>
    <cellStyle name="40% - Accent1 4 2 5 2" xfId="21819"/>
    <cellStyle name="40% - Accent1 4 2 5 3" xfId="21818"/>
    <cellStyle name="40% - Accent1 4 2 6" xfId="9926"/>
    <cellStyle name="40% - Accent1 4 2 6 2" xfId="21821"/>
    <cellStyle name="40% - Accent1 4 2 6 3" xfId="21820"/>
    <cellStyle name="40% - Accent1 4 2 7" xfId="21822"/>
    <cellStyle name="40% - Accent1 4 2 8" xfId="21791"/>
    <cellStyle name="40% - Accent1 4 3" xfId="349"/>
    <cellStyle name="40% - Accent1 4 3 2" xfId="1057"/>
    <cellStyle name="40% - Accent1 4 3 2 2" xfId="2623"/>
    <cellStyle name="40% - Accent1 4 3 2 2 2" xfId="8908"/>
    <cellStyle name="40% - Accent1 4 3 2 2 2 2" xfId="21827"/>
    <cellStyle name="40% - Accent1 4 3 2 2 2 3" xfId="21826"/>
    <cellStyle name="40% - Accent1 4 3 2 2 3" xfId="5781"/>
    <cellStyle name="40% - Accent1 4 3 2 2 3 2" xfId="21829"/>
    <cellStyle name="40% - Accent1 4 3 2 2 3 3" xfId="21828"/>
    <cellStyle name="40% - Accent1 4 3 2 2 4" xfId="12091"/>
    <cellStyle name="40% - Accent1 4 3 2 2 4 2" xfId="21831"/>
    <cellStyle name="40% - Accent1 4 3 2 2 4 3" xfId="21830"/>
    <cellStyle name="40% - Accent1 4 3 2 2 5" xfId="21832"/>
    <cellStyle name="40% - Accent1 4 3 2 2 6" xfId="21825"/>
    <cellStyle name="40% - Accent1 4 3 2 3" xfId="7345"/>
    <cellStyle name="40% - Accent1 4 3 2 3 2" xfId="21834"/>
    <cellStyle name="40% - Accent1 4 3 2 3 3" xfId="21833"/>
    <cellStyle name="40% - Accent1 4 3 2 4" xfId="4218"/>
    <cellStyle name="40% - Accent1 4 3 2 4 2" xfId="21836"/>
    <cellStyle name="40% - Accent1 4 3 2 4 3" xfId="21835"/>
    <cellStyle name="40% - Accent1 4 3 2 5" xfId="10528"/>
    <cellStyle name="40% - Accent1 4 3 2 5 2" xfId="21838"/>
    <cellStyle name="40% - Accent1 4 3 2 5 3" xfId="21837"/>
    <cellStyle name="40% - Accent1 4 3 2 6" xfId="21839"/>
    <cellStyle name="40% - Accent1 4 3 2 7" xfId="21824"/>
    <cellStyle name="40% - Accent1 4 3 3" xfId="1943"/>
    <cellStyle name="40% - Accent1 4 3 3 2" xfId="8228"/>
    <cellStyle name="40% - Accent1 4 3 3 2 2" xfId="21842"/>
    <cellStyle name="40% - Accent1 4 3 3 2 3" xfId="21841"/>
    <cellStyle name="40% - Accent1 4 3 3 3" xfId="5101"/>
    <cellStyle name="40% - Accent1 4 3 3 3 2" xfId="21844"/>
    <cellStyle name="40% - Accent1 4 3 3 3 3" xfId="21843"/>
    <cellStyle name="40% - Accent1 4 3 3 4" xfId="11411"/>
    <cellStyle name="40% - Accent1 4 3 3 4 2" xfId="21846"/>
    <cellStyle name="40% - Accent1 4 3 3 4 3" xfId="21845"/>
    <cellStyle name="40% - Accent1 4 3 3 5" xfId="21847"/>
    <cellStyle name="40% - Accent1 4 3 3 6" xfId="21840"/>
    <cellStyle name="40% - Accent1 4 3 4" xfId="6665"/>
    <cellStyle name="40% - Accent1 4 3 4 2" xfId="21849"/>
    <cellStyle name="40% - Accent1 4 3 4 3" xfId="21848"/>
    <cellStyle name="40% - Accent1 4 3 5" xfId="3538"/>
    <cellStyle name="40% - Accent1 4 3 5 2" xfId="21851"/>
    <cellStyle name="40% - Accent1 4 3 5 3" xfId="21850"/>
    <cellStyle name="40% - Accent1 4 3 6" xfId="9970"/>
    <cellStyle name="40% - Accent1 4 3 6 2" xfId="21853"/>
    <cellStyle name="40% - Accent1 4 3 6 3" xfId="21852"/>
    <cellStyle name="40% - Accent1 4 3 7" xfId="21854"/>
    <cellStyle name="40% - Accent1 4 3 8" xfId="21823"/>
    <cellStyle name="40% - Accent1 4 4" xfId="432"/>
    <cellStyle name="40% - Accent1 4 4 2" xfId="1139"/>
    <cellStyle name="40% - Accent1 4 4 2 2" xfId="2704"/>
    <cellStyle name="40% - Accent1 4 4 2 2 2" xfId="8989"/>
    <cellStyle name="40% - Accent1 4 4 2 2 2 2" xfId="21859"/>
    <cellStyle name="40% - Accent1 4 4 2 2 2 3" xfId="21858"/>
    <cellStyle name="40% - Accent1 4 4 2 2 3" xfId="5862"/>
    <cellStyle name="40% - Accent1 4 4 2 2 3 2" xfId="21861"/>
    <cellStyle name="40% - Accent1 4 4 2 2 3 3" xfId="21860"/>
    <cellStyle name="40% - Accent1 4 4 2 2 4" xfId="12172"/>
    <cellStyle name="40% - Accent1 4 4 2 2 4 2" xfId="21863"/>
    <cellStyle name="40% - Accent1 4 4 2 2 4 3" xfId="21862"/>
    <cellStyle name="40% - Accent1 4 4 2 2 5" xfId="21864"/>
    <cellStyle name="40% - Accent1 4 4 2 2 6" xfId="21857"/>
    <cellStyle name="40% - Accent1 4 4 2 3" xfId="7426"/>
    <cellStyle name="40% - Accent1 4 4 2 3 2" xfId="21866"/>
    <cellStyle name="40% - Accent1 4 4 2 3 3" xfId="21865"/>
    <cellStyle name="40% - Accent1 4 4 2 4" xfId="4299"/>
    <cellStyle name="40% - Accent1 4 4 2 4 2" xfId="21868"/>
    <cellStyle name="40% - Accent1 4 4 2 4 3" xfId="21867"/>
    <cellStyle name="40% - Accent1 4 4 2 5" xfId="10609"/>
    <cellStyle name="40% - Accent1 4 4 2 5 2" xfId="21870"/>
    <cellStyle name="40% - Accent1 4 4 2 5 3" xfId="21869"/>
    <cellStyle name="40% - Accent1 4 4 2 6" xfId="21871"/>
    <cellStyle name="40% - Accent1 4 4 2 7" xfId="21856"/>
    <cellStyle name="40% - Accent1 4 4 3" xfId="2024"/>
    <cellStyle name="40% - Accent1 4 4 3 2" xfId="8309"/>
    <cellStyle name="40% - Accent1 4 4 3 2 2" xfId="21874"/>
    <cellStyle name="40% - Accent1 4 4 3 2 3" xfId="21873"/>
    <cellStyle name="40% - Accent1 4 4 3 3" xfId="5182"/>
    <cellStyle name="40% - Accent1 4 4 3 3 2" xfId="21876"/>
    <cellStyle name="40% - Accent1 4 4 3 3 3" xfId="21875"/>
    <cellStyle name="40% - Accent1 4 4 3 4" xfId="11492"/>
    <cellStyle name="40% - Accent1 4 4 3 4 2" xfId="21878"/>
    <cellStyle name="40% - Accent1 4 4 3 4 3" xfId="21877"/>
    <cellStyle name="40% - Accent1 4 4 3 5" xfId="21879"/>
    <cellStyle name="40% - Accent1 4 4 3 6" xfId="21872"/>
    <cellStyle name="40% - Accent1 4 4 4" xfId="6746"/>
    <cellStyle name="40% - Accent1 4 4 4 2" xfId="21881"/>
    <cellStyle name="40% - Accent1 4 4 4 3" xfId="21880"/>
    <cellStyle name="40% - Accent1 4 4 5" xfId="3619"/>
    <cellStyle name="40% - Accent1 4 4 5 2" xfId="21883"/>
    <cellStyle name="40% - Accent1 4 4 5 3" xfId="21882"/>
    <cellStyle name="40% - Accent1 4 4 6" xfId="10052"/>
    <cellStyle name="40% - Accent1 4 4 6 2" xfId="21885"/>
    <cellStyle name="40% - Accent1 4 4 6 3" xfId="21884"/>
    <cellStyle name="40% - Accent1 4 4 7" xfId="21886"/>
    <cellStyle name="40% - Accent1 4 4 8" xfId="21855"/>
    <cellStyle name="40% - Accent1 4 5" xfId="576"/>
    <cellStyle name="40% - Accent1 4 5 2" xfId="1283"/>
    <cellStyle name="40% - Accent1 4 5 2 2" xfId="2848"/>
    <cellStyle name="40% - Accent1 4 5 2 2 2" xfId="9133"/>
    <cellStyle name="40% - Accent1 4 5 2 2 2 2" xfId="21891"/>
    <cellStyle name="40% - Accent1 4 5 2 2 2 3" xfId="21890"/>
    <cellStyle name="40% - Accent1 4 5 2 2 3" xfId="6006"/>
    <cellStyle name="40% - Accent1 4 5 2 2 3 2" xfId="21893"/>
    <cellStyle name="40% - Accent1 4 5 2 2 3 3" xfId="21892"/>
    <cellStyle name="40% - Accent1 4 5 2 2 4" xfId="12316"/>
    <cellStyle name="40% - Accent1 4 5 2 2 4 2" xfId="21895"/>
    <cellStyle name="40% - Accent1 4 5 2 2 4 3" xfId="21894"/>
    <cellStyle name="40% - Accent1 4 5 2 2 5" xfId="21896"/>
    <cellStyle name="40% - Accent1 4 5 2 2 6" xfId="21889"/>
    <cellStyle name="40% - Accent1 4 5 2 3" xfId="7570"/>
    <cellStyle name="40% - Accent1 4 5 2 3 2" xfId="21898"/>
    <cellStyle name="40% - Accent1 4 5 2 3 3" xfId="21897"/>
    <cellStyle name="40% - Accent1 4 5 2 4" xfId="4443"/>
    <cellStyle name="40% - Accent1 4 5 2 4 2" xfId="21900"/>
    <cellStyle name="40% - Accent1 4 5 2 4 3" xfId="21899"/>
    <cellStyle name="40% - Accent1 4 5 2 5" xfId="10753"/>
    <cellStyle name="40% - Accent1 4 5 2 5 2" xfId="21902"/>
    <cellStyle name="40% - Accent1 4 5 2 5 3" xfId="21901"/>
    <cellStyle name="40% - Accent1 4 5 2 6" xfId="21903"/>
    <cellStyle name="40% - Accent1 4 5 2 7" xfId="21888"/>
    <cellStyle name="40% - Accent1 4 5 3" xfId="2168"/>
    <cellStyle name="40% - Accent1 4 5 3 2" xfId="8453"/>
    <cellStyle name="40% - Accent1 4 5 3 2 2" xfId="21906"/>
    <cellStyle name="40% - Accent1 4 5 3 2 3" xfId="21905"/>
    <cellStyle name="40% - Accent1 4 5 3 3" xfId="5326"/>
    <cellStyle name="40% - Accent1 4 5 3 3 2" xfId="21908"/>
    <cellStyle name="40% - Accent1 4 5 3 3 3" xfId="21907"/>
    <cellStyle name="40% - Accent1 4 5 3 4" xfId="11636"/>
    <cellStyle name="40% - Accent1 4 5 3 4 2" xfId="21910"/>
    <cellStyle name="40% - Accent1 4 5 3 4 3" xfId="21909"/>
    <cellStyle name="40% - Accent1 4 5 3 5" xfId="21911"/>
    <cellStyle name="40% - Accent1 4 5 3 6" xfId="21904"/>
    <cellStyle name="40% - Accent1 4 5 4" xfId="6890"/>
    <cellStyle name="40% - Accent1 4 5 4 2" xfId="21913"/>
    <cellStyle name="40% - Accent1 4 5 4 3" xfId="21912"/>
    <cellStyle name="40% - Accent1 4 5 5" xfId="3763"/>
    <cellStyle name="40% - Accent1 4 5 5 2" xfId="21915"/>
    <cellStyle name="40% - Accent1 4 5 5 3" xfId="21914"/>
    <cellStyle name="40% - Accent1 4 5 6" xfId="10195"/>
    <cellStyle name="40% - Accent1 4 5 6 2" xfId="21917"/>
    <cellStyle name="40% - Accent1 4 5 6 3" xfId="21916"/>
    <cellStyle name="40% - Accent1 4 5 7" xfId="21918"/>
    <cellStyle name="40% - Accent1 4 5 8" xfId="21887"/>
    <cellStyle name="40% - Accent1 4 6" xfId="635"/>
    <cellStyle name="40% - Accent1 4 6 2" xfId="1340"/>
    <cellStyle name="40% - Accent1 4 6 2 2" xfId="2905"/>
    <cellStyle name="40% - Accent1 4 6 2 2 2" xfId="9190"/>
    <cellStyle name="40% - Accent1 4 6 2 2 2 2" xfId="21923"/>
    <cellStyle name="40% - Accent1 4 6 2 2 2 3" xfId="21922"/>
    <cellStyle name="40% - Accent1 4 6 2 2 3" xfId="6063"/>
    <cellStyle name="40% - Accent1 4 6 2 2 3 2" xfId="21925"/>
    <cellStyle name="40% - Accent1 4 6 2 2 3 3" xfId="21924"/>
    <cellStyle name="40% - Accent1 4 6 2 2 4" xfId="12373"/>
    <cellStyle name="40% - Accent1 4 6 2 2 4 2" xfId="21927"/>
    <cellStyle name="40% - Accent1 4 6 2 2 4 3" xfId="21926"/>
    <cellStyle name="40% - Accent1 4 6 2 2 5" xfId="21928"/>
    <cellStyle name="40% - Accent1 4 6 2 2 6" xfId="21921"/>
    <cellStyle name="40% - Accent1 4 6 2 3" xfId="7627"/>
    <cellStyle name="40% - Accent1 4 6 2 3 2" xfId="21930"/>
    <cellStyle name="40% - Accent1 4 6 2 3 3" xfId="21929"/>
    <cellStyle name="40% - Accent1 4 6 2 4" xfId="4500"/>
    <cellStyle name="40% - Accent1 4 6 2 4 2" xfId="21932"/>
    <cellStyle name="40% - Accent1 4 6 2 4 3" xfId="21931"/>
    <cellStyle name="40% - Accent1 4 6 2 5" xfId="10810"/>
    <cellStyle name="40% - Accent1 4 6 2 5 2" xfId="21934"/>
    <cellStyle name="40% - Accent1 4 6 2 5 3" xfId="21933"/>
    <cellStyle name="40% - Accent1 4 6 2 6" xfId="21935"/>
    <cellStyle name="40% - Accent1 4 6 2 7" xfId="21920"/>
    <cellStyle name="40% - Accent1 4 6 3" xfId="2225"/>
    <cellStyle name="40% - Accent1 4 6 3 2" xfId="8510"/>
    <cellStyle name="40% - Accent1 4 6 3 2 2" xfId="21938"/>
    <cellStyle name="40% - Accent1 4 6 3 2 3" xfId="21937"/>
    <cellStyle name="40% - Accent1 4 6 3 3" xfId="5383"/>
    <cellStyle name="40% - Accent1 4 6 3 3 2" xfId="21940"/>
    <cellStyle name="40% - Accent1 4 6 3 3 3" xfId="21939"/>
    <cellStyle name="40% - Accent1 4 6 3 4" xfId="11693"/>
    <cellStyle name="40% - Accent1 4 6 3 4 2" xfId="21942"/>
    <cellStyle name="40% - Accent1 4 6 3 4 3" xfId="21941"/>
    <cellStyle name="40% - Accent1 4 6 3 5" xfId="21943"/>
    <cellStyle name="40% - Accent1 4 6 3 6" xfId="21936"/>
    <cellStyle name="40% - Accent1 4 6 4" xfId="6947"/>
    <cellStyle name="40% - Accent1 4 6 4 2" xfId="21945"/>
    <cellStyle name="40% - Accent1 4 6 4 3" xfId="21944"/>
    <cellStyle name="40% - Accent1 4 6 5" xfId="3820"/>
    <cellStyle name="40% - Accent1 4 6 5 2" xfId="21947"/>
    <cellStyle name="40% - Accent1 4 6 5 3" xfId="21946"/>
    <cellStyle name="40% - Accent1 4 6 6" xfId="10253"/>
    <cellStyle name="40% - Accent1 4 6 6 2" xfId="21949"/>
    <cellStyle name="40% - Accent1 4 6 6 3" xfId="21948"/>
    <cellStyle name="40% - Accent1 4 6 7" xfId="21950"/>
    <cellStyle name="40% - Accent1 4 6 8" xfId="21919"/>
    <cellStyle name="40% - Accent1 4 7" xfId="902"/>
    <cellStyle name="40% - Accent1 4 7 2" xfId="2468"/>
    <cellStyle name="40% - Accent1 4 7 2 2" xfId="8753"/>
    <cellStyle name="40% - Accent1 4 7 2 2 2" xfId="21954"/>
    <cellStyle name="40% - Accent1 4 7 2 2 3" xfId="21953"/>
    <cellStyle name="40% - Accent1 4 7 2 3" xfId="5626"/>
    <cellStyle name="40% - Accent1 4 7 2 3 2" xfId="21956"/>
    <cellStyle name="40% - Accent1 4 7 2 3 3" xfId="21955"/>
    <cellStyle name="40% - Accent1 4 7 2 4" xfId="11936"/>
    <cellStyle name="40% - Accent1 4 7 2 4 2" xfId="21958"/>
    <cellStyle name="40% - Accent1 4 7 2 4 3" xfId="21957"/>
    <cellStyle name="40% - Accent1 4 7 2 5" xfId="21959"/>
    <cellStyle name="40% - Accent1 4 7 2 6" xfId="21952"/>
    <cellStyle name="40% - Accent1 4 7 3" xfId="7190"/>
    <cellStyle name="40% - Accent1 4 7 3 2" xfId="21961"/>
    <cellStyle name="40% - Accent1 4 7 3 3" xfId="21960"/>
    <cellStyle name="40% - Accent1 4 7 4" xfId="4063"/>
    <cellStyle name="40% - Accent1 4 7 4 2" xfId="21963"/>
    <cellStyle name="40% - Accent1 4 7 4 3" xfId="21962"/>
    <cellStyle name="40% - Accent1 4 7 5" xfId="10373"/>
    <cellStyle name="40% - Accent1 4 7 5 2" xfId="21965"/>
    <cellStyle name="40% - Accent1 4 7 5 3" xfId="21964"/>
    <cellStyle name="40% - Accent1 4 7 6" xfId="21966"/>
    <cellStyle name="40% - Accent1 4 7 7" xfId="21951"/>
    <cellStyle name="40% - Accent1 4 8" xfId="1542"/>
    <cellStyle name="40% - Accent1 4 8 2" xfId="3107"/>
    <cellStyle name="40% - Accent1 4 8 2 2" xfId="9392"/>
    <cellStyle name="40% - Accent1 4 8 2 2 2" xfId="21970"/>
    <cellStyle name="40% - Accent1 4 8 2 2 3" xfId="21969"/>
    <cellStyle name="40% - Accent1 4 8 2 3" xfId="6265"/>
    <cellStyle name="40% - Accent1 4 8 2 3 2" xfId="21972"/>
    <cellStyle name="40% - Accent1 4 8 2 3 3" xfId="21971"/>
    <cellStyle name="40% - Accent1 4 8 2 4" xfId="12575"/>
    <cellStyle name="40% - Accent1 4 8 2 4 2" xfId="21974"/>
    <cellStyle name="40% - Accent1 4 8 2 4 3" xfId="21973"/>
    <cellStyle name="40% - Accent1 4 8 2 5" xfId="21975"/>
    <cellStyle name="40% - Accent1 4 8 2 6" xfId="21968"/>
    <cellStyle name="40% - Accent1 4 8 3" xfId="7829"/>
    <cellStyle name="40% - Accent1 4 8 3 2" xfId="21977"/>
    <cellStyle name="40% - Accent1 4 8 3 3" xfId="21976"/>
    <cellStyle name="40% - Accent1 4 8 4" xfId="4702"/>
    <cellStyle name="40% - Accent1 4 8 4 2" xfId="21979"/>
    <cellStyle name="40% - Accent1 4 8 4 3" xfId="21978"/>
    <cellStyle name="40% - Accent1 4 8 5" xfId="11012"/>
    <cellStyle name="40% - Accent1 4 8 5 2" xfId="21981"/>
    <cellStyle name="40% - Accent1 4 8 5 3" xfId="21980"/>
    <cellStyle name="40% - Accent1 4 8 6" xfId="21982"/>
    <cellStyle name="40% - Accent1 4 8 7" xfId="21967"/>
    <cellStyle name="40% - Accent1 4 9" xfId="1788"/>
    <cellStyle name="40% - Accent1 4 9 2" xfId="8073"/>
    <cellStyle name="40% - Accent1 4 9 2 2" xfId="21985"/>
    <cellStyle name="40% - Accent1 4 9 2 3" xfId="21984"/>
    <cellStyle name="40% - Accent1 4 9 3" xfId="4946"/>
    <cellStyle name="40% - Accent1 4 9 3 2" xfId="21987"/>
    <cellStyle name="40% - Accent1 4 9 3 3" xfId="21986"/>
    <cellStyle name="40% - Accent1 4 9 4" xfId="11256"/>
    <cellStyle name="40% - Accent1 4 9 4 2" xfId="21989"/>
    <cellStyle name="40% - Accent1 4 9 4 3" xfId="21988"/>
    <cellStyle name="40% - Accent1 4 9 5" xfId="21990"/>
    <cellStyle name="40% - Accent1 4 9 6" xfId="21983"/>
    <cellStyle name="40% - Accent1 5" xfId="262"/>
    <cellStyle name="40% - Accent1 5 2" xfId="973"/>
    <cellStyle name="40% - Accent1 5 2 2" xfId="2539"/>
    <cellStyle name="40% - Accent1 5 2 2 2" xfId="8824"/>
    <cellStyle name="40% - Accent1 5 2 2 2 2" xfId="21995"/>
    <cellStyle name="40% - Accent1 5 2 2 2 3" xfId="21994"/>
    <cellStyle name="40% - Accent1 5 2 2 3" xfId="5697"/>
    <cellStyle name="40% - Accent1 5 2 2 3 2" xfId="21997"/>
    <cellStyle name="40% - Accent1 5 2 2 3 3" xfId="21996"/>
    <cellStyle name="40% - Accent1 5 2 2 4" xfId="12007"/>
    <cellStyle name="40% - Accent1 5 2 2 4 2" xfId="21999"/>
    <cellStyle name="40% - Accent1 5 2 2 4 3" xfId="21998"/>
    <cellStyle name="40% - Accent1 5 2 2 5" xfId="22000"/>
    <cellStyle name="40% - Accent1 5 2 2 6" xfId="21993"/>
    <cellStyle name="40% - Accent1 5 2 3" xfId="7261"/>
    <cellStyle name="40% - Accent1 5 2 3 2" xfId="22002"/>
    <cellStyle name="40% - Accent1 5 2 3 3" xfId="22001"/>
    <cellStyle name="40% - Accent1 5 2 4" xfId="4134"/>
    <cellStyle name="40% - Accent1 5 2 4 2" xfId="22004"/>
    <cellStyle name="40% - Accent1 5 2 4 3" xfId="22003"/>
    <cellStyle name="40% - Accent1 5 2 5" xfId="10444"/>
    <cellStyle name="40% - Accent1 5 2 5 2" xfId="22006"/>
    <cellStyle name="40% - Accent1 5 2 5 3" xfId="22005"/>
    <cellStyle name="40% - Accent1 5 2 6" xfId="22007"/>
    <cellStyle name="40% - Accent1 5 2 7" xfId="21992"/>
    <cellStyle name="40% - Accent1 5 3" xfId="1859"/>
    <cellStyle name="40% - Accent1 5 3 2" xfId="8144"/>
    <cellStyle name="40% - Accent1 5 3 2 2" xfId="22010"/>
    <cellStyle name="40% - Accent1 5 3 2 3" xfId="22009"/>
    <cellStyle name="40% - Accent1 5 3 3" xfId="5017"/>
    <cellStyle name="40% - Accent1 5 3 3 2" xfId="22012"/>
    <cellStyle name="40% - Accent1 5 3 3 3" xfId="22011"/>
    <cellStyle name="40% - Accent1 5 3 4" xfId="11327"/>
    <cellStyle name="40% - Accent1 5 3 4 2" xfId="22014"/>
    <cellStyle name="40% - Accent1 5 3 4 3" xfId="22013"/>
    <cellStyle name="40% - Accent1 5 3 5" xfId="22015"/>
    <cellStyle name="40% - Accent1 5 3 6" xfId="22008"/>
    <cellStyle name="40% - Accent1 5 4" xfId="6581"/>
    <cellStyle name="40% - Accent1 5 4 2" xfId="22017"/>
    <cellStyle name="40% - Accent1 5 4 3" xfId="22016"/>
    <cellStyle name="40% - Accent1 5 5" xfId="3454"/>
    <cellStyle name="40% - Accent1 5 5 2" xfId="22019"/>
    <cellStyle name="40% - Accent1 5 5 3" xfId="22018"/>
    <cellStyle name="40% - Accent1 5 6" xfId="9879"/>
    <cellStyle name="40% - Accent1 5 6 2" xfId="22021"/>
    <cellStyle name="40% - Accent1 5 6 3" xfId="22020"/>
    <cellStyle name="40% - Accent1 5 7" xfId="22022"/>
    <cellStyle name="40% - Accent1 5 8" xfId="21991"/>
    <cellStyle name="40% - Accent1 6" xfId="369"/>
    <cellStyle name="40% - Accent1 6 2" xfId="1077"/>
    <cellStyle name="40% - Accent1 6 2 2" xfId="2643"/>
    <cellStyle name="40% - Accent1 6 2 2 2" xfId="8928"/>
    <cellStyle name="40% - Accent1 6 2 2 2 2" xfId="22027"/>
    <cellStyle name="40% - Accent1 6 2 2 2 3" xfId="22026"/>
    <cellStyle name="40% - Accent1 6 2 2 3" xfId="5801"/>
    <cellStyle name="40% - Accent1 6 2 2 3 2" xfId="22029"/>
    <cellStyle name="40% - Accent1 6 2 2 3 3" xfId="22028"/>
    <cellStyle name="40% - Accent1 6 2 2 4" xfId="12111"/>
    <cellStyle name="40% - Accent1 6 2 2 4 2" xfId="22031"/>
    <cellStyle name="40% - Accent1 6 2 2 4 3" xfId="22030"/>
    <cellStyle name="40% - Accent1 6 2 2 5" xfId="22032"/>
    <cellStyle name="40% - Accent1 6 2 2 6" xfId="22025"/>
    <cellStyle name="40% - Accent1 6 2 3" xfId="7365"/>
    <cellStyle name="40% - Accent1 6 2 3 2" xfId="22034"/>
    <cellStyle name="40% - Accent1 6 2 3 3" xfId="22033"/>
    <cellStyle name="40% - Accent1 6 2 4" xfId="4238"/>
    <cellStyle name="40% - Accent1 6 2 4 2" xfId="22036"/>
    <cellStyle name="40% - Accent1 6 2 4 3" xfId="22035"/>
    <cellStyle name="40% - Accent1 6 2 5" xfId="10548"/>
    <cellStyle name="40% - Accent1 6 2 5 2" xfId="22038"/>
    <cellStyle name="40% - Accent1 6 2 5 3" xfId="22037"/>
    <cellStyle name="40% - Accent1 6 2 6" xfId="22039"/>
    <cellStyle name="40% - Accent1 6 2 7" xfId="22024"/>
    <cellStyle name="40% - Accent1 6 3" xfId="1963"/>
    <cellStyle name="40% - Accent1 6 3 2" xfId="8248"/>
    <cellStyle name="40% - Accent1 6 3 2 2" xfId="22042"/>
    <cellStyle name="40% - Accent1 6 3 2 3" xfId="22041"/>
    <cellStyle name="40% - Accent1 6 3 3" xfId="5121"/>
    <cellStyle name="40% - Accent1 6 3 3 2" xfId="22044"/>
    <cellStyle name="40% - Accent1 6 3 3 3" xfId="22043"/>
    <cellStyle name="40% - Accent1 6 3 4" xfId="11431"/>
    <cellStyle name="40% - Accent1 6 3 4 2" xfId="22046"/>
    <cellStyle name="40% - Accent1 6 3 4 3" xfId="22045"/>
    <cellStyle name="40% - Accent1 6 3 5" xfId="22047"/>
    <cellStyle name="40% - Accent1 6 3 6" xfId="22040"/>
    <cellStyle name="40% - Accent1 6 4" xfId="6685"/>
    <cellStyle name="40% - Accent1 6 4 2" xfId="22049"/>
    <cellStyle name="40% - Accent1 6 4 3" xfId="22048"/>
    <cellStyle name="40% - Accent1 6 5" xfId="3558"/>
    <cellStyle name="40% - Accent1 6 5 2" xfId="22051"/>
    <cellStyle name="40% - Accent1 6 5 3" xfId="22050"/>
    <cellStyle name="40% - Accent1 6 6" xfId="9990"/>
    <cellStyle name="40% - Accent1 6 6 2" xfId="22053"/>
    <cellStyle name="40% - Accent1 6 6 3" xfId="22052"/>
    <cellStyle name="40% - Accent1 6 7" xfId="22054"/>
    <cellStyle name="40% - Accent1 6 8" xfId="22023"/>
    <cellStyle name="40% - Accent1 7" xfId="398"/>
    <cellStyle name="40% - Accent1 7 2" xfId="1105"/>
    <cellStyle name="40% - Accent1 7 2 2" xfId="2670"/>
    <cellStyle name="40% - Accent1 7 2 2 2" xfId="8955"/>
    <cellStyle name="40% - Accent1 7 2 2 2 2" xfId="22059"/>
    <cellStyle name="40% - Accent1 7 2 2 2 3" xfId="22058"/>
    <cellStyle name="40% - Accent1 7 2 2 3" xfId="5828"/>
    <cellStyle name="40% - Accent1 7 2 2 3 2" xfId="22061"/>
    <cellStyle name="40% - Accent1 7 2 2 3 3" xfId="22060"/>
    <cellStyle name="40% - Accent1 7 2 2 4" xfId="12138"/>
    <cellStyle name="40% - Accent1 7 2 2 4 2" xfId="22063"/>
    <cellStyle name="40% - Accent1 7 2 2 4 3" xfId="22062"/>
    <cellStyle name="40% - Accent1 7 2 2 5" xfId="22064"/>
    <cellStyle name="40% - Accent1 7 2 2 6" xfId="22057"/>
    <cellStyle name="40% - Accent1 7 2 3" xfId="7392"/>
    <cellStyle name="40% - Accent1 7 2 3 2" xfId="22066"/>
    <cellStyle name="40% - Accent1 7 2 3 3" xfId="22065"/>
    <cellStyle name="40% - Accent1 7 2 4" xfId="4265"/>
    <cellStyle name="40% - Accent1 7 2 4 2" xfId="22068"/>
    <cellStyle name="40% - Accent1 7 2 4 3" xfId="22067"/>
    <cellStyle name="40% - Accent1 7 2 5" xfId="10575"/>
    <cellStyle name="40% - Accent1 7 2 5 2" xfId="22070"/>
    <cellStyle name="40% - Accent1 7 2 5 3" xfId="22069"/>
    <cellStyle name="40% - Accent1 7 2 6" xfId="22071"/>
    <cellStyle name="40% - Accent1 7 2 7" xfId="22056"/>
    <cellStyle name="40% - Accent1 7 3" xfId="1990"/>
    <cellStyle name="40% - Accent1 7 3 2" xfId="8275"/>
    <cellStyle name="40% - Accent1 7 3 2 2" xfId="22074"/>
    <cellStyle name="40% - Accent1 7 3 2 3" xfId="22073"/>
    <cellStyle name="40% - Accent1 7 3 3" xfId="5148"/>
    <cellStyle name="40% - Accent1 7 3 3 2" xfId="22076"/>
    <cellStyle name="40% - Accent1 7 3 3 3" xfId="22075"/>
    <cellStyle name="40% - Accent1 7 3 4" xfId="11458"/>
    <cellStyle name="40% - Accent1 7 3 4 2" xfId="22078"/>
    <cellStyle name="40% - Accent1 7 3 4 3" xfId="22077"/>
    <cellStyle name="40% - Accent1 7 3 5" xfId="22079"/>
    <cellStyle name="40% - Accent1 7 3 6" xfId="22072"/>
    <cellStyle name="40% - Accent1 7 4" xfId="6712"/>
    <cellStyle name="40% - Accent1 7 4 2" xfId="22081"/>
    <cellStyle name="40% - Accent1 7 4 3" xfId="22080"/>
    <cellStyle name="40% - Accent1 7 5" xfId="3585"/>
    <cellStyle name="40% - Accent1 7 5 2" xfId="22083"/>
    <cellStyle name="40% - Accent1 7 5 3" xfId="22082"/>
    <cellStyle name="40% - Accent1 7 6" xfId="10018"/>
    <cellStyle name="40% - Accent1 7 6 2" xfId="22085"/>
    <cellStyle name="40% - Accent1 7 6 3" xfId="22084"/>
    <cellStyle name="40% - Accent1 7 7" xfId="22086"/>
    <cellStyle name="40% - Accent1 7 8" xfId="22055"/>
    <cellStyle name="40% - Accent1 8" xfId="444"/>
    <cellStyle name="40% - Accent1 8 2" xfId="1151"/>
    <cellStyle name="40% - Accent1 8 2 2" xfId="2716"/>
    <cellStyle name="40% - Accent1 8 2 2 2" xfId="9001"/>
    <cellStyle name="40% - Accent1 8 2 2 2 2" xfId="22091"/>
    <cellStyle name="40% - Accent1 8 2 2 2 3" xfId="22090"/>
    <cellStyle name="40% - Accent1 8 2 2 3" xfId="5874"/>
    <cellStyle name="40% - Accent1 8 2 2 3 2" xfId="22093"/>
    <cellStyle name="40% - Accent1 8 2 2 3 3" xfId="22092"/>
    <cellStyle name="40% - Accent1 8 2 2 4" xfId="12184"/>
    <cellStyle name="40% - Accent1 8 2 2 4 2" xfId="22095"/>
    <cellStyle name="40% - Accent1 8 2 2 4 3" xfId="22094"/>
    <cellStyle name="40% - Accent1 8 2 2 5" xfId="22096"/>
    <cellStyle name="40% - Accent1 8 2 2 6" xfId="22089"/>
    <cellStyle name="40% - Accent1 8 2 3" xfId="7438"/>
    <cellStyle name="40% - Accent1 8 2 3 2" xfId="22098"/>
    <cellStyle name="40% - Accent1 8 2 3 3" xfId="22097"/>
    <cellStyle name="40% - Accent1 8 2 4" xfId="4311"/>
    <cellStyle name="40% - Accent1 8 2 4 2" xfId="22100"/>
    <cellStyle name="40% - Accent1 8 2 4 3" xfId="22099"/>
    <cellStyle name="40% - Accent1 8 2 5" xfId="10621"/>
    <cellStyle name="40% - Accent1 8 2 5 2" xfId="22102"/>
    <cellStyle name="40% - Accent1 8 2 5 3" xfId="22101"/>
    <cellStyle name="40% - Accent1 8 2 6" xfId="22103"/>
    <cellStyle name="40% - Accent1 8 2 7" xfId="22088"/>
    <cellStyle name="40% - Accent1 8 3" xfId="2036"/>
    <cellStyle name="40% - Accent1 8 3 2" xfId="8321"/>
    <cellStyle name="40% - Accent1 8 3 2 2" xfId="22106"/>
    <cellStyle name="40% - Accent1 8 3 2 3" xfId="22105"/>
    <cellStyle name="40% - Accent1 8 3 3" xfId="5194"/>
    <cellStyle name="40% - Accent1 8 3 3 2" xfId="22108"/>
    <cellStyle name="40% - Accent1 8 3 3 3" xfId="22107"/>
    <cellStyle name="40% - Accent1 8 3 4" xfId="11504"/>
    <cellStyle name="40% - Accent1 8 3 4 2" xfId="22110"/>
    <cellStyle name="40% - Accent1 8 3 4 3" xfId="22109"/>
    <cellStyle name="40% - Accent1 8 3 5" xfId="22111"/>
    <cellStyle name="40% - Accent1 8 3 6" xfId="22104"/>
    <cellStyle name="40% - Accent1 8 4" xfId="6758"/>
    <cellStyle name="40% - Accent1 8 4 2" xfId="22113"/>
    <cellStyle name="40% - Accent1 8 4 3" xfId="22112"/>
    <cellStyle name="40% - Accent1 8 5" xfId="3631"/>
    <cellStyle name="40% - Accent1 8 5 2" xfId="22115"/>
    <cellStyle name="40% - Accent1 8 5 3" xfId="22114"/>
    <cellStyle name="40% - Accent1 8 6" xfId="10063"/>
    <cellStyle name="40% - Accent1 8 6 2" xfId="22117"/>
    <cellStyle name="40% - Accent1 8 6 3" xfId="22116"/>
    <cellStyle name="40% - Accent1 8 7" xfId="22118"/>
    <cellStyle name="40% - Accent1 8 8" xfId="22087"/>
    <cellStyle name="40% - Accent1 9" xfId="458"/>
    <cellStyle name="40% - Accent1 9 2" xfId="1165"/>
    <cellStyle name="40% - Accent1 9 2 2" xfId="2730"/>
    <cellStyle name="40% - Accent1 9 2 2 2" xfId="9015"/>
    <cellStyle name="40% - Accent1 9 2 2 2 2" xfId="22123"/>
    <cellStyle name="40% - Accent1 9 2 2 2 3" xfId="22122"/>
    <cellStyle name="40% - Accent1 9 2 2 3" xfId="5888"/>
    <cellStyle name="40% - Accent1 9 2 2 3 2" xfId="22125"/>
    <cellStyle name="40% - Accent1 9 2 2 3 3" xfId="22124"/>
    <cellStyle name="40% - Accent1 9 2 2 4" xfId="12198"/>
    <cellStyle name="40% - Accent1 9 2 2 4 2" xfId="22127"/>
    <cellStyle name="40% - Accent1 9 2 2 4 3" xfId="22126"/>
    <cellStyle name="40% - Accent1 9 2 2 5" xfId="22128"/>
    <cellStyle name="40% - Accent1 9 2 2 6" xfId="22121"/>
    <cellStyle name="40% - Accent1 9 2 3" xfId="7452"/>
    <cellStyle name="40% - Accent1 9 2 3 2" xfId="22130"/>
    <cellStyle name="40% - Accent1 9 2 3 3" xfId="22129"/>
    <cellStyle name="40% - Accent1 9 2 4" xfId="4325"/>
    <cellStyle name="40% - Accent1 9 2 4 2" xfId="22132"/>
    <cellStyle name="40% - Accent1 9 2 4 3" xfId="22131"/>
    <cellStyle name="40% - Accent1 9 2 5" xfId="10635"/>
    <cellStyle name="40% - Accent1 9 2 5 2" xfId="22134"/>
    <cellStyle name="40% - Accent1 9 2 5 3" xfId="22133"/>
    <cellStyle name="40% - Accent1 9 2 6" xfId="22135"/>
    <cellStyle name="40% - Accent1 9 2 7" xfId="22120"/>
    <cellStyle name="40% - Accent1 9 3" xfId="2050"/>
    <cellStyle name="40% - Accent1 9 3 2" xfId="8335"/>
    <cellStyle name="40% - Accent1 9 3 2 2" xfId="22138"/>
    <cellStyle name="40% - Accent1 9 3 2 3" xfId="22137"/>
    <cellStyle name="40% - Accent1 9 3 3" xfId="5208"/>
    <cellStyle name="40% - Accent1 9 3 3 2" xfId="22140"/>
    <cellStyle name="40% - Accent1 9 3 3 3" xfId="22139"/>
    <cellStyle name="40% - Accent1 9 3 4" xfId="11518"/>
    <cellStyle name="40% - Accent1 9 3 4 2" xfId="22142"/>
    <cellStyle name="40% - Accent1 9 3 4 3" xfId="22141"/>
    <cellStyle name="40% - Accent1 9 3 5" xfId="22143"/>
    <cellStyle name="40% - Accent1 9 3 6" xfId="22136"/>
    <cellStyle name="40% - Accent1 9 4" xfId="6772"/>
    <cellStyle name="40% - Accent1 9 4 2" xfId="22145"/>
    <cellStyle name="40% - Accent1 9 4 3" xfId="22144"/>
    <cellStyle name="40% - Accent1 9 5" xfId="3645"/>
    <cellStyle name="40% - Accent1 9 5 2" xfId="22147"/>
    <cellStyle name="40% - Accent1 9 5 3" xfId="22146"/>
    <cellStyle name="40% - Accent1 9 6" xfId="10077"/>
    <cellStyle name="40% - Accent1 9 6 2" xfId="22149"/>
    <cellStyle name="40% - Accent1 9 6 3" xfId="22148"/>
    <cellStyle name="40% - Accent1 9 7" xfId="22150"/>
    <cellStyle name="40% - Accent1 9 8" xfId="22119"/>
    <cellStyle name="40% - Accent2" xfId="33" builtinId="35" customBuiltin="1"/>
    <cellStyle name="40% - Accent2 10" xfId="475"/>
    <cellStyle name="40% - Accent2 10 2" xfId="1182"/>
    <cellStyle name="40% - Accent2 10 2 2" xfId="2747"/>
    <cellStyle name="40% - Accent2 10 2 2 2" xfId="9032"/>
    <cellStyle name="40% - Accent2 10 2 2 2 2" xfId="22156"/>
    <cellStyle name="40% - Accent2 10 2 2 2 3" xfId="22155"/>
    <cellStyle name="40% - Accent2 10 2 2 3" xfId="5905"/>
    <cellStyle name="40% - Accent2 10 2 2 3 2" xfId="22158"/>
    <cellStyle name="40% - Accent2 10 2 2 3 3" xfId="22157"/>
    <cellStyle name="40% - Accent2 10 2 2 4" xfId="12215"/>
    <cellStyle name="40% - Accent2 10 2 2 4 2" xfId="22160"/>
    <cellStyle name="40% - Accent2 10 2 2 4 3" xfId="22159"/>
    <cellStyle name="40% - Accent2 10 2 2 5" xfId="22161"/>
    <cellStyle name="40% - Accent2 10 2 2 6" xfId="22154"/>
    <cellStyle name="40% - Accent2 10 2 3" xfId="7469"/>
    <cellStyle name="40% - Accent2 10 2 3 2" xfId="22163"/>
    <cellStyle name="40% - Accent2 10 2 3 3" xfId="22162"/>
    <cellStyle name="40% - Accent2 10 2 4" xfId="4342"/>
    <cellStyle name="40% - Accent2 10 2 4 2" xfId="22165"/>
    <cellStyle name="40% - Accent2 10 2 4 3" xfId="22164"/>
    <cellStyle name="40% - Accent2 10 2 5" xfId="10652"/>
    <cellStyle name="40% - Accent2 10 2 5 2" xfId="22167"/>
    <cellStyle name="40% - Accent2 10 2 5 3" xfId="22166"/>
    <cellStyle name="40% - Accent2 10 2 6" xfId="22168"/>
    <cellStyle name="40% - Accent2 10 2 7" xfId="22153"/>
    <cellStyle name="40% - Accent2 10 3" xfId="2067"/>
    <cellStyle name="40% - Accent2 10 3 2" xfId="8352"/>
    <cellStyle name="40% - Accent2 10 3 2 2" xfId="22171"/>
    <cellStyle name="40% - Accent2 10 3 2 3" xfId="22170"/>
    <cellStyle name="40% - Accent2 10 3 3" xfId="5225"/>
    <cellStyle name="40% - Accent2 10 3 3 2" xfId="22173"/>
    <cellStyle name="40% - Accent2 10 3 3 3" xfId="22172"/>
    <cellStyle name="40% - Accent2 10 3 4" xfId="11535"/>
    <cellStyle name="40% - Accent2 10 3 4 2" xfId="22175"/>
    <cellStyle name="40% - Accent2 10 3 4 3" xfId="22174"/>
    <cellStyle name="40% - Accent2 10 3 5" xfId="22176"/>
    <cellStyle name="40% - Accent2 10 3 6" xfId="22169"/>
    <cellStyle name="40% - Accent2 10 4" xfId="6789"/>
    <cellStyle name="40% - Accent2 10 4 2" xfId="22178"/>
    <cellStyle name="40% - Accent2 10 4 3" xfId="22177"/>
    <cellStyle name="40% - Accent2 10 5" xfId="3662"/>
    <cellStyle name="40% - Accent2 10 5 2" xfId="22180"/>
    <cellStyle name="40% - Accent2 10 5 3" xfId="22179"/>
    <cellStyle name="40% - Accent2 10 6" xfId="10094"/>
    <cellStyle name="40% - Accent2 10 6 2" xfId="22182"/>
    <cellStyle name="40% - Accent2 10 6 3" xfId="22181"/>
    <cellStyle name="40% - Accent2 10 7" xfId="22183"/>
    <cellStyle name="40% - Accent2 10 8" xfId="22152"/>
    <cellStyle name="40% - Accent2 11" xfId="490"/>
    <cellStyle name="40% - Accent2 11 2" xfId="1197"/>
    <cellStyle name="40% - Accent2 11 2 2" xfId="2762"/>
    <cellStyle name="40% - Accent2 11 2 2 2" xfId="9047"/>
    <cellStyle name="40% - Accent2 11 2 2 2 2" xfId="22188"/>
    <cellStyle name="40% - Accent2 11 2 2 2 3" xfId="22187"/>
    <cellStyle name="40% - Accent2 11 2 2 3" xfId="5920"/>
    <cellStyle name="40% - Accent2 11 2 2 3 2" xfId="22190"/>
    <cellStyle name="40% - Accent2 11 2 2 3 3" xfId="22189"/>
    <cellStyle name="40% - Accent2 11 2 2 4" xfId="12230"/>
    <cellStyle name="40% - Accent2 11 2 2 4 2" xfId="22192"/>
    <cellStyle name="40% - Accent2 11 2 2 4 3" xfId="22191"/>
    <cellStyle name="40% - Accent2 11 2 2 5" xfId="22193"/>
    <cellStyle name="40% - Accent2 11 2 2 6" xfId="22186"/>
    <cellStyle name="40% - Accent2 11 2 3" xfId="7484"/>
    <cellStyle name="40% - Accent2 11 2 3 2" xfId="22195"/>
    <cellStyle name="40% - Accent2 11 2 3 3" xfId="22194"/>
    <cellStyle name="40% - Accent2 11 2 4" xfId="4357"/>
    <cellStyle name="40% - Accent2 11 2 4 2" xfId="22197"/>
    <cellStyle name="40% - Accent2 11 2 4 3" xfId="22196"/>
    <cellStyle name="40% - Accent2 11 2 5" xfId="10667"/>
    <cellStyle name="40% - Accent2 11 2 5 2" xfId="22199"/>
    <cellStyle name="40% - Accent2 11 2 5 3" xfId="22198"/>
    <cellStyle name="40% - Accent2 11 2 6" xfId="22200"/>
    <cellStyle name="40% - Accent2 11 2 7" xfId="22185"/>
    <cellStyle name="40% - Accent2 11 3" xfId="2082"/>
    <cellStyle name="40% - Accent2 11 3 2" xfId="8367"/>
    <cellStyle name="40% - Accent2 11 3 2 2" xfId="22203"/>
    <cellStyle name="40% - Accent2 11 3 2 3" xfId="22202"/>
    <cellStyle name="40% - Accent2 11 3 3" xfId="5240"/>
    <cellStyle name="40% - Accent2 11 3 3 2" xfId="22205"/>
    <cellStyle name="40% - Accent2 11 3 3 3" xfId="22204"/>
    <cellStyle name="40% - Accent2 11 3 4" xfId="11550"/>
    <cellStyle name="40% - Accent2 11 3 4 2" xfId="22207"/>
    <cellStyle name="40% - Accent2 11 3 4 3" xfId="22206"/>
    <cellStyle name="40% - Accent2 11 3 5" xfId="22208"/>
    <cellStyle name="40% - Accent2 11 3 6" xfId="22201"/>
    <cellStyle name="40% - Accent2 11 4" xfId="6804"/>
    <cellStyle name="40% - Accent2 11 4 2" xfId="22210"/>
    <cellStyle name="40% - Accent2 11 4 3" xfId="22209"/>
    <cellStyle name="40% - Accent2 11 5" xfId="3677"/>
    <cellStyle name="40% - Accent2 11 5 2" xfId="22212"/>
    <cellStyle name="40% - Accent2 11 5 3" xfId="22211"/>
    <cellStyle name="40% - Accent2 11 6" xfId="10109"/>
    <cellStyle name="40% - Accent2 11 6 2" xfId="22214"/>
    <cellStyle name="40% - Accent2 11 6 3" xfId="22213"/>
    <cellStyle name="40% - Accent2 11 7" xfId="22215"/>
    <cellStyle name="40% - Accent2 11 8" xfId="22184"/>
    <cellStyle name="40% - Accent2 12" xfId="503"/>
    <cellStyle name="40% - Accent2 12 2" xfId="1210"/>
    <cellStyle name="40% - Accent2 12 2 2" xfId="2775"/>
    <cellStyle name="40% - Accent2 12 2 2 2" xfId="9060"/>
    <cellStyle name="40% - Accent2 12 2 2 2 2" xfId="22220"/>
    <cellStyle name="40% - Accent2 12 2 2 2 3" xfId="22219"/>
    <cellStyle name="40% - Accent2 12 2 2 3" xfId="5933"/>
    <cellStyle name="40% - Accent2 12 2 2 3 2" xfId="22222"/>
    <cellStyle name="40% - Accent2 12 2 2 3 3" xfId="22221"/>
    <cellStyle name="40% - Accent2 12 2 2 4" xfId="12243"/>
    <cellStyle name="40% - Accent2 12 2 2 4 2" xfId="22224"/>
    <cellStyle name="40% - Accent2 12 2 2 4 3" xfId="22223"/>
    <cellStyle name="40% - Accent2 12 2 2 5" xfId="22225"/>
    <cellStyle name="40% - Accent2 12 2 2 6" xfId="22218"/>
    <cellStyle name="40% - Accent2 12 2 3" xfId="7497"/>
    <cellStyle name="40% - Accent2 12 2 3 2" xfId="22227"/>
    <cellStyle name="40% - Accent2 12 2 3 3" xfId="22226"/>
    <cellStyle name="40% - Accent2 12 2 4" xfId="4370"/>
    <cellStyle name="40% - Accent2 12 2 4 2" xfId="22229"/>
    <cellStyle name="40% - Accent2 12 2 4 3" xfId="22228"/>
    <cellStyle name="40% - Accent2 12 2 5" xfId="10680"/>
    <cellStyle name="40% - Accent2 12 2 5 2" xfId="22231"/>
    <cellStyle name="40% - Accent2 12 2 5 3" xfId="22230"/>
    <cellStyle name="40% - Accent2 12 2 6" xfId="22232"/>
    <cellStyle name="40% - Accent2 12 2 7" xfId="22217"/>
    <cellStyle name="40% - Accent2 12 3" xfId="2095"/>
    <cellStyle name="40% - Accent2 12 3 2" xfId="8380"/>
    <cellStyle name="40% - Accent2 12 3 2 2" xfId="22235"/>
    <cellStyle name="40% - Accent2 12 3 2 3" xfId="22234"/>
    <cellStyle name="40% - Accent2 12 3 3" xfId="5253"/>
    <cellStyle name="40% - Accent2 12 3 3 2" xfId="22237"/>
    <cellStyle name="40% - Accent2 12 3 3 3" xfId="22236"/>
    <cellStyle name="40% - Accent2 12 3 4" xfId="11563"/>
    <cellStyle name="40% - Accent2 12 3 4 2" xfId="22239"/>
    <cellStyle name="40% - Accent2 12 3 4 3" xfId="22238"/>
    <cellStyle name="40% - Accent2 12 3 5" xfId="22240"/>
    <cellStyle name="40% - Accent2 12 3 6" xfId="22233"/>
    <cellStyle name="40% - Accent2 12 4" xfId="6817"/>
    <cellStyle name="40% - Accent2 12 4 2" xfId="22242"/>
    <cellStyle name="40% - Accent2 12 4 3" xfId="22241"/>
    <cellStyle name="40% - Accent2 12 5" xfId="3690"/>
    <cellStyle name="40% - Accent2 12 5 2" xfId="22244"/>
    <cellStyle name="40% - Accent2 12 5 3" xfId="22243"/>
    <cellStyle name="40% - Accent2 12 6" xfId="10122"/>
    <cellStyle name="40% - Accent2 12 6 2" xfId="22246"/>
    <cellStyle name="40% - Accent2 12 6 3" xfId="22245"/>
    <cellStyle name="40% - Accent2 12 7" xfId="22247"/>
    <cellStyle name="40% - Accent2 12 8" xfId="22216"/>
    <cellStyle name="40% - Accent2 13" xfId="517"/>
    <cellStyle name="40% - Accent2 13 2" xfId="1224"/>
    <cellStyle name="40% - Accent2 13 2 2" xfId="2789"/>
    <cellStyle name="40% - Accent2 13 2 2 2" xfId="9074"/>
    <cellStyle name="40% - Accent2 13 2 2 2 2" xfId="22252"/>
    <cellStyle name="40% - Accent2 13 2 2 2 3" xfId="22251"/>
    <cellStyle name="40% - Accent2 13 2 2 3" xfId="5947"/>
    <cellStyle name="40% - Accent2 13 2 2 3 2" xfId="22254"/>
    <cellStyle name="40% - Accent2 13 2 2 3 3" xfId="22253"/>
    <cellStyle name="40% - Accent2 13 2 2 4" xfId="12257"/>
    <cellStyle name="40% - Accent2 13 2 2 4 2" xfId="22256"/>
    <cellStyle name="40% - Accent2 13 2 2 4 3" xfId="22255"/>
    <cellStyle name="40% - Accent2 13 2 2 5" xfId="22257"/>
    <cellStyle name="40% - Accent2 13 2 2 6" xfId="22250"/>
    <cellStyle name="40% - Accent2 13 2 3" xfId="7511"/>
    <cellStyle name="40% - Accent2 13 2 3 2" xfId="22259"/>
    <cellStyle name="40% - Accent2 13 2 3 3" xfId="22258"/>
    <cellStyle name="40% - Accent2 13 2 4" xfId="4384"/>
    <cellStyle name="40% - Accent2 13 2 4 2" xfId="22261"/>
    <cellStyle name="40% - Accent2 13 2 4 3" xfId="22260"/>
    <cellStyle name="40% - Accent2 13 2 5" xfId="10694"/>
    <cellStyle name="40% - Accent2 13 2 5 2" xfId="22263"/>
    <cellStyle name="40% - Accent2 13 2 5 3" xfId="22262"/>
    <cellStyle name="40% - Accent2 13 2 6" xfId="22264"/>
    <cellStyle name="40% - Accent2 13 2 7" xfId="22249"/>
    <cellStyle name="40% - Accent2 13 3" xfId="2109"/>
    <cellStyle name="40% - Accent2 13 3 2" xfId="8394"/>
    <cellStyle name="40% - Accent2 13 3 2 2" xfId="22267"/>
    <cellStyle name="40% - Accent2 13 3 2 3" xfId="22266"/>
    <cellStyle name="40% - Accent2 13 3 3" xfId="5267"/>
    <cellStyle name="40% - Accent2 13 3 3 2" xfId="22269"/>
    <cellStyle name="40% - Accent2 13 3 3 3" xfId="22268"/>
    <cellStyle name="40% - Accent2 13 3 4" xfId="11577"/>
    <cellStyle name="40% - Accent2 13 3 4 2" xfId="22271"/>
    <cellStyle name="40% - Accent2 13 3 4 3" xfId="22270"/>
    <cellStyle name="40% - Accent2 13 3 5" xfId="22272"/>
    <cellStyle name="40% - Accent2 13 3 6" xfId="22265"/>
    <cellStyle name="40% - Accent2 13 4" xfId="6831"/>
    <cellStyle name="40% - Accent2 13 4 2" xfId="22274"/>
    <cellStyle name="40% - Accent2 13 4 3" xfId="22273"/>
    <cellStyle name="40% - Accent2 13 5" xfId="3704"/>
    <cellStyle name="40% - Accent2 13 5 2" xfId="22276"/>
    <cellStyle name="40% - Accent2 13 5 3" xfId="22275"/>
    <cellStyle name="40% - Accent2 13 6" xfId="10136"/>
    <cellStyle name="40% - Accent2 13 6 2" xfId="22278"/>
    <cellStyle name="40% - Accent2 13 6 3" xfId="22277"/>
    <cellStyle name="40% - Accent2 13 7" xfId="22279"/>
    <cellStyle name="40% - Accent2 13 8" xfId="22248"/>
    <cellStyle name="40% - Accent2 14" xfId="531"/>
    <cellStyle name="40% - Accent2 14 2" xfId="1238"/>
    <cellStyle name="40% - Accent2 14 2 2" xfId="2803"/>
    <cellStyle name="40% - Accent2 14 2 2 2" xfId="9088"/>
    <cellStyle name="40% - Accent2 14 2 2 2 2" xfId="22284"/>
    <cellStyle name="40% - Accent2 14 2 2 2 3" xfId="22283"/>
    <cellStyle name="40% - Accent2 14 2 2 3" xfId="5961"/>
    <cellStyle name="40% - Accent2 14 2 2 3 2" xfId="22286"/>
    <cellStyle name="40% - Accent2 14 2 2 3 3" xfId="22285"/>
    <cellStyle name="40% - Accent2 14 2 2 4" xfId="12271"/>
    <cellStyle name="40% - Accent2 14 2 2 4 2" xfId="22288"/>
    <cellStyle name="40% - Accent2 14 2 2 4 3" xfId="22287"/>
    <cellStyle name="40% - Accent2 14 2 2 5" xfId="22289"/>
    <cellStyle name="40% - Accent2 14 2 2 6" xfId="22282"/>
    <cellStyle name="40% - Accent2 14 2 3" xfId="7525"/>
    <cellStyle name="40% - Accent2 14 2 3 2" xfId="22291"/>
    <cellStyle name="40% - Accent2 14 2 3 3" xfId="22290"/>
    <cellStyle name="40% - Accent2 14 2 4" xfId="4398"/>
    <cellStyle name="40% - Accent2 14 2 4 2" xfId="22293"/>
    <cellStyle name="40% - Accent2 14 2 4 3" xfId="22292"/>
    <cellStyle name="40% - Accent2 14 2 5" xfId="10708"/>
    <cellStyle name="40% - Accent2 14 2 5 2" xfId="22295"/>
    <cellStyle name="40% - Accent2 14 2 5 3" xfId="22294"/>
    <cellStyle name="40% - Accent2 14 2 6" xfId="22296"/>
    <cellStyle name="40% - Accent2 14 2 7" xfId="22281"/>
    <cellStyle name="40% - Accent2 14 3" xfId="2123"/>
    <cellStyle name="40% - Accent2 14 3 2" xfId="8408"/>
    <cellStyle name="40% - Accent2 14 3 2 2" xfId="22299"/>
    <cellStyle name="40% - Accent2 14 3 2 3" xfId="22298"/>
    <cellStyle name="40% - Accent2 14 3 3" xfId="5281"/>
    <cellStyle name="40% - Accent2 14 3 3 2" xfId="22301"/>
    <cellStyle name="40% - Accent2 14 3 3 3" xfId="22300"/>
    <cellStyle name="40% - Accent2 14 3 4" xfId="11591"/>
    <cellStyle name="40% - Accent2 14 3 4 2" xfId="22303"/>
    <cellStyle name="40% - Accent2 14 3 4 3" xfId="22302"/>
    <cellStyle name="40% - Accent2 14 3 5" xfId="22304"/>
    <cellStyle name="40% - Accent2 14 3 6" xfId="22297"/>
    <cellStyle name="40% - Accent2 14 4" xfId="6845"/>
    <cellStyle name="40% - Accent2 14 4 2" xfId="22306"/>
    <cellStyle name="40% - Accent2 14 4 3" xfId="22305"/>
    <cellStyle name="40% - Accent2 14 5" xfId="3718"/>
    <cellStyle name="40% - Accent2 14 5 2" xfId="22308"/>
    <cellStyle name="40% - Accent2 14 5 3" xfId="22307"/>
    <cellStyle name="40% - Accent2 14 6" xfId="10150"/>
    <cellStyle name="40% - Accent2 14 6 2" xfId="22310"/>
    <cellStyle name="40% - Accent2 14 6 3" xfId="22309"/>
    <cellStyle name="40% - Accent2 14 7" xfId="22311"/>
    <cellStyle name="40% - Accent2 14 8" xfId="22280"/>
    <cellStyle name="40% - Accent2 15" xfId="545"/>
    <cellStyle name="40% - Accent2 15 2" xfId="1252"/>
    <cellStyle name="40% - Accent2 15 2 2" xfId="2817"/>
    <cellStyle name="40% - Accent2 15 2 2 2" xfId="9102"/>
    <cellStyle name="40% - Accent2 15 2 2 2 2" xfId="22316"/>
    <cellStyle name="40% - Accent2 15 2 2 2 3" xfId="22315"/>
    <cellStyle name="40% - Accent2 15 2 2 3" xfId="5975"/>
    <cellStyle name="40% - Accent2 15 2 2 3 2" xfId="22318"/>
    <cellStyle name="40% - Accent2 15 2 2 3 3" xfId="22317"/>
    <cellStyle name="40% - Accent2 15 2 2 4" xfId="12285"/>
    <cellStyle name="40% - Accent2 15 2 2 4 2" xfId="22320"/>
    <cellStyle name="40% - Accent2 15 2 2 4 3" xfId="22319"/>
    <cellStyle name="40% - Accent2 15 2 2 5" xfId="22321"/>
    <cellStyle name="40% - Accent2 15 2 2 6" xfId="22314"/>
    <cellStyle name="40% - Accent2 15 2 3" xfId="7539"/>
    <cellStyle name="40% - Accent2 15 2 3 2" xfId="22323"/>
    <cellStyle name="40% - Accent2 15 2 3 3" xfId="22322"/>
    <cellStyle name="40% - Accent2 15 2 4" xfId="4412"/>
    <cellStyle name="40% - Accent2 15 2 4 2" xfId="22325"/>
    <cellStyle name="40% - Accent2 15 2 4 3" xfId="22324"/>
    <cellStyle name="40% - Accent2 15 2 5" xfId="10722"/>
    <cellStyle name="40% - Accent2 15 2 5 2" xfId="22327"/>
    <cellStyle name="40% - Accent2 15 2 5 3" xfId="22326"/>
    <cellStyle name="40% - Accent2 15 2 6" xfId="22328"/>
    <cellStyle name="40% - Accent2 15 2 7" xfId="22313"/>
    <cellStyle name="40% - Accent2 15 3" xfId="2137"/>
    <cellStyle name="40% - Accent2 15 3 2" xfId="8422"/>
    <cellStyle name="40% - Accent2 15 3 2 2" xfId="22331"/>
    <cellStyle name="40% - Accent2 15 3 2 3" xfId="22330"/>
    <cellStyle name="40% - Accent2 15 3 3" xfId="5295"/>
    <cellStyle name="40% - Accent2 15 3 3 2" xfId="22333"/>
    <cellStyle name="40% - Accent2 15 3 3 3" xfId="22332"/>
    <cellStyle name="40% - Accent2 15 3 4" xfId="11605"/>
    <cellStyle name="40% - Accent2 15 3 4 2" xfId="22335"/>
    <cellStyle name="40% - Accent2 15 3 4 3" xfId="22334"/>
    <cellStyle name="40% - Accent2 15 3 5" xfId="22336"/>
    <cellStyle name="40% - Accent2 15 3 6" xfId="22329"/>
    <cellStyle name="40% - Accent2 15 4" xfId="6859"/>
    <cellStyle name="40% - Accent2 15 4 2" xfId="22338"/>
    <cellStyle name="40% - Accent2 15 4 3" xfId="22337"/>
    <cellStyle name="40% - Accent2 15 5" xfId="3732"/>
    <cellStyle name="40% - Accent2 15 5 2" xfId="22340"/>
    <cellStyle name="40% - Accent2 15 5 3" xfId="22339"/>
    <cellStyle name="40% - Accent2 15 6" xfId="10164"/>
    <cellStyle name="40% - Accent2 15 6 2" xfId="22342"/>
    <cellStyle name="40% - Accent2 15 6 3" xfId="22341"/>
    <cellStyle name="40% - Accent2 15 7" xfId="22343"/>
    <cellStyle name="40% - Accent2 15 8" xfId="22312"/>
    <cellStyle name="40% - Accent2 16" xfId="598"/>
    <cellStyle name="40% - Accent2 16 2" xfId="1305"/>
    <cellStyle name="40% - Accent2 16 2 2" xfId="2870"/>
    <cellStyle name="40% - Accent2 16 2 2 2" xfId="9155"/>
    <cellStyle name="40% - Accent2 16 2 2 2 2" xfId="22348"/>
    <cellStyle name="40% - Accent2 16 2 2 2 3" xfId="22347"/>
    <cellStyle name="40% - Accent2 16 2 2 3" xfId="6028"/>
    <cellStyle name="40% - Accent2 16 2 2 3 2" xfId="22350"/>
    <cellStyle name="40% - Accent2 16 2 2 3 3" xfId="22349"/>
    <cellStyle name="40% - Accent2 16 2 2 4" xfId="12338"/>
    <cellStyle name="40% - Accent2 16 2 2 4 2" xfId="22352"/>
    <cellStyle name="40% - Accent2 16 2 2 4 3" xfId="22351"/>
    <cellStyle name="40% - Accent2 16 2 2 5" xfId="22353"/>
    <cellStyle name="40% - Accent2 16 2 2 6" xfId="22346"/>
    <cellStyle name="40% - Accent2 16 2 3" xfId="7592"/>
    <cellStyle name="40% - Accent2 16 2 3 2" xfId="22355"/>
    <cellStyle name="40% - Accent2 16 2 3 3" xfId="22354"/>
    <cellStyle name="40% - Accent2 16 2 4" xfId="4465"/>
    <cellStyle name="40% - Accent2 16 2 4 2" xfId="22357"/>
    <cellStyle name="40% - Accent2 16 2 4 3" xfId="22356"/>
    <cellStyle name="40% - Accent2 16 2 5" xfId="10775"/>
    <cellStyle name="40% - Accent2 16 2 5 2" xfId="22359"/>
    <cellStyle name="40% - Accent2 16 2 5 3" xfId="22358"/>
    <cellStyle name="40% - Accent2 16 2 6" xfId="22360"/>
    <cellStyle name="40% - Accent2 16 2 7" xfId="22345"/>
    <cellStyle name="40% - Accent2 16 3" xfId="2190"/>
    <cellStyle name="40% - Accent2 16 3 2" xfId="8475"/>
    <cellStyle name="40% - Accent2 16 3 2 2" xfId="22363"/>
    <cellStyle name="40% - Accent2 16 3 2 3" xfId="22362"/>
    <cellStyle name="40% - Accent2 16 3 3" xfId="5348"/>
    <cellStyle name="40% - Accent2 16 3 3 2" xfId="22365"/>
    <cellStyle name="40% - Accent2 16 3 3 3" xfId="22364"/>
    <cellStyle name="40% - Accent2 16 3 4" xfId="11658"/>
    <cellStyle name="40% - Accent2 16 3 4 2" xfId="22367"/>
    <cellStyle name="40% - Accent2 16 3 4 3" xfId="22366"/>
    <cellStyle name="40% - Accent2 16 3 5" xfId="22368"/>
    <cellStyle name="40% - Accent2 16 3 6" xfId="22361"/>
    <cellStyle name="40% - Accent2 16 4" xfId="6912"/>
    <cellStyle name="40% - Accent2 16 4 2" xfId="22370"/>
    <cellStyle name="40% - Accent2 16 4 3" xfId="22369"/>
    <cellStyle name="40% - Accent2 16 5" xfId="3785"/>
    <cellStyle name="40% - Accent2 16 5 2" xfId="22372"/>
    <cellStyle name="40% - Accent2 16 5 3" xfId="22371"/>
    <cellStyle name="40% - Accent2 16 6" xfId="10217"/>
    <cellStyle name="40% - Accent2 16 6 2" xfId="22374"/>
    <cellStyle name="40% - Accent2 16 6 3" xfId="22373"/>
    <cellStyle name="40% - Accent2 16 7" xfId="22375"/>
    <cellStyle name="40% - Accent2 16 8" xfId="22344"/>
    <cellStyle name="40% - Accent2 17" xfId="657"/>
    <cellStyle name="40% - Accent2 17 2" xfId="1362"/>
    <cellStyle name="40% - Accent2 17 2 2" xfId="2927"/>
    <cellStyle name="40% - Accent2 17 2 2 2" xfId="9212"/>
    <cellStyle name="40% - Accent2 17 2 2 2 2" xfId="22380"/>
    <cellStyle name="40% - Accent2 17 2 2 2 3" xfId="22379"/>
    <cellStyle name="40% - Accent2 17 2 2 3" xfId="6085"/>
    <cellStyle name="40% - Accent2 17 2 2 3 2" xfId="22382"/>
    <cellStyle name="40% - Accent2 17 2 2 3 3" xfId="22381"/>
    <cellStyle name="40% - Accent2 17 2 2 4" xfId="12395"/>
    <cellStyle name="40% - Accent2 17 2 2 4 2" xfId="22384"/>
    <cellStyle name="40% - Accent2 17 2 2 4 3" xfId="22383"/>
    <cellStyle name="40% - Accent2 17 2 2 5" xfId="22385"/>
    <cellStyle name="40% - Accent2 17 2 2 6" xfId="22378"/>
    <cellStyle name="40% - Accent2 17 2 3" xfId="7649"/>
    <cellStyle name="40% - Accent2 17 2 3 2" xfId="22387"/>
    <cellStyle name="40% - Accent2 17 2 3 3" xfId="22386"/>
    <cellStyle name="40% - Accent2 17 2 4" xfId="4522"/>
    <cellStyle name="40% - Accent2 17 2 4 2" xfId="22389"/>
    <cellStyle name="40% - Accent2 17 2 4 3" xfId="22388"/>
    <cellStyle name="40% - Accent2 17 2 5" xfId="10832"/>
    <cellStyle name="40% - Accent2 17 2 5 2" xfId="22391"/>
    <cellStyle name="40% - Accent2 17 2 5 3" xfId="22390"/>
    <cellStyle name="40% - Accent2 17 2 6" xfId="22392"/>
    <cellStyle name="40% - Accent2 17 2 7" xfId="22377"/>
    <cellStyle name="40% - Accent2 17 3" xfId="2247"/>
    <cellStyle name="40% - Accent2 17 3 2" xfId="8532"/>
    <cellStyle name="40% - Accent2 17 3 2 2" xfId="22395"/>
    <cellStyle name="40% - Accent2 17 3 2 3" xfId="22394"/>
    <cellStyle name="40% - Accent2 17 3 3" xfId="5405"/>
    <cellStyle name="40% - Accent2 17 3 3 2" xfId="22397"/>
    <cellStyle name="40% - Accent2 17 3 3 3" xfId="22396"/>
    <cellStyle name="40% - Accent2 17 3 4" xfId="11715"/>
    <cellStyle name="40% - Accent2 17 3 4 2" xfId="22399"/>
    <cellStyle name="40% - Accent2 17 3 4 3" xfId="22398"/>
    <cellStyle name="40% - Accent2 17 3 5" xfId="22400"/>
    <cellStyle name="40% - Accent2 17 3 6" xfId="22393"/>
    <cellStyle name="40% - Accent2 17 4" xfId="6969"/>
    <cellStyle name="40% - Accent2 17 4 2" xfId="22402"/>
    <cellStyle name="40% - Accent2 17 4 3" xfId="22401"/>
    <cellStyle name="40% - Accent2 17 5" xfId="3842"/>
    <cellStyle name="40% - Accent2 17 5 2" xfId="22404"/>
    <cellStyle name="40% - Accent2 17 5 3" xfId="22403"/>
    <cellStyle name="40% - Accent2 17 6" xfId="10275"/>
    <cellStyle name="40% - Accent2 17 6 2" xfId="22406"/>
    <cellStyle name="40% - Accent2 17 6 3" xfId="22405"/>
    <cellStyle name="40% - Accent2 17 7" xfId="22407"/>
    <cellStyle name="40% - Accent2 17 8" xfId="22376"/>
    <cellStyle name="40% - Accent2 18" xfId="844"/>
    <cellStyle name="40% - Accent2 18 2" xfId="2410"/>
    <cellStyle name="40% - Accent2 18 2 2" xfId="8695"/>
    <cellStyle name="40% - Accent2 18 2 2 2" xfId="22411"/>
    <cellStyle name="40% - Accent2 18 2 2 3" xfId="22410"/>
    <cellStyle name="40% - Accent2 18 2 3" xfId="5568"/>
    <cellStyle name="40% - Accent2 18 2 3 2" xfId="22413"/>
    <cellStyle name="40% - Accent2 18 2 3 3" xfId="22412"/>
    <cellStyle name="40% - Accent2 18 2 4" xfId="11878"/>
    <cellStyle name="40% - Accent2 18 2 4 2" xfId="22415"/>
    <cellStyle name="40% - Accent2 18 2 4 3" xfId="22414"/>
    <cellStyle name="40% - Accent2 18 2 5" xfId="22416"/>
    <cellStyle name="40% - Accent2 18 2 6" xfId="22409"/>
    <cellStyle name="40% - Accent2 18 3" xfId="7132"/>
    <cellStyle name="40% - Accent2 18 3 2" xfId="22418"/>
    <cellStyle name="40% - Accent2 18 3 3" xfId="22417"/>
    <cellStyle name="40% - Accent2 18 4" xfId="4005"/>
    <cellStyle name="40% - Accent2 18 4 2" xfId="22420"/>
    <cellStyle name="40% - Accent2 18 4 3" xfId="22419"/>
    <cellStyle name="40% - Accent2 18 5" xfId="10315"/>
    <cellStyle name="40% - Accent2 18 5 2" xfId="22422"/>
    <cellStyle name="40% - Accent2 18 5 3" xfId="22421"/>
    <cellStyle name="40% - Accent2 18 6" xfId="22423"/>
    <cellStyle name="40% - Accent2 18 7" xfId="22408"/>
    <cellStyle name="40% - Accent2 19" xfId="1564"/>
    <cellStyle name="40% - Accent2 19 2" xfId="3129"/>
    <cellStyle name="40% - Accent2 19 2 2" xfId="9414"/>
    <cellStyle name="40% - Accent2 19 2 2 2" xfId="22427"/>
    <cellStyle name="40% - Accent2 19 2 2 3" xfId="22426"/>
    <cellStyle name="40% - Accent2 19 2 3" xfId="6287"/>
    <cellStyle name="40% - Accent2 19 2 3 2" xfId="22429"/>
    <cellStyle name="40% - Accent2 19 2 3 3" xfId="22428"/>
    <cellStyle name="40% - Accent2 19 2 4" xfId="12597"/>
    <cellStyle name="40% - Accent2 19 2 4 2" xfId="22431"/>
    <cellStyle name="40% - Accent2 19 2 4 3" xfId="22430"/>
    <cellStyle name="40% - Accent2 19 2 5" xfId="22432"/>
    <cellStyle name="40% - Accent2 19 2 6" xfId="22425"/>
    <cellStyle name="40% - Accent2 19 3" xfId="7851"/>
    <cellStyle name="40% - Accent2 19 3 2" xfId="22434"/>
    <cellStyle name="40% - Accent2 19 3 3" xfId="22433"/>
    <cellStyle name="40% - Accent2 19 4" xfId="4724"/>
    <cellStyle name="40% - Accent2 19 4 2" xfId="22436"/>
    <cellStyle name="40% - Accent2 19 4 3" xfId="22435"/>
    <cellStyle name="40% - Accent2 19 5" xfId="11034"/>
    <cellStyle name="40% - Accent2 19 5 2" xfId="22438"/>
    <cellStyle name="40% - Accent2 19 5 3" xfId="22437"/>
    <cellStyle name="40% - Accent2 19 6" xfId="22439"/>
    <cellStyle name="40% - Accent2 19 7" xfId="22424"/>
    <cellStyle name="40% - Accent2 2" xfId="58"/>
    <cellStyle name="40% - Accent2 2 10" xfId="1742"/>
    <cellStyle name="40% - Accent2 2 10 2" xfId="8028"/>
    <cellStyle name="40% - Accent2 2 10 2 2" xfId="22443"/>
    <cellStyle name="40% - Accent2 2 10 2 3" xfId="22442"/>
    <cellStyle name="40% - Accent2 2 10 3" xfId="4901"/>
    <cellStyle name="40% - Accent2 2 10 3 2" xfId="22445"/>
    <cellStyle name="40% - Accent2 2 10 3 3" xfId="22444"/>
    <cellStyle name="40% - Accent2 2 10 4" xfId="11211"/>
    <cellStyle name="40% - Accent2 2 10 4 2" xfId="22447"/>
    <cellStyle name="40% - Accent2 2 10 4 3" xfId="22446"/>
    <cellStyle name="40% - Accent2 2 10 5" xfId="22448"/>
    <cellStyle name="40% - Accent2 2 10 6" xfId="22441"/>
    <cellStyle name="40% - Accent2 2 11" xfId="120"/>
    <cellStyle name="40% - Accent2 2 11 2" xfId="6465"/>
    <cellStyle name="40% - Accent2 2 11 2 2" xfId="22451"/>
    <cellStyle name="40% - Accent2 2 11 2 3" xfId="22450"/>
    <cellStyle name="40% - Accent2 2 11 3" xfId="22452"/>
    <cellStyle name="40% - Accent2 2 11 4" xfId="22449"/>
    <cellStyle name="40% - Accent2 2 12" xfId="3311"/>
    <cellStyle name="40% - Accent2 2 12 2" xfId="22454"/>
    <cellStyle name="40% - Accent2 2 12 3" xfId="22453"/>
    <cellStyle name="40% - Accent2 2 13" xfId="3338"/>
    <cellStyle name="40% - Accent2 2 13 2" xfId="22456"/>
    <cellStyle name="40% - Accent2 2 13 3" xfId="22455"/>
    <cellStyle name="40% - Accent2 2 14" xfId="9611"/>
    <cellStyle name="40% - Accent2 2 14 2" xfId="22458"/>
    <cellStyle name="40% - Accent2 2 14 3" xfId="22457"/>
    <cellStyle name="40% - Accent2 2 15" xfId="22459"/>
    <cellStyle name="40% - Accent2 2 16" xfId="22440"/>
    <cellStyle name="40% - Accent2 2 17" xfId="38142"/>
    <cellStyle name="40% - Accent2 2 2" xfId="91"/>
    <cellStyle name="40% - Accent2 2 2 2" xfId="303"/>
    <cellStyle name="40% - Accent2 2 2 2 2" xfId="1013"/>
    <cellStyle name="40% - Accent2 2 2 2 2 2" xfId="2579"/>
    <cellStyle name="40% - Accent2 2 2 2 2 2 2" xfId="8864"/>
    <cellStyle name="40% - Accent2 2 2 2 2 2 2 2" xfId="22465"/>
    <cellStyle name="40% - Accent2 2 2 2 2 2 2 3" xfId="22464"/>
    <cellStyle name="40% - Accent2 2 2 2 2 2 3" xfId="5737"/>
    <cellStyle name="40% - Accent2 2 2 2 2 2 3 2" xfId="22467"/>
    <cellStyle name="40% - Accent2 2 2 2 2 2 3 3" xfId="22466"/>
    <cellStyle name="40% - Accent2 2 2 2 2 2 4" xfId="12047"/>
    <cellStyle name="40% - Accent2 2 2 2 2 2 4 2" xfId="22469"/>
    <cellStyle name="40% - Accent2 2 2 2 2 2 4 3" xfId="22468"/>
    <cellStyle name="40% - Accent2 2 2 2 2 2 5" xfId="22470"/>
    <cellStyle name="40% - Accent2 2 2 2 2 2 6" xfId="22463"/>
    <cellStyle name="40% - Accent2 2 2 2 2 3" xfId="7301"/>
    <cellStyle name="40% - Accent2 2 2 2 2 3 2" xfId="22472"/>
    <cellStyle name="40% - Accent2 2 2 2 2 3 3" xfId="22471"/>
    <cellStyle name="40% - Accent2 2 2 2 2 4" xfId="4174"/>
    <cellStyle name="40% - Accent2 2 2 2 2 4 2" xfId="22474"/>
    <cellStyle name="40% - Accent2 2 2 2 2 4 3" xfId="22473"/>
    <cellStyle name="40% - Accent2 2 2 2 2 5" xfId="10484"/>
    <cellStyle name="40% - Accent2 2 2 2 2 5 2" xfId="22476"/>
    <cellStyle name="40% - Accent2 2 2 2 2 5 3" xfId="22475"/>
    <cellStyle name="40% - Accent2 2 2 2 2 6" xfId="22477"/>
    <cellStyle name="40% - Accent2 2 2 2 2 7" xfId="22462"/>
    <cellStyle name="40% - Accent2 2 2 2 3" xfId="1899"/>
    <cellStyle name="40% - Accent2 2 2 2 3 2" xfId="8184"/>
    <cellStyle name="40% - Accent2 2 2 2 3 2 2" xfId="22480"/>
    <cellStyle name="40% - Accent2 2 2 2 3 2 3" xfId="22479"/>
    <cellStyle name="40% - Accent2 2 2 2 3 3" xfId="5057"/>
    <cellStyle name="40% - Accent2 2 2 2 3 3 2" xfId="22482"/>
    <cellStyle name="40% - Accent2 2 2 2 3 3 3" xfId="22481"/>
    <cellStyle name="40% - Accent2 2 2 2 3 4" xfId="11367"/>
    <cellStyle name="40% - Accent2 2 2 2 3 4 2" xfId="22484"/>
    <cellStyle name="40% - Accent2 2 2 2 3 4 3" xfId="22483"/>
    <cellStyle name="40% - Accent2 2 2 2 3 5" xfId="22485"/>
    <cellStyle name="40% - Accent2 2 2 2 3 6" xfId="22478"/>
    <cellStyle name="40% - Accent2 2 2 2 4" xfId="6621"/>
    <cellStyle name="40% - Accent2 2 2 2 4 2" xfId="22487"/>
    <cellStyle name="40% - Accent2 2 2 2 4 3" xfId="22486"/>
    <cellStyle name="40% - Accent2 2 2 2 5" xfId="3494"/>
    <cellStyle name="40% - Accent2 2 2 2 5 2" xfId="22489"/>
    <cellStyle name="40% - Accent2 2 2 2 5 3" xfId="22488"/>
    <cellStyle name="40% - Accent2 2 2 2 6" xfId="9835"/>
    <cellStyle name="40% - Accent2 2 2 2 6 2" xfId="22491"/>
    <cellStyle name="40% - Accent2 2 2 2 6 3" xfId="22490"/>
    <cellStyle name="40% - Accent2 2 2 2 7" xfId="22492"/>
    <cellStyle name="40% - Accent2 2 2 2 8" xfId="22461"/>
    <cellStyle name="40% - Accent2 2 2 3" xfId="903"/>
    <cellStyle name="40% - Accent2 2 2 3 2" xfId="2469"/>
    <cellStyle name="40% - Accent2 2 2 3 2 2" xfId="8754"/>
    <cellStyle name="40% - Accent2 2 2 3 2 2 2" xfId="22496"/>
    <cellStyle name="40% - Accent2 2 2 3 2 2 3" xfId="22495"/>
    <cellStyle name="40% - Accent2 2 2 3 2 3" xfId="5627"/>
    <cellStyle name="40% - Accent2 2 2 3 2 3 2" xfId="22498"/>
    <cellStyle name="40% - Accent2 2 2 3 2 3 3" xfId="22497"/>
    <cellStyle name="40% - Accent2 2 2 3 2 4" xfId="11937"/>
    <cellStyle name="40% - Accent2 2 2 3 2 4 2" xfId="22500"/>
    <cellStyle name="40% - Accent2 2 2 3 2 4 3" xfId="22499"/>
    <cellStyle name="40% - Accent2 2 2 3 2 5" xfId="22501"/>
    <cellStyle name="40% - Accent2 2 2 3 2 6" xfId="22494"/>
    <cellStyle name="40% - Accent2 2 2 3 3" xfId="7191"/>
    <cellStyle name="40% - Accent2 2 2 3 3 2" xfId="22503"/>
    <cellStyle name="40% - Accent2 2 2 3 3 3" xfId="22502"/>
    <cellStyle name="40% - Accent2 2 2 3 4" xfId="4064"/>
    <cellStyle name="40% - Accent2 2 2 3 4 2" xfId="22505"/>
    <cellStyle name="40% - Accent2 2 2 3 4 3" xfId="22504"/>
    <cellStyle name="40% - Accent2 2 2 3 5" xfId="10374"/>
    <cellStyle name="40% - Accent2 2 2 3 5 2" xfId="22507"/>
    <cellStyle name="40% - Accent2 2 2 3 5 3" xfId="22506"/>
    <cellStyle name="40% - Accent2 2 2 3 6" xfId="22508"/>
    <cellStyle name="40% - Accent2 2 2 3 7" xfId="22493"/>
    <cellStyle name="40% - Accent2 2 2 4" xfId="1789"/>
    <cellStyle name="40% - Accent2 2 2 4 2" xfId="8074"/>
    <cellStyle name="40% - Accent2 2 2 4 2 2" xfId="22511"/>
    <cellStyle name="40% - Accent2 2 2 4 2 3" xfId="22510"/>
    <cellStyle name="40% - Accent2 2 2 4 3" xfId="4947"/>
    <cellStyle name="40% - Accent2 2 2 4 3 2" xfId="22513"/>
    <cellStyle name="40% - Accent2 2 2 4 3 3" xfId="22512"/>
    <cellStyle name="40% - Accent2 2 2 4 4" xfId="11257"/>
    <cellStyle name="40% - Accent2 2 2 4 4 2" xfId="22515"/>
    <cellStyle name="40% - Accent2 2 2 4 4 3" xfId="22514"/>
    <cellStyle name="40% - Accent2 2 2 4 5" xfId="22516"/>
    <cellStyle name="40% - Accent2 2 2 4 6" xfId="22509"/>
    <cellStyle name="40% - Accent2 2 2 5" xfId="167"/>
    <cellStyle name="40% - Accent2 2 2 5 2" xfId="6511"/>
    <cellStyle name="40% - Accent2 2 2 5 2 2" xfId="22519"/>
    <cellStyle name="40% - Accent2 2 2 5 2 3" xfId="22518"/>
    <cellStyle name="40% - Accent2 2 2 5 3" xfId="22520"/>
    <cellStyle name="40% - Accent2 2 2 5 4" xfId="22517"/>
    <cellStyle name="40% - Accent2 2 2 6" xfId="3384"/>
    <cellStyle name="40% - Accent2 2 2 6 2" xfId="22522"/>
    <cellStyle name="40% - Accent2 2 2 6 3" xfId="22521"/>
    <cellStyle name="40% - Accent2 2 2 7" xfId="9916"/>
    <cellStyle name="40% - Accent2 2 2 7 2" xfId="22524"/>
    <cellStyle name="40% - Accent2 2 2 7 3" xfId="22523"/>
    <cellStyle name="40% - Accent2 2 2 8" xfId="22525"/>
    <cellStyle name="40% - Accent2 2 2 9" xfId="22460"/>
    <cellStyle name="40% - Accent2 2 3" xfId="243"/>
    <cellStyle name="40% - Accent2 2 3 2" xfId="954"/>
    <cellStyle name="40% - Accent2 2 3 2 2" xfId="2520"/>
    <cellStyle name="40% - Accent2 2 3 2 2 2" xfId="8805"/>
    <cellStyle name="40% - Accent2 2 3 2 2 2 2" xfId="22530"/>
    <cellStyle name="40% - Accent2 2 3 2 2 2 3" xfId="22529"/>
    <cellStyle name="40% - Accent2 2 3 2 2 3" xfId="5678"/>
    <cellStyle name="40% - Accent2 2 3 2 2 3 2" xfId="22532"/>
    <cellStyle name="40% - Accent2 2 3 2 2 3 3" xfId="22531"/>
    <cellStyle name="40% - Accent2 2 3 2 2 4" xfId="11988"/>
    <cellStyle name="40% - Accent2 2 3 2 2 4 2" xfId="22534"/>
    <cellStyle name="40% - Accent2 2 3 2 2 4 3" xfId="22533"/>
    <cellStyle name="40% - Accent2 2 3 2 2 5" xfId="22535"/>
    <cellStyle name="40% - Accent2 2 3 2 2 6" xfId="22528"/>
    <cellStyle name="40% - Accent2 2 3 2 3" xfId="7242"/>
    <cellStyle name="40% - Accent2 2 3 2 3 2" xfId="22537"/>
    <cellStyle name="40% - Accent2 2 3 2 3 3" xfId="22536"/>
    <cellStyle name="40% - Accent2 2 3 2 4" xfId="4115"/>
    <cellStyle name="40% - Accent2 2 3 2 4 2" xfId="22539"/>
    <cellStyle name="40% - Accent2 2 3 2 4 3" xfId="22538"/>
    <cellStyle name="40% - Accent2 2 3 2 5" xfId="10425"/>
    <cellStyle name="40% - Accent2 2 3 2 5 2" xfId="22541"/>
    <cellStyle name="40% - Accent2 2 3 2 5 3" xfId="22540"/>
    <cellStyle name="40% - Accent2 2 3 2 6" xfId="22542"/>
    <cellStyle name="40% - Accent2 2 3 2 7" xfId="22527"/>
    <cellStyle name="40% - Accent2 2 3 3" xfId="1840"/>
    <cellStyle name="40% - Accent2 2 3 3 2" xfId="8125"/>
    <cellStyle name="40% - Accent2 2 3 3 2 2" xfId="22545"/>
    <cellStyle name="40% - Accent2 2 3 3 2 3" xfId="22544"/>
    <cellStyle name="40% - Accent2 2 3 3 3" xfId="4998"/>
    <cellStyle name="40% - Accent2 2 3 3 3 2" xfId="22547"/>
    <cellStyle name="40% - Accent2 2 3 3 3 3" xfId="22546"/>
    <cellStyle name="40% - Accent2 2 3 3 4" xfId="11308"/>
    <cellStyle name="40% - Accent2 2 3 3 4 2" xfId="22549"/>
    <cellStyle name="40% - Accent2 2 3 3 4 3" xfId="22548"/>
    <cellStyle name="40% - Accent2 2 3 3 5" xfId="22550"/>
    <cellStyle name="40% - Accent2 2 3 3 6" xfId="22543"/>
    <cellStyle name="40% - Accent2 2 3 4" xfId="6562"/>
    <cellStyle name="40% - Accent2 2 3 4 2" xfId="22552"/>
    <cellStyle name="40% - Accent2 2 3 4 3" xfId="22551"/>
    <cellStyle name="40% - Accent2 2 3 5" xfId="3435"/>
    <cellStyle name="40% - Accent2 2 3 5 2" xfId="22554"/>
    <cellStyle name="40% - Accent2 2 3 5 3" xfId="22553"/>
    <cellStyle name="40% - Accent2 2 3 6" xfId="9953"/>
    <cellStyle name="40% - Accent2 2 3 6 2" xfId="22556"/>
    <cellStyle name="40% - Accent2 2 3 6 3" xfId="22555"/>
    <cellStyle name="40% - Accent2 2 3 7" xfId="22557"/>
    <cellStyle name="40% - Accent2 2 3 8" xfId="22526"/>
    <cellStyle name="40% - Accent2 2 4" xfId="350"/>
    <cellStyle name="40% - Accent2 2 4 2" xfId="1058"/>
    <cellStyle name="40% - Accent2 2 4 2 2" xfId="2624"/>
    <cellStyle name="40% - Accent2 2 4 2 2 2" xfId="8909"/>
    <cellStyle name="40% - Accent2 2 4 2 2 2 2" xfId="22562"/>
    <cellStyle name="40% - Accent2 2 4 2 2 2 3" xfId="22561"/>
    <cellStyle name="40% - Accent2 2 4 2 2 3" xfId="5782"/>
    <cellStyle name="40% - Accent2 2 4 2 2 3 2" xfId="22564"/>
    <cellStyle name="40% - Accent2 2 4 2 2 3 3" xfId="22563"/>
    <cellStyle name="40% - Accent2 2 4 2 2 4" xfId="12092"/>
    <cellStyle name="40% - Accent2 2 4 2 2 4 2" xfId="22566"/>
    <cellStyle name="40% - Accent2 2 4 2 2 4 3" xfId="22565"/>
    <cellStyle name="40% - Accent2 2 4 2 2 5" xfId="22567"/>
    <cellStyle name="40% - Accent2 2 4 2 2 6" xfId="22560"/>
    <cellStyle name="40% - Accent2 2 4 2 3" xfId="7346"/>
    <cellStyle name="40% - Accent2 2 4 2 3 2" xfId="22569"/>
    <cellStyle name="40% - Accent2 2 4 2 3 3" xfId="22568"/>
    <cellStyle name="40% - Accent2 2 4 2 4" xfId="4219"/>
    <cellStyle name="40% - Accent2 2 4 2 4 2" xfId="22571"/>
    <cellStyle name="40% - Accent2 2 4 2 4 3" xfId="22570"/>
    <cellStyle name="40% - Accent2 2 4 2 5" xfId="10529"/>
    <cellStyle name="40% - Accent2 2 4 2 5 2" xfId="22573"/>
    <cellStyle name="40% - Accent2 2 4 2 5 3" xfId="22572"/>
    <cellStyle name="40% - Accent2 2 4 2 6" xfId="22574"/>
    <cellStyle name="40% - Accent2 2 4 2 7" xfId="22559"/>
    <cellStyle name="40% - Accent2 2 4 3" xfId="1944"/>
    <cellStyle name="40% - Accent2 2 4 3 2" xfId="8229"/>
    <cellStyle name="40% - Accent2 2 4 3 2 2" xfId="22577"/>
    <cellStyle name="40% - Accent2 2 4 3 2 3" xfId="22576"/>
    <cellStyle name="40% - Accent2 2 4 3 3" xfId="5102"/>
    <cellStyle name="40% - Accent2 2 4 3 3 2" xfId="22579"/>
    <cellStyle name="40% - Accent2 2 4 3 3 3" xfId="22578"/>
    <cellStyle name="40% - Accent2 2 4 3 4" xfId="11412"/>
    <cellStyle name="40% - Accent2 2 4 3 4 2" xfId="22581"/>
    <cellStyle name="40% - Accent2 2 4 3 4 3" xfId="22580"/>
    <cellStyle name="40% - Accent2 2 4 3 5" xfId="22582"/>
    <cellStyle name="40% - Accent2 2 4 3 6" xfId="22575"/>
    <cellStyle name="40% - Accent2 2 4 4" xfId="6666"/>
    <cellStyle name="40% - Accent2 2 4 4 2" xfId="22584"/>
    <cellStyle name="40% - Accent2 2 4 4 3" xfId="22583"/>
    <cellStyle name="40% - Accent2 2 4 5" xfId="3539"/>
    <cellStyle name="40% - Accent2 2 4 5 2" xfId="22586"/>
    <cellStyle name="40% - Accent2 2 4 5 3" xfId="22585"/>
    <cellStyle name="40% - Accent2 2 4 6" xfId="9971"/>
    <cellStyle name="40% - Accent2 2 4 6 2" xfId="22588"/>
    <cellStyle name="40% - Accent2 2 4 6 3" xfId="22587"/>
    <cellStyle name="40% - Accent2 2 4 7" xfId="22589"/>
    <cellStyle name="40% - Accent2 2 4 8" xfId="22558"/>
    <cellStyle name="40% - Accent2 2 5" xfId="403"/>
    <cellStyle name="40% - Accent2 2 5 2" xfId="1110"/>
    <cellStyle name="40% - Accent2 2 5 2 2" xfId="2675"/>
    <cellStyle name="40% - Accent2 2 5 2 2 2" xfId="8960"/>
    <cellStyle name="40% - Accent2 2 5 2 2 2 2" xfId="22594"/>
    <cellStyle name="40% - Accent2 2 5 2 2 2 3" xfId="22593"/>
    <cellStyle name="40% - Accent2 2 5 2 2 3" xfId="5833"/>
    <cellStyle name="40% - Accent2 2 5 2 2 3 2" xfId="22596"/>
    <cellStyle name="40% - Accent2 2 5 2 2 3 3" xfId="22595"/>
    <cellStyle name="40% - Accent2 2 5 2 2 4" xfId="12143"/>
    <cellStyle name="40% - Accent2 2 5 2 2 4 2" xfId="22598"/>
    <cellStyle name="40% - Accent2 2 5 2 2 4 3" xfId="22597"/>
    <cellStyle name="40% - Accent2 2 5 2 2 5" xfId="22599"/>
    <cellStyle name="40% - Accent2 2 5 2 2 6" xfId="22592"/>
    <cellStyle name="40% - Accent2 2 5 2 3" xfId="7397"/>
    <cellStyle name="40% - Accent2 2 5 2 3 2" xfId="22601"/>
    <cellStyle name="40% - Accent2 2 5 2 3 3" xfId="22600"/>
    <cellStyle name="40% - Accent2 2 5 2 4" xfId="4270"/>
    <cellStyle name="40% - Accent2 2 5 2 4 2" xfId="22603"/>
    <cellStyle name="40% - Accent2 2 5 2 4 3" xfId="22602"/>
    <cellStyle name="40% - Accent2 2 5 2 5" xfId="10580"/>
    <cellStyle name="40% - Accent2 2 5 2 5 2" xfId="22605"/>
    <cellStyle name="40% - Accent2 2 5 2 5 3" xfId="22604"/>
    <cellStyle name="40% - Accent2 2 5 2 6" xfId="22606"/>
    <cellStyle name="40% - Accent2 2 5 2 7" xfId="22591"/>
    <cellStyle name="40% - Accent2 2 5 3" xfId="1995"/>
    <cellStyle name="40% - Accent2 2 5 3 2" xfId="8280"/>
    <cellStyle name="40% - Accent2 2 5 3 2 2" xfId="22609"/>
    <cellStyle name="40% - Accent2 2 5 3 2 3" xfId="22608"/>
    <cellStyle name="40% - Accent2 2 5 3 3" xfId="5153"/>
    <cellStyle name="40% - Accent2 2 5 3 3 2" xfId="22611"/>
    <cellStyle name="40% - Accent2 2 5 3 3 3" xfId="22610"/>
    <cellStyle name="40% - Accent2 2 5 3 4" xfId="11463"/>
    <cellStyle name="40% - Accent2 2 5 3 4 2" xfId="22613"/>
    <cellStyle name="40% - Accent2 2 5 3 4 3" xfId="22612"/>
    <cellStyle name="40% - Accent2 2 5 3 5" xfId="22614"/>
    <cellStyle name="40% - Accent2 2 5 3 6" xfId="22607"/>
    <cellStyle name="40% - Accent2 2 5 4" xfId="6717"/>
    <cellStyle name="40% - Accent2 2 5 4 2" xfId="22616"/>
    <cellStyle name="40% - Accent2 2 5 4 3" xfId="22615"/>
    <cellStyle name="40% - Accent2 2 5 5" xfId="3590"/>
    <cellStyle name="40% - Accent2 2 5 5 2" xfId="22618"/>
    <cellStyle name="40% - Accent2 2 5 5 3" xfId="22617"/>
    <cellStyle name="40% - Accent2 2 5 6" xfId="10023"/>
    <cellStyle name="40% - Accent2 2 5 6 2" xfId="22620"/>
    <cellStyle name="40% - Accent2 2 5 6 3" xfId="22619"/>
    <cellStyle name="40% - Accent2 2 5 7" xfId="22621"/>
    <cellStyle name="40% - Accent2 2 5 8" xfId="22590"/>
    <cellStyle name="40% - Accent2 2 6" xfId="577"/>
    <cellStyle name="40% - Accent2 2 6 2" xfId="1284"/>
    <cellStyle name="40% - Accent2 2 6 2 2" xfId="2849"/>
    <cellStyle name="40% - Accent2 2 6 2 2 2" xfId="9134"/>
    <cellStyle name="40% - Accent2 2 6 2 2 2 2" xfId="22626"/>
    <cellStyle name="40% - Accent2 2 6 2 2 2 3" xfId="22625"/>
    <cellStyle name="40% - Accent2 2 6 2 2 3" xfId="6007"/>
    <cellStyle name="40% - Accent2 2 6 2 2 3 2" xfId="22628"/>
    <cellStyle name="40% - Accent2 2 6 2 2 3 3" xfId="22627"/>
    <cellStyle name="40% - Accent2 2 6 2 2 4" xfId="12317"/>
    <cellStyle name="40% - Accent2 2 6 2 2 4 2" xfId="22630"/>
    <cellStyle name="40% - Accent2 2 6 2 2 4 3" xfId="22629"/>
    <cellStyle name="40% - Accent2 2 6 2 2 5" xfId="22631"/>
    <cellStyle name="40% - Accent2 2 6 2 2 6" xfId="22624"/>
    <cellStyle name="40% - Accent2 2 6 2 3" xfId="7571"/>
    <cellStyle name="40% - Accent2 2 6 2 3 2" xfId="22633"/>
    <cellStyle name="40% - Accent2 2 6 2 3 3" xfId="22632"/>
    <cellStyle name="40% - Accent2 2 6 2 4" xfId="4444"/>
    <cellStyle name="40% - Accent2 2 6 2 4 2" xfId="22635"/>
    <cellStyle name="40% - Accent2 2 6 2 4 3" xfId="22634"/>
    <cellStyle name="40% - Accent2 2 6 2 5" xfId="10754"/>
    <cellStyle name="40% - Accent2 2 6 2 5 2" xfId="22637"/>
    <cellStyle name="40% - Accent2 2 6 2 5 3" xfId="22636"/>
    <cellStyle name="40% - Accent2 2 6 2 6" xfId="22638"/>
    <cellStyle name="40% - Accent2 2 6 2 7" xfId="22623"/>
    <cellStyle name="40% - Accent2 2 6 3" xfId="2169"/>
    <cellStyle name="40% - Accent2 2 6 3 2" xfId="8454"/>
    <cellStyle name="40% - Accent2 2 6 3 2 2" xfId="22641"/>
    <cellStyle name="40% - Accent2 2 6 3 2 3" xfId="22640"/>
    <cellStyle name="40% - Accent2 2 6 3 3" xfId="5327"/>
    <cellStyle name="40% - Accent2 2 6 3 3 2" xfId="22643"/>
    <cellStyle name="40% - Accent2 2 6 3 3 3" xfId="22642"/>
    <cellStyle name="40% - Accent2 2 6 3 4" xfId="11637"/>
    <cellStyle name="40% - Accent2 2 6 3 4 2" xfId="22645"/>
    <cellStyle name="40% - Accent2 2 6 3 4 3" xfId="22644"/>
    <cellStyle name="40% - Accent2 2 6 3 5" xfId="22646"/>
    <cellStyle name="40% - Accent2 2 6 3 6" xfId="22639"/>
    <cellStyle name="40% - Accent2 2 6 4" xfId="6891"/>
    <cellStyle name="40% - Accent2 2 6 4 2" xfId="22648"/>
    <cellStyle name="40% - Accent2 2 6 4 3" xfId="22647"/>
    <cellStyle name="40% - Accent2 2 6 5" xfId="3764"/>
    <cellStyle name="40% - Accent2 2 6 5 2" xfId="22650"/>
    <cellStyle name="40% - Accent2 2 6 5 3" xfId="22649"/>
    <cellStyle name="40% - Accent2 2 6 6" xfId="10196"/>
    <cellStyle name="40% - Accent2 2 6 6 2" xfId="22652"/>
    <cellStyle name="40% - Accent2 2 6 6 3" xfId="22651"/>
    <cellStyle name="40% - Accent2 2 6 7" xfId="22653"/>
    <cellStyle name="40% - Accent2 2 6 8" xfId="22622"/>
    <cellStyle name="40% - Accent2 2 7" xfId="636"/>
    <cellStyle name="40% - Accent2 2 7 2" xfId="1341"/>
    <cellStyle name="40% - Accent2 2 7 2 2" xfId="2906"/>
    <cellStyle name="40% - Accent2 2 7 2 2 2" xfId="9191"/>
    <cellStyle name="40% - Accent2 2 7 2 2 2 2" xfId="22658"/>
    <cellStyle name="40% - Accent2 2 7 2 2 2 3" xfId="22657"/>
    <cellStyle name="40% - Accent2 2 7 2 2 3" xfId="6064"/>
    <cellStyle name="40% - Accent2 2 7 2 2 3 2" xfId="22660"/>
    <cellStyle name="40% - Accent2 2 7 2 2 3 3" xfId="22659"/>
    <cellStyle name="40% - Accent2 2 7 2 2 4" xfId="12374"/>
    <cellStyle name="40% - Accent2 2 7 2 2 4 2" xfId="22662"/>
    <cellStyle name="40% - Accent2 2 7 2 2 4 3" xfId="22661"/>
    <cellStyle name="40% - Accent2 2 7 2 2 5" xfId="22663"/>
    <cellStyle name="40% - Accent2 2 7 2 2 6" xfId="22656"/>
    <cellStyle name="40% - Accent2 2 7 2 3" xfId="7628"/>
    <cellStyle name="40% - Accent2 2 7 2 3 2" xfId="22665"/>
    <cellStyle name="40% - Accent2 2 7 2 3 3" xfId="22664"/>
    <cellStyle name="40% - Accent2 2 7 2 4" xfId="4501"/>
    <cellStyle name="40% - Accent2 2 7 2 4 2" xfId="22667"/>
    <cellStyle name="40% - Accent2 2 7 2 4 3" xfId="22666"/>
    <cellStyle name="40% - Accent2 2 7 2 5" xfId="10811"/>
    <cellStyle name="40% - Accent2 2 7 2 5 2" xfId="22669"/>
    <cellStyle name="40% - Accent2 2 7 2 5 3" xfId="22668"/>
    <cellStyle name="40% - Accent2 2 7 2 6" xfId="22670"/>
    <cellStyle name="40% - Accent2 2 7 2 7" xfId="22655"/>
    <cellStyle name="40% - Accent2 2 7 3" xfId="2226"/>
    <cellStyle name="40% - Accent2 2 7 3 2" xfId="8511"/>
    <cellStyle name="40% - Accent2 2 7 3 2 2" xfId="22673"/>
    <cellStyle name="40% - Accent2 2 7 3 2 3" xfId="22672"/>
    <cellStyle name="40% - Accent2 2 7 3 3" xfId="5384"/>
    <cellStyle name="40% - Accent2 2 7 3 3 2" xfId="22675"/>
    <cellStyle name="40% - Accent2 2 7 3 3 3" xfId="22674"/>
    <cellStyle name="40% - Accent2 2 7 3 4" xfId="11694"/>
    <cellStyle name="40% - Accent2 2 7 3 4 2" xfId="22677"/>
    <cellStyle name="40% - Accent2 2 7 3 4 3" xfId="22676"/>
    <cellStyle name="40% - Accent2 2 7 3 5" xfId="22678"/>
    <cellStyle name="40% - Accent2 2 7 3 6" xfId="22671"/>
    <cellStyle name="40% - Accent2 2 7 4" xfId="6948"/>
    <cellStyle name="40% - Accent2 2 7 4 2" xfId="22680"/>
    <cellStyle name="40% - Accent2 2 7 4 3" xfId="22679"/>
    <cellStyle name="40% - Accent2 2 7 5" xfId="3821"/>
    <cellStyle name="40% - Accent2 2 7 5 2" xfId="22682"/>
    <cellStyle name="40% - Accent2 2 7 5 3" xfId="22681"/>
    <cellStyle name="40% - Accent2 2 7 6" xfId="10254"/>
    <cellStyle name="40% - Accent2 2 7 6 2" xfId="22684"/>
    <cellStyle name="40% - Accent2 2 7 6 3" xfId="22683"/>
    <cellStyle name="40% - Accent2 2 7 7" xfId="22685"/>
    <cellStyle name="40% - Accent2 2 7 8" xfId="22654"/>
    <cellStyle name="40% - Accent2 2 8" xfId="857"/>
    <cellStyle name="40% - Accent2 2 8 2" xfId="2423"/>
    <cellStyle name="40% - Accent2 2 8 2 2" xfId="8708"/>
    <cellStyle name="40% - Accent2 2 8 2 2 2" xfId="22689"/>
    <cellStyle name="40% - Accent2 2 8 2 2 3" xfId="22688"/>
    <cellStyle name="40% - Accent2 2 8 2 3" xfId="5581"/>
    <cellStyle name="40% - Accent2 2 8 2 3 2" xfId="22691"/>
    <cellStyle name="40% - Accent2 2 8 2 3 3" xfId="22690"/>
    <cellStyle name="40% - Accent2 2 8 2 4" xfId="11891"/>
    <cellStyle name="40% - Accent2 2 8 2 4 2" xfId="22693"/>
    <cellStyle name="40% - Accent2 2 8 2 4 3" xfId="22692"/>
    <cellStyle name="40% - Accent2 2 8 2 5" xfId="22694"/>
    <cellStyle name="40% - Accent2 2 8 2 6" xfId="22687"/>
    <cellStyle name="40% - Accent2 2 8 3" xfId="7145"/>
    <cellStyle name="40% - Accent2 2 8 3 2" xfId="22696"/>
    <cellStyle name="40% - Accent2 2 8 3 3" xfId="22695"/>
    <cellStyle name="40% - Accent2 2 8 4" xfId="4018"/>
    <cellStyle name="40% - Accent2 2 8 4 2" xfId="22698"/>
    <cellStyle name="40% - Accent2 2 8 4 3" xfId="22697"/>
    <cellStyle name="40% - Accent2 2 8 5" xfId="10328"/>
    <cellStyle name="40% - Accent2 2 8 5 2" xfId="22700"/>
    <cellStyle name="40% - Accent2 2 8 5 3" xfId="22699"/>
    <cellStyle name="40% - Accent2 2 8 6" xfId="22701"/>
    <cellStyle name="40% - Accent2 2 8 7" xfId="22686"/>
    <cellStyle name="40% - Accent2 2 9" xfId="1543"/>
    <cellStyle name="40% - Accent2 2 9 2" xfId="3108"/>
    <cellStyle name="40% - Accent2 2 9 2 2" xfId="9393"/>
    <cellStyle name="40% - Accent2 2 9 2 2 2" xfId="22705"/>
    <cellStyle name="40% - Accent2 2 9 2 2 3" xfId="22704"/>
    <cellStyle name="40% - Accent2 2 9 2 3" xfId="6266"/>
    <cellStyle name="40% - Accent2 2 9 2 3 2" xfId="22707"/>
    <cellStyle name="40% - Accent2 2 9 2 3 3" xfId="22706"/>
    <cellStyle name="40% - Accent2 2 9 2 4" xfId="12576"/>
    <cellStyle name="40% - Accent2 2 9 2 4 2" xfId="22709"/>
    <cellStyle name="40% - Accent2 2 9 2 4 3" xfId="22708"/>
    <cellStyle name="40% - Accent2 2 9 2 5" xfId="22710"/>
    <cellStyle name="40% - Accent2 2 9 2 6" xfId="22703"/>
    <cellStyle name="40% - Accent2 2 9 3" xfId="7830"/>
    <cellStyle name="40% - Accent2 2 9 3 2" xfId="22712"/>
    <cellStyle name="40% - Accent2 2 9 3 3" xfId="22711"/>
    <cellStyle name="40% - Accent2 2 9 4" xfId="4703"/>
    <cellStyle name="40% - Accent2 2 9 4 2" xfId="22714"/>
    <cellStyle name="40% - Accent2 2 9 4 3" xfId="22713"/>
    <cellStyle name="40% - Accent2 2 9 5" xfId="11013"/>
    <cellStyle name="40% - Accent2 2 9 5 2" xfId="22716"/>
    <cellStyle name="40% - Accent2 2 9 5 3" xfId="22715"/>
    <cellStyle name="40% - Accent2 2 9 6" xfId="22717"/>
    <cellStyle name="40% - Accent2 2 9 7" xfId="22702"/>
    <cellStyle name="40% - Accent2 20" xfId="1727"/>
    <cellStyle name="40% - Accent2 20 2" xfId="8014"/>
    <cellStyle name="40% - Accent2 20 2 2" xfId="22720"/>
    <cellStyle name="40% - Accent2 20 2 3" xfId="22719"/>
    <cellStyle name="40% - Accent2 20 3" xfId="4887"/>
    <cellStyle name="40% - Accent2 20 3 2" xfId="22722"/>
    <cellStyle name="40% - Accent2 20 3 3" xfId="22721"/>
    <cellStyle name="40% - Accent2 20 4" xfId="11197"/>
    <cellStyle name="40% - Accent2 20 4 2" xfId="22724"/>
    <cellStyle name="40% - Accent2 20 4 3" xfId="22723"/>
    <cellStyle name="40% - Accent2 20 5" xfId="22725"/>
    <cellStyle name="40% - Accent2 20 6" xfId="22718"/>
    <cellStyle name="40% - Accent2 21" xfId="107"/>
    <cellStyle name="40% - Accent2 21 2" xfId="6452"/>
    <cellStyle name="40% - Accent2 21 2 2" xfId="22728"/>
    <cellStyle name="40% - Accent2 21 2 3" xfId="22727"/>
    <cellStyle name="40% - Accent2 21 3" xfId="22729"/>
    <cellStyle name="40% - Accent2 21 4" xfId="22726"/>
    <cellStyle name="40% - Accent2 22" xfId="3296"/>
    <cellStyle name="40% - Accent2 22 2" xfId="9579"/>
    <cellStyle name="40% - Accent2 22 2 2" xfId="22732"/>
    <cellStyle name="40% - Accent2 22 2 3" xfId="22731"/>
    <cellStyle name="40% - Accent2 22 3" xfId="22733"/>
    <cellStyle name="40% - Accent2 22 4" xfId="22730"/>
    <cellStyle name="40% - Accent2 23" xfId="3325"/>
    <cellStyle name="40% - Accent2 23 2" xfId="22735"/>
    <cellStyle name="40% - Accent2 23 3" xfId="22734"/>
    <cellStyle name="40% - Accent2 24" xfId="9632"/>
    <cellStyle name="40% - Accent2 24 2" xfId="22737"/>
    <cellStyle name="40% - Accent2 24 3" xfId="22736"/>
    <cellStyle name="40% - Accent2 25" xfId="22738"/>
    <cellStyle name="40% - Accent2 26" xfId="22151"/>
    <cellStyle name="40% - Accent2 27" xfId="38141"/>
    <cellStyle name="40% - Accent2 3" xfId="76"/>
    <cellStyle name="40% - Accent2 3 10" xfId="1757"/>
    <cellStyle name="40% - Accent2 3 10 2" xfId="8042"/>
    <cellStyle name="40% - Accent2 3 10 2 2" xfId="22742"/>
    <cellStyle name="40% - Accent2 3 10 2 3" xfId="22741"/>
    <cellStyle name="40% - Accent2 3 10 3" xfId="4915"/>
    <cellStyle name="40% - Accent2 3 10 3 2" xfId="22744"/>
    <cellStyle name="40% - Accent2 3 10 3 3" xfId="22743"/>
    <cellStyle name="40% - Accent2 3 10 4" xfId="11225"/>
    <cellStyle name="40% - Accent2 3 10 4 2" xfId="22746"/>
    <cellStyle name="40% - Accent2 3 10 4 3" xfId="22745"/>
    <cellStyle name="40% - Accent2 3 10 5" xfId="22747"/>
    <cellStyle name="40% - Accent2 3 10 6" xfId="22740"/>
    <cellStyle name="40% - Accent2 3 11" xfId="134"/>
    <cellStyle name="40% - Accent2 3 11 2" xfId="6479"/>
    <cellStyle name="40% - Accent2 3 11 2 2" xfId="22750"/>
    <cellStyle name="40% - Accent2 3 11 2 3" xfId="22749"/>
    <cellStyle name="40% - Accent2 3 11 3" xfId="22751"/>
    <cellStyle name="40% - Accent2 3 11 4" xfId="22748"/>
    <cellStyle name="40% - Accent2 3 12" xfId="3352"/>
    <cellStyle name="40% - Accent2 3 12 2" xfId="22753"/>
    <cellStyle name="40% - Accent2 3 12 3" xfId="22752"/>
    <cellStyle name="40% - Accent2 3 13" xfId="9612"/>
    <cellStyle name="40% - Accent2 3 13 2" xfId="22755"/>
    <cellStyle name="40% - Accent2 3 13 3" xfId="22754"/>
    <cellStyle name="40% - Accent2 3 14" xfId="22756"/>
    <cellStyle name="40% - Accent2 3 15" xfId="22739"/>
    <cellStyle name="40% - Accent2 3 16" xfId="38143"/>
    <cellStyle name="40% - Accent2 3 2" xfId="168"/>
    <cellStyle name="40% - Accent2 3 2 2" xfId="304"/>
    <cellStyle name="40% - Accent2 3 2 2 2" xfId="1014"/>
    <cellStyle name="40% - Accent2 3 2 2 2 2" xfId="2580"/>
    <cellStyle name="40% - Accent2 3 2 2 2 2 2" xfId="8865"/>
    <cellStyle name="40% - Accent2 3 2 2 2 2 2 2" xfId="22762"/>
    <cellStyle name="40% - Accent2 3 2 2 2 2 2 3" xfId="22761"/>
    <cellStyle name="40% - Accent2 3 2 2 2 2 3" xfId="5738"/>
    <cellStyle name="40% - Accent2 3 2 2 2 2 3 2" xfId="22764"/>
    <cellStyle name="40% - Accent2 3 2 2 2 2 3 3" xfId="22763"/>
    <cellStyle name="40% - Accent2 3 2 2 2 2 4" xfId="12048"/>
    <cellStyle name="40% - Accent2 3 2 2 2 2 4 2" xfId="22766"/>
    <cellStyle name="40% - Accent2 3 2 2 2 2 4 3" xfId="22765"/>
    <cellStyle name="40% - Accent2 3 2 2 2 2 5" xfId="22767"/>
    <cellStyle name="40% - Accent2 3 2 2 2 2 6" xfId="22760"/>
    <cellStyle name="40% - Accent2 3 2 2 2 3" xfId="7302"/>
    <cellStyle name="40% - Accent2 3 2 2 2 3 2" xfId="22769"/>
    <cellStyle name="40% - Accent2 3 2 2 2 3 3" xfId="22768"/>
    <cellStyle name="40% - Accent2 3 2 2 2 4" xfId="4175"/>
    <cellStyle name="40% - Accent2 3 2 2 2 4 2" xfId="22771"/>
    <cellStyle name="40% - Accent2 3 2 2 2 4 3" xfId="22770"/>
    <cellStyle name="40% - Accent2 3 2 2 2 5" xfId="10485"/>
    <cellStyle name="40% - Accent2 3 2 2 2 5 2" xfId="22773"/>
    <cellStyle name="40% - Accent2 3 2 2 2 5 3" xfId="22772"/>
    <cellStyle name="40% - Accent2 3 2 2 2 6" xfId="22774"/>
    <cellStyle name="40% - Accent2 3 2 2 2 7" xfId="22759"/>
    <cellStyle name="40% - Accent2 3 2 2 3" xfId="1900"/>
    <cellStyle name="40% - Accent2 3 2 2 3 2" xfId="8185"/>
    <cellStyle name="40% - Accent2 3 2 2 3 2 2" xfId="22777"/>
    <cellStyle name="40% - Accent2 3 2 2 3 2 3" xfId="22776"/>
    <cellStyle name="40% - Accent2 3 2 2 3 3" xfId="5058"/>
    <cellStyle name="40% - Accent2 3 2 2 3 3 2" xfId="22779"/>
    <cellStyle name="40% - Accent2 3 2 2 3 3 3" xfId="22778"/>
    <cellStyle name="40% - Accent2 3 2 2 3 4" xfId="11368"/>
    <cellStyle name="40% - Accent2 3 2 2 3 4 2" xfId="22781"/>
    <cellStyle name="40% - Accent2 3 2 2 3 4 3" xfId="22780"/>
    <cellStyle name="40% - Accent2 3 2 2 3 5" xfId="22782"/>
    <cellStyle name="40% - Accent2 3 2 2 3 6" xfId="22775"/>
    <cellStyle name="40% - Accent2 3 2 2 4" xfId="6622"/>
    <cellStyle name="40% - Accent2 3 2 2 4 2" xfId="22784"/>
    <cellStyle name="40% - Accent2 3 2 2 4 3" xfId="22783"/>
    <cellStyle name="40% - Accent2 3 2 2 5" xfId="3495"/>
    <cellStyle name="40% - Accent2 3 2 2 5 2" xfId="22786"/>
    <cellStyle name="40% - Accent2 3 2 2 5 3" xfId="22785"/>
    <cellStyle name="40% - Accent2 3 2 2 6" xfId="9807"/>
    <cellStyle name="40% - Accent2 3 2 2 6 2" xfId="22788"/>
    <cellStyle name="40% - Accent2 3 2 2 6 3" xfId="22787"/>
    <cellStyle name="40% - Accent2 3 2 2 7" xfId="22789"/>
    <cellStyle name="40% - Accent2 3 2 2 8" xfId="22758"/>
    <cellStyle name="40% - Accent2 3 2 3" xfId="904"/>
    <cellStyle name="40% - Accent2 3 2 3 2" xfId="2470"/>
    <cellStyle name="40% - Accent2 3 2 3 2 2" xfId="8755"/>
    <cellStyle name="40% - Accent2 3 2 3 2 2 2" xfId="22793"/>
    <cellStyle name="40% - Accent2 3 2 3 2 2 3" xfId="22792"/>
    <cellStyle name="40% - Accent2 3 2 3 2 3" xfId="5628"/>
    <cellStyle name="40% - Accent2 3 2 3 2 3 2" xfId="22795"/>
    <cellStyle name="40% - Accent2 3 2 3 2 3 3" xfId="22794"/>
    <cellStyle name="40% - Accent2 3 2 3 2 4" xfId="11938"/>
    <cellStyle name="40% - Accent2 3 2 3 2 4 2" xfId="22797"/>
    <cellStyle name="40% - Accent2 3 2 3 2 4 3" xfId="22796"/>
    <cellStyle name="40% - Accent2 3 2 3 2 5" xfId="22798"/>
    <cellStyle name="40% - Accent2 3 2 3 2 6" xfId="22791"/>
    <cellStyle name="40% - Accent2 3 2 3 3" xfId="7192"/>
    <cellStyle name="40% - Accent2 3 2 3 3 2" xfId="22800"/>
    <cellStyle name="40% - Accent2 3 2 3 3 3" xfId="22799"/>
    <cellStyle name="40% - Accent2 3 2 3 4" xfId="4065"/>
    <cellStyle name="40% - Accent2 3 2 3 4 2" xfId="22802"/>
    <cellStyle name="40% - Accent2 3 2 3 4 3" xfId="22801"/>
    <cellStyle name="40% - Accent2 3 2 3 5" xfId="10375"/>
    <cellStyle name="40% - Accent2 3 2 3 5 2" xfId="22804"/>
    <cellStyle name="40% - Accent2 3 2 3 5 3" xfId="22803"/>
    <cellStyle name="40% - Accent2 3 2 3 6" xfId="22805"/>
    <cellStyle name="40% - Accent2 3 2 3 7" xfId="22790"/>
    <cellStyle name="40% - Accent2 3 2 4" xfId="1790"/>
    <cellStyle name="40% - Accent2 3 2 4 2" xfId="8075"/>
    <cellStyle name="40% - Accent2 3 2 4 2 2" xfId="22808"/>
    <cellStyle name="40% - Accent2 3 2 4 2 3" xfId="22807"/>
    <cellStyle name="40% - Accent2 3 2 4 3" xfId="4948"/>
    <cellStyle name="40% - Accent2 3 2 4 3 2" xfId="22810"/>
    <cellStyle name="40% - Accent2 3 2 4 3 3" xfId="22809"/>
    <cellStyle name="40% - Accent2 3 2 4 4" xfId="11258"/>
    <cellStyle name="40% - Accent2 3 2 4 4 2" xfId="22812"/>
    <cellStyle name="40% - Accent2 3 2 4 4 3" xfId="22811"/>
    <cellStyle name="40% - Accent2 3 2 4 5" xfId="22813"/>
    <cellStyle name="40% - Accent2 3 2 4 6" xfId="22806"/>
    <cellStyle name="40% - Accent2 3 2 5" xfId="6512"/>
    <cellStyle name="40% - Accent2 3 2 5 2" xfId="22815"/>
    <cellStyle name="40% - Accent2 3 2 5 3" xfId="22814"/>
    <cellStyle name="40% - Accent2 3 2 6" xfId="3385"/>
    <cellStyle name="40% - Accent2 3 2 6 2" xfId="22817"/>
    <cellStyle name="40% - Accent2 3 2 6 3" xfId="22816"/>
    <cellStyle name="40% - Accent2 3 2 7" xfId="9915"/>
    <cellStyle name="40% - Accent2 3 2 7 2" xfId="22819"/>
    <cellStyle name="40% - Accent2 3 2 7 3" xfId="22818"/>
    <cellStyle name="40% - Accent2 3 2 8" xfId="22820"/>
    <cellStyle name="40% - Accent2 3 2 9" xfId="22757"/>
    <cellStyle name="40% - Accent2 3 3" xfId="244"/>
    <cellStyle name="40% - Accent2 3 3 2" xfId="955"/>
    <cellStyle name="40% - Accent2 3 3 2 2" xfId="2521"/>
    <cellStyle name="40% - Accent2 3 3 2 2 2" xfId="8806"/>
    <cellStyle name="40% - Accent2 3 3 2 2 2 2" xfId="22825"/>
    <cellStyle name="40% - Accent2 3 3 2 2 2 3" xfId="22824"/>
    <cellStyle name="40% - Accent2 3 3 2 2 3" xfId="5679"/>
    <cellStyle name="40% - Accent2 3 3 2 2 3 2" xfId="22827"/>
    <cellStyle name="40% - Accent2 3 3 2 2 3 3" xfId="22826"/>
    <cellStyle name="40% - Accent2 3 3 2 2 4" xfId="11989"/>
    <cellStyle name="40% - Accent2 3 3 2 2 4 2" xfId="22829"/>
    <cellStyle name="40% - Accent2 3 3 2 2 4 3" xfId="22828"/>
    <cellStyle name="40% - Accent2 3 3 2 2 5" xfId="22830"/>
    <cellStyle name="40% - Accent2 3 3 2 2 6" xfId="22823"/>
    <cellStyle name="40% - Accent2 3 3 2 3" xfId="7243"/>
    <cellStyle name="40% - Accent2 3 3 2 3 2" xfId="22832"/>
    <cellStyle name="40% - Accent2 3 3 2 3 3" xfId="22831"/>
    <cellStyle name="40% - Accent2 3 3 2 4" xfId="4116"/>
    <cellStyle name="40% - Accent2 3 3 2 4 2" xfId="22834"/>
    <cellStyle name="40% - Accent2 3 3 2 4 3" xfId="22833"/>
    <cellStyle name="40% - Accent2 3 3 2 5" xfId="10426"/>
    <cellStyle name="40% - Accent2 3 3 2 5 2" xfId="22836"/>
    <cellStyle name="40% - Accent2 3 3 2 5 3" xfId="22835"/>
    <cellStyle name="40% - Accent2 3 3 2 6" xfId="22837"/>
    <cellStyle name="40% - Accent2 3 3 2 7" xfId="22822"/>
    <cellStyle name="40% - Accent2 3 3 3" xfId="1841"/>
    <cellStyle name="40% - Accent2 3 3 3 2" xfId="8126"/>
    <cellStyle name="40% - Accent2 3 3 3 2 2" xfId="22840"/>
    <cellStyle name="40% - Accent2 3 3 3 2 3" xfId="22839"/>
    <cellStyle name="40% - Accent2 3 3 3 3" xfId="4999"/>
    <cellStyle name="40% - Accent2 3 3 3 3 2" xfId="22842"/>
    <cellStyle name="40% - Accent2 3 3 3 3 3" xfId="22841"/>
    <cellStyle name="40% - Accent2 3 3 3 4" xfId="11309"/>
    <cellStyle name="40% - Accent2 3 3 3 4 2" xfId="22844"/>
    <cellStyle name="40% - Accent2 3 3 3 4 3" xfId="22843"/>
    <cellStyle name="40% - Accent2 3 3 3 5" xfId="22845"/>
    <cellStyle name="40% - Accent2 3 3 3 6" xfId="22838"/>
    <cellStyle name="40% - Accent2 3 3 4" xfId="6563"/>
    <cellStyle name="40% - Accent2 3 3 4 2" xfId="22847"/>
    <cellStyle name="40% - Accent2 3 3 4 3" xfId="22846"/>
    <cellStyle name="40% - Accent2 3 3 5" xfId="3436"/>
    <cellStyle name="40% - Accent2 3 3 5 2" xfId="22849"/>
    <cellStyle name="40% - Accent2 3 3 5 3" xfId="22848"/>
    <cellStyle name="40% - Accent2 3 3 6" xfId="9894"/>
    <cellStyle name="40% - Accent2 3 3 6 2" xfId="22851"/>
    <cellStyle name="40% - Accent2 3 3 6 3" xfId="22850"/>
    <cellStyle name="40% - Accent2 3 3 7" xfId="22852"/>
    <cellStyle name="40% - Accent2 3 3 8" xfId="22821"/>
    <cellStyle name="40% - Accent2 3 4" xfId="351"/>
    <cellStyle name="40% - Accent2 3 4 2" xfId="1059"/>
    <cellStyle name="40% - Accent2 3 4 2 2" xfId="2625"/>
    <cellStyle name="40% - Accent2 3 4 2 2 2" xfId="8910"/>
    <cellStyle name="40% - Accent2 3 4 2 2 2 2" xfId="22857"/>
    <cellStyle name="40% - Accent2 3 4 2 2 2 3" xfId="22856"/>
    <cellStyle name="40% - Accent2 3 4 2 2 3" xfId="5783"/>
    <cellStyle name="40% - Accent2 3 4 2 2 3 2" xfId="22859"/>
    <cellStyle name="40% - Accent2 3 4 2 2 3 3" xfId="22858"/>
    <cellStyle name="40% - Accent2 3 4 2 2 4" xfId="12093"/>
    <cellStyle name="40% - Accent2 3 4 2 2 4 2" xfId="22861"/>
    <cellStyle name="40% - Accent2 3 4 2 2 4 3" xfId="22860"/>
    <cellStyle name="40% - Accent2 3 4 2 2 5" xfId="22862"/>
    <cellStyle name="40% - Accent2 3 4 2 2 6" xfId="22855"/>
    <cellStyle name="40% - Accent2 3 4 2 3" xfId="7347"/>
    <cellStyle name="40% - Accent2 3 4 2 3 2" xfId="22864"/>
    <cellStyle name="40% - Accent2 3 4 2 3 3" xfId="22863"/>
    <cellStyle name="40% - Accent2 3 4 2 4" xfId="4220"/>
    <cellStyle name="40% - Accent2 3 4 2 4 2" xfId="22866"/>
    <cellStyle name="40% - Accent2 3 4 2 4 3" xfId="22865"/>
    <cellStyle name="40% - Accent2 3 4 2 5" xfId="10530"/>
    <cellStyle name="40% - Accent2 3 4 2 5 2" xfId="22868"/>
    <cellStyle name="40% - Accent2 3 4 2 5 3" xfId="22867"/>
    <cellStyle name="40% - Accent2 3 4 2 6" xfId="22869"/>
    <cellStyle name="40% - Accent2 3 4 2 7" xfId="22854"/>
    <cellStyle name="40% - Accent2 3 4 3" xfId="1945"/>
    <cellStyle name="40% - Accent2 3 4 3 2" xfId="8230"/>
    <cellStyle name="40% - Accent2 3 4 3 2 2" xfId="22872"/>
    <cellStyle name="40% - Accent2 3 4 3 2 3" xfId="22871"/>
    <cellStyle name="40% - Accent2 3 4 3 3" xfId="5103"/>
    <cellStyle name="40% - Accent2 3 4 3 3 2" xfId="22874"/>
    <cellStyle name="40% - Accent2 3 4 3 3 3" xfId="22873"/>
    <cellStyle name="40% - Accent2 3 4 3 4" xfId="11413"/>
    <cellStyle name="40% - Accent2 3 4 3 4 2" xfId="22876"/>
    <cellStyle name="40% - Accent2 3 4 3 4 3" xfId="22875"/>
    <cellStyle name="40% - Accent2 3 4 3 5" xfId="22877"/>
    <cellStyle name="40% - Accent2 3 4 3 6" xfId="22870"/>
    <cellStyle name="40% - Accent2 3 4 4" xfId="6667"/>
    <cellStyle name="40% - Accent2 3 4 4 2" xfId="22879"/>
    <cellStyle name="40% - Accent2 3 4 4 3" xfId="22878"/>
    <cellStyle name="40% - Accent2 3 4 5" xfId="3540"/>
    <cellStyle name="40% - Accent2 3 4 5 2" xfId="22881"/>
    <cellStyle name="40% - Accent2 3 4 5 3" xfId="22880"/>
    <cellStyle name="40% - Accent2 3 4 6" xfId="9972"/>
    <cellStyle name="40% - Accent2 3 4 6 2" xfId="22883"/>
    <cellStyle name="40% - Accent2 3 4 6 3" xfId="22882"/>
    <cellStyle name="40% - Accent2 3 4 7" xfId="22884"/>
    <cellStyle name="40% - Accent2 3 4 8" xfId="22853"/>
    <cellStyle name="40% - Accent2 3 5" xfId="408"/>
    <cellStyle name="40% - Accent2 3 5 2" xfId="1115"/>
    <cellStyle name="40% - Accent2 3 5 2 2" xfId="2680"/>
    <cellStyle name="40% - Accent2 3 5 2 2 2" xfId="8965"/>
    <cellStyle name="40% - Accent2 3 5 2 2 2 2" xfId="22889"/>
    <cellStyle name="40% - Accent2 3 5 2 2 2 3" xfId="22888"/>
    <cellStyle name="40% - Accent2 3 5 2 2 3" xfId="5838"/>
    <cellStyle name="40% - Accent2 3 5 2 2 3 2" xfId="22891"/>
    <cellStyle name="40% - Accent2 3 5 2 2 3 3" xfId="22890"/>
    <cellStyle name="40% - Accent2 3 5 2 2 4" xfId="12148"/>
    <cellStyle name="40% - Accent2 3 5 2 2 4 2" xfId="22893"/>
    <cellStyle name="40% - Accent2 3 5 2 2 4 3" xfId="22892"/>
    <cellStyle name="40% - Accent2 3 5 2 2 5" xfId="22894"/>
    <cellStyle name="40% - Accent2 3 5 2 2 6" xfId="22887"/>
    <cellStyle name="40% - Accent2 3 5 2 3" xfId="7402"/>
    <cellStyle name="40% - Accent2 3 5 2 3 2" xfId="22896"/>
    <cellStyle name="40% - Accent2 3 5 2 3 3" xfId="22895"/>
    <cellStyle name="40% - Accent2 3 5 2 4" xfId="4275"/>
    <cellStyle name="40% - Accent2 3 5 2 4 2" xfId="22898"/>
    <cellStyle name="40% - Accent2 3 5 2 4 3" xfId="22897"/>
    <cellStyle name="40% - Accent2 3 5 2 5" xfId="10585"/>
    <cellStyle name="40% - Accent2 3 5 2 5 2" xfId="22900"/>
    <cellStyle name="40% - Accent2 3 5 2 5 3" xfId="22899"/>
    <cellStyle name="40% - Accent2 3 5 2 6" xfId="22901"/>
    <cellStyle name="40% - Accent2 3 5 2 7" xfId="22886"/>
    <cellStyle name="40% - Accent2 3 5 3" xfId="2000"/>
    <cellStyle name="40% - Accent2 3 5 3 2" xfId="8285"/>
    <cellStyle name="40% - Accent2 3 5 3 2 2" xfId="22904"/>
    <cellStyle name="40% - Accent2 3 5 3 2 3" xfId="22903"/>
    <cellStyle name="40% - Accent2 3 5 3 3" xfId="5158"/>
    <cellStyle name="40% - Accent2 3 5 3 3 2" xfId="22906"/>
    <cellStyle name="40% - Accent2 3 5 3 3 3" xfId="22905"/>
    <cellStyle name="40% - Accent2 3 5 3 4" xfId="11468"/>
    <cellStyle name="40% - Accent2 3 5 3 4 2" xfId="22908"/>
    <cellStyle name="40% - Accent2 3 5 3 4 3" xfId="22907"/>
    <cellStyle name="40% - Accent2 3 5 3 5" xfId="22909"/>
    <cellStyle name="40% - Accent2 3 5 3 6" xfId="22902"/>
    <cellStyle name="40% - Accent2 3 5 4" xfId="6722"/>
    <cellStyle name="40% - Accent2 3 5 4 2" xfId="22911"/>
    <cellStyle name="40% - Accent2 3 5 4 3" xfId="22910"/>
    <cellStyle name="40% - Accent2 3 5 5" xfId="3595"/>
    <cellStyle name="40% - Accent2 3 5 5 2" xfId="22913"/>
    <cellStyle name="40% - Accent2 3 5 5 3" xfId="22912"/>
    <cellStyle name="40% - Accent2 3 5 6" xfId="10028"/>
    <cellStyle name="40% - Accent2 3 5 6 2" xfId="22915"/>
    <cellStyle name="40% - Accent2 3 5 6 3" xfId="22914"/>
    <cellStyle name="40% - Accent2 3 5 7" xfId="22916"/>
    <cellStyle name="40% - Accent2 3 5 8" xfId="22885"/>
    <cellStyle name="40% - Accent2 3 6" xfId="578"/>
    <cellStyle name="40% - Accent2 3 6 2" xfId="1285"/>
    <cellStyle name="40% - Accent2 3 6 2 2" xfId="2850"/>
    <cellStyle name="40% - Accent2 3 6 2 2 2" xfId="9135"/>
    <cellStyle name="40% - Accent2 3 6 2 2 2 2" xfId="22921"/>
    <cellStyle name="40% - Accent2 3 6 2 2 2 3" xfId="22920"/>
    <cellStyle name="40% - Accent2 3 6 2 2 3" xfId="6008"/>
    <cellStyle name="40% - Accent2 3 6 2 2 3 2" xfId="22923"/>
    <cellStyle name="40% - Accent2 3 6 2 2 3 3" xfId="22922"/>
    <cellStyle name="40% - Accent2 3 6 2 2 4" xfId="12318"/>
    <cellStyle name="40% - Accent2 3 6 2 2 4 2" xfId="22925"/>
    <cellStyle name="40% - Accent2 3 6 2 2 4 3" xfId="22924"/>
    <cellStyle name="40% - Accent2 3 6 2 2 5" xfId="22926"/>
    <cellStyle name="40% - Accent2 3 6 2 2 6" xfId="22919"/>
    <cellStyle name="40% - Accent2 3 6 2 3" xfId="7572"/>
    <cellStyle name="40% - Accent2 3 6 2 3 2" xfId="22928"/>
    <cellStyle name="40% - Accent2 3 6 2 3 3" xfId="22927"/>
    <cellStyle name="40% - Accent2 3 6 2 4" xfId="4445"/>
    <cellStyle name="40% - Accent2 3 6 2 4 2" xfId="22930"/>
    <cellStyle name="40% - Accent2 3 6 2 4 3" xfId="22929"/>
    <cellStyle name="40% - Accent2 3 6 2 5" xfId="10755"/>
    <cellStyle name="40% - Accent2 3 6 2 5 2" xfId="22932"/>
    <cellStyle name="40% - Accent2 3 6 2 5 3" xfId="22931"/>
    <cellStyle name="40% - Accent2 3 6 2 6" xfId="22933"/>
    <cellStyle name="40% - Accent2 3 6 2 7" xfId="22918"/>
    <cellStyle name="40% - Accent2 3 6 3" xfId="2170"/>
    <cellStyle name="40% - Accent2 3 6 3 2" xfId="8455"/>
    <cellStyle name="40% - Accent2 3 6 3 2 2" xfId="22936"/>
    <cellStyle name="40% - Accent2 3 6 3 2 3" xfId="22935"/>
    <cellStyle name="40% - Accent2 3 6 3 3" xfId="5328"/>
    <cellStyle name="40% - Accent2 3 6 3 3 2" xfId="22938"/>
    <cellStyle name="40% - Accent2 3 6 3 3 3" xfId="22937"/>
    <cellStyle name="40% - Accent2 3 6 3 4" xfId="11638"/>
    <cellStyle name="40% - Accent2 3 6 3 4 2" xfId="22940"/>
    <cellStyle name="40% - Accent2 3 6 3 4 3" xfId="22939"/>
    <cellStyle name="40% - Accent2 3 6 3 5" xfId="22941"/>
    <cellStyle name="40% - Accent2 3 6 3 6" xfId="22934"/>
    <cellStyle name="40% - Accent2 3 6 4" xfId="6892"/>
    <cellStyle name="40% - Accent2 3 6 4 2" xfId="22943"/>
    <cellStyle name="40% - Accent2 3 6 4 3" xfId="22942"/>
    <cellStyle name="40% - Accent2 3 6 5" xfId="3765"/>
    <cellStyle name="40% - Accent2 3 6 5 2" xfId="22945"/>
    <cellStyle name="40% - Accent2 3 6 5 3" xfId="22944"/>
    <cellStyle name="40% - Accent2 3 6 6" xfId="10197"/>
    <cellStyle name="40% - Accent2 3 6 6 2" xfId="22947"/>
    <cellStyle name="40% - Accent2 3 6 6 3" xfId="22946"/>
    <cellStyle name="40% - Accent2 3 6 7" xfId="22948"/>
    <cellStyle name="40% - Accent2 3 6 8" xfId="22917"/>
    <cellStyle name="40% - Accent2 3 7" xfId="637"/>
    <cellStyle name="40% - Accent2 3 7 2" xfId="1342"/>
    <cellStyle name="40% - Accent2 3 7 2 2" xfId="2907"/>
    <cellStyle name="40% - Accent2 3 7 2 2 2" xfId="9192"/>
    <cellStyle name="40% - Accent2 3 7 2 2 2 2" xfId="22953"/>
    <cellStyle name="40% - Accent2 3 7 2 2 2 3" xfId="22952"/>
    <cellStyle name="40% - Accent2 3 7 2 2 3" xfId="6065"/>
    <cellStyle name="40% - Accent2 3 7 2 2 3 2" xfId="22955"/>
    <cellStyle name="40% - Accent2 3 7 2 2 3 3" xfId="22954"/>
    <cellStyle name="40% - Accent2 3 7 2 2 4" xfId="12375"/>
    <cellStyle name="40% - Accent2 3 7 2 2 4 2" xfId="22957"/>
    <cellStyle name="40% - Accent2 3 7 2 2 4 3" xfId="22956"/>
    <cellStyle name="40% - Accent2 3 7 2 2 5" xfId="22958"/>
    <cellStyle name="40% - Accent2 3 7 2 2 6" xfId="22951"/>
    <cellStyle name="40% - Accent2 3 7 2 3" xfId="7629"/>
    <cellStyle name="40% - Accent2 3 7 2 3 2" xfId="22960"/>
    <cellStyle name="40% - Accent2 3 7 2 3 3" xfId="22959"/>
    <cellStyle name="40% - Accent2 3 7 2 4" xfId="4502"/>
    <cellStyle name="40% - Accent2 3 7 2 4 2" xfId="22962"/>
    <cellStyle name="40% - Accent2 3 7 2 4 3" xfId="22961"/>
    <cellStyle name="40% - Accent2 3 7 2 5" xfId="10812"/>
    <cellStyle name="40% - Accent2 3 7 2 5 2" xfId="22964"/>
    <cellStyle name="40% - Accent2 3 7 2 5 3" xfId="22963"/>
    <cellStyle name="40% - Accent2 3 7 2 6" xfId="22965"/>
    <cellStyle name="40% - Accent2 3 7 2 7" xfId="22950"/>
    <cellStyle name="40% - Accent2 3 7 3" xfId="2227"/>
    <cellStyle name="40% - Accent2 3 7 3 2" xfId="8512"/>
    <cellStyle name="40% - Accent2 3 7 3 2 2" xfId="22968"/>
    <cellStyle name="40% - Accent2 3 7 3 2 3" xfId="22967"/>
    <cellStyle name="40% - Accent2 3 7 3 3" xfId="5385"/>
    <cellStyle name="40% - Accent2 3 7 3 3 2" xfId="22970"/>
    <cellStyle name="40% - Accent2 3 7 3 3 3" xfId="22969"/>
    <cellStyle name="40% - Accent2 3 7 3 4" xfId="11695"/>
    <cellStyle name="40% - Accent2 3 7 3 4 2" xfId="22972"/>
    <cellStyle name="40% - Accent2 3 7 3 4 3" xfId="22971"/>
    <cellStyle name="40% - Accent2 3 7 3 5" xfId="22973"/>
    <cellStyle name="40% - Accent2 3 7 3 6" xfId="22966"/>
    <cellStyle name="40% - Accent2 3 7 4" xfId="6949"/>
    <cellStyle name="40% - Accent2 3 7 4 2" xfId="22975"/>
    <cellStyle name="40% - Accent2 3 7 4 3" xfId="22974"/>
    <cellStyle name="40% - Accent2 3 7 5" xfId="3822"/>
    <cellStyle name="40% - Accent2 3 7 5 2" xfId="22977"/>
    <cellStyle name="40% - Accent2 3 7 5 3" xfId="22976"/>
    <cellStyle name="40% - Accent2 3 7 6" xfId="10255"/>
    <cellStyle name="40% - Accent2 3 7 6 2" xfId="22979"/>
    <cellStyle name="40% - Accent2 3 7 6 3" xfId="22978"/>
    <cellStyle name="40% - Accent2 3 7 7" xfId="22980"/>
    <cellStyle name="40% - Accent2 3 7 8" xfId="22949"/>
    <cellStyle name="40% - Accent2 3 8" xfId="871"/>
    <cellStyle name="40% - Accent2 3 8 2" xfId="2437"/>
    <cellStyle name="40% - Accent2 3 8 2 2" xfId="8722"/>
    <cellStyle name="40% - Accent2 3 8 2 2 2" xfId="22984"/>
    <cellStyle name="40% - Accent2 3 8 2 2 3" xfId="22983"/>
    <cellStyle name="40% - Accent2 3 8 2 3" xfId="5595"/>
    <cellStyle name="40% - Accent2 3 8 2 3 2" xfId="22986"/>
    <cellStyle name="40% - Accent2 3 8 2 3 3" xfId="22985"/>
    <cellStyle name="40% - Accent2 3 8 2 4" xfId="11905"/>
    <cellStyle name="40% - Accent2 3 8 2 4 2" xfId="22988"/>
    <cellStyle name="40% - Accent2 3 8 2 4 3" xfId="22987"/>
    <cellStyle name="40% - Accent2 3 8 2 5" xfId="22989"/>
    <cellStyle name="40% - Accent2 3 8 2 6" xfId="22982"/>
    <cellStyle name="40% - Accent2 3 8 3" xfId="7159"/>
    <cellStyle name="40% - Accent2 3 8 3 2" xfId="22991"/>
    <cellStyle name="40% - Accent2 3 8 3 3" xfId="22990"/>
    <cellStyle name="40% - Accent2 3 8 4" xfId="4032"/>
    <cellStyle name="40% - Accent2 3 8 4 2" xfId="22993"/>
    <cellStyle name="40% - Accent2 3 8 4 3" xfId="22992"/>
    <cellStyle name="40% - Accent2 3 8 5" xfId="10342"/>
    <cellStyle name="40% - Accent2 3 8 5 2" xfId="22995"/>
    <cellStyle name="40% - Accent2 3 8 5 3" xfId="22994"/>
    <cellStyle name="40% - Accent2 3 8 6" xfId="22996"/>
    <cellStyle name="40% - Accent2 3 8 7" xfId="22981"/>
    <cellStyle name="40% - Accent2 3 9" xfId="1544"/>
    <cellStyle name="40% - Accent2 3 9 2" xfId="3109"/>
    <cellStyle name="40% - Accent2 3 9 2 2" xfId="9394"/>
    <cellStyle name="40% - Accent2 3 9 2 2 2" xfId="23000"/>
    <cellStyle name="40% - Accent2 3 9 2 2 3" xfId="22999"/>
    <cellStyle name="40% - Accent2 3 9 2 3" xfId="6267"/>
    <cellStyle name="40% - Accent2 3 9 2 3 2" xfId="23002"/>
    <cellStyle name="40% - Accent2 3 9 2 3 3" xfId="23001"/>
    <cellStyle name="40% - Accent2 3 9 2 4" xfId="12577"/>
    <cellStyle name="40% - Accent2 3 9 2 4 2" xfId="23004"/>
    <cellStyle name="40% - Accent2 3 9 2 4 3" xfId="23003"/>
    <cellStyle name="40% - Accent2 3 9 2 5" xfId="23005"/>
    <cellStyle name="40% - Accent2 3 9 2 6" xfId="22998"/>
    <cellStyle name="40% - Accent2 3 9 3" xfId="7831"/>
    <cellStyle name="40% - Accent2 3 9 3 2" xfId="23007"/>
    <cellStyle name="40% - Accent2 3 9 3 3" xfId="23006"/>
    <cellStyle name="40% - Accent2 3 9 4" xfId="4704"/>
    <cellStyle name="40% - Accent2 3 9 4 2" xfId="23009"/>
    <cellStyle name="40% - Accent2 3 9 4 3" xfId="23008"/>
    <cellStyle name="40% - Accent2 3 9 5" xfId="11014"/>
    <cellStyle name="40% - Accent2 3 9 5 2" xfId="23011"/>
    <cellStyle name="40% - Accent2 3 9 5 3" xfId="23010"/>
    <cellStyle name="40% - Accent2 3 9 6" xfId="23012"/>
    <cellStyle name="40% - Accent2 3 9 7" xfId="22997"/>
    <cellStyle name="40% - Accent2 4" xfId="169"/>
    <cellStyle name="40% - Accent2 4 10" xfId="6513"/>
    <cellStyle name="40% - Accent2 4 10 2" xfId="23015"/>
    <cellStyle name="40% - Accent2 4 10 3" xfId="23014"/>
    <cellStyle name="40% - Accent2 4 11" xfId="3386"/>
    <cellStyle name="40% - Accent2 4 11 2" xfId="23017"/>
    <cellStyle name="40% - Accent2 4 11 3" xfId="23016"/>
    <cellStyle name="40% - Accent2 4 12" xfId="9613"/>
    <cellStyle name="40% - Accent2 4 12 2" xfId="23019"/>
    <cellStyle name="40% - Accent2 4 12 3" xfId="23018"/>
    <cellStyle name="40% - Accent2 4 13" xfId="23020"/>
    <cellStyle name="40% - Accent2 4 14" xfId="23013"/>
    <cellStyle name="40% - Accent2 4 2" xfId="245"/>
    <cellStyle name="40% - Accent2 4 2 2" xfId="956"/>
    <cellStyle name="40% - Accent2 4 2 2 2" xfId="2522"/>
    <cellStyle name="40% - Accent2 4 2 2 2 2" xfId="8807"/>
    <cellStyle name="40% - Accent2 4 2 2 2 2 2" xfId="23025"/>
    <cellStyle name="40% - Accent2 4 2 2 2 2 3" xfId="23024"/>
    <cellStyle name="40% - Accent2 4 2 2 2 3" xfId="5680"/>
    <cellStyle name="40% - Accent2 4 2 2 2 3 2" xfId="23027"/>
    <cellStyle name="40% - Accent2 4 2 2 2 3 3" xfId="23026"/>
    <cellStyle name="40% - Accent2 4 2 2 2 4" xfId="11990"/>
    <cellStyle name="40% - Accent2 4 2 2 2 4 2" xfId="23029"/>
    <cellStyle name="40% - Accent2 4 2 2 2 4 3" xfId="23028"/>
    <cellStyle name="40% - Accent2 4 2 2 2 5" xfId="23030"/>
    <cellStyle name="40% - Accent2 4 2 2 2 6" xfId="23023"/>
    <cellStyle name="40% - Accent2 4 2 2 3" xfId="7244"/>
    <cellStyle name="40% - Accent2 4 2 2 3 2" xfId="23032"/>
    <cellStyle name="40% - Accent2 4 2 2 3 3" xfId="23031"/>
    <cellStyle name="40% - Accent2 4 2 2 4" xfId="4117"/>
    <cellStyle name="40% - Accent2 4 2 2 4 2" xfId="23034"/>
    <cellStyle name="40% - Accent2 4 2 2 4 3" xfId="23033"/>
    <cellStyle name="40% - Accent2 4 2 2 5" xfId="10427"/>
    <cellStyle name="40% - Accent2 4 2 2 5 2" xfId="23036"/>
    <cellStyle name="40% - Accent2 4 2 2 5 3" xfId="23035"/>
    <cellStyle name="40% - Accent2 4 2 2 6" xfId="23037"/>
    <cellStyle name="40% - Accent2 4 2 2 7" xfId="23022"/>
    <cellStyle name="40% - Accent2 4 2 3" xfId="1842"/>
    <cellStyle name="40% - Accent2 4 2 3 2" xfId="8127"/>
    <cellStyle name="40% - Accent2 4 2 3 2 2" xfId="23040"/>
    <cellStyle name="40% - Accent2 4 2 3 2 3" xfId="23039"/>
    <cellStyle name="40% - Accent2 4 2 3 3" xfId="5000"/>
    <cellStyle name="40% - Accent2 4 2 3 3 2" xfId="23042"/>
    <cellStyle name="40% - Accent2 4 2 3 3 3" xfId="23041"/>
    <cellStyle name="40% - Accent2 4 2 3 4" xfId="11310"/>
    <cellStyle name="40% - Accent2 4 2 3 4 2" xfId="23044"/>
    <cellStyle name="40% - Accent2 4 2 3 4 3" xfId="23043"/>
    <cellStyle name="40% - Accent2 4 2 3 5" xfId="23045"/>
    <cellStyle name="40% - Accent2 4 2 3 6" xfId="23038"/>
    <cellStyle name="40% - Accent2 4 2 4" xfId="6564"/>
    <cellStyle name="40% - Accent2 4 2 4 2" xfId="23047"/>
    <cellStyle name="40% - Accent2 4 2 4 3" xfId="23046"/>
    <cellStyle name="40% - Accent2 4 2 5" xfId="3437"/>
    <cellStyle name="40% - Accent2 4 2 5 2" xfId="23049"/>
    <cellStyle name="40% - Accent2 4 2 5 3" xfId="23048"/>
    <cellStyle name="40% - Accent2 4 2 6" xfId="9893"/>
    <cellStyle name="40% - Accent2 4 2 6 2" xfId="23051"/>
    <cellStyle name="40% - Accent2 4 2 6 3" xfId="23050"/>
    <cellStyle name="40% - Accent2 4 2 7" xfId="23052"/>
    <cellStyle name="40% - Accent2 4 2 8" xfId="23021"/>
    <cellStyle name="40% - Accent2 4 3" xfId="352"/>
    <cellStyle name="40% - Accent2 4 3 2" xfId="1060"/>
    <cellStyle name="40% - Accent2 4 3 2 2" xfId="2626"/>
    <cellStyle name="40% - Accent2 4 3 2 2 2" xfId="8911"/>
    <cellStyle name="40% - Accent2 4 3 2 2 2 2" xfId="23057"/>
    <cellStyle name="40% - Accent2 4 3 2 2 2 3" xfId="23056"/>
    <cellStyle name="40% - Accent2 4 3 2 2 3" xfId="5784"/>
    <cellStyle name="40% - Accent2 4 3 2 2 3 2" xfId="23059"/>
    <cellStyle name="40% - Accent2 4 3 2 2 3 3" xfId="23058"/>
    <cellStyle name="40% - Accent2 4 3 2 2 4" xfId="12094"/>
    <cellStyle name="40% - Accent2 4 3 2 2 4 2" xfId="23061"/>
    <cellStyle name="40% - Accent2 4 3 2 2 4 3" xfId="23060"/>
    <cellStyle name="40% - Accent2 4 3 2 2 5" xfId="23062"/>
    <cellStyle name="40% - Accent2 4 3 2 2 6" xfId="23055"/>
    <cellStyle name="40% - Accent2 4 3 2 3" xfId="7348"/>
    <cellStyle name="40% - Accent2 4 3 2 3 2" xfId="23064"/>
    <cellStyle name="40% - Accent2 4 3 2 3 3" xfId="23063"/>
    <cellStyle name="40% - Accent2 4 3 2 4" xfId="4221"/>
    <cellStyle name="40% - Accent2 4 3 2 4 2" xfId="23066"/>
    <cellStyle name="40% - Accent2 4 3 2 4 3" xfId="23065"/>
    <cellStyle name="40% - Accent2 4 3 2 5" xfId="10531"/>
    <cellStyle name="40% - Accent2 4 3 2 5 2" xfId="23068"/>
    <cellStyle name="40% - Accent2 4 3 2 5 3" xfId="23067"/>
    <cellStyle name="40% - Accent2 4 3 2 6" xfId="23069"/>
    <cellStyle name="40% - Accent2 4 3 2 7" xfId="23054"/>
    <cellStyle name="40% - Accent2 4 3 3" xfId="1946"/>
    <cellStyle name="40% - Accent2 4 3 3 2" xfId="8231"/>
    <cellStyle name="40% - Accent2 4 3 3 2 2" xfId="23072"/>
    <cellStyle name="40% - Accent2 4 3 3 2 3" xfId="23071"/>
    <cellStyle name="40% - Accent2 4 3 3 3" xfId="5104"/>
    <cellStyle name="40% - Accent2 4 3 3 3 2" xfId="23074"/>
    <cellStyle name="40% - Accent2 4 3 3 3 3" xfId="23073"/>
    <cellStyle name="40% - Accent2 4 3 3 4" xfId="11414"/>
    <cellStyle name="40% - Accent2 4 3 3 4 2" xfId="23076"/>
    <cellStyle name="40% - Accent2 4 3 3 4 3" xfId="23075"/>
    <cellStyle name="40% - Accent2 4 3 3 5" xfId="23077"/>
    <cellStyle name="40% - Accent2 4 3 3 6" xfId="23070"/>
    <cellStyle name="40% - Accent2 4 3 4" xfId="6668"/>
    <cellStyle name="40% - Accent2 4 3 4 2" xfId="23079"/>
    <cellStyle name="40% - Accent2 4 3 4 3" xfId="23078"/>
    <cellStyle name="40% - Accent2 4 3 5" xfId="3541"/>
    <cellStyle name="40% - Accent2 4 3 5 2" xfId="23081"/>
    <cellStyle name="40% - Accent2 4 3 5 3" xfId="23080"/>
    <cellStyle name="40% - Accent2 4 3 6" xfId="9973"/>
    <cellStyle name="40% - Accent2 4 3 6 2" xfId="23083"/>
    <cellStyle name="40% - Accent2 4 3 6 3" xfId="23082"/>
    <cellStyle name="40% - Accent2 4 3 7" xfId="23084"/>
    <cellStyle name="40% - Accent2 4 3 8" xfId="23053"/>
    <cellStyle name="40% - Accent2 4 4" xfId="433"/>
    <cellStyle name="40% - Accent2 4 4 2" xfId="1140"/>
    <cellStyle name="40% - Accent2 4 4 2 2" xfId="2705"/>
    <cellStyle name="40% - Accent2 4 4 2 2 2" xfId="8990"/>
    <cellStyle name="40% - Accent2 4 4 2 2 2 2" xfId="23089"/>
    <cellStyle name="40% - Accent2 4 4 2 2 2 3" xfId="23088"/>
    <cellStyle name="40% - Accent2 4 4 2 2 3" xfId="5863"/>
    <cellStyle name="40% - Accent2 4 4 2 2 3 2" xfId="23091"/>
    <cellStyle name="40% - Accent2 4 4 2 2 3 3" xfId="23090"/>
    <cellStyle name="40% - Accent2 4 4 2 2 4" xfId="12173"/>
    <cellStyle name="40% - Accent2 4 4 2 2 4 2" xfId="23093"/>
    <cellStyle name="40% - Accent2 4 4 2 2 4 3" xfId="23092"/>
    <cellStyle name="40% - Accent2 4 4 2 2 5" xfId="23094"/>
    <cellStyle name="40% - Accent2 4 4 2 2 6" xfId="23087"/>
    <cellStyle name="40% - Accent2 4 4 2 3" xfId="7427"/>
    <cellStyle name="40% - Accent2 4 4 2 3 2" xfId="23096"/>
    <cellStyle name="40% - Accent2 4 4 2 3 3" xfId="23095"/>
    <cellStyle name="40% - Accent2 4 4 2 4" xfId="4300"/>
    <cellStyle name="40% - Accent2 4 4 2 4 2" xfId="23098"/>
    <cellStyle name="40% - Accent2 4 4 2 4 3" xfId="23097"/>
    <cellStyle name="40% - Accent2 4 4 2 5" xfId="10610"/>
    <cellStyle name="40% - Accent2 4 4 2 5 2" xfId="23100"/>
    <cellStyle name="40% - Accent2 4 4 2 5 3" xfId="23099"/>
    <cellStyle name="40% - Accent2 4 4 2 6" xfId="23101"/>
    <cellStyle name="40% - Accent2 4 4 2 7" xfId="23086"/>
    <cellStyle name="40% - Accent2 4 4 3" xfId="2025"/>
    <cellStyle name="40% - Accent2 4 4 3 2" xfId="8310"/>
    <cellStyle name="40% - Accent2 4 4 3 2 2" xfId="23104"/>
    <cellStyle name="40% - Accent2 4 4 3 2 3" xfId="23103"/>
    <cellStyle name="40% - Accent2 4 4 3 3" xfId="5183"/>
    <cellStyle name="40% - Accent2 4 4 3 3 2" xfId="23106"/>
    <cellStyle name="40% - Accent2 4 4 3 3 3" xfId="23105"/>
    <cellStyle name="40% - Accent2 4 4 3 4" xfId="11493"/>
    <cellStyle name="40% - Accent2 4 4 3 4 2" xfId="23108"/>
    <cellStyle name="40% - Accent2 4 4 3 4 3" xfId="23107"/>
    <cellStyle name="40% - Accent2 4 4 3 5" xfId="23109"/>
    <cellStyle name="40% - Accent2 4 4 3 6" xfId="23102"/>
    <cellStyle name="40% - Accent2 4 4 4" xfId="6747"/>
    <cellStyle name="40% - Accent2 4 4 4 2" xfId="23111"/>
    <cellStyle name="40% - Accent2 4 4 4 3" xfId="23110"/>
    <cellStyle name="40% - Accent2 4 4 5" xfId="3620"/>
    <cellStyle name="40% - Accent2 4 4 5 2" xfId="23113"/>
    <cellStyle name="40% - Accent2 4 4 5 3" xfId="23112"/>
    <cellStyle name="40% - Accent2 4 4 6" xfId="10053"/>
    <cellStyle name="40% - Accent2 4 4 6 2" xfId="23115"/>
    <cellStyle name="40% - Accent2 4 4 6 3" xfId="23114"/>
    <cellStyle name="40% - Accent2 4 4 7" xfId="23116"/>
    <cellStyle name="40% - Accent2 4 4 8" xfId="23085"/>
    <cellStyle name="40% - Accent2 4 5" xfId="579"/>
    <cellStyle name="40% - Accent2 4 5 2" xfId="1286"/>
    <cellStyle name="40% - Accent2 4 5 2 2" xfId="2851"/>
    <cellStyle name="40% - Accent2 4 5 2 2 2" xfId="9136"/>
    <cellStyle name="40% - Accent2 4 5 2 2 2 2" xfId="23121"/>
    <cellStyle name="40% - Accent2 4 5 2 2 2 3" xfId="23120"/>
    <cellStyle name="40% - Accent2 4 5 2 2 3" xfId="6009"/>
    <cellStyle name="40% - Accent2 4 5 2 2 3 2" xfId="23123"/>
    <cellStyle name="40% - Accent2 4 5 2 2 3 3" xfId="23122"/>
    <cellStyle name="40% - Accent2 4 5 2 2 4" xfId="12319"/>
    <cellStyle name="40% - Accent2 4 5 2 2 4 2" xfId="23125"/>
    <cellStyle name="40% - Accent2 4 5 2 2 4 3" xfId="23124"/>
    <cellStyle name="40% - Accent2 4 5 2 2 5" xfId="23126"/>
    <cellStyle name="40% - Accent2 4 5 2 2 6" xfId="23119"/>
    <cellStyle name="40% - Accent2 4 5 2 3" xfId="7573"/>
    <cellStyle name="40% - Accent2 4 5 2 3 2" xfId="23128"/>
    <cellStyle name="40% - Accent2 4 5 2 3 3" xfId="23127"/>
    <cellStyle name="40% - Accent2 4 5 2 4" xfId="4446"/>
    <cellStyle name="40% - Accent2 4 5 2 4 2" xfId="23130"/>
    <cellStyle name="40% - Accent2 4 5 2 4 3" xfId="23129"/>
    <cellStyle name="40% - Accent2 4 5 2 5" xfId="10756"/>
    <cellStyle name="40% - Accent2 4 5 2 5 2" xfId="23132"/>
    <cellStyle name="40% - Accent2 4 5 2 5 3" xfId="23131"/>
    <cellStyle name="40% - Accent2 4 5 2 6" xfId="23133"/>
    <cellStyle name="40% - Accent2 4 5 2 7" xfId="23118"/>
    <cellStyle name="40% - Accent2 4 5 3" xfId="2171"/>
    <cellStyle name="40% - Accent2 4 5 3 2" xfId="8456"/>
    <cellStyle name="40% - Accent2 4 5 3 2 2" xfId="23136"/>
    <cellStyle name="40% - Accent2 4 5 3 2 3" xfId="23135"/>
    <cellStyle name="40% - Accent2 4 5 3 3" xfId="5329"/>
    <cellStyle name="40% - Accent2 4 5 3 3 2" xfId="23138"/>
    <cellStyle name="40% - Accent2 4 5 3 3 3" xfId="23137"/>
    <cellStyle name="40% - Accent2 4 5 3 4" xfId="11639"/>
    <cellStyle name="40% - Accent2 4 5 3 4 2" xfId="23140"/>
    <cellStyle name="40% - Accent2 4 5 3 4 3" xfId="23139"/>
    <cellStyle name="40% - Accent2 4 5 3 5" xfId="23141"/>
    <cellStyle name="40% - Accent2 4 5 3 6" xfId="23134"/>
    <cellStyle name="40% - Accent2 4 5 4" xfId="6893"/>
    <cellStyle name="40% - Accent2 4 5 4 2" xfId="23143"/>
    <cellStyle name="40% - Accent2 4 5 4 3" xfId="23142"/>
    <cellStyle name="40% - Accent2 4 5 5" xfId="3766"/>
    <cellStyle name="40% - Accent2 4 5 5 2" xfId="23145"/>
    <cellStyle name="40% - Accent2 4 5 5 3" xfId="23144"/>
    <cellStyle name="40% - Accent2 4 5 6" xfId="10198"/>
    <cellStyle name="40% - Accent2 4 5 6 2" xfId="23147"/>
    <cellStyle name="40% - Accent2 4 5 6 3" xfId="23146"/>
    <cellStyle name="40% - Accent2 4 5 7" xfId="23148"/>
    <cellStyle name="40% - Accent2 4 5 8" xfId="23117"/>
    <cellStyle name="40% - Accent2 4 6" xfId="638"/>
    <cellStyle name="40% - Accent2 4 6 2" xfId="1343"/>
    <cellStyle name="40% - Accent2 4 6 2 2" xfId="2908"/>
    <cellStyle name="40% - Accent2 4 6 2 2 2" xfId="9193"/>
    <cellStyle name="40% - Accent2 4 6 2 2 2 2" xfId="23153"/>
    <cellStyle name="40% - Accent2 4 6 2 2 2 3" xfId="23152"/>
    <cellStyle name="40% - Accent2 4 6 2 2 3" xfId="6066"/>
    <cellStyle name="40% - Accent2 4 6 2 2 3 2" xfId="23155"/>
    <cellStyle name="40% - Accent2 4 6 2 2 3 3" xfId="23154"/>
    <cellStyle name="40% - Accent2 4 6 2 2 4" xfId="12376"/>
    <cellStyle name="40% - Accent2 4 6 2 2 4 2" xfId="23157"/>
    <cellStyle name="40% - Accent2 4 6 2 2 4 3" xfId="23156"/>
    <cellStyle name="40% - Accent2 4 6 2 2 5" xfId="23158"/>
    <cellStyle name="40% - Accent2 4 6 2 2 6" xfId="23151"/>
    <cellStyle name="40% - Accent2 4 6 2 3" xfId="7630"/>
    <cellStyle name="40% - Accent2 4 6 2 3 2" xfId="23160"/>
    <cellStyle name="40% - Accent2 4 6 2 3 3" xfId="23159"/>
    <cellStyle name="40% - Accent2 4 6 2 4" xfId="4503"/>
    <cellStyle name="40% - Accent2 4 6 2 4 2" xfId="23162"/>
    <cellStyle name="40% - Accent2 4 6 2 4 3" xfId="23161"/>
    <cellStyle name="40% - Accent2 4 6 2 5" xfId="10813"/>
    <cellStyle name="40% - Accent2 4 6 2 5 2" xfId="23164"/>
    <cellStyle name="40% - Accent2 4 6 2 5 3" xfId="23163"/>
    <cellStyle name="40% - Accent2 4 6 2 6" xfId="23165"/>
    <cellStyle name="40% - Accent2 4 6 2 7" xfId="23150"/>
    <cellStyle name="40% - Accent2 4 6 3" xfId="2228"/>
    <cellStyle name="40% - Accent2 4 6 3 2" xfId="8513"/>
    <cellStyle name="40% - Accent2 4 6 3 2 2" xfId="23168"/>
    <cellStyle name="40% - Accent2 4 6 3 2 3" xfId="23167"/>
    <cellStyle name="40% - Accent2 4 6 3 3" xfId="5386"/>
    <cellStyle name="40% - Accent2 4 6 3 3 2" xfId="23170"/>
    <cellStyle name="40% - Accent2 4 6 3 3 3" xfId="23169"/>
    <cellStyle name="40% - Accent2 4 6 3 4" xfId="11696"/>
    <cellStyle name="40% - Accent2 4 6 3 4 2" xfId="23172"/>
    <cellStyle name="40% - Accent2 4 6 3 4 3" xfId="23171"/>
    <cellStyle name="40% - Accent2 4 6 3 5" xfId="23173"/>
    <cellStyle name="40% - Accent2 4 6 3 6" xfId="23166"/>
    <cellStyle name="40% - Accent2 4 6 4" xfId="6950"/>
    <cellStyle name="40% - Accent2 4 6 4 2" xfId="23175"/>
    <cellStyle name="40% - Accent2 4 6 4 3" xfId="23174"/>
    <cellStyle name="40% - Accent2 4 6 5" xfId="3823"/>
    <cellStyle name="40% - Accent2 4 6 5 2" xfId="23177"/>
    <cellStyle name="40% - Accent2 4 6 5 3" xfId="23176"/>
    <cellStyle name="40% - Accent2 4 6 6" xfId="10256"/>
    <cellStyle name="40% - Accent2 4 6 6 2" xfId="23179"/>
    <cellStyle name="40% - Accent2 4 6 6 3" xfId="23178"/>
    <cellStyle name="40% - Accent2 4 6 7" xfId="23180"/>
    <cellStyle name="40% - Accent2 4 6 8" xfId="23149"/>
    <cellStyle name="40% - Accent2 4 7" xfId="905"/>
    <cellStyle name="40% - Accent2 4 7 2" xfId="2471"/>
    <cellStyle name="40% - Accent2 4 7 2 2" xfId="8756"/>
    <cellStyle name="40% - Accent2 4 7 2 2 2" xfId="23184"/>
    <cellStyle name="40% - Accent2 4 7 2 2 3" xfId="23183"/>
    <cellStyle name="40% - Accent2 4 7 2 3" xfId="5629"/>
    <cellStyle name="40% - Accent2 4 7 2 3 2" xfId="23186"/>
    <cellStyle name="40% - Accent2 4 7 2 3 3" xfId="23185"/>
    <cellStyle name="40% - Accent2 4 7 2 4" xfId="11939"/>
    <cellStyle name="40% - Accent2 4 7 2 4 2" xfId="23188"/>
    <cellStyle name="40% - Accent2 4 7 2 4 3" xfId="23187"/>
    <cellStyle name="40% - Accent2 4 7 2 5" xfId="23189"/>
    <cellStyle name="40% - Accent2 4 7 2 6" xfId="23182"/>
    <cellStyle name="40% - Accent2 4 7 3" xfId="7193"/>
    <cellStyle name="40% - Accent2 4 7 3 2" xfId="23191"/>
    <cellStyle name="40% - Accent2 4 7 3 3" xfId="23190"/>
    <cellStyle name="40% - Accent2 4 7 4" xfId="4066"/>
    <cellStyle name="40% - Accent2 4 7 4 2" xfId="23193"/>
    <cellStyle name="40% - Accent2 4 7 4 3" xfId="23192"/>
    <cellStyle name="40% - Accent2 4 7 5" xfId="10376"/>
    <cellStyle name="40% - Accent2 4 7 5 2" xfId="23195"/>
    <cellStyle name="40% - Accent2 4 7 5 3" xfId="23194"/>
    <cellStyle name="40% - Accent2 4 7 6" xfId="23196"/>
    <cellStyle name="40% - Accent2 4 7 7" xfId="23181"/>
    <cellStyle name="40% - Accent2 4 8" xfId="1545"/>
    <cellStyle name="40% - Accent2 4 8 2" xfId="3110"/>
    <cellStyle name="40% - Accent2 4 8 2 2" xfId="9395"/>
    <cellStyle name="40% - Accent2 4 8 2 2 2" xfId="23200"/>
    <cellStyle name="40% - Accent2 4 8 2 2 3" xfId="23199"/>
    <cellStyle name="40% - Accent2 4 8 2 3" xfId="6268"/>
    <cellStyle name="40% - Accent2 4 8 2 3 2" xfId="23202"/>
    <cellStyle name="40% - Accent2 4 8 2 3 3" xfId="23201"/>
    <cellStyle name="40% - Accent2 4 8 2 4" xfId="12578"/>
    <cellStyle name="40% - Accent2 4 8 2 4 2" xfId="23204"/>
    <cellStyle name="40% - Accent2 4 8 2 4 3" xfId="23203"/>
    <cellStyle name="40% - Accent2 4 8 2 5" xfId="23205"/>
    <cellStyle name="40% - Accent2 4 8 2 6" xfId="23198"/>
    <cellStyle name="40% - Accent2 4 8 3" xfId="7832"/>
    <cellStyle name="40% - Accent2 4 8 3 2" xfId="23207"/>
    <cellStyle name="40% - Accent2 4 8 3 3" xfId="23206"/>
    <cellStyle name="40% - Accent2 4 8 4" xfId="4705"/>
    <cellStyle name="40% - Accent2 4 8 4 2" xfId="23209"/>
    <cellStyle name="40% - Accent2 4 8 4 3" xfId="23208"/>
    <cellStyle name="40% - Accent2 4 8 5" xfId="11015"/>
    <cellStyle name="40% - Accent2 4 8 5 2" xfId="23211"/>
    <cellStyle name="40% - Accent2 4 8 5 3" xfId="23210"/>
    <cellStyle name="40% - Accent2 4 8 6" xfId="23212"/>
    <cellStyle name="40% - Accent2 4 8 7" xfId="23197"/>
    <cellStyle name="40% - Accent2 4 9" xfId="1791"/>
    <cellStyle name="40% - Accent2 4 9 2" xfId="8076"/>
    <cellStyle name="40% - Accent2 4 9 2 2" xfId="23215"/>
    <cellStyle name="40% - Accent2 4 9 2 3" xfId="23214"/>
    <cellStyle name="40% - Accent2 4 9 3" xfId="4949"/>
    <cellStyle name="40% - Accent2 4 9 3 2" xfId="23217"/>
    <cellStyle name="40% - Accent2 4 9 3 3" xfId="23216"/>
    <cellStyle name="40% - Accent2 4 9 4" xfId="11259"/>
    <cellStyle name="40% - Accent2 4 9 4 2" xfId="23219"/>
    <cellStyle name="40% - Accent2 4 9 4 3" xfId="23218"/>
    <cellStyle name="40% - Accent2 4 9 5" xfId="23220"/>
    <cellStyle name="40% - Accent2 4 9 6" xfId="23213"/>
    <cellStyle name="40% - Accent2 5" xfId="264"/>
    <cellStyle name="40% - Accent2 5 2" xfId="975"/>
    <cellStyle name="40% - Accent2 5 2 2" xfId="2541"/>
    <cellStyle name="40% - Accent2 5 2 2 2" xfId="8826"/>
    <cellStyle name="40% - Accent2 5 2 2 2 2" xfId="23225"/>
    <cellStyle name="40% - Accent2 5 2 2 2 3" xfId="23224"/>
    <cellStyle name="40% - Accent2 5 2 2 3" xfId="5699"/>
    <cellStyle name="40% - Accent2 5 2 2 3 2" xfId="23227"/>
    <cellStyle name="40% - Accent2 5 2 2 3 3" xfId="23226"/>
    <cellStyle name="40% - Accent2 5 2 2 4" xfId="12009"/>
    <cellStyle name="40% - Accent2 5 2 2 4 2" xfId="23229"/>
    <cellStyle name="40% - Accent2 5 2 2 4 3" xfId="23228"/>
    <cellStyle name="40% - Accent2 5 2 2 5" xfId="23230"/>
    <cellStyle name="40% - Accent2 5 2 2 6" xfId="23223"/>
    <cellStyle name="40% - Accent2 5 2 3" xfId="7263"/>
    <cellStyle name="40% - Accent2 5 2 3 2" xfId="23232"/>
    <cellStyle name="40% - Accent2 5 2 3 3" xfId="23231"/>
    <cellStyle name="40% - Accent2 5 2 4" xfId="4136"/>
    <cellStyle name="40% - Accent2 5 2 4 2" xfId="23234"/>
    <cellStyle name="40% - Accent2 5 2 4 3" xfId="23233"/>
    <cellStyle name="40% - Accent2 5 2 5" xfId="10446"/>
    <cellStyle name="40% - Accent2 5 2 5 2" xfId="23236"/>
    <cellStyle name="40% - Accent2 5 2 5 3" xfId="23235"/>
    <cellStyle name="40% - Accent2 5 2 6" xfId="23237"/>
    <cellStyle name="40% - Accent2 5 2 7" xfId="23222"/>
    <cellStyle name="40% - Accent2 5 3" xfId="1861"/>
    <cellStyle name="40% - Accent2 5 3 2" xfId="8146"/>
    <cellStyle name="40% - Accent2 5 3 2 2" xfId="23240"/>
    <cellStyle name="40% - Accent2 5 3 2 3" xfId="23239"/>
    <cellStyle name="40% - Accent2 5 3 3" xfId="5019"/>
    <cellStyle name="40% - Accent2 5 3 3 2" xfId="23242"/>
    <cellStyle name="40% - Accent2 5 3 3 3" xfId="23241"/>
    <cellStyle name="40% - Accent2 5 3 4" xfId="11329"/>
    <cellStyle name="40% - Accent2 5 3 4 2" xfId="23244"/>
    <cellStyle name="40% - Accent2 5 3 4 3" xfId="23243"/>
    <cellStyle name="40% - Accent2 5 3 5" xfId="23245"/>
    <cellStyle name="40% - Accent2 5 3 6" xfId="23238"/>
    <cellStyle name="40% - Accent2 5 4" xfId="6583"/>
    <cellStyle name="40% - Accent2 5 4 2" xfId="23247"/>
    <cellStyle name="40% - Accent2 5 4 3" xfId="23246"/>
    <cellStyle name="40% - Accent2 5 5" xfId="3456"/>
    <cellStyle name="40% - Accent2 5 5 2" xfId="23249"/>
    <cellStyle name="40% - Accent2 5 5 3" xfId="23248"/>
    <cellStyle name="40% - Accent2 5 6" xfId="9877"/>
    <cellStyle name="40% - Accent2 5 6 2" xfId="23251"/>
    <cellStyle name="40% - Accent2 5 6 3" xfId="23250"/>
    <cellStyle name="40% - Accent2 5 7" xfId="23252"/>
    <cellStyle name="40% - Accent2 5 8" xfId="23221"/>
    <cellStyle name="40% - Accent2 6" xfId="371"/>
    <cellStyle name="40% - Accent2 6 2" xfId="1079"/>
    <cellStyle name="40% - Accent2 6 2 2" xfId="2645"/>
    <cellStyle name="40% - Accent2 6 2 2 2" xfId="8930"/>
    <cellStyle name="40% - Accent2 6 2 2 2 2" xfId="23257"/>
    <cellStyle name="40% - Accent2 6 2 2 2 3" xfId="23256"/>
    <cellStyle name="40% - Accent2 6 2 2 3" xfId="5803"/>
    <cellStyle name="40% - Accent2 6 2 2 3 2" xfId="23259"/>
    <cellStyle name="40% - Accent2 6 2 2 3 3" xfId="23258"/>
    <cellStyle name="40% - Accent2 6 2 2 4" xfId="12113"/>
    <cellStyle name="40% - Accent2 6 2 2 4 2" xfId="23261"/>
    <cellStyle name="40% - Accent2 6 2 2 4 3" xfId="23260"/>
    <cellStyle name="40% - Accent2 6 2 2 5" xfId="23262"/>
    <cellStyle name="40% - Accent2 6 2 2 6" xfId="23255"/>
    <cellStyle name="40% - Accent2 6 2 3" xfId="7367"/>
    <cellStyle name="40% - Accent2 6 2 3 2" xfId="23264"/>
    <cellStyle name="40% - Accent2 6 2 3 3" xfId="23263"/>
    <cellStyle name="40% - Accent2 6 2 4" xfId="4240"/>
    <cellStyle name="40% - Accent2 6 2 4 2" xfId="23266"/>
    <cellStyle name="40% - Accent2 6 2 4 3" xfId="23265"/>
    <cellStyle name="40% - Accent2 6 2 5" xfId="10550"/>
    <cellStyle name="40% - Accent2 6 2 5 2" xfId="23268"/>
    <cellStyle name="40% - Accent2 6 2 5 3" xfId="23267"/>
    <cellStyle name="40% - Accent2 6 2 6" xfId="23269"/>
    <cellStyle name="40% - Accent2 6 2 7" xfId="23254"/>
    <cellStyle name="40% - Accent2 6 3" xfId="1965"/>
    <cellStyle name="40% - Accent2 6 3 2" xfId="8250"/>
    <cellStyle name="40% - Accent2 6 3 2 2" xfId="23272"/>
    <cellStyle name="40% - Accent2 6 3 2 3" xfId="23271"/>
    <cellStyle name="40% - Accent2 6 3 3" xfId="5123"/>
    <cellStyle name="40% - Accent2 6 3 3 2" xfId="23274"/>
    <cellStyle name="40% - Accent2 6 3 3 3" xfId="23273"/>
    <cellStyle name="40% - Accent2 6 3 4" xfId="11433"/>
    <cellStyle name="40% - Accent2 6 3 4 2" xfId="23276"/>
    <cellStyle name="40% - Accent2 6 3 4 3" xfId="23275"/>
    <cellStyle name="40% - Accent2 6 3 5" xfId="23277"/>
    <cellStyle name="40% - Accent2 6 3 6" xfId="23270"/>
    <cellStyle name="40% - Accent2 6 4" xfId="6687"/>
    <cellStyle name="40% - Accent2 6 4 2" xfId="23279"/>
    <cellStyle name="40% - Accent2 6 4 3" xfId="23278"/>
    <cellStyle name="40% - Accent2 6 5" xfId="3560"/>
    <cellStyle name="40% - Accent2 6 5 2" xfId="23281"/>
    <cellStyle name="40% - Accent2 6 5 3" xfId="23280"/>
    <cellStyle name="40% - Accent2 6 6" xfId="9992"/>
    <cellStyle name="40% - Accent2 6 6 2" xfId="23283"/>
    <cellStyle name="40% - Accent2 6 6 3" xfId="23282"/>
    <cellStyle name="40% - Accent2 6 7" xfId="23284"/>
    <cellStyle name="40% - Accent2 6 8" xfId="23253"/>
    <cellStyle name="40% - Accent2 7" xfId="402"/>
    <cellStyle name="40% - Accent2 7 2" xfId="1109"/>
    <cellStyle name="40% - Accent2 7 2 2" xfId="2674"/>
    <cellStyle name="40% - Accent2 7 2 2 2" xfId="8959"/>
    <cellStyle name="40% - Accent2 7 2 2 2 2" xfId="23289"/>
    <cellStyle name="40% - Accent2 7 2 2 2 3" xfId="23288"/>
    <cellStyle name="40% - Accent2 7 2 2 3" xfId="5832"/>
    <cellStyle name="40% - Accent2 7 2 2 3 2" xfId="23291"/>
    <cellStyle name="40% - Accent2 7 2 2 3 3" xfId="23290"/>
    <cellStyle name="40% - Accent2 7 2 2 4" xfId="12142"/>
    <cellStyle name="40% - Accent2 7 2 2 4 2" xfId="23293"/>
    <cellStyle name="40% - Accent2 7 2 2 4 3" xfId="23292"/>
    <cellStyle name="40% - Accent2 7 2 2 5" xfId="23294"/>
    <cellStyle name="40% - Accent2 7 2 2 6" xfId="23287"/>
    <cellStyle name="40% - Accent2 7 2 3" xfId="7396"/>
    <cellStyle name="40% - Accent2 7 2 3 2" xfId="23296"/>
    <cellStyle name="40% - Accent2 7 2 3 3" xfId="23295"/>
    <cellStyle name="40% - Accent2 7 2 4" xfId="4269"/>
    <cellStyle name="40% - Accent2 7 2 4 2" xfId="23298"/>
    <cellStyle name="40% - Accent2 7 2 4 3" xfId="23297"/>
    <cellStyle name="40% - Accent2 7 2 5" xfId="10579"/>
    <cellStyle name="40% - Accent2 7 2 5 2" xfId="23300"/>
    <cellStyle name="40% - Accent2 7 2 5 3" xfId="23299"/>
    <cellStyle name="40% - Accent2 7 2 6" xfId="23301"/>
    <cellStyle name="40% - Accent2 7 2 7" xfId="23286"/>
    <cellStyle name="40% - Accent2 7 3" xfId="1994"/>
    <cellStyle name="40% - Accent2 7 3 2" xfId="8279"/>
    <cellStyle name="40% - Accent2 7 3 2 2" xfId="23304"/>
    <cellStyle name="40% - Accent2 7 3 2 3" xfId="23303"/>
    <cellStyle name="40% - Accent2 7 3 3" xfId="5152"/>
    <cellStyle name="40% - Accent2 7 3 3 2" xfId="23306"/>
    <cellStyle name="40% - Accent2 7 3 3 3" xfId="23305"/>
    <cellStyle name="40% - Accent2 7 3 4" xfId="11462"/>
    <cellStyle name="40% - Accent2 7 3 4 2" xfId="23308"/>
    <cellStyle name="40% - Accent2 7 3 4 3" xfId="23307"/>
    <cellStyle name="40% - Accent2 7 3 5" xfId="23309"/>
    <cellStyle name="40% - Accent2 7 3 6" xfId="23302"/>
    <cellStyle name="40% - Accent2 7 4" xfId="6716"/>
    <cellStyle name="40% - Accent2 7 4 2" xfId="23311"/>
    <cellStyle name="40% - Accent2 7 4 3" xfId="23310"/>
    <cellStyle name="40% - Accent2 7 5" xfId="3589"/>
    <cellStyle name="40% - Accent2 7 5 2" xfId="23313"/>
    <cellStyle name="40% - Accent2 7 5 3" xfId="23312"/>
    <cellStyle name="40% - Accent2 7 6" xfId="10022"/>
    <cellStyle name="40% - Accent2 7 6 2" xfId="23315"/>
    <cellStyle name="40% - Accent2 7 6 3" xfId="23314"/>
    <cellStyle name="40% - Accent2 7 7" xfId="23316"/>
    <cellStyle name="40% - Accent2 7 8" xfId="23285"/>
    <cellStyle name="40% - Accent2 8" xfId="446"/>
    <cellStyle name="40% - Accent2 8 2" xfId="1153"/>
    <cellStyle name="40% - Accent2 8 2 2" xfId="2718"/>
    <cellStyle name="40% - Accent2 8 2 2 2" xfId="9003"/>
    <cellStyle name="40% - Accent2 8 2 2 2 2" xfId="23321"/>
    <cellStyle name="40% - Accent2 8 2 2 2 3" xfId="23320"/>
    <cellStyle name="40% - Accent2 8 2 2 3" xfId="5876"/>
    <cellStyle name="40% - Accent2 8 2 2 3 2" xfId="23323"/>
    <cellStyle name="40% - Accent2 8 2 2 3 3" xfId="23322"/>
    <cellStyle name="40% - Accent2 8 2 2 4" xfId="12186"/>
    <cellStyle name="40% - Accent2 8 2 2 4 2" xfId="23325"/>
    <cellStyle name="40% - Accent2 8 2 2 4 3" xfId="23324"/>
    <cellStyle name="40% - Accent2 8 2 2 5" xfId="23326"/>
    <cellStyle name="40% - Accent2 8 2 2 6" xfId="23319"/>
    <cellStyle name="40% - Accent2 8 2 3" xfId="7440"/>
    <cellStyle name="40% - Accent2 8 2 3 2" xfId="23328"/>
    <cellStyle name="40% - Accent2 8 2 3 3" xfId="23327"/>
    <cellStyle name="40% - Accent2 8 2 4" xfId="4313"/>
    <cellStyle name="40% - Accent2 8 2 4 2" xfId="23330"/>
    <cellStyle name="40% - Accent2 8 2 4 3" xfId="23329"/>
    <cellStyle name="40% - Accent2 8 2 5" xfId="10623"/>
    <cellStyle name="40% - Accent2 8 2 5 2" xfId="23332"/>
    <cellStyle name="40% - Accent2 8 2 5 3" xfId="23331"/>
    <cellStyle name="40% - Accent2 8 2 6" xfId="23333"/>
    <cellStyle name="40% - Accent2 8 2 7" xfId="23318"/>
    <cellStyle name="40% - Accent2 8 3" xfId="2038"/>
    <cellStyle name="40% - Accent2 8 3 2" xfId="8323"/>
    <cellStyle name="40% - Accent2 8 3 2 2" xfId="23336"/>
    <cellStyle name="40% - Accent2 8 3 2 3" xfId="23335"/>
    <cellStyle name="40% - Accent2 8 3 3" xfId="5196"/>
    <cellStyle name="40% - Accent2 8 3 3 2" xfId="23338"/>
    <cellStyle name="40% - Accent2 8 3 3 3" xfId="23337"/>
    <cellStyle name="40% - Accent2 8 3 4" xfId="11506"/>
    <cellStyle name="40% - Accent2 8 3 4 2" xfId="23340"/>
    <cellStyle name="40% - Accent2 8 3 4 3" xfId="23339"/>
    <cellStyle name="40% - Accent2 8 3 5" xfId="23341"/>
    <cellStyle name="40% - Accent2 8 3 6" xfId="23334"/>
    <cellStyle name="40% - Accent2 8 4" xfId="6760"/>
    <cellStyle name="40% - Accent2 8 4 2" xfId="23343"/>
    <cellStyle name="40% - Accent2 8 4 3" xfId="23342"/>
    <cellStyle name="40% - Accent2 8 5" xfId="3633"/>
    <cellStyle name="40% - Accent2 8 5 2" xfId="23345"/>
    <cellStyle name="40% - Accent2 8 5 3" xfId="23344"/>
    <cellStyle name="40% - Accent2 8 6" xfId="10065"/>
    <cellStyle name="40% - Accent2 8 6 2" xfId="23347"/>
    <cellStyle name="40% - Accent2 8 6 3" xfId="23346"/>
    <cellStyle name="40% - Accent2 8 7" xfId="23348"/>
    <cellStyle name="40% - Accent2 8 8" xfId="23317"/>
    <cellStyle name="40% - Accent2 9" xfId="460"/>
    <cellStyle name="40% - Accent2 9 2" xfId="1167"/>
    <cellStyle name="40% - Accent2 9 2 2" xfId="2732"/>
    <cellStyle name="40% - Accent2 9 2 2 2" xfId="9017"/>
    <cellStyle name="40% - Accent2 9 2 2 2 2" xfId="23353"/>
    <cellStyle name="40% - Accent2 9 2 2 2 3" xfId="23352"/>
    <cellStyle name="40% - Accent2 9 2 2 3" xfId="5890"/>
    <cellStyle name="40% - Accent2 9 2 2 3 2" xfId="23355"/>
    <cellStyle name="40% - Accent2 9 2 2 3 3" xfId="23354"/>
    <cellStyle name="40% - Accent2 9 2 2 4" xfId="12200"/>
    <cellStyle name="40% - Accent2 9 2 2 4 2" xfId="23357"/>
    <cellStyle name="40% - Accent2 9 2 2 4 3" xfId="23356"/>
    <cellStyle name="40% - Accent2 9 2 2 5" xfId="23358"/>
    <cellStyle name="40% - Accent2 9 2 2 6" xfId="23351"/>
    <cellStyle name="40% - Accent2 9 2 3" xfId="7454"/>
    <cellStyle name="40% - Accent2 9 2 3 2" xfId="23360"/>
    <cellStyle name="40% - Accent2 9 2 3 3" xfId="23359"/>
    <cellStyle name="40% - Accent2 9 2 4" xfId="4327"/>
    <cellStyle name="40% - Accent2 9 2 4 2" xfId="23362"/>
    <cellStyle name="40% - Accent2 9 2 4 3" xfId="23361"/>
    <cellStyle name="40% - Accent2 9 2 5" xfId="10637"/>
    <cellStyle name="40% - Accent2 9 2 5 2" xfId="23364"/>
    <cellStyle name="40% - Accent2 9 2 5 3" xfId="23363"/>
    <cellStyle name="40% - Accent2 9 2 6" xfId="23365"/>
    <cellStyle name="40% - Accent2 9 2 7" xfId="23350"/>
    <cellStyle name="40% - Accent2 9 3" xfId="2052"/>
    <cellStyle name="40% - Accent2 9 3 2" xfId="8337"/>
    <cellStyle name="40% - Accent2 9 3 2 2" xfId="23368"/>
    <cellStyle name="40% - Accent2 9 3 2 3" xfId="23367"/>
    <cellStyle name="40% - Accent2 9 3 3" xfId="5210"/>
    <cellStyle name="40% - Accent2 9 3 3 2" xfId="23370"/>
    <cellStyle name="40% - Accent2 9 3 3 3" xfId="23369"/>
    <cellStyle name="40% - Accent2 9 3 4" xfId="11520"/>
    <cellStyle name="40% - Accent2 9 3 4 2" xfId="23372"/>
    <cellStyle name="40% - Accent2 9 3 4 3" xfId="23371"/>
    <cellStyle name="40% - Accent2 9 3 5" xfId="23373"/>
    <cellStyle name="40% - Accent2 9 3 6" xfId="23366"/>
    <cellStyle name="40% - Accent2 9 4" xfId="6774"/>
    <cellStyle name="40% - Accent2 9 4 2" xfId="23375"/>
    <cellStyle name="40% - Accent2 9 4 3" xfId="23374"/>
    <cellStyle name="40% - Accent2 9 5" xfId="3647"/>
    <cellStyle name="40% - Accent2 9 5 2" xfId="23377"/>
    <cellStyle name="40% - Accent2 9 5 3" xfId="23376"/>
    <cellStyle name="40% - Accent2 9 6" xfId="10079"/>
    <cellStyle name="40% - Accent2 9 6 2" xfId="23379"/>
    <cellStyle name="40% - Accent2 9 6 3" xfId="23378"/>
    <cellStyle name="40% - Accent2 9 7" xfId="23380"/>
    <cellStyle name="40% - Accent2 9 8" xfId="23349"/>
    <cellStyle name="40% - Accent3" xfId="37" builtinId="39" customBuiltin="1"/>
    <cellStyle name="40% - Accent3 10" xfId="462"/>
    <cellStyle name="40% - Accent3 10 2" xfId="1169"/>
    <cellStyle name="40% - Accent3 10 2 2" xfId="2734"/>
    <cellStyle name="40% - Accent3 10 2 2 2" xfId="9019"/>
    <cellStyle name="40% - Accent3 10 2 2 2 2" xfId="23386"/>
    <cellStyle name="40% - Accent3 10 2 2 2 3" xfId="23385"/>
    <cellStyle name="40% - Accent3 10 2 2 3" xfId="5892"/>
    <cellStyle name="40% - Accent3 10 2 2 3 2" xfId="23388"/>
    <cellStyle name="40% - Accent3 10 2 2 3 3" xfId="23387"/>
    <cellStyle name="40% - Accent3 10 2 2 4" xfId="12202"/>
    <cellStyle name="40% - Accent3 10 2 2 4 2" xfId="23390"/>
    <cellStyle name="40% - Accent3 10 2 2 4 3" xfId="23389"/>
    <cellStyle name="40% - Accent3 10 2 2 5" xfId="23391"/>
    <cellStyle name="40% - Accent3 10 2 2 6" xfId="23384"/>
    <cellStyle name="40% - Accent3 10 2 3" xfId="7456"/>
    <cellStyle name="40% - Accent3 10 2 3 2" xfId="23393"/>
    <cellStyle name="40% - Accent3 10 2 3 3" xfId="23392"/>
    <cellStyle name="40% - Accent3 10 2 4" xfId="4329"/>
    <cellStyle name="40% - Accent3 10 2 4 2" xfId="23395"/>
    <cellStyle name="40% - Accent3 10 2 4 3" xfId="23394"/>
    <cellStyle name="40% - Accent3 10 2 5" xfId="10639"/>
    <cellStyle name="40% - Accent3 10 2 5 2" xfId="23397"/>
    <cellStyle name="40% - Accent3 10 2 5 3" xfId="23396"/>
    <cellStyle name="40% - Accent3 10 2 6" xfId="23398"/>
    <cellStyle name="40% - Accent3 10 2 7" xfId="23383"/>
    <cellStyle name="40% - Accent3 10 3" xfId="2054"/>
    <cellStyle name="40% - Accent3 10 3 2" xfId="8339"/>
    <cellStyle name="40% - Accent3 10 3 2 2" xfId="23401"/>
    <cellStyle name="40% - Accent3 10 3 2 3" xfId="23400"/>
    <cellStyle name="40% - Accent3 10 3 3" xfId="5212"/>
    <cellStyle name="40% - Accent3 10 3 3 2" xfId="23403"/>
    <cellStyle name="40% - Accent3 10 3 3 3" xfId="23402"/>
    <cellStyle name="40% - Accent3 10 3 4" xfId="11522"/>
    <cellStyle name="40% - Accent3 10 3 4 2" xfId="23405"/>
    <cellStyle name="40% - Accent3 10 3 4 3" xfId="23404"/>
    <cellStyle name="40% - Accent3 10 3 5" xfId="23406"/>
    <cellStyle name="40% - Accent3 10 3 6" xfId="23399"/>
    <cellStyle name="40% - Accent3 10 4" xfId="6776"/>
    <cellStyle name="40% - Accent3 10 4 2" xfId="23408"/>
    <cellStyle name="40% - Accent3 10 4 3" xfId="23407"/>
    <cellStyle name="40% - Accent3 10 5" xfId="3649"/>
    <cellStyle name="40% - Accent3 10 5 2" xfId="23410"/>
    <cellStyle name="40% - Accent3 10 5 3" xfId="23409"/>
    <cellStyle name="40% - Accent3 10 6" xfId="10081"/>
    <cellStyle name="40% - Accent3 10 6 2" xfId="23412"/>
    <cellStyle name="40% - Accent3 10 6 3" xfId="23411"/>
    <cellStyle name="40% - Accent3 10 7" xfId="23413"/>
    <cellStyle name="40% - Accent3 10 8" xfId="23382"/>
    <cellStyle name="40% - Accent3 11" xfId="477"/>
    <cellStyle name="40% - Accent3 11 2" xfId="1184"/>
    <cellStyle name="40% - Accent3 11 2 2" xfId="2749"/>
    <cellStyle name="40% - Accent3 11 2 2 2" xfId="9034"/>
    <cellStyle name="40% - Accent3 11 2 2 2 2" xfId="23418"/>
    <cellStyle name="40% - Accent3 11 2 2 2 3" xfId="23417"/>
    <cellStyle name="40% - Accent3 11 2 2 3" xfId="5907"/>
    <cellStyle name="40% - Accent3 11 2 2 3 2" xfId="23420"/>
    <cellStyle name="40% - Accent3 11 2 2 3 3" xfId="23419"/>
    <cellStyle name="40% - Accent3 11 2 2 4" xfId="12217"/>
    <cellStyle name="40% - Accent3 11 2 2 4 2" xfId="23422"/>
    <cellStyle name="40% - Accent3 11 2 2 4 3" xfId="23421"/>
    <cellStyle name="40% - Accent3 11 2 2 5" xfId="23423"/>
    <cellStyle name="40% - Accent3 11 2 2 6" xfId="23416"/>
    <cellStyle name="40% - Accent3 11 2 3" xfId="7471"/>
    <cellStyle name="40% - Accent3 11 2 3 2" xfId="23425"/>
    <cellStyle name="40% - Accent3 11 2 3 3" xfId="23424"/>
    <cellStyle name="40% - Accent3 11 2 4" xfId="4344"/>
    <cellStyle name="40% - Accent3 11 2 4 2" xfId="23427"/>
    <cellStyle name="40% - Accent3 11 2 4 3" xfId="23426"/>
    <cellStyle name="40% - Accent3 11 2 5" xfId="10654"/>
    <cellStyle name="40% - Accent3 11 2 5 2" xfId="23429"/>
    <cellStyle name="40% - Accent3 11 2 5 3" xfId="23428"/>
    <cellStyle name="40% - Accent3 11 2 6" xfId="23430"/>
    <cellStyle name="40% - Accent3 11 2 7" xfId="23415"/>
    <cellStyle name="40% - Accent3 11 3" xfId="2069"/>
    <cellStyle name="40% - Accent3 11 3 2" xfId="8354"/>
    <cellStyle name="40% - Accent3 11 3 2 2" xfId="23433"/>
    <cellStyle name="40% - Accent3 11 3 2 3" xfId="23432"/>
    <cellStyle name="40% - Accent3 11 3 3" xfId="5227"/>
    <cellStyle name="40% - Accent3 11 3 3 2" xfId="23435"/>
    <cellStyle name="40% - Accent3 11 3 3 3" xfId="23434"/>
    <cellStyle name="40% - Accent3 11 3 4" xfId="11537"/>
    <cellStyle name="40% - Accent3 11 3 4 2" xfId="23437"/>
    <cellStyle name="40% - Accent3 11 3 4 3" xfId="23436"/>
    <cellStyle name="40% - Accent3 11 3 5" xfId="23438"/>
    <cellStyle name="40% - Accent3 11 3 6" xfId="23431"/>
    <cellStyle name="40% - Accent3 11 4" xfId="6791"/>
    <cellStyle name="40% - Accent3 11 4 2" xfId="23440"/>
    <cellStyle name="40% - Accent3 11 4 3" xfId="23439"/>
    <cellStyle name="40% - Accent3 11 5" xfId="3664"/>
    <cellStyle name="40% - Accent3 11 5 2" xfId="23442"/>
    <cellStyle name="40% - Accent3 11 5 3" xfId="23441"/>
    <cellStyle name="40% - Accent3 11 6" xfId="10096"/>
    <cellStyle name="40% - Accent3 11 6 2" xfId="23444"/>
    <cellStyle name="40% - Accent3 11 6 3" xfId="23443"/>
    <cellStyle name="40% - Accent3 11 7" xfId="23445"/>
    <cellStyle name="40% - Accent3 11 8" xfId="23414"/>
    <cellStyle name="40% - Accent3 12" xfId="492"/>
    <cellStyle name="40% - Accent3 12 2" xfId="1199"/>
    <cellStyle name="40% - Accent3 12 2 2" xfId="2764"/>
    <cellStyle name="40% - Accent3 12 2 2 2" xfId="9049"/>
    <cellStyle name="40% - Accent3 12 2 2 2 2" xfId="23450"/>
    <cellStyle name="40% - Accent3 12 2 2 2 3" xfId="23449"/>
    <cellStyle name="40% - Accent3 12 2 2 3" xfId="5922"/>
    <cellStyle name="40% - Accent3 12 2 2 3 2" xfId="23452"/>
    <cellStyle name="40% - Accent3 12 2 2 3 3" xfId="23451"/>
    <cellStyle name="40% - Accent3 12 2 2 4" xfId="12232"/>
    <cellStyle name="40% - Accent3 12 2 2 4 2" xfId="23454"/>
    <cellStyle name="40% - Accent3 12 2 2 4 3" xfId="23453"/>
    <cellStyle name="40% - Accent3 12 2 2 5" xfId="23455"/>
    <cellStyle name="40% - Accent3 12 2 2 6" xfId="23448"/>
    <cellStyle name="40% - Accent3 12 2 3" xfId="7486"/>
    <cellStyle name="40% - Accent3 12 2 3 2" xfId="23457"/>
    <cellStyle name="40% - Accent3 12 2 3 3" xfId="23456"/>
    <cellStyle name="40% - Accent3 12 2 4" xfId="4359"/>
    <cellStyle name="40% - Accent3 12 2 4 2" xfId="23459"/>
    <cellStyle name="40% - Accent3 12 2 4 3" xfId="23458"/>
    <cellStyle name="40% - Accent3 12 2 5" xfId="10669"/>
    <cellStyle name="40% - Accent3 12 2 5 2" xfId="23461"/>
    <cellStyle name="40% - Accent3 12 2 5 3" xfId="23460"/>
    <cellStyle name="40% - Accent3 12 2 6" xfId="23462"/>
    <cellStyle name="40% - Accent3 12 2 7" xfId="23447"/>
    <cellStyle name="40% - Accent3 12 3" xfId="2084"/>
    <cellStyle name="40% - Accent3 12 3 2" xfId="8369"/>
    <cellStyle name="40% - Accent3 12 3 2 2" xfId="23465"/>
    <cellStyle name="40% - Accent3 12 3 2 3" xfId="23464"/>
    <cellStyle name="40% - Accent3 12 3 3" xfId="5242"/>
    <cellStyle name="40% - Accent3 12 3 3 2" xfId="23467"/>
    <cellStyle name="40% - Accent3 12 3 3 3" xfId="23466"/>
    <cellStyle name="40% - Accent3 12 3 4" xfId="11552"/>
    <cellStyle name="40% - Accent3 12 3 4 2" xfId="23469"/>
    <cellStyle name="40% - Accent3 12 3 4 3" xfId="23468"/>
    <cellStyle name="40% - Accent3 12 3 5" xfId="23470"/>
    <cellStyle name="40% - Accent3 12 3 6" xfId="23463"/>
    <cellStyle name="40% - Accent3 12 4" xfId="6806"/>
    <cellStyle name="40% - Accent3 12 4 2" xfId="23472"/>
    <cellStyle name="40% - Accent3 12 4 3" xfId="23471"/>
    <cellStyle name="40% - Accent3 12 5" xfId="3679"/>
    <cellStyle name="40% - Accent3 12 5 2" xfId="23474"/>
    <cellStyle name="40% - Accent3 12 5 3" xfId="23473"/>
    <cellStyle name="40% - Accent3 12 6" xfId="10111"/>
    <cellStyle name="40% - Accent3 12 6 2" xfId="23476"/>
    <cellStyle name="40% - Accent3 12 6 3" xfId="23475"/>
    <cellStyle name="40% - Accent3 12 7" xfId="23477"/>
    <cellStyle name="40% - Accent3 12 8" xfId="23446"/>
    <cellStyle name="40% - Accent3 13" xfId="505"/>
    <cellStyle name="40% - Accent3 13 2" xfId="1212"/>
    <cellStyle name="40% - Accent3 13 2 2" xfId="2777"/>
    <cellStyle name="40% - Accent3 13 2 2 2" xfId="9062"/>
    <cellStyle name="40% - Accent3 13 2 2 2 2" xfId="23482"/>
    <cellStyle name="40% - Accent3 13 2 2 2 3" xfId="23481"/>
    <cellStyle name="40% - Accent3 13 2 2 3" xfId="5935"/>
    <cellStyle name="40% - Accent3 13 2 2 3 2" xfId="23484"/>
    <cellStyle name="40% - Accent3 13 2 2 3 3" xfId="23483"/>
    <cellStyle name="40% - Accent3 13 2 2 4" xfId="12245"/>
    <cellStyle name="40% - Accent3 13 2 2 4 2" xfId="23486"/>
    <cellStyle name="40% - Accent3 13 2 2 4 3" xfId="23485"/>
    <cellStyle name="40% - Accent3 13 2 2 5" xfId="23487"/>
    <cellStyle name="40% - Accent3 13 2 2 6" xfId="23480"/>
    <cellStyle name="40% - Accent3 13 2 3" xfId="7499"/>
    <cellStyle name="40% - Accent3 13 2 3 2" xfId="23489"/>
    <cellStyle name="40% - Accent3 13 2 3 3" xfId="23488"/>
    <cellStyle name="40% - Accent3 13 2 4" xfId="4372"/>
    <cellStyle name="40% - Accent3 13 2 4 2" xfId="23491"/>
    <cellStyle name="40% - Accent3 13 2 4 3" xfId="23490"/>
    <cellStyle name="40% - Accent3 13 2 5" xfId="10682"/>
    <cellStyle name="40% - Accent3 13 2 5 2" xfId="23493"/>
    <cellStyle name="40% - Accent3 13 2 5 3" xfId="23492"/>
    <cellStyle name="40% - Accent3 13 2 6" xfId="23494"/>
    <cellStyle name="40% - Accent3 13 2 7" xfId="23479"/>
    <cellStyle name="40% - Accent3 13 3" xfId="2097"/>
    <cellStyle name="40% - Accent3 13 3 2" xfId="8382"/>
    <cellStyle name="40% - Accent3 13 3 2 2" xfId="23497"/>
    <cellStyle name="40% - Accent3 13 3 2 3" xfId="23496"/>
    <cellStyle name="40% - Accent3 13 3 3" xfId="5255"/>
    <cellStyle name="40% - Accent3 13 3 3 2" xfId="23499"/>
    <cellStyle name="40% - Accent3 13 3 3 3" xfId="23498"/>
    <cellStyle name="40% - Accent3 13 3 4" xfId="11565"/>
    <cellStyle name="40% - Accent3 13 3 4 2" xfId="23501"/>
    <cellStyle name="40% - Accent3 13 3 4 3" xfId="23500"/>
    <cellStyle name="40% - Accent3 13 3 5" xfId="23502"/>
    <cellStyle name="40% - Accent3 13 3 6" xfId="23495"/>
    <cellStyle name="40% - Accent3 13 4" xfId="6819"/>
    <cellStyle name="40% - Accent3 13 4 2" xfId="23504"/>
    <cellStyle name="40% - Accent3 13 4 3" xfId="23503"/>
    <cellStyle name="40% - Accent3 13 5" xfId="3692"/>
    <cellStyle name="40% - Accent3 13 5 2" xfId="23506"/>
    <cellStyle name="40% - Accent3 13 5 3" xfId="23505"/>
    <cellStyle name="40% - Accent3 13 6" xfId="10124"/>
    <cellStyle name="40% - Accent3 13 6 2" xfId="23508"/>
    <cellStyle name="40% - Accent3 13 6 3" xfId="23507"/>
    <cellStyle name="40% - Accent3 13 7" xfId="23509"/>
    <cellStyle name="40% - Accent3 13 8" xfId="23478"/>
    <cellStyle name="40% - Accent3 14" xfId="519"/>
    <cellStyle name="40% - Accent3 14 2" xfId="1226"/>
    <cellStyle name="40% - Accent3 14 2 2" xfId="2791"/>
    <cellStyle name="40% - Accent3 14 2 2 2" xfId="9076"/>
    <cellStyle name="40% - Accent3 14 2 2 2 2" xfId="23514"/>
    <cellStyle name="40% - Accent3 14 2 2 2 3" xfId="23513"/>
    <cellStyle name="40% - Accent3 14 2 2 3" xfId="5949"/>
    <cellStyle name="40% - Accent3 14 2 2 3 2" xfId="23516"/>
    <cellStyle name="40% - Accent3 14 2 2 3 3" xfId="23515"/>
    <cellStyle name="40% - Accent3 14 2 2 4" xfId="12259"/>
    <cellStyle name="40% - Accent3 14 2 2 4 2" xfId="23518"/>
    <cellStyle name="40% - Accent3 14 2 2 4 3" xfId="23517"/>
    <cellStyle name="40% - Accent3 14 2 2 5" xfId="23519"/>
    <cellStyle name="40% - Accent3 14 2 2 6" xfId="23512"/>
    <cellStyle name="40% - Accent3 14 2 3" xfId="7513"/>
    <cellStyle name="40% - Accent3 14 2 3 2" xfId="23521"/>
    <cellStyle name="40% - Accent3 14 2 3 3" xfId="23520"/>
    <cellStyle name="40% - Accent3 14 2 4" xfId="4386"/>
    <cellStyle name="40% - Accent3 14 2 4 2" xfId="23523"/>
    <cellStyle name="40% - Accent3 14 2 4 3" xfId="23522"/>
    <cellStyle name="40% - Accent3 14 2 5" xfId="10696"/>
    <cellStyle name="40% - Accent3 14 2 5 2" xfId="23525"/>
    <cellStyle name="40% - Accent3 14 2 5 3" xfId="23524"/>
    <cellStyle name="40% - Accent3 14 2 6" xfId="23526"/>
    <cellStyle name="40% - Accent3 14 2 7" xfId="23511"/>
    <cellStyle name="40% - Accent3 14 3" xfId="2111"/>
    <cellStyle name="40% - Accent3 14 3 2" xfId="8396"/>
    <cellStyle name="40% - Accent3 14 3 2 2" xfId="23529"/>
    <cellStyle name="40% - Accent3 14 3 2 3" xfId="23528"/>
    <cellStyle name="40% - Accent3 14 3 3" xfId="5269"/>
    <cellStyle name="40% - Accent3 14 3 3 2" xfId="23531"/>
    <cellStyle name="40% - Accent3 14 3 3 3" xfId="23530"/>
    <cellStyle name="40% - Accent3 14 3 4" xfId="11579"/>
    <cellStyle name="40% - Accent3 14 3 4 2" xfId="23533"/>
    <cellStyle name="40% - Accent3 14 3 4 3" xfId="23532"/>
    <cellStyle name="40% - Accent3 14 3 5" xfId="23534"/>
    <cellStyle name="40% - Accent3 14 3 6" xfId="23527"/>
    <cellStyle name="40% - Accent3 14 4" xfId="6833"/>
    <cellStyle name="40% - Accent3 14 4 2" xfId="23536"/>
    <cellStyle name="40% - Accent3 14 4 3" xfId="23535"/>
    <cellStyle name="40% - Accent3 14 5" xfId="3706"/>
    <cellStyle name="40% - Accent3 14 5 2" xfId="23538"/>
    <cellStyle name="40% - Accent3 14 5 3" xfId="23537"/>
    <cellStyle name="40% - Accent3 14 6" xfId="10138"/>
    <cellStyle name="40% - Accent3 14 6 2" xfId="23540"/>
    <cellStyle name="40% - Accent3 14 6 3" xfId="23539"/>
    <cellStyle name="40% - Accent3 14 7" xfId="23541"/>
    <cellStyle name="40% - Accent3 14 8" xfId="23510"/>
    <cellStyle name="40% - Accent3 15" xfId="533"/>
    <cellStyle name="40% - Accent3 15 2" xfId="1240"/>
    <cellStyle name="40% - Accent3 15 2 2" xfId="2805"/>
    <cellStyle name="40% - Accent3 15 2 2 2" xfId="9090"/>
    <cellStyle name="40% - Accent3 15 2 2 2 2" xfId="23546"/>
    <cellStyle name="40% - Accent3 15 2 2 2 3" xfId="23545"/>
    <cellStyle name="40% - Accent3 15 2 2 3" xfId="5963"/>
    <cellStyle name="40% - Accent3 15 2 2 3 2" xfId="23548"/>
    <cellStyle name="40% - Accent3 15 2 2 3 3" xfId="23547"/>
    <cellStyle name="40% - Accent3 15 2 2 4" xfId="12273"/>
    <cellStyle name="40% - Accent3 15 2 2 4 2" xfId="23550"/>
    <cellStyle name="40% - Accent3 15 2 2 4 3" xfId="23549"/>
    <cellStyle name="40% - Accent3 15 2 2 5" xfId="23551"/>
    <cellStyle name="40% - Accent3 15 2 2 6" xfId="23544"/>
    <cellStyle name="40% - Accent3 15 2 3" xfId="7527"/>
    <cellStyle name="40% - Accent3 15 2 3 2" xfId="23553"/>
    <cellStyle name="40% - Accent3 15 2 3 3" xfId="23552"/>
    <cellStyle name="40% - Accent3 15 2 4" xfId="4400"/>
    <cellStyle name="40% - Accent3 15 2 4 2" xfId="23555"/>
    <cellStyle name="40% - Accent3 15 2 4 3" xfId="23554"/>
    <cellStyle name="40% - Accent3 15 2 5" xfId="10710"/>
    <cellStyle name="40% - Accent3 15 2 5 2" xfId="23557"/>
    <cellStyle name="40% - Accent3 15 2 5 3" xfId="23556"/>
    <cellStyle name="40% - Accent3 15 2 6" xfId="23558"/>
    <cellStyle name="40% - Accent3 15 2 7" xfId="23543"/>
    <cellStyle name="40% - Accent3 15 3" xfId="2125"/>
    <cellStyle name="40% - Accent3 15 3 2" xfId="8410"/>
    <cellStyle name="40% - Accent3 15 3 2 2" xfId="23561"/>
    <cellStyle name="40% - Accent3 15 3 2 3" xfId="23560"/>
    <cellStyle name="40% - Accent3 15 3 3" xfId="5283"/>
    <cellStyle name="40% - Accent3 15 3 3 2" xfId="23563"/>
    <cellStyle name="40% - Accent3 15 3 3 3" xfId="23562"/>
    <cellStyle name="40% - Accent3 15 3 4" xfId="11593"/>
    <cellStyle name="40% - Accent3 15 3 4 2" xfId="23565"/>
    <cellStyle name="40% - Accent3 15 3 4 3" xfId="23564"/>
    <cellStyle name="40% - Accent3 15 3 5" xfId="23566"/>
    <cellStyle name="40% - Accent3 15 3 6" xfId="23559"/>
    <cellStyle name="40% - Accent3 15 4" xfId="6847"/>
    <cellStyle name="40% - Accent3 15 4 2" xfId="23568"/>
    <cellStyle name="40% - Accent3 15 4 3" xfId="23567"/>
    <cellStyle name="40% - Accent3 15 5" xfId="3720"/>
    <cellStyle name="40% - Accent3 15 5 2" xfId="23570"/>
    <cellStyle name="40% - Accent3 15 5 3" xfId="23569"/>
    <cellStyle name="40% - Accent3 15 6" xfId="10152"/>
    <cellStyle name="40% - Accent3 15 6 2" xfId="23572"/>
    <cellStyle name="40% - Accent3 15 6 3" xfId="23571"/>
    <cellStyle name="40% - Accent3 15 7" xfId="23573"/>
    <cellStyle name="40% - Accent3 15 8" xfId="23542"/>
    <cellStyle name="40% - Accent3 16" xfId="547"/>
    <cellStyle name="40% - Accent3 16 2" xfId="1254"/>
    <cellStyle name="40% - Accent3 16 2 2" xfId="2819"/>
    <cellStyle name="40% - Accent3 16 2 2 2" xfId="9104"/>
    <cellStyle name="40% - Accent3 16 2 2 2 2" xfId="23578"/>
    <cellStyle name="40% - Accent3 16 2 2 2 3" xfId="23577"/>
    <cellStyle name="40% - Accent3 16 2 2 3" xfId="5977"/>
    <cellStyle name="40% - Accent3 16 2 2 3 2" xfId="23580"/>
    <cellStyle name="40% - Accent3 16 2 2 3 3" xfId="23579"/>
    <cellStyle name="40% - Accent3 16 2 2 4" xfId="12287"/>
    <cellStyle name="40% - Accent3 16 2 2 4 2" xfId="23582"/>
    <cellStyle name="40% - Accent3 16 2 2 4 3" xfId="23581"/>
    <cellStyle name="40% - Accent3 16 2 2 5" xfId="23583"/>
    <cellStyle name="40% - Accent3 16 2 2 6" xfId="23576"/>
    <cellStyle name="40% - Accent3 16 2 3" xfId="7541"/>
    <cellStyle name="40% - Accent3 16 2 3 2" xfId="23585"/>
    <cellStyle name="40% - Accent3 16 2 3 3" xfId="23584"/>
    <cellStyle name="40% - Accent3 16 2 4" xfId="4414"/>
    <cellStyle name="40% - Accent3 16 2 4 2" xfId="23587"/>
    <cellStyle name="40% - Accent3 16 2 4 3" xfId="23586"/>
    <cellStyle name="40% - Accent3 16 2 5" xfId="10724"/>
    <cellStyle name="40% - Accent3 16 2 5 2" xfId="23589"/>
    <cellStyle name="40% - Accent3 16 2 5 3" xfId="23588"/>
    <cellStyle name="40% - Accent3 16 2 6" xfId="23590"/>
    <cellStyle name="40% - Accent3 16 2 7" xfId="23575"/>
    <cellStyle name="40% - Accent3 16 3" xfId="2139"/>
    <cellStyle name="40% - Accent3 16 3 2" xfId="8424"/>
    <cellStyle name="40% - Accent3 16 3 2 2" xfId="23593"/>
    <cellStyle name="40% - Accent3 16 3 2 3" xfId="23592"/>
    <cellStyle name="40% - Accent3 16 3 3" xfId="5297"/>
    <cellStyle name="40% - Accent3 16 3 3 2" xfId="23595"/>
    <cellStyle name="40% - Accent3 16 3 3 3" xfId="23594"/>
    <cellStyle name="40% - Accent3 16 3 4" xfId="11607"/>
    <cellStyle name="40% - Accent3 16 3 4 2" xfId="23597"/>
    <cellStyle name="40% - Accent3 16 3 4 3" xfId="23596"/>
    <cellStyle name="40% - Accent3 16 3 5" xfId="23598"/>
    <cellStyle name="40% - Accent3 16 3 6" xfId="23591"/>
    <cellStyle name="40% - Accent3 16 4" xfId="6861"/>
    <cellStyle name="40% - Accent3 16 4 2" xfId="23600"/>
    <cellStyle name="40% - Accent3 16 4 3" xfId="23599"/>
    <cellStyle name="40% - Accent3 16 5" xfId="3734"/>
    <cellStyle name="40% - Accent3 16 5 2" xfId="23602"/>
    <cellStyle name="40% - Accent3 16 5 3" xfId="23601"/>
    <cellStyle name="40% - Accent3 16 6" xfId="10166"/>
    <cellStyle name="40% - Accent3 16 6 2" xfId="23604"/>
    <cellStyle name="40% - Accent3 16 6 3" xfId="23603"/>
    <cellStyle name="40% - Accent3 16 7" xfId="23605"/>
    <cellStyle name="40% - Accent3 16 8" xfId="23574"/>
    <cellStyle name="40% - Accent3 17" xfId="600"/>
    <cellStyle name="40% - Accent3 17 2" xfId="1307"/>
    <cellStyle name="40% - Accent3 17 2 2" xfId="2872"/>
    <cellStyle name="40% - Accent3 17 2 2 2" xfId="9157"/>
    <cellStyle name="40% - Accent3 17 2 2 2 2" xfId="23610"/>
    <cellStyle name="40% - Accent3 17 2 2 2 3" xfId="23609"/>
    <cellStyle name="40% - Accent3 17 2 2 3" xfId="6030"/>
    <cellStyle name="40% - Accent3 17 2 2 3 2" xfId="23612"/>
    <cellStyle name="40% - Accent3 17 2 2 3 3" xfId="23611"/>
    <cellStyle name="40% - Accent3 17 2 2 4" xfId="12340"/>
    <cellStyle name="40% - Accent3 17 2 2 4 2" xfId="23614"/>
    <cellStyle name="40% - Accent3 17 2 2 4 3" xfId="23613"/>
    <cellStyle name="40% - Accent3 17 2 2 5" xfId="23615"/>
    <cellStyle name="40% - Accent3 17 2 2 6" xfId="23608"/>
    <cellStyle name="40% - Accent3 17 2 3" xfId="7594"/>
    <cellStyle name="40% - Accent3 17 2 3 2" xfId="23617"/>
    <cellStyle name="40% - Accent3 17 2 3 3" xfId="23616"/>
    <cellStyle name="40% - Accent3 17 2 4" xfId="4467"/>
    <cellStyle name="40% - Accent3 17 2 4 2" xfId="23619"/>
    <cellStyle name="40% - Accent3 17 2 4 3" xfId="23618"/>
    <cellStyle name="40% - Accent3 17 2 5" xfId="10777"/>
    <cellStyle name="40% - Accent3 17 2 5 2" xfId="23621"/>
    <cellStyle name="40% - Accent3 17 2 5 3" xfId="23620"/>
    <cellStyle name="40% - Accent3 17 2 6" xfId="23622"/>
    <cellStyle name="40% - Accent3 17 2 7" xfId="23607"/>
    <cellStyle name="40% - Accent3 17 3" xfId="2192"/>
    <cellStyle name="40% - Accent3 17 3 2" xfId="8477"/>
    <cellStyle name="40% - Accent3 17 3 2 2" xfId="23625"/>
    <cellStyle name="40% - Accent3 17 3 2 3" xfId="23624"/>
    <cellStyle name="40% - Accent3 17 3 3" xfId="5350"/>
    <cellStyle name="40% - Accent3 17 3 3 2" xfId="23627"/>
    <cellStyle name="40% - Accent3 17 3 3 3" xfId="23626"/>
    <cellStyle name="40% - Accent3 17 3 4" xfId="11660"/>
    <cellStyle name="40% - Accent3 17 3 4 2" xfId="23629"/>
    <cellStyle name="40% - Accent3 17 3 4 3" xfId="23628"/>
    <cellStyle name="40% - Accent3 17 3 5" xfId="23630"/>
    <cellStyle name="40% - Accent3 17 3 6" xfId="23623"/>
    <cellStyle name="40% - Accent3 17 4" xfId="6914"/>
    <cellStyle name="40% - Accent3 17 4 2" xfId="23632"/>
    <cellStyle name="40% - Accent3 17 4 3" xfId="23631"/>
    <cellStyle name="40% - Accent3 17 5" xfId="3787"/>
    <cellStyle name="40% - Accent3 17 5 2" xfId="23634"/>
    <cellStyle name="40% - Accent3 17 5 3" xfId="23633"/>
    <cellStyle name="40% - Accent3 17 6" xfId="10219"/>
    <cellStyle name="40% - Accent3 17 6 2" xfId="23636"/>
    <cellStyle name="40% - Accent3 17 6 3" xfId="23635"/>
    <cellStyle name="40% - Accent3 17 7" xfId="23637"/>
    <cellStyle name="40% - Accent3 17 8" xfId="23606"/>
    <cellStyle name="40% - Accent3 18" xfId="659"/>
    <cellStyle name="40% - Accent3 18 2" xfId="1364"/>
    <cellStyle name="40% - Accent3 18 2 2" xfId="2929"/>
    <cellStyle name="40% - Accent3 18 2 2 2" xfId="9214"/>
    <cellStyle name="40% - Accent3 18 2 2 2 2" xfId="23642"/>
    <cellStyle name="40% - Accent3 18 2 2 2 3" xfId="23641"/>
    <cellStyle name="40% - Accent3 18 2 2 3" xfId="6087"/>
    <cellStyle name="40% - Accent3 18 2 2 3 2" xfId="23644"/>
    <cellStyle name="40% - Accent3 18 2 2 3 3" xfId="23643"/>
    <cellStyle name="40% - Accent3 18 2 2 4" xfId="12397"/>
    <cellStyle name="40% - Accent3 18 2 2 4 2" xfId="23646"/>
    <cellStyle name="40% - Accent3 18 2 2 4 3" xfId="23645"/>
    <cellStyle name="40% - Accent3 18 2 2 5" xfId="23647"/>
    <cellStyle name="40% - Accent3 18 2 2 6" xfId="23640"/>
    <cellStyle name="40% - Accent3 18 2 3" xfId="7651"/>
    <cellStyle name="40% - Accent3 18 2 3 2" xfId="23649"/>
    <cellStyle name="40% - Accent3 18 2 3 3" xfId="23648"/>
    <cellStyle name="40% - Accent3 18 2 4" xfId="4524"/>
    <cellStyle name="40% - Accent3 18 2 4 2" xfId="23651"/>
    <cellStyle name="40% - Accent3 18 2 4 3" xfId="23650"/>
    <cellStyle name="40% - Accent3 18 2 5" xfId="10834"/>
    <cellStyle name="40% - Accent3 18 2 5 2" xfId="23653"/>
    <cellStyle name="40% - Accent3 18 2 5 3" xfId="23652"/>
    <cellStyle name="40% - Accent3 18 2 6" xfId="23654"/>
    <cellStyle name="40% - Accent3 18 2 7" xfId="23639"/>
    <cellStyle name="40% - Accent3 18 3" xfId="2249"/>
    <cellStyle name="40% - Accent3 18 3 2" xfId="8534"/>
    <cellStyle name="40% - Accent3 18 3 2 2" xfId="23657"/>
    <cellStyle name="40% - Accent3 18 3 2 3" xfId="23656"/>
    <cellStyle name="40% - Accent3 18 3 3" xfId="5407"/>
    <cellStyle name="40% - Accent3 18 3 3 2" xfId="23659"/>
    <cellStyle name="40% - Accent3 18 3 3 3" xfId="23658"/>
    <cellStyle name="40% - Accent3 18 3 4" xfId="11717"/>
    <cellStyle name="40% - Accent3 18 3 4 2" xfId="23661"/>
    <cellStyle name="40% - Accent3 18 3 4 3" xfId="23660"/>
    <cellStyle name="40% - Accent3 18 3 5" xfId="23662"/>
    <cellStyle name="40% - Accent3 18 3 6" xfId="23655"/>
    <cellStyle name="40% - Accent3 18 4" xfId="6971"/>
    <cellStyle name="40% - Accent3 18 4 2" xfId="23664"/>
    <cellStyle name="40% - Accent3 18 4 3" xfId="23663"/>
    <cellStyle name="40% - Accent3 18 5" xfId="3844"/>
    <cellStyle name="40% - Accent3 18 5 2" xfId="23666"/>
    <cellStyle name="40% - Accent3 18 5 3" xfId="23665"/>
    <cellStyle name="40% - Accent3 18 6" xfId="10277"/>
    <cellStyle name="40% - Accent3 18 6 2" xfId="23668"/>
    <cellStyle name="40% - Accent3 18 6 3" xfId="23667"/>
    <cellStyle name="40% - Accent3 18 7" xfId="23669"/>
    <cellStyle name="40% - Accent3 18 8" xfId="23638"/>
    <cellStyle name="40% - Accent3 19" xfId="846"/>
    <cellStyle name="40% - Accent3 19 2" xfId="2412"/>
    <cellStyle name="40% - Accent3 19 2 2" xfId="8697"/>
    <cellStyle name="40% - Accent3 19 2 2 2" xfId="23673"/>
    <cellStyle name="40% - Accent3 19 2 2 3" xfId="23672"/>
    <cellStyle name="40% - Accent3 19 2 3" xfId="5570"/>
    <cellStyle name="40% - Accent3 19 2 3 2" xfId="23675"/>
    <cellStyle name="40% - Accent3 19 2 3 3" xfId="23674"/>
    <cellStyle name="40% - Accent3 19 2 4" xfId="11880"/>
    <cellStyle name="40% - Accent3 19 2 4 2" xfId="23677"/>
    <cellStyle name="40% - Accent3 19 2 4 3" xfId="23676"/>
    <cellStyle name="40% - Accent3 19 2 5" xfId="23678"/>
    <cellStyle name="40% - Accent3 19 2 6" xfId="23671"/>
    <cellStyle name="40% - Accent3 19 3" xfId="7134"/>
    <cellStyle name="40% - Accent3 19 3 2" xfId="23680"/>
    <cellStyle name="40% - Accent3 19 3 3" xfId="23679"/>
    <cellStyle name="40% - Accent3 19 4" xfId="4007"/>
    <cellStyle name="40% - Accent3 19 4 2" xfId="23682"/>
    <cellStyle name="40% - Accent3 19 4 3" xfId="23681"/>
    <cellStyle name="40% - Accent3 19 5" xfId="10317"/>
    <cellStyle name="40% - Accent3 19 5 2" xfId="23684"/>
    <cellStyle name="40% - Accent3 19 5 3" xfId="23683"/>
    <cellStyle name="40% - Accent3 19 6" xfId="23685"/>
    <cellStyle name="40% - Accent3 19 7" xfId="23670"/>
    <cellStyle name="40% - Accent3 2" xfId="60"/>
    <cellStyle name="40% - Accent3 2 10" xfId="859"/>
    <cellStyle name="40% - Accent3 2 10 2" xfId="2425"/>
    <cellStyle name="40% - Accent3 2 10 2 2" xfId="8710"/>
    <cellStyle name="40% - Accent3 2 10 2 2 2" xfId="23690"/>
    <cellStyle name="40% - Accent3 2 10 2 2 3" xfId="23689"/>
    <cellStyle name="40% - Accent3 2 10 2 3" xfId="5583"/>
    <cellStyle name="40% - Accent3 2 10 2 3 2" xfId="23692"/>
    <cellStyle name="40% - Accent3 2 10 2 3 3" xfId="23691"/>
    <cellStyle name="40% - Accent3 2 10 2 4" xfId="11893"/>
    <cellStyle name="40% - Accent3 2 10 2 4 2" xfId="23694"/>
    <cellStyle name="40% - Accent3 2 10 2 4 3" xfId="23693"/>
    <cellStyle name="40% - Accent3 2 10 2 5" xfId="23695"/>
    <cellStyle name="40% - Accent3 2 10 2 6" xfId="23688"/>
    <cellStyle name="40% - Accent3 2 10 3" xfId="7147"/>
    <cellStyle name="40% - Accent3 2 10 3 2" xfId="23697"/>
    <cellStyle name="40% - Accent3 2 10 3 3" xfId="23696"/>
    <cellStyle name="40% - Accent3 2 10 4" xfId="4020"/>
    <cellStyle name="40% - Accent3 2 10 4 2" xfId="23699"/>
    <cellStyle name="40% - Accent3 2 10 4 3" xfId="23698"/>
    <cellStyle name="40% - Accent3 2 10 5" xfId="10330"/>
    <cellStyle name="40% - Accent3 2 10 5 2" xfId="23701"/>
    <cellStyle name="40% - Accent3 2 10 5 3" xfId="23700"/>
    <cellStyle name="40% - Accent3 2 10 6" xfId="23702"/>
    <cellStyle name="40% - Accent3 2 10 7" xfId="23687"/>
    <cellStyle name="40% - Accent3 2 11" xfId="1546"/>
    <cellStyle name="40% - Accent3 2 11 2" xfId="3111"/>
    <cellStyle name="40% - Accent3 2 11 2 2" xfId="9396"/>
    <cellStyle name="40% - Accent3 2 11 2 2 2" xfId="23706"/>
    <cellStyle name="40% - Accent3 2 11 2 2 3" xfId="23705"/>
    <cellStyle name="40% - Accent3 2 11 2 3" xfId="6269"/>
    <cellStyle name="40% - Accent3 2 11 2 3 2" xfId="23708"/>
    <cellStyle name="40% - Accent3 2 11 2 3 3" xfId="23707"/>
    <cellStyle name="40% - Accent3 2 11 2 4" xfId="12579"/>
    <cellStyle name="40% - Accent3 2 11 2 4 2" xfId="23710"/>
    <cellStyle name="40% - Accent3 2 11 2 4 3" xfId="23709"/>
    <cellStyle name="40% - Accent3 2 11 2 5" xfId="23711"/>
    <cellStyle name="40% - Accent3 2 11 2 6" xfId="23704"/>
    <cellStyle name="40% - Accent3 2 11 3" xfId="7833"/>
    <cellStyle name="40% - Accent3 2 11 3 2" xfId="23713"/>
    <cellStyle name="40% - Accent3 2 11 3 3" xfId="23712"/>
    <cellStyle name="40% - Accent3 2 11 4" xfId="4706"/>
    <cellStyle name="40% - Accent3 2 11 4 2" xfId="23715"/>
    <cellStyle name="40% - Accent3 2 11 4 3" xfId="23714"/>
    <cellStyle name="40% - Accent3 2 11 5" xfId="11016"/>
    <cellStyle name="40% - Accent3 2 11 5 2" xfId="23717"/>
    <cellStyle name="40% - Accent3 2 11 5 3" xfId="23716"/>
    <cellStyle name="40% - Accent3 2 11 6" xfId="23718"/>
    <cellStyle name="40% - Accent3 2 11 7" xfId="23703"/>
    <cellStyle name="40% - Accent3 2 12" xfId="1744"/>
    <cellStyle name="40% - Accent3 2 12 2" xfId="8030"/>
    <cellStyle name="40% - Accent3 2 12 2 2" xfId="23721"/>
    <cellStyle name="40% - Accent3 2 12 2 3" xfId="23720"/>
    <cellStyle name="40% - Accent3 2 12 3" xfId="4903"/>
    <cellStyle name="40% - Accent3 2 12 3 2" xfId="23723"/>
    <cellStyle name="40% - Accent3 2 12 3 3" xfId="23722"/>
    <cellStyle name="40% - Accent3 2 12 4" xfId="11213"/>
    <cellStyle name="40% - Accent3 2 12 4 2" xfId="23725"/>
    <cellStyle name="40% - Accent3 2 12 4 3" xfId="23724"/>
    <cellStyle name="40% - Accent3 2 12 5" xfId="23726"/>
    <cellStyle name="40% - Accent3 2 12 6" xfId="23719"/>
    <cellStyle name="40% - Accent3 2 13" xfId="122"/>
    <cellStyle name="40% - Accent3 2 13 2" xfId="6467"/>
    <cellStyle name="40% - Accent3 2 13 2 2" xfId="23729"/>
    <cellStyle name="40% - Accent3 2 13 2 3" xfId="23728"/>
    <cellStyle name="40% - Accent3 2 13 3" xfId="9946"/>
    <cellStyle name="40% - Accent3 2 13 3 2" xfId="23731"/>
    <cellStyle name="40% - Accent3 2 13 3 3" xfId="23730"/>
    <cellStyle name="40% - Accent3 2 13 4" xfId="23732"/>
    <cellStyle name="40% - Accent3 2 13 5" xfId="23727"/>
    <cellStyle name="40% - Accent3 2 14" xfId="3313"/>
    <cellStyle name="40% - Accent3 2 14 2" xfId="23734"/>
    <cellStyle name="40% - Accent3 2 14 3" xfId="23733"/>
    <cellStyle name="40% - Accent3 2 15" xfId="3340"/>
    <cellStyle name="40% - Accent3 2 15 2" xfId="23736"/>
    <cellStyle name="40% - Accent3 2 15 3" xfId="23735"/>
    <cellStyle name="40% - Accent3 2 16" xfId="9614"/>
    <cellStyle name="40% - Accent3 2 16 2" xfId="23738"/>
    <cellStyle name="40% - Accent3 2 16 3" xfId="23737"/>
    <cellStyle name="40% - Accent3 2 17" xfId="23739"/>
    <cellStyle name="40% - Accent3 2 18" xfId="23686"/>
    <cellStyle name="40% - Accent3 2 19" xfId="38145"/>
    <cellStyle name="40% - Accent3 2 2" xfId="93"/>
    <cellStyle name="40% - Accent3 2 2 2" xfId="305"/>
    <cellStyle name="40% - Accent3 2 2 2 2" xfId="1015"/>
    <cellStyle name="40% - Accent3 2 2 2 2 2" xfId="2581"/>
    <cellStyle name="40% - Accent3 2 2 2 2 2 2" xfId="8866"/>
    <cellStyle name="40% - Accent3 2 2 2 2 2 2 2" xfId="23745"/>
    <cellStyle name="40% - Accent3 2 2 2 2 2 2 3" xfId="23744"/>
    <cellStyle name="40% - Accent3 2 2 2 2 2 3" xfId="5739"/>
    <cellStyle name="40% - Accent3 2 2 2 2 2 3 2" xfId="23747"/>
    <cellStyle name="40% - Accent3 2 2 2 2 2 3 3" xfId="23746"/>
    <cellStyle name="40% - Accent3 2 2 2 2 2 4" xfId="12049"/>
    <cellStyle name="40% - Accent3 2 2 2 2 2 4 2" xfId="23749"/>
    <cellStyle name="40% - Accent3 2 2 2 2 2 4 3" xfId="23748"/>
    <cellStyle name="40% - Accent3 2 2 2 2 2 5" xfId="23750"/>
    <cellStyle name="40% - Accent3 2 2 2 2 2 6" xfId="23743"/>
    <cellStyle name="40% - Accent3 2 2 2 2 3" xfId="7303"/>
    <cellStyle name="40% - Accent3 2 2 2 2 3 2" xfId="23752"/>
    <cellStyle name="40% - Accent3 2 2 2 2 3 3" xfId="23751"/>
    <cellStyle name="40% - Accent3 2 2 2 2 4" xfId="4176"/>
    <cellStyle name="40% - Accent3 2 2 2 2 4 2" xfId="23754"/>
    <cellStyle name="40% - Accent3 2 2 2 2 4 3" xfId="23753"/>
    <cellStyle name="40% - Accent3 2 2 2 2 5" xfId="10486"/>
    <cellStyle name="40% - Accent3 2 2 2 2 5 2" xfId="23756"/>
    <cellStyle name="40% - Accent3 2 2 2 2 5 3" xfId="23755"/>
    <cellStyle name="40% - Accent3 2 2 2 2 6" xfId="23757"/>
    <cellStyle name="40% - Accent3 2 2 2 2 7" xfId="23742"/>
    <cellStyle name="40% - Accent3 2 2 2 3" xfId="1901"/>
    <cellStyle name="40% - Accent3 2 2 2 3 2" xfId="8186"/>
    <cellStyle name="40% - Accent3 2 2 2 3 2 2" xfId="23760"/>
    <cellStyle name="40% - Accent3 2 2 2 3 2 3" xfId="23759"/>
    <cellStyle name="40% - Accent3 2 2 2 3 3" xfId="5059"/>
    <cellStyle name="40% - Accent3 2 2 2 3 3 2" xfId="23762"/>
    <cellStyle name="40% - Accent3 2 2 2 3 3 3" xfId="23761"/>
    <cellStyle name="40% - Accent3 2 2 2 3 4" xfId="11369"/>
    <cellStyle name="40% - Accent3 2 2 2 3 4 2" xfId="23764"/>
    <cellStyle name="40% - Accent3 2 2 2 3 4 3" xfId="23763"/>
    <cellStyle name="40% - Accent3 2 2 2 3 5" xfId="23765"/>
    <cellStyle name="40% - Accent3 2 2 2 3 6" xfId="23758"/>
    <cellStyle name="40% - Accent3 2 2 2 4" xfId="6623"/>
    <cellStyle name="40% - Accent3 2 2 2 4 2" xfId="23767"/>
    <cellStyle name="40% - Accent3 2 2 2 4 3" xfId="23766"/>
    <cellStyle name="40% - Accent3 2 2 2 5" xfId="3496"/>
    <cellStyle name="40% - Accent3 2 2 2 5 2" xfId="23769"/>
    <cellStyle name="40% - Accent3 2 2 2 5 3" xfId="23768"/>
    <cellStyle name="40% - Accent3 2 2 2 6" xfId="9930"/>
    <cellStyle name="40% - Accent3 2 2 2 6 2" xfId="23771"/>
    <cellStyle name="40% - Accent3 2 2 2 6 3" xfId="23770"/>
    <cellStyle name="40% - Accent3 2 2 2 7" xfId="23772"/>
    <cellStyle name="40% - Accent3 2 2 2 8" xfId="23741"/>
    <cellStyle name="40% - Accent3 2 2 3" xfId="906"/>
    <cellStyle name="40% - Accent3 2 2 3 2" xfId="2472"/>
    <cellStyle name="40% - Accent3 2 2 3 2 2" xfId="8757"/>
    <cellStyle name="40% - Accent3 2 2 3 2 2 2" xfId="23776"/>
    <cellStyle name="40% - Accent3 2 2 3 2 2 3" xfId="23775"/>
    <cellStyle name="40% - Accent3 2 2 3 2 3" xfId="5630"/>
    <cellStyle name="40% - Accent3 2 2 3 2 3 2" xfId="23778"/>
    <cellStyle name="40% - Accent3 2 2 3 2 3 3" xfId="23777"/>
    <cellStyle name="40% - Accent3 2 2 3 2 4" xfId="11940"/>
    <cellStyle name="40% - Accent3 2 2 3 2 4 2" xfId="23780"/>
    <cellStyle name="40% - Accent3 2 2 3 2 4 3" xfId="23779"/>
    <cellStyle name="40% - Accent3 2 2 3 2 5" xfId="23781"/>
    <cellStyle name="40% - Accent3 2 2 3 2 6" xfId="23774"/>
    <cellStyle name="40% - Accent3 2 2 3 3" xfId="7194"/>
    <cellStyle name="40% - Accent3 2 2 3 3 2" xfId="23783"/>
    <cellStyle name="40% - Accent3 2 2 3 3 3" xfId="23782"/>
    <cellStyle name="40% - Accent3 2 2 3 4" xfId="4067"/>
    <cellStyle name="40% - Accent3 2 2 3 4 2" xfId="23785"/>
    <cellStyle name="40% - Accent3 2 2 3 4 3" xfId="23784"/>
    <cellStyle name="40% - Accent3 2 2 3 5" xfId="10377"/>
    <cellStyle name="40% - Accent3 2 2 3 5 2" xfId="23787"/>
    <cellStyle name="40% - Accent3 2 2 3 5 3" xfId="23786"/>
    <cellStyle name="40% - Accent3 2 2 3 6" xfId="23788"/>
    <cellStyle name="40% - Accent3 2 2 3 7" xfId="23773"/>
    <cellStyle name="40% - Accent3 2 2 4" xfId="1792"/>
    <cellStyle name="40% - Accent3 2 2 4 2" xfId="8077"/>
    <cellStyle name="40% - Accent3 2 2 4 2 2" xfId="23791"/>
    <cellStyle name="40% - Accent3 2 2 4 2 3" xfId="23790"/>
    <cellStyle name="40% - Accent3 2 2 4 3" xfId="4950"/>
    <cellStyle name="40% - Accent3 2 2 4 3 2" xfId="23793"/>
    <cellStyle name="40% - Accent3 2 2 4 3 3" xfId="23792"/>
    <cellStyle name="40% - Accent3 2 2 4 4" xfId="11260"/>
    <cellStyle name="40% - Accent3 2 2 4 4 2" xfId="23795"/>
    <cellStyle name="40% - Accent3 2 2 4 4 3" xfId="23794"/>
    <cellStyle name="40% - Accent3 2 2 4 5" xfId="23796"/>
    <cellStyle name="40% - Accent3 2 2 4 6" xfId="23789"/>
    <cellStyle name="40% - Accent3 2 2 5" xfId="170"/>
    <cellStyle name="40% - Accent3 2 2 5 2" xfId="6514"/>
    <cellStyle name="40% - Accent3 2 2 5 2 2" xfId="23799"/>
    <cellStyle name="40% - Accent3 2 2 5 2 3" xfId="23798"/>
    <cellStyle name="40% - Accent3 2 2 5 3" xfId="23800"/>
    <cellStyle name="40% - Accent3 2 2 5 4" xfId="23797"/>
    <cellStyle name="40% - Accent3 2 2 6" xfId="3387"/>
    <cellStyle name="40% - Accent3 2 2 6 2" xfId="23802"/>
    <cellStyle name="40% - Accent3 2 2 6 3" xfId="23801"/>
    <cellStyle name="40% - Accent3 2 2 7" xfId="9914"/>
    <cellStyle name="40% - Accent3 2 2 7 2" xfId="23804"/>
    <cellStyle name="40% - Accent3 2 2 7 3" xfId="23803"/>
    <cellStyle name="40% - Accent3 2 2 8" xfId="23805"/>
    <cellStyle name="40% - Accent3 2 2 9" xfId="23740"/>
    <cellStyle name="40% - Accent3 2 3" xfId="195"/>
    <cellStyle name="40% - Accent3 2 3 2" xfId="323"/>
    <cellStyle name="40% - Accent3 2 3 2 2" xfId="1033"/>
    <cellStyle name="40% - Accent3 2 3 2 2 2" xfId="2599"/>
    <cellStyle name="40% - Accent3 2 3 2 2 2 2" xfId="8884"/>
    <cellStyle name="40% - Accent3 2 3 2 2 2 2 2" xfId="23811"/>
    <cellStyle name="40% - Accent3 2 3 2 2 2 2 3" xfId="23810"/>
    <cellStyle name="40% - Accent3 2 3 2 2 2 3" xfId="5757"/>
    <cellStyle name="40% - Accent3 2 3 2 2 2 3 2" xfId="23813"/>
    <cellStyle name="40% - Accent3 2 3 2 2 2 3 3" xfId="23812"/>
    <cellStyle name="40% - Accent3 2 3 2 2 2 4" xfId="12067"/>
    <cellStyle name="40% - Accent3 2 3 2 2 2 4 2" xfId="23815"/>
    <cellStyle name="40% - Accent3 2 3 2 2 2 4 3" xfId="23814"/>
    <cellStyle name="40% - Accent3 2 3 2 2 2 5" xfId="23816"/>
    <cellStyle name="40% - Accent3 2 3 2 2 2 6" xfId="23809"/>
    <cellStyle name="40% - Accent3 2 3 2 2 3" xfId="7321"/>
    <cellStyle name="40% - Accent3 2 3 2 2 3 2" xfId="23818"/>
    <cellStyle name="40% - Accent3 2 3 2 2 3 3" xfId="23817"/>
    <cellStyle name="40% - Accent3 2 3 2 2 4" xfId="4194"/>
    <cellStyle name="40% - Accent3 2 3 2 2 4 2" xfId="23820"/>
    <cellStyle name="40% - Accent3 2 3 2 2 4 3" xfId="23819"/>
    <cellStyle name="40% - Accent3 2 3 2 2 5" xfId="10504"/>
    <cellStyle name="40% - Accent3 2 3 2 2 5 2" xfId="23822"/>
    <cellStyle name="40% - Accent3 2 3 2 2 5 3" xfId="23821"/>
    <cellStyle name="40% - Accent3 2 3 2 2 6" xfId="23823"/>
    <cellStyle name="40% - Accent3 2 3 2 2 7" xfId="23808"/>
    <cellStyle name="40% - Accent3 2 3 2 3" xfId="1919"/>
    <cellStyle name="40% - Accent3 2 3 2 3 2" xfId="8204"/>
    <cellStyle name="40% - Accent3 2 3 2 3 2 2" xfId="23826"/>
    <cellStyle name="40% - Accent3 2 3 2 3 2 3" xfId="23825"/>
    <cellStyle name="40% - Accent3 2 3 2 3 3" xfId="5077"/>
    <cellStyle name="40% - Accent3 2 3 2 3 3 2" xfId="23828"/>
    <cellStyle name="40% - Accent3 2 3 2 3 3 3" xfId="23827"/>
    <cellStyle name="40% - Accent3 2 3 2 3 4" xfId="11387"/>
    <cellStyle name="40% - Accent3 2 3 2 3 4 2" xfId="23830"/>
    <cellStyle name="40% - Accent3 2 3 2 3 4 3" xfId="23829"/>
    <cellStyle name="40% - Accent3 2 3 2 3 5" xfId="23831"/>
    <cellStyle name="40% - Accent3 2 3 2 3 6" xfId="23824"/>
    <cellStyle name="40% - Accent3 2 3 2 4" xfId="6641"/>
    <cellStyle name="40% - Accent3 2 3 2 4 2" xfId="23833"/>
    <cellStyle name="40% - Accent3 2 3 2 4 3" xfId="23832"/>
    <cellStyle name="40% - Accent3 2 3 2 5" xfId="3514"/>
    <cellStyle name="40% - Accent3 2 3 2 5 2" xfId="23835"/>
    <cellStyle name="40% - Accent3 2 3 2 5 3" xfId="23834"/>
    <cellStyle name="40% - Accent3 2 3 2 6" xfId="9796"/>
    <cellStyle name="40% - Accent3 2 3 2 6 2" xfId="23837"/>
    <cellStyle name="40% - Accent3 2 3 2 6 3" xfId="23836"/>
    <cellStyle name="40% - Accent3 2 3 2 7" xfId="23838"/>
    <cellStyle name="40% - Accent3 2 3 2 8" xfId="23807"/>
    <cellStyle name="40% - Accent3 2 3 3" xfId="928"/>
    <cellStyle name="40% - Accent3 2 3 3 2" xfId="2494"/>
    <cellStyle name="40% - Accent3 2 3 3 2 2" xfId="8779"/>
    <cellStyle name="40% - Accent3 2 3 3 2 2 2" xfId="23842"/>
    <cellStyle name="40% - Accent3 2 3 3 2 2 3" xfId="23841"/>
    <cellStyle name="40% - Accent3 2 3 3 2 3" xfId="5652"/>
    <cellStyle name="40% - Accent3 2 3 3 2 3 2" xfId="23844"/>
    <cellStyle name="40% - Accent3 2 3 3 2 3 3" xfId="23843"/>
    <cellStyle name="40% - Accent3 2 3 3 2 4" xfId="11962"/>
    <cellStyle name="40% - Accent3 2 3 3 2 4 2" xfId="23846"/>
    <cellStyle name="40% - Accent3 2 3 3 2 4 3" xfId="23845"/>
    <cellStyle name="40% - Accent3 2 3 3 2 5" xfId="23847"/>
    <cellStyle name="40% - Accent3 2 3 3 2 6" xfId="23840"/>
    <cellStyle name="40% - Accent3 2 3 3 3" xfId="7216"/>
    <cellStyle name="40% - Accent3 2 3 3 3 2" xfId="23849"/>
    <cellStyle name="40% - Accent3 2 3 3 3 3" xfId="23848"/>
    <cellStyle name="40% - Accent3 2 3 3 4" xfId="4089"/>
    <cellStyle name="40% - Accent3 2 3 3 4 2" xfId="23851"/>
    <cellStyle name="40% - Accent3 2 3 3 4 3" xfId="23850"/>
    <cellStyle name="40% - Accent3 2 3 3 5" xfId="10399"/>
    <cellStyle name="40% - Accent3 2 3 3 5 2" xfId="23853"/>
    <cellStyle name="40% - Accent3 2 3 3 5 3" xfId="23852"/>
    <cellStyle name="40% - Accent3 2 3 3 6" xfId="23854"/>
    <cellStyle name="40% - Accent3 2 3 3 7" xfId="23839"/>
    <cellStyle name="40% - Accent3 2 3 4" xfId="1814"/>
    <cellStyle name="40% - Accent3 2 3 4 2" xfId="8099"/>
    <cellStyle name="40% - Accent3 2 3 4 2 2" xfId="23857"/>
    <cellStyle name="40% - Accent3 2 3 4 2 3" xfId="23856"/>
    <cellStyle name="40% - Accent3 2 3 4 3" xfId="4972"/>
    <cellStyle name="40% - Accent3 2 3 4 3 2" xfId="23859"/>
    <cellStyle name="40% - Accent3 2 3 4 3 3" xfId="23858"/>
    <cellStyle name="40% - Accent3 2 3 4 4" xfId="11282"/>
    <cellStyle name="40% - Accent3 2 3 4 4 2" xfId="23861"/>
    <cellStyle name="40% - Accent3 2 3 4 4 3" xfId="23860"/>
    <cellStyle name="40% - Accent3 2 3 4 5" xfId="23862"/>
    <cellStyle name="40% - Accent3 2 3 4 6" xfId="23855"/>
    <cellStyle name="40% - Accent3 2 3 5" xfId="6536"/>
    <cellStyle name="40% - Accent3 2 3 5 2" xfId="23864"/>
    <cellStyle name="40% - Accent3 2 3 5 3" xfId="23863"/>
    <cellStyle name="40% - Accent3 2 3 6" xfId="3409"/>
    <cellStyle name="40% - Accent3 2 3 6 2" xfId="23866"/>
    <cellStyle name="40% - Accent3 2 3 6 3" xfId="23865"/>
    <cellStyle name="40% - Accent3 2 3 7" xfId="9812"/>
    <cellStyle name="40% - Accent3 2 3 7 2" xfId="23868"/>
    <cellStyle name="40% - Accent3 2 3 7 3" xfId="23867"/>
    <cellStyle name="40% - Accent3 2 3 8" xfId="23869"/>
    <cellStyle name="40% - Accent3 2 3 9" xfId="23806"/>
    <cellStyle name="40% - Accent3 2 4" xfId="246"/>
    <cellStyle name="40% - Accent3 2 4 2" xfId="957"/>
    <cellStyle name="40% - Accent3 2 4 2 2" xfId="2523"/>
    <cellStyle name="40% - Accent3 2 4 2 2 2" xfId="8808"/>
    <cellStyle name="40% - Accent3 2 4 2 2 2 2" xfId="23874"/>
    <cellStyle name="40% - Accent3 2 4 2 2 2 3" xfId="23873"/>
    <cellStyle name="40% - Accent3 2 4 2 2 3" xfId="5681"/>
    <cellStyle name="40% - Accent3 2 4 2 2 3 2" xfId="23876"/>
    <cellStyle name="40% - Accent3 2 4 2 2 3 3" xfId="23875"/>
    <cellStyle name="40% - Accent3 2 4 2 2 4" xfId="11991"/>
    <cellStyle name="40% - Accent3 2 4 2 2 4 2" xfId="23878"/>
    <cellStyle name="40% - Accent3 2 4 2 2 4 3" xfId="23877"/>
    <cellStyle name="40% - Accent3 2 4 2 2 5" xfId="23879"/>
    <cellStyle name="40% - Accent3 2 4 2 2 6" xfId="23872"/>
    <cellStyle name="40% - Accent3 2 4 2 3" xfId="7245"/>
    <cellStyle name="40% - Accent3 2 4 2 3 2" xfId="23881"/>
    <cellStyle name="40% - Accent3 2 4 2 3 3" xfId="23880"/>
    <cellStyle name="40% - Accent3 2 4 2 4" xfId="4118"/>
    <cellStyle name="40% - Accent3 2 4 2 4 2" xfId="23883"/>
    <cellStyle name="40% - Accent3 2 4 2 4 3" xfId="23882"/>
    <cellStyle name="40% - Accent3 2 4 2 5" xfId="10428"/>
    <cellStyle name="40% - Accent3 2 4 2 5 2" xfId="23885"/>
    <cellStyle name="40% - Accent3 2 4 2 5 3" xfId="23884"/>
    <cellStyle name="40% - Accent3 2 4 2 6" xfId="23886"/>
    <cellStyle name="40% - Accent3 2 4 2 7" xfId="23871"/>
    <cellStyle name="40% - Accent3 2 4 3" xfId="1843"/>
    <cellStyle name="40% - Accent3 2 4 3 2" xfId="8128"/>
    <cellStyle name="40% - Accent3 2 4 3 2 2" xfId="23889"/>
    <cellStyle name="40% - Accent3 2 4 3 2 3" xfId="23888"/>
    <cellStyle name="40% - Accent3 2 4 3 3" xfId="5001"/>
    <cellStyle name="40% - Accent3 2 4 3 3 2" xfId="23891"/>
    <cellStyle name="40% - Accent3 2 4 3 3 3" xfId="23890"/>
    <cellStyle name="40% - Accent3 2 4 3 4" xfId="11311"/>
    <cellStyle name="40% - Accent3 2 4 3 4 2" xfId="23893"/>
    <cellStyle name="40% - Accent3 2 4 3 4 3" xfId="23892"/>
    <cellStyle name="40% - Accent3 2 4 3 5" xfId="23894"/>
    <cellStyle name="40% - Accent3 2 4 3 6" xfId="23887"/>
    <cellStyle name="40% - Accent3 2 4 4" xfId="6565"/>
    <cellStyle name="40% - Accent3 2 4 4 2" xfId="23896"/>
    <cellStyle name="40% - Accent3 2 4 4 3" xfId="23895"/>
    <cellStyle name="40% - Accent3 2 4 5" xfId="3438"/>
    <cellStyle name="40% - Accent3 2 4 5 2" xfId="23898"/>
    <cellStyle name="40% - Accent3 2 4 5 3" xfId="23897"/>
    <cellStyle name="40% - Accent3 2 4 6" xfId="9892"/>
    <cellStyle name="40% - Accent3 2 4 6 2" xfId="23900"/>
    <cellStyle name="40% - Accent3 2 4 6 3" xfId="23899"/>
    <cellStyle name="40% - Accent3 2 4 7" xfId="23901"/>
    <cellStyle name="40% - Accent3 2 4 8" xfId="23870"/>
    <cellStyle name="40% - Accent3 2 5" xfId="280"/>
    <cellStyle name="40% - Accent3 2 5 2" xfId="991"/>
    <cellStyle name="40% - Accent3 2 5 2 2" xfId="2557"/>
    <cellStyle name="40% - Accent3 2 5 2 2 2" xfId="8842"/>
    <cellStyle name="40% - Accent3 2 5 2 2 2 2" xfId="23906"/>
    <cellStyle name="40% - Accent3 2 5 2 2 2 3" xfId="23905"/>
    <cellStyle name="40% - Accent3 2 5 2 2 3" xfId="5715"/>
    <cellStyle name="40% - Accent3 2 5 2 2 3 2" xfId="23908"/>
    <cellStyle name="40% - Accent3 2 5 2 2 3 3" xfId="23907"/>
    <cellStyle name="40% - Accent3 2 5 2 2 4" xfId="12025"/>
    <cellStyle name="40% - Accent3 2 5 2 2 4 2" xfId="23910"/>
    <cellStyle name="40% - Accent3 2 5 2 2 4 3" xfId="23909"/>
    <cellStyle name="40% - Accent3 2 5 2 2 5" xfId="23911"/>
    <cellStyle name="40% - Accent3 2 5 2 2 6" xfId="23904"/>
    <cellStyle name="40% - Accent3 2 5 2 3" xfId="7279"/>
    <cellStyle name="40% - Accent3 2 5 2 3 2" xfId="23913"/>
    <cellStyle name="40% - Accent3 2 5 2 3 3" xfId="23912"/>
    <cellStyle name="40% - Accent3 2 5 2 4" xfId="4152"/>
    <cellStyle name="40% - Accent3 2 5 2 4 2" xfId="23915"/>
    <cellStyle name="40% - Accent3 2 5 2 4 3" xfId="23914"/>
    <cellStyle name="40% - Accent3 2 5 2 5" xfId="10462"/>
    <cellStyle name="40% - Accent3 2 5 2 5 2" xfId="23917"/>
    <cellStyle name="40% - Accent3 2 5 2 5 3" xfId="23916"/>
    <cellStyle name="40% - Accent3 2 5 2 6" xfId="23918"/>
    <cellStyle name="40% - Accent3 2 5 2 7" xfId="23903"/>
    <cellStyle name="40% - Accent3 2 5 3" xfId="1877"/>
    <cellStyle name="40% - Accent3 2 5 3 2" xfId="8162"/>
    <cellStyle name="40% - Accent3 2 5 3 2 2" xfId="23921"/>
    <cellStyle name="40% - Accent3 2 5 3 2 3" xfId="23920"/>
    <cellStyle name="40% - Accent3 2 5 3 3" xfId="5035"/>
    <cellStyle name="40% - Accent3 2 5 3 3 2" xfId="23923"/>
    <cellStyle name="40% - Accent3 2 5 3 3 3" xfId="23922"/>
    <cellStyle name="40% - Accent3 2 5 3 4" xfId="11345"/>
    <cellStyle name="40% - Accent3 2 5 3 4 2" xfId="23925"/>
    <cellStyle name="40% - Accent3 2 5 3 4 3" xfId="23924"/>
    <cellStyle name="40% - Accent3 2 5 3 5" xfId="23926"/>
    <cellStyle name="40% - Accent3 2 5 3 6" xfId="23919"/>
    <cellStyle name="40% - Accent3 2 5 4" xfId="6599"/>
    <cellStyle name="40% - Accent3 2 5 4 2" xfId="23928"/>
    <cellStyle name="40% - Accent3 2 5 4 3" xfId="23927"/>
    <cellStyle name="40% - Accent3 2 5 5" xfId="3472"/>
    <cellStyle name="40% - Accent3 2 5 5 2" xfId="23930"/>
    <cellStyle name="40% - Accent3 2 5 5 3" xfId="23929"/>
    <cellStyle name="40% - Accent3 2 5 6" xfId="9834"/>
    <cellStyle name="40% - Accent3 2 5 6 2" xfId="23932"/>
    <cellStyle name="40% - Accent3 2 5 6 3" xfId="23931"/>
    <cellStyle name="40% - Accent3 2 5 7" xfId="23933"/>
    <cellStyle name="40% - Accent3 2 5 8" xfId="23902"/>
    <cellStyle name="40% - Accent3 2 6" xfId="353"/>
    <cellStyle name="40% - Accent3 2 6 2" xfId="1061"/>
    <cellStyle name="40% - Accent3 2 6 2 2" xfId="2627"/>
    <cellStyle name="40% - Accent3 2 6 2 2 2" xfId="8912"/>
    <cellStyle name="40% - Accent3 2 6 2 2 2 2" xfId="23938"/>
    <cellStyle name="40% - Accent3 2 6 2 2 2 3" xfId="23937"/>
    <cellStyle name="40% - Accent3 2 6 2 2 3" xfId="5785"/>
    <cellStyle name="40% - Accent3 2 6 2 2 3 2" xfId="23940"/>
    <cellStyle name="40% - Accent3 2 6 2 2 3 3" xfId="23939"/>
    <cellStyle name="40% - Accent3 2 6 2 2 4" xfId="12095"/>
    <cellStyle name="40% - Accent3 2 6 2 2 4 2" xfId="23942"/>
    <cellStyle name="40% - Accent3 2 6 2 2 4 3" xfId="23941"/>
    <cellStyle name="40% - Accent3 2 6 2 2 5" xfId="23943"/>
    <cellStyle name="40% - Accent3 2 6 2 2 6" xfId="23936"/>
    <cellStyle name="40% - Accent3 2 6 2 3" xfId="7349"/>
    <cellStyle name="40% - Accent3 2 6 2 3 2" xfId="23945"/>
    <cellStyle name="40% - Accent3 2 6 2 3 3" xfId="23944"/>
    <cellStyle name="40% - Accent3 2 6 2 4" xfId="4222"/>
    <cellStyle name="40% - Accent3 2 6 2 4 2" xfId="23947"/>
    <cellStyle name="40% - Accent3 2 6 2 4 3" xfId="23946"/>
    <cellStyle name="40% - Accent3 2 6 2 5" xfId="10532"/>
    <cellStyle name="40% - Accent3 2 6 2 5 2" xfId="23949"/>
    <cellStyle name="40% - Accent3 2 6 2 5 3" xfId="23948"/>
    <cellStyle name="40% - Accent3 2 6 2 6" xfId="23950"/>
    <cellStyle name="40% - Accent3 2 6 2 7" xfId="23935"/>
    <cellStyle name="40% - Accent3 2 6 3" xfId="1947"/>
    <cellStyle name="40% - Accent3 2 6 3 2" xfId="8232"/>
    <cellStyle name="40% - Accent3 2 6 3 2 2" xfId="23953"/>
    <cellStyle name="40% - Accent3 2 6 3 2 3" xfId="23952"/>
    <cellStyle name="40% - Accent3 2 6 3 3" xfId="5105"/>
    <cellStyle name="40% - Accent3 2 6 3 3 2" xfId="23955"/>
    <cellStyle name="40% - Accent3 2 6 3 3 3" xfId="23954"/>
    <cellStyle name="40% - Accent3 2 6 3 4" xfId="11415"/>
    <cellStyle name="40% - Accent3 2 6 3 4 2" xfId="23957"/>
    <cellStyle name="40% - Accent3 2 6 3 4 3" xfId="23956"/>
    <cellStyle name="40% - Accent3 2 6 3 5" xfId="23958"/>
    <cellStyle name="40% - Accent3 2 6 3 6" xfId="23951"/>
    <cellStyle name="40% - Accent3 2 6 4" xfId="6669"/>
    <cellStyle name="40% - Accent3 2 6 4 2" xfId="23960"/>
    <cellStyle name="40% - Accent3 2 6 4 3" xfId="23959"/>
    <cellStyle name="40% - Accent3 2 6 5" xfId="3542"/>
    <cellStyle name="40% - Accent3 2 6 5 2" xfId="23962"/>
    <cellStyle name="40% - Accent3 2 6 5 3" xfId="23961"/>
    <cellStyle name="40% - Accent3 2 6 6" xfId="9974"/>
    <cellStyle name="40% - Accent3 2 6 6 2" xfId="23964"/>
    <cellStyle name="40% - Accent3 2 6 6 3" xfId="23963"/>
    <cellStyle name="40% - Accent3 2 6 7" xfId="23965"/>
    <cellStyle name="40% - Accent3 2 6 8" xfId="23934"/>
    <cellStyle name="40% - Accent3 2 7" xfId="428"/>
    <cellStyle name="40% - Accent3 2 7 2" xfId="1135"/>
    <cellStyle name="40% - Accent3 2 7 2 2" xfId="2700"/>
    <cellStyle name="40% - Accent3 2 7 2 2 2" xfId="8985"/>
    <cellStyle name="40% - Accent3 2 7 2 2 2 2" xfId="23970"/>
    <cellStyle name="40% - Accent3 2 7 2 2 2 3" xfId="23969"/>
    <cellStyle name="40% - Accent3 2 7 2 2 3" xfId="5858"/>
    <cellStyle name="40% - Accent3 2 7 2 2 3 2" xfId="23972"/>
    <cellStyle name="40% - Accent3 2 7 2 2 3 3" xfId="23971"/>
    <cellStyle name="40% - Accent3 2 7 2 2 4" xfId="12168"/>
    <cellStyle name="40% - Accent3 2 7 2 2 4 2" xfId="23974"/>
    <cellStyle name="40% - Accent3 2 7 2 2 4 3" xfId="23973"/>
    <cellStyle name="40% - Accent3 2 7 2 2 5" xfId="23975"/>
    <cellStyle name="40% - Accent3 2 7 2 2 6" xfId="23968"/>
    <cellStyle name="40% - Accent3 2 7 2 3" xfId="7422"/>
    <cellStyle name="40% - Accent3 2 7 2 3 2" xfId="23977"/>
    <cellStyle name="40% - Accent3 2 7 2 3 3" xfId="23976"/>
    <cellStyle name="40% - Accent3 2 7 2 4" xfId="4295"/>
    <cellStyle name="40% - Accent3 2 7 2 4 2" xfId="23979"/>
    <cellStyle name="40% - Accent3 2 7 2 4 3" xfId="23978"/>
    <cellStyle name="40% - Accent3 2 7 2 5" xfId="10605"/>
    <cellStyle name="40% - Accent3 2 7 2 5 2" xfId="23981"/>
    <cellStyle name="40% - Accent3 2 7 2 5 3" xfId="23980"/>
    <cellStyle name="40% - Accent3 2 7 2 6" xfId="23982"/>
    <cellStyle name="40% - Accent3 2 7 2 7" xfId="23967"/>
    <cellStyle name="40% - Accent3 2 7 3" xfId="2020"/>
    <cellStyle name="40% - Accent3 2 7 3 2" xfId="8305"/>
    <cellStyle name="40% - Accent3 2 7 3 2 2" xfId="23985"/>
    <cellStyle name="40% - Accent3 2 7 3 2 3" xfId="23984"/>
    <cellStyle name="40% - Accent3 2 7 3 3" xfId="5178"/>
    <cellStyle name="40% - Accent3 2 7 3 3 2" xfId="23987"/>
    <cellStyle name="40% - Accent3 2 7 3 3 3" xfId="23986"/>
    <cellStyle name="40% - Accent3 2 7 3 4" xfId="11488"/>
    <cellStyle name="40% - Accent3 2 7 3 4 2" xfId="23989"/>
    <cellStyle name="40% - Accent3 2 7 3 4 3" xfId="23988"/>
    <cellStyle name="40% - Accent3 2 7 3 5" xfId="23990"/>
    <cellStyle name="40% - Accent3 2 7 3 6" xfId="23983"/>
    <cellStyle name="40% - Accent3 2 7 4" xfId="6742"/>
    <cellStyle name="40% - Accent3 2 7 4 2" xfId="23992"/>
    <cellStyle name="40% - Accent3 2 7 4 3" xfId="23991"/>
    <cellStyle name="40% - Accent3 2 7 5" xfId="3615"/>
    <cellStyle name="40% - Accent3 2 7 5 2" xfId="23994"/>
    <cellStyle name="40% - Accent3 2 7 5 3" xfId="23993"/>
    <cellStyle name="40% - Accent3 2 7 6" xfId="10048"/>
    <cellStyle name="40% - Accent3 2 7 6 2" xfId="23996"/>
    <cellStyle name="40% - Accent3 2 7 6 3" xfId="23995"/>
    <cellStyle name="40% - Accent3 2 7 7" xfId="23997"/>
    <cellStyle name="40% - Accent3 2 7 8" xfId="23966"/>
    <cellStyle name="40% - Accent3 2 8" xfId="580"/>
    <cellStyle name="40% - Accent3 2 8 2" xfId="1287"/>
    <cellStyle name="40% - Accent3 2 8 2 2" xfId="2852"/>
    <cellStyle name="40% - Accent3 2 8 2 2 2" xfId="9137"/>
    <cellStyle name="40% - Accent3 2 8 2 2 2 2" xfId="24002"/>
    <cellStyle name="40% - Accent3 2 8 2 2 2 3" xfId="24001"/>
    <cellStyle name="40% - Accent3 2 8 2 2 3" xfId="6010"/>
    <cellStyle name="40% - Accent3 2 8 2 2 3 2" xfId="24004"/>
    <cellStyle name="40% - Accent3 2 8 2 2 3 3" xfId="24003"/>
    <cellStyle name="40% - Accent3 2 8 2 2 4" xfId="12320"/>
    <cellStyle name="40% - Accent3 2 8 2 2 4 2" xfId="24006"/>
    <cellStyle name="40% - Accent3 2 8 2 2 4 3" xfId="24005"/>
    <cellStyle name="40% - Accent3 2 8 2 2 5" xfId="24007"/>
    <cellStyle name="40% - Accent3 2 8 2 2 6" xfId="24000"/>
    <cellStyle name="40% - Accent3 2 8 2 3" xfId="7574"/>
    <cellStyle name="40% - Accent3 2 8 2 3 2" xfId="24009"/>
    <cellStyle name="40% - Accent3 2 8 2 3 3" xfId="24008"/>
    <cellStyle name="40% - Accent3 2 8 2 4" xfId="4447"/>
    <cellStyle name="40% - Accent3 2 8 2 4 2" xfId="24011"/>
    <cellStyle name="40% - Accent3 2 8 2 4 3" xfId="24010"/>
    <cellStyle name="40% - Accent3 2 8 2 5" xfId="10757"/>
    <cellStyle name="40% - Accent3 2 8 2 5 2" xfId="24013"/>
    <cellStyle name="40% - Accent3 2 8 2 5 3" xfId="24012"/>
    <cellStyle name="40% - Accent3 2 8 2 6" xfId="24014"/>
    <cellStyle name="40% - Accent3 2 8 2 7" xfId="23999"/>
    <cellStyle name="40% - Accent3 2 8 3" xfId="2172"/>
    <cellStyle name="40% - Accent3 2 8 3 2" xfId="8457"/>
    <cellStyle name="40% - Accent3 2 8 3 2 2" xfId="24017"/>
    <cellStyle name="40% - Accent3 2 8 3 2 3" xfId="24016"/>
    <cellStyle name="40% - Accent3 2 8 3 3" xfId="5330"/>
    <cellStyle name="40% - Accent3 2 8 3 3 2" xfId="24019"/>
    <cellStyle name="40% - Accent3 2 8 3 3 3" xfId="24018"/>
    <cellStyle name="40% - Accent3 2 8 3 4" xfId="11640"/>
    <cellStyle name="40% - Accent3 2 8 3 4 2" xfId="24021"/>
    <cellStyle name="40% - Accent3 2 8 3 4 3" xfId="24020"/>
    <cellStyle name="40% - Accent3 2 8 3 5" xfId="24022"/>
    <cellStyle name="40% - Accent3 2 8 3 6" xfId="24015"/>
    <cellStyle name="40% - Accent3 2 8 4" xfId="6894"/>
    <cellStyle name="40% - Accent3 2 8 4 2" xfId="24024"/>
    <cellStyle name="40% - Accent3 2 8 4 3" xfId="24023"/>
    <cellStyle name="40% - Accent3 2 8 5" xfId="3767"/>
    <cellStyle name="40% - Accent3 2 8 5 2" xfId="24026"/>
    <cellStyle name="40% - Accent3 2 8 5 3" xfId="24025"/>
    <cellStyle name="40% - Accent3 2 8 6" xfId="10199"/>
    <cellStyle name="40% - Accent3 2 8 6 2" xfId="24028"/>
    <cellStyle name="40% - Accent3 2 8 6 3" xfId="24027"/>
    <cellStyle name="40% - Accent3 2 8 7" xfId="24029"/>
    <cellStyle name="40% - Accent3 2 8 8" xfId="23998"/>
    <cellStyle name="40% - Accent3 2 9" xfId="639"/>
    <cellStyle name="40% - Accent3 2 9 2" xfId="1344"/>
    <cellStyle name="40% - Accent3 2 9 2 2" xfId="2909"/>
    <cellStyle name="40% - Accent3 2 9 2 2 2" xfId="9194"/>
    <cellStyle name="40% - Accent3 2 9 2 2 2 2" xfId="24034"/>
    <cellStyle name="40% - Accent3 2 9 2 2 2 3" xfId="24033"/>
    <cellStyle name="40% - Accent3 2 9 2 2 3" xfId="6067"/>
    <cellStyle name="40% - Accent3 2 9 2 2 3 2" xfId="24036"/>
    <cellStyle name="40% - Accent3 2 9 2 2 3 3" xfId="24035"/>
    <cellStyle name="40% - Accent3 2 9 2 2 4" xfId="12377"/>
    <cellStyle name="40% - Accent3 2 9 2 2 4 2" xfId="24038"/>
    <cellStyle name="40% - Accent3 2 9 2 2 4 3" xfId="24037"/>
    <cellStyle name="40% - Accent3 2 9 2 2 5" xfId="24039"/>
    <cellStyle name="40% - Accent3 2 9 2 2 6" xfId="24032"/>
    <cellStyle name="40% - Accent3 2 9 2 3" xfId="7631"/>
    <cellStyle name="40% - Accent3 2 9 2 3 2" xfId="24041"/>
    <cellStyle name="40% - Accent3 2 9 2 3 3" xfId="24040"/>
    <cellStyle name="40% - Accent3 2 9 2 4" xfId="4504"/>
    <cellStyle name="40% - Accent3 2 9 2 4 2" xfId="24043"/>
    <cellStyle name="40% - Accent3 2 9 2 4 3" xfId="24042"/>
    <cellStyle name="40% - Accent3 2 9 2 5" xfId="10814"/>
    <cellStyle name="40% - Accent3 2 9 2 5 2" xfId="24045"/>
    <cellStyle name="40% - Accent3 2 9 2 5 3" xfId="24044"/>
    <cellStyle name="40% - Accent3 2 9 2 6" xfId="24046"/>
    <cellStyle name="40% - Accent3 2 9 2 7" xfId="24031"/>
    <cellStyle name="40% - Accent3 2 9 3" xfId="2229"/>
    <cellStyle name="40% - Accent3 2 9 3 2" xfId="8514"/>
    <cellStyle name="40% - Accent3 2 9 3 2 2" xfId="24049"/>
    <cellStyle name="40% - Accent3 2 9 3 2 3" xfId="24048"/>
    <cellStyle name="40% - Accent3 2 9 3 3" xfId="5387"/>
    <cellStyle name="40% - Accent3 2 9 3 3 2" xfId="24051"/>
    <cellStyle name="40% - Accent3 2 9 3 3 3" xfId="24050"/>
    <cellStyle name="40% - Accent3 2 9 3 4" xfId="11697"/>
    <cellStyle name="40% - Accent3 2 9 3 4 2" xfId="24053"/>
    <cellStyle name="40% - Accent3 2 9 3 4 3" xfId="24052"/>
    <cellStyle name="40% - Accent3 2 9 3 5" xfId="24054"/>
    <cellStyle name="40% - Accent3 2 9 3 6" xfId="24047"/>
    <cellStyle name="40% - Accent3 2 9 4" xfId="6951"/>
    <cellStyle name="40% - Accent3 2 9 4 2" xfId="24056"/>
    <cellStyle name="40% - Accent3 2 9 4 3" xfId="24055"/>
    <cellStyle name="40% - Accent3 2 9 5" xfId="3824"/>
    <cellStyle name="40% - Accent3 2 9 5 2" xfId="24058"/>
    <cellStyle name="40% - Accent3 2 9 5 3" xfId="24057"/>
    <cellStyle name="40% - Accent3 2 9 6" xfId="10257"/>
    <cellStyle name="40% - Accent3 2 9 6 2" xfId="24060"/>
    <cellStyle name="40% - Accent3 2 9 6 3" xfId="24059"/>
    <cellStyle name="40% - Accent3 2 9 7" xfId="24061"/>
    <cellStyle name="40% - Accent3 2 9 8" xfId="24030"/>
    <cellStyle name="40% - Accent3 20" xfId="1566"/>
    <cellStyle name="40% - Accent3 20 2" xfId="3131"/>
    <cellStyle name="40% - Accent3 20 2 2" xfId="9416"/>
    <cellStyle name="40% - Accent3 20 2 2 2" xfId="24065"/>
    <cellStyle name="40% - Accent3 20 2 2 3" xfId="24064"/>
    <cellStyle name="40% - Accent3 20 2 3" xfId="6289"/>
    <cellStyle name="40% - Accent3 20 2 3 2" xfId="24067"/>
    <cellStyle name="40% - Accent3 20 2 3 3" xfId="24066"/>
    <cellStyle name="40% - Accent3 20 2 4" xfId="12599"/>
    <cellStyle name="40% - Accent3 20 2 4 2" xfId="24069"/>
    <cellStyle name="40% - Accent3 20 2 4 3" xfId="24068"/>
    <cellStyle name="40% - Accent3 20 2 5" xfId="24070"/>
    <cellStyle name="40% - Accent3 20 2 6" xfId="24063"/>
    <cellStyle name="40% - Accent3 20 3" xfId="7853"/>
    <cellStyle name="40% - Accent3 20 3 2" xfId="24072"/>
    <cellStyle name="40% - Accent3 20 3 3" xfId="24071"/>
    <cellStyle name="40% - Accent3 20 4" xfId="4726"/>
    <cellStyle name="40% - Accent3 20 4 2" xfId="24074"/>
    <cellStyle name="40% - Accent3 20 4 3" xfId="24073"/>
    <cellStyle name="40% - Accent3 20 5" xfId="11036"/>
    <cellStyle name="40% - Accent3 20 5 2" xfId="24076"/>
    <cellStyle name="40% - Accent3 20 5 3" xfId="24075"/>
    <cellStyle name="40% - Accent3 20 6" xfId="24077"/>
    <cellStyle name="40% - Accent3 20 7" xfId="24062"/>
    <cellStyle name="40% - Accent3 21" xfId="1729"/>
    <cellStyle name="40% - Accent3 21 2" xfId="8016"/>
    <cellStyle name="40% - Accent3 21 2 2" xfId="24080"/>
    <cellStyle name="40% - Accent3 21 2 3" xfId="24079"/>
    <cellStyle name="40% - Accent3 21 3" xfId="4889"/>
    <cellStyle name="40% - Accent3 21 3 2" xfId="24082"/>
    <cellStyle name="40% - Accent3 21 3 3" xfId="24081"/>
    <cellStyle name="40% - Accent3 21 4" xfId="11199"/>
    <cellStyle name="40% - Accent3 21 4 2" xfId="24084"/>
    <cellStyle name="40% - Accent3 21 4 3" xfId="24083"/>
    <cellStyle name="40% - Accent3 21 5" xfId="24085"/>
    <cellStyle name="40% - Accent3 21 6" xfId="24078"/>
    <cellStyle name="40% - Accent3 22" xfId="109"/>
    <cellStyle name="40% - Accent3 22 2" xfId="6454"/>
    <cellStyle name="40% - Accent3 22 2 2" xfId="24088"/>
    <cellStyle name="40% - Accent3 22 2 3" xfId="24087"/>
    <cellStyle name="40% - Accent3 22 3" xfId="24089"/>
    <cellStyle name="40% - Accent3 22 4" xfId="24086"/>
    <cellStyle name="40% - Accent3 23" xfId="3298"/>
    <cellStyle name="40% - Accent3 23 2" xfId="9581"/>
    <cellStyle name="40% - Accent3 23 2 2" xfId="24092"/>
    <cellStyle name="40% - Accent3 23 2 3" xfId="24091"/>
    <cellStyle name="40% - Accent3 23 3" xfId="24093"/>
    <cellStyle name="40% - Accent3 23 4" xfId="24090"/>
    <cellStyle name="40% - Accent3 24" xfId="3327"/>
    <cellStyle name="40% - Accent3 24 2" xfId="24095"/>
    <cellStyle name="40% - Accent3 24 3" xfId="24094"/>
    <cellStyle name="40% - Accent3 25" xfId="9634"/>
    <cellStyle name="40% - Accent3 25 2" xfId="24097"/>
    <cellStyle name="40% - Accent3 25 3" xfId="24096"/>
    <cellStyle name="40% - Accent3 26" xfId="24098"/>
    <cellStyle name="40% - Accent3 27" xfId="23381"/>
    <cellStyle name="40% - Accent3 28" xfId="38144"/>
    <cellStyle name="40% - Accent3 3" xfId="78"/>
    <cellStyle name="40% - Accent3 3 10" xfId="1547"/>
    <cellStyle name="40% - Accent3 3 10 2" xfId="3112"/>
    <cellStyle name="40% - Accent3 3 10 2 2" xfId="9397"/>
    <cellStyle name="40% - Accent3 3 10 2 2 2" xfId="24103"/>
    <cellStyle name="40% - Accent3 3 10 2 2 3" xfId="24102"/>
    <cellStyle name="40% - Accent3 3 10 2 3" xfId="6270"/>
    <cellStyle name="40% - Accent3 3 10 2 3 2" xfId="24105"/>
    <cellStyle name="40% - Accent3 3 10 2 3 3" xfId="24104"/>
    <cellStyle name="40% - Accent3 3 10 2 4" xfId="12580"/>
    <cellStyle name="40% - Accent3 3 10 2 4 2" xfId="24107"/>
    <cellStyle name="40% - Accent3 3 10 2 4 3" xfId="24106"/>
    <cellStyle name="40% - Accent3 3 10 2 5" xfId="24108"/>
    <cellStyle name="40% - Accent3 3 10 2 6" xfId="24101"/>
    <cellStyle name="40% - Accent3 3 10 3" xfId="7834"/>
    <cellStyle name="40% - Accent3 3 10 3 2" xfId="24110"/>
    <cellStyle name="40% - Accent3 3 10 3 3" xfId="24109"/>
    <cellStyle name="40% - Accent3 3 10 4" xfId="4707"/>
    <cellStyle name="40% - Accent3 3 10 4 2" xfId="24112"/>
    <cellStyle name="40% - Accent3 3 10 4 3" xfId="24111"/>
    <cellStyle name="40% - Accent3 3 10 5" xfId="11017"/>
    <cellStyle name="40% - Accent3 3 10 5 2" xfId="24114"/>
    <cellStyle name="40% - Accent3 3 10 5 3" xfId="24113"/>
    <cellStyle name="40% - Accent3 3 10 6" xfId="24115"/>
    <cellStyle name="40% - Accent3 3 10 7" xfId="24100"/>
    <cellStyle name="40% - Accent3 3 11" xfId="1759"/>
    <cellStyle name="40% - Accent3 3 11 2" xfId="8044"/>
    <cellStyle name="40% - Accent3 3 11 2 2" xfId="24118"/>
    <cellStyle name="40% - Accent3 3 11 2 3" xfId="24117"/>
    <cellStyle name="40% - Accent3 3 11 3" xfId="4917"/>
    <cellStyle name="40% - Accent3 3 11 3 2" xfId="24120"/>
    <cellStyle name="40% - Accent3 3 11 3 3" xfId="24119"/>
    <cellStyle name="40% - Accent3 3 11 4" xfId="11227"/>
    <cellStyle name="40% - Accent3 3 11 4 2" xfId="24122"/>
    <cellStyle name="40% - Accent3 3 11 4 3" xfId="24121"/>
    <cellStyle name="40% - Accent3 3 11 5" xfId="24123"/>
    <cellStyle name="40% - Accent3 3 11 6" xfId="24116"/>
    <cellStyle name="40% - Accent3 3 12" xfId="136"/>
    <cellStyle name="40% - Accent3 3 12 2" xfId="6481"/>
    <cellStyle name="40% - Accent3 3 12 2 2" xfId="24126"/>
    <cellStyle name="40% - Accent3 3 12 2 3" xfId="24125"/>
    <cellStyle name="40% - Accent3 3 12 3" xfId="9933"/>
    <cellStyle name="40% - Accent3 3 12 3 2" xfId="24128"/>
    <cellStyle name="40% - Accent3 3 12 3 3" xfId="24127"/>
    <cellStyle name="40% - Accent3 3 12 4" xfId="24129"/>
    <cellStyle name="40% - Accent3 3 12 5" xfId="24124"/>
    <cellStyle name="40% - Accent3 3 13" xfId="3354"/>
    <cellStyle name="40% - Accent3 3 13 2" xfId="24131"/>
    <cellStyle name="40% - Accent3 3 13 3" xfId="24130"/>
    <cellStyle name="40% - Accent3 3 14" xfId="9615"/>
    <cellStyle name="40% - Accent3 3 14 2" xfId="24133"/>
    <cellStyle name="40% - Accent3 3 14 3" xfId="24132"/>
    <cellStyle name="40% - Accent3 3 15" xfId="24134"/>
    <cellStyle name="40% - Accent3 3 16" xfId="24099"/>
    <cellStyle name="40% - Accent3 3 17" xfId="38146"/>
    <cellStyle name="40% - Accent3 3 2" xfId="171"/>
    <cellStyle name="40% - Accent3 3 2 2" xfId="306"/>
    <cellStyle name="40% - Accent3 3 2 2 2" xfId="1016"/>
    <cellStyle name="40% - Accent3 3 2 2 2 2" xfId="2582"/>
    <cellStyle name="40% - Accent3 3 2 2 2 2 2" xfId="8867"/>
    <cellStyle name="40% - Accent3 3 2 2 2 2 2 2" xfId="24140"/>
    <cellStyle name="40% - Accent3 3 2 2 2 2 2 3" xfId="24139"/>
    <cellStyle name="40% - Accent3 3 2 2 2 2 3" xfId="5740"/>
    <cellStyle name="40% - Accent3 3 2 2 2 2 3 2" xfId="24142"/>
    <cellStyle name="40% - Accent3 3 2 2 2 2 3 3" xfId="24141"/>
    <cellStyle name="40% - Accent3 3 2 2 2 2 4" xfId="12050"/>
    <cellStyle name="40% - Accent3 3 2 2 2 2 4 2" xfId="24144"/>
    <cellStyle name="40% - Accent3 3 2 2 2 2 4 3" xfId="24143"/>
    <cellStyle name="40% - Accent3 3 2 2 2 2 5" xfId="24145"/>
    <cellStyle name="40% - Accent3 3 2 2 2 2 6" xfId="24138"/>
    <cellStyle name="40% - Accent3 3 2 2 2 3" xfId="7304"/>
    <cellStyle name="40% - Accent3 3 2 2 2 3 2" xfId="24147"/>
    <cellStyle name="40% - Accent3 3 2 2 2 3 3" xfId="24146"/>
    <cellStyle name="40% - Accent3 3 2 2 2 4" xfId="4177"/>
    <cellStyle name="40% - Accent3 3 2 2 2 4 2" xfId="24149"/>
    <cellStyle name="40% - Accent3 3 2 2 2 4 3" xfId="24148"/>
    <cellStyle name="40% - Accent3 3 2 2 2 5" xfId="10487"/>
    <cellStyle name="40% - Accent3 3 2 2 2 5 2" xfId="24151"/>
    <cellStyle name="40% - Accent3 3 2 2 2 5 3" xfId="24150"/>
    <cellStyle name="40% - Accent3 3 2 2 2 6" xfId="24152"/>
    <cellStyle name="40% - Accent3 3 2 2 2 7" xfId="24137"/>
    <cellStyle name="40% - Accent3 3 2 2 3" xfId="1902"/>
    <cellStyle name="40% - Accent3 3 2 2 3 2" xfId="8187"/>
    <cellStyle name="40% - Accent3 3 2 2 3 2 2" xfId="24155"/>
    <cellStyle name="40% - Accent3 3 2 2 3 2 3" xfId="24154"/>
    <cellStyle name="40% - Accent3 3 2 2 3 3" xfId="5060"/>
    <cellStyle name="40% - Accent3 3 2 2 3 3 2" xfId="24157"/>
    <cellStyle name="40% - Accent3 3 2 2 3 3 3" xfId="24156"/>
    <cellStyle name="40% - Accent3 3 2 2 3 4" xfId="11370"/>
    <cellStyle name="40% - Accent3 3 2 2 3 4 2" xfId="24159"/>
    <cellStyle name="40% - Accent3 3 2 2 3 4 3" xfId="24158"/>
    <cellStyle name="40% - Accent3 3 2 2 3 5" xfId="24160"/>
    <cellStyle name="40% - Accent3 3 2 2 3 6" xfId="24153"/>
    <cellStyle name="40% - Accent3 3 2 2 4" xfId="6624"/>
    <cellStyle name="40% - Accent3 3 2 2 4 2" xfId="24162"/>
    <cellStyle name="40% - Accent3 3 2 2 4 3" xfId="24161"/>
    <cellStyle name="40% - Accent3 3 2 2 5" xfId="3497"/>
    <cellStyle name="40% - Accent3 3 2 2 5 2" xfId="24164"/>
    <cellStyle name="40% - Accent3 3 2 2 5 3" xfId="24163"/>
    <cellStyle name="40% - Accent3 3 2 2 6" xfId="9806"/>
    <cellStyle name="40% - Accent3 3 2 2 6 2" xfId="24166"/>
    <cellStyle name="40% - Accent3 3 2 2 6 3" xfId="24165"/>
    <cellStyle name="40% - Accent3 3 2 2 7" xfId="24167"/>
    <cellStyle name="40% - Accent3 3 2 2 8" xfId="24136"/>
    <cellStyle name="40% - Accent3 3 2 3" xfId="907"/>
    <cellStyle name="40% - Accent3 3 2 3 2" xfId="2473"/>
    <cellStyle name="40% - Accent3 3 2 3 2 2" xfId="8758"/>
    <cellStyle name="40% - Accent3 3 2 3 2 2 2" xfId="24171"/>
    <cellStyle name="40% - Accent3 3 2 3 2 2 3" xfId="24170"/>
    <cellStyle name="40% - Accent3 3 2 3 2 3" xfId="5631"/>
    <cellStyle name="40% - Accent3 3 2 3 2 3 2" xfId="24173"/>
    <cellStyle name="40% - Accent3 3 2 3 2 3 3" xfId="24172"/>
    <cellStyle name="40% - Accent3 3 2 3 2 4" xfId="11941"/>
    <cellStyle name="40% - Accent3 3 2 3 2 4 2" xfId="24175"/>
    <cellStyle name="40% - Accent3 3 2 3 2 4 3" xfId="24174"/>
    <cellStyle name="40% - Accent3 3 2 3 2 5" xfId="24176"/>
    <cellStyle name="40% - Accent3 3 2 3 2 6" xfId="24169"/>
    <cellStyle name="40% - Accent3 3 2 3 3" xfId="7195"/>
    <cellStyle name="40% - Accent3 3 2 3 3 2" xfId="24178"/>
    <cellStyle name="40% - Accent3 3 2 3 3 3" xfId="24177"/>
    <cellStyle name="40% - Accent3 3 2 3 4" xfId="4068"/>
    <cellStyle name="40% - Accent3 3 2 3 4 2" xfId="24180"/>
    <cellStyle name="40% - Accent3 3 2 3 4 3" xfId="24179"/>
    <cellStyle name="40% - Accent3 3 2 3 5" xfId="10378"/>
    <cellStyle name="40% - Accent3 3 2 3 5 2" xfId="24182"/>
    <cellStyle name="40% - Accent3 3 2 3 5 3" xfId="24181"/>
    <cellStyle name="40% - Accent3 3 2 3 6" xfId="24183"/>
    <cellStyle name="40% - Accent3 3 2 3 7" xfId="24168"/>
    <cellStyle name="40% - Accent3 3 2 4" xfId="1793"/>
    <cellStyle name="40% - Accent3 3 2 4 2" xfId="8078"/>
    <cellStyle name="40% - Accent3 3 2 4 2 2" xfId="24186"/>
    <cellStyle name="40% - Accent3 3 2 4 2 3" xfId="24185"/>
    <cellStyle name="40% - Accent3 3 2 4 3" xfId="4951"/>
    <cellStyle name="40% - Accent3 3 2 4 3 2" xfId="24188"/>
    <cellStyle name="40% - Accent3 3 2 4 3 3" xfId="24187"/>
    <cellStyle name="40% - Accent3 3 2 4 4" xfId="11261"/>
    <cellStyle name="40% - Accent3 3 2 4 4 2" xfId="24190"/>
    <cellStyle name="40% - Accent3 3 2 4 4 3" xfId="24189"/>
    <cellStyle name="40% - Accent3 3 2 4 5" xfId="24191"/>
    <cellStyle name="40% - Accent3 3 2 4 6" xfId="24184"/>
    <cellStyle name="40% - Accent3 3 2 5" xfId="6515"/>
    <cellStyle name="40% - Accent3 3 2 5 2" xfId="24193"/>
    <cellStyle name="40% - Accent3 3 2 5 3" xfId="24192"/>
    <cellStyle name="40% - Accent3 3 2 6" xfId="3388"/>
    <cellStyle name="40% - Accent3 3 2 6 2" xfId="24195"/>
    <cellStyle name="40% - Accent3 3 2 6 3" xfId="24194"/>
    <cellStyle name="40% - Accent3 3 2 7" xfId="9913"/>
    <cellStyle name="40% - Accent3 3 2 7 2" xfId="24197"/>
    <cellStyle name="40% - Accent3 3 2 7 3" xfId="24196"/>
    <cellStyle name="40% - Accent3 3 2 8" xfId="24198"/>
    <cellStyle name="40% - Accent3 3 2 9" xfId="24135"/>
    <cellStyle name="40% - Accent3 3 3" xfId="247"/>
    <cellStyle name="40% - Accent3 3 3 2" xfId="958"/>
    <cellStyle name="40% - Accent3 3 3 2 2" xfId="2524"/>
    <cellStyle name="40% - Accent3 3 3 2 2 2" xfId="8809"/>
    <cellStyle name="40% - Accent3 3 3 2 2 2 2" xfId="24203"/>
    <cellStyle name="40% - Accent3 3 3 2 2 2 3" xfId="24202"/>
    <cellStyle name="40% - Accent3 3 3 2 2 3" xfId="5682"/>
    <cellStyle name="40% - Accent3 3 3 2 2 3 2" xfId="24205"/>
    <cellStyle name="40% - Accent3 3 3 2 2 3 3" xfId="24204"/>
    <cellStyle name="40% - Accent3 3 3 2 2 4" xfId="11992"/>
    <cellStyle name="40% - Accent3 3 3 2 2 4 2" xfId="24207"/>
    <cellStyle name="40% - Accent3 3 3 2 2 4 3" xfId="24206"/>
    <cellStyle name="40% - Accent3 3 3 2 2 5" xfId="24208"/>
    <cellStyle name="40% - Accent3 3 3 2 2 6" xfId="24201"/>
    <cellStyle name="40% - Accent3 3 3 2 3" xfId="7246"/>
    <cellStyle name="40% - Accent3 3 3 2 3 2" xfId="24210"/>
    <cellStyle name="40% - Accent3 3 3 2 3 3" xfId="24209"/>
    <cellStyle name="40% - Accent3 3 3 2 4" xfId="4119"/>
    <cellStyle name="40% - Accent3 3 3 2 4 2" xfId="24212"/>
    <cellStyle name="40% - Accent3 3 3 2 4 3" xfId="24211"/>
    <cellStyle name="40% - Accent3 3 3 2 5" xfId="10429"/>
    <cellStyle name="40% - Accent3 3 3 2 5 2" xfId="24214"/>
    <cellStyle name="40% - Accent3 3 3 2 5 3" xfId="24213"/>
    <cellStyle name="40% - Accent3 3 3 2 6" xfId="24215"/>
    <cellStyle name="40% - Accent3 3 3 2 7" xfId="24200"/>
    <cellStyle name="40% - Accent3 3 3 3" xfId="1844"/>
    <cellStyle name="40% - Accent3 3 3 3 2" xfId="8129"/>
    <cellStyle name="40% - Accent3 3 3 3 2 2" xfId="24218"/>
    <cellStyle name="40% - Accent3 3 3 3 2 3" xfId="24217"/>
    <cellStyle name="40% - Accent3 3 3 3 3" xfId="5002"/>
    <cellStyle name="40% - Accent3 3 3 3 3 2" xfId="24220"/>
    <cellStyle name="40% - Accent3 3 3 3 3 3" xfId="24219"/>
    <cellStyle name="40% - Accent3 3 3 3 4" xfId="11312"/>
    <cellStyle name="40% - Accent3 3 3 3 4 2" xfId="24222"/>
    <cellStyle name="40% - Accent3 3 3 3 4 3" xfId="24221"/>
    <cellStyle name="40% - Accent3 3 3 3 5" xfId="24223"/>
    <cellStyle name="40% - Accent3 3 3 3 6" xfId="24216"/>
    <cellStyle name="40% - Accent3 3 3 4" xfId="6566"/>
    <cellStyle name="40% - Accent3 3 3 4 2" xfId="24225"/>
    <cellStyle name="40% - Accent3 3 3 4 3" xfId="24224"/>
    <cellStyle name="40% - Accent3 3 3 5" xfId="3439"/>
    <cellStyle name="40% - Accent3 3 3 5 2" xfId="24227"/>
    <cellStyle name="40% - Accent3 3 3 5 3" xfId="24226"/>
    <cellStyle name="40% - Accent3 3 3 6" xfId="9891"/>
    <cellStyle name="40% - Accent3 3 3 6 2" xfId="24229"/>
    <cellStyle name="40% - Accent3 3 3 6 3" xfId="24228"/>
    <cellStyle name="40% - Accent3 3 3 7" xfId="24230"/>
    <cellStyle name="40% - Accent3 3 3 8" xfId="24199"/>
    <cellStyle name="40% - Accent3 3 4" xfId="287"/>
    <cellStyle name="40% - Accent3 3 4 2" xfId="997"/>
    <cellStyle name="40% - Accent3 3 4 2 2" xfId="2563"/>
    <cellStyle name="40% - Accent3 3 4 2 2 2" xfId="8848"/>
    <cellStyle name="40% - Accent3 3 4 2 2 2 2" xfId="24235"/>
    <cellStyle name="40% - Accent3 3 4 2 2 2 3" xfId="24234"/>
    <cellStyle name="40% - Accent3 3 4 2 2 3" xfId="5721"/>
    <cellStyle name="40% - Accent3 3 4 2 2 3 2" xfId="24237"/>
    <cellStyle name="40% - Accent3 3 4 2 2 3 3" xfId="24236"/>
    <cellStyle name="40% - Accent3 3 4 2 2 4" xfId="12031"/>
    <cellStyle name="40% - Accent3 3 4 2 2 4 2" xfId="24239"/>
    <cellStyle name="40% - Accent3 3 4 2 2 4 3" xfId="24238"/>
    <cellStyle name="40% - Accent3 3 4 2 2 5" xfId="24240"/>
    <cellStyle name="40% - Accent3 3 4 2 2 6" xfId="24233"/>
    <cellStyle name="40% - Accent3 3 4 2 3" xfId="7285"/>
    <cellStyle name="40% - Accent3 3 4 2 3 2" xfId="24242"/>
    <cellStyle name="40% - Accent3 3 4 2 3 3" xfId="24241"/>
    <cellStyle name="40% - Accent3 3 4 2 4" xfId="4158"/>
    <cellStyle name="40% - Accent3 3 4 2 4 2" xfId="24244"/>
    <cellStyle name="40% - Accent3 3 4 2 4 3" xfId="24243"/>
    <cellStyle name="40% - Accent3 3 4 2 5" xfId="10468"/>
    <cellStyle name="40% - Accent3 3 4 2 5 2" xfId="24246"/>
    <cellStyle name="40% - Accent3 3 4 2 5 3" xfId="24245"/>
    <cellStyle name="40% - Accent3 3 4 2 6" xfId="24247"/>
    <cellStyle name="40% - Accent3 3 4 2 7" xfId="24232"/>
    <cellStyle name="40% - Accent3 3 4 3" xfId="1883"/>
    <cellStyle name="40% - Accent3 3 4 3 2" xfId="8168"/>
    <cellStyle name="40% - Accent3 3 4 3 2 2" xfId="24250"/>
    <cellStyle name="40% - Accent3 3 4 3 2 3" xfId="24249"/>
    <cellStyle name="40% - Accent3 3 4 3 3" xfId="5041"/>
    <cellStyle name="40% - Accent3 3 4 3 3 2" xfId="24252"/>
    <cellStyle name="40% - Accent3 3 4 3 3 3" xfId="24251"/>
    <cellStyle name="40% - Accent3 3 4 3 4" xfId="11351"/>
    <cellStyle name="40% - Accent3 3 4 3 4 2" xfId="24254"/>
    <cellStyle name="40% - Accent3 3 4 3 4 3" xfId="24253"/>
    <cellStyle name="40% - Accent3 3 4 3 5" xfId="24255"/>
    <cellStyle name="40% - Accent3 3 4 3 6" xfId="24248"/>
    <cellStyle name="40% - Accent3 3 4 4" xfId="6605"/>
    <cellStyle name="40% - Accent3 3 4 4 2" xfId="24257"/>
    <cellStyle name="40% - Accent3 3 4 4 3" xfId="24256"/>
    <cellStyle name="40% - Accent3 3 4 5" xfId="3478"/>
    <cellStyle name="40% - Accent3 3 4 5 2" xfId="24259"/>
    <cellStyle name="40% - Accent3 3 4 5 3" xfId="24258"/>
    <cellStyle name="40% - Accent3 3 4 6" xfId="9866"/>
    <cellStyle name="40% - Accent3 3 4 6 2" xfId="24261"/>
    <cellStyle name="40% - Accent3 3 4 6 3" xfId="24260"/>
    <cellStyle name="40% - Accent3 3 4 7" xfId="24262"/>
    <cellStyle name="40% - Accent3 3 4 8" xfId="24231"/>
    <cellStyle name="40% - Accent3 3 5" xfId="354"/>
    <cellStyle name="40% - Accent3 3 5 2" xfId="1062"/>
    <cellStyle name="40% - Accent3 3 5 2 2" xfId="2628"/>
    <cellStyle name="40% - Accent3 3 5 2 2 2" xfId="8913"/>
    <cellStyle name="40% - Accent3 3 5 2 2 2 2" xfId="24267"/>
    <cellStyle name="40% - Accent3 3 5 2 2 2 3" xfId="24266"/>
    <cellStyle name="40% - Accent3 3 5 2 2 3" xfId="5786"/>
    <cellStyle name="40% - Accent3 3 5 2 2 3 2" xfId="24269"/>
    <cellStyle name="40% - Accent3 3 5 2 2 3 3" xfId="24268"/>
    <cellStyle name="40% - Accent3 3 5 2 2 4" xfId="12096"/>
    <cellStyle name="40% - Accent3 3 5 2 2 4 2" xfId="24271"/>
    <cellStyle name="40% - Accent3 3 5 2 2 4 3" xfId="24270"/>
    <cellStyle name="40% - Accent3 3 5 2 2 5" xfId="24272"/>
    <cellStyle name="40% - Accent3 3 5 2 2 6" xfId="24265"/>
    <cellStyle name="40% - Accent3 3 5 2 3" xfId="7350"/>
    <cellStyle name="40% - Accent3 3 5 2 3 2" xfId="24274"/>
    <cellStyle name="40% - Accent3 3 5 2 3 3" xfId="24273"/>
    <cellStyle name="40% - Accent3 3 5 2 4" xfId="4223"/>
    <cellStyle name="40% - Accent3 3 5 2 4 2" xfId="24276"/>
    <cellStyle name="40% - Accent3 3 5 2 4 3" xfId="24275"/>
    <cellStyle name="40% - Accent3 3 5 2 5" xfId="10533"/>
    <cellStyle name="40% - Accent3 3 5 2 5 2" xfId="24278"/>
    <cellStyle name="40% - Accent3 3 5 2 5 3" xfId="24277"/>
    <cellStyle name="40% - Accent3 3 5 2 6" xfId="24279"/>
    <cellStyle name="40% - Accent3 3 5 2 7" xfId="24264"/>
    <cellStyle name="40% - Accent3 3 5 3" xfId="1948"/>
    <cellStyle name="40% - Accent3 3 5 3 2" xfId="8233"/>
    <cellStyle name="40% - Accent3 3 5 3 2 2" xfId="24282"/>
    <cellStyle name="40% - Accent3 3 5 3 2 3" xfId="24281"/>
    <cellStyle name="40% - Accent3 3 5 3 3" xfId="5106"/>
    <cellStyle name="40% - Accent3 3 5 3 3 2" xfId="24284"/>
    <cellStyle name="40% - Accent3 3 5 3 3 3" xfId="24283"/>
    <cellStyle name="40% - Accent3 3 5 3 4" xfId="11416"/>
    <cellStyle name="40% - Accent3 3 5 3 4 2" xfId="24286"/>
    <cellStyle name="40% - Accent3 3 5 3 4 3" xfId="24285"/>
    <cellStyle name="40% - Accent3 3 5 3 5" xfId="24287"/>
    <cellStyle name="40% - Accent3 3 5 3 6" xfId="24280"/>
    <cellStyle name="40% - Accent3 3 5 4" xfId="6670"/>
    <cellStyle name="40% - Accent3 3 5 4 2" xfId="24289"/>
    <cellStyle name="40% - Accent3 3 5 4 3" xfId="24288"/>
    <cellStyle name="40% - Accent3 3 5 5" xfId="3543"/>
    <cellStyle name="40% - Accent3 3 5 5 2" xfId="24291"/>
    <cellStyle name="40% - Accent3 3 5 5 3" xfId="24290"/>
    <cellStyle name="40% - Accent3 3 5 6" xfId="9975"/>
    <cellStyle name="40% - Accent3 3 5 6 2" xfId="24293"/>
    <cellStyle name="40% - Accent3 3 5 6 3" xfId="24292"/>
    <cellStyle name="40% - Accent3 3 5 7" xfId="24294"/>
    <cellStyle name="40% - Accent3 3 5 8" xfId="24263"/>
    <cellStyle name="40% - Accent3 3 6" xfId="407"/>
    <cellStyle name="40% - Accent3 3 6 2" xfId="1114"/>
    <cellStyle name="40% - Accent3 3 6 2 2" xfId="2679"/>
    <cellStyle name="40% - Accent3 3 6 2 2 2" xfId="8964"/>
    <cellStyle name="40% - Accent3 3 6 2 2 2 2" xfId="24299"/>
    <cellStyle name="40% - Accent3 3 6 2 2 2 3" xfId="24298"/>
    <cellStyle name="40% - Accent3 3 6 2 2 3" xfId="5837"/>
    <cellStyle name="40% - Accent3 3 6 2 2 3 2" xfId="24301"/>
    <cellStyle name="40% - Accent3 3 6 2 2 3 3" xfId="24300"/>
    <cellStyle name="40% - Accent3 3 6 2 2 4" xfId="12147"/>
    <cellStyle name="40% - Accent3 3 6 2 2 4 2" xfId="24303"/>
    <cellStyle name="40% - Accent3 3 6 2 2 4 3" xfId="24302"/>
    <cellStyle name="40% - Accent3 3 6 2 2 5" xfId="24304"/>
    <cellStyle name="40% - Accent3 3 6 2 2 6" xfId="24297"/>
    <cellStyle name="40% - Accent3 3 6 2 3" xfId="7401"/>
    <cellStyle name="40% - Accent3 3 6 2 3 2" xfId="24306"/>
    <cellStyle name="40% - Accent3 3 6 2 3 3" xfId="24305"/>
    <cellStyle name="40% - Accent3 3 6 2 4" xfId="4274"/>
    <cellStyle name="40% - Accent3 3 6 2 4 2" xfId="24308"/>
    <cellStyle name="40% - Accent3 3 6 2 4 3" xfId="24307"/>
    <cellStyle name="40% - Accent3 3 6 2 5" xfId="10584"/>
    <cellStyle name="40% - Accent3 3 6 2 5 2" xfId="24310"/>
    <cellStyle name="40% - Accent3 3 6 2 5 3" xfId="24309"/>
    <cellStyle name="40% - Accent3 3 6 2 6" xfId="24311"/>
    <cellStyle name="40% - Accent3 3 6 2 7" xfId="24296"/>
    <cellStyle name="40% - Accent3 3 6 3" xfId="1999"/>
    <cellStyle name="40% - Accent3 3 6 3 2" xfId="8284"/>
    <cellStyle name="40% - Accent3 3 6 3 2 2" xfId="24314"/>
    <cellStyle name="40% - Accent3 3 6 3 2 3" xfId="24313"/>
    <cellStyle name="40% - Accent3 3 6 3 3" xfId="5157"/>
    <cellStyle name="40% - Accent3 3 6 3 3 2" xfId="24316"/>
    <cellStyle name="40% - Accent3 3 6 3 3 3" xfId="24315"/>
    <cellStyle name="40% - Accent3 3 6 3 4" xfId="11467"/>
    <cellStyle name="40% - Accent3 3 6 3 4 2" xfId="24318"/>
    <cellStyle name="40% - Accent3 3 6 3 4 3" xfId="24317"/>
    <cellStyle name="40% - Accent3 3 6 3 5" xfId="24319"/>
    <cellStyle name="40% - Accent3 3 6 3 6" xfId="24312"/>
    <cellStyle name="40% - Accent3 3 6 4" xfId="6721"/>
    <cellStyle name="40% - Accent3 3 6 4 2" xfId="24321"/>
    <cellStyle name="40% - Accent3 3 6 4 3" xfId="24320"/>
    <cellStyle name="40% - Accent3 3 6 5" xfId="3594"/>
    <cellStyle name="40% - Accent3 3 6 5 2" xfId="24323"/>
    <cellStyle name="40% - Accent3 3 6 5 3" xfId="24322"/>
    <cellStyle name="40% - Accent3 3 6 6" xfId="10027"/>
    <cellStyle name="40% - Accent3 3 6 6 2" xfId="24325"/>
    <cellStyle name="40% - Accent3 3 6 6 3" xfId="24324"/>
    <cellStyle name="40% - Accent3 3 6 7" xfId="24326"/>
    <cellStyle name="40% - Accent3 3 6 8" xfId="24295"/>
    <cellStyle name="40% - Accent3 3 7" xfId="581"/>
    <cellStyle name="40% - Accent3 3 7 2" xfId="1288"/>
    <cellStyle name="40% - Accent3 3 7 2 2" xfId="2853"/>
    <cellStyle name="40% - Accent3 3 7 2 2 2" xfId="9138"/>
    <cellStyle name="40% - Accent3 3 7 2 2 2 2" xfId="24331"/>
    <cellStyle name="40% - Accent3 3 7 2 2 2 3" xfId="24330"/>
    <cellStyle name="40% - Accent3 3 7 2 2 3" xfId="6011"/>
    <cellStyle name="40% - Accent3 3 7 2 2 3 2" xfId="24333"/>
    <cellStyle name="40% - Accent3 3 7 2 2 3 3" xfId="24332"/>
    <cellStyle name="40% - Accent3 3 7 2 2 4" xfId="12321"/>
    <cellStyle name="40% - Accent3 3 7 2 2 4 2" xfId="24335"/>
    <cellStyle name="40% - Accent3 3 7 2 2 4 3" xfId="24334"/>
    <cellStyle name="40% - Accent3 3 7 2 2 5" xfId="24336"/>
    <cellStyle name="40% - Accent3 3 7 2 2 6" xfId="24329"/>
    <cellStyle name="40% - Accent3 3 7 2 3" xfId="7575"/>
    <cellStyle name="40% - Accent3 3 7 2 3 2" xfId="24338"/>
    <cellStyle name="40% - Accent3 3 7 2 3 3" xfId="24337"/>
    <cellStyle name="40% - Accent3 3 7 2 4" xfId="4448"/>
    <cellStyle name="40% - Accent3 3 7 2 4 2" xfId="24340"/>
    <cellStyle name="40% - Accent3 3 7 2 4 3" xfId="24339"/>
    <cellStyle name="40% - Accent3 3 7 2 5" xfId="10758"/>
    <cellStyle name="40% - Accent3 3 7 2 5 2" xfId="24342"/>
    <cellStyle name="40% - Accent3 3 7 2 5 3" xfId="24341"/>
    <cellStyle name="40% - Accent3 3 7 2 6" xfId="24343"/>
    <cellStyle name="40% - Accent3 3 7 2 7" xfId="24328"/>
    <cellStyle name="40% - Accent3 3 7 3" xfId="2173"/>
    <cellStyle name="40% - Accent3 3 7 3 2" xfId="8458"/>
    <cellStyle name="40% - Accent3 3 7 3 2 2" xfId="24346"/>
    <cellStyle name="40% - Accent3 3 7 3 2 3" xfId="24345"/>
    <cellStyle name="40% - Accent3 3 7 3 3" xfId="5331"/>
    <cellStyle name="40% - Accent3 3 7 3 3 2" xfId="24348"/>
    <cellStyle name="40% - Accent3 3 7 3 3 3" xfId="24347"/>
    <cellStyle name="40% - Accent3 3 7 3 4" xfId="11641"/>
    <cellStyle name="40% - Accent3 3 7 3 4 2" xfId="24350"/>
    <cellStyle name="40% - Accent3 3 7 3 4 3" xfId="24349"/>
    <cellStyle name="40% - Accent3 3 7 3 5" xfId="24351"/>
    <cellStyle name="40% - Accent3 3 7 3 6" xfId="24344"/>
    <cellStyle name="40% - Accent3 3 7 4" xfId="6895"/>
    <cellStyle name="40% - Accent3 3 7 4 2" xfId="24353"/>
    <cellStyle name="40% - Accent3 3 7 4 3" xfId="24352"/>
    <cellStyle name="40% - Accent3 3 7 5" xfId="3768"/>
    <cellStyle name="40% - Accent3 3 7 5 2" xfId="24355"/>
    <cellStyle name="40% - Accent3 3 7 5 3" xfId="24354"/>
    <cellStyle name="40% - Accent3 3 7 6" xfId="10200"/>
    <cellStyle name="40% - Accent3 3 7 6 2" xfId="24357"/>
    <cellStyle name="40% - Accent3 3 7 6 3" xfId="24356"/>
    <cellStyle name="40% - Accent3 3 7 7" xfId="24358"/>
    <cellStyle name="40% - Accent3 3 7 8" xfId="24327"/>
    <cellStyle name="40% - Accent3 3 8" xfId="640"/>
    <cellStyle name="40% - Accent3 3 8 2" xfId="1345"/>
    <cellStyle name="40% - Accent3 3 8 2 2" xfId="2910"/>
    <cellStyle name="40% - Accent3 3 8 2 2 2" xfId="9195"/>
    <cellStyle name="40% - Accent3 3 8 2 2 2 2" xfId="24363"/>
    <cellStyle name="40% - Accent3 3 8 2 2 2 3" xfId="24362"/>
    <cellStyle name="40% - Accent3 3 8 2 2 3" xfId="6068"/>
    <cellStyle name="40% - Accent3 3 8 2 2 3 2" xfId="24365"/>
    <cellStyle name="40% - Accent3 3 8 2 2 3 3" xfId="24364"/>
    <cellStyle name="40% - Accent3 3 8 2 2 4" xfId="12378"/>
    <cellStyle name="40% - Accent3 3 8 2 2 4 2" xfId="24367"/>
    <cellStyle name="40% - Accent3 3 8 2 2 4 3" xfId="24366"/>
    <cellStyle name="40% - Accent3 3 8 2 2 5" xfId="24368"/>
    <cellStyle name="40% - Accent3 3 8 2 2 6" xfId="24361"/>
    <cellStyle name="40% - Accent3 3 8 2 3" xfId="7632"/>
    <cellStyle name="40% - Accent3 3 8 2 3 2" xfId="24370"/>
    <cellStyle name="40% - Accent3 3 8 2 3 3" xfId="24369"/>
    <cellStyle name="40% - Accent3 3 8 2 4" xfId="4505"/>
    <cellStyle name="40% - Accent3 3 8 2 4 2" xfId="24372"/>
    <cellStyle name="40% - Accent3 3 8 2 4 3" xfId="24371"/>
    <cellStyle name="40% - Accent3 3 8 2 5" xfId="10815"/>
    <cellStyle name="40% - Accent3 3 8 2 5 2" xfId="24374"/>
    <cellStyle name="40% - Accent3 3 8 2 5 3" xfId="24373"/>
    <cellStyle name="40% - Accent3 3 8 2 6" xfId="24375"/>
    <cellStyle name="40% - Accent3 3 8 2 7" xfId="24360"/>
    <cellStyle name="40% - Accent3 3 8 3" xfId="2230"/>
    <cellStyle name="40% - Accent3 3 8 3 2" xfId="8515"/>
    <cellStyle name="40% - Accent3 3 8 3 2 2" xfId="24378"/>
    <cellStyle name="40% - Accent3 3 8 3 2 3" xfId="24377"/>
    <cellStyle name="40% - Accent3 3 8 3 3" xfId="5388"/>
    <cellStyle name="40% - Accent3 3 8 3 3 2" xfId="24380"/>
    <cellStyle name="40% - Accent3 3 8 3 3 3" xfId="24379"/>
    <cellStyle name="40% - Accent3 3 8 3 4" xfId="11698"/>
    <cellStyle name="40% - Accent3 3 8 3 4 2" xfId="24382"/>
    <cellStyle name="40% - Accent3 3 8 3 4 3" xfId="24381"/>
    <cellStyle name="40% - Accent3 3 8 3 5" xfId="24383"/>
    <cellStyle name="40% - Accent3 3 8 3 6" xfId="24376"/>
    <cellStyle name="40% - Accent3 3 8 4" xfId="6952"/>
    <cellStyle name="40% - Accent3 3 8 4 2" xfId="24385"/>
    <cellStyle name="40% - Accent3 3 8 4 3" xfId="24384"/>
    <cellStyle name="40% - Accent3 3 8 5" xfId="3825"/>
    <cellStyle name="40% - Accent3 3 8 5 2" xfId="24387"/>
    <cellStyle name="40% - Accent3 3 8 5 3" xfId="24386"/>
    <cellStyle name="40% - Accent3 3 8 6" xfId="10258"/>
    <cellStyle name="40% - Accent3 3 8 6 2" xfId="24389"/>
    <cellStyle name="40% - Accent3 3 8 6 3" xfId="24388"/>
    <cellStyle name="40% - Accent3 3 8 7" xfId="24390"/>
    <cellStyle name="40% - Accent3 3 8 8" xfId="24359"/>
    <cellStyle name="40% - Accent3 3 9" xfId="873"/>
    <cellStyle name="40% - Accent3 3 9 2" xfId="2439"/>
    <cellStyle name="40% - Accent3 3 9 2 2" xfId="8724"/>
    <cellStyle name="40% - Accent3 3 9 2 2 2" xfId="24394"/>
    <cellStyle name="40% - Accent3 3 9 2 2 3" xfId="24393"/>
    <cellStyle name="40% - Accent3 3 9 2 3" xfId="5597"/>
    <cellStyle name="40% - Accent3 3 9 2 3 2" xfId="24396"/>
    <cellStyle name="40% - Accent3 3 9 2 3 3" xfId="24395"/>
    <cellStyle name="40% - Accent3 3 9 2 4" xfId="11907"/>
    <cellStyle name="40% - Accent3 3 9 2 4 2" xfId="24398"/>
    <cellStyle name="40% - Accent3 3 9 2 4 3" xfId="24397"/>
    <cellStyle name="40% - Accent3 3 9 2 5" xfId="24399"/>
    <cellStyle name="40% - Accent3 3 9 2 6" xfId="24392"/>
    <cellStyle name="40% - Accent3 3 9 3" xfId="7161"/>
    <cellStyle name="40% - Accent3 3 9 3 2" xfId="24401"/>
    <cellStyle name="40% - Accent3 3 9 3 3" xfId="24400"/>
    <cellStyle name="40% - Accent3 3 9 4" xfId="4034"/>
    <cellStyle name="40% - Accent3 3 9 4 2" xfId="24403"/>
    <cellStyle name="40% - Accent3 3 9 4 3" xfId="24402"/>
    <cellStyle name="40% - Accent3 3 9 5" xfId="10344"/>
    <cellStyle name="40% - Accent3 3 9 5 2" xfId="24405"/>
    <cellStyle name="40% - Accent3 3 9 5 3" xfId="24404"/>
    <cellStyle name="40% - Accent3 3 9 6" xfId="24406"/>
    <cellStyle name="40% - Accent3 3 9 7" xfId="24391"/>
    <cellStyle name="40% - Accent3 4" xfId="172"/>
    <cellStyle name="40% - Accent3 4 10" xfId="6516"/>
    <cellStyle name="40% - Accent3 4 10 2" xfId="24409"/>
    <cellStyle name="40% - Accent3 4 10 3" xfId="24408"/>
    <cellStyle name="40% - Accent3 4 11" xfId="3389"/>
    <cellStyle name="40% - Accent3 4 11 2" xfId="24411"/>
    <cellStyle name="40% - Accent3 4 11 3" xfId="24410"/>
    <cellStyle name="40% - Accent3 4 12" xfId="9616"/>
    <cellStyle name="40% - Accent3 4 12 2" xfId="24413"/>
    <cellStyle name="40% - Accent3 4 12 3" xfId="24412"/>
    <cellStyle name="40% - Accent3 4 13" xfId="24414"/>
    <cellStyle name="40% - Accent3 4 14" xfId="24407"/>
    <cellStyle name="40% - Accent3 4 2" xfId="248"/>
    <cellStyle name="40% - Accent3 4 2 2" xfId="959"/>
    <cellStyle name="40% - Accent3 4 2 2 2" xfId="2525"/>
    <cellStyle name="40% - Accent3 4 2 2 2 2" xfId="8810"/>
    <cellStyle name="40% - Accent3 4 2 2 2 2 2" xfId="24419"/>
    <cellStyle name="40% - Accent3 4 2 2 2 2 3" xfId="24418"/>
    <cellStyle name="40% - Accent3 4 2 2 2 3" xfId="5683"/>
    <cellStyle name="40% - Accent3 4 2 2 2 3 2" xfId="24421"/>
    <cellStyle name="40% - Accent3 4 2 2 2 3 3" xfId="24420"/>
    <cellStyle name="40% - Accent3 4 2 2 2 4" xfId="11993"/>
    <cellStyle name="40% - Accent3 4 2 2 2 4 2" xfId="24423"/>
    <cellStyle name="40% - Accent3 4 2 2 2 4 3" xfId="24422"/>
    <cellStyle name="40% - Accent3 4 2 2 2 5" xfId="24424"/>
    <cellStyle name="40% - Accent3 4 2 2 2 6" xfId="24417"/>
    <cellStyle name="40% - Accent3 4 2 2 3" xfId="7247"/>
    <cellStyle name="40% - Accent3 4 2 2 3 2" xfId="24426"/>
    <cellStyle name="40% - Accent3 4 2 2 3 3" xfId="24425"/>
    <cellStyle name="40% - Accent3 4 2 2 4" xfId="4120"/>
    <cellStyle name="40% - Accent3 4 2 2 4 2" xfId="24428"/>
    <cellStyle name="40% - Accent3 4 2 2 4 3" xfId="24427"/>
    <cellStyle name="40% - Accent3 4 2 2 5" xfId="10430"/>
    <cellStyle name="40% - Accent3 4 2 2 5 2" xfId="24430"/>
    <cellStyle name="40% - Accent3 4 2 2 5 3" xfId="24429"/>
    <cellStyle name="40% - Accent3 4 2 2 6" xfId="24431"/>
    <cellStyle name="40% - Accent3 4 2 2 7" xfId="24416"/>
    <cellStyle name="40% - Accent3 4 2 3" xfId="1845"/>
    <cellStyle name="40% - Accent3 4 2 3 2" xfId="8130"/>
    <cellStyle name="40% - Accent3 4 2 3 2 2" xfId="24434"/>
    <cellStyle name="40% - Accent3 4 2 3 2 3" xfId="24433"/>
    <cellStyle name="40% - Accent3 4 2 3 3" xfId="5003"/>
    <cellStyle name="40% - Accent3 4 2 3 3 2" xfId="24436"/>
    <cellStyle name="40% - Accent3 4 2 3 3 3" xfId="24435"/>
    <cellStyle name="40% - Accent3 4 2 3 4" xfId="11313"/>
    <cellStyle name="40% - Accent3 4 2 3 4 2" xfId="24438"/>
    <cellStyle name="40% - Accent3 4 2 3 4 3" xfId="24437"/>
    <cellStyle name="40% - Accent3 4 2 3 5" xfId="24439"/>
    <cellStyle name="40% - Accent3 4 2 3 6" xfId="24432"/>
    <cellStyle name="40% - Accent3 4 2 4" xfId="6567"/>
    <cellStyle name="40% - Accent3 4 2 4 2" xfId="24441"/>
    <cellStyle name="40% - Accent3 4 2 4 3" xfId="24440"/>
    <cellStyle name="40% - Accent3 4 2 5" xfId="3440"/>
    <cellStyle name="40% - Accent3 4 2 5 2" xfId="24443"/>
    <cellStyle name="40% - Accent3 4 2 5 3" xfId="24442"/>
    <cellStyle name="40% - Accent3 4 2 6" xfId="9889"/>
    <cellStyle name="40% - Accent3 4 2 6 2" xfId="24445"/>
    <cellStyle name="40% - Accent3 4 2 6 3" xfId="24444"/>
    <cellStyle name="40% - Accent3 4 2 7" xfId="24446"/>
    <cellStyle name="40% - Accent3 4 2 8" xfId="24415"/>
    <cellStyle name="40% - Accent3 4 3" xfId="355"/>
    <cellStyle name="40% - Accent3 4 3 2" xfId="1063"/>
    <cellStyle name="40% - Accent3 4 3 2 2" xfId="2629"/>
    <cellStyle name="40% - Accent3 4 3 2 2 2" xfId="8914"/>
    <cellStyle name="40% - Accent3 4 3 2 2 2 2" xfId="24451"/>
    <cellStyle name="40% - Accent3 4 3 2 2 2 3" xfId="24450"/>
    <cellStyle name="40% - Accent3 4 3 2 2 3" xfId="5787"/>
    <cellStyle name="40% - Accent3 4 3 2 2 3 2" xfId="24453"/>
    <cellStyle name="40% - Accent3 4 3 2 2 3 3" xfId="24452"/>
    <cellStyle name="40% - Accent3 4 3 2 2 4" xfId="12097"/>
    <cellStyle name="40% - Accent3 4 3 2 2 4 2" xfId="24455"/>
    <cellStyle name="40% - Accent3 4 3 2 2 4 3" xfId="24454"/>
    <cellStyle name="40% - Accent3 4 3 2 2 5" xfId="24456"/>
    <cellStyle name="40% - Accent3 4 3 2 2 6" xfId="24449"/>
    <cellStyle name="40% - Accent3 4 3 2 3" xfId="7351"/>
    <cellStyle name="40% - Accent3 4 3 2 3 2" xfId="24458"/>
    <cellStyle name="40% - Accent3 4 3 2 3 3" xfId="24457"/>
    <cellStyle name="40% - Accent3 4 3 2 4" xfId="4224"/>
    <cellStyle name="40% - Accent3 4 3 2 4 2" xfId="24460"/>
    <cellStyle name="40% - Accent3 4 3 2 4 3" xfId="24459"/>
    <cellStyle name="40% - Accent3 4 3 2 5" xfId="10534"/>
    <cellStyle name="40% - Accent3 4 3 2 5 2" xfId="24462"/>
    <cellStyle name="40% - Accent3 4 3 2 5 3" xfId="24461"/>
    <cellStyle name="40% - Accent3 4 3 2 6" xfId="24463"/>
    <cellStyle name="40% - Accent3 4 3 2 7" xfId="24448"/>
    <cellStyle name="40% - Accent3 4 3 3" xfId="1949"/>
    <cellStyle name="40% - Accent3 4 3 3 2" xfId="8234"/>
    <cellStyle name="40% - Accent3 4 3 3 2 2" xfId="24466"/>
    <cellStyle name="40% - Accent3 4 3 3 2 3" xfId="24465"/>
    <cellStyle name="40% - Accent3 4 3 3 3" xfId="5107"/>
    <cellStyle name="40% - Accent3 4 3 3 3 2" xfId="24468"/>
    <cellStyle name="40% - Accent3 4 3 3 3 3" xfId="24467"/>
    <cellStyle name="40% - Accent3 4 3 3 4" xfId="11417"/>
    <cellStyle name="40% - Accent3 4 3 3 4 2" xfId="24470"/>
    <cellStyle name="40% - Accent3 4 3 3 4 3" xfId="24469"/>
    <cellStyle name="40% - Accent3 4 3 3 5" xfId="24471"/>
    <cellStyle name="40% - Accent3 4 3 3 6" xfId="24464"/>
    <cellStyle name="40% - Accent3 4 3 4" xfId="6671"/>
    <cellStyle name="40% - Accent3 4 3 4 2" xfId="24473"/>
    <cellStyle name="40% - Accent3 4 3 4 3" xfId="24472"/>
    <cellStyle name="40% - Accent3 4 3 5" xfId="3544"/>
    <cellStyle name="40% - Accent3 4 3 5 2" xfId="24475"/>
    <cellStyle name="40% - Accent3 4 3 5 3" xfId="24474"/>
    <cellStyle name="40% - Accent3 4 3 6" xfId="9976"/>
    <cellStyle name="40% - Accent3 4 3 6 2" xfId="24477"/>
    <cellStyle name="40% - Accent3 4 3 6 3" xfId="24476"/>
    <cellStyle name="40% - Accent3 4 3 7" xfId="24478"/>
    <cellStyle name="40% - Accent3 4 3 8" xfId="24447"/>
    <cellStyle name="40% - Accent3 4 4" xfId="427"/>
    <cellStyle name="40% - Accent3 4 4 2" xfId="1134"/>
    <cellStyle name="40% - Accent3 4 4 2 2" xfId="2699"/>
    <cellStyle name="40% - Accent3 4 4 2 2 2" xfId="8984"/>
    <cellStyle name="40% - Accent3 4 4 2 2 2 2" xfId="24483"/>
    <cellStyle name="40% - Accent3 4 4 2 2 2 3" xfId="24482"/>
    <cellStyle name="40% - Accent3 4 4 2 2 3" xfId="5857"/>
    <cellStyle name="40% - Accent3 4 4 2 2 3 2" xfId="24485"/>
    <cellStyle name="40% - Accent3 4 4 2 2 3 3" xfId="24484"/>
    <cellStyle name="40% - Accent3 4 4 2 2 4" xfId="12167"/>
    <cellStyle name="40% - Accent3 4 4 2 2 4 2" xfId="24487"/>
    <cellStyle name="40% - Accent3 4 4 2 2 4 3" xfId="24486"/>
    <cellStyle name="40% - Accent3 4 4 2 2 5" xfId="24488"/>
    <cellStyle name="40% - Accent3 4 4 2 2 6" xfId="24481"/>
    <cellStyle name="40% - Accent3 4 4 2 3" xfId="7421"/>
    <cellStyle name="40% - Accent3 4 4 2 3 2" xfId="24490"/>
    <cellStyle name="40% - Accent3 4 4 2 3 3" xfId="24489"/>
    <cellStyle name="40% - Accent3 4 4 2 4" xfId="4294"/>
    <cellStyle name="40% - Accent3 4 4 2 4 2" xfId="24492"/>
    <cellStyle name="40% - Accent3 4 4 2 4 3" xfId="24491"/>
    <cellStyle name="40% - Accent3 4 4 2 5" xfId="10604"/>
    <cellStyle name="40% - Accent3 4 4 2 5 2" xfId="24494"/>
    <cellStyle name="40% - Accent3 4 4 2 5 3" xfId="24493"/>
    <cellStyle name="40% - Accent3 4 4 2 6" xfId="24495"/>
    <cellStyle name="40% - Accent3 4 4 2 7" xfId="24480"/>
    <cellStyle name="40% - Accent3 4 4 3" xfId="2019"/>
    <cellStyle name="40% - Accent3 4 4 3 2" xfId="8304"/>
    <cellStyle name="40% - Accent3 4 4 3 2 2" xfId="24498"/>
    <cellStyle name="40% - Accent3 4 4 3 2 3" xfId="24497"/>
    <cellStyle name="40% - Accent3 4 4 3 3" xfId="5177"/>
    <cellStyle name="40% - Accent3 4 4 3 3 2" xfId="24500"/>
    <cellStyle name="40% - Accent3 4 4 3 3 3" xfId="24499"/>
    <cellStyle name="40% - Accent3 4 4 3 4" xfId="11487"/>
    <cellStyle name="40% - Accent3 4 4 3 4 2" xfId="24502"/>
    <cellStyle name="40% - Accent3 4 4 3 4 3" xfId="24501"/>
    <cellStyle name="40% - Accent3 4 4 3 5" xfId="24503"/>
    <cellStyle name="40% - Accent3 4 4 3 6" xfId="24496"/>
    <cellStyle name="40% - Accent3 4 4 4" xfId="6741"/>
    <cellStyle name="40% - Accent3 4 4 4 2" xfId="24505"/>
    <cellStyle name="40% - Accent3 4 4 4 3" xfId="24504"/>
    <cellStyle name="40% - Accent3 4 4 5" xfId="3614"/>
    <cellStyle name="40% - Accent3 4 4 5 2" xfId="24507"/>
    <cellStyle name="40% - Accent3 4 4 5 3" xfId="24506"/>
    <cellStyle name="40% - Accent3 4 4 6" xfId="10047"/>
    <cellStyle name="40% - Accent3 4 4 6 2" xfId="24509"/>
    <cellStyle name="40% - Accent3 4 4 6 3" xfId="24508"/>
    <cellStyle name="40% - Accent3 4 4 7" xfId="24510"/>
    <cellStyle name="40% - Accent3 4 4 8" xfId="24479"/>
    <cellStyle name="40% - Accent3 4 5" xfId="582"/>
    <cellStyle name="40% - Accent3 4 5 2" xfId="1289"/>
    <cellStyle name="40% - Accent3 4 5 2 2" xfId="2854"/>
    <cellStyle name="40% - Accent3 4 5 2 2 2" xfId="9139"/>
    <cellStyle name="40% - Accent3 4 5 2 2 2 2" xfId="24515"/>
    <cellStyle name="40% - Accent3 4 5 2 2 2 3" xfId="24514"/>
    <cellStyle name="40% - Accent3 4 5 2 2 3" xfId="6012"/>
    <cellStyle name="40% - Accent3 4 5 2 2 3 2" xfId="24517"/>
    <cellStyle name="40% - Accent3 4 5 2 2 3 3" xfId="24516"/>
    <cellStyle name="40% - Accent3 4 5 2 2 4" xfId="12322"/>
    <cellStyle name="40% - Accent3 4 5 2 2 4 2" xfId="24519"/>
    <cellStyle name="40% - Accent3 4 5 2 2 4 3" xfId="24518"/>
    <cellStyle name="40% - Accent3 4 5 2 2 5" xfId="24520"/>
    <cellStyle name="40% - Accent3 4 5 2 2 6" xfId="24513"/>
    <cellStyle name="40% - Accent3 4 5 2 3" xfId="7576"/>
    <cellStyle name="40% - Accent3 4 5 2 3 2" xfId="24522"/>
    <cellStyle name="40% - Accent3 4 5 2 3 3" xfId="24521"/>
    <cellStyle name="40% - Accent3 4 5 2 4" xfId="4449"/>
    <cellStyle name="40% - Accent3 4 5 2 4 2" xfId="24524"/>
    <cellStyle name="40% - Accent3 4 5 2 4 3" xfId="24523"/>
    <cellStyle name="40% - Accent3 4 5 2 5" xfId="10759"/>
    <cellStyle name="40% - Accent3 4 5 2 5 2" xfId="24526"/>
    <cellStyle name="40% - Accent3 4 5 2 5 3" xfId="24525"/>
    <cellStyle name="40% - Accent3 4 5 2 6" xfId="24527"/>
    <cellStyle name="40% - Accent3 4 5 2 7" xfId="24512"/>
    <cellStyle name="40% - Accent3 4 5 3" xfId="2174"/>
    <cellStyle name="40% - Accent3 4 5 3 2" xfId="8459"/>
    <cellStyle name="40% - Accent3 4 5 3 2 2" xfId="24530"/>
    <cellStyle name="40% - Accent3 4 5 3 2 3" xfId="24529"/>
    <cellStyle name="40% - Accent3 4 5 3 3" xfId="5332"/>
    <cellStyle name="40% - Accent3 4 5 3 3 2" xfId="24532"/>
    <cellStyle name="40% - Accent3 4 5 3 3 3" xfId="24531"/>
    <cellStyle name="40% - Accent3 4 5 3 4" xfId="11642"/>
    <cellStyle name="40% - Accent3 4 5 3 4 2" xfId="24534"/>
    <cellStyle name="40% - Accent3 4 5 3 4 3" xfId="24533"/>
    <cellStyle name="40% - Accent3 4 5 3 5" xfId="24535"/>
    <cellStyle name="40% - Accent3 4 5 3 6" xfId="24528"/>
    <cellStyle name="40% - Accent3 4 5 4" xfId="6896"/>
    <cellStyle name="40% - Accent3 4 5 4 2" xfId="24537"/>
    <cellStyle name="40% - Accent3 4 5 4 3" xfId="24536"/>
    <cellStyle name="40% - Accent3 4 5 5" xfId="3769"/>
    <cellStyle name="40% - Accent3 4 5 5 2" xfId="24539"/>
    <cellStyle name="40% - Accent3 4 5 5 3" xfId="24538"/>
    <cellStyle name="40% - Accent3 4 5 6" xfId="10201"/>
    <cellStyle name="40% - Accent3 4 5 6 2" xfId="24541"/>
    <cellStyle name="40% - Accent3 4 5 6 3" xfId="24540"/>
    <cellStyle name="40% - Accent3 4 5 7" xfId="24542"/>
    <cellStyle name="40% - Accent3 4 5 8" xfId="24511"/>
    <cellStyle name="40% - Accent3 4 6" xfId="641"/>
    <cellStyle name="40% - Accent3 4 6 2" xfId="1346"/>
    <cellStyle name="40% - Accent3 4 6 2 2" xfId="2911"/>
    <cellStyle name="40% - Accent3 4 6 2 2 2" xfId="9196"/>
    <cellStyle name="40% - Accent3 4 6 2 2 2 2" xfId="24547"/>
    <cellStyle name="40% - Accent3 4 6 2 2 2 3" xfId="24546"/>
    <cellStyle name="40% - Accent3 4 6 2 2 3" xfId="6069"/>
    <cellStyle name="40% - Accent3 4 6 2 2 3 2" xfId="24549"/>
    <cellStyle name="40% - Accent3 4 6 2 2 3 3" xfId="24548"/>
    <cellStyle name="40% - Accent3 4 6 2 2 4" xfId="12379"/>
    <cellStyle name="40% - Accent3 4 6 2 2 4 2" xfId="24551"/>
    <cellStyle name="40% - Accent3 4 6 2 2 4 3" xfId="24550"/>
    <cellStyle name="40% - Accent3 4 6 2 2 5" xfId="24552"/>
    <cellStyle name="40% - Accent3 4 6 2 2 6" xfId="24545"/>
    <cellStyle name="40% - Accent3 4 6 2 3" xfId="7633"/>
    <cellStyle name="40% - Accent3 4 6 2 3 2" xfId="24554"/>
    <cellStyle name="40% - Accent3 4 6 2 3 3" xfId="24553"/>
    <cellStyle name="40% - Accent3 4 6 2 4" xfId="4506"/>
    <cellStyle name="40% - Accent3 4 6 2 4 2" xfId="24556"/>
    <cellStyle name="40% - Accent3 4 6 2 4 3" xfId="24555"/>
    <cellStyle name="40% - Accent3 4 6 2 5" xfId="10816"/>
    <cellStyle name="40% - Accent3 4 6 2 5 2" xfId="24558"/>
    <cellStyle name="40% - Accent3 4 6 2 5 3" xfId="24557"/>
    <cellStyle name="40% - Accent3 4 6 2 6" xfId="24559"/>
    <cellStyle name="40% - Accent3 4 6 2 7" xfId="24544"/>
    <cellStyle name="40% - Accent3 4 6 3" xfId="2231"/>
    <cellStyle name="40% - Accent3 4 6 3 2" xfId="8516"/>
    <cellStyle name="40% - Accent3 4 6 3 2 2" xfId="24562"/>
    <cellStyle name="40% - Accent3 4 6 3 2 3" xfId="24561"/>
    <cellStyle name="40% - Accent3 4 6 3 3" xfId="5389"/>
    <cellStyle name="40% - Accent3 4 6 3 3 2" xfId="24564"/>
    <cellStyle name="40% - Accent3 4 6 3 3 3" xfId="24563"/>
    <cellStyle name="40% - Accent3 4 6 3 4" xfId="11699"/>
    <cellStyle name="40% - Accent3 4 6 3 4 2" xfId="24566"/>
    <cellStyle name="40% - Accent3 4 6 3 4 3" xfId="24565"/>
    <cellStyle name="40% - Accent3 4 6 3 5" xfId="24567"/>
    <cellStyle name="40% - Accent3 4 6 3 6" xfId="24560"/>
    <cellStyle name="40% - Accent3 4 6 4" xfId="6953"/>
    <cellStyle name="40% - Accent3 4 6 4 2" xfId="24569"/>
    <cellStyle name="40% - Accent3 4 6 4 3" xfId="24568"/>
    <cellStyle name="40% - Accent3 4 6 5" xfId="3826"/>
    <cellStyle name="40% - Accent3 4 6 5 2" xfId="24571"/>
    <cellStyle name="40% - Accent3 4 6 5 3" xfId="24570"/>
    <cellStyle name="40% - Accent3 4 6 6" xfId="10259"/>
    <cellStyle name="40% - Accent3 4 6 6 2" xfId="24573"/>
    <cellStyle name="40% - Accent3 4 6 6 3" xfId="24572"/>
    <cellStyle name="40% - Accent3 4 6 7" xfId="24574"/>
    <cellStyle name="40% - Accent3 4 6 8" xfId="24543"/>
    <cellStyle name="40% - Accent3 4 7" xfId="908"/>
    <cellStyle name="40% - Accent3 4 7 2" xfId="2474"/>
    <cellStyle name="40% - Accent3 4 7 2 2" xfId="8759"/>
    <cellStyle name="40% - Accent3 4 7 2 2 2" xfId="24578"/>
    <cellStyle name="40% - Accent3 4 7 2 2 3" xfId="24577"/>
    <cellStyle name="40% - Accent3 4 7 2 3" xfId="5632"/>
    <cellStyle name="40% - Accent3 4 7 2 3 2" xfId="24580"/>
    <cellStyle name="40% - Accent3 4 7 2 3 3" xfId="24579"/>
    <cellStyle name="40% - Accent3 4 7 2 4" xfId="11942"/>
    <cellStyle name="40% - Accent3 4 7 2 4 2" xfId="24582"/>
    <cellStyle name="40% - Accent3 4 7 2 4 3" xfId="24581"/>
    <cellStyle name="40% - Accent3 4 7 2 5" xfId="24583"/>
    <cellStyle name="40% - Accent3 4 7 2 6" xfId="24576"/>
    <cellStyle name="40% - Accent3 4 7 3" xfId="7196"/>
    <cellStyle name="40% - Accent3 4 7 3 2" xfId="24585"/>
    <cellStyle name="40% - Accent3 4 7 3 3" xfId="24584"/>
    <cellStyle name="40% - Accent3 4 7 4" xfId="4069"/>
    <cellStyle name="40% - Accent3 4 7 4 2" xfId="24587"/>
    <cellStyle name="40% - Accent3 4 7 4 3" xfId="24586"/>
    <cellStyle name="40% - Accent3 4 7 5" xfId="10379"/>
    <cellStyle name="40% - Accent3 4 7 5 2" xfId="24589"/>
    <cellStyle name="40% - Accent3 4 7 5 3" xfId="24588"/>
    <cellStyle name="40% - Accent3 4 7 6" xfId="24590"/>
    <cellStyle name="40% - Accent3 4 7 7" xfId="24575"/>
    <cellStyle name="40% - Accent3 4 8" xfId="1548"/>
    <cellStyle name="40% - Accent3 4 8 2" xfId="3113"/>
    <cellStyle name="40% - Accent3 4 8 2 2" xfId="9398"/>
    <cellStyle name="40% - Accent3 4 8 2 2 2" xfId="24594"/>
    <cellStyle name="40% - Accent3 4 8 2 2 3" xfId="24593"/>
    <cellStyle name="40% - Accent3 4 8 2 3" xfId="6271"/>
    <cellStyle name="40% - Accent3 4 8 2 3 2" xfId="24596"/>
    <cellStyle name="40% - Accent3 4 8 2 3 3" xfId="24595"/>
    <cellStyle name="40% - Accent3 4 8 2 4" xfId="12581"/>
    <cellStyle name="40% - Accent3 4 8 2 4 2" xfId="24598"/>
    <cellStyle name="40% - Accent3 4 8 2 4 3" xfId="24597"/>
    <cellStyle name="40% - Accent3 4 8 2 5" xfId="24599"/>
    <cellStyle name="40% - Accent3 4 8 2 6" xfId="24592"/>
    <cellStyle name="40% - Accent3 4 8 3" xfId="7835"/>
    <cellStyle name="40% - Accent3 4 8 3 2" xfId="24601"/>
    <cellStyle name="40% - Accent3 4 8 3 3" xfId="24600"/>
    <cellStyle name="40% - Accent3 4 8 4" xfId="4708"/>
    <cellStyle name="40% - Accent3 4 8 4 2" xfId="24603"/>
    <cellStyle name="40% - Accent3 4 8 4 3" xfId="24602"/>
    <cellStyle name="40% - Accent3 4 8 5" xfId="11018"/>
    <cellStyle name="40% - Accent3 4 8 5 2" xfId="24605"/>
    <cellStyle name="40% - Accent3 4 8 5 3" xfId="24604"/>
    <cellStyle name="40% - Accent3 4 8 6" xfId="24606"/>
    <cellStyle name="40% - Accent3 4 8 7" xfId="24591"/>
    <cellStyle name="40% - Accent3 4 9" xfId="1794"/>
    <cellStyle name="40% - Accent3 4 9 2" xfId="8079"/>
    <cellStyle name="40% - Accent3 4 9 2 2" xfId="24609"/>
    <cellStyle name="40% - Accent3 4 9 2 3" xfId="24608"/>
    <cellStyle name="40% - Accent3 4 9 3" xfId="4952"/>
    <cellStyle name="40% - Accent3 4 9 3 2" xfId="24611"/>
    <cellStyle name="40% - Accent3 4 9 3 3" xfId="24610"/>
    <cellStyle name="40% - Accent3 4 9 4" xfId="11262"/>
    <cellStyle name="40% - Accent3 4 9 4 2" xfId="24613"/>
    <cellStyle name="40% - Accent3 4 9 4 3" xfId="24612"/>
    <cellStyle name="40% - Accent3 4 9 5" xfId="24614"/>
    <cellStyle name="40% - Accent3 4 9 6" xfId="24607"/>
    <cellStyle name="40% - Accent3 5" xfId="194"/>
    <cellStyle name="40% - Accent3 5 2" xfId="322"/>
    <cellStyle name="40% - Accent3 5 2 2" xfId="1032"/>
    <cellStyle name="40% - Accent3 5 2 2 2" xfId="2598"/>
    <cellStyle name="40% - Accent3 5 2 2 2 2" xfId="8883"/>
    <cellStyle name="40% - Accent3 5 2 2 2 2 2" xfId="24620"/>
    <cellStyle name="40% - Accent3 5 2 2 2 2 3" xfId="24619"/>
    <cellStyle name="40% - Accent3 5 2 2 2 3" xfId="5756"/>
    <cellStyle name="40% - Accent3 5 2 2 2 3 2" xfId="24622"/>
    <cellStyle name="40% - Accent3 5 2 2 2 3 3" xfId="24621"/>
    <cellStyle name="40% - Accent3 5 2 2 2 4" xfId="12066"/>
    <cellStyle name="40% - Accent3 5 2 2 2 4 2" xfId="24624"/>
    <cellStyle name="40% - Accent3 5 2 2 2 4 3" xfId="24623"/>
    <cellStyle name="40% - Accent3 5 2 2 2 5" xfId="24625"/>
    <cellStyle name="40% - Accent3 5 2 2 2 6" xfId="24618"/>
    <cellStyle name="40% - Accent3 5 2 2 3" xfId="7320"/>
    <cellStyle name="40% - Accent3 5 2 2 3 2" xfId="24627"/>
    <cellStyle name="40% - Accent3 5 2 2 3 3" xfId="24626"/>
    <cellStyle name="40% - Accent3 5 2 2 4" xfId="4193"/>
    <cellStyle name="40% - Accent3 5 2 2 4 2" xfId="24629"/>
    <cellStyle name="40% - Accent3 5 2 2 4 3" xfId="24628"/>
    <cellStyle name="40% - Accent3 5 2 2 5" xfId="10503"/>
    <cellStyle name="40% - Accent3 5 2 2 5 2" xfId="24631"/>
    <cellStyle name="40% - Accent3 5 2 2 5 3" xfId="24630"/>
    <cellStyle name="40% - Accent3 5 2 2 6" xfId="24632"/>
    <cellStyle name="40% - Accent3 5 2 2 7" xfId="24617"/>
    <cellStyle name="40% - Accent3 5 2 3" xfId="1918"/>
    <cellStyle name="40% - Accent3 5 2 3 2" xfId="8203"/>
    <cellStyle name="40% - Accent3 5 2 3 2 2" xfId="24635"/>
    <cellStyle name="40% - Accent3 5 2 3 2 3" xfId="24634"/>
    <cellStyle name="40% - Accent3 5 2 3 3" xfId="5076"/>
    <cellStyle name="40% - Accent3 5 2 3 3 2" xfId="24637"/>
    <cellStyle name="40% - Accent3 5 2 3 3 3" xfId="24636"/>
    <cellStyle name="40% - Accent3 5 2 3 4" xfId="11386"/>
    <cellStyle name="40% - Accent3 5 2 3 4 2" xfId="24639"/>
    <cellStyle name="40% - Accent3 5 2 3 4 3" xfId="24638"/>
    <cellStyle name="40% - Accent3 5 2 3 5" xfId="24640"/>
    <cellStyle name="40% - Accent3 5 2 3 6" xfId="24633"/>
    <cellStyle name="40% - Accent3 5 2 4" xfId="6640"/>
    <cellStyle name="40% - Accent3 5 2 4 2" xfId="24642"/>
    <cellStyle name="40% - Accent3 5 2 4 3" xfId="24641"/>
    <cellStyle name="40% - Accent3 5 2 5" xfId="3513"/>
    <cellStyle name="40% - Accent3 5 2 5 2" xfId="24644"/>
    <cellStyle name="40% - Accent3 5 2 5 3" xfId="24643"/>
    <cellStyle name="40% - Accent3 5 2 6" xfId="9797"/>
    <cellStyle name="40% - Accent3 5 2 6 2" xfId="24646"/>
    <cellStyle name="40% - Accent3 5 2 6 3" xfId="24645"/>
    <cellStyle name="40% - Accent3 5 2 7" xfId="24647"/>
    <cellStyle name="40% - Accent3 5 2 8" xfId="24616"/>
    <cellStyle name="40% - Accent3 5 3" xfId="927"/>
    <cellStyle name="40% - Accent3 5 3 2" xfId="2493"/>
    <cellStyle name="40% - Accent3 5 3 2 2" xfId="8778"/>
    <cellStyle name="40% - Accent3 5 3 2 2 2" xfId="24651"/>
    <cellStyle name="40% - Accent3 5 3 2 2 3" xfId="24650"/>
    <cellStyle name="40% - Accent3 5 3 2 3" xfId="5651"/>
    <cellStyle name="40% - Accent3 5 3 2 3 2" xfId="24653"/>
    <cellStyle name="40% - Accent3 5 3 2 3 3" xfId="24652"/>
    <cellStyle name="40% - Accent3 5 3 2 4" xfId="11961"/>
    <cellStyle name="40% - Accent3 5 3 2 4 2" xfId="24655"/>
    <cellStyle name="40% - Accent3 5 3 2 4 3" xfId="24654"/>
    <cellStyle name="40% - Accent3 5 3 2 5" xfId="24656"/>
    <cellStyle name="40% - Accent3 5 3 2 6" xfId="24649"/>
    <cellStyle name="40% - Accent3 5 3 3" xfId="7215"/>
    <cellStyle name="40% - Accent3 5 3 3 2" xfId="24658"/>
    <cellStyle name="40% - Accent3 5 3 3 3" xfId="24657"/>
    <cellStyle name="40% - Accent3 5 3 4" xfId="4088"/>
    <cellStyle name="40% - Accent3 5 3 4 2" xfId="24660"/>
    <cellStyle name="40% - Accent3 5 3 4 3" xfId="24659"/>
    <cellStyle name="40% - Accent3 5 3 5" xfId="10398"/>
    <cellStyle name="40% - Accent3 5 3 5 2" xfId="24662"/>
    <cellStyle name="40% - Accent3 5 3 5 3" xfId="24661"/>
    <cellStyle name="40% - Accent3 5 3 6" xfId="24663"/>
    <cellStyle name="40% - Accent3 5 3 7" xfId="24648"/>
    <cellStyle name="40% - Accent3 5 4" xfId="1813"/>
    <cellStyle name="40% - Accent3 5 4 2" xfId="8098"/>
    <cellStyle name="40% - Accent3 5 4 2 2" xfId="24666"/>
    <cellStyle name="40% - Accent3 5 4 2 3" xfId="24665"/>
    <cellStyle name="40% - Accent3 5 4 3" xfId="4971"/>
    <cellStyle name="40% - Accent3 5 4 3 2" xfId="24668"/>
    <cellStyle name="40% - Accent3 5 4 3 3" xfId="24667"/>
    <cellStyle name="40% - Accent3 5 4 4" xfId="11281"/>
    <cellStyle name="40% - Accent3 5 4 4 2" xfId="24670"/>
    <cellStyle name="40% - Accent3 5 4 4 3" xfId="24669"/>
    <cellStyle name="40% - Accent3 5 4 5" xfId="24671"/>
    <cellStyle name="40% - Accent3 5 4 6" xfId="24664"/>
    <cellStyle name="40% - Accent3 5 5" xfId="6535"/>
    <cellStyle name="40% - Accent3 5 5 2" xfId="24673"/>
    <cellStyle name="40% - Accent3 5 5 3" xfId="24672"/>
    <cellStyle name="40% - Accent3 5 6" xfId="3408"/>
    <cellStyle name="40% - Accent3 5 6 2" xfId="24675"/>
    <cellStyle name="40% - Accent3 5 6 3" xfId="24674"/>
    <cellStyle name="40% - Accent3 5 7" xfId="9821"/>
    <cellStyle name="40% - Accent3 5 7 2" xfId="24677"/>
    <cellStyle name="40% - Accent3 5 7 3" xfId="24676"/>
    <cellStyle name="40% - Accent3 5 8" xfId="24678"/>
    <cellStyle name="40% - Accent3 5 9" xfId="24615"/>
    <cellStyle name="40% - Accent3 6" xfId="266"/>
    <cellStyle name="40% - Accent3 6 2" xfId="977"/>
    <cellStyle name="40% - Accent3 6 2 2" xfId="2543"/>
    <cellStyle name="40% - Accent3 6 2 2 2" xfId="8828"/>
    <cellStyle name="40% - Accent3 6 2 2 2 2" xfId="24683"/>
    <cellStyle name="40% - Accent3 6 2 2 2 3" xfId="24682"/>
    <cellStyle name="40% - Accent3 6 2 2 3" xfId="5701"/>
    <cellStyle name="40% - Accent3 6 2 2 3 2" xfId="24685"/>
    <cellStyle name="40% - Accent3 6 2 2 3 3" xfId="24684"/>
    <cellStyle name="40% - Accent3 6 2 2 4" xfId="12011"/>
    <cellStyle name="40% - Accent3 6 2 2 4 2" xfId="24687"/>
    <cellStyle name="40% - Accent3 6 2 2 4 3" xfId="24686"/>
    <cellStyle name="40% - Accent3 6 2 2 5" xfId="24688"/>
    <cellStyle name="40% - Accent3 6 2 2 6" xfId="24681"/>
    <cellStyle name="40% - Accent3 6 2 3" xfId="7265"/>
    <cellStyle name="40% - Accent3 6 2 3 2" xfId="24690"/>
    <cellStyle name="40% - Accent3 6 2 3 3" xfId="24689"/>
    <cellStyle name="40% - Accent3 6 2 4" xfId="4138"/>
    <cellStyle name="40% - Accent3 6 2 4 2" xfId="24692"/>
    <cellStyle name="40% - Accent3 6 2 4 3" xfId="24691"/>
    <cellStyle name="40% - Accent3 6 2 5" xfId="10448"/>
    <cellStyle name="40% - Accent3 6 2 5 2" xfId="24694"/>
    <cellStyle name="40% - Accent3 6 2 5 3" xfId="24693"/>
    <cellStyle name="40% - Accent3 6 2 6" xfId="24695"/>
    <cellStyle name="40% - Accent3 6 2 7" xfId="24680"/>
    <cellStyle name="40% - Accent3 6 3" xfId="1863"/>
    <cellStyle name="40% - Accent3 6 3 2" xfId="8148"/>
    <cellStyle name="40% - Accent3 6 3 2 2" xfId="24698"/>
    <cellStyle name="40% - Accent3 6 3 2 3" xfId="24697"/>
    <cellStyle name="40% - Accent3 6 3 3" xfId="5021"/>
    <cellStyle name="40% - Accent3 6 3 3 2" xfId="24700"/>
    <cellStyle name="40% - Accent3 6 3 3 3" xfId="24699"/>
    <cellStyle name="40% - Accent3 6 3 4" xfId="11331"/>
    <cellStyle name="40% - Accent3 6 3 4 2" xfId="24702"/>
    <cellStyle name="40% - Accent3 6 3 4 3" xfId="24701"/>
    <cellStyle name="40% - Accent3 6 3 5" xfId="24703"/>
    <cellStyle name="40% - Accent3 6 3 6" xfId="24696"/>
    <cellStyle name="40% - Accent3 6 4" xfId="6585"/>
    <cellStyle name="40% - Accent3 6 4 2" xfId="24705"/>
    <cellStyle name="40% - Accent3 6 4 3" xfId="24704"/>
    <cellStyle name="40% - Accent3 6 5" xfId="3458"/>
    <cellStyle name="40% - Accent3 6 5 2" xfId="24707"/>
    <cellStyle name="40% - Accent3 6 5 3" xfId="24706"/>
    <cellStyle name="40% - Accent3 6 6" xfId="9875"/>
    <cellStyle name="40% - Accent3 6 6 2" xfId="24709"/>
    <cellStyle name="40% - Accent3 6 6 3" xfId="24708"/>
    <cellStyle name="40% - Accent3 6 7" xfId="24710"/>
    <cellStyle name="40% - Accent3 6 8" xfId="24679"/>
    <cellStyle name="40% - Accent3 7" xfId="373"/>
    <cellStyle name="40% - Accent3 7 2" xfId="1081"/>
    <cellStyle name="40% - Accent3 7 2 2" xfId="2647"/>
    <cellStyle name="40% - Accent3 7 2 2 2" xfId="8932"/>
    <cellStyle name="40% - Accent3 7 2 2 2 2" xfId="24715"/>
    <cellStyle name="40% - Accent3 7 2 2 2 3" xfId="24714"/>
    <cellStyle name="40% - Accent3 7 2 2 3" xfId="5805"/>
    <cellStyle name="40% - Accent3 7 2 2 3 2" xfId="24717"/>
    <cellStyle name="40% - Accent3 7 2 2 3 3" xfId="24716"/>
    <cellStyle name="40% - Accent3 7 2 2 4" xfId="12115"/>
    <cellStyle name="40% - Accent3 7 2 2 4 2" xfId="24719"/>
    <cellStyle name="40% - Accent3 7 2 2 4 3" xfId="24718"/>
    <cellStyle name="40% - Accent3 7 2 2 5" xfId="24720"/>
    <cellStyle name="40% - Accent3 7 2 2 6" xfId="24713"/>
    <cellStyle name="40% - Accent3 7 2 3" xfId="7369"/>
    <cellStyle name="40% - Accent3 7 2 3 2" xfId="24722"/>
    <cellStyle name="40% - Accent3 7 2 3 3" xfId="24721"/>
    <cellStyle name="40% - Accent3 7 2 4" xfId="4242"/>
    <cellStyle name="40% - Accent3 7 2 4 2" xfId="24724"/>
    <cellStyle name="40% - Accent3 7 2 4 3" xfId="24723"/>
    <cellStyle name="40% - Accent3 7 2 5" xfId="10552"/>
    <cellStyle name="40% - Accent3 7 2 5 2" xfId="24726"/>
    <cellStyle name="40% - Accent3 7 2 5 3" xfId="24725"/>
    <cellStyle name="40% - Accent3 7 2 6" xfId="24727"/>
    <cellStyle name="40% - Accent3 7 2 7" xfId="24712"/>
    <cellStyle name="40% - Accent3 7 3" xfId="1967"/>
    <cellStyle name="40% - Accent3 7 3 2" xfId="8252"/>
    <cellStyle name="40% - Accent3 7 3 2 2" xfId="24730"/>
    <cellStyle name="40% - Accent3 7 3 2 3" xfId="24729"/>
    <cellStyle name="40% - Accent3 7 3 3" xfId="5125"/>
    <cellStyle name="40% - Accent3 7 3 3 2" xfId="24732"/>
    <cellStyle name="40% - Accent3 7 3 3 3" xfId="24731"/>
    <cellStyle name="40% - Accent3 7 3 4" xfId="11435"/>
    <cellStyle name="40% - Accent3 7 3 4 2" xfId="24734"/>
    <cellStyle name="40% - Accent3 7 3 4 3" xfId="24733"/>
    <cellStyle name="40% - Accent3 7 3 5" xfId="24735"/>
    <cellStyle name="40% - Accent3 7 3 6" xfId="24728"/>
    <cellStyle name="40% - Accent3 7 4" xfId="6689"/>
    <cellStyle name="40% - Accent3 7 4 2" xfId="24737"/>
    <cellStyle name="40% - Accent3 7 4 3" xfId="24736"/>
    <cellStyle name="40% - Accent3 7 5" xfId="3562"/>
    <cellStyle name="40% - Accent3 7 5 2" xfId="24739"/>
    <cellStyle name="40% - Accent3 7 5 3" xfId="24738"/>
    <cellStyle name="40% - Accent3 7 6" xfId="9994"/>
    <cellStyle name="40% - Accent3 7 6 2" xfId="24741"/>
    <cellStyle name="40% - Accent3 7 6 3" xfId="24740"/>
    <cellStyle name="40% - Accent3 7 7" xfId="24742"/>
    <cellStyle name="40% - Accent3 7 8" xfId="24711"/>
    <cellStyle name="40% - Accent3 8" xfId="406"/>
    <cellStyle name="40% - Accent3 8 2" xfId="1113"/>
    <cellStyle name="40% - Accent3 8 2 2" xfId="2678"/>
    <cellStyle name="40% - Accent3 8 2 2 2" xfId="8963"/>
    <cellStyle name="40% - Accent3 8 2 2 2 2" xfId="24747"/>
    <cellStyle name="40% - Accent3 8 2 2 2 3" xfId="24746"/>
    <cellStyle name="40% - Accent3 8 2 2 3" xfId="5836"/>
    <cellStyle name="40% - Accent3 8 2 2 3 2" xfId="24749"/>
    <cellStyle name="40% - Accent3 8 2 2 3 3" xfId="24748"/>
    <cellStyle name="40% - Accent3 8 2 2 4" xfId="12146"/>
    <cellStyle name="40% - Accent3 8 2 2 4 2" xfId="24751"/>
    <cellStyle name="40% - Accent3 8 2 2 4 3" xfId="24750"/>
    <cellStyle name="40% - Accent3 8 2 2 5" xfId="24752"/>
    <cellStyle name="40% - Accent3 8 2 2 6" xfId="24745"/>
    <cellStyle name="40% - Accent3 8 2 3" xfId="7400"/>
    <cellStyle name="40% - Accent3 8 2 3 2" xfId="24754"/>
    <cellStyle name="40% - Accent3 8 2 3 3" xfId="24753"/>
    <cellStyle name="40% - Accent3 8 2 4" xfId="4273"/>
    <cellStyle name="40% - Accent3 8 2 4 2" xfId="24756"/>
    <cellStyle name="40% - Accent3 8 2 4 3" xfId="24755"/>
    <cellStyle name="40% - Accent3 8 2 5" xfId="10583"/>
    <cellStyle name="40% - Accent3 8 2 5 2" xfId="24758"/>
    <cellStyle name="40% - Accent3 8 2 5 3" xfId="24757"/>
    <cellStyle name="40% - Accent3 8 2 6" xfId="24759"/>
    <cellStyle name="40% - Accent3 8 2 7" xfId="24744"/>
    <cellStyle name="40% - Accent3 8 3" xfId="1998"/>
    <cellStyle name="40% - Accent3 8 3 2" xfId="8283"/>
    <cellStyle name="40% - Accent3 8 3 2 2" xfId="24762"/>
    <cellStyle name="40% - Accent3 8 3 2 3" xfId="24761"/>
    <cellStyle name="40% - Accent3 8 3 3" xfId="5156"/>
    <cellStyle name="40% - Accent3 8 3 3 2" xfId="24764"/>
    <cellStyle name="40% - Accent3 8 3 3 3" xfId="24763"/>
    <cellStyle name="40% - Accent3 8 3 4" xfId="11466"/>
    <cellStyle name="40% - Accent3 8 3 4 2" xfId="24766"/>
    <cellStyle name="40% - Accent3 8 3 4 3" xfId="24765"/>
    <cellStyle name="40% - Accent3 8 3 5" xfId="24767"/>
    <cellStyle name="40% - Accent3 8 3 6" xfId="24760"/>
    <cellStyle name="40% - Accent3 8 4" xfId="6720"/>
    <cellStyle name="40% - Accent3 8 4 2" xfId="24769"/>
    <cellStyle name="40% - Accent3 8 4 3" xfId="24768"/>
    <cellStyle name="40% - Accent3 8 5" xfId="3593"/>
    <cellStyle name="40% - Accent3 8 5 2" xfId="24771"/>
    <cellStyle name="40% - Accent3 8 5 3" xfId="24770"/>
    <cellStyle name="40% - Accent3 8 6" xfId="10026"/>
    <cellStyle name="40% - Accent3 8 6 2" xfId="24773"/>
    <cellStyle name="40% - Accent3 8 6 3" xfId="24772"/>
    <cellStyle name="40% - Accent3 8 7" xfId="24774"/>
    <cellStyle name="40% - Accent3 8 8" xfId="24743"/>
    <cellStyle name="40% - Accent3 9" xfId="448"/>
    <cellStyle name="40% - Accent3 9 2" xfId="1155"/>
    <cellStyle name="40% - Accent3 9 2 2" xfId="2720"/>
    <cellStyle name="40% - Accent3 9 2 2 2" xfId="9005"/>
    <cellStyle name="40% - Accent3 9 2 2 2 2" xfId="24779"/>
    <cellStyle name="40% - Accent3 9 2 2 2 3" xfId="24778"/>
    <cellStyle name="40% - Accent3 9 2 2 3" xfId="5878"/>
    <cellStyle name="40% - Accent3 9 2 2 3 2" xfId="24781"/>
    <cellStyle name="40% - Accent3 9 2 2 3 3" xfId="24780"/>
    <cellStyle name="40% - Accent3 9 2 2 4" xfId="12188"/>
    <cellStyle name="40% - Accent3 9 2 2 4 2" xfId="24783"/>
    <cellStyle name="40% - Accent3 9 2 2 4 3" xfId="24782"/>
    <cellStyle name="40% - Accent3 9 2 2 5" xfId="24784"/>
    <cellStyle name="40% - Accent3 9 2 2 6" xfId="24777"/>
    <cellStyle name="40% - Accent3 9 2 3" xfId="7442"/>
    <cellStyle name="40% - Accent3 9 2 3 2" xfId="24786"/>
    <cellStyle name="40% - Accent3 9 2 3 3" xfId="24785"/>
    <cellStyle name="40% - Accent3 9 2 4" xfId="4315"/>
    <cellStyle name="40% - Accent3 9 2 4 2" xfId="24788"/>
    <cellStyle name="40% - Accent3 9 2 4 3" xfId="24787"/>
    <cellStyle name="40% - Accent3 9 2 5" xfId="10625"/>
    <cellStyle name="40% - Accent3 9 2 5 2" xfId="24790"/>
    <cellStyle name="40% - Accent3 9 2 5 3" xfId="24789"/>
    <cellStyle name="40% - Accent3 9 2 6" xfId="24791"/>
    <cellStyle name="40% - Accent3 9 2 7" xfId="24776"/>
    <cellStyle name="40% - Accent3 9 3" xfId="2040"/>
    <cellStyle name="40% - Accent3 9 3 2" xfId="8325"/>
    <cellStyle name="40% - Accent3 9 3 2 2" xfId="24794"/>
    <cellStyle name="40% - Accent3 9 3 2 3" xfId="24793"/>
    <cellStyle name="40% - Accent3 9 3 3" xfId="5198"/>
    <cellStyle name="40% - Accent3 9 3 3 2" xfId="24796"/>
    <cellStyle name="40% - Accent3 9 3 3 3" xfId="24795"/>
    <cellStyle name="40% - Accent3 9 3 4" xfId="11508"/>
    <cellStyle name="40% - Accent3 9 3 4 2" xfId="24798"/>
    <cellStyle name="40% - Accent3 9 3 4 3" xfId="24797"/>
    <cellStyle name="40% - Accent3 9 3 5" xfId="24799"/>
    <cellStyle name="40% - Accent3 9 3 6" xfId="24792"/>
    <cellStyle name="40% - Accent3 9 4" xfId="6762"/>
    <cellStyle name="40% - Accent3 9 4 2" xfId="24801"/>
    <cellStyle name="40% - Accent3 9 4 3" xfId="24800"/>
    <cellStyle name="40% - Accent3 9 5" xfId="3635"/>
    <cellStyle name="40% - Accent3 9 5 2" xfId="24803"/>
    <cellStyle name="40% - Accent3 9 5 3" xfId="24802"/>
    <cellStyle name="40% - Accent3 9 6" xfId="10067"/>
    <cellStyle name="40% - Accent3 9 6 2" xfId="24805"/>
    <cellStyle name="40% - Accent3 9 6 3" xfId="24804"/>
    <cellStyle name="40% - Accent3 9 7" xfId="24806"/>
    <cellStyle name="40% - Accent3 9 8" xfId="24775"/>
    <cellStyle name="40% - Accent4" xfId="41" builtinId="43" customBuiltin="1"/>
    <cellStyle name="40% - Accent4 10" xfId="479"/>
    <cellStyle name="40% - Accent4 10 2" xfId="1186"/>
    <cellStyle name="40% - Accent4 10 2 2" xfId="2751"/>
    <cellStyle name="40% - Accent4 10 2 2 2" xfId="9036"/>
    <cellStyle name="40% - Accent4 10 2 2 2 2" xfId="24812"/>
    <cellStyle name="40% - Accent4 10 2 2 2 3" xfId="24811"/>
    <cellStyle name="40% - Accent4 10 2 2 3" xfId="5909"/>
    <cellStyle name="40% - Accent4 10 2 2 3 2" xfId="24814"/>
    <cellStyle name="40% - Accent4 10 2 2 3 3" xfId="24813"/>
    <cellStyle name="40% - Accent4 10 2 2 4" xfId="12219"/>
    <cellStyle name="40% - Accent4 10 2 2 4 2" xfId="24816"/>
    <cellStyle name="40% - Accent4 10 2 2 4 3" xfId="24815"/>
    <cellStyle name="40% - Accent4 10 2 2 5" xfId="24817"/>
    <cellStyle name="40% - Accent4 10 2 2 6" xfId="24810"/>
    <cellStyle name="40% - Accent4 10 2 3" xfId="7473"/>
    <cellStyle name="40% - Accent4 10 2 3 2" xfId="24819"/>
    <cellStyle name="40% - Accent4 10 2 3 3" xfId="24818"/>
    <cellStyle name="40% - Accent4 10 2 4" xfId="4346"/>
    <cellStyle name="40% - Accent4 10 2 4 2" xfId="24821"/>
    <cellStyle name="40% - Accent4 10 2 4 3" xfId="24820"/>
    <cellStyle name="40% - Accent4 10 2 5" xfId="10656"/>
    <cellStyle name="40% - Accent4 10 2 5 2" xfId="24823"/>
    <cellStyle name="40% - Accent4 10 2 5 3" xfId="24822"/>
    <cellStyle name="40% - Accent4 10 2 6" xfId="24824"/>
    <cellStyle name="40% - Accent4 10 2 7" xfId="24809"/>
    <cellStyle name="40% - Accent4 10 3" xfId="2071"/>
    <cellStyle name="40% - Accent4 10 3 2" xfId="8356"/>
    <cellStyle name="40% - Accent4 10 3 2 2" xfId="24827"/>
    <cellStyle name="40% - Accent4 10 3 2 3" xfId="24826"/>
    <cellStyle name="40% - Accent4 10 3 3" xfId="5229"/>
    <cellStyle name="40% - Accent4 10 3 3 2" xfId="24829"/>
    <cellStyle name="40% - Accent4 10 3 3 3" xfId="24828"/>
    <cellStyle name="40% - Accent4 10 3 4" xfId="11539"/>
    <cellStyle name="40% - Accent4 10 3 4 2" xfId="24831"/>
    <cellStyle name="40% - Accent4 10 3 4 3" xfId="24830"/>
    <cellStyle name="40% - Accent4 10 3 5" xfId="24832"/>
    <cellStyle name="40% - Accent4 10 3 6" xfId="24825"/>
    <cellStyle name="40% - Accent4 10 4" xfId="6793"/>
    <cellStyle name="40% - Accent4 10 4 2" xfId="24834"/>
    <cellStyle name="40% - Accent4 10 4 3" xfId="24833"/>
    <cellStyle name="40% - Accent4 10 5" xfId="3666"/>
    <cellStyle name="40% - Accent4 10 5 2" xfId="24836"/>
    <cellStyle name="40% - Accent4 10 5 3" xfId="24835"/>
    <cellStyle name="40% - Accent4 10 6" xfId="10098"/>
    <cellStyle name="40% - Accent4 10 6 2" xfId="24838"/>
    <cellStyle name="40% - Accent4 10 6 3" xfId="24837"/>
    <cellStyle name="40% - Accent4 10 7" xfId="24839"/>
    <cellStyle name="40% - Accent4 10 8" xfId="24808"/>
    <cellStyle name="40% - Accent4 11" xfId="494"/>
    <cellStyle name="40% - Accent4 11 2" xfId="1201"/>
    <cellStyle name="40% - Accent4 11 2 2" xfId="2766"/>
    <cellStyle name="40% - Accent4 11 2 2 2" xfId="9051"/>
    <cellStyle name="40% - Accent4 11 2 2 2 2" xfId="24844"/>
    <cellStyle name="40% - Accent4 11 2 2 2 3" xfId="24843"/>
    <cellStyle name="40% - Accent4 11 2 2 3" xfId="5924"/>
    <cellStyle name="40% - Accent4 11 2 2 3 2" xfId="24846"/>
    <cellStyle name="40% - Accent4 11 2 2 3 3" xfId="24845"/>
    <cellStyle name="40% - Accent4 11 2 2 4" xfId="12234"/>
    <cellStyle name="40% - Accent4 11 2 2 4 2" xfId="24848"/>
    <cellStyle name="40% - Accent4 11 2 2 4 3" xfId="24847"/>
    <cellStyle name="40% - Accent4 11 2 2 5" xfId="24849"/>
    <cellStyle name="40% - Accent4 11 2 2 6" xfId="24842"/>
    <cellStyle name="40% - Accent4 11 2 3" xfId="7488"/>
    <cellStyle name="40% - Accent4 11 2 3 2" xfId="24851"/>
    <cellStyle name="40% - Accent4 11 2 3 3" xfId="24850"/>
    <cellStyle name="40% - Accent4 11 2 4" xfId="4361"/>
    <cellStyle name="40% - Accent4 11 2 4 2" xfId="24853"/>
    <cellStyle name="40% - Accent4 11 2 4 3" xfId="24852"/>
    <cellStyle name="40% - Accent4 11 2 5" xfId="10671"/>
    <cellStyle name="40% - Accent4 11 2 5 2" xfId="24855"/>
    <cellStyle name="40% - Accent4 11 2 5 3" xfId="24854"/>
    <cellStyle name="40% - Accent4 11 2 6" xfId="24856"/>
    <cellStyle name="40% - Accent4 11 2 7" xfId="24841"/>
    <cellStyle name="40% - Accent4 11 3" xfId="2086"/>
    <cellStyle name="40% - Accent4 11 3 2" xfId="8371"/>
    <cellStyle name="40% - Accent4 11 3 2 2" xfId="24859"/>
    <cellStyle name="40% - Accent4 11 3 2 3" xfId="24858"/>
    <cellStyle name="40% - Accent4 11 3 3" xfId="5244"/>
    <cellStyle name="40% - Accent4 11 3 3 2" xfId="24861"/>
    <cellStyle name="40% - Accent4 11 3 3 3" xfId="24860"/>
    <cellStyle name="40% - Accent4 11 3 4" xfId="11554"/>
    <cellStyle name="40% - Accent4 11 3 4 2" xfId="24863"/>
    <cellStyle name="40% - Accent4 11 3 4 3" xfId="24862"/>
    <cellStyle name="40% - Accent4 11 3 5" xfId="24864"/>
    <cellStyle name="40% - Accent4 11 3 6" xfId="24857"/>
    <cellStyle name="40% - Accent4 11 4" xfId="6808"/>
    <cellStyle name="40% - Accent4 11 4 2" xfId="24866"/>
    <cellStyle name="40% - Accent4 11 4 3" xfId="24865"/>
    <cellStyle name="40% - Accent4 11 5" xfId="3681"/>
    <cellStyle name="40% - Accent4 11 5 2" xfId="24868"/>
    <cellStyle name="40% - Accent4 11 5 3" xfId="24867"/>
    <cellStyle name="40% - Accent4 11 6" xfId="10113"/>
    <cellStyle name="40% - Accent4 11 6 2" xfId="24870"/>
    <cellStyle name="40% - Accent4 11 6 3" xfId="24869"/>
    <cellStyle name="40% - Accent4 11 7" xfId="24871"/>
    <cellStyle name="40% - Accent4 11 8" xfId="24840"/>
    <cellStyle name="40% - Accent4 12" xfId="507"/>
    <cellStyle name="40% - Accent4 12 2" xfId="1214"/>
    <cellStyle name="40% - Accent4 12 2 2" xfId="2779"/>
    <cellStyle name="40% - Accent4 12 2 2 2" xfId="9064"/>
    <cellStyle name="40% - Accent4 12 2 2 2 2" xfId="24876"/>
    <cellStyle name="40% - Accent4 12 2 2 2 3" xfId="24875"/>
    <cellStyle name="40% - Accent4 12 2 2 3" xfId="5937"/>
    <cellStyle name="40% - Accent4 12 2 2 3 2" xfId="24878"/>
    <cellStyle name="40% - Accent4 12 2 2 3 3" xfId="24877"/>
    <cellStyle name="40% - Accent4 12 2 2 4" xfId="12247"/>
    <cellStyle name="40% - Accent4 12 2 2 4 2" xfId="24880"/>
    <cellStyle name="40% - Accent4 12 2 2 4 3" xfId="24879"/>
    <cellStyle name="40% - Accent4 12 2 2 5" xfId="24881"/>
    <cellStyle name="40% - Accent4 12 2 2 6" xfId="24874"/>
    <cellStyle name="40% - Accent4 12 2 3" xfId="7501"/>
    <cellStyle name="40% - Accent4 12 2 3 2" xfId="24883"/>
    <cellStyle name="40% - Accent4 12 2 3 3" xfId="24882"/>
    <cellStyle name="40% - Accent4 12 2 4" xfId="4374"/>
    <cellStyle name="40% - Accent4 12 2 4 2" xfId="24885"/>
    <cellStyle name="40% - Accent4 12 2 4 3" xfId="24884"/>
    <cellStyle name="40% - Accent4 12 2 5" xfId="10684"/>
    <cellStyle name="40% - Accent4 12 2 5 2" xfId="24887"/>
    <cellStyle name="40% - Accent4 12 2 5 3" xfId="24886"/>
    <cellStyle name="40% - Accent4 12 2 6" xfId="24888"/>
    <cellStyle name="40% - Accent4 12 2 7" xfId="24873"/>
    <cellStyle name="40% - Accent4 12 3" xfId="2099"/>
    <cellStyle name="40% - Accent4 12 3 2" xfId="8384"/>
    <cellStyle name="40% - Accent4 12 3 2 2" xfId="24891"/>
    <cellStyle name="40% - Accent4 12 3 2 3" xfId="24890"/>
    <cellStyle name="40% - Accent4 12 3 3" xfId="5257"/>
    <cellStyle name="40% - Accent4 12 3 3 2" xfId="24893"/>
    <cellStyle name="40% - Accent4 12 3 3 3" xfId="24892"/>
    <cellStyle name="40% - Accent4 12 3 4" xfId="11567"/>
    <cellStyle name="40% - Accent4 12 3 4 2" xfId="24895"/>
    <cellStyle name="40% - Accent4 12 3 4 3" xfId="24894"/>
    <cellStyle name="40% - Accent4 12 3 5" xfId="24896"/>
    <cellStyle name="40% - Accent4 12 3 6" xfId="24889"/>
    <cellStyle name="40% - Accent4 12 4" xfId="6821"/>
    <cellStyle name="40% - Accent4 12 4 2" xfId="24898"/>
    <cellStyle name="40% - Accent4 12 4 3" xfId="24897"/>
    <cellStyle name="40% - Accent4 12 5" xfId="3694"/>
    <cellStyle name="40% - Accent4 12 5 2" xfId="24900"/>
    <cellStyle name="40% - Accent4 12 5 3" xfId="24899"/>
    <cellStyle name="40% - Accent4 12 6" xfId="10126"/>
    <cellStyle name="40% - Accent4 12 6 2" xfId="24902"/>
    <cellStyle name="40% - Accent4 12 6 3" xfId="24901"/>
    <cellStyle name="40% - Accent4 12 7" xfId="24903"/>
    <cellStyle name="40% - Accent4 12 8" xfId="24872"/>
    <cellStyle name="40% - Accent4 13" xfId="521"/>
    <cellStyle name="40% - Accent4 13 2" xfId="1228"/>
    <cellStyle name="40% - Accent4 13 2 2" xfId="2793"/>
    <cellStyle name="40% - Accent4 13 2 2 2" xfId="9078"/>
    <cellStyle name="40% - Accent4 13 2 2 2 2" xfId="24908"/>
    <cellStyle name="40% - Accent4 13 2 2 2 3" xfId="24907"/>
    <cellStyle name="40% - Accent4 13 2 2 3" xfId="5951"/>
    <cellStyle name="40% - Accent4 13 2 2 3 2" xfId="24910"/>
    <cellStyle name="40% - Accent4 13 2 2 3 3" xfId="24909"/>
    <cellStyle name="40% - Accent4 13 2 2 4" xfId="12261"/>
    <cellStyle name="40% - Accent4 13 2 2 4 2" xfId="24912"/>
    <cellStyle name="40% - Accent4 13 2 2 4 3" xfId="24911"/>
    <cellStyle name="40% - Accent4 13 2 2 5" xfId="24913"/>
    <cellStyle name="40% - Accent4 13 2 2 6" xfId="24906"/>
    <cellStyle name="40% - Accent4 13 2 3" xfId="7515"/>
    <cellStyle name="40% - Accent4 13 2 3 2" xfId="24915"/>
    <cellStyle name="40% - Accent4 13 2 3 3" xfId="24914"/>
    <cellStyle name="40% - Accent4 13 2 4" xfId="4388"/>
    <cellStyle name="40% - Accent4 13 2 4 2" xfId="24917"/>
    <cellStyle name="40% - Accent4 13 2 4 3" xfId="24916"/>
    <cellStyle name="40% - Accent4 13 2 5" xfId="10698"/>
    <cellStyle name="40% - Accent4 13 2 5 2" xfId="24919"/>
    <cellStyle name="40% - Accent4 13 2 5 3" xfId="24918"/>
    <cellStyle name="40% - Accent4 13 2 6" xfId="24920"/>
    <cellStyle name="40% - Accent4 13 2 7" xfId="24905"/>
    <cellStyle name="40% - Accent4 13 3" xfId="2113"/>
    <cellStyle name="40% - Accent4 13 3 2" xfId="8398"/>
    <cellStyle name="40% - Accent4 13 3 2 2" xfId="24923"/>
    <cellStyle name="40% - Accent4 13 3 2 3" xfId="24922"/>
    <cellStyle name="40% - Accent4 13 3 3" xfId="5271"/>
    <cellStyle name="40% - Accent4 13 3 3 2" xfId="24925"/>
    <cellStyle name="40% - Accent4 13 3 3 3" xfId="24924"/>
    <cellStyle name="40% - Accent4 13 3 4" xfId="11581"/>
    <cellStyle name="40% - Accent4 13 3 4 2" xfId="24927"/>
    <cellStyle name="40% - Accent4 13 3 4 3" xfId="24926"/>
    <cellStyle name="40% - Accent4 13 3 5" xfId="24928"/>
    <cellStyle name="40% - Accent4 13 3 6" xfId="24921"/>
    <cellStyle name="40% - Accent4 13 4" xfId="6835"/>
    <cellStyle name="40% - Accent4 13 4 2" xfId="24930"/>
    <cellStyle name="40% - Accent4 13 4 3" xfId="24929"/>
    <cellStyle name="40% - Accent4 13 5" xfId="3708"/>
    <cellStyle name="40% - Accent4 13 5 2" xfId="24932"/>
    <cellStyle name="40% - Accent4 13 5 3" xfId="24931"/>
    <cellStyle name="40% - Accent4 13 6" xfId="10140"/>
    <cellStyle name="40% - Accent4 13 6 2" xfId="24934"/>
    <cellStyle name="40% - Accent4 13 6 3" xfId="24933"/>
    <cellStyle name="40% - Accent4 13 7" xfId="24935"/>
    <cellStyle name="40% - Accent4 13 8" xfId="24904"/>
    <cellStyle name="40% - Accent4 14" xfId="535"/>
    <cellStyle name="40% - Accent4 14 2" xfId="1242"/>
    <cellStyle name="40% - Accent4 14 2 2" xfId="2807"/>
    <cellStyle name="40% - Accent4 14 2 2 2" xfId="9092"/>
    <cellStyle name="40% - Accent4 14 2 2 2 2" xfId="24940"/>
    <cellStyle name="40% - Accent4 14 2 2 2 3" xfId="24939"/>
    <cellStyle name="40% - Accent4 14 2 2 3" xfId="5965"/>
    <cellStyle name="40% - Accent4 14 2 2 3 2" xfId="24942"/>
    <cellStyle name="40% - Accent4 14 2 2 3 3" xfId="24941"/>
    <cellStyle name="40% - Accent4 14 2 2 4" xfId="12275"/>
    <cellStyle name="40% - Accent4 14 2 2 4 2" xfId="24944"/>
    <cellStyle name="40% - Accent4 14 2 2 4 3" xfId="24943"/>
    <cellStyle name="40% - Accent4 14 2 2 5" xfId="24945"/>
    <cellStyle name="40% - Accent4 14 2 2 6" xfId="24938"/>
    <cellStyle name="40% - Accent4 14 2 3" xfId="7529"/>
    <cellStyle name="40% - Accent4 14 2 3 2" xfId="24947"/>
    <cellStyle name="40% - Accent4 14 2 3 3" xfId="24946"/>
    <cellStyle name="40% - Accent4 14 2 4" xfId="4402"/>
    <cellStyle name="40% - Accent4 14 2 4 2" xfId="24949"/>
    <cellStyle name="40% - Accent4 14 2 4 3" xfId="24948"/>
    <cellStyle name="40% - Accent4 14 2 5" xfId="10712"/>
    <cellStyle name="40% - Accent4 14 2 5 2" xfId="24951"/>
    <cellStyle name="40% - Accent4 14 2 5 3" xfId="24950"/>
    <cellStyle name="40% - Accent4 14 2 6" xfId="24952"/>
    <cellStyle name="40% - Accent4 14 2 7" xfId="24937"/>
    <cellStyle name="40% - Accent4 14 3" xfId="2127"/>
    <cellStyle name="40% - Accent4 14 3 2" xfId="8412"/>
    <cellStyle name="40% - Accent4 14 3 2 2" xfId="24955"/>
    <cellStyle name="40% - Accent4 14 3 2 3" xfId="24954"/>
    <cellStyle name="40% - Accent4 14 3 3" xfId="5285"/>
    <cellStyle name="40% - Accent4 14 3 3 2" xfId="24957"/>
    <cellStyle name="40% - Accent4 14 3 3 3" xfId="24956"/>
    <cellStyle name="40% - Accent4 14 3 4" xfId="11595"/>
    <cellStyle name="40% - Accent4 14 3 4 2" xfId="24959"/>
    <cellStyle name="40% - Accent4 14 3 4 3" xfId="24958"/>
    <cellStyle name="40% - Accent4 14 3 5" xfId="24960"/>
    <cellStyle name="40% - Accent4 14 3 6" xfId="24953"/>
    <cellStyle name="40% - Accent4 14 4" xfId="6849"/>
    <cellStyle name="40% - Accent4 14 4 2" xfId="24962"/>
    <cellStyle name="40% - Accent4 14 4 3" xfId="24961"/>
    <cellStyle name="40% - Accent4 14 5" xfId="3722"/>
    <cellStyle name="40% - Accent4 14 5 2" xfId="24964"/>
    <cellStyle name="40% - Accent4 14 5 3" xfId="24963"/>
    <cellStyle name="40% - Accent4 14 6" xfId="10154"/>
    <cellStyle name="40% - Accent4 14 6 2" xfId="24966"/>
    <cellStyle name="40% - Accent4 14 6 3" xfId="24965"/>
    <cellStyle name="40% - Accent4 14 7" xfId="24967"/>
    <cellStyle name="40% - Accent4 14 8" xfId="24936"/>
    <cellStyle name="40% - Accent4 15" xfId="549"/>
    <cellStyle name="40% - Accent4 15 2" xfId="1256"/>
    <cellStyle name="40% - Accent4 15 2 2" xfId="2821"/>
    <cellStyle name="40% - Accent4 15 2 2 2" xfId="9106"/>
    <cellStyle name="40% - Accent4 15 2 2 2 2" xfId="24972"/>
    <cellStyle name="40% - Accent4 15 2 2 2 3" xfId="24971"/>
    <cellStyle name="40% - Accent4 15 2 2 3" xfId="5979"/>
    <cellStyle name="40% - Accent4 15 2 2 3 2" xfId="24974"/>
    <cellStyle name="40% - Accent4 15 2 2 3 3" xfId="24973"/>
    <cellStyle name="40% - Accent4 15 2 2 4" xfId="12289"/>
    <cellStyle name="40% - Accent4 15 2 2 4 2" xfId="24976"/>
    <cellStyle name="40% - Accent4 15 2 2 4 3" xfId="24975"/>
    <cellStyle name="40% - Accent4 15 2 2 5" xfId="24977"/>
    <cellStyle name="40% - Accent4 15 2 2 6" xfId="24970"/>
    <cellStyle name="40% - Accent4 15 2 3" xfId="7543"/>
    <cellStyle name="40% - Accent4 15 2 3 2" xfId="24979"/>
    <cellStyle name="40% - Accent4 15 2 3 3" xfId="24978"/>
    <cellStyle name="40% - Accent4 15 2 4" xfId="4416"/>
    <cellStyle name="40% - Accent4 15 2 4 2" xfId="24981"/>
    <cellStyle name="40% - Accent4 15 2 4 3" xfId="24980"/>
    <cellStyle name="40% - Accent4 15 2 5" xfId="10726"/>
    <cellStyle name="40% - Accent4 15 2 5 2" xfId="24983"/>
    <cellStyle name="40% - Accent4 15 2 5 3" xfId="24982"/>
    <cellStyle name="40% - Accent4 15 2 6" xfId="24984"/>
    <cellStyle name="40% - Accent4 15 2 7" xfId="24969"/>
    <cellStyle name="40% - Accent4 15 3" xfId="2141"/>
    <cellStyle name="40% - Accent4 15 3 2" xfId="8426"/>
    <cellStyle name="40% - Accent4 15 3 2 2" xfId="24987"/>
    <cellStyle name="40% - Accent4 15 3 2 3" xfId="24986"/>
    <cellStyle name="40% - Accent4 15 3 3" xfId="5299"/>
    <cellStyle name="40% - Accent4 15 3 3 2" xfId="24989"/>
    <cellStyle name="40% - Accent4 15 3 3 3" xfId="24988"/>
    <cellStyle name="40% - Accent4 15 3 4" xfId="11609"/>
    <cellStyle name="40% - Accent4 15 3 4 2" xfId="24991"/>
    <cellStyle name="40% - Accent4 15 3 4 3" xfId="24990"/>
    <cellStyle name="40% - Accent4 15 3 5" xfId="24992"/>
    <cellStyle name="40% - Accent4 15 3 6" xfId="24985"/>
    <cellStyle name="40% - Accent4 15 4" xfId="6863"/>
    <cellStyle name="40% - Accent4 15 4 2" xfId="24994"/>
    <cellStyle name="40% - Accent4 15 4 3" xfId="24993"/>
    <cellStyle name="40% - Accent4 15 5" xfId="3736"/>
    <cellStyle name="40% - Accent4 15 5 2" xfId="24996"/>
    <cellStyle name="40% - Accent4 15 5 3" xfId="24995"/>
    <cellStyle name="40% - Accent4 15 6" xfId="10168"/>
    <cellStyle name="40% - Accent4 15 6 2" xfId="24998"/>
    <cellStyle name="40% - Accent4 15 6 3" xfId="24997"/>
    <cellStyle name="40% - Accent4 15 7" xfId="24999"/>
    <cellStyle name="40% - Accent4 15 8" xfId="24968"/>
    <cellStyle name="40% - Accent4 16" xfId="602"/>
    <cellStyle name="40% - Accent4 16 2" xfId="1309"/>
    <cellStyle name="40% - Accent4 16 2 2" xfId="2874"/>
    <cellStyle name="40% - Accent4 16 2 2 2" xfId="9159"/>
    <cellStyle name="40% - Accent4 16 2 2 2 2" xfId="25004"/>
    <cellStyle name="40% - Accent4 16 2 2 2 3" xfId="25003"/>
    <cellStyle name="40% - Accent4 16 2 2 3" xfId="6032"/>
    <cellStyle name="40% - Accent4 16 2 2 3 2" xfId="25006"/>
    <cellStyle name="40% - Accent4 16 2 2 3 3" xfId="25005"/>
    <cellStyle name="40% - Accent4 16 2 2 4" xfId="12342"/>
    <cellStyle name="40% - Accent4 16 2 2 4 2" xfId="25008"/>
    <cellStyle name="40% - Accent4 16 2 2 4 3" xfId="25007"/>
    <cellStyle name="40% - Accent4 16 2 2 5" xfId="25009"/>
    <cellStyle name="40% - Accent4 16 2 2 6" xfId="25002"/>
    <cellStyle name="40% - Accent4 16 2 3" xfId="7596"/>
    <cellStyle name="40% - Accent4 16 2 3 2" xfId="25011"/>
    <cellStyle name="40% - Accent4 16 2 3 3" xfId="25010"/>
    <cellStyle name="40% - Accent4 16 2 4" xfId="4469"/>
    <cellStyle name="40% - Accent4 16 2 4 2" xfId="25013"/>
    <cellStyle name="40% - Accent4 16 2 4 3" xfId="25012"/>
    <cellStyle name="40% - Accent4 16 2 5" xfId="10779"/>
    <cellStyle name="40% - Accent4 16 2 5 2" xfId="25015"/>
    <cellStyle name="40% - Accent4 16 2 5 3" xfId="25014"/>
    <cellStyle name="40% - Accent4 16 2 6" xfId="25016"/>
    <cellStyle name="40% - Accent4 16 2 7" xfId="25001"/>
    <cellStyle name="40% - Accent4 16 3" xfId="2194"/>
    <cellStyle name="40% - Accent4 16 3 2" xfId="8479"/>
    <cellStyle name="40% - Accent4 16 3 2 2" xfId="25019"/>
    <cellStyle name="40% - Accent4 16 3 2 3" xfId="25018"/>
    <cellStyle name="40% - Accent4 16 3 3" xfId="5352"/>
    <cellStyle name="40% - Accent4 16 3 3 2" xfId="25021"/>
    <cellStyle name="40% - Accent4 16 3 3 3" xfId="25020"/>
    <cellStyle name="40% - Accent4 16 3 4" xfId="11662"/>
    <cellStyle name="40% - Accent4 16 3 4 2" xfId="25023"/>
    <cellStyle name="40% - Accent4 16 3 4 3" xfId="25022"/>
    <cellStyle name="40% - Accent4 16 3 5" xfId="25024"/>
    <cellStyle name="40% - Accent4 16 3 6" xfId="25017"/>
    <cellStyle name="40% - Accent4 16 4" xfId="6916"/>
    <cellStyle name="40% - Accent4 16 4 2" xfId="25026"/>
    <cellStyle name="40% - Accent4 16 4 3" xfId="25025"/>
    <cellStyle name="40% - Accent4 16 5" xfId="3789"/>
    <cellStyle name="40% - Accent4 16 5 2" xfId="25028"/>
    <cellStyle name="40% - Accent4 16 5 3" xfId="25027"/>
    <cellStyle name="40% - Accent4 16 6" xfId="10221"/>
    <cellStyle name="40% - Accent4 16 6 2" xfId="25030"/>
    <cellStyle name="40% - Accent4 16 6 3" xfId="25029"/>
    <cellStyle name="40% - Accent4 16 7" xfId="25031"/>
    <cellStyle name="40% - Accent4 16 8" xfId="25000"/>
    <cellStyle name="40% - Accent4 17" xfId="661"/>
    <cellStyle name="40% - Accent4 17 2" xfId="1366"/>
    <cellStyle name="40% - Accent4 17 2 2" xfId="2931"/>
    <cellStyle name="40% - Accent4 17 2 2 2" xfId="9216"/>
    <cellStyle name="40% - Accent4 17 2 2 2 2" xfId="25036"/>
    <cellStyle name="40% - Accent4 17 2 2 2 3" xfId="25035"/>
    <cellStyle name="40% - Accent4 17 2 2 3" xfId="6089"/>
    <cellStyle name="40% - Accent4 17 2 2 3 2" xfId="25038"/>
    <cellStyle name="40% - Accent4 17 2 2 3 3" xfId="25037"/>
    <cellStyle name="40% - Accent4 17 2 2 4" xfId="12399"/>
    <cellStyle name="40% - Accent4 17 2 2 4 2" xfId="25040"/>
    <cellStyle name="40% - Accent4 17 2 2 4 3" xfId="25039"/>
    <cellStyle name="40% - Accent4 17 2 2 5" xfId="25041"/>
    <cellStyle name="40% - Accent4 17 2 2 6" xfId="25034"/>
    <cellStyle name="40% - Accent4 17 2 3" xfId="7653"/>
    <cellStyle name="40% - Accent4 17 2 3 2" xfId="25043"/>
    <cellStyle name="40% - Accent4 17 2 3 3" xfId="25042"/>
    <cellStyle name="40% - Accent4 17 2 4" xfId="4526"/>
    <cellStyle name="40% - Accent4 17 2 4 2" xfId="25045"/>
    <cellStyle name="40% - Accent4 17 2 4 3" xfId="25044"/>
    <cellStyle name="40% - Accent4 17 2 5" xfId="10836"/>
    <cellStyle name="40% - Accent4 17 2 5 2" xfId="25047"/>
    <cellStyle name="40% - Accent4 17 2 5 3" xfId="25046"/>
    <cellStyle name="40% - Accent4 17 2 6" xfId="25048"/>
    <cellStyle name="40% - Accent4 17 2 7" xfId="25033"/>
    <cellStyle name="40% - Accent4 17 3" xfId="2251"/>
    <cellStyle name="40% - Accent4 17 3 2" xfId="8536"/>
    <cellStyle name="40% - Accent4 17 3 2 2" xfId="25051"/>
    <cellStyle name="40% - Accent4 17 3 2 3" xfId="25050"/>
    <cellStyle name="40% - Accent4 17 3 3" xfId="5409"/>
    <cellStyle name="40% - Accent4 17 3 3 2" xfId="25053"/>
    <cellStyle name="40% - Accent4 17 3 3 3" xfId="25052"/>
    <cellStyle name="40% - Accent4 17 3 4" xfId="11719"/>
    <cellStyle name="40% - Accent4 17 3 4 2" xfId="25055"/>
    <cellStyle name="40% - Accent4 17 3 4 3" xfId="25054"/>
    <cellStyle name="40% - Accent4 17 3 5" xfId="25056"/>
    <cellStyle name="40% - Accent4 17 3 6" xfId="25049"/>
    <cellStyle name="40% - Accent4 17 4" xfId="6973"/>
    <cellStyle name="40% - Accent4 17 4 2" xfId="25058"/>
    <cellStyle name="40% - Accent4 17 4 3" xfId="25057"/>
    <cellStyle name="40% - Accent4 17 5" xfId="3846"/>
    <cellStyle name="40% - Accent4 17 5 2" xfId="25060"/>
    <cellStyle name="40% - Accent4 17 5 3" xfId="25059"/>
    <cellStyle name="40% - Accent4 17 6" xfId="10279"/>
    <cellStyle name="40% - Accent4 17 6 2" xfId="25062"/>
    <cellStyle name="40% - Accent4 17 6 3" xfId="25061"/>
    <cellStyle name="40% - Accent4 17 7" xfId="25063"/>
    <cellStyle name="40% - Accent4 17 8" xfId="25032"/>
    <cellStyle name="40% - Accent4 18" xfId="848"/>
    <cellStyle name="40% - Accent4 18 2" xfId="2414"/>
    <cellStyle name="40% - Accent4 18 2 2" xfId="8699"/>
    <cellStyle name="40% - Accent4 18 2 2 2" xfId="25067"/>
    <cellStyle name="40% - Accent4 18 2 2 3" xfId="25066"/>
    <cellStyle name="40% - Accent4 18 2 3" xfId="5572"/>
    <cellStyle name="40% - Accent4 18 2 3 2" xfId="25069"/>
    <cellStyle name="40% - Accent4 18 2 3 3" xfId="25068"/>
    <cellStyle name="40% - Accent4 18 2 4" xfId="11882"/>
    <cellStyle name="40% - Accent4 18 2 4 2" xfId="25071"/>
    <cellStyle name="40% - Accent4 18 2 4 3" xfId="25070"/>
    <cellStyle name="40% - Accent4 18 2 5" xfId="25072"/>
    <cellStyle name="40% - Accent4 18 2 6" xfId="25065"/>
    <cellStyle name="40% - Accent4 18 3" xfId="7136"/>
    <cellStyle name="40% - Accent4 18 3 2" xfId="25074"/>
    <cellStyle name="40% - Accent4 18 3 3" xfId="25073"/>
    <cellStyle name="40% - Accent4 18 4" xfId="4009"/>
    <cellStyle name="40% - Accent4 18 4 2" xfId="25076"/>
    <cellStyle name="40% - Accent4 18 4 3" xfId="25075"/>
    <cellStyle name="40% - Accent4 18 5" xfId="10319"/>
    <cellStyle name="40% - Accent4 18 5 2" xfId="25078"/>
    <cellStyle name="40% - Accent4 18 5 3" xfId="25077"/>
    <cellStyle name="40% - Accent4 18 6" xfId="25079"/>
    <cellStyle name="40% - Accent4 18 7" xfId="25064"/>
    <cellStyle name="40% - Accent4 19" xfId="1568"/>
    <cellStyle name="40% - Accent4 19 2" xfId="3133"/>
    <cellStyle name="40% - Accent4 19 2 2" xfId="9418"/>
    <cellStyle name="40% - Accent4 19 2 2 2" xfId="25083"/>
    <cellStyle name="40% - Accent4 19 2 2 3" xfId="25082"/>
    <cellStyle name="40% - Accent4 19 2 3" xfId="6291"/>
    <cellStyle name="40% - Accent4 19 2 3 2" xfId="25085"/>
    <cellStyle name="40% - Accent4 19 2 3 3" xfId="25084"/>
    <cellStyle name="40% - Accent4 19 2 4" xfId="12601"/>
    <cellStyle name="40% - Accent4 19 2 4 2" xfId="25087"/>
    <cellStyle name="40% - Accent4 19 2 4 3" xfId="25086"/>
    <cellStyle name="40% - Accent4 19 2 5" xfId="25088"/>
    <cellStyle name="40% - Accent4 19 2 6" xfId="25081"/>
    <cellStyle name="40% - Accent4 19 3" xfId="7855"/>
    <cellStyle name="40% - Accent4 19 3 2" xfId="25090"/>
    <cellStyle name="40% - Accent4 19 3 3" xfId="25089"/>
    <cellStyle name="40% - Accent4 19 4" xfId="4728"/>
    <cellStyle name="40% - Accent4 19 4 2" xfId="25092"/>
    <cellStyle name="40% - Accent4 19 4 3" xfId="25091"/>
    <cellStyle name="40% - Accent4 19 5" xfId="11038"/>
    <cellStyle name="40% - Accent4 19 5 2" xfId="25094"/>
    <cellStyle name="40% - Accent4 19 5 3" xfId="25093"/>
    <cellStyle name="40% - Accent4 19 6" xfId="25095"/>
    <cellStyle name="40% - Accent4 19 7" xfId="25080"/>
    <cellStyle name="40% - Accent4 2" xfId="62"/>
    <cellStyle name="40% - Accent4 2 10" xfId="1746"/>
    <cellStyle name="40% - Accent4 2 10 2" xfId="8032"/>
    <cellStyle name="40% - Accent4 2 10 2 2" xfId="25099"/>
    <cellStyle name="40% - Accent4 2 10 2 3" xfId="25098"/>
    <cellStyle name="40% - Accent4 2 10 3" xfId="4905"/>
    <cellStyle name="40% - Accent4 2 10 3 2" xfId="25101"/>
    <cellStyle name="40% - Accent4 2 10 3 3" xfId="25100"/>
    <cellStyle name="40% - Accent4 2 10 4" xfId="11215"/>
    <cellStyle name="40% - Accent4 2 10 4 2" xfId="25103"/>
    <cellStyle name="40% - Accent4 2 10 4 3" xfId="25102"/>
    <cellStyle name="40% - Accent4 2 10 5" xfId="25104"/>
    <cellStyle name="40% - Accent4 2 10 6" xfId="25097"/>
    <cellStyle name="40% - Accent4 2 11" xfId="124"/>
    <cellStyle name="40% - Accent4 2 11 2" xfId="6469"/>
    <cellStyle name="40% - Accent4 2 11 2 2" xfId="25107"/>
    <cellStyle name="40% - Accent4 2 11 2 3" xfId="25106"/>
    <cellStyle name="40% - Accent4 2 11 3" xfId="25108"/>
    <cellStyle name="40% - Accent4 2 11 4" xfId="25105"/>
    <cellStyle name="40% - Accent4 2 12" xfId="3315"/>
    <cellStyle name="40% - Accent4 2 12 2" xfId="25110"/>
    <cellStyle name="40% - Accent4 2 12 3" xfId="25109"/>
    <cellStyle name="40% - Accent4 2 13" xfId="3342"/>
    <cellStyle name="40% - Accent4 2 13 2" xfId="25112"/>
    <cellStyle name="40% - Accent4 2 13 3" xfId="25111"/>
    <cellStyle name="40% - Accent4 2 14" xfId="9617"/>
    <cellStyle name="40% - Accent4 2 14 2" xfId="25114"/>
    <cellStyle name="40% - Accent4 2 14 3" xfId="25113"/>
    <cellStyle name="40% - Accent4 2 15" xfId="25115"/>
    <cellStyle name="40% - Accent4 2 16" xfId="25096"/>
    <cellStyle name="40% - Accent4 2 17" xfId="38148"/>
    <cellStyle name="40% - Accent4 2 2" xfId="95"/>
    <cellStyle name="40% - Accent4 2 2 2" xfId="307"/>
    <cellStyle name="40% - Accent4 2 2 2 2" xfId="1017"/>
    <cellStyle name="40% - Accent4 2 2 2 2 2" xfId="2583"/>
    <cellStyle name="40% - Accent4 2 2 2 2 2 2" xfId="8868"/>
    <cellStyle name="40% - Accent4 2 2 2 2 2 2 2" xfId="25121"/>
    <cellStyle name="40% - Accent4 2 2 2 2 2 2 3" xfId="25120"/>
    <cellStyle name="40% - Accent4 2 2 2 2 2 3" xfId="5741"/>
    <cellStyle name="40% - Accent4 2 2 2 2 2 3 2" xfId="25123"/>
    <cellStyle name="40% - Accent4 2 2 2 2 2 3 3" xfId="25122"/>
    <cellStyle name="40% - Accent4 2 2 2 2 2 4" xfId="12051"/>
    <cellStyle name="40% - Accent4 2 2 2 2 2 4 2" xfId="25125"/>
    <cellStyle name="40% - Accent4 2 2 2 2 2 4 3" xfId="25124"/>
    <cellStyle name="40% - Accent4 2 2 2 2 2 5" xfId="25126"/>
    <cellStyle name="40% - Accent4 2 2 2 2 2 6" xfId="25119"/>
    <cellStyle name="40% - Accent4 2 2 2 2 3" xfId="7305"/>
    <cellStyle name="40% - Accent4 2 2 2 2 3 2" xfId="25128"/>
    <cellStyle name="40% - Accent4 2 2 2 2 3 3" xfId="25127"/>
    <cellStyle name="40% - Accent4 2 2 2 2 4" xfId="4178"/>
    <cellStyle name="40% - Accent4 2 2 2 2 4 2" xfId="25130"/>
    <cellStyle name="40% - Accent4 2 2 2 2 4 3" xfId="25129"/>
    <cellStyle name="40% - Accent4 2 2 2 2 5" xfId="10488"/>
    <cellStyle name="40% - Accent4 2 2 2 2 5 2" xfId="25132"/>
    <cellStyle name="40% - Accent4 2 2 2 2 5 3" xfId="25131"/>
    <cellStyle name="40% - Accent4 2 2 2 2 6" xfId="25133"/>
    <cellStyle name="40% - Accent4 2 2 2 2 7" xfId="25118"/>
    <cellStyle name="40% - Accent4 2 2 2 3" xfId="1903"/>
    <cellStyle name="40% - Accent4 2 2 2 3 2" xfId="8188"/>
    <cellStyle name="40% - Accent4 2 2 2 3 2 2" xfId="25136"/>
    <cellStyle name="40% - Accent4 2 2 2 3 2 3" xfId="25135"/>
    <cellStyle name="40% - Accent4 2 2 2 3 3" xfId="5061"/>
    <cellStyle name="40% - Accent4 2 2 2 3 3 2" xfId="25138"/>
    <cellStyle name="40% - Accent4 2 2 2 3 3 3" xfId="25137"/>
    <cellStyle name="40% - Accent4 2 2 2 3 4" xfId="11371"/>
    <cellStyle name="40% - Accent4 2 2 2 3 4 2" xfId="25140"/>
    <cellStyle name="40% - Accent4 2 2 2 3 4 3" xfId="25139"/>
    <cellStyle name="40% - Accent4 2 2 2 3 5" xfId="25141"/>
    <cellStyle name="40% - Accent4 2 2 2 3 6" xfId="25134"/>
    <cellStyle name="40% - Accent4 2 2 2 4" xfId="6625"/>
    <cellStyle name="40% - Accent4 2 2 2 4 2" xfId="25143"/>
    <cellStyle name="40% - Accent4 2 2 2 4 3" xfId="25142"/>
    <cellStyle name="40% - Accent4 2 2 2 5" xfId="3498"/>
    <cellStyle name="40% - Accent4 2 2 2 5 2" xfId="25145"/>
    <cellStyle name="40% - Accent4 2 2 2 5 3" xfId="25144"/>
    <cellStyle name="40% - Accent4 2 2 2 6" xfId="9805"/>
    <cellStyle name="40% - Accent4 2 2 2 6 2" xfId="25147"/>
    <cellStyle name="40% - Accent4 2 2 2 6 3" xfId="25146"/>
    <cellStyle name="40% - Accent4 2 2 2 7" xfId="25148"/>
    <cellStyle name="40% - Accent4 2 2 2 8" xfId="25117"/>
    <cellStyle name="40% - Accent4 2 2 3" xfId="909"/>
    <cellStyle name="40% - Accent4 2 2 3 2" xfId="2475"/>
    <cellStyle name="40% - Accent4 2 2 3 2 2" xfId="8760"/>
    <cellStyle name="40% - Accent4 2 2 3 2 2 2" xfId="25152"/>
    <cellStyle name="40% - Accent4 2 2 3 2 2 3" xfId="25151"/>
    <cellStyle name="40% - Accent4 2 2 3 2 3" xfId="5633"/>
    <cellStyle name="40% - Accent4 2 2 3 2 3 2" xfId="25154"/>
    <cellStyle name="40% - Accent4 2 2 3 2 3 3" xfId="25153"/>
    <cellStyle name="40% - Accent4 2 2 3 2 4" xfId="11943"/>
    <cellStyle name="40% - Accent4 2 2 3 2 4 2" xfId="25156"/>
    <cellStyle name="40% - Accent4 2 2 3 2 4 3" xfId="25155"/>
    <cellStyle name="40% - Accent4 2 2 3 2 5" xfId="25157"/>
    <cellStyle name="40% - Accent4 2 2 3 2 6" xfId="25150"/>
    <cellStyle name="40% - Accent4 2 2 3 3" xfId="7197"/>
    <cellStyle name="40% - Accent4 2 2 3 3 2" xfId="25159"/>
    <cellStyle name="40% - Accent4 2 2 3 3 3" xfId="25158"/>
    <cellStyle name="40% - Accent4 2 2 3 4" xfId="4070"/>
    <cellStyle name="40% - Accent4 2 2 3 4 2" xfId="25161"/>
    <cellStyle name="40% - Accent4 2 2 3 4 3" xfId="25160"/>
    <cellStyle name="40% - Accent4 2 2 3 5" xfId="10380"/>
    <cellStyle name="40% - Accent4 2 2 3 5 2" xfId="25163"/>
    <cellStyle name="40% - Accent4 2 2 3 5 3" xfId="25162"/>
    <cellStyle name="40% - Accent4 2 2 3 6" xfId="25164"/>
    <cellStyle name="40% - Accent4 2 2 3 7" xfId="25149"/>
    <cellStyle name="40% - Accent4 2 2 4" xfId="1795"/>
    <cellStyle name="40% - Accent4 2 2 4 2" xfId="8080"/>
    <cellStyle name="40% - Accent4 2 2 4 2 2" xfId="25167"/>
    <cellStyle name="40% - Accent4 2 2 4 2 3" xfId="25166"/>
    <cellStyle name="40% - Accent4 2 2 4 3" xfId="4953"/>
    <cellStyle name="40% - Accent4 2 2 4 3 2" xfId="25169"/>
    <cellStyle name="40% - Accent4 2 2 4 3 3" xfId="25168"/>
    <cellStyle name="40% - Accent4 2 2 4 4" xfId="11263"/>
    <cellStyle name="40% - Accent4 2 2 4 4 2" xfId="25171"/>
    <cellStyle name="40% - Accent4 2 2 4 4 3" xfId="25170"/>
    <cellStyle name="40% - Accent4 2 2 4 5" xfId="25172"/>
    <cellStyle name="40% - Accent4 2 2 4 6" xfId="25165"/>
    <cellStyle name="40% - Accent4 2 2 5" xfId="173"/>
    <cellStyle name="40% - Accent4 2 2 5 2" xfId="6517"/>
    <cellStyle name="40% - Accent4 2 2 5 2 2" xfId="25175"/>
    <cellStyle name="40% - Accent4 2 2 5 2 3" xfId="25174"/>
    <cellStyle name="40% - Accent4 2 2 5 3" xfId="25176"/>
    <cellStyle name="40% - Accent4 2 2 5 4" xfId="25173"/>
    <cellStyle name="40% - Accent4 2 2 6" xfId="3390"/>
    <cellStyle name="40% - Accent4 2 2 6 2" xfId="25178"/>
    <cellStyle name="40% - Accent4 2 2 6 3" xfId="25177"/>
    <cellStyle name="40% - Accent4 2 2 7" xfId="9912"/>
    <cellStyle name="40% - Accent4 2 2 7 2" xfId="25180"/>
    <cellStyle name="40% - Accent4 2 2 7 3" xfId="25179"/>
    <cellStyle name="40% - Accent4 2 2 8" xfId="25181"/>
    <cellStyle name="40% - Accent4 2 2 9" xfId="25116"/>
    <cellStyle name="40% - Accent4 2 3" xfId="249"/>
    <cellStyle name="40% - Accent4 2 3 2" xfId="960"/>
    <cellStyle name="40% - Accent4 2 3 2 2" xfId="2526"/>
    <cellStyle name="40% - Accent4 2 3 2 2 2" xfId="8811"/>
    <cellStyle name="40% - Accent4 2 3 2 2 2 2" xfId="25186"/>
    <cellStyle name="40% - Accent4 2 3 2 2 2 3" xfId="25185"/>
    <cellStyle name="40% - Accent4 2 3 2 2 3" xfId="5684"/>
    <cellStyle name="40% - Accent4 2 3 2 2 3 2" xfId="25188"/>
    <cellStyle name="40% - Accent4 2 3 2 2 3 3" xfId="25187"/>
    <cellStyle name="40% - Accent4 2 3 2 2 4" xfId="11994"/>
    <cellStyle name="40% - Accent4 2 3 2 2 4 2" xfId="25190"/>
    <cellStyle name="40% - Accent4 2 3 2 2 4 3" xfId="25189"/>
    <cellStyle name="40% - Accent4 2 3 2 2 5" xfId="25191"/>
    <cellStyle name="40% - Accent4 2 3 2 2 6" xfId="25184"/>
    <cellStyle name="40% - Accent4 2 3 2 3" xfId="7248"/>
    <cellStyle name="40% - Accent4 2 3 2 3 2" xfId="25193"/>
    <cellStyle name="40% - Accent4 2 3 2 3 3" xfId="25192"/>
    <cellStyle name="40% - Accent4 2 3 2 4" xfId="4121"/>
    <cellStyle name="40% - Accent4 2 3 2 4 2" xfId="25195"/>
    <cellStyle name="40% - Accent4 2 3 2 4 3" xfId="25194"/>
    <cellStyle name="40% - Accent4 2 3 2 5" xfId="10431"/>
    <cellStyle name="40% - Accent4 2 3 2 5 2" xfId="25197"/>
    <cellStyle name="40% - Accent4 2 3 2 5 3" xfId="25196"/>
    <cellStyle name="40% - Accent4 2 3 2 6" xfId="25198"/>
    <cellStyle name="40% - Accent4 2 3 2 7" xfId="25183"/>
    <cellStyle name="40% - Accent4 2 3 3" xfId="1846"/>
    <cellStyle name="40% - Accent4 2 3 3 2" xfId="8131"/>
    <cellStyle name="40% - Accent4 2 3 3 2 2" xfId="25201"/>
    <cellStyle name="40% - Accent4 2 3 3 2 3" xfId="25200"/>
    <cellStyle name="40% - Accent4 2 3 3 3" xfId="5004"/>
    <cellStyle name="40% - Accent4 2 3 3 3 2" xfId="25203"/>
    <cellStyle name="40% - Accent4 2 3 3 3 3" xfId="25202"/>
    <cellStyle name="40% - Accent4 2 3 3 4" xfId="11314"/>
    <cellStyle name="40% - Accent4 2 3 3 4 2" xfId="25205"/>
    <cellStyle name="40% - Accent4 2 3 3 4 3" xfId="25204"/>
    <cellStyle name="40% - Accent4 2 3 3 5" xfId="25206"/>
    <cellStyle name="40% - Accent4 2 3 3 6" xfId="25199"/>
    <cellStyle name="40% - Accent4 2 3 4" xfId="6568"/>
    <cellStyle name="40% - Accent4 2 3 4 2" xfId="25208"/>
    <cellStyle name="40% - Accent4 2 3 4 3" xfId="25207"/>
    <cellStyle name="40% - Accent4 2 3 5" xfId="3441"/>
    <cellStyle name="40% - Accent4 2 3 5 2" xfId="25210"/>
    <cellStyle name="40% - Accent4 2 3 5 3" xfId="25209"/>
    <cellStyle name="40% - Accent4 2 3 6" xfId="9890"/>
    <cellStyle name="40% - Accent4 2 3 6 2" xfId="25212"/>
    <cellStyle name="40% - Accent4 2 3 6 3" xfId="25211"/>
    <cellStyle name="40% - Accent4 2 3 7" xfId="25213"/>
    <cellStyle name="40% - Accent4 2 3 8" xfId="25182"/>
    <cellStyle name="40% - Accent4 2 4" xfId="356"/>
    <cellStyle name="40% - Accent4 2 4 2" xfId="1064"/>
    <cellStyle name="40% - Accent4 2 4 2 2" xfId="2630"/>
    <cellStyle name="40% - Accent4 2 4 2 2 2" xfId="8915"/>
    <cellStyle name="40% - Accent4 2 4 2 2 2 2" xfId="25218"/>
    <cellStyle name="40% - Accent4 2 4 2 2 2 3" xfId="25217"/>
    <cellStyle name="40% - Accent4 2 4 2 2 3" xfId="5788"/>
    <cellStyle name="40% - Accent4 2 4 2 2 3 2" xfId="25220"/>
    <cellStyle name="40% - Accent4 2 4 2 2 3 3" xfId="25219"/>
    <cellStyle name="40% - Accent4 2 4 2 2 4" xfId="12098"/>
    <cellStyle name="40% - Accent4 2 4 2 2 4 2" xfId="25222"/>
    <cellStyle name="40% - Accent4 2 4 2 2 4 3" xfId="25221"/>
    <cellStyle name="40% - Accent4 2 4 2 2 5" xfId="25223"/>
    <cellStyle name="40% - Accent4 2 4 2 2 6" xfId="25216"/>
    <cellStyle name="40% - Accent4 2 4 2 3" xfId="7352"/>
    <cellStyle name="40% - Accent4 2 4 2 3 2" xfId="25225"/>
    <cellStyle name="40% - Accent4 2 4 2 3 3" xfId="25224"/>
    <cellStyle name="40% - Accent4 2 4 2 4" xfId="4225"/>
    <cellStyle name="40% - Accent4 2 4 2 4 2" xfId="25227"/>
    <cellStyle name="40% - Accent4 2 4 2 4 3" xfId="25226"/>
    <cellStyle name="40% - Accent4 2 4 2 5" xfId="10535"/>
    <cellStyle name="40% - Accent4 2 4 2 5 2" xfId="25229"/>
    <cellStyle name="40% - Accent4 2 4 2 5 3" xfId="25228"/>
    <cellStyle name="40% - Accent4 2 4 2 6" xfId="25230"/>
    <cellStyle name="40% - Accent4 2 4 2 7" xfId="25215"/>
    <cellStyle name="40% - Accent4 2 4 3" xfId="1950"/>
    <cellStyle name="40% - Accent4 2 4 3 2" xfId="8235"/>
    <cellStyle name="40% - Accent4 2 4 3 2 2" xfId="25233"/>
    <cellStyle name="40% - Accent4 2 4 3 2 3" xfId="25232"/>
    <cellStyle name="40% - Accent4 2 4 3 3" xfId="5108"/>
    <cellStyle name="40% - Accent4 2 4 3 3 2" xfId="25235"/>
    <cellStyle name="40% - Accent4 2 4 3 3 3" xfId="25234"/>
    <cellStyle name="40% - Accent4 2 4 3 4" xfId="11418"/>
    <cellStyle name="40% - Accent4 2 4 3 4 2" xfId="25237"/>
    <cellStyle name="40% - Accent4 2 4 3 4 3" xfId="25236"/>
    <cellStyle name="40% - Accent4 2 4 3 5" xfId="25238"/>
    <cellStyle name="40% - Accent4 2 4 3 6" xfId="25231"/>
    <cellStyle name="40% - Accent4 2 4 4" xfId="6672"/>
    <cellStyle name="40% - Accent4 2 4 4 2" xfId="25240"/>
    <cellStyle name="40% - Accent4 2 4 4 3" xfId="25239"/>
    <cellStyle name="40% - Accent4 2 4 5" xfId="3545"/>
    <cellStyle name="40% - Accent4 2 4 5 2" xfId="25242"/>
    <cellStyle name="40% - Accent4 2 4 5 3" xfId="25241"/>
    <cellStyle name="40% - Accent4 2 4 6" xfId="9977"/>
    <cellStyle name="40% - Accent4 2 4 6 2" xfId="25244"/>
    <cellStyle name="40% - Accent4 2 4 6 3" xfId="25243"/>
    <cellStyle name="40% - Accent4 2 4 7" xfId="25245"/>
    <cellStyle name="40% - Accent4 2 4 8" xfId="25214"/>
    <cellStyle name="40% - Accent4 2 5" xfId="434"/>
    <cellStyle name="40% - Accent4 2 5 2" xfId="1141"/>
    <cellStyle name="40% - Accent4 2 5 2 2" xfId="2706"/>
    <cellStyle name="40% - Accent4 2 5 2 2 2" xfId="8991"/>
    <cellStyle name="40% - Accent4 2 5 2 2 2 2" xfId="25250"/>
    <cellStyle name="40% - Accent4 2 5 2 2 2 3" xfId="25249"/>
    <cellStyle name="40% - Accent4 2 5 2 2 3" xfId="5864"/>
    <cellStyle name="40% - Accent4 2 5 2 2 3 2" xfId="25252"/>
    <cellStyle name="40% - Accent4 2 5 2 2 3 3" xfId="25251"/>
    <cellStyle name="40% - Accent4 2 5 2 2 4" xfId="12174"/>
    <cellStyle name="40% - Accent4 2 5 2 2 4 2" xfId="25254"/>
    <cellStyle name="40% - Accent4 2 5 2 2 4 3" xfId="25253"/>
    <cellStyle name="40% - Accent4 2 5 2 2 5" xfId="25255"/>
    <cellStyle name="40% - Accent4 2 5 2 2 6" xfId="25248"/>
    <cellStyle name="40% - Accent4 2 5 2 3" xfId="7428"/>
    <cellStyle name="40% - Accent4 2 5 2 3 2" xfId="25257"/>
    <cellStyle name="40% - Accent4 2 5 2 3 3" xfId="25256"/>
    <cellStyle name="40% - Accent4 2 5 2 4" xfId="4301"/>
    <cellStyle name="40% - Accent4 2 5 2 4 2" xfId="25259"/>
    <cellStyle name="40% - Accent4 2 5 2 4 3" xfId="25258"/>
    <cellStyle name="40% - Accent4 2 5 2 5" xfId="10611"/>
    <cellStyle name="40% - Accent4 2 5 2 5 2" xfId="25261"/>
    <cellStyle name="40% - Accent4 2 5 2 5 3" xfId="25260"/>
    <cellStyle name="40% - Accent4 2 5 2 6" xfId="25262"/>
    <cellStyle name="40% - Accent4 2 5 2 7" xfId="25247"/>
    <cellStyle name="40% - Accent4 2 5 3" xfId="2026"/>
    <cellStyle name="40% - Accent4 2 5 3 2" xfId="8311"/>
    <cellStyle name="40% - Accent4 2 5 3 2 2" xfId="25265"/>
    <cellStyle name="40% - Accent4 2 5 3 2 3" xfId="25264"/>
    <cellStyle name="40% - Accent4 2 5 3 3" xfId="5184"/>
    <cellStyle name="40% - Accent4 2 5 3 3 2" xfId="25267"/>
    <cellStyle name="40% - Accent4 2 5 3 3 3" xfId="25266"/>
    <cellStyle name="40% - Accent4 2 5 3 4" xfId="11494"/>
    <cellStyle name="40% - Accent4 2 5 3 4 2" xfId="25269"/>
    <cellStyle name="40% - Accent4 2 5 3 4 3" xfId="25268"/>
    <cellStyle name="40% - Accent4 2 5 3 5" xfId="25270"/>
    <cellStyle name="40% - Accent4 2 5 3 6" xfId="25263"/>
    <cellStyle name="40% - Accent4 2 5 4" xfId="6748"/>
    <cellStyle name="40% - Accent4 2 5 4 2" xfId="25272"/>
    <cellStyle name="40% - Accent4 2 5 4 3" xfId="25271"/>
    <cellStyle name="40% - Accent4 2 5 5" xfId="3621"/>
    <cellStyle name="40% - Accent4 2 5 5 2" xfId="25274"/>
    <cellStyle name="40% - Accent4 2 5 5 3" xfId="25273"/>
    <cellStyle name="40% - Accent4 2 5 6" xfId="10054"/>
    <cellStyle name="40% - Accent4 2 5 6 2" xfId="25276"/>
    <cellStyle name="40% - Accent4 2 5 6 3" xfId="25275"/>
    <cellStyle name="40% - Accent4 2 5 7" xfId="25277"/>
    <cellStyle name="40% - Accent4 2 5 8" xfId="25246"/>
    <cellStyle name="40% - Accent4 2 6" xfId="583"/>
    <cellStyle name="40% - Accent4 2 6 2" xfId="1290"/>
    <cellStyle name="40% - Accent4 2 6 2 2" xfId="2855"/>
    <cellStyle name="40% - Accent4 2 6 2 2 2" xfId="9140"/>
    <cellStyle name="40% - Accent4 2 6 2 2 2 2" xfId="25282"/>
    <cellStyle name="40% - Accent4 2 6 2 2 2 3" xfId="25281"/>
    <cellStyle name="40% - Accent4 2 6 2 2 3" xfId="6013"/>
    <cellStyle name="40% - Accent4 2 6 2 2 3 2" xfId="25284"/>
    <cellStyle name="40% - Accent4 2 6 2 2 3 3" xfId="25283"/>
    <cellStyle name="40% - Accent4 2 6 2 2 4" xfId="12323"/>
    <cellStyle name="40% - Accent4 2 6 2 2 4 2" xfId="25286"/>
    <cellStyle name="40% - Accent4 2 6 2 2 4 3" xfId="25285"/>
    <cellStyle name="40% - Accent4 2 6 2 2 5" xfId="25287"/>
    <cellStyle name="40% - Accent4 2 6 2 2 6" xfId="25280"/>
    <cellStyle name="40% - Accent4 2 6 2 3" xfId="7577"/>
    <cellStyle name="40% - Accent4 2 6 2 3 2" xfId="25289"/>
    <cellStyle name="40% - Accent4 2 6 2 3 3" xfId="25288"/>
    <cellStyle name="40% - Accent4 2 6 2 4" xfId="4450"/>
    <cellStyle name="40% - Accent4 2 6 2 4 2" xfId="25291"/>
    <cellStyle name="40% - Accent4 2 6 2 4 3" xfId="25290"/>
    <cellStyle name="40% - Accent4 2 6 2 5" xfId="10760"/>
    <cellStyle name="40% - Accent4 2 6 2 5 2" xfId="25293"/>
    <cellStyle name="40% - Accent4 2 6 2 5 3" xfId="25292"/>
    <cellStyle name="40% - Accent4 2 6 2 6" xfId="25294"/>
    <cellStyle name="40% - Accent4 2 6 2 7" xfId="25279"/>
    <cellStyle name="40% - Accent4 2 6 3" xfId="2175"/>
    <cellStyle name="40% - Accent4 2 6 3 2" xfId="8460"/>
    <cellStyle name="40% - Accent4 2 6 3 2 2" xfId="25297"/>
    <cellStyle name="40% - Accent4 2 6 3 2 3" xfId="25296"/>
    <cellStyle name="40% - Accent4 2 6 3 3" xfId="5333"/>
    <cellStyle name="40% - Accent4 2 6 3 3 2" xfId="25299"/>
    <cellStyle name="40% - Accent4 2 6 3 3 3" xfId="25298"/>
    <cellStyle name="40% - Accent4 2 6 3 4" xfId="11643"/>
    <cellStyle name="40% - Accent4 2 6 3 4 2" xfId="25301"/>
    <cellStyle name="40% - Accent4 2 6 3 4 3" xfId="25300"/>
    <cellStyle name="40% - Accent4 2 6 3 5" xfId="25302"/>
    <cellStyle name="40% - Accent4 2 6 3 6" xfId="25295"/>
    <cellStyle name="40% - Accent4 2 6 4" xfId="6897"/>
    <cellStyle name="40% - Accent4 2 6 4 2" xfId="25304"/>
    <cellStyle name="40% - Accent4 2 6 4 3" xfId="25303"/>
    <cellStyle name="40% - Accent4 2 6 5" xfId="3770"/>
    <cellStyle name="40% - Accent4 2 6 5 2" xfId="25306"/>
    <cellStyle name="40% - Accent4 2 6 5 3" xfId="25305"/>
    <cellStyle name="40% - Accent4 2 6 6" xfId="10202"/>
    <cellStyle name="40% - Accent4 2 6 6 2" xfId="25308"/>
    <cellStyle name="40% - Accent4 2 6 6 3" xfId="25307"/>
    <cellStyle name="40% - Accent4 2 6 7" xfId="25309"/>
    <cellStyle name="40% - Accent4 2 6 8" xfId="25278"/>
    <cellStyle name="40% - Accent4 2 7" xfId="642"/>
    <cellStyle name="40% - Accent4 2 7 2" xfId="1347"/>
    <cellStyle name="40% - Accent4 2 7 2 2" xfId="2912"/>
    <cellStyle name="40% - Accent4 2 7 2 2 2" xfId="9197"/>
    <cellStyle name="40% - Accent4 2 7 2 2 2 2" xfId="25314"/>
    <cellStyle name="40% - Accent4 2 7 2 2 2 3" xfId="25313"/>
    <cellStyle name="40% - Accent4 2 7 2 2 3" xfId="6070"/>
    <cellStyle name="40% - Accent4 2 7 2 2 3 2" xfId="25316"/>
    <cellStyle name="40% - Accent4 2 7 2 2 3 3" xfId="25315"/>
    <cellStyle name="40% - Accent4 2 7 2 2 4" xfId="12380"/>
    <cellStyle name="40% - Accent4 2 7 2 2 4 2" xfId="25318"/>
    <cellStyle name="40% - Accent4 2 7 2 2 4 3" xfId="25317"/>
    <cellStyle name="40% - Accent4 2 7 2 2 5" xfId="25319"/>
    <cellStyle name="40% - Accent4 2 7 2 2 6" xfId="25312"/>
    <cellStyle name="40% - Accent4 2 7 2 3" xfId="7634"/>
    <cellStyle name="40% - Accent4 2 7 2 3 2" xfId="25321"/>
    <cellStyle name="40% - Accent4 2 7 2 3 3" xfId="25320"/>
    <cellStyle name="40% - Accent4 2 7 2 4" xfId="4507"/>
    <cellStyle name="40% - Accent4 2 7 2 4 2" xfId="25323"/>
    <cellStyle name="40% - Accent4 2 7 2 4 3" xfId="25322"/>
    <cellStyle name="40% - Accent4 2 7 2 5" xfId="10817"/>
    <cellStyle name="40% - Accent4 2 7 2 5 2" xfId="25325"/>
    <cellStyle name="40% - Accent4 2 7 2 5 3" xfId="25324"/>
    <cellStyle name="40% - Accent4 2 7 2 6" xfId="25326"/>
    <cellStyle name="40% - Accent4 2 7 2 7" xfId="25311"/>
    <cellStyle name="40% - Accent4 2 7 3" xfId="2232"/>
    <cellStyle name="40% - Accent4 2 7 3 2" xfId="8517"/>
    <cellStyle name="40% - Accent4 2 7 3 2 2" xfId="25329"/>
    <cellStyle name="40% - Accent4 2 7 3 2 3" xfId="25328"/>
    <cellStyle name="40% - Accent4 2 7 3 3" xfId="5390"/>
    <cellStyle name="40% - Accent4 2 7 3 3 2" xfId="25331"/>
    <cellStyle name="40% - Accent4 2 7 3 3 3" xfId="25330"/>
    <cellStyle name="40% - Accent4 2 7 3 4" xfId="11700"/>
    <cellStyle name="40% - Accent4 2 7 3 4 2" xfId="25333"/>
    <cellStyle name="40% - Accent4 2 7 3 4 3" xfId="25332"/>
    <cellStyle name="40% - Accent4 2 7 3 5" xfId="25334"/>
    <cellStyle name="40% - Accent4 2 7 3 6" xfId="25327"/>
    <cellStyle name="40% - Accent4 2 7 4" xfId="6954"/>
    <cellStyle name="40% - Accent4 2 7 4 2" xfId="25336"/>
    <cellStyle name="40% - Accent4 2 7 4 3" xfId="25335"/>
    <cellStyle name="40% - Accent4 2 7 5" xfId="3827"/>
    <cellStyle name="40% - Accent4 2 7 5 2" xfId="25338"/>
    <cellStyle name="40% - Accent4 2 7 5 3" xfId="25337"/>
    <cellStyle name="40% - Accent4 2 7 6" xfId="10260"/>
    <cellStyle name="40% - Accent4 2 7 6 2" xfId="25340"/>
    <cellStyle name="40% - Accent4 2 7 6 3" xfId="25339"/>
    <cellStyle name="40% - Accent4 2 7 7" xfId="25341"/>
    <cellStyle name="40% - Accent4 2 7 8" xfId="25310"/>
    <cellStyle name="40% - Accent4 2 8" xfId="861"/>
    <cellStyle name="40% - Accent4 2 8 2" xfId="2427"/>
    <cellStyle name="40% - Accent4 2 8 2 2" xfId="8712"/>
    <cellStyle name="40% - Accent4 2 8 2 2 2" xfId="25345"/>
    <cellStyle name="40% - Accent4 2 8 2 2 3" xfId="25344"/>
    <cellStyle name="40% - Accent4 2 8 2 3" xfId="5585"/>
    <cellStyle name="40% - Accent4 2 8 2 3 2" xfId="25347"/>
    <cellStyle name="40% - Accent4 2 8 2 3 3" xfId="25346"/>
    <cellStyle name="40% - Accent4 2 8 2 4" xfId="11895"/>
    <cellStyle name="40% - Accent4 2 8 2 4 2" xfId="25349"/>
    <cellStyle name="40% - Accent4 2 8 2 4 3" xfId="25348"/>
    <cellStyle name="40% - Accent4 2 8 2 5" xfId="25350"/>
    <cellStyle name="40% - Accent4 2 8 2 6" xfId="25343"/>
    <cellStyle name="40% - Accent4 2 8 3" xfId="7149"/>
    <cellStyle name="40% - Accent4 2 8 3 2" xfId="25352"/>
    <cellStyle name="40% - Accent4 2 8 3 3" xfId="25351"/>
    <cellStyle name="40% - Accent4 2 8 4" xfId="4022"/>
    <cellStyle name="40% - Accent4 2 8 4 2" xfId="25354"/>
    <cellStyle name="40% - Accent4 2 8 4 3" xfId="25353"/>
    <cellStyle name="40% - Accent4 2 8 5" xfId="10332"/>
    <cellStyle name="40% - Accent4 2 8 5 2" xfId="25356"/>
    <cellStyle name="40% - Accent4 2 8 5 3" xfId="25355"/>
    <cellStyle name="40% - Accent4 2 8 6" xfId="25357"/>
    <cellStyle name="40% - Accent4 2 8 7" xfId="25342"/>
    <cellStyle name="40% - Accent4 2 9" xfId="1549"/>
    <cellStyle name="40% - Accent4 2 9 2" xfId="3114"/>
    <cellStyle name="40% - Accent4 2 9 2 2" xfId="9399"/>
    <cellStyle name="40% - Accent4 2 9 2 2 2" xfId="25361"/>
    <cellStyle name="40% - Accent4 2 9 2 2 3" xfId="25360"/>
    <cellStyle name="40% - Accent4 2 9 2 3" xfId="6272"/>
    <cellStyle name="40% - Accent4 2 9 2 3 2" xfId="25363"/>
    <cellStyle name="40% - Accent4 2 9 2 3 3" xfId="25362"/>
    <cellStyle name="40% - Accent4 2 9 2 4" xfId="12582"/>
    <cellStyle name="40% - Accent4 2 9 2 4 2" xfId="25365"/>
    <cellStyle name="40% - Accent4 2 9 2 4 3" xfId="25364"/>
    <cellStyle name="40% - Accent4 2 9 2 5" xfId="25366"/>
    <cellStyle name="40% - Accent4 2 9 2 6" xfId="25359"/>
    <cellStyle name="40% - Accent4 2 9 3" xfId="7836"/>
    <cellStyle name="40% - Accent4 2 9 3 2" xfId="25368"/>
    <cellStyle name="40% - Accent4 2 9 3 3" xfId="25367"/>
    <cellStyle name="40% - Accent4 2 9 4" xfId="4709"/>
    <cellStyle name="40% - Accent4 2 9 4 2" xfId="25370"/>
    <cellStyle name="40% - Accent4 2 9 4 3" xfId="25369"/>
    <cellStyle name="40% - Accent4 2 9 5" xfId="11019"/>
    <cellStyle name="40% - Accent4 2 9 5 2" xfId="25372"/>
    <cellStyle name="40% - Accent4 2 9 5 3" xfId="25371"/>
    <cellStyle name="40% - Accent4 2 9 6" xfId="25373"/>
    <cellStyle name="40% - Accent4 2 9 7" xfId="25358"/>
    <cellStyle name="40% - Accent4 20" xfId="1731"/>
    <cellStyle name="40% - Accent4 20 2" xfId="8018"/>
    <cellStyle name="40% - Accent4 20 2 2" xfId="25376"/>
    <cellStyle name="40% - Accent4 20 2 3" xfId="25375"/>
    <cellStyle name="40% - Accent4 20 3" xfId="4891"/>
    <cellStyle name="40% - Accent4 20 3 2" xfId="25378"/>
    <cellStyle name="40% - Accent4 20 3 3" xfId="25377"/>
    <cellStyle name="40% - Accent4 20 4" xfId="11201"/>
    <cellStyle name="40% - Accent4 20 4 2" xfId="25380"/>
    <cellStyle name="40% - Accent4 20 4 3" xfId="25379"/>
    <cellStyle name="40% - Accent4 20 5" xfId="25381"/>
    <cellStyle name="40% - Accent4 20 6" xfId="25374"/>
    <cellStyle name="40% - Accent4 21" xfId="111"/>
    <cellStyle name="40% - Accent4 21 2" xfId="6456"/>
    <cellStyle name="40% - Accent4 21 2 2" xfId="25384"/>
    <cellStyle name="40% - Accent4 21 2 3" xfId="25383"/>
    <cellStyle name="40% - Accent4 21 3" xfId="25385"/>
    <cellStyle name="40% - Accent4 21 4" xfId="25382"/>
    <cellStyle name="40% - Accent4 22" xfId="3300"/>
    <cellStyle name="40% - Accent4 22 2" xfId="9583"/>
    <cellStyle name="40% - Accent4 22 2 2" xfId="25388"/>
    <cellStyle name="40% - Accent4 22 2 3" xfId="25387"/>
    <cellStyle name="40% - Accent4 22 3" xfId="25389"/>
    <cellStyle name="40% - Accent4 22 4" xfId="25386"/>
    <cellStyle name="40% - Accent4 23" xfId="3329"/>
    <cellStyle name="40% - Accent4 23 2" xfId="25391"/>
    <cellStyle name="40% - Accent4 23 3" xfId="25390"/>
    <cellStyle name="40% - Accent4 24" xfId="9636"/>
    <cellStyle name="40% - Accent4 24 2" xfId="25393"/>
    <cellStyle name="40% - Accent4 24 3" xfId="25392"/>
    <cellStyle name="40% - Accent4 25" xfId="25394"/>
    <cellStyle name="40% - Accent4 26" xfId="24807"/>
    <cellStyle name="40% - Accent4 27" xfId="38147"/>
    <cellStyle name="40% - Accent4 3" xfId="80"/>
    <cellStyle name="40% - Accent4 3 10" xfId="1761"/>
    <cellStyle name="40% - Accent4 3 10 2" xfId="8046"/>
    <cellStyle name="40% - Accent4 3 10 2 2" xfId="25398"/>
    <cellStyle name="40% - Accent4 3 10 2 3" xfId="25397"/>
    <cellStyle name="40% - Accent4 3 10 3" xfId="4919"/>
    <cellStyle name="40% - Accent4 3 10 3 2" xfId="25400"/>
    <cellStyle name="40% - Accent4 3 10 3 3" xfId="25399"/>
    <cellStyle name="40% - Accent4 3 10 4" xfId="11229"/>
    <cellStyle name="40% - Accent4 3 10 4 2" xfId="25402"/>
    <cellStyle name="40% - Accent4 3 10 4 3" xfId="25401"/>
    <cellStyle name="40% - Accent4 3 10 5" xfId="25403"/>
    <cellStyle name="40% - Accent4 3 10 6" xfId="25396"/>
    <cellStyle name="40% - Accent4 3 11" xfId="138"/>
    <cellStyle name="40% - Accent4 3 11 2" xfId="6483"/>
    <cellStyle name="40% - Accent4 3 11 2 2" xfId="25406"/>
    <cellStyle name="40% - Accent4 3 11 2 3" xfId="25405"/>
    <cellStyle name="40% - Accent4 3 11 3" xfId="25407"/>
    <cellStyle name="40% - Accent4 3 11 4" xfId="25404"/>
    <cellStyle name="40% - Accent4 3 12" xfId="3356"/>
    <cellStyle name="40% - Accent4 3 12 2" xfId="25409"/>
    <cellStyle name="40% - Accent4 3 12 3" xfId="25408"/>
    <cellStyle name="40% - Accent4 3 13" xfId="9618"/>
    <cellStyle name="40% - Accent4 3 13 2" xfId="25411"/>
    <cellStyle name="40% - Accent4 3 13 3" xfId="25410"/>
    <cellStyle name="40% - Accent4 3 14" xfId="25412"/>
    <cellStyle name="40% - Accent4 3 15" xfId="25395"/>
    <cellStyle name="40% - Accent4 3 16" xfId="38149"/>
    <cellStyle name="40% - Accent4 3 2" xfId="174"/>
    <cellStyle name="40% - Accent4 3 2 2" xfId="308"/>
    <cellStyle name="40% - Accent4 3 2 2 2" xfId="1018"/>
    <cellStyle name="40% - Accent4 3 2 2 2 2" xfId="2584"/>
    <cellStyle name="40% - Accent4 3 2 2 2 2 2" xfId="8869"/>
    <cellStyle name="40% - Accent4 3 2 2 2 2 2 2" xfId="25418"/>
    <cellStyle name="40% - Accent4 3 2 2 2 2 2 3" xfId="25417"/>
    <cellStyle name="40% - Accent4 3 2 2 2 2 3" xfId="5742"/>
    <cellStyle name="40% - Accent4 3 2 2 2 2 3 2" xfId="25420"/>
    <cellStyle name="40% - Accent4 3 2 2 2 2 3 3" xfId="25419"/>
    <cellStyle name="40% - Accent4 3 2 2 2 2 4" xfId="12052"/>
    <cellStyle name="40% - Accent4 3 2 2 2 2 4 2" xfId="25422"/>
    <cellStyle name="40% - Accent4 3 2 2 2 2 4 3" xfId="25421"/>
    <cellStyle name="40% - Accent4 3 2 2 2 2 5" xfId="25423"/>
    <cellStyle name="40% - Accent4 3 2 2 2 2 6" xfId="25416"/>
    <cellStyle name="40% - Accent4 3 2 2 2 3" xfId="7306"/>
    <cellStyle name="40% - Accent4 3 2 2 2 3 2" xfId="25425"/>
    <cellStyle name="40% - Accent4 3 2 2 2 3 3" xfId="25424"/>
    <cellStyle name="40% - Accent4 3 2 2 2 4" xfId="4179"/>
    <cellStyle name="40% - Accent4 3 2 2 2 4 2" xfId="25427"/>
    <cellStyle name="40% - Accent4 3 2 2 2 4 3" xfId="25426"/>
    <cellStyle name="40% - Accent4 3 2 2 2 5" xfId="10489"/>
    <cellStyle name="40% - Accent4 3 2 2 2 5 2" xfId="25429"/>
    <cellStyle name="40% - Accent4 3 2 2 2 5 3" xfId="25428"/>
    <cellStyle name="40% - Accent4 3 2 2 2 6" xfId="25430"/>
    <cellStyle name="40% - Accent4 3 2 2 2 7" xfId="25415"/>
    <cellStyle name="40% - Accent4 3 2 2 3" xfId="1904"/>
    <cellStyle name="40% - Accent4 3 2 2 3 2" xfId="8189"/>
    <cellStyle name="40% - Accent4 3 2 2 3 2 2" xfId="25433"/>
    <cellStyle name="40% - Accent4 3 2 2 3 2 3" xfId="25432"/>
    <cellStyle name="40% - Accent4 3 2 2 3 3" xfId="5062"/>
    <cellStyle name="40% - Accent4 3 2 2 3 3 2" xfId="25435"/>
    <cellStyle name="40% - Accent4 3 2 2 3 3 3" xfId="25434"/>
    <cellStyle name="40% - Accent4 3 2 2 3 4" xfId="11372"/>
    <cellStyle name="40% - Accent4 3 2 2 3 4 2" xfId="25437"/>
    <cellStyle name="40% - Accent4 3 2 2 3 4 3" xfId="25436"/>
    <cellStyle name="40% - Accent4 3 2 2 3 5" xfId="25438"/>
    <cellStyle name="40% - Accent4 3 2 2 3 6" xfId="25431"/>
    <cellStyle name="40% - Accent4 3 2 2 4" xfId="6626"/>
    <cellStyle name="40% - Accent4 3 2 2 4 2" xfId="25440"/>
    <cellStyle name="40% - Accent4 3 2 2 4 3" xfId="25439"/>
    <cellStyle name="40% - Accent4 3 2 2 5" xfId="3499"/>
    <cellStyle name="40% - Accent4 3 2 2 5 2" xfId="25442"/>
    <cellStyle name="40% - Accent4 3 2 2 5 3" xfId="25441"/>
    <cellStyle name="40% - Accent4 3 2 2 6" xfId="9848"/>
    <cellStyle name="40% - Accent4 3 2 2 6 2" xfId="25444"/>
    <cellStyle name="40% - Accent4 3 2 2 6 3" xfId="25443"/>
    <cellStyle name="40% - Accent4 3 2 2 7" xfId="25445"/>
    <cellStyle name="40% - Accent4 3 2 2 8" xfId="25414"/>
    <cellStyle name="40% - Accent4 3 2 3" xfId="910"/>
    <cellStyle name="40% - Accent4 3 2 3 2" xfId="2476"/>
    <cellStyle name="40% - Accent4 3 2 3 2 2" xfId="8761"/>
    <cellStyle name="40% - Accent4 3 2 3 2 2 2" xfId="25449"/>
    <cellStyle name="40% - Accent4 3 2 3 2 2 3" xfId="25448"/>
    <cellStyle name="40% - Accent4 3 2 3 2 3" xfId="5634"/>
    <cellStyle name="40% - Accent4 3 2 3 2 3 2" xfId="25451"/>
    <cellStyle name="40% - Accent4 3 2 3 2 3 3" xfId="25450"/>
    <cellStyle name="40% - Accent4 3 2 3 2 4" xfId="11944"/>
    <cellStyle name="40% - Accent4 3 2 3 2 4 2" xfId="25453"/>
    <cellStyle name="40% - Accent4 3 2 3 2 4 3" xfId="25452"/>
    <cellStyle name="40% - Accent4 3 2 3 2 5" xfId="25454"/>
    <cellStyle name="40% - Accent4 3 2 3 2 6" xfId="25447"/>
    <cellStyle name="40% - Accent4 3 2 3 3" xfId="7198"/>
    <cellStyle name="40% - Accent4 3 2 3 3 2" xfId="25456"/>
    <cellStyle name="40% - Accent4 3 2 3 3 3" xfId="25455"/>
    <cellStyle name="40% - Accent4 3 2 3 4" xfId="4071"/>
    <cellStyle name="40% - Accent4 3 2 3 4 2" xfId="25458"/>
    <cellStyle name="40% - Accent4 3 2 3 4 3" xfId="25457"/>
    <cellStyle name="40% - Accent4 3 2 3 5" xfId="10381"/>
    <cellStyle name="40% - Accent4 3 2 3 5 2" xfId="25460"/>
    <cellStyle name="40% - Accent4 3 2 3 5 3" xfId="25459"/>
    <cellStyle name="40% - Accent4 3 2 3 6" xfId="25461"/>
    <cellStyle name="40% - Accent4 3 2 3 7" xfId="25446"/>
    <cellStyle name="40% - Accent4 3 2 4" xfId="1796"/>
    <cellStyle name="40% - Accent4 3 2 4 2" xfId="8081"/>
    <cellStyle name="40% - Accent4 3 2 4 2 2" xfId="25464"/>
    <cellStyle name="40% - Accent4 3 2 4 2 3" xfId="25463"/>
    <cellStyle name="40% - Accent4 3 2 4 3" xfId="4954"/>
    <cellStyle name="40% - Accent4 3 2 4 3 2" xfId="25466"/>
    <cellStyle name="40% - Accent4 3 2 4 3 3" xfId="25465"/>
    <cellStyle name="40% - Accent4 3 2 4 4" xfId="11264"/>
    <cellStyle name="40% - Accent4 3 2 4 4 2" xfId="25468"/>
    <cellStyle name="40% - Accent4 3 2 4 4 3" xfId="25467"/>
    <cellStyle name="40% - Accent4 3 2 4 5" xfId="25469"/>
    <cellStyle name="40% - Accent4 3 2 4 6" xfId="25462"/>
    <cellStyle name="40% - Accent4 3 2 5" xfId="6518"/>
    <cellStyle name="40% - Accent4 3 2 5 2" xfId="25471"/>
    <cellStyle name="40% - Accent4 3 2 5 3" xfId="25470"/>
    <cellStyle name="40% - Accent4 3 2 6" xfId="3391"/>
    <cellStyle name="40% - Accent4 3 2 6 2" xfId="25473"/>
    <cellStyle name="40% - Accent4 3 2 6 3" xfId="25472"/>
    <cellStyle name="40% - Accent4 3 2 7" xfId="9911"/>
    <cellStyle name="40% - Accent4 3 2 7 2" xfId="25475"/>
    <cellStyle name="40% - Accent4 3 2 7 3" xfId="25474"/>
    <cellStyle name="40% - Accent4 3 2 8" xfId="25476"/>
    <cellStyle name="40% - Accent4 3 2 9" xfId="25413"/>
    <cellStyle name="40% - Accent4 3 3" xfId="250"/>
    <cellStyle name="40% - Accent4 3 3 2" xfId="961"/>
    <cellStyle name="40% - Accent4 3 3 2 2" xfId="2527"/>
    <cellStyle name="40% - Accent4 3 3 2 2 2" xfId="8812"/>
    <cellStyle name="40% - Accent4 3 3 2 2 2 2" xfId="25481"/>
    <cellStyle name="40% - Accent4 3 3 2 2 2 3" xfId="25480"/>
    <cellStyle name="40% - Accent4 3 3 2 2 3" xfId="5685"/>
    <cellStyle name="40% - Accent4 3 3 2 2 3 2" xfId="25483"/>
    <cellStyle name="40% - Accent4 3 3 2 2 3 3" xfId="25482"/>
    <cellStyle name="40% - Accent4 3 3 2 2 4" xfId="11995"/>
    <cellStyle name="40% - Accent4 3 3 2 2 4 2" xfId="25485"/>
    <cellStyle name="40% - Accent4 3 3 2 2 4 3" xfId="25484"/>
    <cellStyle name="40% - Accent4 3 3 2 2 5" xfId="25486"/>
    <cellStyle name="40% - Accent4 3 3 2 2 6" xfId="25479"/>
    <cellStyle name="40% - Accent4 3 3 2 3" xfId="7249"/>
    <cellStyle name="40% - Accent4 3 3 2 3 2" xfId="25488"/>
    <cellStyle name="40% - Accent4 3 3 2 3 3" xfId="25487"/>
    <cellStyle name="40% - Accent4 3 3 2 4" xfId="4122"/>
    <cellStyle name="40% - Accent4 3 3 2 4 2" xfId="25490"/>
    <cellStyle name="40% - Accent4 3 3 2 4 3" xfId="25489"/>
    <cellStyle name="40% - Accent4 3 3 2 5" xfId="10432"/>
    <cellStyle name="40% - Accent4 3 3 2 5 2" xfId="25492"/>
    <cellStyle name="40% - Accent4 3 3 2 5 3" xfId="25491"/>
    <cellStyle name="40% - Accent4 3 3 2 6" xfId="25493"/>
    <cellStyle name="40% - Accent4 3 3 2 7" xfId="25478"/>
    <cellStyle name="40% - Accent4 3 3 3" xfId="1847"/>
    <cellStyle name="40% - Accent4 3 3 3 2" xfId="8132"/>
    <cellStyle name="40% - Accent4 3 3 3 2 2" xfId="25496"/>
    <cellStyle name="40% - Accent4 3 3 3 2 3" xfId="25495"/>
    <cellStyle name="40% - Accent4 3 3 3 3" xfId="5005"/>
    <cellStyle name="40% - Accent4 3 3 3 3 2" xfId="25498"/>
    <cellStyle name="40% - Accent4 3 3 3 3 3" xfId="25497"/>
    <cellStyle name="40% - Accent4 3 3 3 4" xfId="11315"/>
    <cellStyle name="40% - Accent4 3 3 3 4 2" xfId="25500"/>
    <cellStyle name="40% - Accent4 3 3 3 4 3" xfId="25499"/>
    <cellStyle name="40% - Accent4 3 3 3 5" xfId="25501"/>
    <cellStyle name="40% - Accent4 3 3 3 6" xfId="25494"/>
    <cellStyle name="40% - Accent4 3 3 4" xfId="6569"/>
    <cellStyle name="40% - Accent4 3 3 4 2" xfId="25503"/>
    <cellStyle name="40% - Accent4 3 3 4 3" xfId="25502"/>
    <cellStyle name="40% - Accent4 3 3 5" xfId="3442"/>
    <cellStyle name="40% - Accent4 3 3 5 2" xfId="25505"/>
    <cellStyle name="40% - Accent4 3 3 5 3" xfId="25504"/>
    <cellStyle name="40% - Accent4 3 3 6" xfId="9853"/>
    <cellStyle name="40% - Accent4 3 3 6 2" xfId="25507"/>
    <cellStyle name="40% - Accent4 3 3 6 3" xfId="25506"/>
    <cellStyle name="40% - Accent4 3 3 7" xfId="25508"/>
    <cellStyle name="40% - Accent4 3 3 8" xfId="25477"/>
    <cellStyle name="40% - Accent4 3 4" xfId="357"/>
    <cellStyle name="40% - Accent4 3 4 2" xfId="1065"/>
    <cellStyle name="40% - Accent4 3 4 2 2" xfId="2631"/>
    <cellStyle name="40% - Accent4 3 4 2 2 2" xfId="8916"/>
    <cellStyle name="40% - Accent4 3 4 2 2 2 2" xfId="25513"/>
    <cellStyle name="40% - Accent4 3 4 2 2 2 3" xfId="25512"/>
    <cellStyle name="40% - Accent4 3 4 2 2 3" xfId="5789"/>
    <cellStyle name="40% - Accent4 3 4 2 2 3 2" xfId="25515"/>
    <cellStyle name="40% - Accent4 3 4 2 2 3 3" xfId="25514"/>
    <cellStyle name="40% - Accent4 3 4 2 2 4" xfId="12099"/>
    <cellStyle name="40% - Accent4 3 4 2 2 4 2" xfId="25517"/>
    <cellStyle name="40% - Accent4 3 4 2 2 4 3" xfId="25516"/>
    <cellStyle name="40% - Accent4 3 4 2 2 5" xfId="25518"/>
    <cellStyle name="40% - Accent4 3 4 2 2 6" xfId="25511"/>
    <cellStyle name="40% - Accent4 3 4 2 3" xfId="7353"/>
    <cellStyle name="40% - Accent4 3 4 2 3 2" xfId="25520"/>
    <cellStyle name="40% - Accent4 3 4 2 3 3" xfId="25519"/>
    <cellStyle name="40% - Accent4 3 4 2 4" xfId="4226"/>
    <cellStyle name="40% - Accent4 3 4 2 4 2" xfId="25522"/>
    <cellStyle name="40% - Accent4 3 4 2 4 3" xfId="25521"/>
    <cellStyle name="40% - Accent4 3 4 2 5" xfId="10536"/>
    <cellStyle name="40% - Accent4 3 4 2 5 2" xfId="25524"/>
    <cellStyle name="40% - Accent4 3 4 2 5 3" xfId="25523"/>
    <cellStyle name="40% - Accent4 3 4 2 6" xfId="25525"/>
    <cellStyle name="40% - Accent4 3 4 2 7" xfId="25510"/>
    <cellStyle name="40% - Accent4 3 4 3" xfId="1951"/>
    <cellStyle name="40% - Accent4 3 4 3 2" xfId="8236"/>
    <cellStyle name="40% - Accent4 3 4 3 2 2" xfId="25528"/>
    <cellStyle name="40% - Accent4 3 4 3 2 3" xfId="25527"/>
    <cellStyle name="40% - Accent4 3 4 3 3" xfId="5109"/>
    <cellStyle name="40% - Accent4 3 4 3 3 2" xfId="25530"/>
    <cellStyle name="40% - Accent4 3 4 3 3 3" xfId="25529"/>
    <cellStyle name="40% - Accent4 3 4 3 4" xfId="11419"/>
    <cellStyle name="40% - Accent4 3 4 3 4 2" xfId="25532"/>
    <cellStyle name="40% - Accent4 3 4 3 4 3" xfId="25531"/>
    <cellStyle name="40% - Accent4 3 4 3 5" xfId="25533"/>
    <cellStyle name="40% - Accent4 3 4 3 6" xfId="25526"/>
    <cellStyle name="40% - Accent4 3 4 4" xfId="6673"/>
    <cellStyle name="40% - Accent4 3 4 4 2" xfId="25535"/>
    <cellStyle name="40% - Accent4 3 4 4 3" xfId="25534"/>
    <cellStyle name="40% - Accent4 3 4 5" xfId="3546"/>
    <cellStyle name="40% - Accent4 3 4 5 2" xfId="25537"/>
    <cellStyle name="40% - Accent4 3 4 5 3" xfId="25536"/>
    <cellStyle name="40% - Accent4 3 4 6" xfId="9978"/>
    <cellStyle name="40% - Accent4 3 4 6 2" xfId="25539"/>
    <cellStyle name="40% - Accent4 3 4 6 3" xfId="25538"/>
    <cellStyle name="40% - Accent4 3 4 7" xfId="25540"/>
    <cellStyle name="40% - Accent4 3 4 8" xfId="25509"/>
    <cellStyle name="40% - Accent4 3 5" xfId="422"/>
    <cellStyle name="40% - Accent4 3 5 2" xfId="1129"/>
    <cellStyle name="40% - Accent4 3 5 2 2" xfId="2694"/>
    <cellStyle name="40% - Accent4 3 5 2 2 2" xfId="8979"/>
    <cellStyle name="40% - Accent4 3 5 2 2 2 2" xfId="25545"/>
    <cellStyle name="40% - Accent4 3 5 2 2 2 3" xfId="25544"/>
    <cellStyle name="40% - Accent4 3 5 2 2 3" xfId="5852"/>
    <cellStyle name="40% - Accent4 3 5 2 2 3 2" xfId="25547"/>
    <cellStyle name="40% - Accent4 3 5 2 2 3 3" xfId="25546"/>
    <cellStyle name="40% - Accent4 3 5 2 2 4" xfId="12162"/>
    <cellStyle name="40% - Accent4 3 5 2 2 4 2" xfId="25549"/>
    <cellStyle name="40% - Accent4 3 5 2 2 4 3" xfId="25548"/>
    <cellStyle name="40% - Accent4 3 5 2 2 5" xfId="25550"/>
    <cellStyle name="40% - Accent4 3 5 2 2 6" xfId="25543"/>
    <cellStyle name="40% - Accent4 3 5 2 3" xfId="7416"/>
    <cellStyle name="40% - Accent4 3 5 2 3 2" xfId="25552"/>
    <cellStyle name="40% - Accent4 3 5 2 3 3" xfId="25551"/>
    <cellStyle name="40% - Accent4 3 5 2 4" xfId="4289"/>
    <cellStyle name="40% - Accent4 3 5 2 4 2" xfId="25554"/>
    <cellStyle name="40% - Accent4 3 5 2 4 3" xfId="25553"/>
    <cellStyle name="40% - Accent4 3 5 2 5" xfId="10599"/>
    <cellStyle name="40% - Accent4 3 5 2 5 2" xfId="25556"/>
    <cellStyle name="40% - Accent4 3 5 2 5 3" xfId="25555"/>
    <cellStyle name="40% - Accent4 3 5 2 6" xfId="25557"/>
    <cellStyle name="40% - Accent4 3 5 2 7" xfId="25542"/>
    <cellStyle name="40% - Accent4 3 5 3" xfId="2014"/>
    <cellStyle name="40% - Accent4 3 5 3 2" xfId="8299"/>
    <cellStyle name="40% - Accent4 3 5 3 2 2" xfId="25560"/>
    <cellStyle name="40% - Accent4 3 5 3 2 3" xfId="25559"/>
    <cellStyle name="40% - Accent4 3 5 3 3" xfId="5172"/>
    <cellStyle name="40% - Accent4 3 5 3 3 2" xfId="25562"/>
    <cellStyle name="40% - Accent4 3 5 3 3 3" xfId="25561"/>
    <cellStyle name="40% - Accent4 3 5 3 4" xfId="11482"/>
    <cellStyle name="40% - Accent4 3 5 3 4 2" xfId="25564"/>
    <cellStyle name="40% - Accent4 3 5 3 4 3" xfId="25563"/>
    <cellStyle name="40% - Accent4 3 5 3 5" xfId="25565"/>
    <cellStyle name="40% - Accent4 3 5 3 6" xfId="25558"/>
    <cellStyle name="40% - Accent4 3 5 4" xfId="6736"/>
    <cellStyle name="40% - Accent4 3 5 4 2" xfId="25567"/>
    <cellStyle name="40% - Accent4 3 5 4 3" xfId="25566"/>
    <cellStyle name="40% - Accent4 3 5 5" xfId="3609"/>
    <cellStyle name="40% - Accent4 3 5 5 2" xfId="25569"/>
    <cellStyle name="40% - Accent4 3 5 5 3" xfId="25568"/>
    <cellStyle name="40% - Accent4 3 5 6" xfId="10042"/>
    <cellStyle name="40% - Accent4 3 5 6 2" xfId="25571"/>
    <cellStyle name="40% - Accent4 3 5 6 3" xfId="25570"/>
    <cellStyle name="40% - Accent4 3 5 7" xfId="25572"/>
    <cellStyle name="40% - Accent4 3 5 8" xfId="25541"/>
    <cellStyle name="40% - Accent4 3 6" xfId="584"/>
    <cellStyle name="40% - Accent4 3 6 2" xfId="1291"/>
    <cellStyle name="40% - Accent4 3 6 2 2" xfId="2856"/>
    <cellStyle name="40% - Accent4 3 6 2 2 2" xfId="9141"/>
    <cellStyle name="40% - Accent4 3 6 2 2 2 2" xfId="25577"/>
    <cellStyle name="40% - Accent4 3 6 2 2 2 3" xfId="25576"/>
    <cellStyle name="40% - Accent4 3 6 2 2 3" xfId="6014"/>
    <cellStyle name="40% - Accent4 3 6 2 2 3 2" xfId="25579"/>
    <cellStyle name="40% - Accent4 3 6 2 2 3 3" xfId="25578"/>
    <cellStyle name="40% - Accent4 3 6 2 2 4" xfId="12324"/>
    <cellStyle name="40% - Accent4 3 6 2 2 4 2" xfId="25581"/>
    <cellStyle name="40% - Accent4 3 6 2 2 4 3" xfId="25580"/>
    <cellStyle name="40% - Accent4 3 6 2 2 5" xfId="25582"/>
    <cellStyle name="40% - Accent4 3 6 2 2 6" xfId="25575"/>
    <cellStyle name="40% - Accent4 3 6 2 3" xfId="7578"/>
    <cellStyle name="40% - Accent4 3 6 2 3 2" xfId="25584"/>
    <cellStyle name="40% - Accent4 3 6 2 3 3" xfId="25583"/>
    <cellStyle name="40% - Accent4 3 6 2 4" xfId="4451"/>
    <cellStyle name="40% - Accent4 3 6 2 4 2" xfId="25586"/>
    <cellStyle name="40% - Accent4 3 6 2 4 3" xfId="25585"/>
    <cellStyle name="40% - Accent4 3 6 2 5" xfId="10761"/>
    <cellStyle name="40% - Accent4 3 6 2 5 2" xfId="25588"/>
    <cellStyle name="40% - Accent4 3 6 2 5 3" xfId="25587"/>
    <cellStyle name="40% - Accent4 3 6 2 6" xfId="25589"/>
    <cellStyle name="40% - Accent4 3 6 2 7" xfId="25574"/>
    <cellStyle name="40% - Accent4 3 6 3" xfId="2176"/>
    <cellStyle name="40% - Accent4 3 6 3 2" xfId="8461"/>
    <cellStyle name="40% - Accent4 3 6 3 2 2" xfId="25592"/>
    <cellStyle name="40% - Accent4 3 6 3 2 3" xfId="25591"/>
    <cellStyle name="40% - Accent4 3 6 3 3" xfId="5334"/>
    <cellStyle name="40% - Accent4 3 6 3 3 2" xfId="25594"/>
    <cellStyle name="40% - Accent4 3 6 3 3 3" xfId="25593"/>
    <cellStyle name="40% - Accent4 3 6 3 4" xfId="11644"/>
    <cellStyle name="40% - Accent4 3 6 3 4 2" xfId="25596"/>
    <cellStyle name="40% - Accent4 3 6 3 4 3" xfId="25595"/>
    <cellStyle name="40% - Accent4 3 6 3 5" xfId="25597"/>
    <cellStyle name="40% - Accent4 3 6 3 6" xfId="25590"/>
    <cellStyle name="40% - Accent4 3 6 4" xfId="6898"/>
    <cellStyle name="40% - Accent4 3 6 4 2" xfId="25599"/>
    <cellStyle name="40% - Accent4 3 6 4 3" xfId="25598"/>
    <cellStyle name="40% - Accent4 3 6 5" xfId="3771"/>
    <cellStyle name="40% - Accent4 3 6 5 2" xfId="25601"/>
    <cellStyle name="40% - Accent4 3 6 5 3" xfId="25600"/>
    <cellStyle name="40% - Accent4 3 6 6" xfId="10203"/>
    <cellStyle name="40% - Accent4 3 6 6 2" xfId="25603"/>
    <cellStyle name="40% - Accent4 3 6 6 3" xfId="25602"/>
    <cellStyle name="40% - Accent4 3 6 7" xfId="25604"/>
    <cellStyle name="40% - Accent4 3 6 8" xfId="25573"/>
    <cellStyle name="40% - Accent4 3 7" xfId="643"/>
    <cellStyle name="40% - Accent4 3 7 2" xfId="1348"/>
    <cellStyle name="40% - Accent4 3 7 2 2" xfId="2913"/>
    <cellStyle name="40% - Accent4 3 7 2 2 2" xfId="9198"/>
    <cellStyle name="40% - Accent4 3 7 2 2 2 2" xfId="25609"/>
    <cellStyle name="40% - Accent4 3 7 2 2 2 3" xfId="25608"/>
    <cellStyle name="40% - Accent4 3 7 2 2 3" xfId="6071"/>
    <cellStyle name="40% - Accent4 3 7 2 2 3 2" xfId="25611"/>
    <cellStyle name="40% - Accent4 3 7 2 2 3 3" xfId="25610"/>
    <cellStyle name="40% - Accent4 3 7 2 2 4" xfId="12381"/>
    <cellStyle name="40% - Accent4 3 7 2 2 4 2" xfId="25613"/>
    <cellStyle name="40% - Accent4 3 7 2 2 4 3" xfId="25612"/>
    <cellStyle name="40% - Accent4 3 7 2 2 5" xfId="25614"/>
    <cellStyle name="40% - Accent4 3 7 2 2 6" xfId="25607"/>
    <cellStyle name="40% - Accent4 3 7 2 3" xfId="7635"/>
    <cellStyle name="40% - Accent4 3 7 2 3 2" xfId="25616"/>
    <cellStyle name="40% - Accent4 3 7 2 3 3" xfId="25615"/>
    <cellStyle name="40% - Accent4 3 7 2 4" xfId="4508"/>
    <cellStyle name="40% - Accent4 3 7 2 4 2" xfId="25618"/>
    <cellStyle name="40% - Accent4 3 7 2 4 3" xfId="25617"/>
    <cellStyle name="40% - Accent4 3 7 2 5" xfId="10818"/>
    <cellStyle name="40% - Accent4 3 7 2 5 2" xfId="25620"/>
    <cellStyle name="40% - Accent4 3 7 2 5 3" xfId="25619"/>
    <cellStyle name="40% - Accent4 3 7 2 6" xfId="25621"/>
    <cellStyle name="40% - Accent4 3 7 2 7" xfId="25606"/>
    <cellStyle name="40% - Accent4 3 7 3" xfId="2233"/>
    <cellStyle name="40% - Accent4 3 7 3 2" xfId="8518"/>
    <cellStyle name="40% - Accent4 3 7 3 2 2" xfId="25624"/>
    <cellStyle name="40% - Accent4 3 7 3 2 3" xfId="25623"/>
    <cellStyle name="40% - Accent4 3 7 3 3" xfId="5391"/>
    <cellStyle name="40% - Accent4 3 7 3 3 2" xfId="25626"/>
    <cellStyle name="40% - Accent4 3 7 3 3 3" xfId="25625"/>
    <cellStyle name="40% - Accent4 3 7 3 4" xfId="11701"/>
    <cellStyle name="40% - Accent4 3 7 3 4 2" xfId="25628"/>
    <cellStyle name="40% - Accent4 3 7 3 4 3" xfId="25627"/>
    <cellStyle name="40% - Accent4 3 7 3 5" xfId="25629"/>
    <cellStyle name="40% - Accent4 3 7 3 6" xfId="25622"/>
    <cellStyle name="40% - Accent4 3 7 4" xfId="6955"/>
    <cellStyle name="40% - Accent4 3 7 4 2" xfId="25631"/>
    <cellStyle name="40% - Accent4 3 7 4 3" xfId="25630"/>
    <cellStyle name="40% - Accent4 3 7 5" xfId="3828"/>
    <cellStyle name="40% - Accent4 3 7 5 2" xfId="25633"/>
    <cellStyle name="40% - Accent4 3 7 5 3" xfId="25632"/>
    <cellStyle name="40% - Accent4 3 7 6" xfId="10261"/>
    <cellStyle name="40% - Accent4 3 7 6 2" xfId="25635"/>
    <cellStyle name="40% - Accent4 3 7 6 3" xfId="25634"/>
    <cellStyle name="40% - Accent4 3 7 7" xfId="25636"/>
    <cellStyle name="40% - Accent4 3 7 8" xfId="25605"/>
    <cellStyle name="40% - Accent4 3 8" xfId="875"/>
    <cellStyle name="40% - Accent4 3 8 2" xfId="2441"/>
    <cellStyle name="40% - Accent4 3 8 2 2" xfId="8726"/>
    <cellStyle name="40% - Accent4 3 8 2 2 2" xfId="25640"/>
    <cellStyle name="40% - Accent4 3 8 2 2 3" xfId="25639"/>
    <cellStyle name="40% - Accent4 3 8 2 3" xfId="5599"/>
    <cellStyle name="40% - Accent4 3 8 2 3 2" xfId="25642"/>
    <cellStyle name="40% - Accent4 3 8 2 3 3" xfId="25641"/>
    <cellStyle name="40% - Accent4 3 8 2 4" xfId="11909"/>
    <cellStyle name="40% - Accent4 3 8 2 4 2" xfId="25644"/>
    <cellStyle name="40% - Accent4 3 8 2 4 3" xfId="25643"/>
    <cellStyle name="40% - Accent4 3 8 2 5" xfId="25645"/>
    <cellStyle name="40% - Accent4 3 8 2 6" xfId="25638"/>
    <cellStyle name="40% - Accent4 3 8 3" xfId="7163"/>
    <cellStyle name="40% - Accent4 3 8 3 2" xfId="25647"/>
    <cellStyle name="40% - Accent4 3 8 3 3" xfId="25646"/>
    <cellStyle name="40% - Accent4 3 8 4" xfId="4036"/>
    <cellStyle name="40% - Accent4 3 8 4 2" xfId="25649"/>
    <cellStyle name="40% - Accent4 3 8 4 3" xfId="25648"/>
    <cellStyle name="40% - Accent4 3 8 5" xfId="10346"/>
    <cellStyle name="40% - Accent4 3 8 5 2" xfId="25651"/>
    <cellStyle name="40% - Accent4 3 8 5 3" xfId="25650"/>
    <cellStyle name="40% - Accent4 3 8 6" xfId="25652"/>
    <cellStyle name="40% - Accent4 3 8 7" xfId="25637"/>
    <cellStyle name="40% - Accent4 3 9" xfId="1550"/>
    <cellStyle name="40% - Accent4 3 9 2" xfId="3115"/>
    <cellStyle name="40% - Accent4 3 9 2 2" xfId="9400"/>
    <cellStyle name="40% - Accent4 3 9 2 2 2" xfId="25656"/>
    <cellStyle name="40% - Accent4 3 9 2 2 3" xfId="25655"/>
    <cellStyle name="40% - Accent4 3 9 2 3" xfId="6273"/>
    <cellStyle name="40% - Accent4 3 9 2 3 2" xfId="25658"/>
    <cellStyle name="40% - Accent4 3 9 2 3 3" xfId="25657"/>
    <cellStyle name="40% - Accent4 3 9 2 4" xfId="12583"/>
    <cellStyle name="40% - Accent4 3 9 2 4 2" xfId="25660"/>
    <cellStyle name="40% - Accent4 3 9 2 4 3" xfId="25659"/>
    <cellStyle name="40% - Accent4 3 9 2 5" xfId="25661"/>
    <cellStyle name="40% - Accent4 3 9 2 6" xfId="25654"/>
    <cellStyle name="40% - Accent4 3 9 3" xfId="7837"/>
    <cellStyle name="40% - Accent4 3 9 3 2" xfId="25663"/>
    <cellStyle name="40% - Accent4 3 9 3 3" xfId="25662"/>
    <cellStyle name="40% - Accent4 3 9 4" xfId="4710"/>
    <cellStyle name="40% - Accent4 3 9 4 2" xfId="25665"/>
    <cellStyle name="40% - Accent4 3 9 4 3" xfId="25664"/>
    <cellStyle name="40% - Accent4 3 9 5" xfId="11020"/>
    <cellStyle name="40% - Accent4 3 9 5 2" xfId="25667"/>
    <cellStyle name="40% - Accent4 3 9 5 3" xfId="25666"/>
    <cellStyle name="40% - Accent4 3 9 6" xfId="25668"/>
    <cellStyle name="40% - Accent4 3 9 7" xfId="25653"/>
    <cellStyle name="40% - Accent4 4" xfId="175"/>
    <cellStyle name="40% - Accent4 4 10" xfId="6519"/>
    <cellStyle name="40% - Accent4 4 10 2" xfId="25671"/>
    <cellStyle name="40% - Accent4 4 10 3" xfId="25670"/>
    <cellStyle name="40% - Accent4 4 11" xfId="3392"/>
    <cellStyle name="40% - Accent4 4 11 2" xfId="25673"/>
    <cellStyle name="40% - Accent4 4 11 3" xfId="25672"/>
    <cellStyle name="40% - Accent4 4 12" xfId="9619"/>
    <cellStyle name="40% - Accent4 4 12 2" xfId="25675"/>
    <cellStyle name="40% - Accent4 4 12 3" xfId="25674"/>
    <cellStyle name="40% - Accent4 4 13" xfId="25676"/>
    <cellStyle name="40% - Accent4 4 14" xfId="25669"/>
    <cellStyle name="40% - Accent4 4 2" xfId="251"/>
    <cellStyle name="40% - Accent4 4 2 2" xfId="962"/>
    <cellStyle name="40% - Accent4 4 2 2 2" xfId="2528"/>
    <cellStyle name="40% - Accent4 4 2 2 2 2" xfId="8813"/>
    <cellStyle name="40% - Accent4 4 2 2 2 2 2" xfId="25681"/>
    <cellStyle name="40% - Accent4 4 2 2 2 2 3" xfId="25680"/>
    <cellStyle name="40% - Accent4 4 2 2 2 3" xfId="5686"/>
    <cellStyle name="40% - Accent4 4 2 2 2 3 2" xfId="25683"/>
    <cellStyle name="40% - Accent4 4 2 2 2 3 3" xfId="25682"/>
    <cellStyle name="40% - Accent4 4 2 2 2 4" xfId="11996"/>
    <cellStyle name="40% - Accent4 4 2 2 2 4 2" xfId="25685"/>
    <cellStyle name="40% - Accent4 4 2 2 2 4 3" xfId="25684"/>
    <cellStyle name="40% - Accent4 4 2 2 2 5" xfId="25686"/>
    <cellStyle name="40% - Accent4 4 2 2 2 6" xfId="25679"/>
    <cellStyle name="40% - Accent4 4 2 2 3" xfId="7250"/>
    <cellStyle name="40% - Accent4 4 2 2 3 2" xfId="25688"/>
    <cellStyle name="40% - Accent4 4 2 2 3 3" xfId="25687"/>
    <cellStyle name="40% - Accent4 4 2 2 4" xfId="4123"/>
    <cellStyle name="40% - Accent4 4 2 2 4 2" xfId="25690"/>
    <cellStyle name="40% - Accent4 4 2 2 4 3" xfId="25689"/>
    <cellStyle name="40% - Accent4 4 2 2 5" xfId="10433"/>
    <cellStyle name="40% - Accent4 4 2 2 5 2" xfId="25692"/>
    <cellStyle name="40% - Accent4 4 2 2 5 3" xfId="25691"/>
    <cellStyle name="40% - Accent4 4 2 2 6" xfId="25693"/>
    <cellStyle name="40% - Accent4 4 2 2 7" xfId="25678"/>
    <cellStyle name="40% - Accent4 4 2 3" xfId="1848"/>
    <cellStyle name="40% - Accent4 4 2 3 2" xfId="8133"/>
    <cellStyle name="40% - Accent4 4 2 3 2 2" xfId="25696"/>
    <cellStyle name="40% - Accent4 4 2 3 2 3" xfId="25695"/>
    <cellStyle name="40% - Accent4 4 2 3 3" xfId="5006"/>
    <cellStyle name="40% - Accent4 4 2 3 3 2" xfId="25698"/>
    <cellStyle name="40% - Accent4 4 2 3 3 3" xfId="25697"/>
    <cellStyle name="40% - Accent4 4 2 3 4" xfId="11316"/>
    <cellStyle name="40% - Accent4 4 2 3 4 2" xfId="25700"/>
    <cellStyle name="40% - Accent4 4 2 3 4 3" xfId="25699"/>
    <cellStyle name="40% - Accent4 4 2 3 5" xfId="25701"/>
    <cellStyle name="40% - Accent4 4 2 3 6" xfId="25694"/>
    <cellStyle name="40% - Accent4 4 2 4" xfId="6570"/>
    <cellStyle name="40% - Accent4 4 2 4 2" xfId="25703"/>
    <cellStyle name="40% - Accent4 4 2 4 3" xfId="25702"/>
    <cellStyle name="40% - Accent4 4 2 5" xfId="3443"/>
    <cellStyle name="40% - Accent4 4 2 5 2" xfId="25705"/>
    <cellStyle name="40% - Accent4 4 2 5 3" xfId="25704"/>
    <cellStyle name="40% - Accent4 4 2 6" xfId="9790"/>
    <cellStyle name="40% - Accent4 4 2 6 2" xfId="25707"/>
    <cellStyle name="40% - Accent4 4 2 6 3" xfId="25706"/>
    <cellStyle name="40% - Accent4 4 2 7" xfId="25708"/>
    <cellStyle name="40% - Accent4 4 2 8" xfId="25677"/>
    <cellStyle name="40% - Accent4 4 3" xfId="358"/>
    <cellStyle name="40% - Accent4 4 3 2" xfId="1066"/>
    <cellStyle name="40% - Accent4 4 3 2 2" xfId="2632"/>
    <cellStyle name="40% - Accent4 4 3 2 2 2" xfId="8917"/>
    <cellStyle name="40% - Accent4 4 3 2 2 2 2" xfId="25713"/>
    <cellStyle name="40% - Accent4 4 3 2 2 2 3" xfId="25712"/>
    <cellStyle name="40% - Accent4 4 3 2 2 3" xfId="5790"/>
    <cellStyle name="40% - Accent4 4 3 2 2 3 2" xfId="25715"/>
    <cellStyle name="40% - Accent4 4 3 2 2 3 3" xfId="25714"/>
    <cellStyle name="40% - Accent4 4 3 2 2 4" xfId="12100"/>
    <cellStyle name="40% - Accent4 4 3 2 2 4 2" xfId="25717"/>
    <cellStyle name="40% - Accent4 4 3 2 2 4 3" xfId="25716"/>
    <cellStyle name="40% - Accent4 4 3 2 2 5" xfId="25718"/>
    <cellStyle name="40% - Accent4 4 3 2 2 6" xfId="25711"/>
    <cellStyle name="40% - Accent4 4 3 2 3" xfId="7354"/>
    <cellStyle name="40% - Accent4 4 3 2 3 2" xfId="25720"/>
    <cellStyle name="40% - Accent4 4 3 2 3 3" xfId="25719"/>
    <cellStyle name="40% - Accent4 4 3 2 4" xfId="4227"/>
    <cellStyle name="40% - Accent4 4 3 2 4 2" xfId="25722"/>
    <cellStyle name="40% - Accent4 4 3 2 4 3" xfId="25721"/>
    <cellStyle name="40% - Accent4 4 3 2 5" xfId="10537"/>
    <cellStyle name="40% - Accent4 4 3 2 5 2" xfId="25724"/>
    <cellStyle name="40% - Accent4 4 3 2 5 3" xfId="25723"/>
    <cellStyle name="40% - Accent4 4 3 2 6" xfId="25725"/>
    <cellStyle name="40% - Accent4 4 3 2 7" xfId="25710"/>
    <cellStyle name="40% - Accent4 4 3 3" xfId="1952"/>
    <cellStyle name="40% - Accent4 4 3 3 2" xfId="8237"/>
    <cellStyle name="40% - Accent4 4 3 3 2 2" xfId="25728"/>
    <cellStyle name="40% - Accent4 4 3 3 2 3" xfId="25727"/>
    <cellStyle name="40% - Accent4 4 3 3 3" xfId="5110"/>
    <cellStyle name="40% - Accent4 4 3 3 3 2" xfId="25730"/>
    <cellStyle name="40% - Accent4 4 3 3 3 3" xfId="25729"/>
    <cellStyle name="40% - Accent4 4 3 3 4" xfId="11420"/>
    <cellStyle name="40% - Accent4 4 3 3 4 2" xfId="25732"/>
    <cellStyle name="40% - Accent4 4 3 3 4 3" xfId="25731"/>
    <cellStyle name="40% - Accent4 4 3 3 5" xfId="25733"/>
    <cellStyle name="40% - Accent4 4 3 3 6" xfId="25726"/>
    <cellStyle name="40% - Accent4 4 3 4" xfId="6674"/>
    <cellStyle name="40% - Accent4 4 3 4 2" xfId="25735"/>
    <cellStyle name="40% - Accent4 4 3 4 3" xfId="25734"/>
    <cellStyle name="40% - Accent4 4 3 5" xfId="3547"/>
    <cellStyle name="40% - Accent4 4 3 5 2" xfId="25737"/>
    <cellStyle name="40% - Accent4 4 3 5 3" xfId="25736"/>
    <cellStyle name="40% - Accent4 4 3 6" xfId="9979"/>
    <cellStyle name="40% - Accent4 4 3 6 2" xfId="25739"/>
    <cellStyle name="40% - Accent4 4 3 6 3" xfId="25738"/>
    <cellStyle name="40% - Accent4 4 3 7" xfId="25740"/>
    <cellStyle name="40% - Accent4 4 3 8" xfId="25709"/>
    <cellStyle name="40% - Accent4 4 4" xfId="417"/>
    <cellStyle name="40% - Accent4 4 4 2" xfId="1124"/>
    <cellStyle name="40% - Accent4 4 4 2 2" xfId="2689"/>
    <cellStyle name="40% - Accent4 4 4 2 2 2" xfId="8974"/>
    <cellStyle name="40% - Accent4 4 4 2 2 2 2" xfId="25745"/>
    <cellStyle name="40% - Accent4 4 4 2 2 2 3" xfId="25744"/>
    <cellStyle name="40% - Accent4 4 4 2 2 3" xfId="5847"/>
    <cellStyle name="40% - Accent4 4 4 2 2 3 2" xfId="25747"/>
    <cellStyle name="40% - Accent4 4 4 2 2 3 3" xfId="25746"/>
    <cellStyle name="40% - Accent4 4 4 2 2 4" xfId="12157"/>
    <cellStyle name="40% - Accent4 4 4 2 2 4 2" xfId="25749"/>
    <cellStyle name="40% - Accent4 4 4 2 2 4 3" xfId="25748"/>
    <cellStyle name="40% - Accent4 4 4 2 2 5" xfId="25750"/>
    <cellStyle name="40% - Accent4 4 4 2 2 6" xfId="25743"/>
    <cellStyle name="40% - Accent4 4 4 2 3" xfId="7411"/>
    <cellStyle name="40% - Accent4 4 4 2 3 2" xfId="25752"/>
    <cellStyle name="40% - Accent4 4 4 2 3 3" xfId="25751"/>
    <cellStyle name="40% - Accent4 4 4 2 4" xfId="4284"/>
    <cellStyle name="40% - Accent4 4 4 2 4 2" xfId="25754"/>
    <cellStyle name="40% - Accent4 4 4 2 4 3" xfId="25753"/>
    <cellStyle name="40% - Accent4 4 4 2 5" xfId="10594"/>
    <cellStyle name="40% - Accent4 4 4 2 5 2" xfId="25756"/>
    <cellStyle name="40% - Accent4 4 4 2 5 3" xfId="25755"/>
    <cellStyle name="40% - Accent4 4 4 2 6" xfId="25757"/>
    <cellStyle name="40% - Accent4 4 4 2 7" xfId="25742"/>
    <cellStyle name="40% - Accent4 4 4 3" xfId="2009"/>
    <cellStyle name="40% - Accent4 4 4 3 2" xfId="8294"/>
    <cellStyle name="40% - Accent4 4 4 3 2 2" xfId="25760"/>
    <cellStyle name="40% - Accent4 4 4 3 2 3" xfId="25759"/>
    <cellStyle name="40% - Accent4 4 4 3 3" xfId="5167"/>
    <cellStyle name="40% - Accent4 4 4 3 3 2" xfId="25762"/>
    <cellStyle name="40% - Accent4 4 4 3 3 3" xfId="25761"/>
    <cellStyle name="40% - Accent4 4 4 3 4" xfId="11477"/>
    <cellStyle name="40% - Accent4 4 4 3 4 2" xfId="25764"/>
    <cellStyle name="40% - Accent4 4 4 3 4 3" xfId="25763"/>
    <cellStyle name="40% - Accent4 4 4 3 5" xfId="25765"/>
    <cellStyle name="40% - Accent4 4 4 3 6" xfId="25758"/>
    <cellStyle name="40% - Accent4 4 4 4" xfId="6731"/>
    <cellStyle name="40% - Accent4 4 4 4 2" xfId="25767"/>
    <cellStyle name="40% - Accent4 4 4 4 3" xfId="25766"/>
    <cellStyle name="40% - Accent4 4 4 5" xfId="3604"/>
    <cellStyle name="40% - Accent4 4 4 5 2" xfId="25769"/>
    <cellStyle name="40% - Accent4 4 4 5 3" xfId="25768"/>
    <cellStyle name="40% - Accent4 4 4 6" xfId="10037"/>
    <cellStyle name="40% - Accent4 4 4 6 2" xfId="25771"/>
    <cellStyle name="40% - Accent4 4 4 6 3" xfId="25770"/>
    <cellStyle name="40% - Accent4 4 4 7" xfId="25772"/>
    <cellStyle name="40% - Accent4 4 4 8" xfId="25741"/>
    <cellStyle name="40% - Accent4 4 5" xfId="585"/>
    <cellStyle name="40% - Accent4 4 5 2" xfId="1292"/>
    <cellStyle name="40% - Accent4 4 5 2 2" xfId="2857"/>
    <cellStyle name="40% - Accent4 4 5 2 2 2" xfId="9142"/>
    <cellStyle name="40% - Accent4 4 5 2 2 2 2" xfId="25777"/>
    <cellStyle name="40% - Accent4 4 5 2 2 2 3" xfId="25776"/>
    <cellStyle name="40% - Accent4 4 5 2 2 3" xfId="6015"/>
    <cellStyle name="40% - Accent4 4 5 2 2 3 2" xfId="25779"/>
    <cellStyle name="40% - Accent4 4 5 2 2 3 3" xfId="25778"/>
    <cellStyle name="40% - Accent4 4 5 2 2 4" xfId="12325"/>
    <cellStyle name="40% - Accent4 4 5 2 2 4 2" xfId="25781"/>
    <cellStyle name="40% - Accent4 4 5 2 2 4 3" xfId="25780"/>
    <cellStyle name="40% - Accent4 4 5 2 2 5" xfId="25782"/>
    <cellStyle name="40% - Accent4 4 5 2 2 6" xfId="25775"/>
    <cellStyle name="40% - Accent4 4 5 2 3" xfId="7579"/>
    <cellStyle name="40% - Accent4 4 5 2 3 2" xfId="25784"/>
    <cellStyle name="40% - Accent4 4 5 2 3 3" xfId="25783"/>
    <cellStyle name="40% - Accent4 4 5 2 4" xfId="4452"/>
    <cellStyle name="40% - Accent4 4 5 2 4 2" xfId="25786"/>
    <cellStyle name="40% - Accent4 4 5 2 4 3" xfId="25785"/>
    <cellStyle name="40% - Accent4 4 5 2 5" xfId="10762"/>
    <cellStyle name="40% - Accent4 4 5 2 5 2" xfId="25788"/>
    <cellStyle name="40% - Accent4 4 5 2 5 3" xfId="25787"/>
    <cellStyle name="40% - Accent4 4 5 2 6" xfId="25789"/>
    <cellStyle name="40% - Accent4 4 5 2 7" xfId="25774"/>
    <cellStyle name="40% - Accent4 4 5 3" xfId="2177"/>
    <cellStyle name="40% - Accent4 4 5 3 2" xfId="8462"/>
    <cellStyle name="40% - Accent4 4 5 3 2 2" xfId="25792"/>
    <cellStyle name="40% - Accent4 4 5 3 2 3" xfId="25791"/>
    <cellStyle name="40% - Accent4 4 5 3 3" xfId="5335"/>
    <cellStyle name="40% - Accent4 4 5 3 3 2" xfId="25794"/>
    <cellStyle name="40% - Accent4 4 5 3 3 3" xfId="25793"/>
    <cellStyle name="40% - Accent4 4 5 3 4" xfId="11645"/>
    <cellStyle name="40% - Accent4 4 5 3 4 2" xfId="25796"/>
    <cellStyle name="40% - Accent4 4 5 3 4 3" xfId="25795"/>
    <cellStyle name="40% - Accent4 4 5 3 5" xfId="25797"/>
    <cellStyle name="40% - Accent4 4 5 3 6" xfId="25790"/>
    <cellStyle name="40% - Accent4 4 5 4" xfId="6899"/>
    <cellStyle name="40% - Accent4 4 5 4 2" xfId="25799"/>
    <cellStyle name="40% - Accent4 4 5 4 3" xfId="25798"/>
    <cellStyle name="40% - Accent4 4 5 5" xfId="3772"/>
    <cellStyle name="40% - Accent4 4 5 5 2" xfId="25801"/>
    <cellStyle name="40% - Accent4 4 5 5 3" xfId="25800"/>
    <cellStyle name="40% - Accent4 4 5 6" xfId="10204"/>
    <cellStyle name="40% - Accent4 4 5 6 2" xfId="25803"/>
    <cellStyle name="40% - Accent4 4 5 6 3" xfId="25802"/>
    <cellStyle name="40% - Accent4 4 5 7" xfId="25804"/>
    <cellStyle name="40% - Accent4 4 5 8" xfId="25773"/>
    <cellStyle name="40% - Accent4 4 6" xfId="644"/>
    <cellStyle name="40% - Accent4 4 6 2" xfId="1349"/>
    <cellStyle name="40% - Accent4 4 6 2 2" xfId="2914"/>
    <cellStyle name="40% - Accent4 4 6 2 2 2" xfId="9199"/>
    <cellStyle name="40% - Accent4 4 6 2 2 2 2" xfId="25809"/>
    <cellStyle name="40% - Accent4 4 6 2 2 2 3" xfId="25808"/>
    <cellStyle name="40% - Accent4 4 6 2 2 3" xfId="6072"/>
    <cellStyle name="40% - Accent4 4 6 2 2 3 2" xfId="25811"/>
    <cellStyle name="40% - Accent4 4 6 2 2 3 3" xfId="25810"/>
    <cellStyle name="40% - Accent4 4 6 2 2 4" xfId="12382"/>
    <cellStyle name="40% - Accent4 4 6 2 2 4 2" xfId="25813"/>
    <cellStyle name="40% - Accent4 4 6 2 2 4 3" xfId="25812"/>
    <cellStyle name="40% - Accent4 4 6 2 2 5" xfId="25814"/>
    <cellStyle name="40% - Accent4 4 6 2 2 6" xfId="25807"/>
    <cellStyle name="40% - Accent4 4 6 2 3" xfId="7636"/>
    <cellStyle name="40% - Accent4 4 6 2 3 2" xfId="25816"/>
    <cellStyle name="40% - Accent4 4 6 2 3 3" xfId="25815"/>
    <cellStyle name="40% - Accent4 4 6 2 4" xfId="4509"/>
    <cellStyle name="40% - Accent4 4 6 2 4 2" xfId="25818"/>
    <cellStyle name="40% - Accent4 4 6 2 4 3" xfId="25817"/>
    <cellStyle name="40% - Accent4 4 6 2 5" xfId="10819"/>
    <cellStyle name="40% - Accent4 4 6 2 5 2" xfId="25820"/>
    <cellStyle name="40% - Accent4 4 6 2 5 3" xfId="25819"/>
    <cellStyle name="40% - Accent4 4 6 2 6" xfId="25821"/>
    <cellStyle name="40% - Accent4 4 6 2 7" xfId="25806"/>
    <cellStyle name="40% - Accent4 4 6 3" xfId="2234"/>
    <cellStyle name="40% - Accent4 4 6 3 2" xfId="8519"/>
    <cellStyle name="40% - Accent4 4 6 3 2 2" xfId="25824"/>
    <cellStyle name="40% - Accent4 4 6 3 2 3" xfId="25823"/>
    <cellStyle name="40% - Accent4 4 6 3 3" xfId="5392"/>
    <cellStyle name="40% - Accent4 4 6 3 3 2" xfId="25826"/>
    <cellStyle name="40% - Accent4 4 6 3 3 3" xfId="25825"/>
    <cellStyle name="40% - Accent4 4 6 3 4" xfId="11702"/>
    <cellStyle name="40% - Accent4 4 6 3 4 2" xfId="25828"/>
    <cellStyle name="40% - Accent4 4 6 3 4 3" xfId="25827"/>
    <cellStyle name="40% - Accent4 4 6 3 5" xfId="25829"/>
    <cellStyle name="40% - Accent4 4 6 3 6" xfId="25822"/>
    <cellStyle name="40% - Accent4 4 6 4" xfId="6956"/>
    <cellStyle name="40% - Accent4 4 6 4 2" xfId="25831"/>
    <cellStyle name="40% - Accent4 4 6 4 3" xfId="25830"/>
    <cellStyle name="40% - Accent4 4 6 5" xfId="3829"/>
    <cellStyle name="40% - Accent4 4 6 5 2" xfId="25833"/>
    <cellStyle name="40% - Accent4 4 6 5 3" xfId="25832"/>
    <cellStyle name="40% - Accent4 4 6 6" xfId="10262"/>
    <cellStyle name="40% - Accent4 4 6 6 2" xfId="25835"/>
    <cellStyle name="40% - Accent4 4 6 6 3" xfId="25834"/>
    <cellStyle name="40% - Accent4 4 6 7" xfId="25836"/>
    <cellStyle name="40% - Accent4 4 6 8" xfId="25805"/>
    <cellStyle name="40% - Accent4 4 7" xfId="911"/>
    <cellStyle name="40% - Accent4 4 7 2" xfId="2477"/>
    <cellStyle name="40% - Accent4 4 7 2 2" xfId="8762"/>
    <cellStyle name="40% - Accent4 4 7 2 2 2" xfId="25840"/>
    <cellStyle name="40% - Accent4 4 7 2 2 3" xfId="25839"/>
    <cellStyle name="40% - Accent4 4 7 2 3" xfId="5635"/>
    <cellStyle name="40% - Accent4 4 7 2 3 2" xfId="25842"/>
    <cellStyle name="40% - Accent4 4 7 2 3 3" xfId="25841"/>
    <cellStyle name="40% - Accent4 4 7 2 4" xfId="11945"/>
    <cellStyle name="40% - Accent4 4 7 2 4 2" xfId="25844"/>
    <cellStyle name="40% - Accent4 4 7 2 4 3" xfId="25843"/>
    <cellStyle name="40% - Accent4 4 7 2 5" xfId="25845"/>
    <cellStyle name="40% - Accent4 4 7 2 6" xfId="25838"/>
    <cellStyle name="40% - Accent4 4 7 3" xfId="7199"/>
    <cellStyle name="40% - Accent4 4 7 3 2" xfId="25847"/>
    <cellStyle name="40% - Accent4 4 7 3 3" xfId="25846"/>
    <cellStyle name="40% - Accent4 4 7 4" xfId="4072"/>
    <cellStyle name="40% - Accent4 4 7 4 2" xfId="25849"/>
    <cellStyle name="40% - Accent4 4 7 4 3" xfId="25848"/>
    <cellStyle name="40% - Accent4 4 7 5" xfId="10382"/>
    <cellStyle name="40% - Accent4 4 7 5 2" xfId="25851"/>
    <cellStyle name="40% - Accent4 4 7 5 3" xfId="25850"/>
    <cellStyle name="40% - Accent4 4 7 6" xfId="25852"/>
    <cellStyle name="40% - Accent4 4 7 7" xfId="25837"/>
    <cellStyle name="40% - Accent4 4 8" xfId="1551"/>
    <cellStyle name="40% - Accent4 4 8 2" xfId="3116"/>
    <cellStyle name="40% - Accent4 4 8 2 2" xfId="9401"/>
    <cellStyle name="40% - Accent4 4 8 2 2 2" xfId="25856"/>
    <cellStyle name="40% - Accent4 4 8 2 2 3" xfId="25855"/>
    <cellStyle name="40% - Accent4 4 8 2 3" xfId="6274"/>
    <cellStyle name="40% - Accent4 4 8 2 3 2" xfId="25858"/>
    <cellStyle name="40% - Accent4 4 8 2 3 3" xfId="25857"/>
    <cellStyle name="40% - Accent4 4 8 2 4" xfId="12584"/>
    <cellStyle name="40% - Accent4 4 8 2 4 2" xfId="25860"/>
    <cellStyle name="40% - Accent4 4 8 2 4 3" xfId="25859"/>
    <cellStyle name="40% - Accent4 4 8 2 5" xfId="25861"/>
    <cellStyle name="40% - Accent4 4 8 2 6" xfId="25854"/>
    <cellStyle name="40% - Accent4 4 8 3" xfId="7838"/>
    <cellStyle name="40% - Accent4 4 8 3 2" xfId="25863"/>
    <cellStyle name="40% - Accent4 4 8 3 3" xfId="25862"/>
    <cellStyle name="40% - Accent4 4 8 4" xfId="4711"/>
    <cellStyle name="40% - Accent4 4 8 4 2" xfId="25865"/>
    <cellStyle name="40% - Accent4 4 8 4 3" xfId="25864"/>
    <cellStyle name="40% - Accent4 4 8 5" xfId="11021"/>
    <cellStyle name="40% - Accent4 4 8 5 2" xfId="25867"/>
    <cellStyle name="40% - Accent4 4 8 5 3" xfId="25866"/>
    <cellStyle name="40% - Accent4 4 8 6" xfId="25868"/>
    <cellStyle name="40% - Accent4 4 8 7" xfId="25853"/>
    <cellStyle name="40% - Accent4 4 9" xfId="1797"/>
    <cellStyle name="40% - Accent4 4 9 2" xfId="8082"/>
    <cellStyle name="40% - Accent4 4 9 2 2" xfId="25871"/>
    <cellStyle name="40% - Accent4 4 9 2 3" xfId="25870"/>
    <cellStyle name="40% - Accent4 4 9 3" xfId="4955"/>
    <cellStyle name="40% - Accent4 4 9 3 2" xfId="25873"/>
    <cellStyle name="40% - Accent4 4 9 3 3" xfId="25872"/>
    <cellStyle name="40% - Accent4 4 9 4" xfId="11265"/>
    <cellStyle name="40% - Accent4 4 9 4 2" xfId="25875"/>
    <cellStyle name="40% - Accent4 4 9 4 3" xfId="25874"/>
    <cellStyle name="40% - Accent4 4 9 5" xfId="25876"/>
    <cellStyle name="40% - Accent4 4 9 6" xfId="25869"/>
    <cellStyle name="40% - Accent4 5" xfId="268"/>
    <cellStyle name="40% - Accent4 5 2" xfId="979"/>
    <cellStyle name="40% - Accent4 5 2 2" xfId="2545"/>
    <cellStyle name="40% - Accent4 5 2 2 2" xfId="8830"/>
    <cellStyle name="40% - Accent4 5 2 2 2 2" xfId="25881"/>
    <cellStyle name="40% - Accent4 5 2 2 2 3" xfId="25880"/>
    <cellStyle name="40% - Accent4 5 2 2 3" xfId="5703"/>
    <cellStyle name="40% - Accent4 5 2 2 3 2" xfId="25883"/>
    <cellStyle name="40% - Accent4 5 2 2 3 3" xfId="25882"/>
    <cellStyle name="40% - Accent4 5 2 2 4" xfId="12013"/>
    <cellStyle name="40% - Accent4 5 2 2 4 2" xfId="25885"/>
    <cellStyle name="40% - Accent4 5 2 2 4 3" xfId="25884"/>
    <cellStyle name="40% - Accent4 5 2 2 5" xfId="25886"/>
    <cellStyle name="40% - Accent4 5 2 2 6" xfId="25879"/>
    <cellStyle name="40% - Accent4 5 2 3" xfId="7267"/>
    <cellStyle name="40% - Accent4 5 2 3 2" xfId="25888"/>
    <cellStyle name="40% - Accent4 5 2 3 3" xfId="25887"/>
    <cellStyle name="40% - Accent4 5 2 4" xfId="4140"/>
    <cellStyle name="40% - Accent4 5 2 4 2" xfId="25890"/>
    <cellStyle name="40% - Accent4 5 2 4 3" xfId="25889"/>
    <cellStyle name="40% - Accent4 5 2 5" xfId="10450"/>
    <cellStyle name="40% - Accent4 5 2 5 2" xfId="25892"/>
    <cellStyle name="40% - Accent4 5 2 5 3" xfId="25891"/>
    <cellStyle name="40% - Accent4 5 2 6" xfId="25893"/>
    <cellStyle name="40% - Accent4 5 2 7" xfId="25878"/>
    <cellStyle name="40% - Accent4 5 3" xfId="1865"/>
    <cellStyle name="40% - Accent4 5 3 2" xfId="8150"/>
    <cellStyle name="40% - Accent4 5 3 2 2" xfId="25896"/>
    <cellStyle name="40% - Accent4 5 3 2 3" xfId="25895"/>
    <cellStyle name="40% - Accent4 5 3 3" xfId="5023"/>
    <cellStyle name="40% - Accent4 5 3 3 2" xfId="25898"/>
    <cellStyle name="40% - Accent4 5 3 3 3" xfId="25897"/>
    <cellStyle name="40% - Accent4 5 3 4" xfId="11333"/>
    <cellStyle name="40% - Accent4 5 3 4 2" xfId="25900"/>
    <cellStyle name="40% - Accent4 5 3 4 3" xfId="25899"/>
    <cellStyle name="40% - Accent4 5 3 5" xfId="25901"/>
    <cellStyle name="40% - Accent4 5 3 6" xfId="25894"/>
    <cellStyle name="40% - Accent4 5 4" xfId="6587"/>
    <cellStyle name="40% - Accent4 5 4 2" xfId="25903"/>
    <cellStyle name="40% - Accent4 5 4 3" xfId="25902"/>
    <cellStyle name="40% - Accent4 5 5" xfId="3460"/>
    <cellStyle name="40% - Accent4 5 5 2" xfId="25905"/>
    <cellStyle name="40% - Accent4 5 5 3" xfId="25904"/>
    <cellStyle name="40% - Accent4 5 6" xfId="9873"/>
    <cellStyle name="40% - Accent4 5 6 2" xfId="25907"/>
    <cellStyle name="40% - Accent4 5 6 3" xfId="25906"/>
    <cellStyle name="40% - Accent4 5 7" xfId="25908"/>
    <cellStyle name="40% - Accent4 5 8" xfId="25877"/>
    <cellStyle name="40% - Accent4 6" xfId="375"/>
    <cellStyle name="40% - Accent4 6 2" xfId="1083"/>
    <cellStyle name="40% - Accent4 6 2 2" xfId="2649"/>
    <cellStyle name="40% - Accent4 6 2 2 2" xfId="8934"/>
    <cellStyle name="40% - Accent4 6 2 2 2 2" xfId="25913"/>
    <cellStyle name="40% - Accent4 6 2 2 2 3" xfId="25912"/>
    <cellStyle name="40% - Accent4 6 2 2 3" xfId="5807"/>
    <cellStyle name="40% - Accent4 6 2 2 3 2" xfId="25915"/>
    <cellStyle name="40% - Accent4 6 2 2 3 3" xfId="25914"/>
    <cellStyle name="40% - Accent4 6 2 2 4" xfId="12117"/>
    <cellStyle name="40% - Accent4 6 2 2 4 2" xfId="25917"/>
    <cellStyle name="40% - Accent4 6 2 2 4 3" xfId="25916"/>
    <cellStyle name="40% - Accent4 6 2 2 5" xfId="25918"/>
    <cellStyle name="40% - Accent4 6 2 2 6" xfId="25911"/>
    <cellStyle name="40% - Accent4 6 2 3" xfId="7371"/>
    <cellStyle name="40% - Accent4 6 2 3 2" xfId="25920"/>
    <cellStyle name="40% - Accent4 6 2 3 3" xfId="25919"/>
    <cellStyle name="40% - Accent4 6 2 4" xfId="4244"/>
    <cellStyle name="40% - Accent4 6 2 4 2" xfId="25922"/>
    <cellStyle name="40% - Accent4 6 2 4 3" xfId="25921"/>
    <cellStyle name="40% - Accent4 6 2 5" xfId="10554"/>
    <cellStyle name="40% - Accent4 6 2 5 2" xfId="25924"/>
    <cellStyle name="40% - Accent4 6 2 5 3" xfId="25923"/>
    <cellStyle name="40% - Accent4 6 2 6" xfId="25925"/>
    <cellStyle name="40% - Accent4 6 2 7" xfId="25910"/>
    <cellStyle name="40% - Accent4 6 3" xfId="1969"/>
    <cellStyle name="40% - Accent4 6 3 2" xfId="8254"/>
    <cellStyle name="40% - Accent4 6 3 2 2" xfId="25928"/>
    <cellStyle name="40% - Accent4 6 3 2 3" xfId="25927"/>
    <cellStyle name="40% - Accent4 6 3 3" xfId="5127"/>
    <cellStyle name="40% - Accent4 6 3 3 2" xfId="25930"/>
    <cellStyle name="40% - Accent4 6 3 3 3" xfId="25929"/>
    <cellStyle name="40% - Accent4 6 3 4" xfId="11437"/>
    <cellStyle name="40% - Accent4 6 3 4 2" xfId="25932"/>
    <cellStyle name="40% - Accent4 6 3 4 3" xfId="25931"/>
    <cellStyle name="40% - Accent4 6 3 5" xfId="25933"/>
    <cellStyle name="40% - Accent4 6 3 6" xfId="25926"/>
    <cellStyle name="40% - Accent4 6 4" xfId="6691"/>
    <cellStyle name="40% - Accent4 6 4 2" xfId="25935"/>
    <cellStyle name="40% - Accent4 6 4 3" xfId="25934"/>
    <cellStyle name="40% - Accent4 6 5" xfId="3564"/>
    <cellStyle name="40% - Accent4 6 5 2" xfId="25937"/>
    <cellStyle name="40% - Accent4 6 5 3" xfId="25936"/>
    <cellStyle name="40% - Accent4 6 6" xfId="9996"/>
    <cellStyle name="40% - Accent4 6 6 2" xfId="25939"/>
    <cellStyle name="40% - Accent4 6 6 3" xfId="25938"/>
    <cellStyle name="40% - Accent4 6 7" xfId="25940"/>
    <cellStyle name="40% - Accent4 6 8" xfId="25909"/>
    <cellStyle name="40% - Accent4 7" xfId="410"/>
    <cellStyle name="40% - Accent4 7 2" xfId="1117"/>
    <cellStyle name="40% - Accent4 7 2 2" xfId="2682"/>
    <cellStyle name="40% - Accent4 7 2 2 2" xfId="8967"/>
    <cellStyle name="40% - Accent4 7 2 2 2 2" xfId="25945"/>
    <cellStyle name="40% - Accent4 7 2 2 2 3" xfId="25944"/>
    <cellStyle name="40% - Accent4 7 2 2 3" xfId="5840"/>
    <cellStyle name="40% - Accent4 7 2 2 3 2" xfId="25947"/>
    <cellStyle name="40% - Accent4 7 2 2 3 3" xfId="25946"/>
    <cellStyle name="40% - Accent4 7 2 2 4" xfId="12150"/>
    <cellStyle name="40% - Accent4 7 2 2 4 2" xfId="25949"/>
    <cellStyle name="40% - Accent4 7 2 2 4 3" xfId="25948"/>
    <cellStyle name="40% - Accent4 7 2 2 5" xfId="25950"/>
    <cellStyle name="40% - Accent4 7 2 2 6" xfId="25943"/>
    <cellStyle name="40% - Accent4 7 2 3" xfId="7404"/>
    <cellStyle name="40% - Accent4 7 2 3 2" xfId="25952"/>
    <cellStyle name="40% - Accent4 7 2 3 3" xfId="25951"/>
    <cellStyle name="40% - Accent4 7 2 4" xfId="4277"/>
    <cellStyle name="40% - Accent4 7 2 4 2" xfId="25954"/>
    <cellStyle name="40% - Accent4 7 2 4 3" xfId="25953"/>
    <cellStyle name="40% - Accent4 7 2 5" xfId="10587"/>
    <cellStyle name="40% - Accent4 7 2 5 2" xfId="25956"/>
    <cellStyle name="40% - Accent4 7 2 5 3" xfId="25955"/>
    <cellStyle name="40% - Accent4 7 2 6" xfId="25957"/>
    <cellStyle name="40% - Accent4 7 2 7" xfId="25942"/>
    <cellStyle name="40% - Accent4 7 3" xfId="2002"/>
    <cellStyle name="40% - Accent4 7 3 2" xfId="8287"/>
    <cellStyle name="40% - Accent4 7 3 2 2" xfId="25960"/>
    <cellStyle name="40% - Accent4 7 3 2 3" xfId="25959"/>
    <cellStyle name="40% - Accent4 7 3 3" xfId="5160"/>
    <cellStyle name="40% - Accent4 7 3 3 2" xfId="25962"/>
    <cellStyle name="40% - Accent4 7 3 3 3" xfId="25961"/>
    <cellStyle name="40% - Accent4 7 3 4" xfId="11470"/>
    <cellStyle name="40% - Accent4 7 3 4 2" xfId="25964"/>
    <cellStyle name="40% - Accent4 7 3 4 3" xfId="25963"/>
    <cellStyle name="40% - Accent4 7 3 5" xfId="25965"/>
    <cellStyle name="40% - Accent4 7 3 6" xfId="25958"/>
    <cellStyle name="40% - Accent4 7 4" xfId="6724"/>
    <cellStyle name="40% - Accent4 7 4 2" xfId="25967"/>
    <cellStyle name="40% - Accent4 7 4 3" xfId="25966"/>
    <cellStyle name="40% - Accent4 7 5" xfId="3597"/>
    <cellStyle name="40% - Accent4 7 5 2" xfId="25969"/>
    <cellStyle name="40% - Accent4 7 5 3" xfId="25968"/>
    <cellStyle name="40% - Accent4 7 6" xfId="10030"/>
    <cellStyle name="40% - Accent4 7 6 2" xfId="25971"/>
    <cellStyle name="40% - Accent4 7 6 3" xfId="25970"/>
    <cellStyle name="40% - Accent4 7 7" xfId="25972"/>
    <cellStyle name="40% - Accent4 7 8" xfId="25941"/>
    <cellStyle name="40% - Accent4 8" xfId="450"/>
    <cellStyle name="40% - Accent4 8 2" xfId="1157"/>
    <cellStyle name="40% - Accent4 8 2 2" xfId="2722"/>
    <cellStyle name="40% - Accent4 8 2 2 2" xfId="9007"/>
    <cellStyle name="40% - Accent4 8 2 2 2 2" xfId="25977"/>
    <cellStyle name="40% - Accent4 8 2 2 2 3" xfId="25976"/>
    <cellStyle name="40% - Accent4 8 2 2 3" xfId="5880"/>
    <cellStyle name="40% - Accent4 8 2 2 3 2" xfId="25979"/>
    <cellStyle name="40% - Accent4 8 2 2 3 3" xfId="25978"/>
    <cellStyle name="40% - Accent4 8 2 2 4" xfId="12190"/>
    <cellStyle name="40% - Accent4 8 2 2 4 2" xfId="25981"/>
    <cellStyle name="40% - Accent4 8 2 2 4 3" xfId="25980"/>
    <cellStyle name="40% - Accent4 8 2 2 5" xfId="25982"/>
    <cellStyle name="40% - Accent4 8 2 2 6" xfId="25975"/>
    <cellStyle name="40% - Accent4 8 2 3" xfId="7444"/>
    <cellStyle name="40% - Accent4 8 2 3 2" xfId="25984"/>
    <cellStyle name="40% - Accent4 8 2 3 3" xfId="25983"/>
    <cellStyle name="40% - Accent4 8 2 4" xfId="4317"/>
    <cellStyle name="40% - Accent4 8 2 4 2" xfId="25986"/>
    <cellStyle name="40% - Accent4 8 2 4 3" xfId="25985"/>
    <cellStyle name="40% - Accent4 8 2 5" xfId="10627"/>
    <cellStyle name="40% - Accent4 8 2 5 2" xfId="25988"/>
    <cellStyle name="40% - Accent4 8 2 5 3" xfId="25987"/>
    <cellStyle name="40% - Accent4 8 2 6" xfId="25989"/>
    <cellStyle name="40% - Accent4 8 2 7" xfId="25974"/>
    <cellStyle name="40% - Accent4 8 3" xfId="2042"/>
    <cellStyle name="40% - Accent4 8 3 2" xfId="8327"/>
    <cellStyle name="40% - Accent4 8 3 2 2" xfId="25992"/>
    <cellStyle name="40% - Accent4 8 3 2 3" xfId="25991"/>
    <cellStyle name="40% - Accent4 8 3 3" xfId="5200"/>
    <cellStyle name="40% - Accent4 8 3 3 2" xfId="25994"/>
    <cellStyle name="40% - Accent4 8 3 3 3" xfId="25993"/>
    <cellStyle name="40% - Accent4 8 3 4" xfId="11510"/>
    <cellStyle name="40% - Accent4 8 3 4 2" xfId="25996"/>
    <cellStyle name="40% - Accent4 8 3 4 3" xfId="25995"/>
    <cellStyle name="40% - Accent4 8 3 5" xfId="25997"/>
    <cellStyle name="40% - Accent4 8 3 6" xfId="25990"/>
    <cellStyle name="40% - Accent4 8 4" xfId="6764"/>
    <cellStyle name="40% - Accent4 8 4 2" xfId="25999"/>
    <cellStyle name="40% - Accent4 8 4 3" xfId="25998"/>
    <cellStyle name="40% - Accent4 8 5" xfId="3637"/>
    <cellStyle name="40% - Accent4 8 5 2" xfId="26001"/>
    <cellStyle name="40% - Accent4 8 5 3" xfId="26000"/>
    <cellStyle name="40% - Accent4 8 6" xfId="10069"/>
    <cellStyle name="40% - Accent4 8 6 2" xfId="26003"/>
    <cellStyle name="40% - Accent4 8 6 3" xfId="26002"/>
    <cellStyle name="40% - Accent4 8 7" xfId="26004"/>
    <cellStyle name="40% - Accent4 8 8" xfId="25973"/>
    <cellStyle name="40% - Accent4 9" xfId="464"/>
    <cellStyle name="40% - Accent4 9 2" xfId="1171"/>
    <cellStyle name="40% - Accent4 9 2 2" xfId="2736"/>
    <cellStyle name="40% - Accent4 9 2 2 2" xfId="9021"/>
    <cellStyle name="40% - Accent4 9 2 2 2 2" xfId="26009"/>
    <cellStyle name="40% - Accent4 9 2 2 2 3" xfId="26008"/>
    <cellStyle name="40% - Accent4 9 2 2 3" xfId="5894"/>
    <cellStyle name="40% - Accent4 9 2 2 3 2" xfId="26011"/>
    <cellStyle name="40% - Accent4 9 2 2 3 3" xfId="26010"/>
    <cellStyle name="40% - Accent4 9 2 2 4" xfId="12204"/>
    <cellStyle name="40% - Accent4 9 2 2 4 2" xfId="26013"/>
    <cellStyle name="40% - Accent4 9 2 2 4 3" xfId="26012"/>
    <cellStyle name="40% - Accent4 9 2 2 5" xfId="26014"/>
    <cellStyle name="40% - Accent4 9 2 2 6" xfId="26007"/>
    <cellStyle name="40% - Accent4 9 2 3" xfId="7458"/>
    <cellStyle name="40% - Accent4 9 2 3 2" xfId="26016"/>
    <cellStyle name="40% - Accent4 9 2 3 3" xfId="26015"/>
    <cellStyle name="40% - Accent4 9 2 4" xfId="4331"/>
    <cellStyle name="40% - Accent4 9 2 4 2" xfId="26018"/>
    <cellStyle name="40% - Accent4 9 2 4 3" xfId="26017"/>
    <cellStyle name="40% - Accent4 9 2 5" xfId="10641"/>
    <cellStyle name="40% - Accent4 9 2 5 2" xfId="26020"/>
    <cellStyle name="40% - Accent4 9 2 5 3" xfId="26019"/>
    <cellStyle name="40% - Accent4 9 2 6" xfId="26021"/>
    <cellStyle name="40% - Accent4 9 2 7" xfId="26006"/>
    <cellStyle name="40% - Accent4 9 3" xfId="2056"/>
    <cellStyle name="40% - Accent4 9 3 2" xfId="8341"/>
    <cellStyle name="40% - Accent4 9 3 2 2" xfId="26024"/>
    <cellStyle name="40% - Accent4 9 3 2 3" xfId="26023"/>
    <cellStyle name="40% - Accent4 9 3 3" xfId="5214"/>
    <cellStyle name="40% - Accent4 9 3 3 2" xfId="26026"/>
    <cellStyle name="40% - Accent4 9 3 3 3" xfId="26025"/>
    <cellStyle name="40% - Accent4 9 3 4" xfId="11524"/>
    <cellStyle name="40% - Accent4 9 3 4 2" xfId="26028"/>
    <cellStyle name="40% - Accent4 9 3 4 3" xfId="26027"/>
    <cellStyle name="40% - Accent4 9 3 5" xfId="26029"/>
    <cellStyle name="40% - Accent4 9 3 6" xfId="26022"/>
    <cellStyle name="40% - Accent4 9 4" xfId="6778"/>
    <cellStyle name="40% - Accent4 9 4 2" xfId="26031"/>
    <cellStyle name="40% - Accent4 9 4 3" xfId="26030"/>
    <cellStyle name="40% - Accent4 9 5" xfId="3651"/>
    <cellStyle name="40% - Accent4 9 5 2" xfId="26033"/>
    <cellStyle name="40% - Accent4 9 5 3" xfId="26032"/>
    <cellStyle name="40% - Accent4 9 6" xfId="10083"/>
    <cellStyle name="40% - Accent4 9 6 2" xfId="26035"/>
    <cellStyle name="40% - Accent4 9 6 3" xfId="26034"/>
    <cellStyle name="40% - Accent4 9 7" xfId="26036"/>
    <cellStyle name="40% - Accent4 9 8" xfId="26005"/>
    <cellStyle name="40% - Accent5" xfId="45" builtinId="47" customBuiltin="1"/>
    <cellStyle name="40% - Accent5 10" xfId="481"/>
    <cellStyle name="40% - Accent5 10 2" xfId="1188"/>
    <cellStyle name="40% - Accent5 10 2 2" xfId="2753"/>
    <cellStyle name="40% - Accent5 10 2 2 2" xfId="9038"/>
    <cellStyle name="40% - Accent5 10 2 2 2 2" xfId="26042"/>
    <cellStyle name="40% - Accent5 10 2 2 2 3" xfId="26041"/>
    <cellStyle name="40% - Accent5 10 2 2 3" xfId="5911"/>
    <cellStyle name="40% - Accent5 10 2 2 3 2" xfId="26044"/>
    <cellStyle name="40% - Accent5 10 2 2 3 3" xfId="26043"/>
    <cellStyle name="40% - Accent5 10 2 2 4" xfId="12221"/>
    <cellStyle name="40% - Accent5 10 2 2 4 2" xfId="26046"/>
    <cellStyle name="40% - Accent5 10 2 2 4 3" xfId="26045"/>
    <cellStyle name="40% - Accent5 10 2 2 5" xfId="26047"/>
    <cellStyle name="40% - Accent5 10 2 2 6" xfId="26040"/>
    <cellStyle name="40% - Accent5 10 2 3" xfId="7475"/>
    <cellStyle name="40% - Accent5 10 2 3 2" xfId="26049"/>
    <cellStyle name="40% - Accent5 10 2 3 3" xfId="26048"/>
    <cellStyle name="40% - Accent5 10 2 4" xfId="4348"/>
    <cellStyle name="40% - Accent5 10 2 4 2" xfId="26051"/>
    <cellStyle name="40% - Accent5 10 2 4 3" xfId="26050"/>
    <cellStyle name="40% - Accent5 10 2 5" xfId="10658"/>
    <cellStyle name="40% - Accent5 10 2 5 2" xfId="26053"/>
    <cellStyle name="40% - Accent5 10 2 5 3" xfId="26052"/>
    <cellStyle name="40% - Accent5 10 2 6" xfId="26054"/>
    <cellStyle name="40% - Accent5 10 2 7" xfId="26039"/>
    <cellStyle name="40% - Accent5 10 3" xfId="2073"/>
    <cellStyle name="40% - Accent5 10 3 2" xfId="8358"/>
    <cellStyle name="40% - Accent5 10 3 2 2" xfId="26057"/>
    <cellStyle name="40% - Accent5 10 3 2 3" xfId="26056"/>
    <cellStyle name="40% - Accent5 10 3 3" xfId="5231"/>
    <cellStyle name="40% - Accent5 10 3 3 2" xfId="26059"/>
    <cellStyle name="40% - Accent5 10 3 3 3" xfId="26058"/>
    <cellStyle name="40% - Accent5 10 3 4" xfId="11541"/>
    <cellStyle name="40% - Accent5 10 3 4 2" xfId="26061"/>
    <cellStyle name="40% - Accent5 10 3 4 3" xfId="26060"/>
    <cellStyle name="40% - Accent5 10 3 5" xfId="26062"/>
    <cellStyle name="40% - Accent5 10 3 6" xfId="26055"/>
    <cellStyle name="40% - Accent5 10 4" xfId="6795"/>
    <cellStyle name="40% - Accent5 10 4 2" xfId="26064"/>
    <cellStyle name="40% - Accent5 10 4 3" xfId="26063"/>
    <cellStyle name="40% - Accent5 10 5" xfId="3668"/>
    <cellStyle name="40% - Accent5 10 5 2" xfId="26066"/>
    <cellStyle name="40% - Accent5 10 5 3" xfId="26065"/>
    <cellStyle name="40% - Accent5 10 6" xfId="10100"/>
    <cellStyle name="40% - Accent5 10 6 2" xfId="26068"/>
    <cellStyle name="40% - Accent5 10 6 3" xfId="26067"/>
    <cellStyle name="40% - Accent5 10 7" xfId="26069"/>
    <cellStyle name="40% - Accent5 10 8" xfId="26038"/>
    <cellStyle name="40% - Accent5 11" xfId="496"/>
    <cellStyle name="40% - Accent5 11 2" xfId="1203"/>
    <cellStyle name="40% - Accent5 11 2 2" xfId="2768"/>
    <cellStyle name="40% - Accent5 11 2 2 2" xfId="9053"/>
    <cellStyle name="40% - Accent5 11 2 2 2 2" xfId="26074"/>
    <cellStyle name="40% - Accent5 11 2 2 2 3" xfId="26073"/>
    <cellStyle name="40% - Accent5 11 2 2 3" xfId="5926"/>
    <cellStyle name="40% - Accent5 11 2 2 3 2" xfId="26076"/>
    <cellStyle name="40% - Accent5 11 2 2 3 3" xfId="26075"/>
    <cellStyle name="40% - Accent5 11 2 2 4" xfId="12236"/>
    <cellStyle name="40% - Accent5 11 2 2 4 2" xfId="26078"/>
    <cellStyle name="40% - Accent5 11 2 2 4 3" xfId="26077"/>
    <cellStyle name="40% - Accent5 11 2 2 5" xfId="26079"/>
    <cellStyle name="40% - Accent5 11 2 2 6" xfId="26072"/>
    <cellStyle name="40% - Accent5 11 2 3" xfId="7490"/>
    <cellStyle name="40% - Accent5 11 2 3 2" xfId="26081"/>
    <cellStyle name="40% - Accent5 11 2 3 3" xfId="26080"/>
    <cellStyle name="40% - Accent5 11 2 4" xfId="4363"/>
    <cellStyle name="40% - Accent5 11 2 4 2" xfId="26083"/>
    <cellStyle name="40% - Accent5 11 2 4 3" xfId="26082"/>
    <cellStyle name="40% - Accent5 11 2 5" xfId="10673"/>
    <cellStyle name="40% - Accent5 11 2 5 2" xfId="26085"/>
    <cellStyle name="40% - Accent5 11 2 5 3" xfId="26084"/>
    <cellStyle name="40% - Accent5 11 2 6" xfId="26086"/>
    <cellStyle name="40% - Accent5 11 2 7" xfId="26071"/>
    <cellStyle name="40% - Accent5 11 3" xfId="2088"/>
    <cellStyle name="40% - Accent5 11 3 2" xfId="8373"/>
    <cellStyle name="40% - Accent5 11 3 2 2" xfId="26089"/>
    <cellStyle name="40% - Accent5 11 3 2 3" xfId="26088"/>
    <cellStyle name="40% - Accent5 11 3 3" xfId="5246"/>
    <cellStyle name="40% - Accent5 11 3 3 2" xfId="26091"/>
    <cellStyle name="40% - Accent5 11 3 3 3" xfId="26090"/>
    <cellStyle name="40% - Accent5 11 3 4" xfId="11556"/>
    <cellStyle name="40% - Accent5 11 3 4 2" xfId="26093"/>
    <cellStyle name="40% - Accent5 11 3 4 3" xfId="26092"/>
    <cellStyle name="40% - Accent5 11 3 5" xfId="26094"/>
    <cellStyle name="40% - Accent5 11 3 6" xfId="26087"/>
    <cellStyle name="40% - Accent5 11 4" xfId="6810"/>
    <cellStyle name="40% - Accent5 11 4 2" xfId="26096"/>
    <cellStyle name="40% - Accent5 11 4 3" xfId="26095"/>
    <cellStyle name="40% - Accent5 11 5" xfId="3683"/>
    <cellStyle name="40% - Accent5 11 5 2" xfId="26098"/>
    <cellStyle name="40% - Accent5 11 5 3" xfId="26097"/>
    <cellStyle name="40% - Accent5 11 6" xfId="10115"/>
    <cellStyle name="40% - Accent5 11 6 2" xfId="26100"/>
    <cellStyle name="40% - Accent5 11 6 3" xfId="26099"/>
    <cellStyle name="40% - Accent5 11 7" xfId="26101"/>
    <cellStyle name="40% - Accent5 11 8" xfId="26070"/>
    <cellStyle name="40% - Accent5 12" xfId="509"/>
    <cellStyle name="40% - Accent5 12 2" xfId="1216"/>
    <cellStyle name="40% - Accent5 12 2 2" xfId="2781"/>
    <cellStyle name="40% - Accent5 12 2 2 2" xfId="9066"/>
    <cellStyle name="40% - Accent5 12 2 2 2 2" xfId="26106"/>
    <cellStyle name="40% - Accent5 12 2 2 2 3" xfId="26105"/>
    <cellStyle name="40% - Accent5 12 2 2 3" xfId="5939"/>
    <cellStyle name="40% - Accent5 12 2 2 3 2" xfId="26108"/>
    <cellStyle name="40% - Accent5 12 2 2 3 3" xfId="26107"/>
    <cellStyle name="40% - Accent5 12 2 2 4" xfId="12249"/>
    <cellStyle name="40% - Accent5 12 2 2 4 2" xfId="26110"/>
    <cellStyle name="40% - Accent5 12 2 2 4 3" xfId="26109"/>
    <cellStyle name="40% - Accent5 12 2 2 5" xfId="26111"/>
    <cellStyle name="40% - Accent5 12 2 2 6" xfId="26104"/>
    <cellStyle name="40% - Accent5 12 2 3" xfId="7503"/>
    <cellStyle name="40% - Accent5 12 2 3 2" xfId="26113"/>
    <cellStyle name="40% - Accent5 12 2 3 3" xfId="26112"/>
    <cellStyle name="40% - Accent5 12 2 4" xfId="4376"/>
    <cellStyle name="40% - Accent5 12 2 4 2" xfId="26115"/>
    <cellStyle name="40% - Accent5 12 2 4 3" xfId="26114"/>
    <cellStyle name="40% - Accent5 12 2 5" xfId="10686"/>
    <cellStyle name="40% - Accent5 12 2 5 2" xfId="26117"/>
    <cellStyle name="40% - Accent5 12 2 5 3" xfId="26116"/>
    <cellStyle name="40% - Accent5 12 2 6" xfId="26118"/>
    <cellStyle name="40% - Accent5 12 2 7" xfId="26103"/>
    <cellStyle name="40% - Accent5 12 3" xfId="2101"/>
    <cellStyle name="40% - Accent5 12 3 2" xfId="8386"/>
    <cellStyle name="40% - Accent5 12 3 2 2" xfId="26121"/>
    <cellStyle name="40% - Accent5 12 3 2 3" xfId="26120"/>
    <cellStyle name="40% - Accent5 12 3 3" xfId="5259"/>
    <cellStyle name="40% - Accent5 12 3 3 2" xfId="26123"/>
    <cellStyle name="40% - Accent5 12 3 3 3" xfId="26122"/>
    <cellStyle name="40% - Accent5 12 3 4" xfId="11569"/>
    <cellStyle name="40% - Accent5 12 3 4 2" xfId="26125"/>
    <cellStyle name="40% - Accent5 12 3 4 3" xfId="26124"/>
    <cellStyle name="40% - Accent5 12 3 5" xfId="26126"/>
    <cellStyle name="40% - Accent5 12 3 6" xfId="26119"/>
    <cellStyle name="40% - Accent5 12 4" xfId="6823"/>
    <cellStyle name="40% - Accent5 12 4 2" xfId="26128"/>
    <cellStyle name="40% - Accent5 12 4 3" xfId="26127"/>
    <cellStyle name="40% - Accent5 12 5" xfId="3696"/>
    <cellStyle name="40% - Accent5 12 5 2" xfId="26130"/>
    <cellStyle name="40% - Accent5 12 5 3" xfId="26129"/>
    <cellStyle name="40% - Accent5 12 6" xfId="10128"/>
    <cellStyle name="40% - Accent5 12 6 2" xfId="26132"/>
    <cellStyle name="40% - Accent5 12 6 3" xfId="26131"/>
    <cellStyle name="40% - Accent5 12 7" xfId="26133"/>
    <cellStyle name="40% - Accent5 12 8" xfId="26102"/>
    <cellStyle name="40% - Accent5 13" xfId="523"/>
    <cellStyle name="40% - Accent5 13 2" xfId="1230"/>
    <cellStyle name="40% - Accent5 13 2 2" xfId="2795"/>
    <cellStyle name="40% - Accent5 13 2 2 2" xfId="9080"/>
    <cellStyle name="40% - Accent5 13 2 2 2 2" xfId="26138"/>
    <cellStyle name="40% - Accent5 13 2 2 2 3" xfId="26137"/>
    <cellStyle name="40% - Accent5 13 2 2 3" xfId="5953"/>
    <cellStyle name="40% - Accent5 13 2 2 3 2" xfId="26140"/>
    <cellStyle name="40% - Accent5 13 2 2 3 3" xfId="26139"/>
    <cellStyle name="40% - Accent5 13 2 2 4" xfId="12263"/>
    <cellStyle name="40% - Accent5 13 2 2 4 2" xfId="26142"/>
    <cellStyle name="40% - Accent5 13 2 2 4 3" xfId="26141"/>
    <cellStyle name="40% - Accent5 13 2 2 5" xfId="26143"/>
    <cellStyle name="40% - Accent5 13 2 2 6" xfId="26136"/>
    <cellStyle name="40% - Accent5 13 2 3" xfId="7517"/>
    <cellStyle name="40% - Accent5 13 2 3 2" xfId="26145"/>
    <cellStyle name="40% - Accent5 13 2 3 3" xfId="26144"/>
    <cellStyle name="40% - Accent5 13 2 4" xfId="4390"/>
    <cellStyle name="40% - Accent5 13 2 4 2" xfId="26147"/>
    <cellStyle name="40% - Accent5 13 2 4 3" xfId="26146"/>
    <cellStyle name="40% - Accent5 13 2 5" xfId="10700"/>
    <cellStyle name="40% - Accent5 13 2 5 2" xfId="26149"/>
    <cellStyle name="40% - Accent5 13 2 5 3" xfId="26148"/>
    <cellStyle name="40% - Accent5 13 2 6" xfId="26150"/>
    <cellStyle name="40% - Accent5 13 2 7" xfId="26135"/>
    <cellStyle name="40% - Accent5 13 3" xfId="2115"/>
    <cellStyle name="40% - Accent5 13 3 2" xfId="8400"/>
    <cellStyle name="40% - Accent5 13 3 2 2" xfId="26153"/>
    <cellStyle name="40% - Accent5 13 3 2 3" xfId="26152"/>
    <cellStyle name="40% - Accent5 13 3 3" xfId="5273"/>
    <cellStyle name="40% - Accent5 13 3 3 2" xfId="26155"/>
    <cellStyle name="40% - Accent5 13 3 3 3" xfId="26154"/>
    <cellStyle name="40% - Accent5 13 3 4" xfId="11583"/>
    <cellStyle name="40% - Accent5 13 3 4 2" xfId="26157"/>
    <cellStyle name="40% - Accent5 13 3 4 3" xfId="26156"/>
    <cellStyle name="40% - Accent5 13 3 5" xfId="26158"/>
    <cellStyle name="40% - Accent5 13 3 6" xfId="26151"/>
    <cellStyle name="40% - Accent5 13 4" xfId="6837"/>
    <cellStyle name="40% - Accent5 13 4 2" xfId="26160"/>
    <cellStyle name="40% - Accent5 13 4 3" xfId="26159"/>
    <cellStyle name="40% - Accent5 13 5" xfId="3710"/>
    <cellStyle name="40% - Accent5 13 5 2" xfId="26162"/>
    <cellStyle name="40% - Accent5 13 5 3" xfId="26161"/>
    <cellStyle name="40% - Accent5 13 6" xfId="10142"/>
    <cellStyle name="40% - Accent5 13 6 2" xfId="26164"/>
    <cellStyle name="40% - Accent5 13 6 3" xfId="26163"/>
    <cellStyle name="40% - Accent5 13 7" xfId="26165"/>
    <cellStyle name="40% - Accent5 13 8" xfId="26134"/>
    <cellStyle name="40% - Accent5 14" xfId="537"/>
    <cellStyle name="40% - Accent5 14 2" xfId="1244"/>
    <cellStyle name="40% - Accent5 14 2 2" xfId="2809"/>
    <cellStyle name="40% - Accent5 14 2 2 2" xfId="9094"/>
    <cellStyle name="40% - Accent5 14 2 2 2 2" xfId="26170"/>
    <cellStyle name="40% - Accent5 14 2 2 2 3" xfId="26169"/>
    <cellStyle name="40% - Accent5 14 2 2 3" xfId="5967"/>
    <cellStyle name="40% - Accent5 14 2 2 3 2" xfId="26172"/>
    <cellStyle name="40% - Accent5 14 2 2 3 3" xfId="26171"/>
    <cellStyle name="40% - Accent5 14 2 2 4" xfId="12277"/>
    <cellStyle name="40% - Accent5 14 2 2 4 2" xfId="26174"/>
    <cellStyle name="40% - Accent5 14 2 2 4 3" xfId="26173"/>
    <cellStyle name="40% - Accent5 14 2 2 5" xfId="26175"/>
    <cellStyle name="40% - Accent5 14 2 2 6" xfId="26168"/>
    <cellStyle name="40% - Accent5 14 2 3" xfId="7531"/>
    <cellStyle name="40% - Accent5 14 2 3 2" xfId="26177"/>
    <cellStyle name="40% - Accent5 14 2 3 3" xfId="26176"/>
    <cellStyle name="40% - Accent5 14 2 4" xfId="4404"/>
    <cellStyle name="40% - Accent5 14 2 4 2" xfId="26179"/>
    <cellStyle name="40% - Accent5 14 2 4 3" xfId="26178"/>
    <cellStyle name="40% - Accent5 14 2 5" xfId="10714"/>
    <cellStyle name="40% - Accent5 14 2 5 2" xfId="26181"/>
    <cellStyle name="40% - Accent5 14 2 5 3" xfId="26180"/>
    <cellStyle name="40% - Accent5 14 2 6" xfId="26182"/>
    <cellStyle name="40% - Accent5 14 2 7" xfId="26167"/>
    <cellStyle name="40% - Accent5 14 3" xfId="2129"/>
    <cellStyle name="40% - Accent5 14 3 2" xfId="8414"/>
    <cellStyle name="40% - Accent5 14 3 2 2" xfId="26185"/>
    <cellStyle name="40% - Accent5 14 3 2 3" xfId="26184"/>
    <cellStyle name="40% - Accent5 14 3 3" xfId="5287"/>
    <cellStyle name="40% - Accent5 14 3 3 2" xfId="26187"/>
    <cellStyle name="40% - Accent5 14 3 3 3" xfId="26186"/>
    <cellStyle name="40% - Accent5 14 3 4" xfId="11597"/>
    <cellStyle name="40% - Accent5 14 3 4 2" xfId="26189"/>
    <cellStyle name="40% - Accent5 14 3 4 3" xfId="26188"/>
    <cellStyle name="40% - Accent5 14 3 5" xfId="26190"/>
    <cellStyle name="40% - Accent5 14 3 6" xfId="26183"/>
    <cellStyle name="40% - Accent5 14 4" xfId="6851"/>
    <cellStyle name="40% - Accent5 14 4 2" xfId="26192"/>
    <cellStyle name="40% - Accent5 14 4 3" xfId="26191"/>
    <cellStyle name="40% - Accent5 14 5" xfId="3724"/>
    <cellStyle name="40% - Accent5 14 5 2" xfId="26194"/>
    <cellStyle name="40% - Accent5 14 5 3" xfId="26193"/>
    <cellStyle name="40% - Accent5 14 6" xfId="10156"/>
    <cellStyle name="40% - Accent5 14 6 2" xfId="26196"/>
    <cellStyle name="40% - Accent5 14 6 3" xfId="26195"/>
    <cellStyle name="40% - Accent5 14 7" xfId="26197"/>
    <cellStyle name="40% - Accent5 14 8" xfId="26166"/>
    <cellStyle name="40% - Accent5 15" xfId="551"/>
    <cellStyle name="40% - Accent5 15 2" xfId="1258"/>
    <cellStyle name="40% - Accent5 15 2 2" xfId="2823"/>
    <cellStyle name="40% - Accent5 15 2 2 2" xfId="9108"/>
    <cellStyle name="40% - Accent5 15 2 2 2 2" xfId="26202"/>
    <cellStyle name="40% - Accent5 15 2 2 2 3" xfId="26201"/>
    <cellStyle name="40% - Accent5 15 2 2 3" xfId="5981"/>
    <cellStyle name="40% - Accent5 15 2 2 3 2" xfId="26204"/>
    <cellStyle name="40% - Accent5 15 2 2 3 3" xfId="26203"/>
    <cellStyle name="40% - Accent5 15 2 2 4" xfId="12291"/>
    <cellStyle name="40% - Accent5 15 2 2 4 2" xfId="26206"/>
    <cellStyle name="40% - Accent5 15 2 2 4 3" xfId="26205"/>
    <cellStyle name="40% - Accent5 15 2 2 5" xfId="26207"/>
    <cellStyle name="40% - Accent5 15 2 2 6" xfId="26200"/>
    <cellStyle name="40% - Accent5 15 2 3" xfId="7545"/>
    <cellStyle name="40% - Accent5 15 2 3 2" xfId="26209"/>
    <cellStyle name="40% - Accent5 15 2 3 3" xfId="26208"/>
    <cellStyle name="40% - Accent5 15 2 4" xfId="4418"/>
    <cellStyle name="40% - Accent5 15 2 4 2" xfId="26211"/>
    <cellStyle name="40% - Accent5 15 2 4 3" xfId="26210"/>
    <cellStyle name="40% - Accent5 15 2 5" xfId="10728"/>
    <cellStyle name="40% - Accent5 15 2 5 2" xfId="26213"/>
    <cellStyle name="40% - Accent5 15 2 5 3" xfId="26212"/>
    <cellStyle name="40% - Accent5 15 2 6" xfId="26214"/>
    <cellStyle name="40% - Accent5 15 2 7" xfId="26199"/>
    <cellStyle name="40% - Accent5 15 3" xfId="2143"/>
    <cellStyle name="40% - Accent5 15 3 2" xfId="8428"/>
    <cellStyle name="40% - Accent5 15 3 2 2" xfId="26217"/>
    <cellStyle name="40% - Accent5 15 3 2 3" xfId="26216"/>
    <cellStyle name="40% - Accent5 15 3 3" xfId="5301"/>
    <cellStyle name="40% - Accent5 15 3 3 2" xfId="26219"/>
    <cellStyle name="40% - Accent5 15 3 3 3" xfId="26218"/>
    <cellStyle name="40% - Accent5 15 3 4" xfId="11611"/>
    <cellStyle name="40% - Accent5 15 3 4 2" xfId="26221"/>
    <cellStyle name="40% - Accent5 15 3 4 3" xfId="26220"/>
    <cellStyle name="40% - Accent5 15 3 5" xfId="26222"/>
    <cellStyle name="40% - Accent5 15 3 6" xfId="26215"/>
    <cellStyle name="40% - Accent5 15 4" xfId="6865"/>
    <cellStyle name="40% - Accent5 15 4 2" xfId="26224"/>
    <cellStyle name="40% - Accent5 15 4 3" xfId="26223"/>
    <cellStyle name="40% - Accent5 15 5" xfId="3738"/>
    <cellStyle name="40% - Accent5 15 5 2" xfId="26226"/>
    <cellStyle name="40% - Accent5 15 5 3" xfId="26225"/>
    <cellStyle name="40% - Accent5 15 6" xfId="10170"/>
    <cellStyle name="40% - Accent5 15 6 2" xfId="26228"/>
    <cellStyle name="40% - Accent5 15 6 3" xfId="26227"/>
    <cellStyle name="40% - Accent5 15 7" xfId="26229"/>
    <cellStyle name="40% - Accent5 15 8" xfId="26198"/>
    <cellStyle name="40% - Accent5 16" xfId="604"/>
    <cellStyle name="40% - Accent5 16 2" xfId="1311"/>
    <cellStyle name="40% - Accent5 16 2 2" xfId="2876"/>
    <cellStyle name="40% - Accent5 16 2 2 2" xfId="9161"/>
    <cellStyle name="40% - Accent5 16 2 2 2 2" xfId="26234"/>
    <cellStyle name="40% - Accent5 16 2 2 2 3" xfId="26233"/>
    <cellStyle name="40% - Accent5 16 2 2 3" xfId="6034"/>
    <cellStyle name="40% - Accent5 16 2 2 3 2" xfId="26236"/>
    <cellStyle name="40% - Accent5 16 2 2 3 3" xfId="26235"/>
    <cellStyle name="40% - Accent5 16 2 2 4" xfId="12344"/>
    <cellStyle name="40% - Accent5 16 2 2 4 2" xfId="26238"/>
    <cellStyle name="40% - Accent5 16 2 2 4 3" xfId="26237"/>
    <cellStyle name="40% - Accent5 16 2 2 5" xfId="26239"/>
    <cellStyle name="40% - Accent5 16 2 2 6" xfId="26232"/>
    <cellStyle name="40% - Accent5 16 2 3" xfId="7598"/>
    <cellStyle name="40% - Accent5 16 2 3 2" xfId="26241"/>
    <cellStyle name="40% - Accent5 16 2 3 3" xfId="26240"/>
    <cellStyle name="40% - Accent5 16 2 4" xfId="4471"/>
    <cellStyle name="40% - Accent5 16 2 4 2" xfId="26243"/>
    <cellStyle name="40% - Accent5 16 2 4 3" xfId="26242"/>
    <cellStyle name="40% - Accent5 16 2 5" xfId="10781"/>
    <cellStyle name="40% - Accent5 16 2 5 2" xfId="26245"/>
    <cellStyle name="40% - Accent5 16 2 5 3" xfId="26244"/>
    <cellStyle name="40% - Accent5 16 2 6" xfId="26246"/>
    <cellStyle name="40% - Accent5 16 2 7" xfId="26231"/>
    <cellStyle name="40% - Accent5 16 3" xfId="2196"/>
    <cellStyle name="40% - Accent5 16 3 2" xfId="8481"/>
    <cellStyle name="40% - Accent5 16 3 2 2" xfId="26249"/>
    <cellStyle name="40% - Accent5 16 3 2 3" xfId="26248"/>
    <cellStyle name="40% - Accent5 16 3 3" xfId="5354"/>
    <cellStyle name="40% - Accent5 16 3 3 2" xfId="26251"/>
    <cellStyle name="40% - Accent5 16 3 3 3" xfId="26250"/>
    <cellStyle name="40% - Accent5 16 3 4" xfId="11664"/>
    <cellStyle name="40% - Accent5 16 3 4 2" xfId="26253"/>
    <cellStyle name="40% - Accent5 16 3 4 3" xfId="26252"/>
    <cellStyle name="40% - Accent5 16 3 5" xfId="26254"/>
    <cellStyle name="40% - Accent5 16 3 6" xfId="26247"/>
    <cellStyle name="40% - Accent5 16 4" xfId="6918"/>
    <cellStyle name="40% - Accent5 16 4 2" xfId="26256"/>
    <cellStyle name="40% - Accent5 16 4 3" xfId="26255"/>
    <cellStyle name="40% - Accent5 16 5" xfId="3791"/>
    <cellStyle name="40% - Accent5 16 5 2" xfId="26258"/>
    <cellStyle name="40% - Accent5 16 5 3" xfId="26257"/>
    <cellStyle name="40% - Accent5 16 6" xfId="10223"/>
    <cellStyle name="40% - Accent5 16 6 2" xfId="26260"/>
    <cellStyle name="40% - Accent5 16 6 3" xfId="26259"/>
    <cellStyle name="40% - Accent5 16 7" xfId="26261"/>
    <cellStyle name="40% - Accent5 16 8" xfId="26230"/>
    <cellStyle name="40% - Accent5 17" xfId="663"/>
    <cellStyle name="40% - Accent5 17 2" xfId="1368"/>
    <cellStyle name="40% - Accent5 17 2 2" xfId="2933"/>
    <cellStyle name="40% - Accent5 17 2 2 2" xfId="9218"/>
    <cellStyle name="40% - Accent5 17 2 2 2 2" xfId="26266"/>
    <cellStyle name="40% - Accent5 17 2 2 2 3" xfId="26265"/>
    <cellStyle name="40% - Accent5 17 2 2 3" xfId="6091"/>
    <cellStyle name="40% - Accent5 17 2 2 3 2" xfId="26268"/>
    <cellStyle name="40% - Accent5 17 2 2 3 3" xfId="26267"/>
    <cellStyle name="40% - Accent5 17 2 2 4" xfId="12401"/>
    <cellStyle name="40% - Accent5 17 2 2 4 2" xfId="26270"/>
    <cellStyle name="40% - Accent5 17 2 2 4 3" xfId="26269"/>
    <cellStyle name="40% - Accent5 17 2 2 5" xfId="26271"/>
    <cellStyle name="40% - Accent5 17 2 2 6" xfId="26264"/>
    <cellStyle name="40% - Accent5 17 2 3" xfId="7655"/>
    <cellStyle name="40% - Accent5 17 2 3 2" xfId="26273"/>
    <cellStyle name="40% - Accent5 17 2 3 3" xfId="26272"/>
    <cellStyle name="40% - Accent5 17 2 4" xfId="4528"/>
    <cellStyle name="40% - Accent5 17 2 4 2" xfId="26275"/>
    <cellStyle name="40% - Accent5 17 2 4 3" xfId="26274"/>
    <cellStyle name="40% - Accent5 17 2 5" xfId="10838"/>
    <cellStyle name="40% - Accent5 17 2 5 2" xfId="26277"/>
    <cellStyle name="40% - Accent5 17 2 5 3" xfId="26276"/>
    <cellStyle name="40% - Accent5 17 2 6" xfId="26278"/>
    <cellStyle name="40% - Accent5 17 2 7" xfId="26263"/>
    <cellStyle name="40% - Accent5 17 3" xfId="2253"/>
    <cellStyle name="40% - Accent5 17 3 2" xfId="8538"/>
    <cellStyle name="40% - Accent5 17 3 2 2" xfId="26281"/>
    <cellStyle name="40% - Accent5 17 3 2 3" xfId="26280"/>
    <cellStyle name="40% - Accent5 17 3 3" xfId="5411"/>
    <cellStyle name="40% - Accent5 17 3 3 2" xfId="26283"/>
    <cellStyle name="40% - Accent5 17 3 3 3" xfId="26282"/>
    <cellStyle name="40% - Accent5 17 3 4" xfId="11721"/>
    <cellStyle name="40% - Accent5 17 3 4 2" xfId="26285"/>
    <cellStyle name="40% - Accent5 17 3 4 3" xfId="26284"/>
    <cellStyle name="40% - Accent5 17 3 5" xfId="26286"/>
    <cellStyle name="40% - Accent5 17 3 6" xfId="26279"/>
    <cellStyle name="40% - Accent5 17 4" xfId="6975"/>
    <cellStyle name="40% - Accent5 17 4 2" xfId="26288"/>
    <cellStyle name="40% - Accent5 17 4 3" xfId="26287"/>
    <cellStyle name="40% - Accent5 17 5" xfId="3848"/>
    <cellStyle name="40% - Accent5 17 5 2" xfId="26290"/>
    <cellStyle name="40% - Accent5 17 5 3" xfId="26289"/>
    <cellStyle name="40% - Accent5 17 6" xfId="10281"/>
    <cellStyle name="40% - Accent5 17 6 2" xfId="26292"/>
    <cellStyle name="40% - Accent5 17 6 3" xfId="26291"/>
    <cellStyle name="40% - Accent5 17 7" xfId="26293"/>
    <cellStyle name="40% - Accent5 17 8" xfId="26262"/>
    <cellStyle name="40% - Accent5 18" xfId="850"/>
    <cellStyle name="40% - Accent5 18 2" xfId="2416"/>
    <cellStyle name="40% - Accent5 18 2 2" xfId="8701"/>
    <cellStyle name="40% - Accent5 18 2 2 2" xfId="26297"/>
    <cellStyle name="40% - Accent5 18 2 2 3" xfId="26296"/>
    <cellStyle name="40% - Accent5 18 2 3" xfId="5574"/>
    <cellStyle name="40% - Accent5 18 2 3 2" xfId="26299"/>
    <cellStyle name="40% - Accent5 18 2 3 3" xfId="26298"/>
    <cellStyle name="40% - Accent5 18 2 4" xfId="11884"/>
    <cellStyle name="40% - Accent5 18 2 4 2" xfId="26301"/>
    <cellStyle name="40% - Accent5 18 2 4 3" xfId="26300"/>
    <cellStyle name="40% - Accent5 18 2 5" xfId="26302"/>
    <cellStyle name="40% - Accent5 18 2 6" xfId="26295"/>
    <cellStyle name="40% - Accent5 18 3" xfId="7138"/>
    <cellStyle name="40% - Accent5 18 3 2" xfId="26304"/>
    <cellStyle name="40% - Accent5 18 3 3" xfId="26303"/>
    <cellStyle name="40% - Accent5 18 4" xfId="4011"/>
    <cellStyle name="40% - Accent5 18 4 2" xfId="26306"/>
    <cellStyle name="40% - Accent5 18 4 3" xfId="26305"/>
    <cellStyle name="40% - Accent5 18 5" xfId="10321"/>
    <cellStyle name="40% - Accent5 18 5 2" xfId="26308"/>
    <cellStyle name="40% - Accent5 18 5 3" xfId="26307"/>
    <cellStyle name="40% - Accent5 18 6" xfId="26309"/>
    <cellStyle name="40% - Accent5 18 7" xfId="26294"/>
    <cellStyle name="40% - Accent5 19" xfId="1570"/>
    <cellStyle name="40% - Accent5 19 2" xfId="3135"/>
    <cellStyle name="40% - Accent5 19 2 2" xfId="9420"/>
    <cellStyle name="40% - Accent5 19 2 2 2" xfId="26313"/>
    <cellStyle name="40% - Accent5 19 2 2 3" xfId="26312"/>
    <cellStyle name="40% - Accent5 19 2 3" xfId="6293"/>
    <cellStyle name="40% - Accent5 19 2 3 2" xfId="26315"/>
    <cellStyle name="40% - Accent5 19 2 3 3" xfId="26314"/>
    <cellStyle name="40% - Accent5 19 2 4" xfId="12603"/>
    <cellStyle name="40% - Accent5 19 2 4 2" xfId="26317"/>
    <cellStyle name="40% - Accent5 19 2 4 3" xfId="26316"/>
    <cellStyle name="40% - Accent5 19 2 5" xfId="26318"/>
    <cellStyle name="40% - Accent5 19 2 6" xfId="26311"/>
    <cellStyle name="40% - Accent5 19 3" xfId="7857"/>
    <cellStyle name="40% - Accent5 19 3 2" xfId="26320"/>
    <cellStyle name="40% - Accent5 19 3 3" xfId="26319"/>
    <cellStyle name="40% - Accent5 19 4" xfId="4730"/>
    <cellStyle name="40% - Accent5 19 4 2" xfId="26322"/>
    <cellStyle name="40% - Accent5 19 4 3" xfId="26321"/>
    <cellStyle name="40% - Accent5 19 5" xfId="11040"/>
    <cellStyle name="40% - Accent5 19 5 2" xfId="26324"/>
    <cellStyle name="40% - Accent5 19 5 3" xfId="26323"/>
    <cellStyle name="40% - Accent5 19 6" xfId="26325"/>
    <cellStyle name="40% - Accent5 19 7" xfId="26310"/>
    <cellStyle name="40% - Accent5 2" xfId="64"/>
    <cellStyle name="40% - Accent5 2 10" xfId="1748"/>
    <cellStyle name="40% - Accent5 2 10 2" xfId="8034"/>
    <cellStyle name="40% - Accent5 2 10 2 2" xfId="26329"/>
    <cellStyle name="40% - Accent5 2 10 2 3" xfId="26328"/>
    <cellStyle name="40% - Accent5 2 10 3" xfId="4907"/>
    <cellStyle name="40% - Accent5 2 10 3 2" xfId="26331"/>
    <cellStyle name="40% - Accent5 2 10 3 3" xfId="26330"/>
    <cellStyle name="40% - Accent5 2 10 4" xfId="11217"/>
    <cellStyle name="40% - Accent5 2 10 4 2" xfId="26333"/>
    <cellStyle name="40% - Accent5 2 10 4 3" xfId="26332"/>
    <cellStyle name="40% - Accent5 2 10 5" xfId="26334"/>
    <cellStyle name="40% - Accent5 2 10 6" xfId="26327"/>
    <cellStyle name="40% - Accent5 2 11" xfId="126"/>
    <cellStyle name="40% - Accent5 2 11 2" xfId="6471"/>
    <cellStyle name="40% - Accent5 2 11 2 2" xfId="26337"/>
    <cellStyle name="40% - Accent5 2 11 2 3" xfId="26336"/>
    <cellStyle name="40% - Accent5 2 11 3" xfId="26338"/>
    <cellStyle name="40% - Accent5 2 11 4" xfId="26335"/>
    <cellStyle name="40% - Accent5 2 12" xfId="3317"/>
    <cellStyle name="40% - Accent5 2 12 2" xfId="26340"/>
    <cellStyle name="40% - Accent5 2 12 3" xfId="26339"/>
    <cellStyle name="40% - Accent5 2 13" xfId="3344"/>
    <cellStyle name="40% - Accent5 2 13 2" xfId="26342"/>
    <cellStyle name="40% - Accent5 2 13 3" xfId="26341"/>
    <cellStyle name="40% - Accent5 2 14" xfId="9620"/>
    <cellStyle name="40% - Accent5 2 14 2" xfId="26344"/>
    <cellStyle name="40% - Accent5 2 14 3" xfId="26343"/>
    <cellStyle name="40% - Accent5 2 15" xfId="26345"/>
    <cellStyle name="40% - Accent5 2 16" xfId="26326"/>
    <cellStyle name="40% - Accent5 2 17" xfId="38151"/>
    <cellStyle name="40% - Accent5 2 2" xfId="97"/>
    <cellStyle name="40% - Accent5 2 2 2" xfId="309"/>
    <cellStyle name="40% - Accent5 2 2 2 2" xfId="1019"/>
    <cellStyle name="40% - Accent5 2 2 2 2 2" xfId="2585"/>
    <cellStyle name="40% - Accent5 2 2 2 2 2 2" xfId="8870"/>
    <cellStyle name="40% - Accent5 2 2 2 2 2 2 2" xfId="26351"/>
    <cellStyle name="40% - Accent5 2 2 2 2 2 2 3" xfId="26350"/>
    <cellStyle name="40% - Accent5 2 2 2 2 2 3" xfId="5743"/>
    <cellStyle name="40% - Accent5 2 2 2 2 2 3 2" xfId="26353"/>
    <cellStyle name="40% - Accent5 2 2 2 2 2 3 3" xfId="26352"/>
    <cellStyle name="40% - Accent5 2 2 2 2 2 4" xfId="12053"/>
    <cellStyle name="40% - Accent5 2 2 2 2 2 4 2" xfId="26355"/>
    <cellStyle name="40% - Accent5 2 2 2 2 2 4 3" xfId="26354"/>
    <cellStyle name="40% - Accent5 2 2 2 2 2 5" xfId="26356"/>
    <cellStyle name="40% - Accent5 2 2 2 2 2 6" xfId="26349"/>
    <cellStyle name="40% - Accent5 2 2 2 2 3" xfId="7307"/>
    <cellStyle name="40% - Accent5 2 2 2 2 3 2" xfId="26358"/>
    <cellStyle name="40% - Accent5 2 2 2 2 3 3" xfId="26357"/>
    <cellStyle name="40% - Accent5 2 2 2 2 4" xfId="4180"/>
    <cellStyle name="40% - Accent5 2 2 2 2 4 2" xfId="26360"/>
    <cellStyle name="40% - Accent5 2 2 2 2 4 3" xfId="26359"/>
    <cellStyle name="40% - Accent5 2 2 2 2 5" xfId="10490"/>
    <cellStyle name="40% - Accent5 2 2 2 2 5 2" xfId="26362"/>
    <cellStyle name="40% - Accent5 2 2 2 2 5 3" xfId="26361"/>
    <cellStyle name="40% - Accent5 2 2 2 2 6" xfId="26363"/>
    <cellStyle name="40% - Accent5 2 2 2 2 7" xfId="26348"/>
    <cellStyle name="40% - Accent5 2 2 2 3" xfId="1905"/>
    <cellStyle name="40% - Accent5 2 2 2 3 2" xfId="8190"/>
    <cellStyle name="40% - Accent5 2 2 2 3 2 2" xfId="26366"/>
    <cellStyle name="40% - Accent5 2 2 2 3 2 3" xfId="26365"/>
    <cellStyle name="40% - Accent5 2 2 2 3 3" xfId="5063"/>
    <cellStyle name="40% - Accent5 2 2 2 3 3 2" xfId="26368"/>
    <cellStyle name="40% - Accent5 2 2 2 3 3 3" xfId="26367"/>
    <cellStyle name="40% - Accent5 2 2 2 3 4" xfId="11373"/>
    <cellStyle name="40% - Accent5 2 2 2 3 4 2" xfId="26370"/>
    <cellStyle name="40% - Accent5 2 2 2 3 4 3" xfId="26369"/>
    <cellStyle name="40% - Accent5 2 2 2 3 5" xfId="26371"/>
    <cellStyle name="40% - Accent5 2 2 2 3 6" xfId="26364"/>
    <cellStyle name="40% - Accent5 2 2 2 4" xfId="6627"/>
    <cellStyle name="40% - Accent5 2 2 2 4 2" xfId="26373"/>
    <cellStyle name="40% - Accent5 2 2 2 4 3" xfId="26372"/>
    <cellStyle name="40% - Accent5 2 2 2 5" xfId="3500"/>
    <cellStyle name="40% - Accent5 2 2 2 5 2" xfId="26375"/>
    <cellStyle name="40% - Accent5 2 2 2 5 3" xfId="26374"/>
    <cellStyle name="40% - Accent5 2 2 2 6" xfId="9846"/>
    <cellStyle name="40% - Accent5 2 2 2 6 2" xfId="26377"/>
    <cellStyle name="40% - Accent5 2 2 2 6 3" xfId="26376"/>
    <cellStyle name="40% - Accent5 2 2 2 7" xfId="26378"/>
    <cellStyle name="40% - Accent5 2 2 2 8" xfId="26347"/>
    <cellStyle name="40% - Accent5 2 2 3" xfId="912"/>
    <cellStyle name="40% - Accent5 2 2 3 2" xfId="2478"/>
    <cellStyle name="40% - Accent5 2 2 3 2 2" xfId="8763"/>
    <cellStyle name="40% - Accent5 2 2 3 2 2 2" xfId="26382"/>
    <cellStyle name="40% - Accent5 2 2 3 2 2 3" xfId="26381"/>
    <cellStyle name="40% - Accent5 2 2 3 2 3" xfId="5636"/>
    <cellStyle name="40% - Accent5 2 2 3 2 3 2" xfId="26384"/>
    <cellStyle name="40% - Accent5 2 2 3 2 3 3" xfId="26383"/>
    <cellStyle name="40% - Accent5 2 2 3 2 4" xfId="11946"/>
    <cellStyle name="40% - Accent5 2 2 3 2 4 2" xfId="26386"/>
    <cellStyle name="40% - Accent5 2 2 3 2 4 3" xfId="26385"/>
    <cellStyle name="40% - Accent5 2 2 3 2 5" xfId="26387"/>
    <cellStyle name="40% - Accent5 2 2 3 2 6" xfId="26380"/>
    <cellStyle name="40% - Accent5 2 2 3 3" xfId="7200"/>
    <cellStyle name="40% - Accent5 2 2 3 3 2" xfId="26389"/>
    <cellStyle name="40% - Accent5 2 2 3 3 3" xfId="26388"/>
    <cellStyle name="40% - Accent5 2 2 3 4" xfId="4073"/>
    <cellStyle name="40% - Accent5 2 2 3 4 2" xfId="26391"/>
    <cellStyle name="40% - Accent5 2 2 3 4 3" xfId="26390"/>
    <cellStyle name="40% - Accent5 2 2 3 5" xfId="10383"/>
    <cellStyle name="40% - Accent5 2 2 3 5 2" xfId="26393"/>
    <cellStyle name="40% - Accent5 2 2 3 5 3" xfId="26392"/>
    <cellStyle name="40% - Accent5 2 2 3 6" xfId="26394"/>
    <cellStyle name="40% - Accent5 2 2 3 7" xfId="26379"/>
    <cellStyle name="40% - Accent5 2 2 4" xfId="1798"/>
    <cellStyle name="40% - Accent5 2 2 4 2" xfId="8083"/>
    <cellStyle name="40% - Accent5 2 2 4 2 2" xfId="26397"/>
    <cellStyle name="40% - Accent5 2 2 4 2 3" xfId="26396"/>
    <cellStyle name="40% - Accent5 2 2 4 3" xfId="4956"/>
    <cellStyle name="40% - Accent5 2 2 4 3 2" xfId="26399"/>
    <cellStyle name="40% - Accent5 2 2 4 3 3" xfId="26398"/>
    <cellStyle name="40% - Accent5 2 2 4 4" xfId="11266"/>
    <cellStyle name="40% - Accent5 2 2 4 4 2" xfId="26401"/>
    <cellStyle name="40% - Accent5 2 2 4 4 3" xfId="26400"/>
    <cellStyle name="40% - Accent5 2 2 4 5" xfId="26402"/>
    <cellStyle name="40% - Accent5 2 2 4 6" xfId="26395"/>
    <cellStyle name="40% - Accent5 2 2 5" xfId="176"/>
    <cellStyle name="40% - Accent5 2 2 5 2" xfId="6520"/>
    <cellStyle name="40% - Accent5 2 2 5 2 2" xfId="26405"/>
    <cellStyle name="40% - Accent5 2 2 5 2 3" xfId="26404"/>
    <cellStyle name="40% - Accent5 2 2 5 3" xfId="26406"/>
    <cellStyle name="40% - Accent5 2 2 5 4" xfId="26403"/>
    <cellStyle name="40% - Accent5 2 2 6" xfId="3393"/>
    <cellStyle name="40% - Accent5 2 2 6 2" xfId="26408"/>
    <cellStyle name="40% - Accent5 2 2 6 3" xfId="26407"/>
    <cellStyle name="40% - Accent5 2 2 7" xfId="9910"/>
    <cellStyle name="40% - Accent5 2 2 7 2" xfId="26410"/>
    <cellStyle name="40% - Accent5 2 2 7 3" xfId="26409"/>
    <cellStyle name="40% - Accent5 2 2 8" xfId="26411"/>
    <cellStyle name="40% - Accent5 2 2 9" xfId="26346"/>
    <cellStyle name="40% - Accent5 2 3" xfId="252"/>
    <cellStyle name="40% - Accent5 2 3 2" xfId="963"/>
    <cellStyle name="40% - Accent5 2 3 2 2" xfId="2529"/>
    <cellStyle name="40% - Accent5 2 3 2 2 2" xfId="8814"/>
    <cellStyle name="40% - Accent5 2 3 2 2 2 2" xfId="26416"/>
    <cellStyle name="40% - Accent5 2 3 2 2 2 3" xfId="26415"/>
    <cellStyle name="40% - Accent5 2 3 2 2 3" xfId="5687"/>
    <cellStyle name="40% - Accent5 2 3 2 2 3 2" xfId="26418"/>
    <cellStyle name="40% - Accent5 2 3 2 2 3 3" xfId="26417"/>
    <cellStyle name="40% - Accent5 2 3 2 2 4" xfId="11997"/>
    <cellStyle name="40% - Accent5 2 3 2 2 4 2" xfId="26420"/>
    <cellStyle name="40% - Accent5 2 3 2 2 4 3" xfId="26419"/>
    <cellStyle name="40% - Accent5 2 3 2 2 5" xfId="26421"/>
    <cellStyle name="40% - Accent5 2 3 2 2 6" xfId="26414"/>
    <cellStyle name="40% - Accent5 2 3 2 3" xfId="7251"/>
    <cellStyle name="40% - Accent5 2 3 2 3 2" xfId="26423"/>
    <cellStyle name="40% - Accent5 2 3 2 3 3" xfId="26422"/>
    <cellStyle name="40% - Accent5 2 3 2 4" xfId="4124"/>
    <cellStyle name="40% - Accent5 2 3 2 4 2" xfId="26425"/>
    <cellStyle name="40% - Accent5 2 3 2 4 3" xfId="26424"/>
    <cellStyle name="40% - Accent5 2 3 2 5" xfId="10434"/>
    <cellStyle name="40% - Accent5 2 3 2 5 2" xfId="26427"/>
    <cellStyle name="40% - Accent5 2 3 2 5 3" xfId="26426"/>
    <cellStyle name="40% - Accent5 2 3 2 6" xfId="26428"/>
    <cellStyle name="40% - Accent5 2 3 2 7" xfId="26413"/>
    <cellStyle name="40% - Accent5 2 3 3" xfId="1849"/>
    <cellStyle name="40% - Accent5 2 3 3 2" xfId="8134"/>
    <cellStyle name="40% - Accent5 2 3 3 2 2" xfId="26431"/>
    <cellStyle name="40% - Accent5 2 3 3 2 3" xfId="26430"/>
    <cellStyle name="40% - Accent5 2 3 3 3" xfId="5007"/>
    <cellStyle name="40% - Accent5 2 3 3 3 2" xfId="26433"/>
    <cellStyle name="40% - Accent5 2 3 3 3 3" xfId="26432"/>
    <cellStyle name="40% - Accent5 2 3 3 4" xfId="11317"/>
    <cellStyle name="40% - Accent5 2 3 3 4 2" xfId="26435"/>
    <cellStyle name="40% - Accent5 2 3 3 4 3" xfId="26434"/>
    <cellStyle name="40% - Accent5 2 3 3 5" xfId="26436"/>
    <cellStyle name="40% - Accent5 2 3 3 6" xfId="26429"/>
    <cellStyle name="40% - Accent5 2 3 4" xfId="6571"/>
    <cellStyle name="40% - Accent5 2 3 4 2" xfId="26438"/>
    <cellStyle name="40% - Accent5 2 3 4 3" xfId="26437"/>
    <cellStyle name="40% - Accent5 2 3 5" xfId="3444"/>
    <cellStyle name="40% - Accent5 2 3 5 2" xfId="26440"/>
    <cellStyle name="40% - Accent5 2 3 5 3" xfId="26439"/>
    <cellStyle name="40% - Accent5 2 3 6" xfId="9888"/>
    <cellStyle name="40% - Accent5 2 3 6 2" xfId="26442"/>
    <cellStyle name="40% - Accent5 2 3 6 3" xfId="26441"/>
    <cellStyle name="40% - Accent5 2 3 7" xfId="26443"/>
    <cellStyle name="40% - Accent5 2 3 8" xfId="26412"/>
    <cellStyle name="40% - Accent5 2 4" xfId="359"/>
    <cellStyle name="40% - Accent5 2 4 2" xfId="1067"/>
    <cellStyle name="40% - Accent5 2 4 2 2" xfId="2633"/>
    <cellStyle name="40% - Accent5 2 4 2 2 2" xfId="8918"/>
    <cellStyle name="40% - Accent5 2 4 2 2 2 2" xfId="26448"/>
    <cellStyle name="40% - Accent5 2 4 2 2 2 3" xfId="26447"/>
    <cellStyle name="40% - Accent5 2 4 2 2 3" xfId="5791"/>
    <cellStyle name="40% - Accent5 2 4 2 2 3 2" xfId="26450"/>
    <cellStyle name="40% - Accent5 2 4 2 2 3 3" xfId="26449"/>
    <cellStyle name="40% - Accent5 2 4 2 2 4" xfId="12101"/>
    <cellStyle name="40% - Accent5 2 4 2 2 4 2" xfId="26452"/>
    <cellStyle name="40% - Accent5 2 4 2 2 4 3" xfId="26451"/>
    <cellStyle name="40% - Accent5 2 4 2 2 5" xfId="26453"/>
    <cellStyle name="40% - Accent5 2 4 2 2 6" xfId="26446"/>
    <cellStyle name="40% - Accent5 2 4 2 3" xfId="7355"/>
    <cellStyle name="40% - Accent5 2 4 2 3 2" xfId="26455"/>
    <cellStyle name="40% - Accent5 2 4 2 3 3" xfId="26454"/>
    <cellStyle name="40% - Accent5 2 4 2 4" xfId="4228"/>
    <cellStyle name="40% - Accent5 2 4 2 4 2" xfId="26457"/>
    <cellStyle name="40% - Accent5 2 4 2 4 3" xfId="26456"/>
    <cellStyle name="40% - Accent5 2 4 2 5" xfId="10538"/>
    <cellStyle name="40% - Accent5 2 4 2 5 2" xfId="26459"/>
    <cellStyle name="40% - Accent5 2 4 2 5 3" xfId="26458"/>
    <cellStyle name="40% - Accent5 2 4 2 6" xfId="26460"/>
    <cellStyle name="40% - Accent5 2 4 2 7" xfId="26445"/>
    <cellStyle name="40% - Accent5 2 4 3" xfId="1953"/>
    <cellStyle name="40% - Accent5 2 4 3 2" xfId="8238"/>
    <cellStyle name="40% - Accent5 2 4 3 2 2" xfId="26463"/>
    <cellStyle name="40% - Accent5 2 4 3 2 3" xfId="26462"/>
    <cellStyle name="40% - Accent5 2 4 3 3" xfId="5111"/>
    <cellStyle name="40% - Accent5 2 4 3 3 2" xfId="26465"/>
    <cellStyle name="40% - Accent5 2 4 3 3 3" xfId="26464"/>
    <cellStyle name="40% - Accent5 2 4 3 4" xfId="11421"/>
    <cellStyle name="40% - Accent5 2 4 3 4 2" xfId="26467"/>
    <cellStyle name="40% - Accent5 2 4 3 4 3" xfId="26466"/>
    <cellStyle name="40% - Accent5 2 4 3 5" xfId="26468"/>
    <cellStyle name="40% - Accent5 2 4 3 6" xfId="26461"/>
    <cellStyle name="40% - Accent5 2 4 4" xfId="6675"/>
    <cellStyle name="40% - Accent5 2 4 4 2" xfId="26470"/>
    <cellStyle name="40% - Accent5 2 4 4 3" xfId="26469"/>
    <cellStyle name="40% - Accent5 2 4 5" xfId="3548"/>
    <cellStyle name="40% - Accent5 2 4 5 2" xfId="26472"/>
    <cellStyle name="40% - Accent5 2 4 5 3" xfId="26471"/>
    <cellStyle name="40% - Accent5 2 4 6" xfId="9980"/>
    <cellStyle name="40% - Accent5 2 4 6 2" xfId="26474"/>
    <cellStyle name="40% - Accent5 2 4 6 3" xfId="26473"/>
    <cellStyle name="40% - Accent5 2 4 7" xfId="26475"/>
    <cellStyle name="40% - Accent5 2 4 8" xfId="26444"/>
    <cellStyle name="40% - Accent5 2 5" xfId="431"/>
    <cellStyle name="40% - Accent5 2 5 2" xfId="1138"/>
    <cellStyle name="40% - Accent5 2 5 2 2" xfId="2703"/>
    <cellStyle name="40% - Accent5 2 5 2 2 2" xfId="8988"/>
    <cellStyle name="40% - Accent5 2 5 2 2 2 2" xfId="26480"/>
    <cellStyle name="40% - Accent5 2 5 2 2 2 3" xfId="26479"/>
    <cellStyle name="40% - Accent5 2 5 2 2 3" xfId="5861"/>
    <cellStyle name="40% - Accent5 2 5 2 2 3 2" xfId="26482"/>
    <cellStyle name="40% - Accent5 2 5 2 2 3 3" xfId="26481"/>
    <cellStyle name="40% - Accent5 2 5 2 2 4" xfId="12171"/>
    <cellStyle name="40% - Accent5 2 5 2 2 4 2" xfId="26484"/>
    <cellStyle name="40% - Accent5 2 5 2 2 4 3" xfId="26483"/>
    <cellStyle name="40% - Accent5 2 5 2 2 5" xfId="26485"/>
    <cellStyle name="40% - Accent5 2 5 2 2 6" xfId="26478"/>
    <cellStyle name="40% - Accent5 2 5 2 3" xfId="7425"/>
    <cellStyle name="40% - Accent5 2 5 2 3 2" xfId="26487"/>
    <cellStyle name="40% - Accent5 2 5 2 3 3" xfId="26486"/>
    <cellStyle name="40% - Accent5 2 5 2 4" xfId="4298"/>
    <cellStyle name="40% - Accent5 2 5 2 4 2" xfId="26489"/>
    <cellStyle name="40% - Accent5 2 5 2 4 3" xfId="26488"/>
    <cellStyle name="40% - Accent5 2 5 2 5" xfId="10608"/>
    <cellStyle name="40% - Accent5 2 5 2 5 2" xfId="26491"/>
    <cellStyle name="40% - Accent5 2 5 2 5 3" xfId="26490"/>
    <cellStyle name="40% - Accent5 2 5 2 6" xfId="26492"/>
    <cellStyle name="40% - Accent5 2 5 2 7" xfId="26477"/>
    <cellStyle name="40% - Accent5 2 5 3" xfId="2023"/>
    <cellStyle name="40% - Accent5 2 5 3 2" xfId="8308"/>
    <cellStyle name="40% - Accent5 2 5 3 2 2" xfId="26495"/>
    <cellStyle name="40% - Accent5 2 5 3 2 3" xfId="26494"/>
    <cellStyle name="40% - Accent5 2 5 3 3" xfId="5181"/>
    <cellStyle name="40% - Accent5 2 5 3 3 2" xfId="26497"/>
    <cellStyle name="40% - Accent5 2 5 3 3 3" xfId="26496"/>
    <cellStyle name="40% - Accent5 2 5 3 4" xfId="11491"/>
    <cellStyle name="40% - Accent5 2 5 3 4 2" xfId="26499"/>
    <cellStyle name="40% - Accent5 2 5 3 4 3" xfId="26498"/>
    <cellStyle name="40% - Accent5 2 5 3 5" xfId="26500"/>
    <cellStyle name="40% - Accent5 2 5 3 6" xfId="26493"/>
    <cellStyle name="40% - Accent5 2 5 4" xfId="6745"/>
    <cellStyle name="40% - Accent5 2 5 4 2" xfId="26502"/>
    <cellStyle name="40% - Accent5 2 5 4 3" xfId="26501"/>
    <cellStyle name="40% - Accent5 2 5 5" xfId="3618"/>
    <cellStyle name="40% - Accent5 2 5 5 2" xfId="26504"/>
    <cellStyle name="40% - Accent5 2 5 5 3" xfId="26503"/>
    <cellStyle name="40% - Accent5 2 5 6" xfId="10051"/>
    <cellStyle name="40% - Accent5 2 5 6 2" xfId="26506"/>
    <cellStyle name="40% - Accent5 2 5 6 3" xfId="26505"/>
    <cellStyle name="40% - Accent5 2 5 7" xfId="26507"/>
    <cellStyle name="40% - Accent5 2 5 8" xfId="26476"/>
    <cellStyle name="40% - Accent5 2 6" xfId="586"/>
    <cellStyle name="40% - Accent5 2 6 2" xfId="1293"/>
    <cellStyle name="40% - Accent5 2 6 2 2" xfId="2858"/>
    <cellStyle name="40% - Accent5 2 6 2 2 2" xfId="9143"/>
    <cellStyle name="40% - Accent5 2 6 2 2 2 2" xfId="26512"/>
    <cellStyle name="40% - Accent5 2 6 2 2 2 3" xfId="26511"/>
    <cellStyle name="40% - Accent5 2 6 2 2 3" xfId="6016"/>
    <cellStyle name="40% - Accent5 2 6 2 2 3 2" xfId="26514"/>
    <cellStyle name="40% - Accent5 2 6 2 2 3 3" xfId="26513"/>
    <cellStyle name="40% - Accent5 2 6 2 2 4" xfId="12326"/>
    <cellStyle name="40% - Accent5 2 6 2 2 4 2" xfId="26516"/>
    <cellStyle name="40% - Accent5 2 6 2 2 4 3" xfId="26515"/>
    <cellStyle name="40% - Accent5 2 6 2 2 5" xfId="26517"/>
    <cellStyle name="40% - Accent5 2 6 2 2 6" xfId="26510"/>
    <cellStyle name="40% - Accent5 2 6 2 3" xfId="7580"/>
    <cellStyle name="40% - Accent5 2 6 2 3 2" xfId="26519"/>
    <cellStyle name="40% - Accent5 2 6 2 3 3" xfId="26518"/>
    <cellStyle name="40% - Accent5 2 6 2 4" xfId="4453"/>
    <cellStyle name="40% - Accent5 2 6 2 4 2" xfId="26521"/>
    <cellStyle name="40% - Accent5 2 6 2 4 3" xfId="26520"/>
    <cellStyle name="40% - Accent5 2 6 2 5" xfId="10763"/>
    <cellStyle name="40% - Accent5 2 6 2 5 2" xfId="26523"/>
    <cellStyle name="40% - Accent5 2 6 2 5 3" xfId="26522"/>
    <cellStyle name="40% - Accent5 2 6 2 6" xfId="26524"/>
    <cellStyle name="40% - Accent5 2 6 2 7" xfId="26509"/>
    <cellStyle name="40% - Accent5 2 6 3" xfId="2178"/>
    <cellStyle name="40% - Accent5 2 6 3 2" xfId="8463"/>
    <cellStyle name="40% - Accent5 2 6 3 2 2" xfId="26527"/>
    <cellStyle name="40% - Accent5 2 6 3 2 3" xfId="26526"/>
    <cellStyle name="40% - Accent5 2 6 3 3" xfId="5336"/>
    <cellStyle name="40% - Accent5 2 6 3 3 2" xfId="26529"/>
    <cellStyle name="40% - Accent5 2 6 3 3 3" xfId="26528"/>
    <cellStyle name="40% - Accent5 2 6 3 4" xfId="11646"/>
    <cellStyle name="40% - Accent5 2 6 3 4 2" xfId="26531"/>
    <cellStyle name="40% - Accent5 2 6 3 4 3" xfId="26530"/>
    <cellStyle name="40% - Accent5 2 6 3 5" xfId="26532"/>
    <cellStyle name="40% - Accent5 2 6 3 6" xfId="26525"/>
    <cellStyle name="40% - Accent5 2 6 4" xfId="6900"/>
    <cellStyle name="40% - Accent5 2 6 4 2" xfId="26534"/>
    <cellStyle name="40% - Accent5 2 6 4 3" xfId="26533"/>
    <cellStyle name="40% - Accent5 2 6 5" xfId="3773"/>
    <cellStyle name="40% - Accent5 2 6 5 2" xfId="26536"/>
    <cellStyle name="40% - Accent5 2 6 5 3" xfId="26535"/>
    <cellStyle name="40% - Accent5 2 6 6" xfId="10205"/>
    <cellStyle name="40% - Accent5 2 6 6 2" xfId="26538"/>
    <cellStyle name="40% - Accent5 2 6 6 3" xfId="26537"/>
    <cellStyle name="40% - Accent5 2 6 7" xfId="26539"/>
    <cellStyle name="40% - Accent5 2 6 8" xfId="26508"/>
    <cellStyle name="40% - Accent5 2 7" xfId="645"/>
    <cellStyle name="40% - Accent5 2 7 2" xfId="1350"/>
    <cellStyle name="40% - Accent5 2 7 2 2" xfId="2915"/>
    <cellStyle name="40% - Accent5 2 7 2 2 2" xfId="9200"/>
    <cellStyle name="40% - Accent5 2 7 2 2 2 2" xfId="26544"/>
    <cellStyle name="40% - Accent5 2 7 2 2 2 3" xfId="26543"/>
    <cellStyle name="40% - Accent5 2 7 2 2 3" xfId="6073"/>
    <cellStyle name="40% - Accent5 2 7 2 2 3 2" xfId="26546"/>
    <cellStyle name="40% - Accent5 2 7 2 2 3 3" xfId="26545"/>
    <cellStyle name="40% - Accent5 2 7 2 2 4" xfId="12383"/>
    <cellStyle name="40% - Accent5 2 7 2 2 4 2" xfId="26548"/>
    <cellStyle name="40% - Accent5 2 7 2 2 4 3" xfId="26547"/>
    <cellStyle name="40% - Accent5 2 7 2 2 5" xfId="26549"/>
    <cellStyle name="40% - Accent5 2 7 2 2 6" xfId="26542"/>
    <cellStyle name="40% - Accent5 2 7 2 3" xfId="7637"/>
    <cellStyle name="40% - Accent5 2 7 2 3 2" xfId="26551"/>
    <cellStyle name="40% - Accent5 2 7 2 3 3" xfId="26550"/>
    <cellStyle name="40% - Accent5 2 7 2 4" xfId="4510"/>
    <cellStyle name="40% - Accent5 2 7 2 4 2" xfId="26553"/>
    <cellStyle name="40% - Accent5 2 7 2 4 3" xfId="26552"/>
    <cellStyle name="40% - Accent5 2 7 2 5" xfId="10820"/>
    <cellStyle name="40% - Accent5 2 7 2 5 2" xfId="26555"/>
    <cellStyle name="40% - Accent5 2 7 2 5 3" xfId="26554"/>
    <cellStyle name="40% - Accent5 2 7 2 6" xfId="26556"/>
    <cellStyle name="40% - Accent5 2 7 2 7" xfId="26541"/>
    <cellStyle name="40% - Accent5 2 7 3" xfId="2235"/>
    <cellStyle name="40% - Accent5 2 7 3 2" xfId="8520"/>
    <cellStyle name="40% - Accent5 2 7 3 2 2" xfId="26559"/>
    <cellStyle name="40% - Accent5 2 7 3 2 3" xfId="26558"/>
    <cellStyle name="40% - Accent5 2 7 3 3" xfId="5393"/>
    <cellStyle name="40% - Accent5 2 7 3 3 2" xfId="26561"/>
    <cellStyle name="40% - Accent5 2 7 3 3 3" xfId="26560"/>
    <cellStyle name="40% - Accent5 2 7 3 4" xfId="11703"/>
    <cellStyle name="40% - Accent5 2 7 3 4 2" xfId="26563"/>
    <cellStyle name="40% - Accent5 2 7 3 4 3" xfId="26562"/>
    <cellStyle name="40% - Accent5 2 7 3 5" xfId="26564"/>
    <cellStyle name="40% - Accent5 2 7 3 6" xfId="26557"/>
    <cellStyle name="40% - Accent5 2 7 4" xfId="6957"/>
    <cellStyle name="40% - Accent5 2 7 4 2" xfId="26566"/>
    <cellStyle name="40% - Accent5 2 7 4 3" xfId="26565"/>
    <cellStyle name="40% - Accent5 2 7 5" xfId="3830"/>
    <cellStyle name="40% - Accent5 2 7 5 2" xfId="26568"/>
    <cellStyle name="40% - Accent5 2 7 5 3" xfId="26567"/>
    <cellStyle name="40% - Accent5 2 7 6" xfId="10263"/>
    <cellStyle name="40% - Accent5 2 7 6 2" xfId="26570"/>
    <cellStyle name="40% - Accent5 2 7 6 3" xfId="26569"/>
    <cellStyle name="40% - Accent5 2 7 7" xfId="26571"/>
    <cellStyle name="40% - Accent5 2 7 8" xfId="26540"/>
    <cellStyle name="40% - Accent5 2 8" xfId="863"/>
    <cellStyle name="40% - Accent5 2 8 2" xfId="2429"/>
    <cellStyle name="40% - Accent5 2 8 2 2" xfId="8714"/>
    <cellStyle name="40% - Accent5 2 8 2 2 2" xfId="26575"/>
    <cellStyle name="40% - Accent5 2 8 2 2 3" xfId="26574"/>
    <cellStyle name="40% - Accent5 2 8 2 3" xfId="5587"/>
    <cellStyle name="40% - Accent5 2 8 2 3 2" xfId="26577"/>
    <cellStyle name="40% - Accent5 2 8 2 3 3" xfId="26576"/>
    <cellStyle name="40% - Accent5 2 8 2 4" xfId="11897"/>
    <cellStyle name="40% - Accent5 2 8 2 4 2" xfId="26579"/>
    <cellStyle name="40% - Accent5 2 8 2 4 3" xfId="26578"/>
    <cellStyle name="40% - Accent5 2 8 2 5" xfId="26580"/>
    <cellStyle name="40% - Accent5 2 8 2 6" xfId="26573"/>
    <cellStyle name="40% - Accent5 2 8 3" xfId="7151"/>
    <cellStyle name="40% - Accent5 2 8 3 2" xfId="26582"/>
    <cellStyle name="40% - Accent5 2 8 3 3" xfId="26581"/>
    <cellStyle name="40% - Accent5 2 8 4" xfId="4024"/>
    <cellStyle name="40% - Accent5 2 8 4 2" xfId="26584"/>
    <cellStyle name="40% - Accent5 2 8 4 3" xfId="26583"/>
    <cellStyle name="40% - Accent5 2 8 5" xfId="10334"/>
    <cellStyle name="40% - Accent5 2 8 5 2" xfId="26586"/>
    <cellStyle name="40% - Accent5 2 8 5 3" xfId="26585"/>
    <cellStyle name="40% - Accent5 2 8 6" xfId="26587"/>
    <cellStyle name="40% - Accent5 2 8 7" xfId="26572"/>
    <cellStyle name="40% - Accent5 2 9" xfId="1552"/>
    <cellStyle name="40% - Accent5 2 9 2" xfId="3117"/>
    <cellStyle name="40% - Accent5 2 9 2 2" xfId="9402"/>
    <cellStyle name="40% - Accent5 2 9 2 2 2" xfId="26591"/>
    <cellStyle name="40% - Accent5 2 9 2 2 3" xfId="26590"/>
    <cellStyle name="40% - Accent5 2 9 2 3" xfId="6275"/>
    <cellStyle name="40% - Accent5 2 9 2 3 2" xfId="26593"/>
    <cellStyle name="40% - Accent5 2 9 2 3 3" xfId="26592"/>
    <cellStyle name="40% - Accent5 2 9 2 4" xfId="12585"/>
    <cellStyle name="40% - Accent5 2 9 2 4 2" xfId="26595"/>
    <cellStyle name="40% - Accent5 2 9 2 4 3" xfId="26594"/>
    <cellStyle name="40% - Accent5 2 9 2 5" xfId="26596"/>
    <cellStyle name="40% - Accent5 2 9 2 6" xfId="26589"/>
    <cellStyle name="40% - Accent5 2 9 3" xfId="7839"/>
    <cellStyle name="40% - Accent5 2 9 3 2" xfId="26598"/>
    <cellStyle name="40% - Accent5 2 9 3 3" xfId="26597"/>
    <cellStyle name="40% - Accent5 2 9 4" xfId="4712"/>
    <cellStyle name="40% - Accent5 2 9 4 2" xfId="26600"/>
    <cellStyle name="40% - Accent5 2 9 4 3" xfId="26599"/>
    <cellStyle name="40% - Accent5 2 9 5" xfId="11022"/>
    <cellStyle name="40% - Accent5 2 9 5 2" xfId="26602"/>
    <cellStyle name="40% - Accent5 2 9 5 3" xfId="26601"/>
    <cellStyle name="40% - Accent5 2 9 6" xfId="26603"/>
    <cellStyle name="40% - Accent5 2 9 7" xfId="26588"/>
    <cellStyle name="40% - Accent5 20" xfId="1734"/>
    <cellStyle name="40% - Accent5 20 2" xfId="8021"/>
    <cellStyle name="40% - Accent5 20 2 2" xfId="26606"/>
    <cellStyle name="40% - Accent5 20 2 3" xfId="26605"/>
    <cellStyle name="40% - Accent5 20 3" xfId="4894"/>
    <cellStyle name="40% - Accent5 20 3 2" xfId="26608"/>
    <cellStyle name="40% - Accent5 20 3 3" xfId="26607"/>
    <cellStyle name="40% - Accent5 20 4" xfId="11204"/>
    <cellStyle name="40% - Accent5 20 4 2" xfId="26610"/>
    <cellStyle name="40% - Accent5 20 4 3" xfId="26609"/>
    <cellStyle name="40% - Accent5 20 5" xfId="26611"/>
    <cellStyle name="40% - Accent5 20 6" xfId="26604"/>
    <cellStyle name="40% - Accent5 21" xfId="113"/>
    <cellStyle name="40% - Accent5 21 2" xfId="6458"/>
    <cellStyle name="40% - Accent5 21 2 2" xfId="26614"/>
    <cellStyle name="40% - Accent5 21 2 3" xfId="26613"/>
    <cellStyle name="40% - Accent5 21 3" xfId="26615"/>
    <cellStyle name="40% - Accent5 21 4" xfId="26612"/>
    <cellStyle name="40% - Accent5 22" xfId="3302"/>
    <cellStyle name="40% - Accent5 22 2" xfId="9585"/>
    <cellStyle name="40% - Accent5 22 2 2" xfId="26618"/>
    <cellStyle name="40% - Accent5 22 2 3" xfId="26617"/>
    <cellStyle name="40% - Accent5 22 3" xfId="26619"/>
    <cellStyle name="40% - Accent5 22 4" xfId="26616"/>
    <cellStyle name="40% - Accent5 23" xfId="3331"/>
    <cellStyle name="40% - Accent5 23 2" xfId="26621"/>
    <cellStyle name="40% - Accent5 23 3" xfId="26620"/>
    <cellStyle name="40% - Accent5 24" xfId="9638"/>
    <cellStyle name="40% - Accent5 24 2" xfId="26623"/>
    <cellStyle name="40% - Accent5 24 3" xfId="26622"/>
    <cellStyle name="40% - Accent5 25" xfId="26624"/>
    <cellStyle name="40% - Accent5 26" xfId="26037"/>
    <cellStyle name="40% - Accent5 27" xfId="38150"/>
    <cellStyle name="40% - Accent5 3" xfId="82"/>
    <cellStyle name="40% - Accent5 3 10" xfId="1763"/>
    <cellStyle name="40% - Accent5 3 10 2" xfId="8048"/>
    <cellStyle name="40% - Accent5 3 10 2 2" xfId="26628"/>
    <cellStyle name="40% - Accent5 3 10 2 3" xfId="26627"/>
    <cellStyle name="40% - Accent5 3 10 3" xfId="4921"/>
    <cellStyle name="40% - Accent5 3 10 3 2" xfId="26630"/>
    <cellStyle name="40% - Accent5 3 10 3 3" xfId="26629"/>
    <cellStyle name="40% - Accent5 3 10 4" xfId="11231"/>
    <cellStyle name="40% - Accent5 3 10 4 2" xfId="26632"/>
    <cellStyle name="40% - Accent5 3 10 4 3" xfId="26631"/>
    <cellStyle name="40% - Accent5 3 10 5" xfId="26633"/>
    <cellStyle name="40% - Accent5 3 10 6" xfId="26626"/>
    <cellStyle name="40% - Accent5 3 11" xfId="140"/>
    <cellStyle name="40% - Accent5 3 11 2" xfId="6485"/>
    <cellStyle name="40% - Accent5 3 11 2 2" xfId="26636"/>
    <cellStyle name="40% - Accent5 3 11 2 3" xfId="26635"/>
    <cellStyle name="40% - Accent5 3 11 3" xfId="26637"/>
    <cellStyle name="40% - Accent5 3 11 4" xfId="26634"/>
    <cellStyle name="40% - Accent5 3 12" xfId="3358"/>
    <cellStyle name="40% - Accent5 3 12 2" xfId="26639"/>
    <cellStyle name="40% - Accent5 3 12 3" xfId="26638"/>
    <cellStyle name="40% - Accent5 3 13" xfId="9621"/>
    <cellStyle name="40% - Accent5 3 13 2" xfId="26641"/>
    <cellStyle name="40% - Accent5 3 13 3" xfId="26640"/>
    <cellStyle name="40% - Accent5 3 14" xfId="26642"/>
    <cellStyle name="40% - Accent5 3 15" xfId="26625"/>
    <cellStyle name="40% - Accent5 3 16" xfId="38152"/>
    <cellStyle name="40% - Accent5 3 2" xfId="177"/>
    <cellStyle name="40% - Accent5 3 2 2" xfId="310"/>
    <cellStyle name="40% - Accent5 3 2 2 2" xfId="1020"/>
    <cellStyle name="40% - Accent5 3 2 2 2 2" xfId="2586"/>
    <cellStyle name="40% - Accent5 3 2 2 2 2 2" xfId="8871"/>
    <cellStyle name="40% - Accent5 3 2 2 2 2 2 2" xfId="26648"/>
    <cellStyle name="40% - Accent5 3 2 2 2 2 2 3" xfId="26647"/>
    <cellStyle name="40% - Accent5 3 2 2 2 2 3" xfId="5744"/>
    <cellStyle name="40% - Accent5 3 2 2 2 2 3 2" xfId="26650"/>
    <cellStyle name="40% - Accent5 3 2 2 2 2 3 3" xfId="26649"/>
    <cellStyle name="40% - Accent5 3 2 2 2 2 4" xfId="12054"/>
    <cellStyle name="40% - Accent5 3 2 2 2 2 4 2" xfId="26652"/>
    <cellStyle name="40% - Accent5 3 2 2 2 2 4 3" xfId="26651"/>
    <cellStyle name="40% - Accent5 3 2 2 2 2 5" xfId="26653"/>
    <cellStyle name="40% - Accent5 3 2 2 2 2 6" xfId="26646"/>
    <cellStyle name="40% - Accent5 3 2 2 2 3" xfId="7308"/>
    <cellStyle name="40% - Accent5 3 2 2 2 3 2" xfId="26655"/>
    <cellStyle name="40% - Accent5 3 2 2 2 3 3" xfId="26654"/>
    <cellStyle name="40% - Accent5 3 2 2 2 4" xfId="4181"/>
    <cellStyle name="40% - Accent5 3 2 2 2 4 2" xfId="26657"/>
    <cellStyle name="40% - Accent5 3 2 2 2 4 3" xfId="26656"/>
    <cellStyle name="40% - Accent5 3 2 2 2 5" xfId="10491"/>
    <cellStyle name="40% - Accent5 3 2 2 2 5 2" xfId="26659"/>
    <cellStyle name="40% - Accent5 3 2 2 2 5 3" xfId="26658"/>
    <cellStyle name="40% - Accent5 3 2 2 2 6" xfId="26660"/>
    <cellStyle name="40% - Accent5 3 2 2 2 7" xfId="26645"/>
    <cellStyle name="40% - Accent5 3 2 2 3" xfId="1906"/>
    <cellStyle name="40% - Accent5 3 2 2 3 2" xfId="8191"/>
    <cellStyle name="40% - Accent5 3 2 2 3 2 2" xfId="26663"/>
    <cellStyle name="40% - Accent5 3 2 2 3 2 3" xfId="26662"/>
    <cellStyle name="40% - Accent5 3 2 2 3 3" xfId="5064"/>
    <cellStyle name="40% - Accent5 3 2 2 3 3 2" xfId="26665"/>
    <cellStyle name="40% - Accent5 3 2 2 3 3 3" xfId="26664"/>
    <cellStyle name="40% - Accent5 3 2 2 3 4" xfId="11374"/>
    <cellStyle name="40% - Accent5 3 2 2 3 4 2" xfId="26667"/>
    <cellStyle name="40% - Accent5 3 2 2 3 4 3" xfId="26666"/>
    <cellStyle name="40% - Accent5 3 2 2 3 5" xfId="26668"/>
    <cellStyle name="40% - Accent5 3 2 2 3 6" xfId="26661"/>
    <cellStyle name="40% - Accent5 3 2 2 4" xfId="6628"/>
    <cellStyle name="40% - Accent5 3 2 2 4 2" xfId="26670"/>
    <cellStyle name="40% - Accent5 3 2 2 4 3" xfId="26669"/>
    <cellStyle name="40% - Accent5 3 2 2 5" xfId="3501"/>
    <cellStyle name="40% - Accent5 3 2 2 5 2" xfId="26672"/>
    <cellStyle name="40% - Accent5 3 2 2 5 3" xfId="26671"/>
    <cellStyle name="40% - Accent5 3 2 2 6" xfId="9804"/>
    <cellStyle name="40% - Accent5 3 2 2 6 2" xfId="26674"/>
    <cellStyle name="40% - Accent5 3 2 2 6 3" xfId="26673"/>
    <cellStyle name="40% - Accent5 3 2 2 7" xfId="26675"/>
    <cellStyle name="40% - Accent5 3 2 2 8" xfId="26644"/>
    <cellStyle name="40% - Accent5 3 2 3" xfId="913"/>
    <cellStyle name="40% - Accent5 3 2 3 2" xfId="2479"/>
    <cellStyle name="40% - Accent5 3 2 3 2 2" xfId="8764"/>
    <cellStyle name="40% - Accent5 3 2 3 2 2 2" xfId="26679"/>
    <cellStyle name="40% - Accent5 3 2 3 2 2 3" xfId="26678"/>
    <cellStyle name="40% - Accent5 3 2 3 2 3" xfId="5637"/>
    <cellStyle name="40% - Accent5 3 2 3 2 3 2" xfId="26681"/>
    <cellStyle name="40% - Accent5 3 2 3 2 3 3" xfId="26680"/>
    <cellStyle name="40% - Accent5 3 2 3 2 4" xfId="11947"/>
    <cellStyle name="40% - Accent5 3 2 3 2 4 2" xfId="26683"/>
    <cellStyle name="40% - Accent5 3 2 3 2 4 3" xfId="26682"/>
    <cellStyle name="40% - Accent5 3 2 3 2 5" xfId="26684"/>
    <cellStyle name="40% - Accent5 3 2 3 2 6" xfId="26677"/>
    <cellStyle name="40% - Accent5 3 2 3 3" xfId="7201"/>
    <cellStyle name="40% - Accent5 3 2 3 3 2" xfId="26686"/>
    <cellStyle name="40% - Accent5 3 2 3 3 3" xfId="26685"/>
    <cellStyle name="40% - Accent5 3 2 3 4" xfId="4074"/>
    <cellStyle name="40% - Accent5 3 2 3 4 2" xfId="26688"/>
    <cellStyle name="40% - Accent5 3 2 3 4 3" xfId="26687"/>
    <cellStyle name="40% - Accent5 3 2 3 5" xfId="10384"/>
    <cellStyle name="40% - Accent5 3 2 3 5 2" xfId="26690"/>
    <cellStyle name="40% - Accent5 3 2 3 5 3" xfId="26689"/>
    <cellStyle name="40% - Accent5 3 2 3 6" xfId="26691"/>
    <cellStyle name="40% - Accent5 3 2 3 7" xfId="26676"/>
    <cellStyle name="40% - Accent5 3 2 4" xfId="1799"/>
    <cellStyle name="40% - Accent5 3 2 4 2" xfId="8084"/>
    <cellStyle name="40% - Accent5 3 2 4 2 2" xfId="26694"/>
    <cellStyle name="40% - Accent5 3 2 4 2 3" xfId="26693"/>
    <cellStyle name="40% - Accent5 3 2 4 3" xfId="4957"/>
    <cellStyle name="40% - Accent5 3 2 4 3 2" xfId="26696"/>
    <cellStyle name="40% - Accent5 3 2 4 3 3" xfId="26695"/>
    <cellStyle name="40% - Accent5 3 2 4 4" xfId="11267"/>
    <cellStyle name="40% - Accent5 3 2 4 4 2" xfId="26698"/>
    <cellStyle name="40% - Accent5 3 2 4 4 3" xfId="26697"/>
    <cellStyle name="40% - Accent5 3 2 4 5" xfId="26699"/>
    <cellStyle name="40% - Accent5 3 2 4 6" xfId="26692"/>
    <cellStyle name="40% - Accent5 3 2 5" xfId="6521"/>
    <cellStyle name="40% - Accent5 3 2 5 2" xfId="26701"/>
    <cellStyle name="40% - Accent5 3 2 5 3" xfId="26700"/>
    <cellStyle name="40% - Accent5 3 2 6" xfId="3394"/>
    <cellStyle name="40% - Accent5 3 2 6 2" xfId="26703"/>
    <cellStyle name="40% - Accent5 3 2 6 3" xfId="26702"/>
    <cellStyle name="40% - Accent5 3 2 7" xfId="9909"/>
    <cellStyle name="40% - Accent5 3 2 7 2" xfId="26705"/>
    <cellStyle name="40% - Accent5 3 2 7 3" xfId="26704"/>
    <cellStyle name="40% - Accent5 3 2 8" xfId="26706"/>
    <cellStyle name="40% - Accent5 3 2 9" xfId="26643"/>
    <cellStyle name="40% - Accent5 3 3" xfId="253"/>
    <cellStyle name="40% - Accent5 3 3 2" xfId="964"/>
    <cellStyle name="40% - Accent5 3 3 2 2" xfId="2530"/>
    <cellStyle name="40% - Accent5 3 3 2 2 2" xfId="8815"/>
    <cellStyle name="40% - Accent5 3 3 2 2 2 2" xfId="26711"/>
    <cellStyle name="40% - Accent5 3 3 2 2 2 3" xfId="26710"/>
    <cellStyle name="40% - Accent5 3 3 2 2 3" xfId="5688"/>
    <cellStyle name="40% - Accent5 3 3 2 2 3 2" xfId="26713"/>
    <cellStyle name="40% - Accent5 3 3 2 2 3 3" xfId="26712"/>
    <cellStyle name="40% - Accent5 3 3 2 2 4" xfId="11998"/>
    <cellStyle name="40% - Accent5 3 3 2 2 4 2" xfId="26715"/>
    <cellStyle name="40% - Accent5 3 3 2 2 4 3" xfId="26714"/>
    <cellStyle name="40% - Accent5 3 3 2 2 5" xfId="26716"/>
    <cellStyle name="40% - Accent5 3 3 2 2 6" xfId="26709"/>
    <cellStyle name="40% - Accent5 3 3 2 3" xfId="7252"/>
    <cellStyle name="40% - Accent5 3 3 2 3 2" xfId="26718"/>
    <cellStyle name="40% - Accent5 3 3 2 3 3" xfId="26717"/>
    <cellStyle name="40% - Accent5 3 3 2 4" xfId="4125"/>
    <cellStyle name="40% - Accent5 3 3 2 4 2" xfId="26720"/>
    <cellStyle name="40% - Accent5 3 3 2 4 3" xfId="26719"/>
    <cellStyle name="40% - Accent5 3 3 2 5" xfId="10435"/>
    <cellStyle name="40% - Accent5 3 3 2 5 2" xfId="26722"/>
    <cellStyle name="40% - Accent5 3 3 2 5 3" xfId="26721"/>
    <cellStyle name="40% - Accent5 3 3 2 6" xfId="26723"/>
    <cellStyle name="40% - Accent5 3 3 2 7" xfId="26708"/>
    <cellStyle name="40% - Accent5 3 3 3" xfId="1850"/>
    <cellStyle name="40% - Accent5 3 3 3 2" xfId="8135"/>
    <cellStyle name="40% - Accent5 3 3 3 2 2" xfId="26726"/>
    <cellStyle name="40% - Accent5 3 3 3 2 3" xfId="26725"/>
    <cellStyle name="40% - Accent5 3 3 3 3" xfId="5008"/>
    <cellStyle name="40% - Accent5 3 3 3 3 2" xfId="26728"/>
    <cellStyle name="40% - Accent5 3 3 3 3 3" xfId="26727"/>
    <cellStyle name="40% - Accent5 3 3 3 4" xfId="11318"/>
    <cellStyle name="40% - Accent5 3 3 3 4 2" xfId="26730"/>
    <cellStyle name="40% - Accent5 3 3 3 4 3" xfId="26729"/>
    <cellStyle name="40% - Accent5 3 3 3 5" xfId="26731"/>
    <cellStyle name="40% - Accent5 3 3 3 6" xfId="26724"/>
    <cellStyle name="40% - Accent5 3 3 4" xfId="6572"/>
    <cellStyle name="40% - Accent5 3 3 4 2" xfId="26733"/>
    <cellStyle name="40% - Accent5 3 3 4 3" xfId="26732"/>
    <cellStyle name="40% - Accent5 3 3 5" xfId="3445"/>
    <cellStyle name="40% - Accent5 3 3 5 2" xfId="26735"/>
    <cellStyle name="40% - Accent5 3 3 5 3" xfId="26734"/>
    <cellStyle name="40% - Accent5 3 3 6" xfId="9887"/>
    <cellStyle name="40% - Accent5 3 3 6 2" xfId="26737"/>
    <cellStyle name="40% - Accent5 3 3 6 3" xfId="26736"/>
    <cellStyle name="40% - Accent5 3 3 7" xfId="26738"/>
    <cellStyle name="40% - Accent5 3 3 8" xfId="26707"/>
    <cellStyle name="40% - Accent5 3 4" xfId="360"/>
    <cellStyle name="40% - Accent5 3 4 2" xfId="1068"/>
    <cellStyle name="40% - Accent5 3 4 2 2" xfId="2634"/>
    <cellStyle name="40% - Accent5 3 4 2 2 2" xfId="8919"/>
    <cellStyle name="40% - Accent5 3 4 2 2 2 2" xfId="26743"/>
    <cellStyle name="40% - Accent5 3 4 2 2 2 3" xfId="26742"/>
    <cellStyle name="40% - Accent5 3 4 2 2 3" xfId="5792"/>
    <cellStyle name="40% - Accent5 3 4 2 2 3 2" xfId="26745"/>
    <cellStyle name="40% - Accent5 3 4 2 2 3 3" xfId="26744"/>
    <cellStyle name="40% - Accent5 3 4 2 2 4" xfId="12102"/>
    <cellStyle name="40% - Accent5 3 4 2 2 4 2" xfId="26747"/>
    <cellStyle name="40% - Accent5 3 4 2 2 4 3" xfId="26746"/>
    <cellStyle name="40% - Accent5 3 4 2 2 5" xfId="26748"/>
    <cellStyle name="40% - Accent5 3 4 2 2 6" xfId="26741"/>
    <cellStyle name="40% - Accent5 3 4 2 3" xfId="7356"/>
    <cellStyle name="40% - Accent5 3 4 2 3 2" xfId="26750"/>
    <cellStyle name="40% - Accent5 3 4 2 3 3" xfId="26749"/>
    <cellStyle name="40% - Accent5 3 4 2 4" xfId="4229"/>
    <cellStyle name="40% - Accent5 3 4 2 4 2" xfId="26752"/>
    <cellStyle name="40% - Accent5 3 4 2 4 3" xfId="26751"/>
    <cellStyle name="40% - Accent5 3 4 2 5" xfId="10539"/>
    <cellStyle name="40% - Accent5 3 4 2 5 2" xfId="26754"/>
    <cellStyle name="40% - Accent5 3 4 2 5 3" xfId="26753"/>
    <cellStyle name="40% - Accent5 3 4 2 6" xfId="26755"/>
    <cellStyle name="40% - Accent5 3 4 2 7" xfId="26740"/>
    <cellStyle name="40% - Accent5 3 4 3" xfId="1954"/>
    <cellStyle name="40% - Accent5 3 4 3 2" xfId="8239"/>
    <cellStyle name="40% - Accent5 3 4 3 2 2" xfId="26758"/>
    <cellStyle name="40% - Accent5 3 4 3 2 3" xfId="26757"/>
    <cellStyle name="40% - Accent5 3 4 3 3" xfId="5112"/>
    <cellStyle name="40% - Accent5 3 4 3 3 2" xfId="26760"/>
    <cellStyle name="40% - Accent5 3 4 3 3 3" xfId="26759"/>
    <cellStyle name="40% - Accent5 3 4 3 4" xfId="11422"/>
    <cellStyle name="40% - Accent5 3 4 3 4 2" xfId="26762"/>
    <cellStyle name="40% - Accent5 3 4 3 4 3" xfId="26761"/>
    <cellStyle name="40% - Accent5 3 4 3 5" xfId="26763"/>
    <cellStyle name="40% - Accent5 3 4 3 6" xfId="26756"/>
    <cellStyle name="40% - Accent5 3 4 4" xfId="6676"/>
    <cellStyle name="40% - Accent5 3 4 4 2" xfId="26765"/>
    <cellStyle name="40% - Accent5 3 4 4 3" xfId="26764"/>
    <cellStyle name="40% - Accent5 3 4 5" xfId="3549"/>
    <cellStyle name="40% - Accent5 3 4 5 2" xfId="26767"/>
    <cellStyle name="40% - Accent5 3 4 5 3" xfId="26766"/>
    <cellStyle name="40% - Accent5 3 4 6" xfId="9981"/>
    <cellStyle name="40% - Accent5 3 4 6 2" xfId="26769"/>
    <cellStyle name="40% - Accent5 3 4 6 3" xfId="26768"/>
    <cellStyle name="40% - Accent5 3 4 7" xfId="26770"/>
    <cellStyle name="40% - Accent5 3 4 8" xfId="26739"/>
    <cellStyle name="40% - Accent5 3 5" xfId="423"/>
    <cellStyle name="40% - Accent5 3 5 2" xfId="1130"/>
    <cellStyle name="40% - Accent5 3 5 2 2" xfId="2695"/>
    <cellStyle name="40% - Accent5 3 5 2 2 2" xfId="8980"/>
    <cellStyle name="40% - Accent5 3 5 2 2 2 2" xfId="26775"/>
    <cellStyle name="40% - Accent5 3 5 2 2 2 3" xfId="26774"/>
    <cellStyle name="40% - Accent5 3 5 2 2 3" xfId="5853"/>
    <cellStyle name="40% - Accent5 3 5 2 2 3 2" xfId="26777"/>
    <cellStyle name="40% - Accent5 3 5 2 2 3 3" xfId="26776"/>
    <cellStyle name="40% - Accent5 3 5 2 2 4" xfId="12163"/>
    <cellStyle name="40% - Accent5 3 5 2 2 4 2" xfId="26779"/>
    <cellStyle name="40% - Accent5 3 5 2 2 4 3" xfId="26778"/>
    <cellStyle name="40% - Accent5 3 5 2 2 5" xfId="26780"/>
    <cellStyle name="40% - Accent5 3 5 2 2 6" xfId="26773"/>
    <cellStyle name="40% - Accent5 3 5 2 3" xfId="7417"/>
    <cellStyle name="40% - Accent5 3 5 2 3 2" xfId="26782"/>
    <cellStyle name="40% - Accent5 3 5 2 3 3" xfId="26781"/>
    <cellStyle name="40% - Accent5 3 5 2 4" xfId="4290"/>
    <cellStyle name="40% - Accent5 3 5 2 4 2" xfId="26784"/>
    <cellStyle name="40% - Accent5 3 5 2 4 3" xfId="26783"/>
    <cellStyle name="40% - Accent5 3 5 2 5" xfId="10600"/>
    <cellStyle name="40% - Accent5 3 5 2 5 2" xfId="26786"/>
    <cellStyle name="40% - Accent5 3 5 2 5 3" xfId="26785"/>
    <cellStyle name="40% - Accent5 3 5 2 6" xfId="26787"/>
    <cellStyle name="40% - Accent5 3 5 2 7" xfId="26772"/>
    <cellStyle name="40% - Accent5 3 5 3" xfId="2015"/>
    <cellStyle name="40% - Accent5 3 5 3 2" xfId="8300"/>
    <cellStyle name="40% - Accent5 3 5 3 2 2" xfId="26790"/>
    <cellStyle name="40% - Accent5 3 5 3 2 3" xfId="26789"/>
    <cellStyle name="40% - Accent5 3 5 3 3" xfId="5173"/>
    <cellStyle name="40% - Accent5 3 5 3 3 2" xfId="26792"/>
    <cellStyle name="40% - Accent5 3 5 3 3 3" xfId="26791"/>
    <cellStyle name="40% - Accent5 3 5 3 4" xfId="11483"/>
    <cellStyle name="40% - Accent5 3 5 3 4 2" xfId="26794"/>
    <cellStyle name="40% - Accent5 3 5 3 4 3" xfId="26793"/>
    <cellStyle name="40% - Accent5 3 5 3 5" xfId="26795"/>
    <cellStyle name="40% - Accent5 3 5 3 6" xfId="26788"/>
    <cellStyle name="40% - Accent5 3 5 4" xfId="6737"/>
    <cellStyle name="40% - Accent5 3 5 4 2" xfId="26797"/>
    <cellStyle name="40% - Accent5 3 5 4 3" xfId="26796"/>
    <cellStyle name="40% - Accent5 3 5 5" xfId="3610"/>
    <cellStyle name="40% - Accent5 3 5 5 2" xfId="26799"/>
    <cellStyle name="40% - Accent5 3 5 5 3" xfId="26798"/>
    <cellStyle name="40% - Accent5 3 5 6" xfId="10043"/>
    <cellStyle name="40% - Accent5 3 5 6 2" xfId="26801"/>
    <cellStyle name="40% - Accent5 3 5 6 3" xfId="26800"/>
    <cellStyle name="40% - Accent5 3 5 7" xfId="26802"/>
    <cellStyle name="40% - Accent5 3 5 8" xfId="26771"/>
    <cellStyle name="40% - Accent5 3 6" xfId="587"/>
    <cellStyle name="40% - Accent5 3 6 2" xfId="1294"/>
    <cellStyle name="40% - Accent5 3 6 2 2" xfId="2859"/>
    <cellStyle name="40% - Accent5 3 6 2 2 2" xfId="9144"/>
    <cellStyle name="40% - Accent5 3 6 2 2 2 2" xfId="26807"/>
    <cellStyle name="40% - Accent5 3 6 2 2 2 3" xfId="26806"/>
    <cellStyle name="40% - Accent5 3 6 2 2 3" xfId="6017"/>
    <cellStyle name="40% - Accent5 3 6 2 2 3 2" xfId="26809"/>
    <cellStyle name="40% - Accent5 3 6 2 2 3 3" xfId="26808"/>
    <cellStyle name="40% - Accent5 3 6 2 2 4" xfId="12327"/>
    <cellStyle name="40% - Accent5 3 6 2 2 4 2" xfId="26811"/>
    <cellStyle name="40% - Accent5 3 6 2 2 4 3" xfId="26810"/>
    <cellStyle name="40% - Accent5 3 6 2 2 5" xfId="26812"/>
    <cellStyle name="40% - Accent5 3 6 2 2 6" xfId="26805"/>
    <cellStyle name="40% - Accent5 3 6 2 3" xfId="7581"/>
    <cellStyle name="40% - Accent5 3 6 2 3 2" xfId="26814"/>
    <cellStyle name="40% - Accent5 3 6 2 3 3" xfId="26813"/>
    <cellStyle name="40% - Accent5 3 6 2 4" xfId="4454"/>
    <cellStyle name="40% - Accent5 3 6 2 4 2" xfId="26816"/>
    <cellStyle name="40% - Accent5 3 6 2 4 3" xfId="26815"/>
    <cellStyle name="40% - Accent5 3 6 2 5" xfId="10764"/>
    <cellStyle name="40% - Accent5 3 6 2 5 2" xfId="26818"/>
    <cellStyle name="40% - Accent5 3 6 2 5 3" xfId="26817"/>
    <cellStyle name="40% - Accent5 3 6 2 6" xfId="26819"/>
    <cellStyle name="40% - Accent5 3 6 2 7" xfId="26804"/>
    <cellStyle name="40% - Accent5 3 6 3" xfId="2179"/>
    <cellStyle name="40% - Accent5 3 6 3 2" xfId="8464"/>
    <cellStyle name="40% - Accent5 3 6 3 2 2" xfId="26822"/>
    <cellStyle name="40% - Accent5 3 6 3 2 3" xfId="26821"/>
    <cellStyle name="40% - Accent5 3 6 3 3" xfId="5337"/>
    <cellStyle name="40% - Accent5 3 6 3 3 2" xfId="26824"/>
    <cellStyle name="40% - Accent5 3 6 3 3 3" xfId="26823"/>
    <cellStyle name="40% - Accent5 3 6 3 4" xfId="11647"/>
    <cellStyle name="40% - Accent5 3 6 3 4 2" xfId="26826"/>
    <cellStyle name="40% - Accent5 3 6 3 4 3" xfId="26825"/>
    <cellStyle name="40% - Accent5 3 6 3 5" xfId="26827"/>
    <cellStyle name="40% - Accent5 3 6 3 6" xfId="26820"/>
    <cellStyle name="40% - Accent5 3 6 4" xfId="6901"/>
    <cellStyle name="40% - Accent5 3 6 4 2" xfId="26829"/>
    <cellStyle name="40% - Accent5 3 6 4 3" xfId="26828"/>
    <cellStyle name="40% - Accent5 3 6 5" xfId="3774"/>
    <cellStyle name="40% - Accent5 3 6 5 2" xfId="26831"/>
    <cellStyle name="40% - Accent5 3 6 5 3" xfId="26830"/>
    <cellStyle name="40% - Accent5 3 6 6" xfId="10206"/>
    <cellStyle name="40% - Accent5 3 6 6 2" xfId="26833"/>
    <cellStyle name="40% - Accent5 3 6 6 3" xfId="26832"/>
    <cellStyle name="40% - Accent5 3 6 7" xfId="26834"/>
    <cellStyle name="40% - Accent5 3 6 8" xfId="26803"/>
    <cellStyle name="40% - Accent5 3 7" xfId="646"/>
    <cellStyle name="40% - Accent5 3 7 2" xfId="1351"/>
    <cellStyle name="40% - Accent5 3 7 2 2" xfId="2916"/>
    <cellStyle name="40% - Accent5 3 7 2 2 2" xfId="9201"/>
    <cellStyle name="40% - Accent5 3 7 2 2 2 2" xfId="26839"/>
    <cellStyle name="40% - Accent5 3 7 2 2 2 3" xfId="26838"/>
    <cellStyle name="40% - Accent5 3 7 2 2 3" xfId="6074"/>
    <cellStyle name="40% - Accent5 3 7 2 2 3 2" xfId="26841"/>
    <cellStyle name="40% - Accent5 3 7 2 2 3 3" xfId="26840"/>
    <cellStyle name="40% - Accent5 3 7 2 2 4" xfId="12384"/>
    <cellStyle name="40% - Accent5 3 7 2 2 4 2" xfId="26843"/>
    <cellStyle name="40% - Accent5 3 7 2 2 4 3" xfId="26842"/>
    <cellStyle name="40% - Accent5 3 7 2 2 5" xfId="26844"/>
    <cellStyle name="40% - Accent5 3 7 2 2 6" xfId="26837"/>
    <cellStyle name="40% - Accent5 3 7 2 3" xfId="7638"/>
    <cellStyle name="40% - Accent5 3 7 2 3 2" xfId="26846"/>
    <cellStyle name="40% - Accent5 3 7 2 3 3" xfId="26845"/>
    <cellStyle name="40% - Accent5 3 7 2 4" xfId="4511"/>
    <cellStyle name="40% - Accent5 3 7 2 4 2" xfId="26848"/>
    <cellStyle name="40% - Accent5 3 7 2 4 3" xfId="26847"/>
    <cellStyle name="40% - Accent5 3 7 2 5" xfId="10821"/>
    <cellStyle name="40% - Accent5 3 7 2 5 2" xfId="26850"/>
    <cellStyle name="40% - Accent5 3 7 2 5 3" xfId="26849"/>
    <cellStyle name="40% - Accent5 3 7 2 6" xfId="26851"/>
    <cellStyle name="40% - Accent5 3 7 2 7" xfId="26836"/>
    <cellStyle name="40% - Accent5 3 7 3" xfId="2236"/>
    <cellStyle name="40% - Accent5 3 7 3 2" xfId="8521"/>
    <cellStyle name="40% - Accent5 3 7 3 2 2" xfId="26854"/>
    <cellStyle name="40% - Accent5 3 7 3 2 3" xfId="26853"/>
    <cellStyle name="40% - Accent5 3 7 3 3" xfId="5394"/>
    <cellStyle name="40% - Accent5 3 7 3 3 2" xfId="26856"/>
    <cellStyle name="40% - Accent5 3 7 3 3 3" xfId="26855"/>
    <cellStyle name="40% - Accent5 3 7 3 4" xfId="11704"/>
    <cellStyle name="40% - Accent5 3 7 3 4 2" xfId="26858"/>
    <cellStyle name="40% - Accent5 3 7 3 4 3" xfId="26857"/>
    <cellStyle name="40% - Accent5 3 7 3 5" xfId="26859"/>
    <cellStyle name="40% - Accent5 3 7 3 6" xfId="26852"/>
    <cellStyle name="40% - Accent5 3 7 4" xfId="6958"/>
    <cellStyle name="40% - Accent5 3 7 4 2" xfId="26861"/>
    <cellStyle name="40% - Accent5 3 7 4 3" xfId="26860"/>
    <cellStyle name="40% - Accent5 3 7 5" xfId="3831"/>
    <cellStyle name="40% - Accent5 3 7 5 2" xfId="26863"/>
    <cellStyle name="40% - Accent5 3 7 5 3" xfId="26862"/>
    <cellStyle name="40% - Accent5 3 7 6" xfId="10264"/>
    <cellStyle name="40% - Accent5 3 7 6 2" xfId="26865"/>
    <cellStyle name="40% - Accent5 3 7 6 3" xfId="26864"/>
    <cellStyle name="40% - Accent5 3 7 7" xfId="26866"/>
    <cellStyle name="40% - Accent5 3 7 8" xfId="26835"/>
    <cellStyle name="40% - Accent5 3 8" xfId="877"/>
    <cellStyle name="40% - Accent5 3 8 2" xfId="2443"/>
    <cellStyle name="40% - Accent5 3 8 2 2" xfId="8728"/>
    <cellStyle name="40% - Accent5 3 8 2 2 2" xfId="26870"/>
    <cellStyle name="40% - Accent5 3 8 2 2 3" xfId="26869"/>
    <cellStyle name="40% - Accent5 3 8 2 3" xfId="5601"/>
    <cellStyle name="40% - Accent5 3 8 2 3 2" xfId="26872"/>
    <cellStyle name="40% - Accent5 3 8 2 3 3" xfId="26871"/>
    <cellStyle name="40% - Accent5 3 8 2 4" xfId="11911"/>
    <cellStyle name="40% - Accent5 3 8 2 4 2" xfId="26874"/>
    <cellStyle name="40% - Accent5 3 8 2 4 3" xfId="26873"/>
    <cellStyle name="40% - Accent5 3 8 2 5" xfId="26875"/>
    <cellStyle name="40% - Accent5 3 8 2 6" xfId="26868"/>
    <cellStyle name="40% - Accent5 3 8 3" xfId="7165"/>
    <cellStyle name="40% - Accent5 3 8 3 2" xfId="26877"/>
    <cellStyle name="40% - Accent5 3 8 3 3" xfId="26876"/>
    <cellStyle name="40% - Accent5 3 8 4" xfId="4038"/>
    <cellStyle name="40% - Accent5 3 8 4 2" xfId="26879"/>
    <cellStyle name="40% - Accent5 3 8 4 3" xfId="26878"/>
    <cellStyle name="40% - Accent5 3 8 5" xfId="10348"/>
    <cellStyle name="40% - Accent5 3 8 5 2" xfId="26881"/>
    <cellStyle name="40% - Accent5 3 8 5 3" xfId="26880"/>
    <cellStyle name="40% - Accent5 3 8 6" xfId="26882"/>
    <cellStyle name="40% - Accent5 3 8 7" xfId="26867"/>
    <cellStyle name="40% - Accent5 3 9" xfId="1553"/>
    <cellStyle name="40% - Accent5 3 9 2" xfId="3118"/>
    <cellStyle name="40% - Accent5 3 9 2 2" xfId="9403"/>
    <cellStyle name="40% - Accent5 3 9 2 2 2" xfId="26886"/>
    <cellStyle name="40% - Accent5 3 9 2 2 3" xfId="26885"/>
    <cellStyle name="40% - Accent5 3 9 2 3" xfId="6276"/>
    <cellStyle name="40% - Accent5 3 9 2 3 2" xfId="26888"/>
    <cellStyle name="40% - Accent5 3 9 2 3 3" xfId="26887"/>
    <cellStyle name="40% - Accent5 3 9 2 4" xfId="12586"/>
    <cellStyle name="40% - Accent5 3 9 2 4 2" xfId="26890"/>
    <cellStyle name="40% - Accent5 3 9 2 4 3" xfId="26889"/>
    <cellStyle name="40% - Accent5 3 9 2 5" xfId="26891"/>
    <cellStyle name="40% - Accent5 3 9 2 6" xfId="26884"/>
    <cellStyle name="40% - Accent5 3 9 3" xfId="7840"/>
    <cellStyle name="40% - Accent5 3 9 3 2" xfId="26893"/>
    <cellStyle name="40% - Accent5 3 9 3 3" xfId="26892"/>
    <cellStyle name="40% - Accent5 3 9 4" xfId="4713"/>
    <cellStyle name="40% - Accent5 3 9 4 2" xfId="26895"/>
    <cellStyle name="40% - Accent5 3 9 4 3" xfId="26894"/>
    <cellStyle name="40% - Accent5 3 9 5" xfId="11023"/>
    <cellStyle name="40% - Accent5 3 9 5 2" xfId="26897"/>
    <cellStyle name="40% - Accent5 3 9 5 3" xfId="26896"/>
    <cellStyle name="40% - Accent5 3 9 6" xfId="26898"/>
    <cellStyle name="40% - Accent5 3 9 7" xfId="26883"/>
    <cellStyle name="40% - Accent5 4" xfId="178"/>
    <cellStyle name="40% - Accent5 4 10" xfId="6522"/>
    <cellStyle name="40% - Accent5 4 10 2" xfId="26901"/>
    <cellStyle name="40% - Accent5 4 10 3" xfId="26900"/>
    <cellStyle name="40% - Accent5 4 11" xfId="3395"/>
    <cellStyle name="40% - Accent5 4 11 2" xfId="26903"/>
    <cellStyle name="40% - Accent5 4 11 3" xfId="26902"/>
    <cellStyle name="40% - Accent5 4 12" xfId="9622"/>
    <cellStyle name="40% - Accent5 4 12 2" xfId="26905"/>
    <cellStyle name="40% - Accent5 4 12 3" xfId="26904"/>
    <cellStyle name="40% - Accent5 4 13" xfId="26906"/>
    <cellStyle name="40% - Accent5 4 14" xfId="26899"/>
    <cellStyle name="40% - Accent5 4 2" xfId="254"/>
    <cellStyle name="40% - Accent5 4 2 2" xfId="965"/>
    <cellStyle name="40% - Accent5 4 2 2 2" xfId="2531"/>
    <cellStyle name="40% - Accent5 4 2 2 2 2" xfId="8816"/>
    <cellStyle name="40% - Accent5 4 2 2 2 2 2" xfId="26911"/>
    <cellStyle name="40% - Accent5 4 2 2 2 2 3" xfId="26910"/>
    <cellStyle name="40% - Accent5 4 2 2 2 3" xfId="5689"/>
    <cellStyle name="40% - Accent5 4 2 2 2 3 2" xfId="26913"/>
    <cellStyle name="40% - Accent5 4 2 2 2 3 3" xfId="26912"/>
    <cellStyle name="40% - Accent5 4 2 2 2 4" xfId="11999"/>
    <cellStyle name="40% - Accent5 4 2 2 2 4 2" xfId="26915"/>
    <cellStyle name="40% - Accent5 4 2 2 2 4 3" xfId="26914"/>
    <cellStyle name="40% - Accent5 4 2 2 2 5" xfId="26916"/>
    <cellStyle name="40% - Accent5 4 2 2 2 6" xfId="26909"/>
    <cellStyle name="40% - Accent5 4 2 2 3" xfId="7253"/>
    <cellStyle name="40% - Accent5 4 2 2 3 2" xfId="26918"/>
    <cellStyle name="40% - Accent5 4 2 2 3 3" xfId="26917"/>
    <cellStyle name="40% - Accent5 4 2 2 4" xfId="4126"/>
    <cellStyle name="40% - Accent5 4 2 2 4 2" xfId="26920"/>
    <cellStyle name="40% - Accent5 4 2 2 4 3" xfId="26919"/>
    <cellStyle name="40% - Accent5 4 2 2 5" xfId="10436"/>
    <cellStyle name="40% - Accent5 4 2 2 5 2" xfId="26922"/>
    <cellStyle name="40% - Accent5 4 2 2 5 3" xfId="26921"/>
    <cellStyle name="40% - Accent5 4 2 2 6" xfId="26923"/>
    <cellStyle name="40% - Accent5 4 2 2 7" xfId="26908"/>
    <cellStyle name="40% - Accent5 4 2 3" xfId="1851"/>
    <cellStyle name="40% - Accent5 4 2 3 2" xfId="8136"/>
    <cellStyle name="40% - Accent5 4 2 3 2 2" xfId="26926"/>
    <cellStyle name="40% - Accent5 4 2 3 2 3" xfId="26925"/>
    <cellStyle name="40% - Accent5 4 2 3 3" xfId="5009"/>
    <cellStyle name="40% - Accent5 4 2 3 3 2" xfId="26928"/>
    <cellStyle name="40% - Accent5 4 2 3 3 3" xfId="26927"/>
    <cellStyle name="40% - Accent5 4 2 3 4" xfId="11319"/>
    <cellStyle name="40% - Accent5 4 2 3 4 2" xfId="26930"/>
    <cellStyle name="40% - Accent5 4 2 3 4 3" xfId="26929"/>
    <cellStyle name="40% - Accent5 4 2 3 5" xfId="26931"/>
    <cellStyle name="40% - Accent5 4 2 3 6" xfId="26924"/>
    <cellStyle name="40% - Accent5 4 2 4" xfId="6573"/>
    <cellStyle name="40% - Accent5 4 2 4 2" xfId="26933"/>
    <cellStyle name="40% - Accent5 4 2 4 3" xfId="26932"/>
    <cellStyle name="40% - Accent5 4 2 5" xfId="3446"/>
    <cellStyle name="40% - Accent5 4 2 5 2" xfId="26935"/>
    <cellStyle name="40% - Accent5 4 2 5 3" xfId="26934"/>
    <cellStyle name="40% - Accent5 4 2 6" xfId="9886"/>
    <cellStyle name="40% - Accent5 4 2 6 2" xfId="26937"/>
    <cellStyle name="40% - Accent5 4 2 6 3" xfId="26936"/>
    <cellStyle name="40% - Accent5 4 2 7" xfId="26938"/>
    <cellStyle name="40% - Accent5 4 2 8" xfId="26907"/>
    <cellStyle name="40% - Accent5 4 3" xfId="361"/>
    <cellStyle name="40% - Accent5 4 3 2" xfId="1069"/>
    <cellStyle name="40% - Accent5 4 3 2 2" xfId="2635"/>
    <cellStyle name="40% - Accent5 4 3 2 2 2" xfId="8920"/>
    <cellStyle name="40% - Accent5 4 3 2 2 2 2" xfId="26943"/>
    <cellStyle name="40% - Accent5 4 3 2 2 2 3" xfId="26942"/>
    <cellStyle name="40% - Accent5 4 3 2 2 3" xfId="5793"/>
    <cellStyle name="40% - Accent5 4 3 2 2 3 2" xfId="26945"/>
    <cellStyle name="40% - Accent5 4 3 2 2 3 3" xfId="26944"/>
    <cellStyle name="40% - Accent5 4 3 2 2 4" xfId="12103"/>
    <cellStyle name="40% - Accent5 4 3 2 2 4 2" xfId="26947"/>
    <cellStyle name="40% - Accent5 4 3 2 2 4 3" xfId="26946"/>
    <cellStyle name="40% - Accent5 4 3 2 2 5" xfId="26948"/>
    <cellStyle name="40% - Accent5 4 3 2 2 6" xfId="26941"/>
    <cellStyle name="40% - Accent5 4 3 2 3" xfId="7357"/>
    <cellStyle name="40% - Accent5 4 3 2 3 2" xfId="26950"/>
    <cellStyle name="40% - Accent5 4 3 2 3 3" xfId="26949"/>
    <cellStyle name="40% - Accent5 4 3 2 4" xfId="4230"/>
    <cellStyle name="40% - Accent5 4 3 2 4 2" xfId="26952"/>
    <cellStyle name="40% - Accent5 4 3 2 4 3" xfId="26951"/>
    <cellStyle name="40% - Accent5 4 3 2 5" xfId="10540"/>
    <cellStyle name="40% - Accent5 4 3 2 5 2" xfId="26954"/>
    <cellStyle name="40% - Accent5 4 3 2 5 3" xfId="26953"/>
    <cellStyle name="40% - Accent5 4 3 2 6" xfId="26955"/>
    <cellStyle name="40% - Accent5 4 3 2 7" xfId="26940"/>
    <cellStyle name="40% - Accent5 4 3 3" xfId="1955"/>
    <cellStyle name="40% - Accent5 4 3 3 2" xfId="8240"/>
    <cellStyle name="40% - Accent5 4 3 3 2 2" xfId="26958"/>
    <cellStyle name="40% - Accent5 4 3 3 2 3" xfId="26957"/>
    <cellStyle name="40% - Accent5 4 3 3 3" xfId="5113"/>
    <cellStyle name="40% - Accent5 4 3 3 3 2" xfId="26960"/>
    <cellStyle name="40% - Accent5 4 3 3 3 3" xfId="26959"/>
    <cellStyle name="40% - Accent5 4 3 3 4" xfId="11423"/>
    <cellStyle name="40% - Accent5 4 3 3 4 2" xfId="26962"/>
    <cellStyle name="40% - Accent5 4 3 3 4 3" xfId="26961"/>
    <cellStyle name="40% - Accent5 4 3 3 5" xfId="26963"/>
    <cellStyle name="40% - Accent5 4 3 3 6" xfId="26956"/>
    <cellStyle name="40% - Accent5 4 3 4" xfId="6677"/>
    <cellStyle name="40% - Accent5 4 3 4 2" xfId="26965"/>
    <cellStyle name="40% - Accent5 4 3 4 3" xfId="26964"/>
    <cellStyle name="40% - Accent5 4 3 5" xfId="3550"/>
    <cellStyle name="40% - Accent5 4 3 5 2" xfId="26967"/>
    <cellStyle name="40% - Accent5 4 3 5 3" xfId="26966"/>
    <cellStyle name="40% - Accent5 4 3 6" xfId="9982"/>
    <cellStyle name="40% - Accent5 4 3 6 2" xfId="26969"/>
    <cellStyle name="40% - Accent5 4 3 6 3" xfId="26968"/>
    <cellStyle name="40% - Accent5 4 3 7" xfId="26970"/>
    <cellStyle name="40% - Accent5 4 3 8" xfId="26939"/>
    <cellStyle name="40% - Accent5 4 4" xfId="425"/>
    <cellStyle name="40% - Accent5 4 4 2" xfId="1132"/>
    <cellStyle name="40% - Accent5 4 4 2 2" xfId="2697"/>
    <cellStyle name="40% - Accent5 4 4 2 2 2" xfId="8982"/>
    <cellStyle name="40% - Accent5 4 4 2 2 2 2" xfId="26975"/>
    <cellStyle name="40% - Accent5 4 4 2 2 2 3" xfId="26974"/>
    <cellStyle name="40% - Accent5 4 4 2 2 3" xfId="5855"/>
    <cellStyle name="40% - Accent5 4 4 2 2 3 2" xfId="26977"/>
    <cellStyle name="40% - Accent5 4 4 2 2 3 3" xfId="26976"/>
    <cellStyle name="40% - Accent5 4 4 2 2 4" xfId="12165"/>
    <cellStyle name="40% - Accent5 4 4 2 2 4 2" xfId="26979"/>
    <cellStyle name="40% - Accent5 4 4 2 2 4 3" xfId="26978"/>
    <cellStyle name="40% - Accent5 4 4 2 2 5" xfId="26980"/>
    <cellStyle name="40% - Accent5 4 4 2 2 6" xfId="26973"/>
    <cellStyle name="40% - Accent5 4 4 2 3" xfId="7419"/>
    <cellStyle name="40% - Accent5 4 4 2 3 2" xfId="26982"/>
    <cellStyle name="40% - Accent5 4 4 2 3 3" xfId="26981"/>
    <cellStyle name="40% - Accent5 4 4 2 4" xfId="4292"/>
    <cellStyle name="40% - Accent5 4 4 2 4 2" xfId="26984"/>
    <cellStyle name="40% - Accent5 4 4 2 4 3" xfId="26983"/>
    <cellStyle name="40% - Accent5 4 4 2 5" xfId="10602"/>
    <cellStyle name="40% - Accent5 4 4 2 5 2" xfId="26986"/>
    <cellStyle name="40% - Accent5 4 4 2 5 3" xfId="26985"/>
    <cellStyle name="40% - Accent5 4 4 2 6" xfId="26987"/>
    <cellStyle name="40% - Accent5 4 4 2 7" xfId="26972"/>
    <cellStyle name="40% - Accent5 4 4 3" xfId="2017"/>
    <cellStyle name="40% - Accent5 4 4 3 2" xfId="8302"/>
    <cellStyle name="40% - Accent5 4 4 3 2 2" xfId="26990"/>
    <cellStyle name="40% - Accent5 4 4 3 2 3" xfId="26989"/>
    <cellStyle name="40% - Accent5 4 4 3 3" xfId="5175"/>
    <cellStyle name="40% - Accent5 4 4 3 3 2" xfId="26992"/>
    <cellStyle name="40% - Accent5 4 4 3 3 3" xfId="26991"/>
    <cellStyle name="40% - Accent5 4 4 3 4" xfId="11485"/>
    <cellStyle name="40% - Accent5 4 4 3 4 2" xfId="26994"/>
    <cellStyle name="40% - Accent5 4 4 3 4 3" xfId="26993"/>
    <cellStyle name="40% - Accent5 4 4 3 5" xfId="26995"/>
    <cellStyle name="40% - Accent5 4 4 3 6" xfId="26988"/>
    <cellStyle name="40% - Accent5 4 4 4" xfId="6739"/>
    <cellStyle name="40% - Accent5 4 4 4 2" xfId="26997"/>
    <cellStyle name="40% - Accent5 4 4 4 3" xfId="26996"/>
    <cellStyle name="40% - Accent5 4 4 5" xfId="3612"/>
    <cellStyle name="40% - Accent5 4 4 5 2" xfId="26999"/>
    <cellStyle name="40% - Accent5 4 4 5 3" xfId="26998"/>
    <cellStyle name="40% - Accent5 4 4 6" xfId="10045"/>
    <cellStyle name="40% - Accent5 4 4 6 2" xfId="27001"/>
    <cellStyle name="40% - Accent5 4 4 6 3" xfId="27000"/>
    <cellStyle name="40% - Accent5 4 4 7" xfId="27002"/>
    <cellStyle name="40% - Accent5 4 4 8" xfId="26971"/>
    <cellStyle name="40% - Accent5 4 5" xfId="588"/>
    <cellStyle name="40% - Accent5 4 5 2" xfId="1295"/>
    <cellStyle name="40% - Accent5 4 5 2 2" xfId="2860"/>
    <cellStyle name="40% - Accent5 4 5 2 2 2" xfId="9145"/>
    <cellStyle name="40% - Accent5 4 5 2 2 2 2" xfId="27007"/>
    <cellStyle name="40% - Accent5 4 5 2 2 2 3" xfId="27006"/>
    <cellStyle name="40% - Accent5 4 5 2 2 3" xfId="6018"/>
    <cellStyle name="40% - Accent5 4 5 2 2 3 2" xfId="27009"/>
    <cellStyle name="40% - Accent5 4 5 2 2 3 3" xfId="27008"/>
    <cellStyle name="40% - Accent5 4 5 2 2 4" xfId="12328"/>
    <cellStyle name="40% - Accent5 4 5 2 2 4 2" xfId="27011"/>
    <cellStyle name="40% - Accent5 4 5 2 2 4 3" xfId="27010"/>
    <cellStyle name="40% - Accent5 4 5 2 2 5" xfId="27012"/>
    <cellStyle name="40% - Accent5 4 5 2 2 6" xfId="27005"/>
    <cellStyle name="40% - Accent5 4 5 2 3" xfId="7582"/>
    <cellStyle name="40% - Accent5 4 5 2 3 2" xfId="27014"/>
    <cellStyle name="40% - Accent5 4 5 2 3 3" xfId="27013"/>
    <cellStyle name="40% - Accent5 4 5 2 4" xfId="4455"/>
    <cellStyle name="40% - Accent5 4 5 2 4 2" xfId="27016"/>
    <cellStyle name="40% - Accent5 4 5 2 4 3" xfId="27015"/>
    <cellStyle name="40% - Accent5 4 5 2 5" xfId="10765"/>
    <cellStyle name="40% - Accent5 4 5 2 5 2" xfId="27018"/>
    <cellStyle name="40% - Accent5 4 5 2 5 3" xfId="27017"/>
    <cellStyle name="40% - Accent5 4 5 2 6" xfId="27019"/>
    <cellStyle name="40% - Accent5 4 5 2 7" xfId="27004"/>
    <cellStyle name="40% - Accent5 4 5 3" xfId="2180"/>
    <cellStyle name="40% - Accent5 4 5 3 2" xfId="8465"/>
    <cellStyle name="40% - Accent5 4 5 3 2 2" xfId="27022"/>
    <cellStyle name="40% - Accent5 4 5 3 2 3" xfId="27021"/>
    <cellStyle name="40% - Accent5 4 5 3 3" xfId="5338"/>
    <cellStyle name="40% - Accent5 4 5 3 3 2" xfId="27024"/>
    <cellStyle name="40% - Accent5 4 5 3 3 3" xfId="27023"/>
    <cellStyle name="40% - Accent5 4 5 3 4" xfId="11648"/>
    <cellStyle name="40% - Accent5 4 5 3 4 2" xfId="27026"/>
    <cellStyle name="40% - Accent5 4 5 3 4 3" xfId="27025"/>
    <cellStyle name="40% - Accent5 4 5 3 5" xfId="27027"/>
    <cellStyle name="40% - Accent5 4 5 3 6" xfId="27020"/>
    <cellStyle name="40% - Accent5 4 5 4" xfId="6902"/>
    <cellStyle name="40% - Accent5 4 5 4 2" xfId="27029"/>
    <cellStyle name="40% - Accent5 4 5 4 3" xfId="27028"/>
    <cellStyle name="40% - Accent5 4 5 5" xfId="3775"/>
    <cellStyle name="40% - Accent5 4 5 5 2" xfId="27031"/>
    <cellStyle name="40% - Accent5 4 5 5 3" xfId="27030"/>
    <cellStyle name="40% - Accent5 4 5 6" xfId="10207"/>
    <cellStyle name="40% - Accent5 4 5 6 2" xfId="27033"/>
    <cellStyle name="40% - Accent5 4 5 6 3" xfId="27032"/>
    <cellStyle name="40% - Accent5 4 5 7" xfId="27034"/>
    <cellStyle name="40% - Accent5 4 5 8" xfId="27003"/>
    <cellStyle name="40% - Accent5 4 6" xfId="647"/>
    <cellStyle name="40% - Accent5 4 6 2" xfId="1352"/>
    <cellStyle name="40% - Accent5 4 6 2 2" xfId="2917"/>
    <cellStyle name="40% - Accent5 4 6 2 2 2" xfId="9202"/>
    <cellStyle name="40% - Accent5 4 6 2 2 2 2" xfId="27039"/>
    <cellStyle name="40% - Accent5 4 6 2 2 2 3" xfId="27038"/>
    <cellStyle name="40% - Accent5 4 6 2 2 3" xfId="6075"/>
    <cellStyle name="40% - Accent5 4 6 2 2 3 2" xfId="27041"/>
    <cellStyle name="40% - Accent5 4 6 2 2 3 3" xfId="27040"/>
    <cellStyle name="40% - Accent5 4 6 2 2 4" xfId="12385"/>
    <cellStyle name="40% - Accent5 4 6 2 2 4 2" xfId="27043"/>
    <cellStyle name="40% - Accent5 4 6 2 2 4 3" xfId="27042"/>
    <cellStyle name="40% - Accent5 4 6 2 2 5" xfId="27044"/>
    <cellStyle name="40% - Accent5 4 6 2 2 6" xfId="27037"/>
    <cellStyle name="40% - Accent5 4 6 2 3" xfId="7639"/>
    <cellStyle name="40% - Accent5 4 6 2 3 2" xfId="27046"/>
    <cellStyle name="40% - Accent5 4 6 2 3 3" xfId="27045"/>
    <cellStyle name="40% - Accent5 4 6 2 4" xfId="4512"/>
    <cellStyle name="40% - Accent5 4 6 2 4 2" xfId="27048"/>
    <cellStyle name="40% - Accent5 4 6 2 4 3" xfId="27047"/>
    <cellStyle name="40% - Accent5 4 6 2 5" xfId="10822"/>
    <cellStyle name="40% - Accent5 4 6 2 5 2" xfId="27050"/>
    <cellStyle name="40% - Accent5 4 6 2 5 3" xfId="27049"/>
    <cellStyle name="40% - Accent5 4 6 2 6" xfId="27051"/>
    <cellStyle name="40% - Accent5 4 6 2 7" xfId="27036"/>
    <cellStyle name="40% - Accent5 4 6 3" xfId="2237"/>
    <cellStyle name="40% - Accent5 4 6 3 2" xfId="8522"/>
    <cellStyle name="40% - Accent5 4 6 3 2 2" xfId="27054"/>
    <cellStyle name="40% - Accent5 4 6 3 2 3" xfId="27053"/>
    <cellStyle name="40% - Accent5 4 6 3 3" xfId="5395"/>
    <cellStyle name="40% - Accent5 4 6 3 3 2" xfId="27056"/>
    <cellStyle name="40% - Accent5 4 6 3 3 3" xfId="27055"/>
    <cellStyle name="40% - Accent5 4 6 3 4" xfId="11705"/>
    <cellStyle name="40% - Accent5 4 6 3 4 2" xfId="27058"/>
    <cellStyle name="40% - Accent5 4 6 3 4 3" xfId="27057"/>
    <cellStyle name="40% - Accent5 4 6 3 5" xfId="27059"/>
    <cellStyle name="40% - Accent5 4 6 3 6" xfId="27052"/>
    <cellStyle name="40% - Accent5 4 6 4" xfId="6959"/>
    <cellStyle name="40% - Accent5 4 6 4 2" xfId="27061"/>
    <cellStyle name="40% - Accent5 4 6 4 3" xfId="27060"/>
    <cellStyle name="40% - Accent5 4 6 5" xfId="3832"/>
    <cellStyle name="40% - Accent5 4 6 5 2" xfId="27063"/>
    <cellStyle name="40% - Accent5 4 6 5 3" xfId="27062"/>
    <cellStyle name="40% - Accent5 4 6 6" xfId="10265"/>
    <cellStyle name="40% - Accent5 4 6 6 2" xfId="27065"/>
    <cellStyle name="40% - Accent5 4 6 6 3" xfId="27064"/>
    <cellStyle name="40% - Accent5 4 6 7" xfId="27066"/>
    <cellStyle name="40% - Accent5 4 6 8" xfId="27035"/>
    <cellStyle name="40% - Accent5 4 7" xfId="914"/>
    <cellStyle name="40% - Accent5 4 7 2" xfId="2480"/>
    <cellStyle name="40% - Accent5 4 7 2 2" xfId="8765"/>
    <cellStyle name="40% - Accent5 4 7 2 2 2" xfId="27070"/>
    <cellStyle name="40% - Accent5 4 7 2 2 3" xfId="27069"/>
    <cellStyle name="40% - Accent5 4 7 2 3" xfId="5638"/>
    <cellStyle name="40% - Accent5 4 7 2 3 2" xfId="27072"/>
    <cellStyle name="40% - Accent5 4 7 2 3 3" xfId="27071"/>
    <cellStyle name="40% - Accent5 4 7 2 4" xfId="11948"/>
    <cellStyle name="40% - Accent5 4 7 2 4 2" xfId="27074"/>
    <cellStyle name="40% - Accent5 4 7 2 4 3" xfId="27073"/>
    <cellStyle name="40% - Accent5 4 7 2 5" xfId="27075"/>
    <cellStyle name="40% - Accent5 4 7 2 6" xfId="27068"/>
    <cellStyle name="40% - Accent5 4 7 3" xfId="7202"/>
    <cellStyle name="40% - Accent5 4 7 3 2" xfId="27077"/>
    <cellStyle name="40% - Accent5 4 7 3 3" xfId="27076"/>
    <cellStyle name="40% - Accent5 4 7 4" xfId="4075"/>
    <cellStyle name="40% - Accent5 4 7 4 2" xfId="27079"/>
    <cellStyle name="40% - Accent5 4 7 4 3" xfId="27078"/>
    <cellStyle name="40% - Accent5 4 7 5" xfId="10385"/>
    <cellStyle name="40% - Accent5 4 7 5 2" xfId="27081"/>
    <cellStyle name="40% - Accent5 4 7 5 3" xfId="27080"/>
    <cellStyle name="40% - Accent5 4 7 6" xfId="27082"/>
    <cellStyle name="40% - Accent5 4 7 7" xfId="27067"/>
    <cellStyle name="40% - Accent5 4 8" xfId="1554"/>
    <cellStyle name="40% - Accent5 4 8 2" xfId="3119"/>
    <cellStyle name="40% - Accent5 4 8 2 2" xfId="9404"/>
    <cellStyle name="40% - Accent5 4 8 2 2 2" xfId="27086"/>
    <cellStyle name="40% - Accent5 4 8 2 2 3" xfId="27085"/>
    <cellStyle name="40% - Accent5 4 8 2 3" xfId="6277"/>
    <cellStyle name="40% - Accent5 4 8 2 3 2" xfId="27088"/>
    <cellStyle name="40% - Accent5 4 8 2 3 3" xfId="27087"/>
    <cellStyle name="40% - Accent5 4 8 2 4" xfId="12587"/>
    <cellStyle name="40% - Accent5 4 8 2 4 2" xfId="27090"/>
    <cellStyle name="40% - Accent5 4 8 2 4 3" xfId="27089"/>
    <cellStyle name="40% - Accent5 4 8 2 5" xfId="27091"/>
    <cellStyle name="40% - Accent5 4 8 2 6" xfId="27084"/>
    <cellStyle name="40% - Accent5 4 8 3" xfId="7841"/>
    <cellStyle name="40% - Accent5 4 8 3 2" xfId="27093"/>
    <cellStyle name="40% - Accent5 4 8 3 3" xfId="27092"/>
    <cellStyle name="40% - Accent5 4 8 4" xfId="4714"/>
    <cellStyle name="40% - Accent5 4 8 4 2" xfId="27095"/>
    <cellStyle name="40% - Accent5 4 8 4 3" xfId="27094"/>
    <cellStyle name="40% - Accent5 4 8 5" xfId="11024"/>
    <cellStyle name="40% - Accent5 4 8 5 2" xfId="27097"/>
    <cellStyle name="40% - Accent5 4 8 5 3" xfId="27096"/>
    <cellStyle name="40% - Accent5 4 8 6" xfId="27098"/>
    <cellStyle name="40% - Accent5 4 8 7" xfId="27083"/>
    <cellStyle name="40% - Accent5 4 9" xfId="1800"/>
    <cellStyle name="40% - Accent5 4 9 2" xfId="8085"/>
    <cellStyle name="40% - Accent5 4 9 2 2" xfId="27101"/>
    <cellStyle name="40% - Accent5 4 9 2 3" xfId="27100"/>
    <cellStyle name="40% - Accent5 4 9 3" xfId="4958"/>
    <cellStyle name="40% - Accent5 4 9 3 2" xfId="27103"/>
    <cellStyle name="40% - Accent5 4 9 3 3" xfId="27102"/>
    <cellStyle name="40% - Accent5 4 9 4" xfId="11268"/>
    <cellStyle name="40% - Accent5 4 9 4 2" xfId="27105"/>
    <cellStyle name="40% - Accent5 4 9 4 3" xfId="27104"/>
    <cellStyle name="40% - Accent5 4 9 5" xfId="27106"/>
    <cellStyle name="40% - Accent5 4 9 6" xfId="27099"/>
    <cellStyle name="40% - Accent5 5" xfId="270"/>
    <cellStyle name="40% - Accent5 5 2" xfId="981"/>
    <cellStyle name="40% - Accent5 5 2 2" xfId="2547"/>
    <cellStyle name="40% - Accent5 5 2 2 2" xfId="8832"/>
    <cellStyle name="40% - Accent5 5 2 2 2 2" xfId="27111"/>
    <cellStyle name="40% - Accent5 5 2 2 2 3" xfId="27110"/>
    <cellStyle name="40% - Accent5 5 2 2 3" xfId="5705"/>
    <cellStyle name="40% - Accent5 5 2 2 3 2" xfId="27113"/>
    <cellStyle name="40% - Accent5 5 2 2 3 3" xfId="27112"/>
    <cellStyle name="40% - Accent5 5 2 2 4" xfId="12015"/>
    <cellStyle name="40% - Accent5 5 2 2 4 2" xfId="27115"/>
    <cellStyle name="40% - Accent5 5 2 2 4 3" xfId="27114"/>
    <cellStyle name="40% - Accent5 5 2 2 5" xfId="27116"/>
    <cellStyle name="40% - Accent5 5 2 2 6" xfId="27109"/>
    <cellStyle name="40% - Accent5 5 2 3" xfId="7269"/>
    <cellStyle name="40% - Accent5 5 2 3 2" xfId="27118"/>
    <cellStyle name="40% - Accent5 5 2 3 3" xfId="27117"/>
    <cellStyle name="40% - Accent5 5 2 4" xfId="4142"/>
    <cellStyle name="40% - Accent5 5 2 4 2" xfId="27120"/>
    <cellStyle name="40% - Accent5 5 2 4 3" xfId="27119"/>
    <cellStyle name="40% - Accent5 5 2 5" xfId="10452"/>
    <cellStyle name="40% - Accent5 5 2 5 2" xfId="27122"/>
    <cellStyle name="40% - Accent5 5 2 5 3" xfId="27121"/>
    <cellStyle name="40% - Accent5 5 2 6" xfId="27123"/>
    <cellStyle name="40% - Accent5 5 2 7" xfId="27108"/>
    <cellStyle name="40% - Accent5 5 3" xfId="1867"/>
    <cellStyle name="40% - Accent5 5 3 2" xfId="8152"/>
    <cellStyle name="40% - Accent5 5 3 2 2" xfId="27126"/>
    <cellStyle name="40% - Accent5 5 3 2 3" xfId="27125"/>
    <cellStyle name="40% - Accent5 5 3 3" xfId="5025"/>
    <cellStyle name="40% - Accent5 5 3 3 2" xfId="27128"/>
    <cellStyle name="40% - Accent5 5 3 3 3" xfId="27127"/>
    <cellStyle name="40% - Accent5 5 3 4" xfId="11335"/>
    <cellStyle name="40% - Accent5 5 3 4 2" xfId="27130"/>
    <cellStyle name="40% - Accent5 5 3 4 3" xfId="27129"/>
    <cellStyle name="40% - Accent5 5 3 5" xfId="27131"/>
    <cellStyle name="40% - Accent5 5 3 6" xfId="27124"/>
    <cellStyle name="40% - Accent5 5 4" xfId="6589"/>
    <cellStyle name="40% - Accent5 5 4 2" xfId="27133"/>
    <cellStyle name="40% - Accent5 5 4 3" xfId="27132"/>
    <cellStyle name="40% - Accent5 5 5" xfId="3462"/>
    <cellStyle name="40% - Accent5 5 5 2" xfId="27135"/>
    <cellStyle name="40% - Accent5 5 5 3" xfId="27134"/>
    <cellStyle name="40% - Accent5 5 6" xfId="9870"/>
    <cellStyle name="40% - Accent5 5 6 2" xfId="27137"/>
    <cellStyle name="40% - Accent5 5 6 3" xfId="27136"/>
    <cellStyle name="40% - Accent5 5 7" xfId="27138"/>
    <cellStyle name="40% - Accent5 5 8" xfId="27107"/>
    <cellStyle name="40% - Accent5 6" xfId="377"/>
    <cellStyle name="40% - Accent5 6 2" xfId="1085"/>
    <cellStyle name="40% - Accent5 6 2 2" xfId="2651"/>
    <cellStyle name="40% - Accent5 6 2 2 2" xfId="8936"/>
    <cellStyle name="40% - Accent5 6 2 2 2 2" xfId="27143"/>
    <cellStyle name="40% - Accent5 6 2 2 2 3" xfId="27142"/>
    <cellStyle name="40% - Accent5 6 2 2 3" xfId="5809"/>
    <cellStyle name="40% - Accent5 6 2 2 3 2" xfId="27145"/>
    <cellStyle name="40% - Accent5 6 2 2 3 3" xfId="27144"/>
    <cellStyle name="40% - Accent5 6 2 2 4" xfId="12119"/>
    <cellStyle name="40% - Accent5 6 2 2 4 2" xfId="27147"/>
    <cellStyle name="40% - Accent5 6 2 2 4 3" xfId="27146"/>
    <cellStyle name="40% - Accent5 6 2 2 5" xfId="27148"/>
    <cellStyle name="40% - Accent5 6 2 2 6" xfId="27141"/>
    <cellStyle name="40% - Accent5 6 2 3" xfId="7373"/>
    <cellStyle name="40% - Accent5 6 2 3 2" xfId="27150"/>
    <cellStyle name="40% - Accent5 6 2 3 3" xfId="27149"/>
    <cellStyle name="40% - Accent5 6 2 4" xfId="4246"/>
    <cellStyle name="40% - Accent5 6 2 4 2" xfId="27152"/>
    <cellStyle name="40% - Accent5 6 2 4 3" xfId="27151"/>
    <cellStyle name="40% - Accent5 6 2 5" xfId="10556"/>
    <cellStyle name="40% - Accent5 6 2 5 2" xfId="27154"/>
    <cellStyle name="40% - Accent5 6 2 5 3" xfId="27153"/>
    <cellStyle name="40% - Accent5 6 2 6" xfId="27155"/>
    <cellStyle name="40% - Accent5 6 2 7" xfId="27140"/>
    <cellStyle name="40% - Accent5 6 3" xfId="1971"/>
    <cellStyle name="40% - Accent5 6 3 2" xfId="8256"/>
    <cellStyle name="40% - Accent5 6 3 2 2" xfId="27158"/>
    <cellStyle name="40% - Accent5 6 3 2 3" xfId="27157"/>
    <cellStyle name="40% - Accent5 6 3 3" xfId="5129"/>
    <cellStyle name="40% - Accent5 6 3 3 2" xfId="27160"/>
    <cellStyle name="40% - Accent5 6 3 3 3" xfId="27159"/>
    <cellStyle name="40% - Accent5 6 3 4" xfId="11439"/>
    <cellStyle name="40% - Accent5 6 3 4 2" xfId="27162"/>
    <cellStyle name="40% - Accent5 6 3 4 3" xfId="27161"/>
    <cellStyle name="40% - Accent5 6 3 5" xfId="27163"/>
    <cellStyle name="40% - Accent5 6 3 6" xfId="27156"/>
    <cellStyle name="40% - Accent5 6 4" xfId="6693"/>
    <cellStyle name="40% - Accent5 6 4 2" xfId="27165"/>
    <cellStyle name="40% - Accent5 6 4 3" xfId="27164"/>
    <cellStyle name="40% - Accent5 6 5" xfId="3566"/>
    <cellStyle name="40% - Accent5 6 5 2" xfId="27167"/>
    <cellStyle name="40% - Accent5 6 5 3" xfId="27166"/>
    <cellStyle name="40% - Accent5 6 6" xfId="9998"/>
    <cellStyle name="40% - Accent5 6 6 2" xfId="27169"/>
    <cellStyle name="40% - Accent5 6 6 3" xfId="27168"/>
    <cellStyle name="40% - Accent5 6 7" xfId="27170"/>
    <cellStyle name="40% - Accent5 6 8" xfId="27139"/>
    <cellStyle name="40% - Accent5 7" xfId="412"/>
    <cellStyle name="40% - Accent5 7 2" xfId="1119"/>
    <cellStyle name="40% - Accent5 7 2 2" xfId="2684"/>
    <cellStyle name="40% - Accent5 7 2 2 2" xfId="8969"/>
    <cellStyle name="40% - Accent5 7 2 2 2 2" xfId="27175"/>
    <cellStyle name="40% - Accent5 7 2 2 2 3" xfId="27174"/>
    <cellStyle name="40% - Accent5 7 2 2 3" xfId="5842"/>
    <cellStyle name="40% - Accent5 7 2 2 3 2" xfId="27177"/>
    <cellStyle name="40% - Accent5 7 2 2 3 3" xfId="27176"/>
    <cellStyle name="40% - Accent5 7 2 2 4" xfId="12152"/>
    <cellStyle name="40% - Accent5 7 2 2 4 2" xfId="27179"/>
    <cellStyle name="40% - Accent5 7 2 2 4 3" xfId="27178"/>
    <cellStyle name="40% - Accent5 7 2 2 5" xfId="27180"/>
    <cellStyle name="40% - Accent5 7 2 2 6" xfId="27173"/>
    <cellStyle name="40% - Accent5 7 2 3" xfId="7406"/>
    <cellStyle name="40% - Accent5 7 2 3 2" xfId="27182"/>
    <cellStyle name="40% - Accent5 7 2 3 3" xfId="27181"/>
    <cellStyle name="40% - Accent5 7 2 4" xfId="4279"/>
    <cellStyle name="40% - Accent5 7 2 4 2" xfId="27184"/>
    <cellStyle name="40% - Accent5 7 2 4 3" xfId="27183"/>
    <cellStyle name="40% - Accent5 7 2 5" xfId="10589"/>
    <cellStyle name="40% - Accent5 7 2 5 2" xfId="27186"/>
    <cellStyle name="40% - Accent5 7 2 5 3" xfId="27185"/>
    <cellStyle name="40% - Accent5 7 2 6" xfId="27187"/>
    <cellStyle name="40% - Accent5 7 2 7" xfId="27172"/>
    <cellStyle name="40% - Accent5 7 3" xfId="2004"/>
    <cellStyle name="40% - Accent5 7 3 2" xfId="8289"/>
    <cellStyle name="40% - Accent5 7 3 2 2" xfId="27190"/>
    <cellStyle name="40% - Accent5 7 3 2 3" xfId="27189"/>
    <cellStyle name="40% - Accent5 7 3 3" xfId="5162"/>
    <cellStyle name="40% - Accent5 7 3 3 2" xfId="27192"/>
    <cellStyle name="40% - Accent5 7 3 3 3" xfId="27191"/>
    <cellStyle name="40% - Accent5 7 3 4" xfId="11472"/>
    <cellStyle name="40% - Accent5 7 3 4 2" xfId="27194"/>
    <cellStyle name="40% - Accent5 7 3 4 3" xfId="27193"/>
    <cellStyle name="40% - Accent5 7 3 5" xfId="27195"/>
    <cellStyle name="40% - Accent5 7 3 6" xfId="27188"/>
    <cellStyle name="40% - Accent5 7 4" xfId="6726"/>
    <cellStyle name="40% - Accent5 7 4 2" xfId="27197"/>
    <cellStyle name="40% - Accent5 7 4 3" xfId="27196"/>
    <cellStyle name="40% - Accent5 7 5" xfId="3599"/>
    <cellStyle name="40% - Accent5 7 5 2" xfId="27199"/>
    <cellStyle name="40% - Accent5 7 5 3" xfId="27198"/>
    <cellStyle name="40% - Accent5 7 6" xfId="10032"/>
    <cellStyle name="40% - Accent5 7 6 2" xfId="27201"/>
    <cellStyle name="40% - Accent5 7 6 3" xfId="27200"/>
    <cellStyle name="40% - Accent5 7 7" xfId="27202"/>
    <cellStyle name="40% - Accent5 7 8" xfId="27171"/>
    <cellStyle name="40% - Accent5 8" xfId="452"/>
    <cellStyle name="40% - Accent5 8 2" xfId="1159"/>
    <cellStyle name="40% - Accent5 8 2 2" xfId="2724"/>
    <cellStyle name="40% - Accent5 8 2 2 2" xfId="9009"/>
    <cellStyle name="40% - Accent5 8 2 2 2 2" xfId="27207"/>
    <cellStyle name="40% - Accent5 8 2 2 2 3" xfId="27206"/>
    <cellStyle name="40% - Accent5 8 2 2 3" xfId="5882"/>
    <cellStyle name="40% - Accent5 8 2 2 3 2" xfId="27209"/>
    <cellStyle name="40% - Accent5 8 2 2 3 3" xfId="27208"/>
    <cellStyle name="40% - Accent5 8 2 2 4" xfId="12192"/>
    <cellStyle name="40% - Accent5 8 2 2 4 2" xfId="27211"/>
    <cellStyle name="40% - Accent5 8 2 2 4 3" xfId="27210"/>
    <cellStyle name="40% - Accent5 8 2 2 5" xfId="27212"/>
    <cellStyle name="40% - Accent5 8 2 2 6" xfId="27205"/>
    <cellStyle name="40% - Accent5 8 2 3" xfId="7446"/>
    <cellStyle name="40% - Accent5 8 2 3 2" xfId="27214"/>
    <cellStyle name="40% - Accent5 8 2 3 3" xfId="27213"/>
    <cellStyle name="40% - Accent5 8 2 4" xfId="4319"/>
    <cellStyle name="40% - Accent5 8 2 4 2" xfId="27216"/>
    <cellStyle name="40% - Accent5 8 2 4 3" xfId="27215"/>
    <cellStyle name="40% - Accent5 8 2 5" xfId="10629"/>
    <cellStyle name="40% - Accent5 8 2 5 2" xfId="27218"/>
    <cellStyle name="40% - Accent5 8 2 5 3" xfId="27217"/>
    <cellStyle name="40% - Accent5 8 2 6" xfId="27219"/>
    <cellStyle name="40% - Accent5 8 2 7" xfId="27204"/>
    <cellStyle name="40% - Accent5 8 3" xfId="2044"/>
    <cellStyle name="40% - Accent5 8 3 2" xfId="8329"/>
    <cellStyle name="40% - Accent5 8 3 2 2" xfId="27222"/>
    <cellStyle name="40% - Accent5 8 3 2 3" xfId="27221"/>
    <cellStyle name="40% - Accent5 8 3 3" xfId="5202"/>
    <cellStyle name="40% - Accent5 8 3 3 2" xfId="27224"/>
    <cellStyle name="40% - Accent5 8 3 3 3" xfId="27223"/>
    <cellStyle name="40% - Accent5 8 3 4" xfId="11512"/>
    <cellStyle name="40% - Accent5 8 3 4 2" xfId="27226"/>
    <cellStyle name="40% - Accent5 8 3 4 3" xfId="27225"/>
    <cellStyle name="40% - Accent5 8 3 5" xfId="27227"/>
    <cellStyle name="40% - Accent5 8 3 6" xfId="27220"/>
    <cellStyle name="40% - Accent5 8 4" xfId="6766"/>
    <cellStyle name="40% - Accent5 8 4 2" xfId="27229"/>
    <cellStyle name="40% - Accent5 8 4 3" xfId="27228"/>
    <cellStyle name="40% - Accent5 8 5" xfId="3639"/>
    <cellStyle name="40% - Accent5 8 5 2" xfId="27231"/>
    <cellStyle name="40% - Accent5 8 5 3" xfId="27230"/>
    <cellStyle name="40% - Accent5 8 6" xfId="10071"/>
    <cellStyle name="40% - Accent5 8 6 2" xfId="27233"/>
    <cellStyle name="40% - Accent5 8 6 3" xfId="27232"/>
    <cellStyle name="40% - Accent5 8 7" xfId="27234"/>
    <cellStyle name="40% - Accent5 8 8" xfId="27203"/>
    <cellStyle name="40% - Accent5 9" xfId="466"/>
    <cellStyle name="40% - Accent5 9 2" xfId="1173"/>
    <cellStyle name="40% - Accent5 9 2 2" xfId="2738"/>
    <cellStyle name="40% - Accent5 9 2 2 2" xfId="9023"/>
    <cellStyle name="40% - Accent5 9 2 2 2 2" xfId="27239"/>
    <cellStyle name="40% - Accent5 9 2 2 2 3" xfId="27238"/>
    <cellStyle name="40% - Accent5 9 2 2 3" xfId="5896"/>
    <cellStyle name="40% - Accent5 9 2 2 3 2" xfId="27241"/>
    <cellStyle name="40% - Accent5 9 2 2 3 3" xfId="27240"/>
    <cellStyle name="40% - Accent5 9 2 2 4" xfId="12206"/>
    <cellStyle name="40% - Accent5 9 2 2 4 2" xfId="27243"/>
    <cellStyle name="40% - Accent5 9 2 2 4 3" xfId="27242"/>
    <cellStyle name="40% - Accent5 9 2 2 5" xfId="27244"/>
    <cellStyle name="40% - Accent5 9 2 2 6" xfId="27237"/>
    <cellStyle name="40% - Accent5 9 2 3" xfId="7460"/>
    <cellStyle name="40% - Accent5 9 2 3 2" xfId="27246"/>
    <cellStyle name="40% - Accent5 9 2 3 3" xfId="27245"/>
    <cellStyle name="40% - Accent5 9 2 4" xfId="4333"/>
    <cellStyle name="40% - Accent5 9 2 4 2" xfId="27248"/>
    <cellStyle name="40% - Accent5 9 2 4 3" xfId="27247"/>
    <cellStyle name="40% - Accent5 9 2 5" xfId="10643"/>
    <cellStyle name="40% - Accent5 9 2 5 2" xfId="27250"/>
    <cellStyle name="40% - Accent5 9 2 5 3" xfId="27249"/>
    <cellStyle name="40% - Accent5 9 2 6" xfId="27251"/>
    <cellStyle name="40% - Accent5 9 2 7" xfId="27236"/>
    <cellStyle name="40% - Accent5 9 3" xfId="2058"/>
    <cellStyle name="40% - Accent5 9 3 2" xfId="8343"/>
    <cellStyle name="40% - Accent5 9 3 2 2" xfId="27254"/>
    <cellStyle name="40% - Accent5 9 3 2 3" xfId="27253"/>
    <cellStyle name="40% - Accent5 9 3 3" xfId="5216"/>
    <cellStyle name="40% - Accent5 9 3 3 2" xfId="27256"/>
    <cellStyle name="40% - Accent5 9 3 3 3" xfId="27255"/>
    <cellStyle name="40% - Accent5 9 3 4" xfId="11526"/>
    <cellStyle name="40% - Accent5 9 3 4 2" xfId="27258"/>
    <cellStyle name="40% - Accent5 9 3 4 3" xfId="27257"/>
    <cellStyle name="40% - Accent5 9 3 5" xfId="27259"/>
    <cellStyle name="40% - Accent5 9 3 6" xfId="27252"/>
    <cellStyle name="40% - Accent5 9 4" xfId="6780"/>
    <cellStyle name="40% - Accent5 9 4 2" xfId="27261"/>
    <cellStyle name="40% - Accent5 9 4 3" xfId="27260"/>
    <cellStyle name="40% - Accent5 9 5" xfId="3653"/>
    <cellStyle name="40% - Accent5 9 5 2" xfId="27263"/>
    <cellStyle name="40% - Accent5 9 5 3" xfId="27262"/>
    <cellStyle name="40% - Accent5 9 6" xfId="10085"/>
    <cellStyle name="40% - Accent5 9 6 2" xfId="27265"/>
    <cellStyle name="40% - Accent5 9 6 3" xfId="27264"/>
    <cellStyle name="40% - Accent5 9 7" xfId="27266"/>
    <cellStyle name="40% - Accent5 9 8" xfId="27235"/>
    <cellStyle name="40% - Accent6" xfId="49" builtinId="51" customBuiltin="1"/>
    <cellStyle name="40% - Accent6 10" xfId="483"/>
    <cellStyle name="40% - Accent6 10 2" xfId="1190"/>
    <cellStyle name="40% - Accent6 10 2 2" xfId="2755"/>
    <cellStyle name="40% - Accent6 10 2 2 2" xfId="9040"/>
    <cellStyle name="40% - Accent6 10 2 2 2 2" xfId="27272"/>
    <cellStyle name="40% - Accent6 10 2 2 2 3" xfId="27271"/>
    <cellStyle name="40% - Accent6 10 2 2 3" xfId="5913"/>
    <cellStyle name="40% - Accent6 10 2 2 3 2" xfId="27274"/>
    <cellStyle name="40% - Accent6 10 2 2 3 3" xfId="27273"/>
    <cellStyle name="40% - Accent6 10 2 2 4" xfId="12223"/>
    <cellStyle name="40% - Accent6 10 2 2 4 2" xfId="27276"/>
    <cellStyle name="40% - Accent6 10 2 2 4 3" xfId="27275"/>
    <cellStyle name="40% - Accent6 10 2 2 5" xfId="27277"/>
    <cellStyle name="40% - Accent6 10 2 2 6" xfId="27270"/>
    <cellStyle name="40% - Accent6 10 2 3" xfId="7477"/>
    <cellStyle name="40% - Accent6 10 2 3 2" xfId="27279"/>
    <cellStyle name="40% - Accent6 10 2 3 3" xfId="27278"/>
    <cellStyle name="40% - Accent6 10 2 4" xfId="4350"/>
    <cellStyle name="40% - Accent6 10 2 4 2" xfId="27281"/>
    <cellStyle name="40% - Accent6 10 2 4 3" xfId="27280"/>
    <cellStyle name="40% - Accent6 10 2 5" xfId="10660"/>
    <cellStyle name="40% - Accent6 10 2 5 2" xfId="27283"/>
    <cellStyle name="40% - Accent6 10 2 5 3" xfId="27282"/>
    <cellStyle name="40% - Accent6 10 2 6" xfId="27284"/>
    <cellStyle name="40% - Accent6 10 2 7" xfId="27269"/>
    <cellStyle name="40% - Accent6 10 3" xfId="2075"/>
    <cellStyle name="40% - Accent6 10 3 2" xfId="8360"/>
    <cellStyle name="40% - Accent6 10 3 2 2" xfId="27287"/>
    <cellStyle name="40% - Accent6 10 3 2 3" xfId="27286"/>
    <cellStyle name="40% - Accent6 10 3 3" xfId="5233"/>
    <cellStyle name="40% - Accent6 10 3 3 2" xfId="27289"/>
    <cellStyle name="40% - Accent6 10 3 3 3" xfId="27288"/>
    <cellStyle name="40% - Accent6 10 3 4" xfId="11543"/>
    <cellStyle name="40% - Accent6 10 3 4 2" xfId="27291"/>
    <cellStyle name="40% - Accent6 10 3 4 3" xfId="27290"/>
    <cellStyle name="40% - Accent6 10 3 5" xfId="27292"/>
    <cellStyle name="40% - Accent6 10 3 6" xfId="27285"/>
    <cellStyle name="40% - Accent6 10 4" xfId="6797"/>
    <cellStyle name="40% - Accent6 10 4 2" xfId="27294"/>
    <cellStyle name="40% - Accent6 10 4 3" xfId="27293"/>
    <cellStyle name="40% - Accent6 10 5" xfId="3670"/>
    <cellStyle name="40% - Accent6 10 5 2" xfId="27296"/>
    <cellStyle name="40% - Accent6 10 5 3" xfId="27295"/>
    <cellStyle name="40% - Accent6 10 6" xfId="10102"/>
    <cellStyle name="40% - Accent6 10 6 2" xfId="27298"/>
    <cellStyle name="40% - Accent6 10 6 3" xfId="27297"/>
    <cellStyle name="40% - Accent6 10 7" xfId="27299"/>
    <cellStyle name="40% - Accent6 10 8" xfId="27268"/>
    <cellStyle name="40% - Accent6 11" xfId="498"/>
    <cellStyle name="40% - Accent6 11 2" xfId="1205"/>
    <cellStyle name="40% - Accent6 11 2 2" xfId="2770"/>
    <cellStyle name="40% - Accent6 11 2 2 2" xfId="9055"/>
    <cellStyle name="40% - Accent6 11 2 2 2 2" xfId="27304"/>
    <cellStyle name="40% - Accent6 11 2 2 2 3" xfId="27303"/>
    <cellStyle name="40% - Accent6 11 2 2 3" xfId="5928"/>
    <cellStyle name="40% - Accent6 11 2 2 3 2" xfId="27306"/>
    <cellStyle name="40% - Accent6 11 2 2 3 3" xfId="27305"/>
    <cellStyle name="40% - Accent6 11 2 2 4" xfId="12238"/>
    <cellStyle name="40% - Accent6 11 2 2 4 2" xfId="27308"/>
    <cellStyle name="40% - Accent6 11 2 2 4 3" xfId="27307"/>
    <cellStyle name="40% - Accent6 11 2 2 5" xfId="27309"/>
    <cellStyle name="40% - Accent6 11 2 2 6" xfId="27302"/>
    <cellStyle name="40% - Accent6 11 2 3" xfId="7492"/>
    <cellStyle name="40% - Accent6 11 2 3 2" xfId="27311"/>
    <cellStyle name="40% - Accent6 11 2 3 3" xfId="27310"/>
    <cellStyle name="40% - Accent6 11 2 4" xfId="4365"/>
    <cellStyle name="40% - Accent6 11 2 4 2" xfId="27313"/>
    <cellStyle name="40% - Accent6 11 2 4 3" xfId="27312"/>
    <cellStyle name="40% - Accent6 11 2 5" xfId="10675"/>
    <cellStyle name="40% - Accent6 11 2 5 2" xfId="27315"/>
    <cellStyle name="40% - Accent6 11 2 5 3" xfId="27314"/>
    <cellStyle name="40% - Accent6 11 2 6" xfId="27316"/>
    <cellStyle name="40% - Accent6 11 2 7" xfId="27301"/>
    <cellStyle name="40% - Accent6 11 3" xfId="2090"/>
    <cellStyle name="40% - Accent6 11 3 2" xfId="8375"/>
    <cellStyle name="40% - Accent6 11 3 2 2" xfId="27319"/>
    <cellStyle name="40% - Accent6 11 3 2 3" xfId="27318"/>
    <cellStyle name="40% - Accent6 11 3 3" xfId="5248"/>
    <cellStyle name="40% - Accent6 11 3 3 2" xfId="27321"/>
    <cellStyle name="40% - Accent6 11 3 3 3" xfId="27320"/>
    <cellStyle name="40% - Accent6 11 3 4" xfId="11558"/>
    <cellStyle name="40% - Accent6 11 3 4 2" xfId="27323"/>
    <cellStyle name="40% - Accent6 11 3 4 3" xfId="27322"/>
    <cellStyle name="40% - Accent6 11 3 5" xfId="27324"/>
    <cellStyle name="40% - Accent6 11 3 6" xfId="27317"/>
    <cellStyle name="40% - Accent6 11 4" xfId="6812"/>
    <cellStyle name="40% - Accent6 11 4 2" xfId="27326"/>
    <cellStyle name="40% - Accent6 11 4 3" xfId="27325"/>
    <cellStyle name="40% - Accent6 11 5" xfId="3685"/>
    <cellStyle name="40% - Accent6 11 5 2" xfId="27328"/>
    <cellStyle name="40% - Accent6 11 5 3" xfId="27327"/>
    <cellStyle name="40% - Accent6 11 6" xfId="10117"/>
    <cellStyle name="40% - Accent6 11 6 2" xfId="27330"/>
    <cellStyle name="40% - Accent6 11 6 3" xfId="27329"/>
    <cellStyle name="40% - Accent6 11 7" xfId="27331"/>
    <cellStyle name="40% - Accent6 11 8" xfId="27300"/>
    <cellStyle name="40% - Accent6 12" xfId="511"/>
    <cellStyle name="40% - Accent6 12 2" xfId="1218"/>
    <cellStyle name="40% - Accent6 12 2 2" xfId="2783"/>
    <cellStyle name="40% - Accent6 12 2 2 2" xfId="9068"/>
    <cellStyle name="40% - Accent6 12 2 2 2 2" xfId="27336"/>
    <cellStyle name="40% - Accent6 12 2 2 2 3" xfId="27335"/>
    <cellStyle name="40% - Accent6 12 2 2 3" xfId="5941"/>
    <cellStyle name="40% - Accent6 12 2 2 3 2" xfId="27338"/>
    <cellStyle name="40% - Accent6 12 2 2 3 3" xfId="27337"/>
    <cellStyle name="40% - Accent6 12 2 2 4" xfId="12251"/>
    <cellStyle name="40% - Accent6 12 2 2 4 2" xfId="27340"/>
    <cellStyle name="40% - Accent6 12 2 2 4 3" xfId="27339"/>
    <cellStyle name="40% - Accent6 12 2 2 5" xfId="27341"/>
    <cellStyle name="40% - Accent6 12 2 2 6" xfId="27334"/>
    <cellStyle name="40% - Accent6 12 2 3" xfId="7505"/>
    <cellStyle name="40% - Accent6 12 2 3 2" xfId="27343"/>
    <cellStyle name="40% - Accent6 12 2 3 3" xfId="27342"/>
    <cellStyle name="40% - Accent6 12 2 4" xfId="4378"/>
    <cellStyle name="40% - Accent6 12 2 4 2" xfId="27345"/>
    <cellStyle name="40% - Accent6 12 2 4 3" xfId="27344"/>
    <cellStyle name="40% - Accent6 12 2 5" xfId="10688"/>
    <cellStyle name="40% - Accent6 12 2 5 2" xfId="27347"/>
    <cellStyle name="40% - Accent6 12 2 5 3" xfId="27346"/>
    <cellStyle name="40% - Accent6 12 2 6" xfId="27348"/>
    <cellStyle name="40% - Accent6 12 2 7" xfId="27333"/>
    <cellStyle name="40% - Accent6 12 3" xfId="2103"/>
    <cellStyle name="40% - Accent6 12 3 2" xfId="8388"/>
    <cellStyle name="40% - Accent6 12 3 2 2" xfId="27351"/>
    <cellStyle name="40% - Accent6 12 3 2 3" xfId="27350"/>
    <cellStyle name="40% - Accent6 12 3 3" xfId="5261"/>
    <cellStyle name="40% - Accent6 12 3 3 2" xfId="27353"/>
    <cellStyle name="40% - Accent6 12 3 3 3" xfId="27352"/>
    <cellStyle name="40% - Accent6 12 3 4" xfId="11571"/>
    <cellStyle name="40% - Accent6 12 3 4 2" xfId="27355"/>
    <cellStyle name="40% - Accent6 12 3 4 3" xfId="27354"/>
    <cellStyle name="40% - Accent6 12 3 5" xfId="27356"/>
    <cellStyle name="40% - Accent6 12 3 6" xfId="27349"/>
    <cellStyle name="40% - Accent6 12 4" xfId="6825"/>
    <cellStyle name="40% - Accent6 12 4 2" xfId="27358"/>
    <cellStyle name="40% - Accent6 12 4 3" xfId="27357"/>
    <cellStyle name="40% - Accent6 12 5" xfId="3698"/>
    <cellStyle name="40% - Accent6 12 5 2" xfId="27360"/>
    <cellStyle name="40% - Accent6 12 5 3" xfId="27359"/>
    <cellStyle name="40% - Accent6 12 6" xfId="10130"/>
    <cellStyle name="40% - Accent6 12 6 2" xfId="27362"/>
    <cellStyle name="40% - Accent6 12 6 3" xfId="27361"/>
    <cellStyle name="40% - Accent6 12 7" xfId="27363"/>
    <cellStyle name="40% - Accent6 12 8" xfId="27332"/>
    <cellStyle name="40% - Accent6 13" xfId="525"/>
    <cellStyle name="40% - Accent6 13 2" xfId="1232"/>
    <cellStyle name="40% - Accent6 13 2 2" xfId="2797"/>
    <cellStyle name="40% - Accent6 13 2 2 2" xfId="9082"/>
    <cellStyle name="40% - Accent6 13 2 2 2 2" xfId="27368"/>
    <cellStyle name="40% - Accent6 13 2 2 2 3" xfId="27367"/>
    <cellStyle name="40% - Accent6 13 2 2 3" xfId="5955"/>
    <cellStyle name="40% - Accent6 13 2 2 3 2" xfId="27370"/>
    <cellStyle name="40% - Accent6 13 2 2 3 3" xfId="27369"/>
    <cellStyle name="40% - Accent6 13 2 2 4" xfId="12265"/>
    <cellStyle name="40% - Accent6 13 2 2 4 2" xfId="27372"/>
    <cellStyle name="40% - Accent6 13 2 2 4 3" xfId="27371"/>
    <cellStyle name="40% - Accent6 13 2 2 5" xfId="27373"/>
    <cellStyle name="40% - Accent6 13 2 2 6" xfId="27366"/>
    <cellStyle name="40% - Accent6 13 2 3" xfId="7519"/>
    <cellStyle name="40% - Accent6 13 2 3 2" xfId="27375"/>
    <cellStyle name="40% - Accent6 13 2 3 3" xfId="27374"/>
    <cellStyle name="40% - Accent6 13 2 4" xfId="4392"/>
    <cellStyle name="40% - Accent6 13 2 4 2" xfId="27377"/>
    <cellStyle name="40% - Accent6 13 2 4 3" xfId="27376"/>
    <cellStyle name="40% - Accent6 13 2 5" xfId="10702"/>
    <cellStyle name="40% - Accent6 13 2 5 2" xfId="27379"/>
    <cellStyle name="40% - Accent6 13 2 5 3" xfId="27378"/>
    <cellStyle name="40% - Accent6 13 2 6" xfId="27380"/>
    <cellStyle name="40% - Accent6 13 2 7" xfId="27365"/>
    <cellStyle name="40% - Accent6 13 3" xfId="2117"/>
    <cellStyle name="40% - Accent6 13 3 2" xfId="8402"/>
    <cellStyle name="40% - Accent6 13 3 2 2" xfId="27383"/>
    <cellStyle name="40% - Accent6 13 3 2 3" xfId="27382"/>
    <cellStyle name="40% - Accent6 13 3 3" xfId="5275"/>
    <cellStyle name="40% - Accent6 13 3 3 2" xfId="27385"/>
    <cellStyle name="40% - Accent6 13 3 3 3" xfId="27384"/>
    <cellStyle name="40% - Accent6 13 3 4" xfId="11585"/>
    <cellStyle name="40% - Accent6 13 3 4 2" xfId="27387"/>
    <cellStyle name="40% - Accent6 13 3 4 3" xfId="27386"/>
    <cellStyle name="40% - Accent6 13 3 5" xfId="27388"/>
    <cellStyle name="40% - Accent6 13 3 6" xfId="27381"/>
    <cellStyle name="40% - Accent6 13 4" xfId="6839"/>
    <cellStyle name="40% - Accent6 13 4 2" xfId="27390"/>
    <cellStyle name="40% - Accent6 13 4 3" xfId="27389"/>
    <cellStyle name="40% - Accent6 13 5" xfId="3712"/>
    <cellStyle name="40% - Accent6 13 5 2" xfId="27392"/>
    <cellStyle name="40% - Accent6 13 5 3" xfId="27391"/>
    <cellStyle name="40% - Accent6 13 6" xfId="10144"/>
    <cellStyle name="40% - Accent6 13 6 2" xfId="27394"/>
    <cellStyle name="40% - Accent6 13 6 3" xfId="27393"/>
    <cellStyle name="40% - Accent6 13 7" xfId="27395"/>
    <cellStyle name="40% - Accent6 13 8" xfId="27364"/>
    <cellStyle name="40% - Accent6 14" xfId="539"/>
    <cellStyle name="40% - Accent6 14 2" xfId="1246"/>
    <cellStyle name="40% - Accent6 14 2 2" xfId="2811"/>
    <cellStyle name="40% - Accent6 14 2 2 2" xfId="9096"/>
    <cellStyle name="40% - Accent6 14 2 2 2 2" xfId="27400"/>
    <cellStyle name="40% - Accent6 14 2 2 2 3" xfId="27399"/>
    <cellStyle name="40% - Accent6 14 2 2 3" xfId="5969"/>
    <cellStyle name="40% - Accent6 14 2 2 3 2" xfId="27402"/>
    <cellStyle name="40% - Accent6 14 2 2 3 3" xfId="27401"/>
    <cellStyle name="40% - Accent6 14 2 2 4" xfId="12279"/>
    <cellStyle name="40% - Accent6 14 2 2 4 2" xfId="27404"/>
    <cellStyle name="40% - Accent6 14 2 2 4 3" xfId="27403"/>
    <cellStyle name="40% - Accent6 14 2 2 5" xfId="27405"/>
    <cellStyle name="40% - Accent6 14 2 2 6" xfId="27398"/>
    <cellStyle name="40% - Accent6 14 2 3" xfId="7533"/>
    <cellStyle name="40% - Accent6 14 2 3 2" xfId="27407"/>
    <cellStyle name="40% - Accent6 14 2 3 3" xfId="27406"/>
    <cellStyle name="40% - Accent6 14 2 4" xfId="4406"/>
    <cellStyle name="40% - Accent6 14 2 4 2" xfId="27409"/>
    <cellStyle name="40% - Accent6 14 2 4 3" xfId="27408"/>
    <cellStyle name="40% - Accent6 14 2 5" xfId="10716"/>
    <cellStyle name="40% - Accent6 14 2 5 2" xfId="27411"/>
    <cellStyle name="40% - Accent6 14 2 5 3" xfId="27410"/>
    <cellStyle name="40% - Accent6 14 2 6" xfId="27412"/>
    <cellStyle name="40% - Accent6 14 2 7" xfId="27397"/>
    <cellStyle name="40% - Accent6 14 3" xfId="2131"/>
    <cellStyle name="40% - Accent6 14 3 2" xfId="8416"/>
    <cellStyle name="40% - Accent6 14 3 2 2" xfId="27415"/>
    <cellStyle name="40% - Accent6 14 3 2 3" xfId="27414"/>
    <cellStyle name="40% - Accent6 14 3 3" xfId="5289"/>
    <cellStyle name="40% - Accent6 14 3 3 2" xfId="27417"/>
    <cellStyle name="40% - Accent6 14 3 3 3" xfId="27416"/>
    <cellStyle name="40% - Accent6 14 3 4" xfId="11599"/>
    <cellStyle name="40% - Accent6 14 3 4 2" xfId="27419"/>
    <cellStyle name="40% - Accent6 14 3 4 3" xfId="27418"/>
    <cellStyle name="40% - Accent6 14 3 5" xfId="27420"/>
    <cellStyle name="40% - Accent6 14 3 6" xfId="27413"/>
    <cellStyle name="40% - Accent6 14 4" xfId="6853"/>
    <cellStyle name="40% - Accent6 14 4 2" xfId="27422"/>
    <cellStyle name="40% - Accent6 14 4 3" xfId="27421"/>
    <cellStyle name="40% - Accent6 14 5" xfId="3726"/>
    <cellStyle name="40% - Accent6 14 5 2" xfId="27424"/>
    <cellStyle name="40% - Accent6 14 5 3" xfId="27423"/>
    <cellStyle name="40% - Accent6 14 6" xfId="10158"/>
    <cellStyle name="40% - Accent6 14 6 2" xfId="27426"/>
    <cellStyle name="40% - Accent6 14 6 3" xfId="27425"/>
    <cellStyle name="40% - Accent6 14 7" xfId="27427"/>
    <cellStyle name="40% - Accent6 14 8" xfId="27396"/>
    <cellStyle name="40% - Accent6 15" xfId="553"/>
    <cellStyle name="40% - Accent6 15 2" xfId="1260"/>
    <cellStyle name="40% - Accent6 15 2 2" xfId="2825"/>
    <cellStyle name="40% - Accent6 15 2 2 2" xfId="9110"/>
    <cellStyle name="40% - Accent6 15 2 2 2 2" xfId="27432"/>
    <cellStyle name="40% - Accent6 15 2 2 2 3" xfId="27431"/>
    <cellStyle name="40% - Accent6 15 2 2 3" xfId="5983"/>
    <cellStyle name="40% - Accent6 15 2 2 3 2" xfId="27434"/>
    <cellStyle name="40% - Accent6 15 2 2 3 3" xfId="27433"/>
    <cellStyle name="40% - Accent6 15 2 2 4" xfId="12293"/>
    <cellStyle name="40% - Accent6 15 2 2 4 2" xfId="27436"/>
    <cellStyle name="40% - Accent6 15 2 2 4 3" xfId="27435"/>
    <cellStyle name="40% - Accent6 15 2 2 5" xfId="27437"/>
    <cellStyle name="40% - Accent6 15 2 2 6" xfId="27430"/>
    <cellStyle name="40% - Accent6 15 2 3" xfId="7547"/>
    <cellStyle name="40% - Accent6 15 2 3 2" xfId="27439"/>
    <cellStyle name="40% - Accent6 15 2 3 3" xfId="27438"/>
    <cellStyle name="40% - Accent6 15 2 4" xfId="4420"/>
    <cellStyle name="40% - Accent6 15 2 4 2" xfId="27441"/>
    <cellStyle name="40% - Accent6 15 2 4 3" xfId="27440"/>
    <cellStyle name="40% - Accent6 15 2 5" xfId="10730"/>
    <cellStyle name="40% - Accent6 15 2 5 2" xfId="27443"/>
    <cellStyle name="40% - Accent6 15 2 5 3" xfId="27442"/>
    <cellStyle name="40% - Accent6 15 2 6" xfId="27444"/>
    <cellStyle name="40% - Accent6 15 2 7" xfId="27429"/>
    <cellStyle name="40% - Accent6 15 3" xfId="2145"/>
    <cellStyle name="40% - Accent6 15 3 2" xfId="8430"/>
    <cellStyle name="40% - Accent6 15 3 2 2" xfId="27447"/>
    <cellStyle name="40% - Accent6 15 3 2 3" xfId="27446"/>
    <cellStyle name="40% - Accent6 15 3 3" xfId="5303"/>
    <cellStyle name="40% - Accent6 15 3 3 2" xfId="27449"/>
    <cellStyle name="40% - Accent6 15 3 3 3" xfId="27448"/>
    <cellStyle name="40% - Accent6 15 3 4" xfId="11613"/>
    <cellStyle name="40% - Accent6 15 3 4 2" xfId="27451"/>
    <cellStyle name="40% - Accent6 15 3 4 3" xfId="27450"/>
    <cellStyle name="40% - Accent6 15 3 5" xfId="27452"/>
    <cellStyle name="40% - Accent6 15 3 6" xfId="27445"/>
    <cellStyle name="40% - Accent6 15 4" xfId="6867"/>
    <cellStyle name="40% - Accent6 15 4 2" xfId="27454"/>
    <cellStyle name="40% - Accent6 15 4 3" xfId="27453"/>
    <cellStyle name="40% - Accent6 15 5" xfId="3740"/>
    <cellStyle name="40% - Accent6 15 5 2" xfId="27456"/>
    <cellStyle name="40% - Accent6 15 5 3" xfId="27455"/>
    <cellStyle name="40% - Accent6 15 6" xfId="10172"/>
    <cellStyle name="40% - Accent6 15 6 2" xfId="27458"/>
    <cellStyle name="40% - Accent6 15 6 3" xfId="27457"/>
    <cellStyle name="40% - Accent6 15 7" xfId="27459"/>
    <cellStyle name="40% - Accent6 15 8" xfId="27428"/>
    <cellStyle name="40% - Accent6 16" xfId="606"/>
    <cellStyle name="40% - Accent6 16 2" xfId="1313"/>
    <cellStyle name="40% - Accent6 16 2 2" xfId="2878"/>
    <cellStyle name="40% - Accent6 16 2 2 2" xfId="9163"/>
    <cellStyle name="40% - Accent6 16 2 2 2 2" xfId="27464"/>
    <cellStyle name="40% - Accent6 16 2 2 2 3" xfId="27463"/>
    <cellStyle name="40% - Accent6 16 2 2 3" xfId="6036"/>
    <cellStyle name="40% - Accent6 16 2 2 3 2" xfId="27466"/>
    <cellStyle name="40% - Accent6 16 2 2 3 3" xfId="27465"/>
    <cellStyle name="40% - Accent6 16 2 2 4" xfId="12346"/>
    <cellStyle name="40% - Accent6 16 2 2 4 2" xfId="27468"/>
    <cellStyle name="40% - Accent6 16 2 2 4 3" xfId="27467"/>
    <cellStyle name="40% - Accent6 16 2 2 5" xfId="27469"/>
    <cellStyle name="40% - Accent6 16 2 2 6" xfId="27462"/>
    <cellStyle name="40% - Accent6 16 2 3" xfId="7600"/>
    <cellStyle name="40% - Accent6 16 2 3 2" xfId="27471"/>
    <cellStyle name="40% - Accent6 16 2 3 3" xfId="27470"/>
    <cellStyle name="40% - Accent6 16 2 4" xfId="4473"/>
    <cellStyle name="40% - Accent6 16 2 4 2" xfId="27473"/>
    <cellStyle name="40% - Accent6 16 2 4 3" xfId="27472"/>
    <cellStyle name="40% - Accent6 16 2 5" xfId="10783"/>
    <cellStyle name="40% - Accent6 16 2 5 2" xfId="27475"/>
    <cellStyle name="40% - Accent6 16 2 5 3" xfId="27474"/>
    <cellStyle name="40% - Accent6 16 2 6" xfId="27476"/>
    <cellStyle name="40% - Accent6 16 2 7" xfId="27461"/>
    <cellStyle name="40% - Accent6 16 3" xfId="2198"/>
    <cellStyle name="40% - Accent6 16 3 2" xfId="8483"/>
    <cellStyle name="40% - Accent6 16 3 2 2" xfId="27479"/>
    <cellStyle name="40% - Accent6 16 3 2 3" xfId="27478"/>
    <cellStyle name="40% - Accent6 16 3 3" xfId="5356"/>
    <cellStyle name="40% - Accent6 16 3 3 2" xfId="27481"/>
    <cellStyle name="40% - Accent6 16 3 3 3" xfId="27480"/>
    <cellStyle name="40% - Accent6 16 3 4" xfId="11666"/>
    <cellStyle name="40% - Accent6 16 3 4 2" xfId="27483"/>
    <cellStyle name="40% - Accent6 16 3 4 3" xfId="27482"/>
    <cellStyle name="40% - Accent6 16 3 5" xfId="27484"/>
    <cellStyle name="40% - Accent6 16 3 6" xfId="27477"/>
    <cellStyle name="40% - Accent6 16 4" xfId="6920"/>
    <cellStyle name="40% - Accent6 16 4 2" xfId="27486"/>
    <cellStyle name="40% - Accent6 16 4 3" xfId="27485"/>
    <cellStyle name="40% - Accent6 16 5" xfId="3793"/>
    <cellStyle name="40% - Accent6 16 5 2" xfId="27488"/>
    <cellStyle name="40% - Accent6 16 5 3" xfId="27487"/>
    <cellStyle name="40% - Accent6 16 6" xfId="10225"/>
    <cellStyle name="40% - Accent6 16 6 2" xfId="27490"/>
    <cellStyle name="40% - Accent6 16 6 3" xfId="27489"/>
    <cellStyle name="40% - Accent6 16 7" xfId="27491"/>
    <cellStyle name="40% - Accent6 16 8" xfId="27460"/>
    <cellStyle name="40% - Accent6 17" xfId="665"/>
    <cellStyle name="40% - Accent6 17 2" xfId="1370"/>
    <cellStyle name="40% - Accent6 17 2 2" xfId="2935"/>
    <cellStyle name="40% - Accent6 17 2 2 2" xfId="9220"/>
    <cellStyle name="40% - Accent6 17 2 2 2 2" xfId="27496"/>
    <cellStyle name="40% - Accent6 17 2 2 2 3" xfId="27495"/>
    <cellStyle name="40% - Accent6 17 2 2 3" xfId="6093"/>
    <cellStyle name="40% - Accent6 17 2 2 3 2" xfId="27498"/>
    <cellStyle name="40% - Accent6 17 2 2 3 3" xfId="27497"/>
    <cellStyle name="40% - Accent6 17 2 2 4" xfId="12403"/>
    <cellStyle name="40% - Accent6 17 2 2 4 2" xfId="27500"/>
    <cellStyle name="40% - Accent6 17 2 2 4 3" xfId="27499"/>
    <cellStyle name="40% - Accent6 17 2 2 5" xfId="27501"/>
    <cellStyle name="40% - Accent6 17 2 2 6" xfId="27494"/>
    <cellStyle name="40% - Accent6 17 2 3" xfId="7657"/>
    <cellStyle name="40% - Accent6 17 2 3 2" xfId="27503"/>
    <cellStyle name="40% - Accent6 17 2 3 3" xfId="27502"/>
    <cellStyle name="40% - Accent6 17 2 4" xfId="4530"/>
    <cellStyle name="40% - Accent6 17 2 4 2" xfId="27505"/>
    <cellStyle name="40% - Accent6 17 2 4 3" xfId="27504"/>
    <cellStyle name="40% - Accent6 17 2 5" xfId="10840"/>
    <cellStyle name="40% - Accent6 17 2 5 2" xfId="27507"/>
    <cellStyle name="40% - Accent6 17 2 5 3" xfId="27506"/>
    <cellStyle name="40% - Accent6 17 2 6" xfId="27508"/>
    <cellStyle name="40% - Accent6 17 2 7" xfId="27493"/>
    <cellStyle name="40% - Accent6 17 3" xfId="2255"/>
    <cellStyle name="40% - Accent6 17 3 2" xfId="8540"/>
    <cellStyle name="40% - Accent6 17 3 2 2" xfId="27511"/>
    <cellStyle name="40% - Accent6 17 3 2 3" xfId="27510"/>
    <cellStyle name="40% - Accent6 17 3 3" xfId="5413"/>
    <cellStyle name="40% - Accent6 17 3 3 2" xfId="27513"/>
    <cellStyle name="40% - Accent6 17 3 3 3" xfId="27512"/>
    <cellStyle name="40% - Accent6 17 3 4" xfId="11723"/>
    <cellStyle name="40% - Accent6 17 3 4 2" xfId="27515"/>
    <cellStyle name="40% - Accent6 17 3 4 3" xfId="27514"/>
    <cellStyle name="40% - Accent6 17 3 5" xfId="27516"/>
    <cellStyle name="40% - Accent6 17 3 6" xfId="27509"/>
    <cellStyle name="40% - Accent6 17 4" xfId="6977"/>
    <cellStyle name="40% - Accent6 17 4 2" xfId="27518"/>
    <cellStyle name="40% - Accent6 17 4 3" xfId="27517"/>
    <cellStyle name="40% - Accent6 17 5" xfId="3850"/>
    <cellStyle name="40% - Accent6 17 5 2" xfId="27520"/>
    <cellStyle name="40% - Accent6 17 5 3" xfId="27519"/>
    <cellStyle name="40% - Accent6 17 6" xfId="10283"/>
    <cellStyle name="40% - Accent6 17 6 2" xfId="27522"/>
    <cellStyle name="40% - Accent6 17 6 3" xfId="27521"/>
    <cellStyle name="40% - Accent6 17 7" xfId="27523"/>
    <cellStyle name="40% - Accent6 17 8" xfId="27492"/>
    <cellStyle name="40% - Accent6 18" xfId="852"/>
    <cellStyle name="40% - Accent6 18 2" xfId="2418"/>
    <cellStyle name="40% - Accent6 18 2 2" xfId="8703"/>
    <cellStyle name="40% - Accent6 18 2 2 2" xfId="27527"/>
    <cellStyle name="40% - Accent6 18 2 2 3" xfId="27526"/>
    <cellStyle name="40% - Accent6 18 2 3" xfId="5576"/>
    <cellStyle name="40% - Accent6 18 2 3 2" xfId="27529"/>
    <cellStyle name="40% - Accent6 18 2 3 3" xfId="27528"/>
    <cellStyle name="40% - Accent6 18 2 4" xfId="11886"/>
    <cellStyle name="40% - Accent6 18 2 4 2" xfId="27531"/>
    <cellStyle name="40% - Accent6 18 2 4 3" xfId="27530"/>
    <cellStyle name="40% - Accent6 18 2 5" xfId="27532"/>
    <cellStyle name="40% - Accent6 18 2 6" xfId="27525"/>
    <cellStyle name="40% - Accent6 18 3" xfId="7140"/>
    <cellStyle name="40% - Accent6 18 3 2" xfId="27534"/>
    <cellStyle name="40% - Accent6 18 3 3" xfId="27533"/>
    <cellStyle name="40% - Accent6 18 4" xfId="4013"/>
    <cellStyle name="40% - Accent6 18 4 2" xfId="27536"/>
    <cellStyle name="40% - Accent6 18 4 3" xfId="27535"/>
    <cellStyle name="40% - Accent6 18 5" xfId="10323"/>
    <cellStyle name="40% - Accent6 18 5 2" xfId="27538"/>
    <cellStyle name="40% - Accent6 18 5 3" xfId="27537"/>
    <cellStyle name="40% - Accent6 18 6" xfId="27539"/>
    <cellStyle name="40% - Accent6 18 7" xfId="27524"/>
    <cellStyle name="40% - Accent6 19" xfId="1572"/>
    <cellStyle name="40% - Accent6 19 2" xfId="3137"/>
    <cellStyle name="40% - Accent6 19 2 2" xfId="9422"/>
    <cellStyle name="40% - Accent6 19 2 2 2" xfId="27543"/>
    <cellStyle name="40% - Accent6 19 2 2 3" xfId="27542"/>
    <cellStyle name="40% - Accent6 19 2 3" xfId="6295"/>
    <cellStyle name="40% - Accent6 19 2 3 2" xfId="27545"/>
    <cellStyle name="40% - Accent6 19 2 3 3" xfId="27544"/>
    <cellStyle name="40% - Accent6 19 2 4" xfId="12605"/>
    <cellStyle name="40% - Accent6 19 2 4 2" xfId="27547"/>
    <cellStyle name="40% - Accent6 19 2 4 3" xfId="27546"/>
    <cellStyle name="40% - Accent6 19 2 5" xfId="27548"/>
    <cellStyle name="40% - Accent6 19 2 6" xfId="27541"/>
    <cellStyle name="40% - Accent6 19 3" xfId="7859"/>
    <cellStyle name="40% - Accent6 19 3 2" xfId="27550"/>
    <cellStyle name="40% - Accent6 19 3 3" xfId="27549"/>
    <cellStyle name="40% - Accent6 19 4" xfId="4732"/>
    <cellStyle name="40% - Accent6 19 4 2" xfId="27552"/>
    <cellStyle name="40% - Accent6 19 4 3" xfId="27551"/>
    <cellStyle name="40% - Accent6 19 5" xfId="11042"/>
    <cellStyle name="40% - Accent6 19 5 2" xfId="27554"/>
    <cellStyle name="40% - Accent6 19 5 3" xfId="27553"/>
    <cellStyle name="40% - Accent6 19 6" xfId="27555"/>
    <cellStyle name="40% - Accent6 19 7" xfId="27540"/>
    <cellStyle name="40% - Accent6 2" xfId="66"/>
    <cellStyle name="40% - Accent6 2 10" xfId="1750"/>
    <cellStyle name="40% - Accent6 2 10 2" xfId="8036"/>
    <cellStyle name="40% - Accent6 2 10 2 2" xfId="27559"/>
    <cellStyle name="40% - Accent6 2 10 2 3" xfId="27558"/>
    <cellStyle name="40% - Accent6 2 10 3" xfId="4909"/>
    <cellStyle name="40% - Accent6 2 10 3 2" xfId="27561"/>
    <cellStyle name="40% - Accent6 2 10 3 3" xfId="27560"/>
    <cellStyle name="40% - Accent6 2 10 4" xfId="11219"/>
    <cellStyle name="40% - Accent6 2 10 4 2" xfId="27563"/>
    <cellStyle name="40% - Accent6 2 10 4 3" xfId="27562"/>
    <cellStyle name="40% - Accent6 2 10 5" xfId="27564"/>
    <cellStyle name="40% - Accent6 2 10 6" xfId="27557"/>
    <cellStyle name="40% - Accent6 2 11" xfId="128"/>
    <cellStyle name="40% - Accent6 2 11 2" xfId="6473"/>
    <cellStyle name="40% - Accent6 2 11 2 2" xfId="27567"/>
    <cellStyle name="40% - Accent6 2 11 2 3" xfId="27566"/>
    <cellStyle name="40% - Accent6 2 11 3" xfId="27568"/>
    <cellStyle name="40% - Accent6 2 11 4" xfId="27565"/>
    <cellStyle name="40% - Accent6 2 12" xfId="3319"/>
    <cellStyle name="40% - Accent6 2 12 2" xfId="27570"/>
    <cellStyle name="40% - Accent6 2 12 3" xfId="27569"/>
    <cellStyle name="40% - Accent6 2 13" xfId="3346"/>
    <cellStyle name="40% - Accent6 2 13 2" xfId="27572"/>
    <cellStyle name="40% - Accent6 2 13 3" xfId="27571"/>
    <cellStyle name="40% - Accent6 2 14" xfId="9623"/>
    <cellStyle name="40% - Accent6 2 14 2" xfId="27574"/>
    <cellStyle name="40% - Accent6 2 14 3" xfId="27573"/>
    <cellStyle name="40% - Accent6 2 15" xfId="27575"/>
    <cellStyle name="40% - Accent6 2 16" xfId="27556"/>
    <cellStyle name="40% - Accent6 2 17" xfId="38154"/>
    <cellStyle name="40% - Accent6 2 2" xfId="99"/>
    <cellStyle name="40% - Accent6 2 2 2" xfId="311"/>
    <cellStyle name="40% - Accent6 2 2 2 2" xfId="1021"/>
    <cellStyle name="40% - Accent6 2 2 2 2 2" xfId="2587"/>
    <cellStyle name="40% - Accent6 2 2 2 2 2 2" xfId="8872"/>
    <cellStyle name="40% - Accent6 2 2 2 2 2 2 2" xfId="27581"/>
    <cellStyle name="40% - Accent6 2 2 2 2 2 2 3" xfId="27580"/>
    <cellStyle name="40% - Accent6 2 2 2 2 2 3" xfId="5745"/>
    <cellStyle name="40% - Accent6 2 2 2 2 2 3 2" xfId="27583"/>
    <cellStyle name="40% - Accent6 2 2 2 2 2 3 3" xfId="27582"/>
    <cellStyle name="40% - Accent6 2 2 2 2 2 4" xfId="12055"/>
    <cellStyle name="40% - Accent6 2 2 2 2 2 4 2" xfId="27585"/>
    <cellStyle name="40% - Accent6 2 2 2 2 2 4 3" xfId="27584"/>
    <cellStyle name="40% - Accent6 2 2 2 2 2 5" xfId="27586"/>
    <cellStyle name="40% - Accent6 2 2 2 2 2 6" xfId="27579"/>
    <cellStyle name="40% - Accent6 2 2 2 2 3" xfId="7309"/>
    <cellStyle name="40% - Accent6 2 2 2 2 3 2" xfId="27588"/>
    <cellStyle name="40% - Accent6 2 2 2 2 3 3" xfId="27587"/>
    <cellStyle name="40% - Accent6 2 2 2 2 4" xfId="4182"/>
    <cellStyle name="40% - Accent6 2 2 2 2 4 2" xfId="27590"/>
    <cellStyle name="40% - Accent6 2 2 2 2 4 3" xfId="27589"/>
    <cellStyle name="40% - Accent6 2 2 2 2 5" xfId="10492"/>
    <cellStyle name="40% - Accent6 2 2 2 2 5 2" xfId="27592"/>
    <cellStyle name="40% - Accent6 2 2 2 2 5 3" xfId="27591"/>
    <cellStyle name="40% - Accent6 2 2 2 2 6" xfId="27593"/>
    <cellStyle name="40% - Accent6 2 2 2 2 7" xfId="27578"/>
    <cellStyle name="40% - Accent6 2 2 2 3" xfId="1907"/>
    <cellStyle name="40% - Accent6 2 2 2 3 2" xfId="8192"/>
    <cellStyle name="40% - Accent6 2 2 2 3 2 2" xfId="27596"/>
    <cellStyle name="40% - Accent6 2 2 2 3 2 3" xfId="27595"/>
    <cellStyle name="40% - Accent6 2 2 2 3 3" xfId="5065"/>
    <cellStyle name="40% - Accent6 2 2 2 3 3 2" xfId="27598"/>
    <cellStyle name="40% - Accent6 2 2 2 3 3 3" xfId="27597"/>
    <cellStyle name="40% - Accent6 2 2 2 3 4" xfId="11375"/>
    <cellStyle name="40% - Accent6 2 2 2 3 4 2" xfId="27600"/>
    <cellStyle name="40% - Accent6 2 2 2 3 4 3" xfId="27599"/>
    <cellStyle name="40% - Accent6 2 2 2 3 5" xfId="27601"/>
    <cellStyle name="40% - Accent6 2 2 2 3 6" xfId="27594"/>
    <cellStyle name="40% - Accent6 2 2 2 4" xfId="6629"/>
    <cellStyle name="40% - Accent6 2 2 2 4 2" xfId="27603"/>
    <cellStyle name="40% - Accent6 2 2 2 4 3" xfId="27602"/>
    <cellStyle name="40% - Accent6 2 2 2 5" xfId="3502"/>
    <cellStyle name="40% - Accent6 2 2 2 5 2" xfId="27605"/>
    <cellStyle name="40% - Accent6 2 2 2 5 3" xfId="27604"/>
    <cellStyle name="40% - Accent6 2 2 2 6" xfId="9803"/>
    <cellStyle name="40% - Accent6 2 2 2 6 2" xfId="27607"/>
    <cellStyle name="40% - Accent6 2 2 2 6 3" xfId="27606"/>
    <cellStyle name="40% - Accent6 2 2 2 7" xfId="27608"/>
    <cellStyle name="40% - Accent6 2 2 2 8" xfId="27577"/>
    <cellStyle name="40% - Accent6 2 2 3" xfId="915"/>
    <cellStyle name="40% - Accent6 2 2 3 2" xfId="2481"/>
    <cellStyle name="40% - Accent6 2 2 3 2 2" xfId="8766"/>
    <cellStyle name="40% - Accent6 2 2 3 2 2 2" xfId="27612"/>
    <cellStyle name="40% - Accent6 2 2 3 2 2 3" xfId="27611"/>
    <cellStyle name="40% - Accent6 2 2 3 2 3" xfId="5639"/>
    <cellStyle name="40% - Accent6 2 2 3 2 3 2" xfId="27614"/>
    <cellStyle name="40% - Accent6 2 2 3 2 3 3" xfId="27613"/>
    <cellStyle name="40% - Accent6 2 2 3 2 4" xfId="11949"/>
    <cellStyle name="40% - Accent6 2 2 3 2 4 2" xfId="27616"/>
    <cellStyle name="40% - Accent6 2 2 3 2 4 3" xfId="27615"/>
    <cellStyle name="40% - Accent6 2 2 3 2 5" xfId="27617"/>
    <cellStyle name="40% - Accent6 2 2 3 2 6" xfId="27610"/>
    <cellStyle name="40% - Accent6 2 2 3 3" xfId="7203"/>
    <cellStyle name="40% - Accent6 2 2 3 3 2" xfId="27619"/>
    <cellStyle name="40% - Accent6 2 2 3 3 3" xfId="27618"/>
    <cellStyle name="40% - Accent6 2 2 3 4" xfId="4076"/>
    <cellStyle name="40% - Accent6 2 2 3 4 2" xfId="27621"/>
    <cellStyle name="40% - Accent6 2 2 3 4 3" xfId="27620"/>
    <cellStyle name="40% - Accent6 2 2 3 5" xfId="10386"/>
    <cellStyle name="40% - Accent6 2 2 3 5 2" xfId="27623"/>
    <cellStyle name="40% - Accent6 2 2 3 5 3" xfId="27622"/>
    <cellStyle name="40% - Accent6 2 2 3 6" xfId="27624"/>
    <cellStyle name="40% - Accent6 2 2 3 7" xfId="27609"/>
    <cellStyle name="40% - Accent6 2 2 4" xfId="1801"/>
    <cellStyle name="40% - Accent6 2 2 4 2" xfId="8086"/>
    <cellStyle name="40% - Accent6 2 2 4 2 2" xfId="27627"/>
    <cellStyle name="40% - Accent6 2 2 4 2 3" xfId="27626"/>
    <cellStyle name="40% - Accent6 2 2 4 3" xfId="4959"/>
    <cellStyle name="40% - Accent6 2 2 4 3 2" xfId="27629"/>
    <cellStyle name="40% - Accent6 2 2 4 3 3" xfId="27628"/>
    <cellStyle name="40% - Accent6 2 2 4 4" xfId="11269"/>
    <cellStyle name="40% - Accent6 2 2 4 4 2" xfId="27631"/>
    <cellStyle name="40% - Accent6 2 2 4 4 3" xfId="27630"/>
    <cellStyle name="40% - Accent6 2 2 4 5" xfId="27632"/>
    <cellStyle name="40% - Accent6 2 2 4 6" xfId="27625"/>
    <cellStyle name="40% - Accent6 2 2 5" xfId="179"/>
    <cellStyle name="40% - Accent6 2 2 5 2" xfId="6523"/>
    <cellStyle name="40% - Accent6 2 2 5 2 2" xfId="27635"/>
    <cellStyle name="40% - Accent6 2 2 5 2 3" xfId="27634"/>
    <cellStyle name="40% - Accent6 2 2 5 3" xfId="27636"/>
    <cellStyle name="40% - Accent6 2 2 5 4" xfId="27633"/>
    <cellStyle name="40% - Accent6 2 2 6" xfId="3396"/>
    <cellStyle name="40% - Accent6 2 2 6 2" xfId="27638"/>
    <cellStyle name="40% - Accent6 2 2 6 3" xfId="27637"/>
    <cellStyle name="40% - Accent6 2 2 7" xfId="9864"/>
    <cellStyle name="40% - Accent6 2 2 7 2" xfId="27640"/>
    <cellStyle name="40% - Accent6 2 2 7 3" xfId="27639"/>
    <cellStyle name="40% - Accent6 2 2 8" xfId="27641"/>
    <cellStyle name="40% - Accent6 2 2 9" xfId="27576"/>
    <cellStyle name="40% - Accent6 2 3" xfId="255"/>
    <cellStyle name="40% - Accent6 2 3 2" xfId="966"/>
    <cellStyle name="40% - Accent6 2 3 2 2" xfId="2532"/>
    <cellStyle name="40% - Accent6 2 3 2 2 2" xfId="8817"/>
    <cellStyle name="40% - Accent6 2 3 2 2 2 2" xfId="27646"/>
    <cellStyle name="40% - Accent6 2 3 2 2 2 3" xfId="27645"/>
    <cellStyle name="40% - Accent6 2 3 2 2 3" xfId="5690"/>
    <cellStyle name="40% - Accent6 2 3 2 2 3 2" xfId="27648"/>
    <cellStyle name="40% - Accent6 2 3 2 2 3 3" xfId="27647"/>
    <cellStyle name="40% - Accent6 2 3 2 2 4" xfId="12000"/>
    <cellStyle name="40% - Accent6 2 3 2 2 4 2" xfId="27650"/>
    <cellStyle name="40% - Accent6 2 3 2 2 4 3" xfId="27649"/>
    <cellStyle name="40% - Accent6 2 3 2 2 5" xfId="27651"/>
    <cellStyle name="40% - Accent6 2 3 2 2 6" xfId="27644"/>
    <cellStyle name="40% - Accent6 2 3 2 3" xfId="7254"/>
    <cellStyle name="40% - Accent6 2 3 2 3 2" xfId="27653"/>
    <cellStyle name="40% - Accent6 2 3 2 3 3" xfId="27652"/>
    <cellStyle name="40% - Accent6 2 3 2 4" xfId="4127"/>
    <cellStyle name="40% - Accent6 2 3 2 4 2" xfId="27655"/>
    <cellStyle name="40% - Accent6 2 3 2 4 3" xfId="27654"/>
    <cellStyle name="40% - Accent6 2 3 2 5" xfId="10437"/>
    <cellStyle name="40% - Accent6 2 3 2 5 2" xfId="27657"/>
    <cellStyle name="40% - Accent6 2 3 2 5 3" xfId="27656"/>
    <cellStyle name="40% - Accent6 2 3 2 6" xfId="27658"/>
    <cellStyle name="40% - Accent6 2 3 2 7" xfId="27643"/>
    <cellStyle name="40% - Accent6 2 3 3" xfId="1852"/>
    <cellStyle name="40% - Accent6 2 3 3 2" xfId="8137"/>
    <cellStyle name="40% - Accent6 2 3 3 2 2" xfId="27661"/>
    <cellStyle name="40% - Accent6 2 3 3 2 3" xfId="27660"/>
    <cellStyle name="40% - Accent6 2 3 3 3" xfId="5010"/>
    <cellStyle name="40% - Accent6 2 3 3 3 2" xfId="27663"/>
    <cellStyle name="40% - Accent6 2 3 3 3 3" xfId="27662"/>
    <cellStyle name="40% - Accent6 2 3 3 4" xfId="11320"/>
    <cellStyle name="40% - Accent6 2 3 3 4 2" xfId="27665"/>
    <cellStyle name="40% - Accent6 2 3 3 4 3" xfId="27664"/>
    <cellStyle name="40% - Accent6 2 3 3 5" xfId="27666"/>
    <cellStyle name="40% - Accent6 2 3 3 6" xfId="27659"/>
    <cellStyle name="40% - Accent6 2 3 4" xfId="6574"/>
    <cellStyle name="40% - Accent6 2 3 4 2" xfId="27668"/>
    <cellStyle name="40% - Accent6 2 3 4 3" xfId="27667"/>
    <cellStyle name="40% - Accent6 2 3 5" xfId="3447"/>
    <cellStyle name="40% - Accent6 2 3 5 2" xfId="27670"/>
    <cellStyle name="40% - Accent6 2 3 5 3" xfId="27669"/>
    <cellStyle name="40% - Accent6 2 3 6" xfId="9885"/>
    <cellStyle name="40% - Accent6 2 3 6 2" xfId="27672"/>
    <cellStyle name="40% - Accent6 2 3 6 3" xfId="27671"/>
    <cellStyle name="40% - Accent6 2 3 7" xfId="27673"/>
    <cellStyle name="40% - Accent6 2 3 8" xfId="27642"/>
    <cellStyle name="40% - Accent6 2 4" xfId="362"/>
    <cellStyle name="40% - Accent6 2 4 2" xfId="1070"/>
    <cellStyle name="40% - Accent6 2 4 2 2" xfId="2636"/>
    <cellStyle name="40% - Accent6 2 4 2 2 2" xfId="8921"/>
    <cellStyle name="40% - Accent6 2 4 2 2 2 2" xfId="27678"/>
    <cellStyle name="40% - Accent6 2 4 2 2 2 3" xfId="27677"/>
    <cellStyle name="40% - Accent6 2 4 2 2 3" xfId="5794"/>
    <cellStyle name="40% - Accent6 2 4 2 2 3 2" xfId="27680"/>
    <cellStyle name="40% - Accent6 2 4 2 2 3 3" xfId="27679"/>
    <cellStyle name="40% - Accent6 2 4 2 2 4" xfId="12104"/>
    <cellStyle name="40% - Accent6 2 4 2 2 4 2" xfId="27682"/>
    <cellStyle name="40% - Accent6 2 4 2 2 4 3" xfId="27681"/>
    <cellStyle name="40% - Accent6 2 4 2 2 5" xfId="27683"/>
    <cellStyle name="40% - Accent6 2 4 2 2 6" xfId="27676"/>
    <cellStyle name="40% - Accent6 2 4 2 3" xfId="7358"/>
    <cellStyle name="40% - Accent6 2 4 2 3 2" xfId="27685"/>
    <cellStyle name="40% - Accent6 2 4 2 3 3" xfId="27684"/>
    <cellStyle name="40% - Accent6 2 4 2 4" xfId="4231"/>
    <cellStyle name="40% - Accent6 2 4 2 4 2" xfId="27687"/>
    <cellStyle name="40% - Accent6 2 4 2 4 3" xfId="27686"/>
    <cellStyle name="40% - Accent6 2 4 2 5" xfId="10541"/>
    <cellStyle name="40% - Accent6 2 4 2 5 2" xfId="27689"/>
    <cellStyle name="40% - Accent6 2 4 2 5 3" xfId="27688"/>
    <cellStyle name="40% - Accent6 2 4 2 6" xfId="27690"/>
    <cellStyle name="40% - Accent6 2 4 2 7" xfId="27675"/>
    <cellStyle name="40% - Accent6 2 4 3" xfId="1956"/>
    <cellStyle name="40% - Accent6 2 4 3 2" xfId="8241"/>
    <cellStyle name="40% - Accent6 2 4 3 2 2" xfId="27693"/>
    <cellStyle name="40% - Accent6 2 4 3 2 3" xfId="27692"/>
    <cellStyle name="40% - Accent6 2 4 3 3" xfId="5114"/>
    <cellStyle name="40% - Accent6 2 4 3 3 2" xfId="27695"/>
    <cellStyle name="40% - Accent6 2 4 3 3 3" xfId="27694"/>
    <cellStyle name="40% - Accent6 2 4 3 4" xfId="11424"/>
    <cellStyle name="40% - Accent6 2 4 3 4 2" xfId="27697"/>
    <cellStyle name="40% - Accent6 2 4 3 4 3" xfId="27696"/>
    <cellStyle name="40% - Accent6 2 4 3 5" xfId="27698"/>
    <cellStyle name="40% - Accent6 2 4 3 6" xfId="27691"/>
    <cellStyle name="40% - Accent6 2 4 4" xfId="6678"/>
    <cellStyle name="40% - Accent6 2 4 4 2" xfId="27700"/>
    <cellStyle name="40% - Accent6 2 4 4 3" xfId="27699"/>
    <cellStyle name="40% - Accent6 2 4 5" xfId="3551"/>
    <cellStyle name="40% - Accent6 2 4 5 2" xfId="27702"/>
    <cellStyle name="40% - Accent6 2 4 5 3" xfId="27701"/>
    <cellStyle name="40% - Accent6 2 4 6" xfId="9983"/>
    <cellStyle name="40% - Accent6 2 4 6 2" xfId="27704"/>
    <cellStyle name="40% - Accent6 2 4 6 3" xfId="27703"/>
    <cellStyle name="40% - Accent6 2 4 7" xfId="27705"/>
    <cellStyle name="40% - Accent6 2 4 8" xfId="27674"/>
    <cellStyle name="40% - Accent6 2 5" xfId="429"/>
    <cellStyle name="40% - Accent6 2 5 2" xfId="1136"/>
    <cellStyle name="40% - Accent6 2 5 2 2" xfId="2701"/>
    <cellStyle name="40% - Accent6 2 5 2 2 2" xfId="8986"/>
    <cellStyle name="40% - Accent6 2 5 2 2 2 2" xfId="27710"/>
    <cellStyle name="40% - Accent6 2 5 2 2 2 3" xfId="27709"/>
    <cellStyle name="40% - Accent6 2 5 2 2 3" xfId="5859"/>
    <cellStyle name="40% - Accent6 2 5 2 2 3 2" xfId="27712"/>
    <cellStyle name="40% - Accent6 2 5 2 2 3 3" xfId="27711"/>
    <cellStyle name="40% - Accent6 2 5 2 2 4" xfId="12169"/>
    <cellStyle name="40% - Accent6 2 5 2 2 4 2" xfId="27714"/>
    <cellStyle name="40% - Accent6 2 5 2 2 4 3" xfId="27713"/>
    <cellStyle name="40% - Accent6 2 5 2 2 5" xfId="27715"/>
    <cellStyle name="40% - Accent6 2 5 2 2 6" xfId="27708"/>
    <cellStyle name="40% - Accent6 2 5 2 3" xfId="7423"/>
    <cellStyle name="40% - Accent6 2 5 2 3 2" xfId="27717"/>
    <cellStyle name="40% - Accent6 2 5 2 3 3" xfId="27716"/>
    <cellStyle name="40% - Accent6 2 5 2 4" xfId="4296"/>
    <cellStyle name="40% - Accent6 2 5 2 4 2" xfId="27719"/>
    <cellStyle name="40% - Accent6 2 5 2 4 3" xfId="27718"/>
    <cellStyle name="40% - Accent6 2 5 2 5" xfId="10606"/>
    <cellStyle name="40% - Accent6 2 5 2 5 2" xfId="27721"/>
    <cellStyle name="40% - Accent6 2 5 2 5 3" xfId="27720"/>
    <cellStyle name="40% - Accent6 2 5 2 6" xfId="27722"/>
    <cellStyle name="40% - Accent6 2 5 2 7" xfId="27707"/>
    <cellStyle name="40% - Accent6 2 5 3" xfId="2021"/>
    <cellStyle name="40% - Accent6 2 5 3 2" xfId="8306"/>
    <cellStyle name="40% - Accent6 2 5 3 2 2" xfId="27725"/>
    <cellStyle name="40% - Accent6 2 5 3 2 3" xfId="27724"/>
    <cellStyle name="40% - Accent6 2 5 3 3" xfId="5179"/>
    <cellStyle name="40% - Accent6 2 5 3 3 2" xfId="27727"/>
    <cellStyle name="40% - Accent6 2 5 3 3 3" xfId="27726"/>
    <cellStyle name="40% - Accent6 2 5 3 4" xfId="11489"/>
    <cellStyle name="40% - Accent6 2 5 3 4 2" xfId="27729"/>
    <cellStyle name="40% - Accent6 2 5 3 4 3" xfId="27728"/>
    <cellStyle name="40% - Accent6 2 5 3 5" xfId="27730"/>
    <cellStyle name="40% - Accent6 2 5 3 6" xfId="27723"/>
    <cellStyle name="40% - Accent6 2 5 4" xfId="6743"/>
    <cellStyle name="40% - Accent6 2 5 4 2" xfId="27732"/>
    <cellStyle name="40% - Accent6 2 5 4 3" xfId="27731"/>
    <cellStyle name="40% - Accent6 2 5 5" xfId="3616"/>
    <cellStyle name="40% - Accent6 2 5 5 2" xfId="27734"/>
    <cellStyle name="40% - Accent6 2 5 5 3" xfId="27733"/>
    <cellStyle name="40% - Accent6 2 5 6" xfId="10049"/>
    <cellStyle name="40% - Accent6 2 5 6 2" xfId="27736"/>
    <cellStyle name="40% - Accent6 2 5 6 3" xfId="27735"/>
    <cellStyle name="40% - Accent6 2 5 7" xfId="27737"/>
    <cellStyle name="40% - Accent6 2 5 8" xfId="27706"/>
    <cellStyle name="40% - Accent6 2 6" xfId="589"/>
    <cellStyle name="40% - Accent6 2 6 2" xfId="1296"/>
    <cellStyle name="40% - Accent6 2 6 2 2" xfId="2861"/>
    <cellStyle name="40% - Accent6 2 6 2 2 2" xfId="9146"/>
    <cellStyle name="40% - Accent6 2 6 2 2 2 2" xfId="27742"/>
    <cellStyle name="40% - Accent6 2 6 2 2 2 3" xfId="27741"/>
    <cellStyle name="40% - Accent6 2 6 2 2 3" xfId="6019"/>
    <cellStyle name="40% - Accent6 2 6 2 2 3 2" xfId="27744"/>
    <cellStyle name="40% - Accent6 2 6 2 2 3 3" xfId="27743"/>
    <cellStyle name="40% - Accent6 2 6 2 2 4" xfId="12329"/>
    <cellStyle name="40% - Accent6 2 6 2 2 4 2" xfId="27746"/>
    <cellStyle name="40% - Accent6 2 6 2 2 4 3" xfId="27745"/>
    <cellStyle name="40% - Accent6 2 6 2 2 5" xfId="27747"/>
    <cellStyle name="40% - Accent6 2 6 2 2 6" xfId="27740"/>
    <cellStyle name="40% - Accent6 2 6 2 3" xfId="7583"/>
    <cellStyle name="40% - Accent6 2 6 2 3 2" xfId="27749"/>
    <cellStyle name="40% - Accent6 2 6 2 3 3" xfId="27748"/>
    <cellStyle name="40% - Accent6 2 6 2 4" xfId="4456"/>
    <cellStyle name="40% - Accent6 2 6 2 4 2" xfId="27751"/>
    <cellStyle name="40% - Accent6 2 6 2 4 3" xfId="27750"/>
    <cellStyle name="40% - Accent6 2 6 2 5" xfId="10766"/>
    <cellStyle name="40% - Accent6 2 6 2 5 2" xfId="27753"/>
    <cellStyle name="40% - Accent6 2 6 2 5 3" xfId="27752"/>
    <cellStyle name="40% - Accent6 2 6 2 6" xfId="27754"/>
    <cellStyle name="40% - Accent6 2 6 2 7" xfId="27739"/>
    <cellStyle name="40% - Accent6 2 6 3" xfId="2181"/>
    <cellStyle name="40% - Accent6 2 6 3 2" xfId="8466"/>
    <cellStyle name="40% - Accent6 2 6 3 2 2" xfId="27757"/>
    <cellStyle name="40% - Accent6 2 6 3 2 3" xfId="27756"/>
    <cellStyle name="40% - Accent6 2 6 3 3" xfId="5339"/>
    <cellStyle name="40% - Accent6 2 6 3 3 2" xfId="27759"/>
    <cellStyle name="40% - Accent6 2 6 3 3 3" xfId="27758"/>
    <cellStyle name="40% - Accent6 2 6 3 4" xfId="11649"/>
    <cellStyle name="40% - Accent6 2 6 3 4 2" xfId="27761"/>
    <cellStyle name="40% - Accent6 2 6 3 4 3" xfId="27760"/>
    <cellStyle name="40% - Accent6 2 6 3 5" xfId="27762"/>
    <cellStyle name="40% - Accent6 2 6 3 6" xfId="27755"/>
    <cellStyle name="40% - Accent6 2 6 4" xfId="6903"/>
    <cellStyle name="40% - Accent6 2 6 4 2" xfId="27764"/>
    <cellStyle name="40% - Accent6 2 6 4 3" xfId="27763"/>
    <cellStyle name="40% - Accent6 2 6 5" xfId="3776"/>
    <cellStyle name="40% - Accent6 2 6 5 2" xfId="27766"/>
    <cellStyle name="40% - Accent6 2 6 5 3" xfId="27765"/>
    <cellStyle name="40% - Accent6 2 6 6" xfId="10208"/>
    <cellStyle name="40% - Accent6 2 6 6 2" xfId="27768"/>
    <cellStyle name="40% - Accent6 2 6 6 3" xfId="27767"/>
    <cellStyle name="40% - Accent6 2 6 7" xfId="27769"/>
    <cellStyle name="40% - Accent6 2 6 8" xfId="27738"/>
    <cellStyle name="40% - Accent6 2 7" xfId="648"/>
    <cellStyle name="40% - Accent6 2 7 2" xfId="1353"/>
    <cellStyle name="40% - Accent6 2 7 2 2" xfId="2918"/>
    <cellStyle name="40% - Accent6 2 7 2 2 2" xfId="9203"/>
    <cellStyle name="40% - Accent6 2 7 2 2 2 2" xfId="27774"/>
    <cellStyle name="40% - Accent6 2 7 2 2 2 3" xfId="27773"/>
    <cellStyle name="40% - Accent6 2 7 2 2 3" xfId="6076"/>
    <cellStyle name="40% - Accent6 2 7 2 2 3 2" xfId="27776"/>
    <cellStyle name="40% - Accent6 2 7 2 2 3 3" xfId="27775"/>
    <cellStyle name="40% - Accent6 2 7 2 2 4" xfId="12386"/>
    <cellStyle name="40% - Accent6 2 7 2 2 4 2" xfId="27778"/>
    <cellStyle name="40% - Accent6 2 7 2 2 4 3" xfId="27777"/>
    <cellStyle name="40% - Accent6 2 7 2 2 5" xfId="27779"/>
    <cellStyle name="40% - Accent6 2 7 2 2 6" xfId="27772"/>
    <cellStyle name="40% - Accent6 2 7 2 3" xfId="7640"/>
    <cellStyle name="40% - Accent6 2 7 2 3 2" xfId="27781"/>
    <cellStyle name="40% - Accent6 2 7 2 3 3" xfId="27780"/>
    <cellStyle name="40% - Accent6 2 7 2 4" xfId="4513"/>
    <cellStyle name="40% - Accent6 2 7 2 4 2" xfId="27783"/>
    <cellStyle name="40% - Accent6 2 7 2 4 3" xfId="27782"/>
    <cellStyle name="40% - Accent6 2 7 2 5" xfId="10823"/>
    <cellStyle name="40% - Accent6 2 7 2 5 2" xfId="27785"/>
    <cellStyle name="40% - Accent6 2 7 2 5 3" xfId="27784"/>
    <cellStyle name="40% - Accent6 2 7 2 6" xfId="27786"/>
    <cellStyle name="40% - Accent6 2 7 2 7" xfId="27771"/>
    <cellStyle name="40% - Accent6 2 7 3" xfId="2238"/>
    <cellStyle name="40% - Accent6 2 7 3 2" xfId="8523"/>
    <cellStyle name="40% - Accent6 2 7 3 2 2" xfId="27789"/>
    <cellStyle name="40% - Accent6 2 7 3 2 3" xfId="27788"/>
    <cellStyle name="40% - Accent6 2 7 3 3" xfId="5396"/>
    <cellStyle name="40% - Accent6 2 7 3 3 2" xfId="27791"/>
    <cellStyle name="40% - Accent6 2 7 3 3 3" xfId="27790"/>
    <cellStyle name="40% - Accent6 2 7 3 4" xfId="11706"/>
    <cellStyle name="40% - Accent6 2 7 3 4 2" xfId="27793"/>
    <cellStyle name="40% - Accent6 2 7 3 4 3" xfId="27792"/>
    <cellStyle name="40% - Accent6 2 7 3 5" xfId="27794"/>
    <cellStyle name="40% - Accent6 2 7 3 6" xfId="27787"/>
    <cellStyle name="40% - Accent6 2 7 4" xfId="6960"/>
    <cellStyle name="40% - Accent6 2 7 4 2" xfId="27796"/>
    <cellStyle name="40% - Accent6 2 7 4 3" xfId="27795"/>
    <cellStyle name="40% - Accent6 2 7 5" xfId="3833"/>
    <cellStyle name="40% - Accent6 2 7 5 2" xfId="27798"/>
    <cellStyle name="40% - Accent6 2 7 5 3" xfId="27797"/>
    <cellStyle name="40% - Accent6 2 7 6" xfId="10266"/>
    <cellStyle name="40% - Accent6 2 7 6 2" xfId="27800"/>
    <cellStyle name="40% - Accent6 2 7 6 3" xfId="27799"/>
    <cellStyle name="40% - Accent6 2 7 7" xfId="27801"/>
    <cellStyle name="40% - Accent6 2 7 8" xfId="27770"/>
    <cellStyle name="40% - Accent6 2 8" xfId="865"/>
    <cellStyle name="40% - Accent6 2 8 2" xfId="2431"/>
    <cellStyle name="40% - Accent6 2 8 2 2" xfId="8716"/>
    <cellStyle name="40% - Accent6 2 8 2 2 2" xfId="27805"/>
    <cellStyle name="40% - Accent6 2 8 2 2 3" xfId="27804"/>
    <cellStyle name="40% - Accent6 2 8 2 3" xfId="5589"/>
    <cellStyle name="40% - Accent6 2 8 2 3 2" xfId="27807"/>
    <cellStyle name="40% - Accent6 2 8 2 3 3" xfId="27806"/>
    <cellStyle name="40% - Accent6 2 8 2 4" xfId="11899"/>
    <cellStyle name="40% - Accent6 2 8 2 4 2" xfId="27809"/>
    <cellStyle name="40% - Accent6 2 8 2 4 3" xfId="27808"/>
    <cellStyle name="40% - Accent6 2 8 2 5" xfId="27810"/>
    <cellStyle name="40% - Accent6 2 8 2 6" xfId="27803"/>
    <cellStyle name="40% - Accent6 2 8 3" xfId="7153"/>
    <cellStyle name="40% - Accent6 2 8 3 2" xfId="27812"/>
    <cellStyle name="40% - Accent6 2 8 3 3" xfId="27811"/>
    <cellStyle name="40% - Accent6 2 8 4" xfId="4026"/>
    <cellStyle name="40% - Accent6 2 8 4 2" xfId="27814"/>
    <cellStyle name="40% - Accent6 2 8 4 3" xfId="27813"/>
    <cellStyle name="40% - Accent6 2 8 5" xfId="10336"/>
    <cellStyle name="40% - Accent6 2 8 5 2" xfId="27816"/>
    <cellStyle name="40% - Accent6 2 8 5 3" xfId="27815"/>
    <cellStyle name="40% - Accent6 2 8 6" xfId="27817"/>
    <cellStyle name="40% - Accent6 2 8 7" xfId="27802"/>
    <cellStyle name="40% - Accent6 2 9" xfId="1555"/>
    <cellStyle name="40% - Accent6 2 9 2" xfId="3120"/>
    <cellStyle name="40% - Accent6 2 9 2 2" xfId="9405"/>
    <cellStyle name="40% - Accent6 2 9 2 2 2" xfId="27821"/>
    <cellStyle name="40% - Accent6 2 9 2 2 3" xfId="27820"/>
    <cellStyle name="40% - Accent6 2 9 2 3" xfId="6278"/>
    <cellStyle name="40% - Accent6 2 9 2 3 2" xfId="27823"/>
    <cellStyle name="40% - Accent6 2 9 2 3 3" xfId="27822"/>
    <cellStyle name="40% - Accent6 2 9 2 4" xfId="12588"/>
    <cellStyle name="40% - Accent6 2 9 2 4 2" xfId="27825"/>
    <cellStyle name="40% - Accent6 2 9 2 4 3" xfId="27824"/>
    <cellStyle name="40% - Accent6 2 9 2 5" xfId="27826"/>
    <cellStyle name="40% - Accent6 2 9 2 6" xfId="27819"/>
    <cellStyle name="40% - Accent6 2 9 3" xfId="7842"/>
    <cellStyle name="40% - Accent6 2 9 3 2" xfId="27828"/>
    <cellStyle name="40% - Accent6 2 9 3 3" xfId="27827"/>
    <cellStyle name="40% - Accent6 2 9 4" xfId="4715"/>
    <cellStyle name="40% - Accent6 2 9 4 2" xfId="27830"/>
    <cellStyle name="40% - Accent6 2 9 4 3" xfId="27829"/>
    <cellStyle name="40% - Accent6 2 9 5" xfId="11025"/>
    <cellStyle name="40% - Accent6 2 9 5 2" xfId="27832"/>
    <cellStyle name="40% - Accent6 2 9 5 3" xfId="27831"/>
    <cellStyle name="40% - Accent6 2 9 6" xfId="27833"/>
    <cellStyle name="40% - Accent6 2 9 7" xfId="27818"/>
    <cellStyle name="40% - Accent6 20" xfId="1736"/>
    <cellStyle name="40% - Accent6 20 2" xfId="8023"/>
    <cellStyle name="40% - Accent6 20 2 2" xfId="27836"/>
    <cellStyle name="40% - Accent6 20 2 3" xfId="27835"/>
    <cellStyle name="40% - Accent6 20 3" xfId="4896"/>
    <cellStyle name="40% - Accent6 20 3 2" xfId="27838"/>
    <cellStyle name="40% - Accent6 20 3 3" xfId="27837"/>
    <cellStyle name="40% - Accent6 20 4" xfId="11206"/>
    <cellStyle name="40% - Accent6 20 4 2" xfId="27840"/>
    <cellStyle name="40% - Accent6 20 4 3" xfId="27839"/>
    <cellStyle name="40% - Accent6 20 5" xfId="27841"/>
    <cellStyle name="40% - Accent6 20 6" xfId="27834"/>
    <cellStyle name="40% - Accent6 21" xfId="115"/>
    <cellStyle name="40% - Accent6 21 2" xfId="6460"/>
    <cellStyle name="40% - Accent6 21 2 2" xfId="27844"/>
    <cellStyle name="40% - Accent6 21 2 3" xfId="27843"/>
    <cellStyle name="40% - Accent6 21 3" xfId="27845"/>
    <cellStyle name="40% - Accent6 21 4" xfId="27842"/>
    <cellStyle name="40% - Accent6 22" xfId="3304"/>
    <cellStyle name="40% - Accent6 22 2" xfId="9587"/>
    <cellStyle name="40% - Accent6 22 2 2" xfId="27848"/>
    <cellStyle name="40% - Accent6 22 2 3" xfId="27847"/>
    <cellStyle name="40% - Accent6 22 3" xfId="27849"/>
    <cellStyle name="40% - Accent6 22 4" xfId="27846"/>
    <cellStyle name="40% - Accent6 23" xfId="3333"/>
    <cellStyle name="40% - Accent6 23 2" xfId="27851"/>
    <cellStyle name="40% - Accent6 23 3" xfId="27850"/>
    <cellStyle name="40% - Accent6 24" xfId="9640"/>
    <cellStyle name="40% - Accent6 24 2" xfId="27853"/>
    <cellStyle name="40% - Accent6 24 3" xfId="27852"/>
    <cellStyle name="40% - Accent6 25" xfId="27854"/>
    <cellStyle name="40% - Accent6 26" xfId="27267"/>
    <cellStyle name="40% - Accent6 27" xfId="38153"/>
    <cellStyle name="40% - Accent6 3" xfId="84"/>
    <cellStyle name="40% - Accent6 3 10" xfId="1765"/>
    <cellStyle name="40% - Accent6 3 10 2" xfId="8050"/>
    <cellStyle name="40% - Accent6 3 10 2 2" xfId="27858"/>
    <cellStyle name="40% - Accent6 3 10 2 3" xfId="27857"/>
    <cellStyle name="40% - Accent6 3 10 3" xfId="4923"/>
    <cellStyle name="40% - Accent6 3 10 3 2" xfId="27860"/>
    <cellStyle name="40% - Accent6 3 10 3 3" xfId="27859"/>
    <cellStyle name="40% - Accent6 3 10 4" xfId="11233"/>
    <cellStyle name="40% - Accent6 3 10 4 2" xfId="27862"/>
    <cellStyle name="40% - Accent6 3 10 4 3" xfId="27861"/>
    <cellStyle name="40% - Accent6 3 10 5" xfId="27863"/>
    <cellStyle name="40% - Accent6 3 10 6" xfId="27856"/>
    <cellStyle name="40% - Accent6 3 11" xfId="142"/>
    <cellStyle name="40% - Accent6 3 11 2" xfId="6487"/>
    <cellStyle name="40% - Accent6 3 11 2 2" xfId="27866"/>
    <cellStyle name="40% - Accent6 3 11 2 3" xfId="27865"/>
    <cellStyle name="40% - Accent6 3 11 3" xfId="27867"/>
    <cellStyle name="40% - Accent6 3 11 4" xfId="27864"/>
    <cellStyle name="40% - Accent6 3 12" xfId="3360"/>
    <cellStyle name="40% - Accent6 3 12 2" xfId="27869"/>
    <cellStyle name="40% - Accent6 3 12 3" xfId="27868"/>
    <cellStyle name="40% - Accent6 3 13" xfId="9624"/>
    <cellStyle name="40% - Accent6 3 13 2" xfId="27871"/>
    <cellStyle name="40% - Accent6 3 13 3" xfId="27870"/>
    <cellStyle name="40% - Accent6 3 14" xfId="27872"/>
    <cellStyle name="40% - Accent6 3 15" xfId="27855"/>
    <cellStyle name="40% - Accent6 3 16" xfId="38155"/>
    <cellStyle name="40% - Accent6 3 2" xfId="180"/>
    <cellStyle name="40% - Accent6 3 2 2" xfId="312"/>
    <cellStyle name="40% - Accent6 3 2 2 2" xfId="1022"/>
    <cellStyle name="40% - Accent6 3 2 2 2 2" xfId="2588"/>
    <cellStyle name="40% - Accent6 3 2 2 2 2 2" xfId="8873"/>
    <cellStyle name="40% - Accent6 3 2 2 2 2 2 2" xfId="27878"/>
    <cellStyle name="40% - Accent6 3 2 2 2 2 2 3" xfId="27877"/>
    <cellStyle name="40% - Accent6 3 2 2 2 2 3" xfId="5746"/>
    <cellStyle name="40% - Accent6 3 2 2 2 2 3 2" xfId="27880"/>
    <cellStyle name="40% - Accent6 3 2 2 2 2 3 3" xfId="27879"/>
    <cellStyle name="40% - Accent6 3 2 2 2 2 4" xfId="12056"/>
    <cellStyle name="40% - Accent6 3 2 2 2 2 4 2" xfId="27882"/>
    <cellStyle name="40% - Accent6 3 2 2 2 2 4 3" xfId="27881"/>
    <cellStyle name="40% - Accent6 3 2 2 2 2 5" xfId="27883"/>
    <cellStyle name="40% - Accent6 3 2 2 2 2 6" xfId="27876"/>
    <cellStyle name="40% - Accent6 3 2 2 2 3" xfId="7310"/>
    <cellStyle name="40% - Accent6 3 2 2 2 3 2" xfId="27885"/>
    <cellStyle name="40% - Accent6 3 2 2 2 3 3" xfId="27884"/>
    <cellStyle name="40% - Accent6 3 2 2 2 4" xfId="4183"/>
    <cellStyle name="40% - Accent6 3 2 2 2 4 2" xfId="27887"/>
    <cellStyle name="40% - Accent6 3 2 2 2 4 3" xfId="27886"/>
    <cellStyle name="40% - Accent6 3 2 2 2 5" xfId="10493"/>
    <cellStyle name="40% - Accent6 3 2 2 2 5 2" xfId="27889"/>
    <cellStyle name="40% - Accent6 3 2 2 2 5 3" xfId="27888"/>
    <cellStyle name="40% - Accent6 3 2 2 2 6" xfId="27890"/>
    <cellStyle name="40% - Accent6 3 2 2 2 7" xfId="27875"/>
    <cellStyle name="40% - Accent6 3 2 2 3" xfId="1908"/>
    <cellStyle name="40% - Accent6 3 2 2 3 2" xfId="8193"/>
    <cellStyle name="40% - Accent6 3 2 2 3 2 2" xfId="27893"/>
    <cellStyle name="40% - Accent6 3 2 2 3 2 3" xfId="27892"/>
    <cellStyle name="40% - Accent6 3 2 2 3 3" xfId="5066"/>
    <cellStyle name="40% - Accent6 3 2 2 3 3 2" xfId="27895"/>
    <cellStyle name="40% - Accent6 3 2 2 3 3 3" xfId="27894"/>
    <cellStyle name="40% - Accent6 3 2 2 3 4" xfId="11376"/>
    <cellStyle name="40% - Accent6 3 2 2 3 4 2" xfId="27897"/>
    <cellStyle name="40% - Accent6 3 2 2 3 4 3" xfId="27896"/>
    <cellStyle name="40% - Accent6 3 2 2 3 5" xfId="27898"/>
    <cellStyle name="40% - Accent6 3 2 2 3 6" xfId="27891"/>
    <cellStyle name="40% - Accent6 3 2 2 4" xfId="6630"/>
    <cellStyle name="40% - Accent6 3 2 2 4 2" xfId="27900"/>
    <cellStyle name="40% - Accent6 3 2 2 4 3" xfId="27899"/>
    <cellStyle name="40% - Accent6 3 2 2 5" xfId="3503"/>
    <cellStyle name="40% - Accent6 3 2 2 5 2" xfId="27902"/>
    <cellStyle name="40% - Accent6 3 2 2 5 3" xfId="27901"/>
    <cellStyle name="40% - Accent6 3 2 2 6" xfId="9802"/>
    <cellStyle name="40% - Accent6 3 2 2 6 2" xfId="27904"/>
    <cellStyle name="40% - Accent6 3 2 2 6 3" xfId="27903"/>
    <cellStyle name="40% - Accent6 3 2 2 7" xfId="27905"/>
    <cellStyle name="40% - Accent6 3 2 2 8" xfId="27874"/>
    <cellStyle name="40% - Accent6 3 2 3" xfId="916"/>
    <cellStyle name="40% - Accent6 3 2 3 2" xfId="2482"/>
    <cellStyle name="40% - Accent6 3 2 3 2 2" xfId="8767"/>
    <cellStyle name="40% - Accent6 3 2 3 2 2 2" xfId="27909"/>
    <cellStyle name="40% - Accent6 3 2 3 2 2 3" xfId="27908"/>
    <cellStyle name="40% - Accent6 3 2 3 2 3" xfId="5640"/>
    <cellStyle name="40% - Accent6 3 2 3 2 3 2" xfId="27911"/>
    <cellStyle name="40% - Accent6 3 2 3 2 3 3" xfId="27910"/>
    <cellStyle name="40% - Accent6 3 2 3 2 4" xfId="11950"/>
    <cellStyle name="40% - Accent6 3 2 3 2 4 2" xfId="27913"/>
    <cellStyle name="40% - Accent6 3 2 3 2 4 3" xfId="27912"/>
    <cellStyle name="40% - Accent6 3 2 3 2 5" xfId="27914"/>
    <cellStyle name="40% - Accent6 3 2 3 2 6" xfId="27907"/>
    <cellStyle name="40% - Accent6 3 2 3 3" xfId="7204"/>
    <cellStyle name="40% - Accent6 3 2 3 3 2" xfId="27916"/>
    <cellStyle name="40% - Accent6 3 2 3 3 3" xfId="27915"/>
    <cellStyle name="40% - Accent6 3 2 3 4" xfId="4077"/>
    <cellStyle name="40% - Accent6 3 2 3 4 2" xfId="27918"/>
    <cellStyle name="40% - Accent6 3 2 3 4 3" xfId="27917"/>
    <cellStyle name="40% - Accent6 3 2 3 5" xfId="10387"/>
    <cellStyle name="40% - Accent6 3 2 3 5 2" xfId="27920"/>
    <cellStyle name="40% - Accent6 3 2 3 5 3" xfId="27919"/>
    <cellStyle name="40% - Accent6 3 2 3 6" xfId="27921"/>
    <cellStyle name="40% - Accent6 3 2 3 7" xfId="27906"/>
    <cellStyle name="40% - Accent6 3 2 4" xfId="1802"/>
    <cellStyle name="40% - Accent6 3 2 4 2" xfId="8087"/>
    <cellStyle name="40% - Accent6 3 2 4 2 2" xfId="27924"/>
    <cellStyle name="40% - Accent6 3 2 4 2 3" xfId="27923"/>
    <cellStyle name="40% - Accent6 3 2 4 3" xfId="4960"/>
    <cellStyle name="40% - Accent6 3 2 4 3 2" xfId="27926"/>
    <cellStyle name="40% - Accent6 3 2 4 3 3" xfId="27925"/>
    <cellStyle name="40% - Accent6 3 2 4 4" xfId="11270"/>
    <cellStyle name="40% - Accent6 3 2 4 4 2" xfId="27928"/>
    <cellStyle name="40% - Accent6 3 2 4 4 3" xfId="27927"/>
    <cellStyle name="40% - Accent6 3 2 4 5" xfId="27929"/>
    <cellStyle name="40% - Accent6 3 2 4 6" xfId="27922"/>
    <cellStyle name="40% - Accent6 3 2 5" xfId="6524"/>
    <cellStyle name="40% - Accent6 3 2 5 2" xfId="27931"/>
    <cellStyle name="40% - Accent6 3 2 5 3" xfId="27930"/>
    <cellStyle name="40% - Accent6 3 2 6" xfId="3397"/>
    <cellStyle name="40% - Accent6 3 2 6 2" xfId="27933"/>
    <cellStyle name="40% - Accent6 3 2 6 3" xfId="27932"/>
    <cellStyle name="40% - Accent6 3 2 7" xfId="9860"/>
    <cellStyle name="40% - Accent6 3 2 7 2" xfId="27935"/>
    <cellStyle name="40% - Accent6 3 2 7 3" xfId="27934"/>
    <cellStyle name="40% - Accent6 3 2 8" xfId="27936"/>
    <cellStyle name="40% - Accent6 3 2 9" xfId="27873"/>
    <cellStyle name="40% - Accent6 3 3" xfId="256"/>
    <cellStyle name="40% - Accent6 3 3 2" xfId="967"/>
    <cellStyle name="40% - Accent6 3 3 2 2" xfId="2533"/>
    <cellStyle name="40% - Accent6 3 3 2 2 2" xfId="8818"/>
    <cellStyle name="40% - Accent6 3 3 2 2 2 2" xfId="27941"/>
    <cellStyle name="40% - Accent6 3 3 2 2 2 3" xfId="27940"/>
    <cellStyle name="40% - Accent6 3 3 2 2 3" xfId="5691"/>
    <cellStyle name="40% - Accent6 3 3 2 2 3 2" xfId="27943"/>
    <cellStyle name="40% - Accent6 3 3 2 2 3 3" xfId="27942"/>
    <cellStyle name="40% - Accent6 3 3 2 2 4" xfId="12001"/>
    <cellStyle name="40% - Accent6 3 3 2 2 4 2" xfId="27945"/>
    <cellStyle name="40% - Accent6 3 3 2 2 4 3" xfId="27944"/>
    <cellStyle name="40% - Accent6 3 3 2 2 5" xfId="27946"/>
    <cellStyle name="40% - Accent6 3 3 2 2 6" xfId="27939"/>
    <cellStyle name="40% - Accent6 3 3 2 3" xfId="7255"/>
    <cellStyle name="40% - Accent6 3 3 2 3 2" xfId="27948"/>
    <cellStyle name="40% - Accent6 3 3 2 3 3" xfId="27947"/>
    <cellStyle name="40% - Accent6 3 3 2 4" xfId="4128"/>
    <cellStyle name="40% - Accent6 3 3 2 4 2" xfId="27950"/>
    <cellStyle name="40% - Accent6 3 3 2 4 3" xfId="27949"/>
    <cellStyle name="40% - Accent6 3 3 2 5" xfId="10438"/>
    <cellStyle name="40% - Accent6 3 3 2 5 2" xfId="27952"/>
    <cellStyle name="40% - Accent6 3 3 2 5 3" xfId="27951"/>
    <cellStyle name="40% - Accent6 3 3 2 6" xfId="27953"/>
    <cellStyle name="40% - Accent6 3 3 2 7" xfId="27938"/>
    <cellStyle name="40% - Accent6 3 3 3" xfId="1853"/>
    <cellStyle name="40% - Accent6 3 3 3 2" xfId="8138"/>
    <cellStyle name="40% - Accent6 3 3 3 2 2" xfId="27956"/>
    <cellStyle name="40% - Accent6 3 3 3 2 3" xfId="27955"/>
    <cellStyle name="40% - Accent6 3 3 3 3" xfId="5011"/>
    <cellStyle name="40% - Accent6 3 3 3 3 2" xfId="27958"/>
    <cellStyle name="40% - Accent6 3 3 3 3 3" xfId="27957"/>
    <cellStyle name="40% - Accent6 3 3 3 4" xfId="11321"/>
    <cellStyle name="40% - Accent6 3 3 3 4 2" xfId="27960"/>
    <cellStyle name="40% - Accent6 3 3 3 4 3" xfId="27959"/>
    <cellStyle name="40% - Accent6 3 3 3 5" xfId="27961"/>
    <cellStyle name="40% - Accent6 3 3 3 6" xfId="27954"/>
    <cellStyle name="40% - Accent6 3 3 4" xfId="6575"/>
    <cellStyle name="40% - Accent6 3 3 4 2" xfId="27963"/>
    <cellStyle name="40% - Accent6 3 3 4 3" xfId="27962"/>
    <cellStyle name="40% - Accent6 3 3 5" xfId="3448"/>
    <cellStyle name="40% - Accent6 3 3 5 2" xfId="27965"/>
    <cellStyle name="40% - Accent6 3 3 5 3" xfId="27964"/>
    <cellStyle name="40% - Accent6 3 3 6" xfId="9884"/>
    <cellStyle name="40% - Accent6 3 3 6 2" xfId="27967"/>
    <cellStyle name="40% - Accent6 3 3 6 3" xfId="27966"/>
    <cellStyle name="40% - Accent6 3 3 7" xfId="27968"/>
    <cellStyle name="40% - Accent6 3 3 8" xfId="27937"/>
    <cellStyle name="40% - Accent6 3 4" xfId="363"/>
    <cellStyle name="40% - Accent6 3 4 2" xfId="1071"/>
    <cellStyle name="40% - Accent6 3 4 2 2" xfId="2637"/>
    <cellStyle name="40% - Accent6 3 4 2 2 2" xfId="8922"/>
    <cellStyle name="40% - Accent6 3 4 2 2 2 2" xfId="27973"/>
    <cellStyle name="40% - Accent6 3 4 2 2 2 3" xfId="27972"/>
    <cellStyle name="40% - Accent6 3 4 2 2 3" xfId="5795"/>
    <cellStyle name="40% - Accent6 3 4 2 2 3 2" xfId="27975"/>
    <cellStyle name="40% - Accent6 3 4 2 2 3 3" xfId="27974"/>
    <cellStyle name="40% - Accent6 3 4 2 2 4" xfId="12105"/>
    <cellStyle name="40% - Accent6 3 4 2 2 4 2" xfId="27977"/>
    <cellStyle name="40% - Accent6 3 4 2 2 4 3" xfId="27976"/>
    <cellStyle name="40% - Accent6 3 4 2 2 5" xfId="27978"/>
    <cellStyle name="40% - Accent6 3 4 2 2 6" xfId="27971"/>
    <cellStyle name="40% - Accent6 3 4 2 3" xfId="7359"/>
    <cellStyle name="40% - Accent6 3 4 2 3 2" xfId="27980"/>
    <cellStyle name="40% - Accent6 3 4 2 3 3" xfId="27979"/>
    <cellStyle name="40% - Accent6 3 4 2 4" xfId="4232"/>
    <cellStyle name="40% - Accent6 3 4 2 4 2" xfId="27982"/>
    <cellStyle name="40% - Accent6 3 4 2 4 3" xfId="27981"/>
    <cellStyle name="40% - Accent6 3 4 2 5" xfId="10542"/>
    <cellStyle name="40% - Accent6 3 4 2 5 2" xfId="27984"/>
    <cellStyle name="40% - Accent6 3 4 2 5 3" xfId="27983"/>
    <cellStyle name="40% - Accent6 3 4 2 6" xfId="27985"/>
    <cellStyle name="40% - Accent6 3 4 2 7" xfId="27970"/>
    <cellStyle name="40% - Accent6 3 4 3" xfId="1957"/>
    <cellStyle name="40% - Accent6 3 4 3 2" xfId="8242"/>
    <cellStyle name="40% - Accent6 3 4 3 2 2" xfId="27988"/>
    <cellStyle name="40% - Accent6 3 4 3 2 3" xfId="27987"/>
    <cellStyle name="40% - Accent6 3 4 3 3" xfId="5115"/>
    <cellStyle name="40% - Accent6 3 4 3 3 2" xfId="27990"/>
    <cellStyle name="40% - Accent6 3 4 3 3 3" xfId="27989"/>
    <cellStyle name="40% - Accent6 3 4 3 4" xfId="11425"/>
    <cellStyle name="40% - Accent6 3 4 3 4 2" xfId="27992"/>
    <cellStyle name="40% - Accent6 3 4 3 4 3" xfId="27991"/>
    <cellStyle name="40% - Accent6 3 4 3 5" xfId="27993"/>
    <cellStyle name="40% - Accent6 3 4 3 6" xfId="27986"/>
    <cellStyle name="40% - Accent6 3 4 4" xfId="6679"/>
    <cellStyle name="40% - Accent6 3 4 4 2" xfId="27995"/>
    <cellStyle name="40% - Accent6 3 4 4 3" xfId="27994"/>
    <cellStyle name="40% - Accent6 3 4 5" xfId="3552"/>
    <cellStyle name="40% - Accent6 3 4 5 2" xfId="27997"/>
    <cellStyle name="40% - Accent6 3 4 5 3" xfId="27996"/>
    <cellStyle name="40% - Accent6 3 4 6" xfId="9984"/>
    <cellStyle name="40% - Accent6 3 4 6 2" xfId="27999"/>
    <cellStyle name="40% - Accent6 3 4 6 3" xfId="27998"/>
    <cellStyle name="40% - Accent6 3 4 7" xfId="28000"/>
    <cellStyle name="40% - Accent6 3 4 8" xfId="27969"/>
    <cellStyle name="40% - Accent6 3 5" xfId="436"/>
    <cellStyle name="40% - Accent6 3 5 2" xfId="1143"/>
    <cellStyle name="40% - Accent6 3 5 2 2" xfId="2708"/>
    <cellStyle name="40% - Accent6 3 5 2 2 2" xfId="8993"/>
    <cellStyle name="40% - Accent6 3 5 2 2 2 2" xfId="28005"/>
    <cellStyle name="40% - Accent6 3 5 2 2 2 3" xfId="28004"/>
    <cellStyle name="40% - Accent6 3 5 2 2 3" xfId="5866"/>
    <cellStyle name="40% - Accent6 3 5 2 2 3 2" xfId="28007"/>
    <cellStyle name="40% - Accent6 3 5 2 2 3 3" xfId="28006"/>
    <cellStyle name="40% - Accent6 3 5 2 2 4" xfId="12176"/>
    <cellStyle name="40% - Accent6 3 5 2 2 4 2" xfId="28009"/>
    <cellStyle name="40% - Accent6 3 5 2 2 4 3" xfId="28008"/>
    <cellStyle name="40% - Accent6 3 5 2 2 5" xfId="28010"/>
    <cellStyle name="40% - Accent6 3 5 2 2 6" xfId="28003"/>
    <cellStyle name="40% - Accent6 3 5 2 3" xfId="7430"/>
    <cellStyle name="40% - Accent6 3 5 2 3 2" xfId="28012"/>
    <cellStyle name="40% - Accent6 3 5 2 3 3" xfId="28011"/>
    <cellStyle name="40% - Accent6 3 5 2 4" xfId="4303"/>
    <cellStyle name="40% - Accent6 3 5 2 4 2" xfId="28014"/>
    <cellStyle name="40% - Accent6 3 5 2 4 3" xfId="28013"/>
    <cellStyle name="40% - Accent6 3 5 2 5" xfId="10613"/>
    <cellStyle name="40% - Accent6 3 5 2 5 2" xfId="28016"/>
    <cellStyle name="40% - Accent6 3 5 2 5 3" xfId="28015"/>
    <cellStyle name="40% - Accent6 3 5 2 6" xfId="28017"/>
    <cellStyle name="40% - Accent6 3 5 2 7" xfId="28002"/>
    <cellStyle name="40% - Accent6 3 5 3" xfId="2028"/>
    <cellStyle name="40% - Accent6 3 5 3 2" xfId="8313"/>
    <cellStyle name="40% - Accent6 3 5 3 2 2" xfId="28020"/>
    <cellStyle name="40% - Accent6 3 5 3 2 3" xfId="28019"/>
    <cellStyle name="40% - Accent6 3 5 3 3" xfId="5186"/>
    <cellStyle name="40% - Accent6 3 5 3 3 2" xfId="28022"/>
    <cellStyle name="40% - Accent6 3 5 3 3 3" xfId="28021"/>
    <cellStyle name="40% - Accent6 3 5 3 4" xfId="11496"/>
    <cellStyle name="40% - Accent6 3 5 3 4 2" xfId="28024"/>
    <cellStyle name="40% - Accent6 3 5 3 4 3" xfId="28023"/>
    <cellStyle name="40% - Accent6 3 5 3 5" xfId="28025"/>
    <cellStyle name="40% - Accent6 3 5 3 6" xfId="28018"/>
    <cellStyle name="40% - Accent6 3 5 4" xfId="6750"/>
    <cellStyle name="40% - Accent6 3 5 4 2" xfId="28027"/>
    <cellStyle name="40% - Accent6 3 5 4 3" xfId="28026"/>
    <cellStyle name="40% - Accent6 3 5 5" xfId="3623"/>
    <cellStyle name="40% - Accent6 3 5 5 2" xfId="28029"/>
    <cellStyle name="40% - Accent6 3 5 5 3" xfId="28028"/>
    <cellStyle name="40% - Accent6 3 5 6" xfId="10056"/>
    <cellStyle name="40% - Accent6 3 5 6 2" xfId="28031"/>
    <cellStyle name="40% - Accent6 3 5 6 3" xfId="28030"/>
    <cellStyle name="40% - Accent6 3 5 7" xfId="28032"/>
    <cellStyle name="40% - Accent6 3 5 8" xfId="28001"/>
    <cellStyle name="40% - Accent6 3 6" xfId="590"/>
    <cellStyle name="40% - Accent6 3 6 2" xfId="1297"/>
    <cellStyle name="40% - Accent6 3 6 2 2" xfId="2862"/>
    <cellStyle name="40% - Accent6 3 6 2 2 2" xfId="9147"/>
    <cellStyle name="40% - Accent6 3 6 2 2 2 2" xfId="28037"/>
    <cellStyle name="40% - Accent6 3 6 2 2 2 3" xfId="28036"/>
    <cellStyle name="40% - Accent6 3 6 2 2 3" xfId="6020"/>
    <cellStyle name="40% - Accent6 3 6 2 2 3 2" xfId="28039"/>
    <cellStyle name="40% - Accent6 3 6 2 2 3 3" xfId="28038"/>
    <cellStyle name="40% - Accent6 3 6 2 2 4" xfId="12330"/>
    <cellStyle name="40% - Accent6 3 6 2 2 4 2" xfId="28041"/>
    <cellStyle name="40% - Accent6 3 6 2 2 4 3" xfId="28040"/>
    <cellStyle name="40% - Accent6 3 6 2 2 5" xfId="28042"/>
    <cellStyle name="40% - Accent6 3 6 2 2 6" xfId="28035"/>
    <cellStyle name="40% - Accent6 3 6 2 3" xfId="7584"/>
    <cellStyle name="40% - Accent6 3 6 2 3 2" xfId="28044"/>
    <cellStyle name="40% - Accent6 3 6 2 3 3" xfId="28043"/>
    <cellStyle name="40% - Accent6 3 6 2 4" xfId="4457"/>
    <cellStyle name="40% - Accent6 3 6 2 4 2" xfId="28046"/>
    <cellStyle name="40% - Accent6 3 6 2 4 3" xfId="28045"/>
    <cellStyle name="40% - Accent6 3 6 2 5" xfId="10767"/>
    <cellStyle name="40% - Accent6 3 6 2 5 2" xfId="28048"/>
    <cellStyle name="40% - Accent6 3 6 2 5 3" xfId="28047"/>
    <cellStyle name="40% - Accent6 3 6 2 6" xfId="28049"/>
    <cellStyle name="40% - Accent6 3 6 2 7" xfId="28034"/>
    <cellStyle name="40% - Accent6 3 6 3" xfId="2182"/>
    <cellStyle name="40% - Accent6 3 6 3 2" xfId="8467"/>
    <cellStyle name="40% - Accent6 3 6 3 2 2" xfId="28052"/>
    <cellStyle name="40% - Accent6 3 6 3 2 3" xfId="28051"/>
    <cellStyle name="40% - Accent6 3 6 3 3" xfId="5340"/>
    <cellStyle name="40% - Accent6 3 6 3 3 2" xfId="28054"/>
    <cellStyle name="40% - Accent6 3 6 3 3 3" xfId="28053"/>
    <cellStyle name="40% - Accent6 3 6 3 4" xfId="11650"/>
    <cellStyle name="40% - Accent6 3 6 3 4 2" xfId="28056"/>
    <cellStyle name="40% - Accent6 3 6 3 4 3" xfId="28055"/>
    <cellStyle name="40% - Accent6 3 6 3 5" xfId="28057"/>
    <cellStyle name="40% - Accent6 3 6 3 6" xfId="28050"/>
    <cellStyle name="40% - Accent6 3 6 4" xfId="6904"/>
    <cellStyle name="40% - Accent6 3 6 4 2" xfId="28059"/>
    <cellStyle name="40% - Accent6 3 6 4 3" xfId="28058"/>
    <cellStyle name="40% - Accent6 3 6 5" xfId="3777"/>
    <cellStyle name="40% - Accent6 3 6 5 2" xfId="28061"/>
    <cellStyle name="40% - Accent6 3 6 5 3" xfId="28060"/>
    <cellStyle name="40% - Accent6 3 6 6" xfId="10209"/>
    <cellStyle name="40% - Accent6 3 6 6 2" xfId="28063"/>
    <cellStyle name="40% - Accent6 3 6 6 3" xfId="28062"/>
    <cellStyle name="40% - Accent6 3 6 7" xfId="28064"/>
    <cellStyle name="40% - Accent6 3 6 8" xfId="28033"/>
    <cellStyle name="40% - Accent6 3 7" xfId="649"/>
    <cellStyle name="40% - Accent6 3 7 2" xfId="1354"/>
    <cellStyle name="40% - Accent6 3 7 2 2" xfId="2919"/>
    <cellStyle name="40% - Accent6 3 7 2 2 2" xfId="9204"/>
    <cellStyle name="40% - Accent6 3 7 2 2 2 2" xfId="28069"/>
    <cellStyle name="40% - Accent6 3 7 2 2 2 3" xfId="28068"/>
    <cellStyle name="40% - Accent6 3 7 2 2 3" xfId="6077"/>
    <cellStyle name="40% - Accent6 3 7 2 2 3 2" xfId="28071"/>
    <cellStyle name="40% - Accent6 3 7 2 2 3 3" xfId="28070"/>
    <cellStyle name="40% - Accent6 3 7 2 2 4" xfId="12387"/>
    <cellStyle name="40% - Accent6 3 7 2 2 4 2" xfId="28073"/>
    <cellStyle name="40% - Accent6 3 7 2 2 4 3" xfId="28072"/>
    <cellStyle name="40% - Accent6 3 7 2 2 5" xfId="28074"/>
    <cellStyle name="40% - Accent6 3 7 2 2 6" xfId="28067"/>
    <cellStyle name="40% - Accent6 3 7 2 3" xfId="7641"/>
    <cellStyle name="40% - Accent6 3 7 2 3 2" xfId="28076"/>
    <cellStyle name="40% - Accent6 3 7 2 3 3" xfId="28075"/>
    <cellStyle name="40% - Accent6 3 7 2 4" xfId="4514"/>
    <cellStyle name="40% - Accent6 3 7 2 4 2" xfId="28078"/>
    <cellStyle name="40% - Accent6 3 7 2 4 3" xfId="28077"/>
    <cellStyle name="40% - Accent6 3 7 2 5" xfId="10824"/>
    <cellStyle name="40% - Accent6 3 7 2 5 2" xfId="28080"/>
    <cellStyle name="40% - Accent6 3 7 2 5 3" xfId="28079"/>
    <cellStyle name="40% - Accent6 3 7 2 6" xfId="28081"/>
    <cellStyle name="40% - Accent6 3 7 2 7" xfId="28066"/>
    <cellStyle name="40% - Accent6 3 7 3" xfId="2239"/>
    <cellStyle name="40% - Accent6 3 7 3 2" xfId="8524"/>
    <cellStyle name="40% - Accent6 3 7 3 2 2" xfId="28084"/>
    <cellStyle name="40% - Accent6 3 7 3 2 3" xfId="28083"/>
    <cellStyle name="40% - Accent6 3 7 3 3" xfId="5397"/>
    <cellStyle name="40% - Accent6 3 7 3 3 2" xfId="28086"/>
    <cellStyle name="40% - Accent6 3 7 3 3 3" xfId="28085"/>
    <cellStyle name="40% - Accent6 3 7 3 4" xfId="11707"/>
    <cellStyle name="40% - Accent6 3 7 3 4 2" xfId="28088"/>
    <cellStyle name="40% - Accent6 3 7 3 4 3" xfId="28087"/>
    <cellStyle name="40% - Accent6 3 7 3 5" xfId="28089"/>
    <cellStyle name="40% - Accent6 3 7 3 6" xfId="28082"/>
    <cellStyle name="40% - Accent6 3 7 4" xfId="6961"/>
    <cellStyle name="40% - Accent6 3 7 4 2" xfId="28091"/>
    <cellStyle name="40% - Accent6 3 7 4 3" xfId="28090"/>
    <cellStyle name="40% - Accent6 3 7 5" xfId="3834"/>
    <cellStyle name="40% - Accent6 3 7 5 2" xfId="28093"/>
    <cellStyle name="40% - Accent6 3 7 5 3" xfId="28092"/>
    <cellStyle name="40% - Accent6 3 7 6" xfId="10267"/>
    <cellStyle name="40% - Accent6 3 7 6 2" xfId="28095"/>
    <cellStyle name="40% - Accent6 3 7 6 3" xfId="28094"/>
    <cellStyle name="40% - Accent6 3 7 7" xfId="28096"/>
    <cellStyle name="40% - Accent6 3 7 8" xfId="28065"/>
    <cellStyle name="40% - Accent6 3 8" xfId="879"/>
    <cellStyle name="40% - Accent6 3 8 2" xfId="2445"/>
    <cellStyle name="40% - Accent6 3 8 2 2" xfId="8730"/>
    <cellStyle name="40% - Accent6 3 8 2 2 2" xfId="28100"/>
    <cellStyle name="40% - Accent6 3 8 2 2 3" xfId="28099"/>
    <cellStyle name="40% - Accent6 3 8 2 3" xfId="5603"/>
    <cellStyle name="40% - Accent6 3 8 2 3 2" xfId="28102"/>
    <cellStyle name="40% - Accent6 3 8 2 3 3" xfId="28101"/>
    <cellStyle name="40% - Accent6 3 8 2 4" xfId="11913"/>
    <cellStyle name="40% - Accent6 3 8 2 4 2" xfId="28104"/>
    <cellStyle name="40% - Accent6 3 8 2 4 3" xfId="28103"/>
    <cellStyle name="40% - Accent6 3 8 2 5" xfId="28105"/>
    <cellStyle name="40% - Accent6 3 8 2 6" xfId="28098"/>
    <cellStyle name="40% - Accent6 3 8 3" xfId="7167"/>
    <cellStyle name="40% - Accent6 3 8 3 2" xfId="28107"/>
    <cellStyle name="40% - Accent6 3 8 3 3" xfId="28106"/>
    <cellStyle name="40% - Accent6 3 8 4" xfId="4040"/>
    <cellStyle name="40% - Accent6 3 8 4 2" xfId="28109"/>
    <cellStyle name="40% - Accent6 3 8 4 3" xfId="28108"/>
    <cellStyle name="40% - Accent6 3 8 5" xfId="10350"/>
    <cellStyle name="40% - Accent6 3 8 5 2" xfId="28111"/>
    <cellStyle name="40% - Accent6 3 8 5 3" xfId="28110"/>
    <cellStyle name="40% - Accent6 3 8 6" xfId="28112"/>
    <cellStyle name="40% - Accent6 3 8 7" xfId="28097"/>
    <cellStyle name="40% - Accent6 3 9" xfId="1556"/>
    <cellStyle name="40% - Accent6 3 9 2" xfId="3121"/>
    <cellStyle name="40% - Accent6 3 9 2 2" xfId="9406"/>
    <cellStyle name="40% - Accent6 3 9 2 2 2" xfId="28116"/>
    <cellStyle name="40% - Accent6 3 9 2 2 3" xfId="28115"/>
    <cellStyle name="40% - Accent6 3 9 2 3" xfId="6279"/>
    <cellStyle name="40% - Accent6 3 9 2 3 2" xfId="28118"/>
    <cellStyle name="40% - Accent6 3 9 2 3 3" xfId="28117"/>
    <cellStyle name="40% - Accent6 3 9 2 4" xfId="12589"/>
    <cellStyle name="40% - Accent6 3 9 2 4 2" xfId="28120"/>
    <cellStyle name="40% - Accent6 3 9 2 4 3" xfId="28119"/>
    <cellStyle name="40% - Accent6 3 9 2 5" xfId="28121"/>
    <cellStyle name="40% - Accent6 3 9 2 6" xfId="28114"/>
    <cellStyle name="40% - Accent6 3 9 3" xfId="7843"/>
    <cellStyle name="40% - Accent6 3 9 3 2" xfId="28123"/>
    <cellStyle name="40% - Accent6 3 9 3 3" xfId="28122"/>
    <cellStyle name="40% - Accent6 3 9 4" xfId="4716"/>
    <cellStyle name="40% - Accent6 3 9 4 2" xfId="28125"/>
    <cellStyle name="40% - Accent6 3 9 4 3" xfId="28124"/>
    <cellStyle name="40% - Accent6 3 9 5" xfId="11026"/>
    <cellStyle name="40% - Accent6 3 9 5 2" xfId="28127"/>
    <cellStyle name="40% - Accent6 3 9 5 3" xfId="28126"/>
    <cellStyle name="40% - Accent6 3 9 6" xfId="28128"/>
    <cellStyle name="40% - Accent6 3 9 7" xfId="28113"/>
    <cellStyle name="40% - Accent6 4" xfId="181"/>
    <cellStyle name="40% - Accent6 4 10" xfId="6525"/>
    <cellStyle name="40% - Accent6 4 10 2" xfId="28131"/>
    <cellStyle name="40% - Accent6 4 10 3" xfId="28130"/>
    <cellStyle name="40% - Accent6 4 11" xfId="3398"/>
    <cellStyle name="40% - Accent6 4 11 2" xfId="28133"/>
    <cellStyle name="40% - Accent6 4 11 3" xfId="28132"/>
    <cellStyle name="40% - Accent6 4 12" xfId="9625"/>
    <cellStyle name="40% - Accent6 4 12 2" xfId="28135"/>
    <cellStyle name="40% - Accent6 4 12 3" xfId="28134"/>
    <cellStyle name="40% - Accent6 4 13" xfId="28136"/>
    <cellStyle name="40% - Accent6 4 14" xfId="28129"/>
    <cellStyle name="40% - Accent6 4 2" xfId="257"/>
    <cellStyle name="40% - Accent6 4 2 2" xfId="968"/>
    <cellStyle name="40% - Accent6 4 2 2 2" xfId="2534"/>
    <cellStyle name="40% - Accent6 4 2 2 2 2" xfId="8819"/>
    <cellStyle name="40% - Accent6 4 2 2 2 2 2" xfId="28141"/>
    <cellStyle name="40% - Accent6 4 2 2 2 2 3" xfId="28140"/>
    <cellStyle name="40% - Accent6 4 2 2 2 3" xfId="5692"/>
    <cellStyle name="40% - Accent6 4 2 2 2 3 2" xfId="28143"/>
    <cellStyle name="40% - Accent6 4 2 2 2 3 3" xfId="28142"/>
    <cellStyle name="40% - Accent6 4 2 2 2 4" xfId="12002"/>
    <cellStyle name="40% - Accent6 4 2 2 2 4 2" xfId="28145"/>
    <cellStyle name="40% - Accent6 4 2 2 2 4 3" xfId="28144"/>
    <cellStyle name="40% - Accent6 4 2 2 2 5" xfId="28146"/>
    <cellStyle name="40% - Accent6 4 2 2 2 6" xfId="28139"/>
    <cellStyle name="40% - Accent6 4 2 2 3" xfId="7256"/>
    <cellStyle name="40% - Accent6 4 2 2 3 2" xfId="28148"/>
    <cellStyle name="40% - Accent6 4 2 2 3 3" xfId="28147"/>
    <cellStyle name="40% - Accent6 4 2 2 4" xfId="4129"/>
    <cellStyle name="40% - Accent6 4 2 2 4 2" xfId="28150"/>
    <cellStyle name="40% - Accent6 4 2 2 4 3" xfId="28149"/>
    <cellStyle name="40% - Accent6 4 2 2 5" xfId="10439"/>
    <cellStyle name="40% - Accent6 4 2 2 5 2" xfId="28152"/>
    <cellStyle name="40% - Accent6 4 2 2 5 3" xfId="28151"/>
    <cellStyle name="40% - Accent6 4 2 2 6" xfId="28153"/>
    <cellStyle name="40% - Accent6 4 2 2 7" xfId="28138"/>
    <cellStyle name="40% - Accent6 4 2 3" xfId="1854"/>
    <cellStyle name="40% - Accent6 4 2 3 2" xfId="8139"/>
    <cellStyle name="40% - Accent6 4 2 3 2 2" xfId="28156"/>
    <cellStyle name="40% - Accent6 4 2 3 2 3" xfId="28155"/>
    <cellStyle name="40% - Accent6 4 2 3 3" xfId="5012"/>
    <cellStyle name="40% - Accent6 4 2 3 3 2" xfId="28158"/>
    <cellStyle name="40% - Accent6 4 2 3 3 3" xfId="28157"/>
    <cellStyle name="40% - Accent6 4 2 3 4" xfId="11322"/>
    <cellStyle name="40% - Accent6 4 2 3 4 2" xfId="28160"/>
    <cellStyle name="40% - Accent6 4 2 3 4 3" xfId="28159"/>
    <cellStyle name="40% - Accent6 4 2 3 5" xfId="28161"/>
    <cellStyle name="40% - Accent6 4 2 3 6" xfId="28154"/>
    <cellStyle name="40% - Accent6 4 2 4" xfId="6576"/>
    <cellStyle name="40% - Accent6 4 2 4 2" xfId="28163"/>
    <cellStyle name="40% - Accent6 4 2 4 3" xfId="28162"/>
    <cellStyle name="40% - Accent6 4 2 5" xfId="3449"/>
    <cellStyle name="40% - Accent6 4 2 5 2" xfId="28165"/>
    <cellStyle name="40% - Accent6 4 2 5 3" xfId="28164"/>
    <cellStyle name="40% - Accent6 4 2 6" xfId="9883"/>
    <cellStyle name="40% - Accent6 4 2 6 2" xfId="28167"/>
    <cellStyle name="40% - Accent6 4 2 6 3" xfId="28166"/>
    <cellStyle name="40% - Accent6 4 2 7" xfId="28168"/>
    <cellStyle name="40% - Accent6 4 2 8" xfId="28137"/>
    <cellStyle name="40% - Accent6 4 3" xfId="364"/>
    <cellStyle name="40% - Accent6 4 3 2" xfId="1072"/>
    <cellStyle name="40% - Accent6 4 3 2 2" xfId="2638"/>
    <cellStyle name="40% - Accent6 4 3 2 2 2" xfId="8923"/>
    <cellStyle name="40% - Accent6 4 3 2 2 2 2" xfId="28173"/>
    <cellStyle name="40% - Accent6 4 3 2 2 2 3" xfId="28172"/>
    <cellStyle name="40% - Accent6 4 3 2 2 3" xfId="5796"/>
    <cellStyle name="40% - Accent6 4 3 2 2 3 2" xfId="28175"/>
    <cellStyle name="40% - Accent6 4 3 2 2 3 3" xfId="28174"/>
    <cellStyle name="40% - Accent6 4 3 2 2 4" xfId="12106"/>
    <cellStyle name="40% - Accent6 4 3 2 2 4 2" xfId="28177"/>
    <cellStyle name="40% - Accent6 4 3 2 2 4 3" xfId="28176"/>
    <cellStyle name="40% - Accent6 4 3 2 2 5" xfId="28178"/>
    <cellStyle name="40% - Accent6 4 3 2 2 6" xfId="28171"/>
    <cellStyle name="40% - Accent6 4 3 2 3" xfId="7360"/>
    <cellStyle name="40% - Accent6 4 3 2 3 2" xfId="28180"/>
    <cellStyle name="40% - Accent6 4 3 2 3 3" xfId="28179"/>
    <cellStyle name="40% - Accent6 4 3 2 4" xfId="4233"/>
    <cellStyle name="40% - Accent6 4 3 2 4 2" xfId="28182"/>
    <cellStyle name="40% - Accent6 4 3 2 4 3" xfId="28181"/>
    <cellStyle name="40% - Accent6 4 3 2 5" xfId="10543"/>
    <cellStyle name="40% - Accent6 4 3 2 5 2" xfId="28184"/>
    <cellStyle name="40% - Accent6 4 3 2 5 3" xfId="28183"/>
    <cellStyle name="40% - Accent6 4 3 2 6" xfId="28185"/>
    <cellStyle name="40% - Accent6 4 3 2 7" xfId="28170"/>
    <cellStyle name="40% - Accent6 4 3 3" xfId="1958"/>
    <cellStyle name="40% - Accent6 4 3 3 2" xfId="8243"/>
    <cellStyle name="40% - Accent6 4 3 3 2 2" xfId="28188"/>
    <cellStyle name="40% - Accent6 4 3 3 2 3" xfId="28187"/>
    <cellStyle name="40% - Accent6 4 3 3 3" xfId="5116"/>
    <cellStyle name="40% - Accent6 4 3 3 3 2" xfId="28190"/>
    <cellStyle name="40% - Accent6 4 3 3 3 3" xfId="28189"/>
    <cellStyle name="40% - Accent6 4 3 3 4" xfId="11426"/>
    <cellStyle name="40% - Accent6 4 3 3 4 2" xfId="28192"/>
    <cellStyle name="40% - Accent6 4 3 3 4 3" xfId="28191"/>
    <cellStyle name="40% - Accent6 4 3 3 5" xfId="28193"/>
    <cellStyle name="40% - Accent6 4 3 3 6" xfId="28186"/>
    <cellStyle name="40% - Accent6 4 3 4" xfId="6680"/>
    <cellStyle name="40% - Accent6 4 3 4 2" xfId="28195"/>
    <cellStyle name="40% - Accent6 4 3 4 3" xfId="28194"/>
    <cellStyle name="40% - Accent6 4 3 5" xfId="3553"/>
    <cellStyle name="40% - Accent6 4 3 5 2" xfId="28197"/>
    <cellStyle name="40% - Accent6 4 3 5 3" xfId="28196"/>
    <cellStyle name="40% - Accent6 4 3 6" xfId="9985"/>
    <cellStyle name="40% - Accent6 4 3 6 2" xfId="28199"/>
    <cellStyle name="40% - Accent6 4 3 6 3" xfId="28198"/>
    <cellStyle name="40% - Accent6 4 3 7" xfId="28200"/>
    <cellStyle name="40% - Accent6 4 3 8" xfId="28169"/>
    <cellStyle name="40% - Accent6 4 4" xfId="430"/>
    <cellStyle name="40% - Accent6 4 4 2" xfId="1137"/>
    <cellStyle name="40% - Accent6 4 4 2 2" xfId="2702"/>
    <cellStyle name="40% - Accent6 4 4 2 2 2" xfId="8987"/>
    <cellStyle name="40% - Accent6 4 4 2 2 2 2" xfId="28205"/>
    <cellStyle name="40% - Accent6 4 4 2 2 2 3" xfId="28204"/>
    <cellStyle name="40% - Accent6 4 4 2 2 3" xfId="5860"/>
    <cellStyle name="40% - Accent6 4 4 2 2 3 2" xfId="28207"/>
    <cellStyle name="40% - Accent6 4 4 2 2 3 3" xfId="28206"/>
    <cellStyle name="40% - Accent6 4 4 2 2 4" xfId="12170"/>
    <cellStyle name="40% - Accent6 4 4 2 2 4 2" xfId="28209"/>
    <cellStyle name="40% - Accent6 4 4 2 2 4 3" xfId="28208"/>
    <cellStyle name="40% - Accent6 4 4 2 2 5" xfId="28210"/>
    <cellStyle name="40% - Accent6 4 4 2 2 6" xfId="28203"/>
    <cellStyle name="40% - Accent6 4 4 2 3" xfId="7424"/>
    <cellStyle name="40% - Accent6 4 4 2 3 2" xfId="28212"/>
    <cellStyle name="40% - Accent6 4 4 2 3 3" xfId="28211"/>
    <cellStyle name="40% - Accent6 4 4 2 4" xfId="4297"/>
    <cellStyle name="40% - Accent6 4 4 2 4 2" xfId="28214"/>
    <cellStyle name="40% - Accent6 4 4 2 4 3" xfId="28213"/>
    <cellStyle name="40% - Accent6 4 4 2 5" xfId="10607"/>
    <cellStyle name="40% - Accent6 4 4 2 5 2" xfId="28216"/>
    <cellStyle name="40% - Accent6 4 4 2 5 3" xfId="28215"/>
    <cellStyle name="40% - Accent6 4 4 2 6" xfId="28217"/>
    <cellStyle name="40% - Accent6 4 4 2 7" xfId="28202"/>
    <cellStyle name="40% - Accent6 4 4 3" xfId="2022"/>
    <cellStyle name="40% - Accent6 4 4 3 2" xfId="8307"/>
    <cellStyle name="40% - Accent6 4 4 3 2 2" xfId="28220"/>
    <cellStyle name="40% - Accent6 4 4 3 2 3" xfId="28219"/>
    <cellStyle name="40% - Accent6 4 4 3 3" xfId="5180"/>
    <cellStyle name="40% - Accent6 4 4 3 3 2" xfId="28222"/>
    <cellStyle name="40% - Accent6 4 4 3 3 3" xfId="28221"/>
    <cellStyle name="40% - Accent6 4 4 3 4" xfId="11490"/>
    <cellStyle name="40% - Accent6 4 4 3 4 2" xfId="28224"/>
    <cellStyle name="40% - Accent6 4 4 3 4 3" xfId="28223"/>
    <cellStyle name="40% - Accent6 4 4 3 5" xfId="28225"/>
    <cellStyle name="40% - Accent6 4 4 3 6" xfId="28218"/>
    <cellStyle name="40% - Accent6 4 4 4" xfId="6744"/>
    <cellStyle name="40% - Accent6 4 4 4 2" xfId="28227"/>
    <cellStyle name="40% - Accent6 4 4 4 3" xfId="28226"/>
    <cellStyle name="40% - Accent6 4 4 5" xfId="3617"/>
    <cellStyle name="40% - Accent6 4 4 5 2" xfId="28229"/>
    <cellStyle name="40% - Accent6 4 4 5 3" xfId="28228"/>
    <cellStyle name="40% - Accent6 4 4 6" xfId="10050"/>
    <cellStyle name="40% - Accent6 4 4 6 2" xfId="28231"/>
    <cellStyle name="40% - Accent6 4 4 6 3" xfId="28230"/>
    <cellStyle name="40% - Accent6 4 4 7" xfId="28232"/>
    <cellStyle name="40% - Accent6 4 4 8" xfId="28201"/>
    <cellStyle name="40% - Accent6 4 5" xfId="591"/>
    <cellStyle name="40% - Accent6 4 5 2" xfId="1298"/>
    <cellStyle name="40% - Accent6 4 5 2 2" xfId="2863"/>
    <cellStyle name="40% - Accent6 4 5 2 2 2" xfId="9148"/>
    <cellStyle name="40% - Accent6 4 5 2 2 2 2" xfId="28237"/>
    <cellStyle name="40% - Accent6 4 5 2 2 2 3" xfId="28236"/>
    <cellStyle name="40% - Accent6 4 5 2 2 3" xfId="6021"/>
    <cellStyle name="40% - Accent6 4 5 2 2 3 2" xfId="28239"/>
    <cellStyle name="40% - Accent6 4 5 2 2 3 3" xfId="28238"/>
    <cellStyle name="40% - Accent6 4 5 2 2 4" xfId="12331"/>
    <cellStyle name="40% - Accent6 4 5 2 2 4 2" xfId="28241"/>
    <cellStyle name="40% - Accent6 4 5 2 2 4 3" xfId="28240"/>
    <cellStyle name="40% - Accent6 4 5 2 2 5" xfId="28242"/>
    <cellStyle name="40% - Accent6 4 5 2 2 6" xfId="28235"/>
    <cellStyle name="40% - Accent6 4 5 2 3" xfId="7585"/>
    <cellStyle name="40% - Accent6 4 5 2 3 2" xfId="28244"/>
    <cellStyle name="40% - Accent6 4 5 2 3 3" xfId="28243"/>
    <cellStyle name="40% - Accent6 4 5 2 4" xfId="4458"/>
    <cellStyle name="40% - Accent6 4 5 2 4 2" xfId="28246"/>
    <cellStyle name="40% - Accent6 4 5 2 4 3" xfId="28245"/>
    <cellStyle name="40% - Accent6 4 5 2 5" xfId="10768"/>
    <cellStyle name="40% - Accent6 4 5 2 5 2" xfId="28248"/>
    <cellStyle name="40% - Accent6 4 5 2 5 3" xfId="28247"/>
    <cellStyle name="40% - Accent6 4 5 2 6" xfId="28249"/>
    <cellStyle name="40% - Accent6 4 5 2 7" xfId="28234"/>
    <cellStyle name="40% - Accent6 4 5 3" xfId="2183"/>
    <cellStyle name="40% - Accent6 4 5 3 2" xfId="8468"/>
    <cellStyle name="40% - Accent6 4 5 3 2 2" xfId="28252"/>
    <cellStyle name="40% - Accent6 4 5 3 2 3" xfId="28251"/>
    <cellStyle name="40% - Accent6 4 5 3 3" xfId="5341"/>
    <cellStyle name="40% - Accent6 4 5 3 3 2" xfId="28254"/>
    <cellStyle name="40% - Accent6 4 5 3 3 3" xfId="28253"/>
    <cellStyle name="40% - Accent6 4 5 3 4" xfId="11651"/>
    <cellStyle name="40% - Accent6 4 5 3 4 2" xfId="28256"/>
    <cellStyle name="40% - Accent6 4 5 3 4 3" xfId="28255"/>
    <cellStyle name="40% - Accent6 4 5 3 5" xfId="28257"/>
    <cellStyle name="40% - Accent6 4 5 3 6" xfId="28250"/>
    <cellStyle name="40% - Accent6 4 5 4" xfId="6905"/>
    <cellStyle name="40% - Accent6 4 5 4 2" xfId="28259"/>
    <cellStyle name="40% - Accent6 4 5 4 3" xfId="28258"/>
    <cellStyle name="40% - Accent6 4 5 5" xfId="3778"/>
    <cellStyle name="40% - Accent6 4 5 5 2" xfId="28261"/>
    <cellStyle name="40% - Accent6 4 5 5 3" xfId="28260"/>
    <cellStyle name="40% - Accent6 4 5 6" xfId="10210"/>
    <cellStyle name="40% - Accent6 4 5 6 2" xfId="28263"/>
    <cellStyle name="40% - Accent6 4 5 6 3" xfId="28262"/>
    <cellStyle name="40% - Accent6 4 5 7" xfId="28264"/>
    <cellStyle name="40% - Accent6 4 5 8" xfId="28233"/>
    <cellStyle name="40% - Accent6 4 6" xfId="650"/>
    <cellStyle name="40% - Accent6 4 6 2" xfId="1355"/>
    <cellStyle name="40% - Accent6 4 6 2 2" xfId="2920"/>
    <cellStyle name="40% - Accent6 4 6 2 2 2" xfId="9205"/>
    <cellStyle name="40% - Accent6 4 6 2 2 2 2" xfId="28269"/>
    <cellStyle name="40% - Accent6 4 6 2 2 2 3" xfId="28268"/>
    <cellStyle name="40% - Accent6 4 6 2 2 3" xfId="6078"/>
    <cellStyle name="40% - Accent6 4 6 2 2 3 2" xfId="28271"/>
    <cellStyle name="40% - Accent6 4 6 2 2 3 3" xfId="28270"/>
    <cellStyle name="40% - Accent6 4 6 2 2 4" xfId="12388"/>
    <cellStyle name="40% - Accent6 4 6 2 2 4 2" xfId="28273"/>
    <cellStyle name="40% - Accent6 4 6 2 2 4 3" xfId="28272"/>
    <cellStyle name="40% - Accent6 4 6 2 2 5" xfId="28274"/>
    <cellStyle name="40% - Accent6 4 6 2 2 6" xfId="28267"/>
    <cellStyle name="40% - Accent6 4 6 2 3" xfId="7642"/>
    <cellStyle name="40% - Accent6 4 6 2 3 2" xfId="28276"/>
    <cellStyle name="40% - Accent6 4 6 2 3 3" xfId="28275"/>
    <cellStyle name="40% - Accent6 4 6 2 4" xfId="4515"/>
    <cellStyle name="40% - Accent6 4 6 2 4 2" xfId="28278"/>
    <cellStyle name="40% - Accent6 4 6 2 4 3" xfId="28277"/>
    <cellStyle name="40% - Accent6 4 6 2 5" xfId="10825"/>
    <cellStyle name="40% - Accent6 4 6 2 5 2" xfId="28280"/>
    <cellStyle name="40% - Accent6 4 6 2 5 3" xfId="28279"/>
    <cellStyle name="40% - Accent6 4 6 2 6" xfId="28281"/>
    <cellStyle name="40% - Accent6 4 6 2 7" xfId="28266"/>
    <cellStyle name="40% - Accent6 4 6 3" xfId="2240"/>
    <cellStyle name="40% - Accent6 4 6 3 2" xfId="8525"/>
    <cellStyle name="40% - Accent6 4 6 3 2 2" xfId="28284"/>
    <cellStyle name="40% - Accent6 4 6 3 2 3" xfId="28283"/>
    <cellStyle name="40% - Accent6 4 6 3 3" xfId="5398"/>
    <cellStyle name="40% - Accent6 4 6 3 3 2" xfId="28286"/>
    <cellStyle name="40% - Accent6 4 6 3 3 3" xfId="28285"/>
    <cellStyle name="40% - Accent6 4 6 3 4" xfId="11708"/>
    <cellStyle name="40% - Accent6 4 6 3 4 2" xfId="28288"/>
    <cellStyle name="40% - Accent6 4 6 3 4 3" xfId="28287"/>
    <cellStyle name="40% - Accent6 4 6 3 5" xfId="28289"/>
    <cellStyle name="40% - Accent6 4 6 3 6" xfId="28282"/>
    <cellStyle name="40% - Accent6 4 6 4" xfId="6962"/>
    <cellStyle name="40% - Accent6 4 6 4 2" xfId="28291"/>
    <cellStyle name="40% - Accent6 4 6 4 3" xfId="28290"/>
    <cellStyle name="40% - Accent6 4 6 5" xfId="3835"/>
    <cellStyle name="40% - Accent6 4 6 5 2" xfId="28293"/>
    <cellStyle name="40% - Accent6 4 6 5 3" xfId="28292"/>
    <cellStyle name="40% - Accent6 4 6 6" xfId="10268"/>
    <cellStyle name="40% - Accent6 4 6 6 2" xfId="28295"/>
    <cellStyle name="40% - Accent6 4 6 6 3" xfId="28294"/>
    <cellStyle name="40% - Accent6 4 6 7" xfId="28296"/>
    <cellStyle name="40% - Accent6 4 6 8" xfId="28265"/>
    <cellStyle name="40% - Accent6 4 7" xfId="917"/>
    <cellStyle name="40% - Accent6 4 7 2" xfId="2483"/>
    <cellStyle name="40% - Accent6 4 7 2 2" xfId="8768"/>
    <cellStyle name="40% - Accent6 4 7 2 2 2" xfId="28300"/>
    <cellStyle name="40% - Accent6 4 7 2 2 3" xfId="28299"/>
    <cellStyle name="40% - Accent6 4 7 2 3" xfId="5641"/>
    <cellStyle name="40% - Accent6 4 7 2 3 2" xfId="28302"/>
    <cellStyle name="40% - Accent6 4 7 2 3 3" xfId="28301"/>
    <cellStyle name="40% - Accent6 4 7 2 4" xfId="11951"/>
    <cellStyle name="40% - Accent6 4 7 2 4 2" xfId="28304"/>
    <cellStyle name="40% - Accent6 4 7 2 4 3" xfId="28303"/>
    <cellStyle name="40% - Accent6 4 7 2 5" xfId="28305"/>
    <cellStyle name="40% - Accent6 4 7 2 6" xfId="28298"/>
    <cellStyle name="40% - Accent6 4 7 3" xfId="7205"/>
    <cellStyle name="40% - Accent6 4 7 3 2" xfId="28307"/>
    <cellStyle name="40% - Accent6 4 7 3 3" xfId="28306"/>
    <cellStyle name="40% - Accent6 4 7 4" xfId="4078"/>
    <cellStyle name="40% - Accent6 4 7 4 2" xfId="28309"/>
    <cellStyle name="40% - Accent6 4 7 4 3" xfId="28308"/>
    <cellStyle name="40% - Accent6 4 7 5" xfId="10388"/>
    <cellStyle name="40% - Accent6 4 7 5 2" xfId="28311"/>
    <cellStyle name="40% - Accent6 4 7 5 3" xfId="28310"/>
    <cellStyle name="40% - Accent6 4 7 6" xfId="28312"/>
    <cellStyle name="40% - Accent6 4 7 7" xfId="28297"/>
    <cellStyle name="40% - Accent6 4 8" xfId="1557"/>
    <cellStyle name="40% - Accent6 4 8 2" xfId="3122"/>
    <cellStyle name="40% - Accent6 4 8 2 2" xfId="9407"/>
    <cellStyle name="40% - Accent6 4 8 2 2 2" xfId="28316"/>
    <cellStyle name="40% - Accent6 4 8 2 2 3" xfId="28315"/>
    <cellStyle name="40% - Accent6 4 8 2 3" xfId="6280"/>
    <cellStyle name="40% - Accent6 4 8 2 3 2" xfId="28318"/>
    <cellStyle name="40% - Accent6 4 8 2 3 3" xfId="28317"/>
    <cellStyle name="40% - Accent6 4 8 2 4" xfId="12590"/>
    <cellStyle name="40% - Accent6 4 8 2 4 2" xfId="28320"/>
    <cellStyle name="40% - Accent6 4 8 2 4 3" xfId="28319"/>
    <cellStyle name="40% - Accent6 4 8 2 5" xfId="28321"/>
    <cellStyle name="40% - Accent6 4 8 2 6" xfId="28314"/>
    <cellStyle name="40% - Accent6 4 8 3" xfId="7844"/>
    <cellStyle name="40% - Accent6 4 8 3 2" xfId="28323"/>
    <cellStyle name="40% - Accent6 4 8 3 3" xfId="28322"/>
    <cellStyle name="40% - Accent6 4 8 4" xfId="4717"/>
    <cellStyle name="40% - Accent6 4 8 4 2" xfId="28325"/>
    <cellStyle name="40% - Accent6 4 8 4 3" xfId="28324"/>
    <cellStyle name="40% - Accent6 4 8 5" xfId="11027"/>
    <cellStyle name="40% - Accent6 4 8 5 2" xfId="28327"/>
    <cellStyle name="40% - Accent6 4 8 5 3" xfId="28326"/>
    <cellStyle name="40% - Accent6 4 8 6" xfId="28328"/>
    <cellStyle name="40% - Accent6 4 8 7" xfId="28313"/>
    <cellStyle name="40% - Accent6 4 9" xfId="1803"/>
    <cellStyle name="40% - Accent6 4 9 2" xfId="8088"/>
    <cellStyle name="40% - Accent6 4 9 2 2" xfId="28331"/>
    <cellStyle name="40% - Accent6 4 9 2 3" xfId="28330"/>
    <cellStyle name="40% - Accent6 4 9 3" xfId="4961"/>
    <cellStyle name="40% - Accent6 4 9 3 2" xfId="28333"/>
    <cellStyle name="40% - Accent6 4 9 3 3" xfId="28332"/>
    <cellStyle name="40% - Accent6 4 9 4" xfId="11271"/>
    <cellStyle name="40% - Accent6 4 9 4 2" xfId="28335"/>
    <cellStyle name="40% - Accent6 4 9 4 3" xfId="28334"/>
    <cellStyle name="40% - Accent6 4 9 5" xfId="28336"/>
    <cellStyle name="40% - Accent6 4 9 6" xfId="28329"/>
    <cellStyle name="40% - Accent6 5" xfId="272"/>
    <cellStyle name="40% - Accent6 5 2" xfId="983"/>
    <cellStyle name="40% - Accent6 5 2 2" xfId="2549"/>
    <cellStyle name="40% - Accent6 5 2 2 2" xfId="8834"/>
    <cellStyle name="40% - Accent6 5 2 2 2 2" xfId="28341"/>
    <cellStyle name="40% - Accent6 5 2 2 2 3" xfId="28340"/>
    <cellStyle name="40% - Accent6 5 2 2 3" xfId="5707"/>
    <cellStyle name="40% - Accent6 5 2 2 3 2" xfId="28343"/>
    <cellStyle name="40% - Accent6 5 2 2 3 3" xfId="28342"/>
    <cellStyle name="40% - Accent6 5 2 2 4" xfId="12017"/>
    <cellStyle name="40% - Accent6 5 2 2 4 2" xfId="28345"/>
    <cellStyle name="40% - Accent6 5 2 2 4 3" xfId="28344"/>
    <cellStyle name="40% - Accent6 5 2 2 5" xfId="28346"/>
    <cellStyle name="40% - Accent6 5 2 2 6" xfId="28339"/>
    <cellStyle name="40% - Accent6 5 2 3" xfId="7271"/>
    <cellStyle name="40% - Accent6 5 2 3 2" xfId="28348"/>
    <cellStyle name="40% - Accent6 5 2 3 3" xfId="28347"/>
    <cellStyle name="40% - Accent6 5 2 4" xfId="4144"/>
    <cellStyle name="40% - Accent6 5 2 4 2" xfId="28350"/>
    <cellStyle name="40% - Accent6 5 2 4 3" xfId="28349"/>
    <cellStyle name="40% - Accent6 5 2 5" xfId="10454"/>
    <cellStyle name="40% - Accent6 5 2 5 2" xfId="28352"/>
    <cellStyle name="40% - Accent6 5 2 5 3" xfId="28351"/>
    <cellStyle name="40% - Accent6 5 2 6" xfId="28353"/>
    <cellStyle name="40% - Accent6 5 2 7" xfId="28338"/>
    <cellStyle name="40% - Accent6 5 3" xfId="1869"/>
    <cellStyle name="40% - Accent6 5 3 2" xfId="8154"/>
    <cellStyle name="40% - Accent6 5 3 2 2" xfId="28356"/>
    <cellStyle name="40% - Accent6 5 3 2 3" xfId="28355"/>
    <cellStyle name="40% - Accent6 5 3 3" xfId="5027"/>
    <cellStyle name="40% - Accent6 5 3 3 2" xfId="28358"/>
    <cellStyle name="40% - Accent6 5 3 3 3" xfId="28357"/>
    <cellStyle name="40% - Accent6 5 3 4" xfId="11337"/>
    <cellStyle name="40% - Accent6 5 3 4 2" xfId="28360"/>
    <cellStyle name="40% - Accent6 5 3 4 3" xfId="28359"/>
    <cellStyle name="40% - Accent6 5 3 5" xfId="28361"/>
    <cellStyle name="40% - Accent6 5 3 6" xfId="28354"/>
    <cellStyle name="40% - Accent6 5 4" xfId="6591"/>
    <cellStyle name="40% - Accent6 5 4 2" xfId="28363"/>
    <cellStyle name="40% - Accent6 5 4 3" xfId="28362"/>
    <cellStyle name="40% - Accent6 5 5" xfId="3464"/>
    <cellStyle name="40% - Accent6 5 5 2" xfId="28365"/>
    <cellStyle name="40% - Accent6 5 5 3" xfId="28364"/>
    <cellStyle name="40% - Accent6 5 6" xfId="9932"/>
    <cellStyle name="40% - Accent6 5 6 2" xfId="28367"/>
    <cellStyle name="40% - Accent6 5 6 3" xfId="28366"/>
    <cellStyle name="40% - Accent6 5 7" xfId="28368"/>
    <cellStyle name="40% - Accent6 5 8" xfId="28337"/>
    <cellStyle name="40% - Accent6 6" xfId="379"/>
    <cellStyle name="40% - Accent6 6 2" xfId="1087"/>
    <cellStyle name="40% - Accent6 6 2 2" xfId="2653"/>
    <cellStyle name="40% - Accent6 6 2 2 2" xfId="8938"/>
    <cellStyle name="40% - Accent6 6 2 2 2 2" xfId="28373"/>
    <cellStyle name="40% - Accent6 6 2 2 2 3" xfId="28372"/>
    <cellStyle name="40% - Accent6 6 2 2 3" xfId="5811"/>
    <cellStyle name="40% - Accent6 6 2 2 3 2" xfId="28375"/>
    <cellStyle name="40% - Accent6 6 2 2 3 3" xfId="28374"/>
    <cellStyle name="40% - Accent6 6 2 2 4" xfId="12121"/>
    <cellStyle name="40% - Accent6 6 2 2 4 2" xfId="28377"/>
    <cellStyle name="40% - Accent6 6 2 2 4 3" xfId="28376"/>
    <cellStyle name="40% - Accent6 6 2 2 5" xfId="28378"/>
    <cellStyle name="40% - Accent6 6 2 2 6" xfId="28371"/>
    <cellStyle name="40% - Accent6 6 2 3" xfId="7375"/>
    <cellStyle name="40% - Accent6 6 2 3 2" xfId="28380"/>
    <cellStyle name="40% - Accent6 6 2 3 3" xfId="28379"/>
    <cellStyle name="40% - Accent6 6 2 4" xfId="4248"/>
    <cellStyle name="40% - Accent6 6 2 4 2" xfId="28382"/>
    <cellStyle name="40% - Accent6 6 2 4 3" xfId="28381"/>
    <cellStyle name="40% - Accent6 6 2 5" xfId="10558"/>
    <cellStyle name="40% - Accent6 6 2 5 2" xfId="28384"/>
    <cellStyle name="40% - Accent6 6 2 5 3" xfId="28383"/>
    <cellStyle name="40% - Accent6 6 2 6" xfId="28385"/>
    <cellStyle name="40% - Accent6 6 2 7" xfId="28370"/>
    <cellStyle name="40% - Accent6 6 3" xfId="1973"/>
    <cellStyle name="40% - Accent6 6 3 2" xfId="8258"/>
    <cellStyle name="40% - Accent6 6 3 2 2" xfId="28388"/>
    <cellStyle name="40% - Accent6 6 3 2 3" xfId="28387"/>
    <cellStyle name="40% - Accent6 6 3 3" xfId="5131"/>
    <cellStyle name="40% - Accent6 6 3 3 2" xfId="28390"/>
    <cellStyle name="40% - Accent6 6 3 3 3" xfId="28389"/>
    <cellStyle name="40% - Accent6 6 3 4" xfId="11441"/>
    <cellStyle name="40% - Accent6 6 3 4 2" xfId="28392"/>
    <cellStyle name="40% - Accent6 6 3 4 3" xfId="28391"/>
    <cellStyle name="40% - Accent6 6 3 5" xfId="28393"/>
    <cellStyle name="40% - Accent6 6 3 6" xfId="28386"/>
    <cellStyle name="40% - Accent6 6 4" xfId="6695"/>
    <cellStyle name="40% - Accent6 6 4 2" xfId="28395"/>
    <cellStyle name="40% - Accent6 6 4 3" xfId="28394"/>
    <cellStyle name="40% - Accent6 6 5" xfId="3568"/>
    <cellStyle name="40% - Accent6 6 5 2" xfId="28397"/>
    <cellStyle name="40% - Accent6 6 5 3" xfId="28396"/>
    <cellStyle name="40% - Accent6 6 6" xfId="10000"/>
    <cellStyle name="40% - Accent6 6 6 2" xfId="28399"/>
    <cellStyle name="40% - Accent6 6 6 3" xfId="28398"/>
    <cellStyle name="40% - Accent6 6 7" xfId="28400"/>
    <cellStyle name="40% - Accent6 6 8" xfId="28369"/>
    <cellStyle name="40% - Accent6 7" xfId="415"/>
    <cellStyle name="40% - Accent6 7 2" xfId="1122"/>
    <cellStyle name="40% - Accent6 7 2 2" xfId="2687"/>
    <cellStyle name="40% - Accent6 7 2 2 2" xfId="8972"/>
    <cellStyle name="40% - Accent6 7 2 2 2 2" xfId="28405"/>
    <cellStyle name="40% - Accent6 7 2 2 2 3" xfId="28404"/>
    <cellStyle name="40% - Accent6 7 2 2 3" xfId="5845"/>
    <cellStyle name="40% - Accent6 7 2 2 3 2" xfId="28407"/>
    <cellStyle name="40% - Accent6 7 2 2 3 3" xfId="28406"/>
    <cellStyle name="40% - Accent6 7 2 2 4" xfId="12155"/>
    <cellStyle name="40% - Accent6 7 2 2 4 2" xfId="28409"/>
    <cellStyle name="40% - Accent6 7 2 2 4 3" xfId="28408"/>
    <cellStyle name="40% - Accent6 7 2 2 5" xfId="28410"/>
    <cellStyle name="40% - Accent6 7 2 2 6" xfId="28403"/>
    <cellStyle name="40% - Accent6 7 2 3" xfId="7409"/>
    <cellStyle name="40% - Accent6 7 2 3 2" xfId="28412"/>
    <cellStyle name="40% - Accent6 7 2 3 3" xfId="28411"/>
    <cellStyle name="40% - Accent6 7 2 4" xfId="4282"/>
    <cellStyle name="40% - Accent6 7 2 4 2" xfId="28414"/>
    <cellStyle name="40% - Accent6 7 2 4 3" xfId="28413"/>
    <cellStyle name="40% - Accent6 7 2 5" xfId="10592"/>
    <cellStyle name="40% - Accent6 7 2 5 2" xfId="28416"/>
    <cellStyle name="40% - Accent6 7 2 5 3" xfId="28415"/>
    <cellStyle name="40% - Accent6 7 2 6" xfId="28417"/>
    <cellStyle name="40% - Accent6 7 2 7" xfId="28402"/>
    <cellStyle name="40% - Accent6 7 3" xfId="2007"/>
    <cellStyle name="40% - Accent6 7 3 2" xfId="8292"/>
    <cellStyle name="40% - Accent6 7 3 2 2" xfId="28420"/>
    <cellStyle name="40% - Accent6 7 3 2 3" xfId="28419"/>
    <cellStyle name="40% - Accent6 7 3 3" xfId="5165"/>
    <cellStyle name="40% - Accent6 7 3 3 2" xfId="28422"/>
    <cellStyle name="40% - Accent6 7 3 3 3" xfId="28421"/>
    <cellStyle name="40% - Accent6 7 3 4" xfId="11475"/>
    <cellStyle name="40% - Accent6 7 3 4 2" xfId="28424"/>
    <cellStyle name="40% - Accent6 7 3 4 3" xfId="28423"/>
    <cellStyle name="40% - Accent6 7 3 5" xfId="28425"/>
    <cellStyle name="40% - Accent6 7 3 6" xfId="28418"/>
    <cellStyle name="40% - Accent6 7 4" xfId="6729"/>
    <cellStyle name="40% - Accent6 7 4 2" xfId="28427"/>
    <cellStyle name="40% - Accent6 7 4 3" xfId="28426"/>
    <cellStyle name="40% - Accent6 7 5" xfId="3602"/>
    <cellStyle name="40% - Accent6 7 5 2" xfId="28429"/>
    <cellStyle name="40% - Accent6 7 5 3" xfId="28428"/>
    <cellStyle name="40% - Accent6 7 6" xfId="10035"/>
    <cellStyle name="40% - Accent6 7 6 2" xfId="28431"/>
    <cellStyle name="40% - Accent6 7 6 3" xfId="28430"/>
    <cellStyle name="40% - Accent6 7 7" xfId="28432"/>
    <cellStyle name="40% - Accent6 7 8" xfId="28401"/>
    <cellStyle name="40% - Accent6 8" xfId="454"/>
    <cellStyle name="40% - Accent6 8 2" xfId="1161"/>
    <cellStyle name="40% - Accent6 8 2 2" xfId="2726"/>
    <cellStyle name="40% - Accent6 8 2 2 2" xfId="9011"/>
    <cellStyle name="40% - Accent6 8 2 2 2 2" xfId="28437"/>
    <cellStyle name="40% - Accent6 8 2 2 2 3" xfId="28436"/>
    <cellStyle name="40% - Accent6 8 2 2 3" xfId="5884"/>
    <cellStyle name="40% - Accent6 8 2 2 3 2" xfId="28439"/>
    <cellStyle name="40% - Accent6 8 2 2 3 3" xfId="28438"/>
    <cellStyle name="40% - Accent6 8 2 2 4" xfId="12194"/>
    <cellStyle name="40% - Accent6 8 2 2 4 2" xfId="28441"/>
    <cellStyle name="40% - Accent6 8 2 2 4 3" xfId="28440"/>
    <cellStyle name="40% - Accent6 8 2 2 5" xfId="28442"/>
    <cellStyle name="40% - Accent6 8 2 2 6" xfId="28435"/>
    <cellStyle name="40% - Accent6 8 2 3" xfId="7448"/>
    <cellStyle name="40% - Accent6 8 2 3 2" xfId="28444"/>
    <cellStyle name="40% - Accent6 8 2 3 3" xfId="28443"/>
    <cellStyle name="40% - Accent6 8 2 4" xfId="4321"/>
    <cellStyle name="40% - Accent6 8 2 4 2" xfId="28446"/>
    <cellStyle name="40% - Accent6 8 2 4 3" xfId="28445"/>
    <cellStyle name="40% - Accent6 8 2 5" xfId="10631"/>
    <cellStyle name="40% - Accent6 8 2 5 2" xfId="28448"/>
    <cellStyle name="40% - Accent6 8 2 5 3" xfId="28447"/>
    <cellStyle name="40% - Accent6 8 2 6" xfId="28449"/>
    <cellStyle name="40% - Accent6 8 2 7" xfId="28434"/>
    <cellStyle name="40% - Accent6 8 3" xfId="2046"/>
    <cellStyle name="40% - Accent6 8 3 2" xfId="8331"/>
    <cellStyle name="40% - Accent6 8 3 2 2" xfId="28452"/>
    <cellStyle name="40% - Accent6 8 3 2 3" xfId="28451"/>
    <cellStyle name="40% - Accent6 8 3 3" xfId="5204"/>
    <cellStyle name="40% - Accent6 8 3 3 2" xfId="28454"/>
    <cellStyle name="40% - Accent6 8 3 3 3" xfId="28453"/>
    <cellStyle name="40% - Accent6 8 3 4" xfId="11514"/>
    <cellStyle name="40% - Accent6 8 3 4 2" xfId="28456"/>
    <cellStyle name="40% - Accent6 8 3 4 3" xfId="28455"/>
    <cellStyle name="40% - Accent6 8 3 5" xfId="28457"/>
    <cellStyle name="40% - Accent6 8 3 6" xfId="28450"/>
    <cellStyle name="40% - Accent6 8 4" xfId="6768"/>
    <cellStyle name="40% - Accent6 8 4 2" xfId="28459"/>
    <cellStyle name="40% - Accent6 8 4 3" xfId="28458"/>
    <cellStyle name="40% - Accent6 8 5" xfId="3641"/>
    <cellStyle name="40% - Accent6 8 5 2" xfId="28461"/>
    <cellStyle name="40% - Accent6 8 5 3" xfId="28460"/>
    <cellStyle name="40% - Accent6 8 6" xfId="10073"/>
    <cellStyle name="40% - Accent6 8 6 2" xfId="28463"/>
    <cellStyle name="40% - Accent6 8 6 3" xfId="28462"/>
    <cellStyle name="40% - Accent6 8 7" xfId="28464"/>
    <cellStyle name="40% - Accent6 8 8" xfId="28433"/>
    <cellStyle name="40% - Accent6 9" xfId="469"/>
    <cellStyle name="40% - Accent6 9 2" xfId="1176"/>
    <cellStyle name="40% - Accent6 9 2 2" xfId="2741"/>
    <cellStyle name="40% - Accent6 9 2 2 2" xfId="9026"/>
    <cellStyle name="40% - Accent6 9 2 2 2 2" xfId="28469"/>
    <cellStyle name="40% - Accent6 9 2 2 2 3" xfId="28468"/>
    <cellStyle name="40% - Accent6 9 2 2 3" xfId="5899"/>
    <cellStyle name="40% - Accent6 9 2 2 3 2" xfId="28471"/>
    <cellStyle name="40% - Accent6 9 2 2 3 3" xfId="28470"/>
    <cellStyle name="40% - Accent6 9 2 2 4" xfId="12209"/>
    <cellStyle name="40% - Accent6 9 2 2 4 2" xfId="28473"/>
    <cellStyle name="40% - Accent6 9 2 2 4 3" xfId="28472"/>
    <cellStyle name="40% - Accent6 9 2 2 5" xfId="28474"/>
    <cellStyle name="40% - Accent6 9 2 2 6" xfId="28467"/>
    <cellStyle name="40% - Accent6 9 2 3" xfId="7463"/>
    <cellStyle name="40% - Accent6 9 2 3 2" xfId="28476"/>
    <cellStyle name="40% - Accent6 9 2 3 3" xfId="28475"/>
    <cellStyle name="40% - Accent6 9 2 4" xfId="4336"/>
    <cellStyle name="40% - Accent6 9 2 4 2" xfId="28478"/>
    <cellStyle name="40% - Accent6 9 2 4 3" xfId="28477"/>
    <cellStyle name="40% - Accent6 9 2 5" xfId="10646"/>
    <cellStyle name="40% - Accent6 9 2 5 2" xfId="28480"/>
    <cellStyle name="40% - Accent6 9 2 5 3" xfId="28479"/>
    <cellStyle name="40% - Accent6 9 2 6" xfId="28481"/>
    <cellStyle name="40% - Accent6 9 2 7" xfId="28466"/>
    <cellStyle name="40% - Accent6 9 3" xfId="2061"/>
    <cellStyle name="40% - Accent6 9 3 2" xfId="8346"/>
    <cellStyle name="40% - Accent6 9 3 2 2" xfId="28484"/>
    <cellStyle name="40% - Accent6 9 3 2 3" xfId="28483"/>
    <cellStyle name="40% - Accent6 9 3 3" xfId="5219"/>
    <cellStyle name="40% - Accent6 9 3 3 2" xfId="28486"/>
    <cellStyle name="40% - Accent6 9 3 3 3" xfId="28485"/>
    <cellStyle name="40% - Accent6 9 3 4" xfId="11529"/>
    <cellStyle name="40% - Accent6 9 3 4 2" xfId="28488"/>
    <cellStyle name="40% - Accent6 9 3 4 3" xfId="28487"/>
    <cellStyle name="40% - Accent6 9 3 5" xfId="28489"/>
    <cellStyle name="40% - Accent6 9 3 6" xfId="28482"/>
    <cellStyle name="40% - Accent6 9 4" xfId="6783"/>
    <cellStyle name="40% - Accent6 9 4 2" xfId="28491"/>
    <cellStyle name="40% - Accent6 9 4 3" xfId="28490"/>
    <cellStyle name="40% - Accent6 9 5" xfId="3656"/>
    <cellStyle name="40% - Accent6 9 5 2" xfId="28493"/>
    <cellStyle name="40% - Accent6 9 5 3" xfId="28492"/>
    <cellStyle name="40% - Accent6 9 6" xfId="10088"/>
    <cellStyle name="40% - Accent6 9 6 2" xfId="28495"/>
    <cellStyle name="40% - Accent6 9 6 3" xfId="28494"/>
    <cellStyle name="40% - Accent6 9 7" xfId="28496"/>
    <cellStyle name="40% - Accent6 9 8" xfId="28465"/>
    <cellStyle name="60% - Accent1" xfId="30" builtinId="32" customBuiltin="1"/>
    <cellStyle name="60% - Accent1 2" xfId="28497"/>
    <cellStyle name="60% - Accent2" xfId="34" builtinId="36" customBuiltin="1"/>
    <cellStyle name="60% - Accent2 2" xfId="28498"/>
    <cellStyle name="60% - Accent3" xfId="38" builtinId="40" customBuiltin="1"/>
    <cellStyle name="60% - Accent3 2" xfId="28499"/>
    <cellStyle name="60% - Accent4" xfId="42" builtinId="44" customBuiltin="1"/>
    <cellStyle name="60% - Accent4 2" xfId="28500"/>
    <cellStyle name="60% - Accent5" xfId="46" builtinId="48" customBuiltin="1"/>
    <cellStyle name="60% - Accent5 2" xfId="28501"/>
    <cellStyle name="60% - Accent6" xfId="50" builtinId="52" customBuiltin="1"/>
    <cellStyle name="60% - Accent6 2" xfId="28502"/>
    <cellStyle name="Accent1" xfId="27" builtinId="29" customBuiltin="1"/>
    <cellStyle name="Accent1 2" xfId="671"/>
    <cellStyle name="Accent1 2 2" xfId="28504"/>
    <cellStyle name="Accent1 3" xfId="28503"/>
    <cellStyle name="Accent2" xfId="31" builtinId="33" customBuiltin="1"/>
    <cellStyle name="Accent2 2" xfId="28505"/>
    <cellStyle name="Accent3" xfId="35" builtinId="37" customBuiltin="1"/>
    <cellStyle name="Accent3 2" xfId="28506"/>
    <cellStyle name="Accent4" xfId="39" builtinId="41" customBuiltin="1"/>
    <cellStyle name="Accent4 2" xfId="28507"/>
    <cellStyle name="Accent5" xfId="43" builtinId="45" customBuiltin="1"/>
    <cellStyle name="Accent5 2" xfId="28508"/>
    <cellStyle name="Accent6" xfId="47" builtinId="49" customBuiltin="1"/>
    <cellStyle name="Accent6 2" xfId="28509"/>
    <cellStyle name="Bad" xfId="17" builtinId="27" customBuiltin="1"/>
    <cellStyle name="Bad 2" xfId="28510"/>
    <cellStyle name="Calculation" xfId="21" builtinId="22" customBuiltin="1"/>
    <cellStyle name="Calculation 2" xfId="28511"/>
    <cellStyle name="Check Cell" xfId="23" builtinId="23" customBuiltin="1"/>
    <cellStyle name="Check Cell 2" xfId="28512"/>
    <cellStyle name="Comma" xfId="1" builtinId="3"/>
    <cellStyle name="Comma 10" xfId="485"/>
    <cellStyle name="Comma 10 2" xfId="1192"/>
    <cellStyle name="Comma 10 2 2" xfId="2757"/>
    <cellStyle name="Comma 10 2 2 2" xfId="9042"/>
    <cellStyle name="Comma 10 2 2 2 2" xfId="28517"/>
    <cellStyle name="Comma 10 2 2 2 3" xfId="28516"/>
    <cellStyle name="Comma 10 2 2 3" xfId="5915"/>
    <cellStyle name="Comma 10 2 2 3 2" xfId="28519"/>
    <cellStyle name="Comma 10 2 2 3 3" xfId="28518"/>
    <cellStyle name="Comma 10 2 2 4" xfId="12225"/>
    <cellStyle name="Comma 10 2 2 4 2" xfId="28521"/>
    <cellStyle name="Comma 10 2 2 4 3" xfId="28520"/>
    <cellStyle name="Comma 10 2 2 5" xfId="28522"/>
    <cellStyle name="Comma 10 2 2 6" xfId="28515"/>
    <cellStyle name="Comma 10 2 3" xfId="7479"/>
    <cellStyle name="Comma 10 2 3 2" xfId="28524"/>
    <cellStyle name="Comma 10 2 3 3" xfId="28523"/>
    <cellStyle name="Comma 10 2 4" xfId="4352"/>
    <cellStyle name="Comma 10 2 4 2" xfId="28526"/>
    <cellStyle name="Comma 10 2 4 3" xfId="28525"/>
    <cellStyle name="Comma 10 2 5" xfId="10662"/>
    <cellStyle name="Comma 10 2 5 2" xfId="28528"/>
    <cellStyle name="Comma 10 2 5 3" xfId="28527"/>
    <cellStyle name="Comma 10 2 6" xfId="28529"/>
    <cellStyle name="Comma 10 2 7" xfId="28514"/>
    <cellStyle name="Comma 10 3" xfId="2077"/>
    <cellStyle name="Comma 10 3 2" xfId="8362"/>
    <cellStyle name="Comma 10 3 2 2" xfId="28532"/>
    <cellStyle name="Comma 10 3 2 3" xfId="28531"/>
    <cellStyle name="Comma 10 3 3" xfId="5235"/>
    <cellStyle name="Comma 10 3 3 2" xfId="28534"/>
    <cellStyle name="Comma 10 3 3 3" xfId="28533"/>
    <cellStyle name="Comma 10 3 4" xfId="11545"/>
    <cellStyle name="Comma 10 3 4 2" xfId="28536"/>
    <cellStyle name="Comma 10 3 4 3" xfId="28535"/>
    <cellStyle name="Comma 10 3 5" xfId="28537"/>
    <cellStyle name="Comma 10 3 6" xfId="28530"/>
    <cellStyle name="Comma 10 4" xfId="6799"/>
    <cellStyle name="Comma 10 4 2" xfId="28539"/>
    <cellStyle name="Comma 10 4 3" xfId="28538"/>
    <cellStyle name="Comma 10 5" xfId="3672"/>
    <cellStyle name="Comma 10 5 2" xfId="28541"/>
    <cellStyle name="Comma 10 5 3" xfId="28540"/>
    <cellStyle name="Comma 10 6" xfId="10104"/>
    <cellStyle name="Comma 10 6 2" xfId="28543"/>
    <cellStyle name="Comma 10 6 3" xfId="28542"/>
    <cellStyle name="Comma 10 7" xfId="28544"/>
    <cellStyle name="Comma 10 8" xfId="28513"/>
    <cellStyle name="Comma 11" xfId="593"/>
    <cellStyle name="Comma 11 2" xfId="1300"/>
    <cellStyle name="Comma 11 2 2" xfId="2865"/>
    <cellStyle name="Comma 11 2 2 2" xfId="9150"/>
    <cellStyle name="Comma 11 2 2 2 2" xfId="28549"/>
    <cellStyle name="Comma 11 2 2 2 3" xfId="28548"/>
    <cellStyle name="Comma 11 2 2 3" xfId="6023"/>
    <cellStyle name="Comma 11 2 2 3 2" xfId="28551"/>
    <cellStyle name="Comma 11 2 2 3 3" xfId="28550"/>
    <cellStyle name="Comma 11 2 2 4" xfId="12333"/>
    <cellStyle name="Comma 11 2 2 4 2" xfId="28553"/>
    <cellStyle name="Comma 11 2 2 4 3" xfId="28552"/>
    <cellStyle name="Comma 11 2 2 5" xfId="28554"/>
    <cellStyle name="Comma 11 2 2 6" xfId="28547"/>
    <cellStyle name="Comma 11 2 3" xfId="7587"/>
    <cellStyle name="Comma 11 2 3 2" xfId="28556"/>
    <cellStyle name="Comma 11 2 3 3" xfId="28555"/>
    <cellStyle name="Comma 11 2 4" xfId="4460"/>
    <cellStyle name="Comma 11 2 4 2" xfId="28558"/>
    <cellStyle name="Comma 11 2 4 3" xfId="28557"/>
    <cellStyle name="Comma 11 2 5" xfId="10770"/>
    <cellStyle name="Comma 11 2 5 2" xfId="28560"/>
    <cellStyle name="Comma 11 2 5 3" xfId="28559"/>
    <cellStyle name="Comma 11 2 6" xfId="28561"/>
    <cellStyle name="Comma 11 2 7" xfId="28546"/>
    <cellStyle name="Comma 11 3" xfId="2185"/>
    <cellStyle name="Comma 11 3 2" xfId="8470"/>
    <cellStyle name="Comma 11 3 2 2" xfId="28564"/>
    <cellStyle name="Comma 11 3 2 3" xfId="28563"/>
    <cellStyle name="Comma 11 3 3" xfId="5343"/>
    <cellStyle name="Comma 11 3 3 2" xfId="28566"/>
    <cellStyle name="Comma 11 3 3 3" xfId="28565"/>
    <cellStyle name="Comma 11 3 4" xfId="11653"/>
    <cellStyle name="Comma 11 3 4 2" xfId="28568"/>
    <cellStyle name="Comma 11 3 4 3" xfId="28567"/>
    <cellStyle name="Comma 11 3 5" xfId="28569"/>
    <cellStyle name="Comma 11 3 6" xfId="28562"/>
    <cellStyle name="Comma 11 4" xfId="6907"/>
    <cellStyle name="Comma 11 4 2" xfId="28571"/>
    <cellStyle name="Comma 11 4 3" xfId="28570"/>
    <cellStyle name="Comma 11 5" xfId="3780"/>
    <cellStyle name="Comma 11 5 2" xfId="28573"/>
    <cellStyle name="Comma 11 5 3" xfId="28572"/>
    <cellStyle name="Comma 11 6" xfId="10212"/>
    <cellStyle name="Comma 11 6 2" xfId="28575"/>
    <cellStyle name="Comma 11 6 3" xfId="28574"/>
    <cellStyle name="Comma 11 7" xfId="28576"/>
    <cellStyle name="Comma 11 8" xfId="28545"/>
    <cellStyle name="Comma 12" xfId="652"/>
    <cellStyle name="Comma 12 2" xfId="1357"/>
    <cellStyle name="Comma 12 2 2" xfId="2922"/>
    <cellStyle name="Comma 12 2 2 2" xfId="9207"/>
    <cellStyle name="Comma 12 2 2 2 2" xfId="28581"/>
    <cellStyle name="Comma 12 2 2 2 3" xfId="28580"/>
    <cellStyle name="Comma 12 2 2 3" xfId="6080"/>
    <cellStyle name="Comma 12 2 2 3 2" xfId="28583"/>
    <cellStyle name="Comma 12 2 2 3 3" xfId="28582"/>
    <cellStyle name="Comma 12 2 2 4" xfId="12390"/>
    <cellStyle name="Comma 12 2 2 4 2" xfId="28585"/>
    <cellStyle name="Comma 12 2 2 4 3" xfId="28584"/>
    <cellStyle name="Comma 12 2 2 5" xfId="28586"/>
    <cellStyle name="Comma 12 2 2 6" xfId="28579"/>
    <cellStyle name="Comma 12 2 3" xfId="7644"/>
    <cellStyle name="Comma 12 2 3 2" xfId="28588"/>
    <cellStyle name="Comma 12 2 3 3" xfId="28587"/>
    <cellStyle name="Comma 12 2 4" xfId="4517"/>
    <cellStyle name="Comma 12 2 4 2" xfId="28590"/>
    <cellStyle name="Comma 12 2 4 3" xfId="28589"/>
    <cellStyle name="Comma 12 2 5" xfId="10827"/>
    <cellStyle name="Comma 12 2 5 2" xfId="28592"/>
    <cellStyle name="Comma 12 2 5 3" xfId="28591"/>
    <cellStyle name="Comma 12 2 6" xfId="28593"/>
    <cellStyle name="Comma 12 2 7" xfId="28578"/>
    <cellStyle name="Comma 12 3" xfId="2242"/>
    <cellStyle name="Comma 12 3 2" xfId="8527"/>
    <cellStyle name="Comma 12 3 2 2" xfId="28596"/>
    <cellStyle name="Comma 12 3 2 3" xfId="28595"/>
    <cellStyle name="Comma 12 3 3" xfId="5400"/>
    <cellStyle name="Comma 12 3 3 2" xfId="28598"/>
    <cellStyle name="Comma 12 3 3 3" xfId="28597"/>
    <cellStyle name="Comma 12 3 4" xfId="11710"/>
    <cellStyle name="Comma 12 3 4 2" xfId="28600"/>
    <cellStyle name="Comma 12 3 4 3" xfId="28599"/>
    <cellStyle name="Comma 12 3 5" xfId="28601"/>
    <cellStyle name="Comma 12 3 6" xfId="28594"/>
    <cellStyle name="Comma 12 4" xfId="6964"/>
    <cellStyle name="Comma 12 4 2" xfId="28603"/>
    <cellStyle name="Comma 12 4 3" xfId="28602"/>
    <cellStyle name="Comma 12 5" xfId="3837"/>
    <cellStyle name="Comma 12 5 2" xfId="28605"/>
    <cellStyle name="Comma 12 5 3" xfId="28604"/>
    <cellStyle name="Comma 12 6" xfId="10270"/>
    <cellStyle name="Comma 12 6 2" xfId="28607"/>
    <cellStyle name="Comma 12 6 3" xfId="28606"/>
    <cellStyle name="Comma 12 7" xfId="28608"/>
    <cellStyle name="Comma 12 8" xfId="28577"/>
    <cellStyle name="Comma 13" xfId="839"/>
    <cellStyle name="Comma 13 2" xfId="2405"/>
    <cellStyle name="Comma 13 2 2" xfId="8690"/>
    <cellStyle name="Comma 13 2 2 2" xfId="28612"/>
    <cellStyle name="Comma 13 2 2 3" xfId="28611"/>
    <cellStyle name="Comma 13 2 3" xfId="5563"/>
    <cellStyle name="Comma 13 2 3 2" xfId="28614"/>
    <cellStyle name="Comma 13 2 3 3" xfId="28613"/>
    <cellStyle name="Comma 13 2 4" xfId="11873"/>
    <cellStyle name="Comma 13 2 4 2" xfId="28616"/>
    <cellStyle name="Comma 13 2 4 3" xfId="28615"/>
    <cellStyle name="Comma 13 2 5" xfId="28617"/>
    <cellStyle name="Comma 13 2 6" xfId="28610"/>
    <cellStyle name="Comma 13 3" xfId="7127"/>
    <cellStyle name="Comma 13 3 2" xfId="28619"/>
    <cellStyle name="Comma 13 3 3" xfId="28618"/>
    <cellStyle name="Comma 13 4" xfId="4000"/>
    <cellStyle name="Comma 13 4 2" xfId="28621"/>
    <cellStyle name="Comma 13 4 3" xfId="28620"/>
    <cellStyle name="Comma 13 5" xfId="10310"/>
    <cellStyle name="Comma 13 5 2" xfId="28623"/>
    <cellStyle name="Comma 13 5 3" xfId="28622"/>
    <cellStyle name="Comma 13 6" xfId="28624"/>
    <cellStyle name="Comma 13 7" xfId="28609"/>
    <cellStyle name="Comma 14" xfId="1559"/>
    <cellStyle name="Comma 14 2" xfId="3124"/>
    <cellStyle name="Comma 14 2 2" xfId="9409"/>
    <cellStyle name="Comma 14 2 2 2" xfId="28628"/>
    <cellStyle name="Comma 14 2 2 3" xfId="28627"/>
    <cellStyle name="Comma 14 2 3" xfId="6282"/>
    <cellStyle name="Comma 14 2 3 2" xfId="28630"/>
    <cellStyle name="Comma 14 2 3 3" xfId="28629"/>
    <cellStyle name="Comma 14 2 4" xfId="12592"/>
    <cellStyle name="Comma 14 2 4 2" xfId="28632"/>
    <cellStyle name="Comma 14 2 4 3" xfId="28631"/>
    <cellStyle name="Comma 14 2 5" xfId="28633"/>
    <cellStyle name="Comma 14 2 6" xfId="28626"/>
    <cellStyle name="Comma 14 3" xfId="7846"/>
    <cellStyle name="Comma 14 3 2" xfId="28635"/>
    <cellStyle name="Comma 14 3 3" xfId="28634"/>
    <cellStyle name="Comma 14 4" xfId="4719"/>
    <cellStyle name="Comma 14 4 2" xfId="28637"/>
    <cellStyle name="Comma 14 4 3" xfId="28636"/>
    <cellStyle name="Comma 14 5" xfId="11029"/>
    <cellStyle name="Comma 14 5 2" xfId="28639"/>
    <cellStyle name="Comma 14 5 3" xfId="28638"/>
    <cellStyle name="Comma 14 6" xfId="28640"/>
    <cellStyle name="Comma 14 7" xfId="28625"/>
    <cellStyle name="Comma 15" xfId="1732"/>
    <cellStyle name="Comma 15 2" xfId="8019"/>
    <cellStyle name="Comma 15 2 2" xfId="28643"/>
    <cellStyle name="Comma 15 2 3" xfId="28642"/>
    <cellStyle name="Comma 15 3" xfId="4892"/>
    <cellStyle name="Comma 15 3 2" xfId="28645"/>
    <cellStyle name="Comma 15 3 3" xfId="28644"/>
    <cellStyle name="Comma 15 4" xfId="11202"/>
    <cellStyle name="Comma 15 4 2" xfId="28647"/>
    <cellStyle name="Comma 15 4 3" xfId="28646"/>
    <cellStyle name="Comma 15 5" xfId="28648"/>
    <cellStyle name="Comma 15 6" xfId="28641"/>
    <cellStyle name="Comma 16" xfId="3288"/>
    <cellStyle name="Comma 16 2" xfId="9573"/>
    <cellStyle name="Comma 16 2 2" xfId="28651"/>
    <cellStyle name="Comma 16 2 3" xfId="28650"/>
    <cellStyle name="Comma 16 3" xfId="6446"/>
    <cellStyle name="Comma 16 3 2" xfId="28653"/>
    <cellStyle name="Comma 16 3 3" xfId="28652"/>
    <cellStyle name="Comma 16 4" xfId="12756"/>
    <cellStyle name="Comma 16 4 2" xfId="28655"/>
    <cellStyle name="Comma 16 4 3" xfId="28654"/>
    <cellStyle name="Comma 16 5" xfId="28656"/>
    <cellStyle name="Comma 16 6" xfId="28649"/>
    <cellStyle name="Comma 17" xfId="101"/>
    <cellStyle name="Comma 17 2" xfId="6447"/>
    <cellStyle name="Comma 17 2 2" xfId="28659"/>
    <cellStyle name="Comma 17 2 3" xfId="28658"/>
    <cellStyle name="Comma 17 3" xfId="28660"/>
    <cellStyle name="Comma 17 4" xfId="28657"/>
    <cellStyle name="Comma 18" xfId="3290"/>
    <cellStyle name="Comma 18 2" xfId="28661"/>
    <cellStyle name="Comma 19" xfId="3320"/>
    <cellStyle name="Comma 19 2" xfId="28663"/>
    <cellStyle name="Comma 19 3" xfId="28662"/>
    <cellStyle name="Comma 2" xfId="9"/>
    <cellStyle name="Comma 2 10" xfId="197"/>
    <cellStyle name="Comma 2 10 2" xfId="6537"/>
    <cellStyle name="Comma 2 10 2 2" xfId="28667"/>
    <cellStyle name="Comma 2 10 2 3" xfId="28666"/>
    <cellStyle name="Comma 2 10 3" xfId="28668"/>
    <cellStyle name="Comma 2 10 4" xfId="28665"/>
    <cellStyle name="Comma 2 11" xfId="3292"/>
    <cellStyle name="Comma 2 11 2" xfId="28670"/>
    <cellStyle name="Comma 2 11 3" xfId="28669"/>
    <cellStyle name="Comma 2 12" xfId="3410"/>
    <cellStyle name="Comma 2 12 2" xfId="28672"/>
    <cellStyle name="Comma 2 12 3" xfId="28671"/>
    <cellStyle name="Comma 2 13" xfId="9643"/>
    <cellStyle name="Comma 2 13 2" xfId="28674"/>
    <cellStyle name="Comma 2 13 3" xfId="28673"/>
    <cellStyle name="Comma 2 14" xfId="28675"/>
    <cellStyle name="Comma 2 15" xfId="28664"/>
    <cellStyle name="Comma 2 16" xfId="38157"/>
    <cellStyle name="Comma 2 2" xfId="72"/>
    <cellStyle name="Comma 2 2 2" xfId="673"/>
    <cellStyle name="Comma 2 2 2 2" xfId="28677"/>
    <cellStyle name="Comma 2 2 3" xfId="986"/>
    <cellStyle name="Comma 2 2 3 2" xfId="2552"/>
    <cellStyle name="Comma 2 2 3 2 2" xfId="8837"/>
    <cellStyle name="Comma 2 2 3 2 2 2" xfId="28681"/>
    <cellStyle name="Comma 2 2 3 2 2 3" xfId="28680"/>
    <cellStyle name="Comma 2 2 3 2 3" xfId="5710"/>
    <cellStyle name="Comma 2 2 3 2 3 2" xfId="28683"/>
    <cellStyle name="Comma 2 2 3 2 3 3" xfId="28682"/>
    <cellStyle name="Comma 2 2 3 2 4" xfId="12020"/>
    <cellStyle name="Comma 2 2 3 2 4 2" xfId="28685"/>
    <cellStyle name="Comma 2 2 3 2 4 3" xfId="28684"/>
    <cellStyle name="Comma 2 2 3 2 5" xfId="28686"/>
    <cellStyle name="Comma 2 2 3 2 6" xfId="28679"/>
    <cellStyle name="Comma 2 2 3 3" xfId="7274"/>
    <cellStyle name="Comma 2 2 3 3 2" xfId="28688"/>
    <cellStyle name="Comma 2 2 3 3 3" xfId="28687"/>
    <cellStyle name="Comma 2 2 3 4" xfId="4147"/>
    <cellStyle name="Comma 2 2 3 4 2" xfId="28690"/>
    <cellStyle name="Comma 2 2 3 4 3" xfId="28689"/>
    <cellStyle name="Comma 2 2 3 5" xfId="10457"/>
    <cellStyle name="Comma 2 2 3 5 2" xfId="28692"/>
    <cellStyle name="Comma 2 2 3 5 3" xfId="28691"/>
    <cellStyle name="Comma 2 2 3 6" xfId="28693"/>
    <cellStyle name="Comma 2 2 3 7" xfId="28678"/>
    <cellStyle name="Comma 2 2 4" xfId="1872"/>
    <cellStyle name="Comma 2 2 4 2" xfId="8157"/>
    <cellStyle name="Comma 2 2 4 2 2" xfId="28696"/>
    <cellStyle name="Comma 2 2 4 2 3" xfId="28695"/>
    <cellStyle name="Comma 2 2 4 3" xfId="5030"/>
    <cellStyle name="Comma 2 2 4 3 2" xfId="28698"/>
    <cellStyle name="Comma 2 2 4 3 3" xfId="28697"/>
    <cellStyle name="Comma 2 2 4 4" xfId="11340"/>
    <cellStyle name="Comma 2 2 4 4 2" xfId="28700"/>
    <cellStyle name="Comma 2 2 4 4 3" xfId="28699"/>
    <cellStyle name="Comma 2 2 4 5" xfId="28701"/>
    <cellStyle name="Comma 2 2 4 6" xfId="28694"/>
    <cellStyle name="Comma 2 2 5" xfId="275"/>
    <cellStyle name="Comma 2 2 5 2" xfId="6594"/>
    <cellStyle name="Comma 2 2 5 2 2" xfId="28704"/>
    <cellStyle name="Comma 2 2 5 2 3" xfId="28703"/>
    <cellStyle name="Comma 2 2 5 3" xfId="9816"/>
    <cellStyle name="Comma 2 2 5 3 2" xfId="28706"/>
    <cellStyle name="Comma 2 2 5 3 3" xfId="28705"/>
    <cellStyle name="Comma 2 2 5 4" xfId="28707"/>
    <cellStyle name="Comma 2 2 5 5" xfId="28702"/>
    <cellStyle name="Comma 2 2 6" xfId="3467"/>
    <cellStyle name="Comma 2 2 6 2" xfId="28709"/>
    <cellStyle name="Comma 2 2 6 3" xfId="28708"/>
    <cellStyle name="Comma 2 2 7" xfId="28710"/>
    <cellStyle name="Comma 2 2 8" xfId="28676"/>
    <cellStyle name="Comma 2 3" xfId="383"/>
    <cellStyle name="Comma 2 3 2" xfId="672"/>
    <cellStyle name="Comma 2 3 2 2" xfId="28712"/>
    <cellStyle name="Comma 2 3 3" xfId="1091"/>
    <cellStyle name="Comma 2 3 3 2" xfId="2656"/>
    <cellStyle name="Comma 2 3 3 2 2" xfId="8941"/>
    <cellStyle name="Comma 2 3 3 2 2 2" xfId="28716"/>
    <cellStyle name="Comma 2 3 3 2 2 3" xfId="28715"/>
    <cellStyle name="Comma 2 3 3 2 3" xfId="5814"/>
    <cellStyle name="Comma 2 3 3 2 3 2" xfId="28718"/>
    <cellStyle name="Comma 2 3 3 2 3 3" xfId="28717"/>
    <cellStyle name="Comma 2 3 3 2 4" xfId="12124"/>
    <cellStyle name="Comma 2 3 3 2 4 2" xfId="28720"/>
    <cellStyle name="Comma 2 3 3 2 4 3" xfId="28719"/>
    <cellStyle name="Comma 2 3 3 2 5" xfId="28721"/>
    <cellStyle name="Comma 2 3 3 2 6" xfId="28714"/>
    <cellStyle name="Comma 2 3 3 3" xfId="7378"/>
    <cellStyle name="Comma 2 3 3 3 2" xfId="28723"/>
    <cellStyle name="Comma 2 3 3 3 3" xfId="28722"/>
    <cellStyle name="Comma 2 3 3 4" xfId="4251"/>
    <cellStyle name="Comma 2 3 3 4 2" xfId="28725"/>
    <cellStyle name="Comma 2 3 3 4 3" xfId="28724"/>
    <cellStyle name="Comma 2 3 3 5" xfId="10561"/>
    <cellStyle name="Comma 2 3 3 5 2" xfId="28727"/>
    <cellStyle name="Comma 2 3 3 5 3" xfId="28726"/>
    <cellStyle name="Comma 2 3 3 6" xfId="28728"/>
    <cellStyle name="Comma 2 3 3 7" xfId="28713"/>
    <cellStyle name="Comma 2 3 4" xfId="1976"/>
    <cellStyle name="Comma 2 3 4 2" xfId="8261"/>
    <cellStyle name="Comma 2 3 4 2 2" xfId="28731"/>
    <cellStyle name="Comma 2 3 4 2 3" xfId="28730"/>
    <cellStyle name="Comma 2 3 4 3" xfId="5134"/>
    <cellStyle name="Comma 2 3 4 3 2" xfId="28733"/>
    <cellStyle name="Comma 2 3 4 3 3" xfId="28732"/>
    <cellStyle name="Comma 2 3 4 4" xfId="11444"/>
    <cellStyle name="Comma 2 3 4 4 2" xfId="28735"/>
    <cellStyle name="Comma 2 3 4 4 3" xfId="28734"/>
    <cellStyle name="Comma 2 3 4 5" xfId="28736"/>
    <cellStyle name="Comma 2 3 4 6" xfId="28729"/>
    <cellStyle name="Comma 2 3 5" xfId="6698"/>
    <cellStyle name="Comma 2 3 5 2" xfId="10003"/>
    <cellStyle name="Comma 2 3 5 2 2" xfId="28739"/>
    <cellStyle name="Comma 2 3 5 2 3" xfId="28738"/>
    <cellStyle name="Comma 2 3 5 3" xfId="28740"/>
    <cellStyle name="Comma 2 3 5 4" xfId="28737"/>
    <cellStyle name="Comma 2 3 6" xfId="3571"/>
    <cellStyle name="Comma 2 3 6 2" xfId="28742"/>
    <cellStyle name="Comma 2 3 6 3" xfId="28741"/>
    <cellStyle name="Comma 2 3 7" xfId="28743"/>
    <cellStyle name="Comma 2 3 8" xfId="28711"/>
    <cellStyle name="Comma 2 4" xfId="440"/>
    <cellStyle name="Comma 2 4 2" xfId="1147"/>
    <cellStyle name="Comma 2 4 2 2" xfId="2712"/>
    <cellStyle name="Comma 2 4 2 2 2" xfId="8997"/>
    <cellStyle name="Comma 2 4 2 2 2 2" xfId="28748"/>
    <cellStyle name="Comma 2 4 2 2 2 3" xfId="28747"/>
    <cellStyle name="Comma 2 4 2 2 3" xfId="5870"/>
    <cellStyle name="Comma 2 4 2 2 3 2" xfId="28750"/>
    <cellStyle name="Comma 2 4 2 2 3 3" xfId="28749"/>
    <cellStyle name="Comma 2 4 2 2 4" xfId="12180"/>
    <cellStyle name="Comma 2 4 2 2 4 2" xfId="28752"/>
    <cellStyle name="Comma 2 4 2 2 4 3" xfId="28751"/>
    <cellStyle name="Comma 2 4 2 2 5" xfId="28753"/>
    <cellStyle name="Comma 2 4 2 2 6" xfId="28746"/>
    <cellStyle name="Comma 2 4 2 3" xfId="7434"/>
    <cellStyle name="Comma 2 4 2 3 2" xfId="28755"/>
    <cellStyle name="Comma 2 4 2 3 3" xfId="28754"/>
    <cellStyle name="Comma 2 4 2 4" xfId="4307"/>
    <cellStyle name="Comma 2 4 2 4 2" xfId="28757"/>
    <cellStyle name="Comma 2 4 2 4 3" xfId="28756"/>
    <cellStyle name="Comma 2 4 2 5" xfId="10617"/>
    <cellStyle name="Comma 2 4 2 5 2" xfId="28759"/>
    <cellStyle name="Comma 2 4 2 5 3" xfId="28758"/>
    <cellStyle name="Comma 2 4 2 6" xfId="28760"/>
    <cellStyle name="Comma 2 4 2 7" xfId="28745"/>
    <cellStyle name="Comma 2 4 3" xfId="2032"/>
    <cellStyle name="Comma 2 4 3 2" xfId="8317"/>
    <cellStyle name="Comma 2 4 3 2 2" xfId="28763"/>
    <cellStyle name="Comma 2 4 3 2 3" xfId="28762"/>
    <cellStyle name="Comma 2 4 3 3" xfId="5190"/>
    <cellStyle name="Comma 2 4 3 3 2" xfId="28765"/>
    <cellStyle name="Comma 2 4 3 3 3" xfId="28764"/>
    <cellStyle name="Comma 2 4 3 4" xfId="11500"/>
    <cellStyle name="Comma 2 4 3 4 2" xfId="28767"/>
    <cellStyle name="Comma 2 4 3 4 3" xfId="28766"/>
    <cellStyle name="Comma 2 4 3 5" xfId="28768"/>
    <cellStyle name="Comma 2 4 3 6" xfId="28761"/>
    <cellStyle name="Comma 2 4 4" xfId="6754"/>
    <cellStyle name="Comma 2 4 4 2" xfId="28770"/>
    <cellStyle name="Comma 2 4 4 3" xfId="28769"/>
    <cellStyle name="Comma 2 4 5" xfId="3627"/>
    <cellStyle name="Comma 2 4 5 2" xfId="28772"/>
    <cellStyle name="Comma 2 4 5 3" xfId="28771"/>
    <cellStyle name="Comma 2 4 6" xfId="10059"/>
    <cellStyle name="Comma 2 4 6 2" xfId="28774"/>
    <cellStyle name="Comma 2 4 6 3" xfId="28773"/>
    <cellStyle name="Comma 2 4 7" xfId="28775"/>
    <cellStyle name="Comma 2 4 8" xfId="28744"/>
    <cellStyle name="Comma 2 5" xfId="609"/>
    <cellStyle name="Comma 2 5 2" xfId="1316"/>
    <cellStyle name="Comma 2 5 2 2" xfId="2881"/>
    <cellStyle name="Comma 2 5 2 2 2" xfId="9166"/>
    <cellStyle name="Comma 2 5 2 2 2 2" xfId="28780"/>
    <cellStyle name="Comma 2 5 2 2 2 3" xfId="28779"/>
    <cellStyle name="Comma 2 5 2 2 3" xfId="6039"/>
    <cellStyle name="Comma 2 5 2 2 3 2" xfId="28782"/>
    <cellStyle name="Comma 2 5 2 2 3 3" xfId="28781"/>
    <cellStyle name="Comma 2 5 2 2 4" xfId="12349"/>
    <cellStyle name="Comma 2 5 2 2 4 2" xfId="28784"/>
    <cellStyle name="Comma 2 5 2 2 4 3" xfId="28783"/>
    <cellStyle name="Comma 2 5 2 2 5" xfId="28785"/>
    <cellStyle name="Comma 2 5 2 2 6" xfId="28778"/>
    <cellStyle name="Comma 2 5 2 3" xfId="7603"/>
    <cellStyle name="Comma 2 5 2 3 2" xfId="28787"/>
    <cellStyle name="Comma 2 5 2 3 3" xfId="28786"/>
    <cellStyle name="Comma 2 5 2 4" xfId="4476"/>
    <cellStyle name="Comma 2 5 2 4 2" xfId="28789"/>
    <cellStyle name="Comma 2 5 2 4 3" xfId="28788"/>
    <cellStyle name="Comma 2 5 2 5" xfId="10786"/>
    <cellStyle name="Comma 2 5 2 5 2" xfId="28791"/>
    <cellStyle name="Comma 2 5 2 5 3" xfId="28790"/>
    <cellStyle name="Comma 2 5 2 6" xfId="28792"/>
    <cellStyle name="Comma 2 5 2 7" xfId="28777"/>
    <cellStyle name="Comma 2 5 3" xfId="2201"/>
    <cellStyle name="Comma 2 5 3 2" xfId="8486"/>
    <cellStyle name="Comma 2 5 3 2 2" xfId="28795"/>
    <cellStyle name="Comma 2 5 3 2 3" xfId="28794"/>
    <cellStyle name="Comma 2 5 3 3" xfId="5359"/>
    <cellStyle name="Comma 2 5 3 3 2" xfId="28797"/>
    <cellStyle name="Comma 2 5 3 3 3" xfId="28796"/>
    <cellStyle name="Comma 2 5 3 4" xfId="11669"/>
    <cellStyle name="Comma 2 5 3 4 2" xfId="28799"/>
    <cellStyle name="Comma 2 5 3 4 3" xfId="28798"/>
    <cellStyle name="Comma 2 5 3 5" xfId="28800"/>
    <cellStyle name="Comma 2 5 3 6" xfId="28793"/>
    <cellStyle name="Comma 2 5 4" xfId="6923"/>
    <cellStyle name="Comma 2 5 4 2" xfId="28802"/>
    <cellStyle name="Comma 2 5 4 3" xfId="28801"/>
    <cellStyle name="Comma 2 5 5" xfId="3796"/>
    <cellStyle name="Comma 2 5 5 2" xfId="28804"/>
    <cellStyle name="Comma 2 5 5 3" xfId="28803"/>
    <cellStyle name="Comma 2 5 6" xfId="10227"/>
    <cellStyle name="Comma 2 5 6 2" xfId="28806"/>
    <cellStyle name="Comma 2 5 6 3" xfId="28805"/>
    <cellStyle name="Comma 2 5 7" xfId="28807"/>
    <cellStyle name="Comma 2 5 8" xfId="28776"/>
    <cellStyle name="Comma 2 6" xfId="668"/>
    <cellStyle name="Comma 2 6 2" xfId="1373"/>
    <cellStyle name="Comma 2 6 2 2" xfId="2938"/>
    <cellStyle name="Comma 2 6 2 2 2" xfId="9223"/>
    <cellStyle name="Comma 2 6 2 2 2 2" xfId="28812"/>
    <cellStyle name="Comma 2 6 2 2 2 3" xfId="28811"/>
    <cellStyle name="Comma 2 6 2 2 3" xfId="6096"/>
    <cellStyle name="Comma 2 6 2 2 3 2" xfId="28814"/>
    <cellStyle name="Comma 2 6 2 2 3 3" xfId="28813"/>
    <cellStyle name="Comma 2 6 2 2 4" xfId="12406"/>
    <cellStyle name="Comma 2 6 2 2 4 2" xfId="28816"/>
    <cellStyle name="Comma 2 6 2 2 4 3" xfId="28815"/>
    <cellStyle name="Comma 2 6 2 2 5" xfId="28817"/>
    <cellStyle name="Comma 2 6 2 2 6" xfId="28810"/>
    <cellStyle name="Comma 2 6 2 3" xfId="7660"/>
    <cellStyle name="Comma 2 6 2 3 2" xfId="28819"/>
    <cellStyle name="Comma 2 6 2 3 3" xfId="28818"/>
    <cellStyle name="Comma 2 6 2 4" xfId="4533"/>
    <cellStyle name="Comma 2 6 2 4 2" xfId="28821"/>
    <cellStyle name="Comma 2 6 2 4 3" xfId="28820"/>
    <cellStyle name="Comma 2 6 2 5" xfId="10843"/>
    <cellStyle name="Comma 2 6 2 5 2" xfId="28823"/>
    <cellStyle name="Comma 2 6 2 5 3" xfId="28822"/>
    <cellStyle name="Comma 2 6 2 6" xfId="28824"/>
    <cellStyle name="Comma 2 6 2 7" xfId="28809"/>
    <cellStyle name="Comma 2 6 3" xfId="2258"/>
    <cellStyle name="Comma 2 6 3 2" xfId="8543"/>
    <cellStyle name="Comma 2 6 3 2 2" xfId="28827"/>
    <cellStyle name="Comma 2 6 3 2 3" xfId="28826"/>
    <cellStyle name="Comma 2 6 3 3" xfId="5416"/>
    <cellStyle name="Comma 2 6 3 3 2" xfId="28829"/>
    <cellStyle name="Comma 2 6 3 3 3" xfId="28828"/>
    <cellStyle name="Comma 2 6 3 4" xfId="11726"/>
    <cellStyle name="Comma 2 6 3 4 2" xfId="28831"/>
    <cellStyle name="Comma 2 6 3 4 3" xfId="28830"/>
    <cellStyle name="Comma 2 6 3 5" xfId="28832"/>
    <cellStyle name="Comma 2 6 3 6" xfId="28825"/>
    <cellStyle name="Comma 2 6 4" xfId="6980"/>
    <cellStyle name="Comma 2 6 4 2" xfId="28834"/>
    <cellStyle name="Comma 2 6 4 3" xfId="28833"/>
    <cellStyle name="Comma 2 6 5" xfId="3853"/>
    <cellStyle name="Comma 2 6 5 2" xfId="28836"/>
    <cellStyle name="Comma 2 6 5 3" xfId="28835"/>
    <cellStyle name="Comma 2 6 6" xfId="10286"/>
    <cellStyle name="Comma 2 6 6 2" xfId="28838"/>
    <cellStyle name="Comma 2 6 6 3" xfId="28837"/>
    <cellStyle name="Comma 2 6 7" xfId="28839"/>
    <cellStyle name="Comma 2 6 8" xfId="28808"/>
    <cellStyle name="Comma 2 7" xfId="929"/>
    <cellStyle name="Comma 2 7 2" xfId="2495"/>
    <cellStyle name="Comma 2 7 2 2" xfId="8780"/>
    <cellStyle name="Comma 2 7 2 2 2" xfId="28843"/>
    <cellStyle name="Comma 2 7 2 2 3" xfId="28842"/>
    <cellStyle name="Comma 2 7 2 3" xfId="5653"/>
    <cellStyle name="Comma 2 7 2 3 2" xfId="28845"/>
    <cellStyle name="Comma 2 7 2 3 3" xfId="28844"/>
    <cellStyle name="Comma 2 7 2 4" xfId="11963"/>
    <cellStyle name="Comma 2 7 2 4 2" xfId="28847"/>
    <cellStyle name="Comma 2 7 2 4 3" xfId="28846"/>
    <cellStyle name="Comma 2 7 2 5" xfId="28848"/>
    <cellStyle name="Comma 2 7 2 6" xfId="28841"/>
    <cellStyle name="Comma 2 7 3" xfId="7217"/>
    <cellStyle name="Comma 2 7 3 2" xfId="28850"/>
    <cellStyle name="Comma 2 7 3 3" xfId="28849"/>
    <cellStyle name="Comma 2 7 4" xfId="4090"/>
    <cellStyle name="Comma 2 7 4 2" xfId="28852"/>
    <cellStyle name="Comma 2 7 4 3" xfId="28851"/>
    <cellStyle name="Comma 2 7 5" xfId="10400"/>
    <cellStyle name="Comma 2 7 5 2" xfId="28854"/>
    <cellStyle name="Comma 2 7 5 3" xfId="28853"/>
    <cellStyle name="Comma 2 7 6" xfId="28855"/>
    <cellStyle name="Comma 2 7 7" xfId="28840"/>
    <cellStyle name="Comma 2 8" xfId="1575"/>
    <cellStyle name="Comma 2 8 2" xfId="3140"/>
    <cellStyle name="Comma 2 8 2 2" xfId="9425"/>
    <cellStyle name="Comma 2 8 2 2 2" xfId="28859"/>
    <cellStyle name="Comma 2 8 2 2 3" xfId="28858"/>
    <cellStyle name="Comma 2 8 2 3" xfId="6298"/>
    <cellStyle name="Comma 2 8 2 3 2" xfId="28861"/>
    <cellStyle name="Comma 2 8 2 3 3" xfId="28860"/>
    <cellStyle name="Comma 2 8 2 4" xfId="12608"/>
    <cellStyle name="Comma 2 8 2 4 2" xfId="28863"/>
    <cellStyle name="Comma 2 8 2 4 3" xfId="28862"/>
    <cellStyle name="Comma 2 8 2 5" xfId="28864"/>
    <cellStyle name="Comma 2 8 2 6" xfId="28857"/>
    <cellStyle name="Comma 2 8 3" xfId="7862"/>
    <cellStyle name="Comma 2 8 3 2" xfId="28866"/>
    <cellStyle name="Comma 2 8 3 3" xfId="28865"/>
    <cellStyle name="Comma 2 8 4" xfId="4735"/>
    <cellStyle name="Comma 2 8 4 2" xfId="28868"/>
    <cellStyle name="Comma 2 8 4 3" xfId="28867"/>
    <cellStyle name="Comma 2 8 5" xfId="11045"/>
    <cellStyle name="Comma 2 8 5 2" xfId="28870"/>
    <cellStyle name="Comma 2 8 5 3" xfId="28869"/>
    <cellStyle name="Comma 2 8 6" xfId="28871"/>
    <cellStyle name="Comma 2 8 7" xfId="28856"/>
    <cellStyle name="Comma 2 9" xfId="1815"/>
    <cellStyle name="Comma 2 9 2" xfId="8100"/>
    <cellStyle name="Comma 2 9 2 2" xfId="28874"/>
    <cellStyle name="Comma 2 9 2 3" xfId="28873"/>
    <cellStyle name="Comma 2 9 3" xfId="4973"/>
    <cellStyle name="Comma 2 9 3 2" xfId="28876"/>
    <cellStyle name="Comma 2 9 3 3" xfId="28875"/>
    <cellStyle name="Comma 2 9 4" xfId="11283"/>
    <cellStyle name="Comma 2 9 4 2" xfId="28878"/>
    <cellStyle name="Comma 2 9 4 3" xfId="28877"/>
    <cellStyle name="Comma 2 9 5" xfId="28879"/>
    <cellStyle name="Comma 2 9 6" xfId="28872"/>
    <cellStyle name="Comma 20" xfId="9627"/>
    <cellStyle name="Comma 20 2" xfId="28881"/>
    <cellStyle name="Comma 20 3" xfId="28880"/>
    <cellStyle name="Comma 21" xfId="38156"/>
    <cellStyle name="Comma 3" xfId="198"/>
    <cellStyle name="Comma 3 10" xfId="28882"/>
    <cellStyle name="Comma 3 11" xfId="38158"/>
    <cellStyle name="Comma 3 2" xfId="675"/>
    <cellStyle name="Comma 3 2 2" xfId="28883"/>
    <cellStyle name="Comma 3 3" xfId="676"/>
    <cellStyle name="Comma 3 3 10" xfId="28885"/>
    <cellStyle name="Comma 3 3 11" xfId="28884"/>
    <cellStyle name="Comma 3 3 2" xfId="677"/>
    <cellStyle name="Comma 3 3 2 10" xfId="28886"/>
    <cellStyle name="Comma 3 3 2 2" xfId="678"/>
    <cellStyle name="Comma 3 3 2 2 2" xfId="1377"/>
    <cellStyle name="Comma 3 3 2 2 2 2" xfId="2942"/>
    <cellStyle name="Comma 3 3 2 2 2 2 2" xfId="9227"/>
    <cellStyle name="Comma 3 3 2 2 2 2 2 2" xfId="28891"/>
    <cellStyle name="Comma 3 3 2 2 2 2 2 3" xfId="28890"/>
    <cellStyle name="Comma 3 3 2 2 2 2 3" xfId="6100"/>
    <cellStyle name="Comma 3 3 2 2 2 2 3 2" xfId="28893"/>
    <cellStyle name="Comma 3 3 2 2 2 2 3 3" xfId="28892"/>
    <cellStyle name="Comma 3 3 2 2 2 2 4" xfId="12410"/>
    <cellStyle name="Comma 3 3 2 2 2 2 4 2" xfId="28895"/>
    <cellStyle name="Comma 3 3 2 2 2 2 4 3" xfId="28894"/>
    <cellStyle name="Comma 3 3 2 2 2 2 5" xfId="28896"/>
    <cellStyle name="Comma 3 3 2 2 2 2 6" xfId="28889"/>
    <cellStyle name="Comma 3 3 2 2 2 3" xfId="7664"/>
    <cellStyle name="Comma 3 3 2 2 2 3 2" xfId="28898"/>
    <cellStyle name="Comma 3 3 2 2 2 3 3" xfId="28897"/>
    <cellStyle name="Comma 3 3 2 2 2 4" xfId="4537"/>
    <cellStyle name="Comma 3 3 2 2 2 4 2" xfId="28900"/>
    <cellStyle name="Comma 3 3 2 2 2 4 3" xfId="28899"/>
    <cellStyle name="Comma 3 3 2 2 2 5" xfId="10847"/>
    <cellStyle name="Comma 3 3 2 2 2 5 2" xfId="28902"/>
    <cellStyle name="Comma 3 3 2 2 2 5 3" xfId="28901"/>
    <cellStyle name="Comma 3 3 2 2 2 6" xfId="28903"/>
    <cellStyle name="Comma 3 3 2 2 2 7" xfId="28888"/>
    <cellStyle name="Comma 3 3 2 2 3" xfId="1579"/>
    <cellStyle name="Comma 3 3 2 2 3 2" xfId="3144"/>
    <cellStyle name="Comma 3 3 2 2 3 2 2" xfId="9429"/>
    <cellStyle name="Comma 3 3 2 2 3 2 2 2" xfId="28907"/>
    <cellStyle name="Comma 3 3 2 2 3 2 2 3" xfId="28906"/>
    <cellStyle name="Comma 3 3 2 2 3 2 3" xfId="6302"/>
    <cellStyle name="Comma 3 3 2 2 3 2 3 2" xfId="28909"/>
    <cellStyle name="Comma 3 3 2 2 3 2 3 3" xfId="28908"/>
    <cellStyle name="Comma 3 3 2 2 3 2 4" xfId="12612"/>
    <cellStyle name="Comma 3 3 2 2 3 2 4 2" xfId="28911"/>
    <cellStyle name="Comma 3 3 2 2 3 2 4 3" xfId="28910"/>
    <cellStyle name="Comma 3 3 2 2 3 2 5" xfId="28912"/>
    <cellStyle name="Comma 3 3 2 2 3 2 6" xfId="28905"/>
    <cellStyle name="Comma 3 3 2 2 3 3" xfId="7866"/>
    <cellStyle name="Comma 3 3 2 2 3 3 2" xfId="28914"/>
    <cellStyle name="Comma 3 3 2 2 3 3 3" xfId="28913"/>
    <cellStyle name="Comma 3 3 2 2 3 4" xfId="4739"/>
    <cellStyle name="Comma 3 3 2 2 3 4 2" xfId="28916"/>
    <cellStyle name="Comma 3 3 2 2 3 4 3" xfId="28915"/>
    <cellStyle name="Comma 3 3 2 2 3 5" xfId="11049"/>
    <cellStyle name="Comma 3 3 2 2 3 5 2" xfId="28918"/>
    <cellStyle name="Comma 3 3 2 2 3 5 3" xfId="28917"/>
    <cellStyle name="Comma 3 3 2 2 3 6" xfId="28919"/>
    <cellStyle name="Comma 3 3 2 2 3 7" xfId="28904"/>
    <cellStyle name="Comma 3 3 2 2 4" xfId="2262"/>
    <cellStyle name="Comma 3 3 2 2 4 2" xfId="8547"/>
    <cellStyle name="Comma 3 3 2 2 4 2 2" xfId="28922"/>
    <cellStyle name="Comma 3 3 2 2 4 2 3" xfId="28921"/>
    <cellStyle name="Comma 3 3 2 2 4 3" xfId="5420"/>
    <cellStyle name="Comma 3 3 2 2 4 3 2" xfId="28924"/>
    <cellStyle name="Comma 3 3 2 2 4 3 3" xfId="28923"/>
    <cellStyle name="Comma 3 3 2 2 4 4" xfId="11730"/>
    <cellStyle name="Comma 3 3 2 2 4 4 2" xfId="28926"/>
    <cellStyle name="Comma 3 3 2 2 4 4 3" xfId="28925"/>
    <cellStyle name="Comma 3 3 2 2 4 5" xfId="28927"/>
    <cellStyle name="Comma 3 3 2 2 4 6" xfId="28920"/>
    <cellStyle name="Comma 3 3 2 2 5" xfId="6984"/>
    <cellStyle name="Comma 3 3 2 2 5 2" xfId="28929"/>
    <cellStyle name="Comma 3 3 2 2 5 3" xfId="28928"/>
    <cellStyle name="Comma 3 3 2 2 6" xfId="3857"/>
    <cellStyle name="Comma 3 3 2 2 6 2" xfId="28931"/>
    <cellStyle name="Comma 3 3 2 2 6 3" xfId="28930"/>
    <cellStyle name="Comma 3 3 2 2 7" xfId="9647"/>
    <cellStyle name="Comma 3 3 2 2 7 2" xfId="28933"/>
    <cellStyle name="Comma 3 3 2 2 7 3" xfId="28932"/>
    <cellStyle name="Comma 3 3 2 2 8" xfId="28934"/>
    <cellStyle name="Comma 3 3 2 2 9" xfId="28887"/>
    <cellStyle name="Comma 3 3 2 3" xfId="1376"/>
    <cellStyle name="Comma 3 3 2 3 2" xfId="2941"/>
    <cellStyle name="Comma 3 3 2 3 2 2" xfId="9226"/>
    <cellStyle name="Comma 3 3 2 3 2 2 2" xfId="28938"/>
    <cellStyle name="Comma 3 3 2 3 2 2 3" xfId="28937"/>
    <cellStyle name="Comma 3 3 2 3 2 3" xfId="6099"/>
    <cellStyle name="Comma 3 3 2 3 2 3 2" xfId="28940"/>
    <cellStyle name="Comma 3 3 2 3 2 3 3" xfId="28939"/>
    <cellStyle name="Comma 3 3 2 3 2 4" xfId="12409"/>
    <cellStyle name="Comma 3 3 2 3 2 4 2" xfId="28942"/>
    <cellStyle name="Comma 3 3 2 3 2 4 3" xfId="28941"/>
    <cellStyle name="Comma 3 3 2 3 2 5" xfId="28943"/>
    <cellStyle name="Comma 3 3 2 3 2 6" xfId="28936"/>
    <cellStyle name="Comma 3 3 2 3 3" xfId="7663"/>
    <cellStyle name="Comma 3 3 2 3 3 2" xfId="28945"/>
    <cellStyle name="Comma 3 3 2 3 3 3" xfId="28944"/>
    <cellStyle name="Comma 3 3 2 3 4" xfId="4536"/>
    <cellStyle name="Comma 3 3 2 3 4 2" xfId="28947"/>
    <cellStyle name="Comma 3 3 2 3 4 3" xfId="28946"/>
    <cellStyle name="Comma 3 3 2 3 5" xfId="10846"/>
    <cellStyle name="Comma 3 3 2 3 5 2" xfId="28949"/>
    <cellStyle name="Comma 3 3 2 3 5 3" xfId="28948"/>
    <cellStyle name="Comma 3 3 2 3 6" xfId="28950"/>
    <cellStyle name="Comma 3 3 2 3 7" xfId="28935"/>
    <cellStyle name="Comma 3 3 2 4" xfId="1578"/>
    <cellStyle name="Comma 3 3 2 4 2" xfId="3143"/>
    <cellStyle name="Comma 3 3 2 4 2 2" xfId="9428"/>
    <cellStyle name="Comma 3 3 2 4 2 2 2" xfId="28954"/>
    <cellStyle name="Comma 3 3 2 4 2 2 3" xfId="28953"/>
    <cellStyle name="Comma 3 3 2 4 2 3" xfId="6301"/>
    <cellStyle name="Comma 3 3 2 4 2 3 2" xfId="28956"/>
    <cellStyle name="Comma 3 3 2 4 2 3 3" xfId="28955"/>
    <cellStyle name="Comma 3 3 2 4 2 4" xfId="12611"/>
    <cellStyle name="Comma 3 3 2 4 2 4 2" xfId="28958"/>
    <cellStyle name="Comma 3 3 2 4 2 4 3" xfId="28957"/>
    <cellStyle name="Comma 3 3 2 4 2 5" xfId="28959"/>
    <cellStyle name="Comma 3 3 2 4 2 6" xfId="28952"/>
    <cellStyle name="Comma 3 3 2 4 3" xfId="7865"/>
    <cellStyle name="Comma 3 3 2 4 3 2" xfId="28961"/>
    <cellStyle name="Comma 3 3 2 4 3 3" xfId="28960"/>
    <cellStyle name="Comma 3 3 2 4 4" xfId="4738"/>
    <cellStyle name="Comma 3 3 2 4 4 2" xfId="28963"/>
    <cellStyle name="Comma 3 3 2 4 4 3" xfId="28962"/>
    <cellStyle name="Comma 3 3 2 4 5" xfId="11048"/>
    <cellStyle name="Comma 3 3 2 4 5 2" xfId="28965"/>
    <cellStyle name="Comma 3 3 2 4 5 3" xfId="28964"/>
    <cellStyle name="Comma 3 3 2 4 6" xfId="28966"/>
    <cellStyle name="Comma 3 3 2 4 7" xfId="28951"/>
    <cellStyle name="Comma 3 3 2 5" xfId="2261"/>
    <cellStyle name="Comma 3 3 2 5 2" xfId="8546"/>
    <cellStyle name="Comma 3 3 2 5 2 2" xfId="28969"/>
    <cellStyle name="Comma 3 3 2 5 2 3" xfId="28968"/>
    <cellStyle name="Comma 3 3 2 5 3" xfId="5419"/>
    <cellStyle name="Comma 3 3 2 5 3 2" xfId="28971"/>
    <cellStyle name="Comma 3 3 2 5 3 3" xfId="28970"/>
    <cellStyle name="Comma 3 3 2 5 4" xfId="11729"/>
    <cellStyle name="Comma 3 3 2 5 4 2" xfId="28973"/>
    <cellStyle name="Comma 3 3 2 5 4 3" xfId="28972"/>
    <cellStyle name="Comma 3 3 2 5 5" xfId="28974"/>
    <cellStyle name="Comma 3 3 2 5 6" xfId="28967"/>
    <cellStyle name="Comma 3 3 2 6" xfId="6983"/>
    <cellStyle name="Comma 3 3 2 6 2" xfId="28976"/>
    <cellStyle name="Comma 3 3 2 6 3" xfId="28975"/>
    <cellStyle name="Comma 3 3 2 7" xfId="3856"/>
    <cellStyle name="Comma 3 3 2 7 2" xfId="28978"/>
    <cellStyle name="Comma 3 3 2 7 3" xfId="28977"/>
    <cellStyle name="Comma 3 3 2 8" xfId="9646"/>
    <cellStyle name="Comma 3 3 2 8 2" xfId="28980"/>
    <cellStyle name="Comma 3 3 2 8 3" xfId="28979"/>
    <cellStyle name="Comma 3 3 2 9" xfId="28981"/>
    <cellStyle name="Comma 3 3 3" xfId="679"/>
    <cellStyle name="Comma 3 3 3 2" xfId="1378"/>
    <cellStyle name="Comma 3 3 3 2 2" xfId="2943"/>
    <cellStyle name="Comma 3 3 3 2 2 2" xfId="9228"/>
    <cellStyle name="Comma 3 3 3 2 2 2 2" xfId="28986"/>
    <cellStyle name="Comma 3 3 3 2 2 2 3" xfId="28985"/>
    <cellStyle name="Comma 3 3 3 2 2 3" xfId="6101"/>
    <cellStyle name="Comma 3 3 3 2 2 3 2" xfId="28988"/>
    <cellStyle name="Comma 3 3 3 2 2 3 3" xfId="28987"/>
    <cellStyle name="Comma 3 3 3 2 2 4" xfId="12411"/>
    <cellStyle name="Comma 3 3 3 2 2 4 2" xfId="28990"/>
    <cellStyle name="Comma 3 3 3 2 2 4 3" xfId="28989"/>
    <cellStyle name="Comma 3 3 3 2 2 5" xfId="28991"/>
    <cellStyle name="Comma 3 3 3 2 2 6" xfId="28984"/>
    <cellStyle name="Comma 3 3 3 2 3" xfId="7665"/>
    <cellStyle name="Comma 3 3 3 2 3 2" xfId="28993"/>
    <cellStyle name="Comma 3 3 3 2 3 3" xfId="28992"/>
    <cellStyle name="Comma 3 3 3 2 4" xfId="4538"/>
    <cellStyle name="Comma 3 3 3 2 4 2" xfId="28995"/>
    <cellStyle name="Comma 3 3 3 2 4 3" xfId="28994"/>
    <cellStyle name="Comma 3 3 3 2 5" xfId="10848"/>
    <cellStyle name="Comma 3 3 3 2 5 2" xfId="28997"/>
    <cellStyle name="Comma 3 3 3 2 5 3" xfId="28996"/>
    <cellStyle name="Comma 3 3 3 2 6" xfId="28998"/>
    <cellStyle name="Comma 3 3 3 2 7" xfId="28983"/>
    <cellStyle name="Comma 3 3 3 3" xfId="1580"/>
    <cellStyle name="Comma 3 3 3 3 2" xfId="3145"/>
    <cellStyle name="Comma 3 3 3 3 2 2" xfId="9430"/>
    <cellStyle name="Comma 3 3 3 3 2 2 2" xfId="29002"/>
    <cellStyle name="Comma 3 3 3 3 2 2 3" xfId="29001"/>
    <cellStyle name="Comma 3 3 3 3 2 3" xfId="6303"/>
    <cellStyle name="Comma 3 3 3 3 2 3 2" xfId="29004"/>
    <cellStyle name="Comma 3 3 3 3 2 3 3" xfId="29003"/>
    <cellStyle name="Comma 3 3 3 3 2 4" xfId="12613"/>
    <cellStyle name="Comma 3 3 3 3 2 4 2" xfId="29006"/>
    <cellStyle name="Comma 3 3 3 3 2 4 3" xfId="29005"/>
    <cellStyle name="Comma 3 3 3 3 2 5" xfId="29007"/>
    <cellStyle name="Comma 3 3 3 3 2 6" xfId="29000"/>
    <cellStyle name="Comma 3 3 3 3 3" xfId="7867"/>
    <cellStyle name="Comma 3 3 3 3 3 2" xfId="29009"/>
    <cellStyle name="Comma 3 3 3 3 3 3" xfId="29008"/>
    <cellStyle name="Comma 3 3 3 3 4" xfId="4740"/>
    <cellStyle name="Comma 3 3 3 3 4 2" xfId="29011"/>
    <cellStyle name="Comma 3 3 3 3 4 3" xfId="29010"/>
    <cellStyle name="Comma 3 3 3 3 5" xfId="11050"/>
    <cellStyle name="Comma 3 3 3 3 5 2" xfId="29013"/>
    <cellStyle name="Comma 3 3 3 3 5 3" xfId="29012"/>
    <cellStyle name="Comma 3 3 3 3 6" xfId="29014"/>
    <cellStyle name="Comma 3 3 3 3 7" xfId="28999"/>
    <cellStyle name="Comma 3 3 3 4" xfId="2263"/>
    <cellStyle name="Comma 3 3 3 4 2" xfId="8548"/>
    <cellStyle name="Comma 3 3 3 4 2 2" xfId="29017"/>
    <cellStyle name="Comma 3 3 3 4 2 3" xfId="29016"/>
    <cellStyle name="Comma 3 3 3 4 3" xfId="5421"/>
    <cellStyle name="Comma 3 3 3 4 3 2" xfId="29019"/>
    <cellStyle name="Comma 3 3 3 4 3 3" xfId="29018"/>
    <cellStyle name="Comma 3 3 3 4 4" xfId="11731"/>
    <cellStyle name="Comma 3 3 3 4 4 2" xfId="29021"/>
    <cellStyle name="Comma 3 3 3 4 4 3" xfId="29020"/>
    <cellStyle name="Comma 3 3 3 4 5" xfId="29022"/>
    <cellStyle name="Comma 3 3 3 4 6" xfId="29015"/>
    <cellStyle name="Comma 3 3 3 5" xfId="6985"/>
    <cellStyle name="Comma 3 3 3 5 2" xfId="29024"/>
    <cellStyle name="Comma 3 3 3 5 3" xfId="29023"/>
    <cellStyle name="Comma 3 3 3 6" xfId="3858"/>
    <cellStyle name="Comma 3 3 3 6 2" xfId="29026"/>
    <cellStyle name="Comma 3 3 3 6 3" xfId="29025"/>
    <cellStyle name="Comma 3 3 3 7" xfId="9648"/>
    <cellStyle name="Comma 3 3 3 7 2" xfId="29028"/>
    <cellStyle name="Comma 3 3 3 7 3" xfId="29027"/>
    <cellStyle name="Comma 3 3 3 8" xfId="29029"/>
    <cellStyle name="Comma 3 3 3 9" xfId="28982"/>
    <cellStyle name="Comma 3 3 4" xfId="1375"/>
    <cellStyle name="Comma 3 3 4 2" xfId="2940"/>
    <cellStyle name="Comma 3 3 4 2 2" xfId="9225"/>
    <cellStyle name="Comma 3 3 4 2 2 2" xfId="29033"/>
    <cellStyle name="Comma 3 3 4 2 2 3" xfId="29032"/>
    <cellStyle name="Comma 3 3 4 2 3" xfId="6098"/>
    <cellStyle name="Comma 3 3 4 2 3 2" xfId="29035"/>
    <cellStyle name="Comma 3 3 4 2 3 3" xfId="29034"/>
    <cellStyle name="Comma 3 3 4 2 4" xfId="12408"/>
    <cellStyle name="Comma 3 3 4 2 4 2" xfId="29037"/>
    <cellStyle name="Comma 3 3 4 2 4 3" xfId="29036"/>
    <cellStyle name="Comma 3 3 4 2 5" xfId="29038"/>
    <cellStyle name="Comma 3 3 4 2 6" xfId="29031"/>
    <cellStyle name="Comma 3 3 4 3" xfId="7662"/>
    <cellStyle name="Comma 3 3 4 3 2" xfId="29040"/>
    <cellStyle name="Comma 3 3 4 3 3" xfId="29039"/>
    <cellStyle name="Comma 3 3 4 4" xfId="4535"/>
    <cellStyle name="Comma 3 3 4 4 2" xfId="29042"/>
    <cellStyle name="Comma 3 3 4 4 3" xfId="29041"/>
    <cellStyle name="Comma 3 3 4 5" xfId="10845"/>
    <cellStyle name="Comma 3 3 4 5 2" xfId="29044"/>
    <cellStyle name="Comma 3 3 4 5 3" xfId="29043"/>
    <cellStyle name="Comma 3 3 4 6" xfId="29045"/>
    <cellStyle name="Comma 3 3 4 7" xfId="29030"/>
    <cellStyle name="Comma 3 3 5" xfId="1577"/>
    <cellStyle name="Comma 3 3 5 2" xfId="3142"/>
    <cellStyle name="Comma 3 3 5 2 2" xfId="9427"/>
    <cellStyle name="Comma 3 3 5 2 2 2" xfId="29049"/>
    <cellStyle name="Comma 3 3 5 2 2 3" xfId="29048"/>
    <cellStyle name="Comma 3 3 5 2 3" xfId="6300"/>
    <cellStyle name="Comma 3 3 5 2 3 2" xfId="29051"/>
    <cellStyle name="Comma 3 3 5 2 3 3" xfId="29050"/>
    <cellStyle name="Comma 3 3 5 2 4" xfId="12610"/>
    <cellStyle name="Comma 3 3 5 2 4 2" xfId="29053"/>
    <cellStyle name="Comma 3 3 5 2 4 3" xfId="29052"/>
    <cellStyle name="Comma 3 3 5 2 5" xfId="29054"/>
    <cellStyle name="Comma 3 3 5 2 6" xfId="29047"/>
    <cellStyle name="Comma 3 3 5 3" xfId="7864"/>
    <cellStyle name="Comma 3 3 5 3 2" xfId="29056"/>
    <cellStyle name="Comma 3 3 5 3 3" xfId="29055"/>
    <cellStyle name="Comma 3 3 5 4" xfId="4737"/>
    <cellStyle name="Comma 3 3 5 4 2" xfId="29058"/>
    <cellStyle name="Comma 3 3 5 4 3" xfId="29057"/>
    <cellStyle name="Comma 3 3 5 5" xfId="11047"/>
    <cellStyle name="Comma 3 3 5 5 2" xfId="29060"/>
    <cellStyle name="Comma 3 3 5 5 3" xfId="29059"/>
    <cellStyle name="Comma 3 3 5 6" xfId="29061"/>
    <cellStyle name="Comma 3 3 5 7" xfId="29046"/>
    <cellStyle name="Comma 3 3 6" xfId="2260"/>
    <cellStyle name="Comma 3 3 6 2" xfId="8545"/>
    <cellStyle name="Comma 3 3 6 2 2" xfId="29064"/>
    <cellStyle name="Comma 3 3 6 2 3" xfId="29063"/>
    <cellStyle name="Comma 3 3 6 3" xfId="5418"/>
    <cellStyle name="Comma 3 3 6 3 2" xfId="29066"/>
    <cellStyle name="Comma 3 3 6 3 3" xfId="29065"/>
    <cellStyle name="Comma 3 3 6 4" xfId="11728"/>
    <cellStyle name="Comma 3 3 6 4 2" xfId="29068"/>
    <cellStyle name="Comma 3 3 6 4 3" xfId="29067"/>
    <cellStyle name="Comma 3 3 6 5" xfId="29069"/>
    <cellStyle name="Comma 3 3 6 6" xfId="29062"/>
    <cellStyle name="Comma 3 3 7" xfId="6982"/>
    <cellStyle name="Comma 3 3 7 2" xfId="29071"/>
    <cellStyle name="Comma 3 3 7 3" xfId="29070"/>
    <cellStyle name="Comma 3 3 8" xfId="3855"/>
    <cellStyle name="Comma 3 3 8 2" xfId="29073"/>
    <cellStyle name="Comma 3 3 8 3" xfId="29072"/>
    <cellStyle name="Comma 3 3 9" xfId="9645"/>
    <cellStyle name="Comma 3 3 9 2" xfId="29075"/>
    <cellStyle name="Comma 3 3 9 3" xfId="29074"/>
    <cellStyle name="Comma 3 4" xfId="680"/>
    <cellStyle name="Comma 3 4 10" xfId="29077"/>
    <cellStyle name="Comma 3 4 11" xfId="29076"/>
    <cellStyle name="Comma 3 4 2" xfId="681"/>
    <cellStyle name="Comma 3 4 2 10" xfId="29078"/>
    <cellStyle name="Comma 3 4 2 2" xfId="682"/>
    <cellStyle name="Comma 3 4 2 2 2" xfId="1381"/>
    <cellStyle name="Comma 3 4 2 2 2 2" xfId="2946"/>
    <cellStyle name="Comma 3 4 2 2 2 2 2" xfId="9231"/>
    <cellStyle name="Comma 3 4 2 2 2 2 2 2" xfId="29083"/>
    <cellStyle name="Comma 3 4 2 2 2 2 2 3" xfId="29082"/>
    <cellStyle name="Comma 3 4 2 2 2 2 3" xfId="6104"/>
    <cellStyle name="Comma 3 4 2 2 2 2 3 2" xfId="29085"/>
    <cellStyle name="Comma 3 4 2 2 2 2 3 3" xfId="29084"/>
    <cellStyle name="Comma 3 4 2 2 2 2 4" xfId="12414"/>
    <cellStyle name="Comma 3 4 2 2 2 2 4 2" xfId="29087"/>
    <cellStyle name="Comma 3 4 2 2 2 2 4 3" xfId="29086"/>
    <cellStyle name="Comma 3 4 2 2 2 2 5" xfId="29088"/>
    <cellStyle name="Comma 3 4 2 2 2 2 6" xfId="29081"/>
    <cellStyle name="Comma 3 4 2 2 2 3" xfId="7668"/>
    <cellStyle name="Comma 3 4 2 2 2 3 2" xfId="29090"/>
    <cellStyle name="Comma 3 4 2 2 2 3 3" xfId="29089"/>
    <cellStyle name="Comma 3 4 2 2 2 4" xfId="4541"/>
    <cellStyle name="Comma 3 4 2 2 2 4 2" xfId="29092"/>
    <cellStyle name="Comma 3 4 2 2 2 4 3" xfId="29091"/>
    <cellStyle name="Comma 3 4 2 2 2 5" xfId="10851"/>
    <cellStyle name="Comma 3 4 2 2 2 5 2" xfId="29094"/>
    <cellStyle name="Comma 3 4 2 2 2 5 3" xfId="29093"/>
    <cellStyle name="Comma 3 4 2 2 2 6" xfId="29095"/>
    <cellStyle name="Comma 3 4 2 2 2 7" xfId="29080"/>
    <cellStyle name="Comma 3 4 2 2 3" xfId="1583"/>
    <cellStyle name="Comma 3 4 2 2 3 2" xfId="3148"/>
    <cellStyle name="Comma 3 4 2 2 3 2 2" xfId="9433"/>
    <cellStyle name="Comma 3 4 2 2 3 2 2 2" xfId="29099"/>
    <cellStyle name="Comma 3 4 2 2 3 2 2 3" xfId="29098"/>
    <cellStyle name="Comma 3 4 2 2 3 2 3" xfId="6306"/>
    <cellStyle name="Comma 3 4 2 2 3 2 3 2" xfId="29101"/>
    <cellStyle name="Comma 3 4 2 2 3 2 3 3" xfId="29100"/>
    <cellStyle name="Comma 3 4 2 2 3 2 4" xfId="12616"/>
    <cellStyle name="Comma 3 4 2 2 3 2 4 2" xfId="29103"/>
    <cellStyle name="Comma 3 4 2 2 3 2 4 3" xfId="29102"/>
    <cellStyle name="Comma 3 4 2 2 3 2 5" xfId="29104"/>
    <cellStyle name="Comma 3 4 2 2 3 2 6" xfId="29097"/>
    <cellStyle name="Comma 3 4 2 2 3 3" xfId="7870"/>
    <cellStyle name="Comma 3 4 2 2 3 3 2" xfId="29106"/>
    <cellStyle name="Comma 3 4 2 2 3 3 3" xfId="29105"/>
    <cellStyle name="Comma 3 4 2 2 3 4" xfId="4743"/>
    <cellStyle name="Comma 3 4 2 2 3 4 2" xfId="29108"/>
    <cellStyle name="Comma 3 4 2 2 3 4 3" xfId="29107"/>
    <cellStyle name="Comma 3 4 2 2 3 5" xfId="11053"/>
    <cellStyle name="Comma 3 4 2 2 3 5 2" xfId="29110"/>
    <cellStyle name="Comma 3 4 2 2 3 5 3" xfId="29109"/>
    <cellStyle name="Comma 3 4 2 2 3 6" xfId="29111"/>
    <cellStyle name="Comma 3 4 2 2 3 7" xfId="29096"/>
    <cellStyle name="Comma 3 4 2 2 4" xfId="2266"/>
    <cellStyle name="Comma 3 4 2 2 4 2" xfId="8551"/>
    <cellStyle name="Comma 3 4 2 2 4 2 2" xfId="29114"/>
    <cellStyle name="Comma 3 4 2 2 4 2 3" xfId="29113"/>
    <cellStyle name="Comma 3 4 2 2 4 3" xfId="5424"/>
    <cellStyle name="Comma 3 4 2 2 4 3 2" xfId="29116"/>
    <cellStyle name="Comma 3 4 2 2 4 3 3" xfId="29115"/>
    <cellStyle name="Comma 3 4 2 2 4 4" xfId="11734"/>
    <cellStyle name="Comma 3 4 2 2 4 4 2" xfId="29118"/>
    <cellStyle name="Comma 3 4 2 2 4 4 3" xfId="29117"/>
    <cellStyle name="Comma 3 4 2 2 4 5" xfId="29119"/>
    <cellStyle name="Comma 3 4 2 2 4 6" xfId="29112"/>
    <cellStyle name="Comma 3 4 2 2 5" xfId="6988"/>
    <cellStyle name="Comma 3 4 2 2 5 2" xfId="29121"/>
    <cellStyle name="Comma 3 4 2 2 5 3" xfId="29120"/>
    <cellStyle name="Comma 3 4 2 2 6" xfId="3861"/>
    <cellStyle name="Comma 3 4 2 2 6 2" xfId="29123"/>
    <cellStyle name="Comma 3 4 2 2 6 3" xfId="29122"/>
    <cellStyle name="Comma 3 4 2 2 7" xfId="9651"/>
    <cellStyle name="Comma 3 4 2 2 7 2" xfId="29125"/>
    <cellStyle name="Comma 3 4 2 2 7 3" xfId="29124"/>
    <cellStyle name="Comma 3 4 2 2 8" xfId="29126"/>
    <cellStyle name="Comma 3 4 2 2 9" xfId="29079"/>
    <cellStyle name="Comma 3 4 2 3" xfId="1380"/>
    <cellStyle name="Comma 3 4 2 3 2" xfId="2945"/>
    <cellStyle name="Comma 3 4 2 3 2 2" xfId="9230"/>
    <cellStyle name="Comma 3 4 2 3 2 2 2" xfId="29130"/>
    <cellStyle name="Comma 3 4 2 3 2 2 3" xfId="29129"/>
    <cellStyle name="Comma 3 4 2 3 2 3" xfId="6103"/>
    <cellStyle name="Comma 3 4 2 3 2 3 2" xfId="29132"/>
    <cellStyle name="Comma 3 4 2 3 2 3 3" xfId="29131"/>
    <cellStyle name="Comma 3 4 2 3 2 4" xfId="12413"/>
    <cellStyle name="Comma 3 4 2 3 2 4 2" xfId="29134"/>
    <cellStyle name="Comma 3 4 2 3 2 4 3" xfId="29133"/>
    <cellStyle name="Comma 3 4 2 3 2 5" xfId="29135"/>
    <cellStyle name="Comma 3 4 2 3 2 6" xfId="29128"/>
    <cellStyle name="Comma 3 4 2 3 3" xfId="7667"/>
    <cellStyle name="Comma 3 4 2 3 3 2" xfId="29137"/>
    <cellStyle name="Comma 3 4 2 3 3 3" xfId="29136"/>
    <cellStyle name="Comma 3 4 2 3 4" xfId="4540"/>
    <cellStyle name="Comma 3 4 2 3 4 2" xfId="29139"/>
    <cellStyle name="Comma 3 4 2 3 4 3" xfId="29138"/>
    <cellStyle name="Comma 3 4 2 3 5" xfId="10850"/>
    <cellStyle name="Comma 3 4 2 3 5 2" xfId="29141"/>
    <cellStyle name="Comma 3 4 2 3 5 3" xfId="29140"/>
    <cellStyle name="Comma 3 4 2 3 6" xfId="29142"/>
    <cellStyle name="Comma 3 4 2 3 7" xfId="29127"/>
    <cellStyle name="Comma 3 4 2 4" xfId="1582"/>
    <cellStyle name="Comma 3 4 2 4 2" xfId="3147"/>
    <cellStyle name="Comma 3 4 2 4 2 2" xfId="9432"/>
    <cellStyle name="Comma 3 4 2 4 2 2 2" xfId="29146"/>
    <cellStyle name="Comma 3 4 2 4 2 2 3" xfId="29145"/>
    <cellStyle name="Comma 3 4 2 4 2 3" xfId="6305"/>
    <cellStyle name="Comma 3 4 2 4 2 3 2" xfId="29148"/>
    <cellStyle name="Comma 3 4 2 4 2 3 3" xfId="29147"/>
    <cellStyle name="Comma 3 4 2 4 2 4" xfId="12615"/>
    <cellStyle name="Comma 3 4 2 4 2 4 2" xfId="29150"/>
    <cellStyle name="Comma 3 4 2 4 2 4 3" xfId="29149"/>
    <cellStyle name="Comma 3 4 2 4 2 5" xfId="29151"/>
    <cellStyle name="Comma 3 4 2 4 2 6" xfId="29144"/>
    <cellStyle name="Comma 3 4 2 4 3" xfId="7869"/>
    <cellStyle name="Comma 3 4 2 4 3 2" xfId="29153"/>
    <cellStyle name="Comma 3 4 2 4 3 3" xfId="29152"/>
    <cellStyle name="Comma 3 4 2 4 4" xfId="4742"/>
    <cellStyle name="Comma 3 4 2 4 4 2" xfId="29155"/>
    <cellStyle name="Comma 3 4 2 4 4 3" xfId="29154"/>
    <cellStyle name="Comma 3 4 2 4 5" xfId="11052"/>
    <cellStyle name="Comma 3 4 2 4 5 2" xfId="29157"/>
    <cellStyle name="Comma 3 4 2 4 5 3" xfId="29156"/>
    <cellStyle name="Comma 3 4 2 4 6" xfId="29158"/>
    <cellStyle name="Comma 3 4 2 4 7" xfId="29143"/>
    <cellStyle name="Comma 3 4 2 5" xfId="2265"/>
    <cellStyle name="Comma 3 4 2 5 2" xfId="8550"/>
    <cellStyle name="Comma 3 4 2 5 2 2" xfId="29161"/>
    <cellStyle name="Comma 3 4 2 5 2 3" xfId="29160"/>
    <cellStyle name="Comma 3 4 2 5 3" xfId="5423"/>
    <cellStyle name="Comma 3 4 2 5 3 2" xfId="29163"/>
    <cellStyle name="Comma 3 4 2 5 3 3" xfId="29162"/>
    <cellStyle name="Comma 3 4 2 5 4" xfId="11733"/>
    <cellStyle name="Comma 3 4 2 5 4 2" xfId="29165"/>
    <cellStyle name="Comma 3 4 2 5 4 3" xfId="29164"/>
    <cellStyle name="Comma 3 4 2 5 5" xfId="29166"/>
    <cellStyle name="Comma 3 4 2 5 6" xfId="29159"/>
    <cellStyle name="Comma 3 4 2 6" xfId="6987"/>
    <cellStyle name="Comma 3 4 2 6 2" xfId="29168"/>
    <cellStyle name="Comma 3 4 2 6 3" xfId="29167"/>
    <cellStyle name="Comma 3 4 2 7" xfId="3860"/>
    <cellStyle name="Comma 3 4 2 7 2" xfId="29170"/>
    <cellStyle name="Comma 3 4 2 7 3" xfId="29169"/>
    <cellStyle name="Comma 3 4 2 8" xfId="9650"/>
    <cellStyle name="Comma 3 4 2 8 2" xfId="29172"/>
    <cellStyle name="Comma 3 4 2 8 3" xfId="29171"/>
    <cellStyle name="Comma 3 4 2 9" xfId="29173"/>
    <cellStyle name="Comma 3 4 3" xfId="683"/>
    <cellStyle name="Comma 3 4 3 2" xfId="1382"/>
    <cellStyle name="Comma 3 4 3 2 2" xfId="2947"/>
    <cellStyle name="Comma 3 4 3 2 2 2" xfId="9232"/>
    <cellStyle name="Comma 3 4 3 2 2 2 2" xfId="29178"/>
    <cellStyle name="Comma 3 4 3 2 2 2 3" xfId="29177"/>
    <cellStyle name="Comma 3 4 3 2 2 3" xfId="6105"/>
    <cellStyle name="Comma 3 4 3 2 2 3 2" xfId="29180"/>
    <cellStyle name="Comma 3 4 3 2 2 3 3" xfId="29179"/>
    <cellStyle name="Comma 3 4 3 2 2 4" xfId="12415"/>
    <cellStyle name="Comma 3 4 3 2 2 4 2" xfId="29182"/>
    <cellStyle name="Comma 3 4 3 2 2 4 3" xfId="29181"/>
    <cellStyle name="Comma 3 4 3 2 2 5" xfId="29183"/>
    <cellStyle name="Comma 3 4 3 2 2 6" xfId="29176"/>
    <cellStyle name="Comma 3 4 3 2 3" xfId="7669"/>
    <cellStyle name="Comma 3 4 3 2 3 2" xfId="29185"/>
    <cellStyle name="Comma 3 4 3 2 3 3" xfId="29184"/>
    <cellStyle name="Comma 3 4 3 2 4" xfId="4542"/>
    <cellStyle name="Comma 3 4 3 2 4 2" xfId="29187"/>
    <cellStyle name="Comma 3 4 3 2 4 3" xfId="29186"/>
    <cellStyle name="Comma 3 4 3 2 5" xfId="10852"/>
    <cellStyle name="Comma 3 4 3 2 5 2" xfId="29189"/>
    <cellStyle name="Comma 3 4 3 2 5 3" xfId="29188"/>
    <cellStyle name="Comma 3 4 3 2 6" xfId="29190"/>
    <cellStyle name="Comma 3 4 3 2 7" xfId="29175"/>
    <cellStyle name="Comma 3 4 3 3" xfId="1584"/>
    <cellStyle name="Comma 3 4 3 3 2" xfId="3149"/>
    <cellStyle name="Comma 3 4 3 3 2 2" xfId="9434"/>
    <cellStyle name="Comma 3 4 3 3 2 2 2" xfId="29194"/>
    <cellStyle name="Comma 3 4 3 3 2 2 3" xfId="29193"/>
    <cellStyle name="Comma 3 4 3 3 2 3" xfId="6307"/>
    <cellStyle name="Comma 3 4 3 3 2 3 2" xfId="29196"/>
    <cellStyle name="Comma 3 4 3 3 2 3 3" xfId="29195"/>
    <cellStyle name="Comma 3 4 3 3 2 4" xfId="12617"/>
    <cellStyle name="Comma 3 4 3 3 2 4 2" xfId="29198"/>
    <cellStyle name="Comma 3 4 3 3 2 4 3" xfId="29197"/>
    <cellStyle name="Comma 3 4 3 3 2 5" xfId="29199"/>
    <cellStyle name="Comma 3 4 3 3 2 6" xfId="29192"/>
    <cellStyle name="Comma 3 4 3 3 3" xfId="7871"/>
    <cellStyle name="Comma 3 4 3 3 3 2" xfId="29201"/>
    <cellStyle name="Comma 3 4 3 3 3 3" xfId="29200"/>
    <cellStyle name="Comma 3 4 3 3 4" xfId="4744"/>
    <cellStyle name="Comma 3 4 3 3 4 2" xfId="29203"/>
    <cellStyle name="Comma 3 4 3 3 4 3" xfId="29202"/>
    <cellStyle name="Comma 3 4 3 3 5" xfId="11054"/>
    <cellStyle name="Comma 3 4 3 3 5 2" xfId="29205"/>
    <cellStyle name="Comma 3 4 3 3 5 3" xfId="29204"/>
    <cellStyle name="Comma 3 4 3 3 6" xfId="29206"/>
    <cellStyle name="Comma 3 4 3 3 7" xfId="29191"/>
    <cellStyle name="Comma 3 4 3 4" xfId="2267"/>
    <cellStyle name="Comma 3 4 3 4 2" xfId="8552"/>
    <cellStyle name="Comma 3 4 3 4 2 2" xfId="29209"/>
    <cellStyle name="Comma 3 4 3 4 2 3" xfId="29208"/>
    <cellStyle name="Comma 3 4 3 4 3" xfId="5425"/>
    <cellStyle name="Comma 3 4 3 4 3 2" xfId="29211"/>
    <cellStyle name="Comma 3 4 3 4 3 3" xfId="29210"/>
    <cellStyle name="Comma 3 4 3 4 4" xfId="11735"/>
    <cellStyle name="Comma 3 4 3 4 4 2" xfId="29213"/>
    <cellStyle name="Comma 3 4 3 4 4 3" xfId="29212"/>
    <cellStyle name="Comma 3 4 3 4 5" xfId="29214"/>
    <cellStyle name="Comma 3 4 3 4 6" xfId="29207"/>
    <cellStyle name="Comma 3 4 3 5" xfId="6989"/>
    <cellStyle name="Comma 3 4 3 5 2" xfId="29216"/>
    <cellStyle name="Comma 3 4 3 5 3" xfId="29215"/>
    <cellStyle name="Comma 3 4 3 6" xfId="3862"/>
    <cellStyle name="Comma 3 4 3 6 2" xfId="29218"/>
    <cellStyle name="Comma 3 4 3 6 3" xfId="29217"/>
    <cellStyle name="Comma 3 4 3 7" xfId="9652"/>
    <cellStyle name="Comma 3 4 3 7 2" xfId="29220"/>
    <cellStyle name="Comma 3 4 3 7 3" xfId="29219"/>
    <cellStyle name="Comma 3 4 3 8" xfId="29221"/>
    <cellStyle name="Comma 3 4 3 9" xfId="29174"/>
    <cellStyle name="Comma 3 4 4" xfId="1379"/>
    <cellStyle name="Comma 3 4 4 2" xfId="2944"/>
    <cellStyle name="Comma 3 4 4 2 2" xfId="9229"/>
    <cellStyle name="Comma 3 4 4 2 2 2" xfId="29225"/>
    <cellStyle name="Comma 3 4 4 2 2 3" xfId="29224"/>
    <cellStyle name="Comma 3 4 4 2 3" xfId="6102"/>
    <cellStyle name="Comma 3 4 4 2 3 2" xfId="29227"/>
    <cellStyle name="Comma 3 4 4 2 3 3" xfId="29226"/>
    <cellStyle name="Comma 3 4 4 2 4" xfId="12412"/>
    <cellStyle name="Comma 3 4 4 2 4 2" xfId="29229"/>
    <cellStyle name="Comma 3 4 4 2 4 3" xfId="29228"/>
    <cellStyle name="Comma 3 4 4 2 5" xfId="29230"/>
    <cellStyle name="Comma 3 4 4 2 6" xfId="29223"/>
    <cellStyle name="Comma 3 4 4 3" xfId="7666"/>
    <cellStyle name="Comma 3 4 4 3 2" xfId="29232"/>
    <cellStyle name="Comma 3 4 4 3 3" xfId="29231"/>
    <cellStyle name="Comma 3 4 4 4" xfId="4539"/>
    <cellStyle name="Comma 3 4 4 4 2" xfId="29234"/>
    <cellStyle name="Comma 3 4 4 4 3" xfId="29233"/>
    <cellStyle name="Comma 3 4 4 5" xfId="10849"/>
    <cellStyle name="Comma 3 4 4 5 2" xfId="29236"/>
    <cellStyle name="Comma 3 4 4 5 3" xfId="29235"/>
    <cellStyle name="Comma 3 4 4 6" xfId="29237"/>
    <cellStyle name="Comma 3 4 4 7" xfId="29222"/>
    <cellStyle name="Comma 3 4 5" xfId="1581"/>
    <cellStyle name="Comma 3 4 5 2" xfId="3146"/>
    <cellStyle name="Comma 3 4 5 2 2" xfId="9431"/>
    <cellStyle name="Comma 3 4 5 2 2 2" xfId="29241"/>
    <cellStyle name="Comma 3 4 5 2 2 3" xfId="29240"/>
    <cellStyle name="Comma 3 4 5 2 3" xfId="6304"/>
    <cellStyle name="Comma 3 4 5 2 3 2" xfId="29243"/>
    <cellStyle name="Comma 3 4 5 2 3 3" xfId="29242"/>
    <cellStyle name="Comma 3 4 5 2 4" xfId="12614"/>
    <cellStyle name="Comma 3 4 5 2 4 2" xfId="29245"/>
    <cellStyle name="Comma 3 4 5 2 4 3" xfId="29244"/>
    <cellStyle name="Comma 3 4 5 2 5" xfId="29246"/>
    <cellStyle name="Comma 3 4 5 2 6" xfId="29239"/>
    <cellStyle name="Comma 3 4 5 3" xfId="7868"/>
    <cellStyle name="Comma 3 4 5 3 2" xfId="29248"/>
    <cellStyle name="Comma 3 4 5 3 3" xfId="29247"/>
    <cellStyle name="Comma 3 4 5 4" xfId="4741"/>
    <cellStyle name="Comma 3 4 5 4 2" xfId="29250"/>
    <cellStyle name="Comma 3 4 5 4 3" xfId="29249"/>
    <cellStyle name="Comma 3 4 5 5" xfId="11051"/>
    <cellStyle name="Comma 3 4 5 5 2" xfId="29252"/>
    <cellStyle name="Comma 3 4 5 5 3" xfId="29251"/>
    <cellStyle name="Comma 3 4 5 6" xfId="29253"/>
    <cellStyle name="Comma 3 4 5 7" xfId="29238"/>
    <cellStyle name="Comma 3 4 6" xfId="2264"/>
    <cellStyle name="Comma 3 4 6 2" xfId="8549"/>
    <cellStyle name="Comma 3 4 6 2 2" xfId="29256"/>
    <cellStyle name="Comma 3 4 6 2 3" xfId="29255"/>
    <cellStyle name="Comma 3 4 6 3" xfId="5422"/>
    <cellStyle name="Comma 3 4 6 3 2" xfId="29258"/>
    <cellStyle name="Comma 3 4 6 3 3" xfId="29257"/>
    <cellStyle name="Comma 3 4 6 4" xfId="11732"/>
    <cellStyle name="Comma 3 4 6 4 2" xfId="29260"/>
    <cellStyle name="Comma 3 4 6 4 3" xfId="29259"/>
    <cellStyle name="Comma 3 4 6 5" xfId="29261"/>
    <cellStyle name="Comma 3 4 6 6" xfId="29254"/>
    <cellStyle name="Comma 3 4 7" xfId="6986"/>
    <cellStyle name="Comma 3 4 7 2" xfId="29263"/>
    <cellStyle name="Comma 3 4 7 3" xfId="29262"/>
    <cellStyle name="Comma 3 4 8" xfId="3859"/>
    <cellStyle name="Comma 3 4 8 2" xfId="29265"/>
    <cellStyle name="Comma 3 4 8 3" xfId="29264"/>
    <cellStyle name="Comma 3 4 9" xfId="9649"/>
    <cellStyle name="Comma 3 4 9 2" xfId="29267"/>
    <cellStyle name="Comma 3 4 9 3" xfId="29266"/>
    <cellStyle name="Comma 3 5" xfId="684"/>
    <cellStyle name="Comma 3 5 10" xfId="29268"/>
    <cellStyle name="Comma 3 5 2" xfId="685"/>
    <cellStyle name="Comma 3 5 2 2" xfId="1384"/>
    <cellStyle name="Comma 3 5 2 2 2" xfId="2949"/>
    <cellStyle name="Comma 3 5 2 2 2 2" xfId="9234"/>
    <cellStyle name="Comma 3 5 2 2 2 2 2" xfId="29273"/>
    <cellStyle name="Comma 3 5 2 2 2 2 3" xfId="29272"/>
    <cellStyle name="Comma 3 5 2 2 2 3" xfId="6107"/>
    <cellStyle name="Comma 3 5 2 2 2 3 2" xfId="29275"/>
    <cellStyle name="Comma 3 5 2 2 2 3 3" xfId="29274"/>
    <cellStyle name="Comma 3 5 2 2 2 4" xfId="12417"/>
    <cellStyle name="Comma 3 5 2 2 2 4 2" xfId="29277"/>
    <cellStyle name="Comma 3 5 2 2 2 4 3" xfId="29276"/>
    <cellStyle name="Comma 3 5 2 2 2 5" xfId="29278"/>
    <cellStyle name="Comma 3 5 2 2 2 6" xfId="29271"/>
    <cellStyle name="Comma 3 5 2 2 3" xfId="7671"/>
    <cellStyle name="Comma 3 5 2 2 3 2" xfId="29280"/>
    <cellStyle name="Comma 3 5 2 2 3 3" xfId="29279"/>
    <cellStyle name="Comma 3 5 2 2 4" xfId="4544"/>
    <cellStyle name="Comma 3 5 2 2 4 2" xfId="29282"/>
    <cellStyle name="Comma 3 5 2 2 4 3" xfId="29281"/>
    <cellStyle name="Comma 3 5 2 2 5" xfId="10854"/>
    <cellStyle name="Comma 3 5 2 2 5 2" xfId="29284"/>
    <cellStyle name="Comma 3 5 2 2 5 3" xfId="29283"/>
    <cellStyle name="Comma 3 5 2 2 6" xfId="29285"/>
    <cellStyle name="Comma 3 5 2 2 7" xfId="29270"/>
    <cellStyle name="Comma 3 5 2 3" xfId="1586"/>
    <cellStyle name="Comma 3 5 2 3 2" xfId="3151"/>
    <cellStyle name="Comma 3 5 2 3 2 2" xfId="9436"/>
    <cellStyle name="Comma 3 5 2 3 2 2 2" xfId="29289"/>
    <cellStyle name="Comma 3 5 2 3 2 2 3" xfId="29288"/>
    <cellStyle name="Comma 3 5 2 3 2 3" xfId="6309"/>
    <cellStyle name="Comma 3 5 2 3 2 3 2" xfId="29291"/>
    <cellStyle name="Comma 3 5 2 3 2 3 3" xfId="29290"/>
    <cellStyle name="Comma 3 5 2 3 2 4" xfId="12619"/>
    <cellStyle name="Comma 3 5 2 3 2 4 2" xfId="29293"/>
    <cellStyle name="Comma 3 5 2 3 2 4 3" xfId="29292"/>
    <cellStyle name="Comma 3 5 2 3 2 5" xfId="29294"/>
    <cellStyle name="Comma 3 5 2 3 2 6" xfId="29287"/>
    <cellStyle name="Comma 3 5 2 3 3" xfId="7873"/>
    <cellStyle name="Comma 3 5 2 3 3 2" xfId="29296"/>
    <cellStyle name="Comma 3 5 2 3 3 3" xfId="29295"/>
    <cellStyle name="Comma 3 5 2 3 4" xfId="4746"/>
    <cellStyle name="Comma 3 5 2 3 4 2" xfId="29298"/>
    <cellStyle name="Comma 3 5 2 3 4 3" xfId="29297"/>
    <cellStyle name="Comma 3 5 2 3 5" xfId="11056"/>
    <cellStyle name="Comma 3 5 2 3 5 2" xfId="29300"/>
    <cellStyle name="Comma 3 5 2 3 5 3" xfId="29299"/>
    <cellStyle name="Comma 3 5 2 3 6" xfId="29301"/>
    <cellStyle name="Comma 3 5 2 3 7" xfId="29286"/>
    <cellStyle name="Comma 3 5 2 4" xfId="2269"/>
    <cellStyle name="Comma 3 5 2 4 2" xfId="8554"/>
    <cellStyle name="Comma 3 5 2 4 2 2" xfId="29304"/>
    <cellStyle name="Comma 3 5 2 4 2 3" xfId="29303"/>
    <cellStyle name="Comma 3 5 2 4 3" xfId="5427"/>
    <cellStyle name="Comma 3 5 2 4 3 2" xfId="29306"/>
    <cellStyle name="Comma 3 5 2 4 3 3" xfId="29305"/>
    <cellStyle name="Comma 3 5 2 4 4" xfId="11737"/>
    <cellStyle name="Comma 3 5 2 4 4 2" xfId="29308"/>
    <cellStyle name="Comma 3 5 2 4 4 3" xfId="29307"/>
    <cellStyle name="Comma 3 5 2 4 5" xfId="29309"/>
    <cellStyle name="Comma 3 5 2 4 6" xfId="29302"/>
    <cellStyle name="Comma 3 5 2 5" xfId="6991"/>
    <cellStyle name="Comma 3 5 2 5 2" xfId="29311"/>
    <cellStyle name="Comma 3 5 2 5 3" xfId="29310"/>
    <cellStyle name="Comma 3 5 2 6" xfId="3864"/>
    <cellStyle name="Comma 3 5 2 6 2" xfId="29313"/>
    <cellStyle name="Comma 3 5 2 6 3" xfId="29312"/>
    <cellStyle name="Comma 3 5 2 7" xfId="9654"/>
    <cellStyle name="Comma 3 5 2 7 2" xfId="29315"/>
    <cellStyle name="Comma 3 5 2 7 3" xfId="29314"/>
    <cellStyle name="Comma 3 5 2 8" xfId="29316"/>
    <cellStyle name="Comma 3 5 2 9" xfId="29269"/>
    <cellStyle name="Comma 3 5 3" xfId="1383"/>
    <cellStyle name="Comma 3 5 3 2" xfId="2948"/>
    <cellStyle name="Comma 3 5 3 2 2" xfId="9233"/>
    <cellStyle name="Comma 3 5 3 2 2 2" xfId="29320"/>
    <cellStyle name="Comma 3 5 3 2 2 3" xfId="29319"/>
    <cellStyle name="Comma 3 5 3 2 3" xfId="6106"/>
    <cellStyle name="Comma 3 5 3 2 3 2" xfId="29322"/>
    <cellStyle name="Comma 3 5 3 2 3 3" xfId="29321"/>
    <cellStyle name="Comma 3 5 3 2 4" xfId="12416"/>
    <cellStyle name="Comma 3 5 3 2 4 2" xfId="29324"/>
    <cellStyle name="Comma 3 5 3 2 4 3" xfId="29323"/>
    <cellStyle name="Comma 3 5 3 2 5" xfId="29325"/>
    <cellStyle name="Comma 3 5 3 2 6" xfId="29318"/>
    <cellStyle name="Comma 3 5 3 3" xfId="7670"/>
    <cellStyle name="Comma 3 5 3 3 2" xfId="29327"/>
    <cellStyle name="Comma 3 5 3 3 3" xfId="29326"/>
    <cellStyle name="Comma 3 5 3 4" xfId="4543"/>
    <cellStyle name="Comma 3 5 3 4 2" xfId="29329"/>
    <cellStyle name="Comma 3 5 3 4 3" xfId="29328"/>
    <cellStyle name="Comma 3 5 3 5" xfId="10853"/>
    <cellStyle name="Comma 3 5 3 5 2" xfId="29331"/>
    <cellStyle name="Comma 3 5 3 5 3" xfId="29330"/>
    <cellStyle name="Comma 3 5 3 6" xfId="29332"/>
    <cellStyle name="Comma 3 5 3 7" xfId="29317"/>
    <cellStyle name="Comma 3 5 4" xfId="1585"/>
    <cellStyle name="Comma 3 5 4 2" xfId="3150"/>
    <cellStyle name="Comma 3 5 4 2 2" xfId="9435"/>
    <cellStyle name="Comma 3 5 4 2 2 2" xfId="29336"/>
    <cellStyle name="Comma 3 5 4 2 2 3" xfId="29335"/>
    <cellStyle name="Comma 3 5 4 2 3" xfId="6308"/>
    <cellStyle name="Comma 3 5 4 2 3 2" xfId="29338"/>
    <cellStyle name="Comma 3 5 4 2 3 3" xfId="29337"/>
    <cellStyle name="Comma 3 5 4 2 4" xfId="12618"/>
    <cellStyle name="Comma 3 5 4 2 4 2" xfId="29340"/>
    <cellStyle name="Comma 3 5 4 2 4 3" xfId="29339"/>
    <cellStyle name="Comma 3 5 4 2 5" xfId="29341"/>
    <cellStyle name="Comma 3 5 4 2 6" xfId="29334"/>
    <cellStyle name="Comma 3 5 4 3" xfId="7872"/>
    <cellStyle name="Comma 3 5 4 3 2" xfId="29343"/>
    <cellStyle name="Comma 3 5 4 3 3" xfId="29342"/>
    <cellStyle name="Comma 3 5 4 4" xfId="4745"/>
    <cellStyle name="Comma 3 5 4 4 2" xfId="29345"/>
    <cellStyle name="Comma 3 5 4 4 3" xfId="29344"/>
    <cellStyle name="Comma 3 5 4 5" xfId="11055"/>
    <cellStyle name="Comma 3 5 4 5 2" xfId="29347"/>
    <cellStyle name="Comma 3 5 4 5 3" xfId="29346"/>
    <cellStyle name="Comma 3 5 4 6" xfId="29348"/>
    <cellStyle name="Comma 3 5 4 7" xfId="29333"/>
    <cellStyle name="Comma 3 5 5" xfId="2268"/>
    <cellStyle name="Comma 3 5 5 2" xfId="8553"/>
    <cellStyle name="Comma 3 5 5 2 2" xfId="29351"/>
    <cellStyle name="Comma 3 5 5 2 3" xfId="29350"/>
    <cellStyle name="Comma 3 5 5 3" xfId="5426"/>
    <cellStyle name="Comma 3 5 5 3 2" xfId="29353"/>
    <cellStyle name="Comma 3 5 5 3 3" xfId="29352"/>
    <cellStyle name="Comma 3 5 5 4" xfId="11736"/>
    <cellStyle name="Comma 3 5 5 4 2" xfId="29355"/>
    <cellStyle name="Comma 3 5 5 4 3" xfId="29354"/>
    <cellStyle name="Comma 3 5 5 5" xfId="29356"/>
    <cellStyle name="Comma 3 5 5 6" xfId="29349"/>
    <cellStyle name="Comma 3 5 6" xfId="6990"/>
    <cellStyle name="Comma 3 5 6 2" xfId="29358"/>
    <cellStyle name="Comma 3 5 6 3" xfId="29357"/>
    <cellStyle name="Comma 3 5 7" xfId="3863"/>
    <cellStyle name="Comma 3 5 7 2" xfId="29360"/>
    <cellStyle name="Comma 3 5 7 3" xfId="29359"/>
    <cellStyle name="Comma 3 5 8" xfId="9653"/>
    <cellStyle name="Comma 3 5 8 2" xfId="29362"/>
    <cellStyle name="Comma 3 5 8 3" xfId="29361"/>
    <cellStyle name="Comma 3 5 9" xfId="29363"/>
    <cellStyle name="Comma 3 6" xfId="686"/>
    <cellStyle name="Comma 3 6 2" xfId="29364"/>
    <cellStyle name="Comma 3 7" xfId="687"/>
    <cellStyle name="Comma 3 7 10" xfId="29365"/>
    <cellStyle name="Comma 3 7 2" xfId="688"/>
    <cellStyle name="Comma 3 7 2 2" xfId="1386"/>
    <cellStyle name="Comma 3 7 2 2 2" xfId="2951"/>
    <cellStyle name="Comma 3 7 2 2 2 2" xfId="9236"/>
    <cellStyle name="Comma 3 7 2 2 2 2 2" xfId="29370"/>
    <cellStyle name="Comma 3 7 2 2 2 2 3" xfId="29369"/>
    <cellStyle name="Comma 3 7 2 2 2 3" xfId="6109"/>
    <cellStyle name="Comma 3 7 2 2 2 3 2" xfId="29372"/>
    <cellStyle name="Comma 3 7 2 2 2 3 3" xfId="29371"/>
    <cellStyle name="Comma 3 7 2 2 2 4" xfId="12419"/>
    <cellStyle name="Comma 3 7 2 2 2 4 2" xfId="29374"/>
    <cellStyle name="Comma 3 7 2 2 2 4 3" xfId="29373"/>
    <cellStyle name="Comma 3 7 2 2 2 5" xfId="29375"/>
    <cellStyle name="Comma 3 7 2 2 2 6" xfId="29368"/>
    <cellStyle name="Comma 3 7 2 2 3" xfId="7673"/>
    <cellStyle name="Comma 3 7 2 2 3 2" xfId="29377"/>
    <cellStyle name="Comma 3 7 2 2 3 3" xfId="29376"/>
    <cellStyle name="Comma 3 7 2 2 4" xfId="4546"/>
    <cellStyle name="Comma 3 7 2 2 4 2" xfId="29379"/>
    <cellStyle name="Comma 3 7 2 2 4 3" xfId="29378"/>
    <cellStyle name="Comma 3 7 2 2 5" xfId="10856"/>
    <cellStyle name="Comma 3 7 2 2 5 2" xfId="29381"/>
    <cellStyle name="Comma 3 7 2 2 5 3" xfId="29380"/>
    <cellStyle name="Comma 3 7 2 2 6" xfId="29382"/>
    <cellStyle name="Comma 3 7 2 2 7" xfId="29367"/>
    <cellStyle name="Comma 3 7 2 3" xfId="1588"/>
    <cellStyle name="Comma 3 7 2 3 2" xfId="3153"/>
    <cellStyle name="Comma 3 7 2 3 2 2" xfId="9438"/>
    <cellStyle name="Comma 3 7 2 3 2 2 2" xfId="29386"/>
    <cellStyle name="Comma 3 7 2 3 2 2 3" xfId="29385"/>
    <cellStyle name="Comma 3 7 2 3 2 3" xfId="6311"/>
    <cellStyle name="Comma 3 7 2 3 2 3 2" xfId="29388"/>
    <cellStyle name="Comma 3 7 2 3 2 3 3" xfId="29387"/>
    <cellStyle name="Comma 3 7 2 3 2 4" xfId="12621"/>
    <cellStyle name="Comma 3 7 2 3 2 4 2" xfId="29390"/>
    <cellStyle name="Comma 3 7 2 3 2 4 3" xfId="29389"/>
    <cellStyle name="Comma 3 7 2 3 2 5" xfId="29391"/>
    <cellStyle name="Comma 3 7 2 3 2 6" xfId="29384"/>
    <cellStyle name="Comma 3 7 2 3 3" xfId="7875"/>
    <cellStyle name="Comma 3 7 2 3 3 2" xfId="29393"/>
    <cellStyle name="Comma 3 7 2 3 3 3" xfId="29392"/>
    <cellStyle name="Comma 3 7 2 3 4" xfId="4748"/>
    <cellStyle name="Comma 3 7 2 3 4 2" xfId="29395"/>
    <cellStyle name="Comma 3 7 2 3 4 3" xfId="29394"/>
    <cellStyle name="Comma 3 7 2 3 5" xfId="11058"/>
    <cellStyle name="Comma 3 7 2 3 5 2" xfId="29397"/>
    <cellStyle name="Comma 3 7 2 3 5 3" xfId="29396"/>
    <cellStyle name="Comma 3 7 2 3 6" xfId="29398"/>
    <cellStyle name="Comma 3 7 2 3 7" xfId="29383"/>
    <cellStyle name="Comma 3 7 2 4" xfId="2271"/>
    <cellStyle name="Comma 3 7 2 4 2" xfId="8556"/>
    <cellStyle name="Comma 3 7 2 4 2 2" xfId="29401"/>
    <cellStyle name="Comma 3 7 2 4 2 3" xfId="29400"/>
    <cellStyle name="Comma 3 7 2 4 3" xfId="5429"/>
    <cellStyle name="Comma 3 7 2 4 3 2" xfId="29403"/>
    <cellStyle name="Comma 3 7 2 4 3 3" xfId="29402"/>
    <cellStyle name="Comma 3 7 2 4 4" xfId="11739"/>
    <cellStyle name="Comma 3 7 2 4 4 2" xfId="29405"/>
    <cellStyle name="Comma 3 7 2 4 4 3" xfId="29404"/>
    <cellStyle name="Comma 3 7 2 4 5" xfId="29406"/>
    <cellStyle name="Comma 3 7 2 4 6" xfId="29399"/>
    <cellStyle name="Comma 3 7 2 5" xfId="6993"/>
    <cellStyle name="Comma 3 7 2 5 2" xfId="29408"/>
    <cellStyle name="Comma 3 7 2 5 3" xfId="29407"/>
    <cellStyle name="Comma 3 7 2 6" xfId="3866"/>
    <cellStyle name="Comma 3 7 2 6 2" xfId="29410"/>
    <cellStyle name="Comma 3 7 2 6 3" xfId="29409"/>
    <cellStyle name="Comma 3 7 2 7" xfId="9656"/>
    <cellStyle name="Comma 3 7 2 7 2" xfId="29412"/>
    <cellStyle name="Comma 3 7 2 7 3" xfId="29411"/>
    <cellStyle name="Comma 3 7 2 8" xfId="29413"/>
    <cellStyle name="Comma 3 7 2 9" xfId="29366"/>
    <cellStyle name="Comma 3 7 3" xfId="1385"/>
    <cellStyle name="Comma 3 7 3 2" xfId="2950"/>
    <cellStyle name="Comma 3 7 3 2 2" xfId="9235"/>
    <cellStyle name="Comma 3 7 3 2 2 2" xfId="29417"/>
    <cellStyle name="Comma 3 7 3 2 2 3" xfId="29416"/>
    <cellStyle name="Comma 3 7 3 2 3" xfId="6108"/>
    <cellStyle name="Comma 3 7 3 2 3 2" xfId="29419"/>
    <cellStyle name="Comma 3 7 3 2 3 3" xfId="29418"/>
    <cellStyle name="Comma 3 7 3 2 4" xfId="12418"/>
    <cellStyle name="Comma 3 7 3 2 4 2" xfId="29421"/>
    <cellStyle name="Comma 3 7 3 2 4 3" xfId="29420"/>
    <cellStyle name="Comma 3 7 3 2 5" xfId="29422"/>
    <cellStyle name="Comma 3 7 3 2 6" xfId="29415"/>
    <cellStyle name="Comma 3 7 3 3" xfId="7672"/>
    <cellStyle name="Comma 3 7 3 3 2" xfId="29424"/>
    <cellStyle name="Comma 3 7 3 3 3" xfId="29423"/>
    <cellStyle name="Comma 3 7 3 4" xfId="4545"/>
    <cellStyle name="Comma 3 7 3 4 2" xfId="29426"/>
    <cellStyle name="Comma 3 7 3 4 3" xfId="29425"/>
    <cellStyle name="Comma 3 7 3 5" xfId="10855"/>
    <cellStyle name="Comma 3 7 3 5 2" xfId="29428"/>
    <cellStyle name="Comma 3 7 3 5 3" xfId="29427"/>
    <cellStyle name="Comma 3 7 3 6" xfId="29429"/>
    <cellStyle name="Comma 3 7 3 7" xfId="29414"/>
    <cellStyle name="Comma 3 7 4" xfId="1587"/>
    <cellStyle name="Comma 3 7 4 2" xfId="3152"/>
    <cellStyle name="Comma 3 7 4 2 2" xfId="9437"/>
    <cellStyle name="Comma 3 7 4 2 2 2" xfId="29433"/>
    <cellStyle name="Comma 3 7 4 2 2 3" xfId="29432"/>
    <cellStyle name="Comma 3 7 4 2 3" xfId="6310"/>
    <cellStyle name="Comma 3 7 4 2 3 2" xfId="29435"/>
    <cellStyle name="Comma 3 7 4 2 3 3" xfId="29434"/>
    <cellStyle name="Comma 3 7 4 2 4" xfId="12620"/>
    <cellStyle name="Comma 3 7 4 2 4 2" xfId="29437"/>
    <cellStyle name="Comma 3 7 4 2 4 3" xfId="29436"/>
    <cellStyle name="Comma 3 7 4 2 5" xfId="29438"/>
    <cellStyle name="Comma 3 7 4 2 6" xfId="29431"/>
    <cellStyle name="Comma 3 7 4 3" xfId="7874"/>
    <cellStyle name="Comma 3 7 4 3 2" xfId="29440"/>
    <cellStyle name="Comma 3 7 4 3 3" xfId="29439"/>
    <cellStyle name="Comma 3 7 4 4" xfId="4747"/>
    <cellStyle name="Comma 3 7 4 4 2" xfId="29442"/>
    <cellStyle name="Comma 3 7 4 4 3" xfId="29441"/>
    <cellStyle name="Comma 3 7 4 5" xfId="11057"/>
    <cellStyle name="Comma 3 7 4 5 2" xfId="29444"/>
    <cellStyle name="Comma 3 7 4 5 3" xfId="29443"/>
    <cellStyle name="Comma 3 7 4 6" xfId="29445"/>
    <cellStyle name="Comma 3 7 4 7" xfId="29430"/>
    <cellStyle name="Comma 3 7 5" xfId="2270"/>
    <cellStyle name="Comma 3 7 5 2" xfId="8555"/>
    <cellStyle name="Comma 3 7 5 2 2" xfId="29448"/>
    <cellStyle name="Comma 3 7 5 2 3" xfId="29447"/>
    <cellStyle name="Comma 3 7 5 3" xfId="5428"/>
    <cellStyle name="Comma 3 7 5 3 2" xfId="29450"/>
    <cellStyle name="Comma 3 7 5 3 3" xfId="29449"/>
    <cellStyle name="Comma 3 7 5 4" xfId="11738"/>
    <cellStyle name="Comma 3 7 5 4 2" xfId="29452"/>
    <cellStyle name="Comma 3 7 5 4 3" xfId="29451"/>
    <cellStyle name="Comma 3 7 5 5" xfId="29453"/>
    <cellStyle name="Comma 3 7 5 6" xfId="29446"/>
    <cellStyle name="Comma 3 7 6" xfId="6992"/>
    <cellStyle name="Comma 3 7 6 2" xfId="29455"/>
    <cellStyle name="Comma 3 7 6 3" xfId="29454"/>
    <cellStyle name="Comma 3 7 7" xfId="3865"/>
    <cellStyle name="Comma 3 7 7 2" xfId="29457"/>
    <cellStyle name="Comma 3 7 7 3" xfId="29456"/>
    <cellStyle name="Comma 3 7 8" xfId="9655"/>
    <cellStyle name="Comma 3 7 8 2" xfId="29459"/>
    <cellStyle name="Comma 3 7 8 3" xfId="29458"/>
    <cellStyle name="Comma 3 7 9" xfId="29460"/>
    <cellStyle name="Comma 3 8" xfId="689"/>
    <cellStyle name="Comma 3 8 2" xfId="1387"/>
    <cellStyle name="Comma 3 8 2 2" xfId="2952"/>
    <cellStyle name="Comma 3 8 2 2 2" xfId="9237"/>
    <cellStyle name="Comma 3 8 2 2 2 2" xfId="29465"/>
    <cellStyle name="Comma 3 8 2 2 2 3" xfId="29464"/>
    <cellStyle name="Comma 3 8 2 2 3" xfId="6110"/>
    <cellStyle name="Comma 3 8 2 2 3 2" xfId="29467"/>
    <cellStyle name="Comma 3 8 2 2 3 3" xfId="29466"/>
    <cellStyle name="Comma 3 8 2 2 4" xfId="12420"/>
    <cellStyle name="Comma 3 8 2 2 4 2" xfId="29469"/>
    <cellStyle name="Comma 3 8 2 2 4 3" xfId="29468"/>
    <cellStyle name="Comma 3 8 2 2 5" xfId="29470"/>
    <cellStyle name="Comma 3 8 2 2 6" xfId="29463"/>
    <cellStyle name="Comma 3 8 2 3" xfId="7674"/>
    <cellStyle name="Comma 3 8 2 3 2" xfId="29472"/>
    <cellStyle name="Comma 3 8 2 3 3" xfId="29471"/>
    <cellStyle name="Comma 3 8 2 4" xfId="4547"/>
    <cellStyle name="Comma 3 8 2 4 2" xfId="29474"/>
    <cellStyle name="Comma 3 8 2 4 3" xfId="29473"/>
    <cellStyle name="Comma 3 8 2 5" xfId="10857"/>
    <cellStyle name="Comma 3 8 2 5 2" xfId="29476"/>
    <cellStyle name="Comma 3 8 2 5 3" xfId="29475"/>
    <cellStyle name="Comma 3 8 2 6" xfId="29477"/>
    <cellStyle name="Comma 3 8 2 7" xfId="29462"/>
    <cellStyle name="Comma 3 8 3" xfId="1589"/>
    <cellStyle name="Comma 3 8 3 2" xfId="3154"/>
    <cellStyle name="Comma 3 8 3 2 2" xfId="9439"/>
    <cellStyle name="Comma 3 8 3 2 2 2" xfId="29481"/>
    <cellStyle name="Comma 3 8 3 2 2 3" xfId="29480"/>
    <cellStyle name="Comma 3 8 3 2 3" xfId="6312"/>
    <cellStyle name="Comma 3 8 3 2 3 2" xfId="29483"/>
    <cellStyle name="Comma 3 8 3 2 3 3" xfId="29482"/>
    <cellStyle name="Comma 3 8 3 2 4" xfId="12622"/>
    <cellStyle name="Comma 3 8 3 2 4 2" xfId="29485"/>
    <cellStyle name="Comma 3 8 3 2 4 3" xfId="29484"/>
    <cellStyle name="Comma 3 8 3 2 5" xfId="29486"/>
    <cellStyle name="Comma 3 8 3 2 6" xfId="29479"/>
    <cellStyle name="Comma 3 8 3 3" xfId="7876"/>
    <cellStyle name="Comma 3 8 3 3 2" xfId="29488"/>
    <cellStyle name="Comma 3 8 3 3 3" xfId="29487"/>
    <cellStyle name="Comma 3 8 3 4" xfId="4749"/>
    <cellStyle name="Comma 3 8 3 4 2" xfId="29490"/>
    <cellStyle name="Comma 3 8 3 4 3" xfId="29489"/>
    <cellStyle name="Comma 3 8 3 5" xfId="11059"/>
    <cellStyle name="Comma 3 8 3 5 2" xfId="29492"/>
    <cellStyle name="Comma 3 8 3 5 3" xfId="29491"/>
    <cellStyle name="Comma 3 8 3 6" xfId="29493"/>
    <cellStyle name="Comma 3 8 3 7" xfId="29478"/>
    <cellStyle name="Comma 3 8 4" xfId="2272"/>
    <cellStyle name="Comma 3 8 4 2" xfId="8557"/>
    <cellStyle name="Comma 3 8 4 2 2" xfId="29496"/>
    <cellStyle name="Comma 3 8 4 2 3" xfId="29495"/>
    <cellStyle name="Comma 3 8 4 3" xfId="5430"/>
    <cellStyle name="Comma 3 8 4 3 2" xfId="29498"/>
    <cellStyle name="Comma 3 8 4 3 3" xfId="29497"/>
    <cellStyle name="Comma 3 8 4 4" xfId="11740"/>
    <cellStyle name="Comma 3 8 4 4 2" xfId="29500"/>
    <cellStyle name="Comma 3 8 4 4 3" xfId="29499"/>
    <cellStyle name="Comma 3 8 4 5" xfId="29501"/>
    <cellStyle name="Comma 3 8 4 6" xfId="29494"/>
    <cellStyle name="Comma 3 8 5" xfId="6994"/>
    <cellStyle name="Comma 3 8 5 2" xfId="29503"/>
    <cellStyle name="Comma 3 8 5 3" xfId="29502"/>
    <cellStyle name="Comma 3 8 6" xfId="3867"/>
    <cellStyle name="Comma 3 8 6 2" xfId="29505"/>
    <cellStyle name="Comma 3 8 6 3" xfId="29504"/>
    <cellStyle name="Comma 3 8 7" xfId="9657"/>
    <cellStyle name="Comma 3 8 7 2" xfId="29507"/>
    <cellStyle name="Comma 3 8 7 3" xfId="29506"/>
    <cellStyle name="Comma 3 8 8" xfId="29508"/>
    <cellStyle name="Comma 3 8 9" xfId="29461"/>
    <cellStyle name="Comma 3 9" xfId="674"/>
    <cellStyle name="Comma 3 9 2" xfId="29509"/>
    <cellStyle name="Comma 4" xfId="196"/>
    <cellStyle name="Comma 4 10" xfId="9658"/>
    <cellStyle name="Comma 4 10 2" xfId="29512"/>
    <cellStyle name="Comma 4 10 3" xfId="29511"/>
    <cellStyle name="Comma 4 11" xfId="29510"/>
    <cellStyle name="Comma 4 12" xfId="38159"/>
    <cellStyle name="Comma 4 2" xfId="691"/>
    <cellStyle name="Comma 4 2 10" xfId="29514"/>
    <cellStyle name="Comma 4 2 11" xfId="29513"/>
    <cellStyle name="Comma 4 2 2" xfId="692"/>
    <cellStyle name="Comma 4 2 2 10" xfId="29515"/>
    <cellStyle name="Comma 4 2 2 2" xfId="693"/>
    <cellStyle name="Comma 4 2 2 2 2" xfId="1391"/>
    <cellStyle name="Comma 4 2 2 2 2 2" xfId="2956"/>
    <cellStyle name="Comma 4 2 2 2 2 2 2" xfId="9241"/>
    <cellStyle name="Comma 4 2 2 2 2 2 2 2" xfId="29520"/>
    <cellStyle name="Comma 4 2 2 2 2 2 2 3" xfId="29519"/>
    <cellStyle name="Comma 4 2 2 2 2 2 3" xfId="6114"/>
    <cellStyle name="Comma 4 2 2 2 2 2 3 2" xfId="29522"/>
    <cellStyle name="Comma 4 2 2 2 2 2 3 3" xfId="29521"/>
    <cellStyle name="Comma 4 2 2 2 2 2 4" xfId="12424"/>
    <cellStyle name="Comma 4 2 2 2 2 2 4 2" xfId="29524"/>
    <cellStyle name="Comma 4 2 2 2 2 2 4 3" xfId="29523"/>
    <cellStyle name="Comma 4 2 2 2 2 2 5" xfId="29525"/>
    <cellStyle name="Comma 4 2 2 2 2 2 6" xfId="29518"/>
    <cellStyle name="Comma 4 2 2 2 2 3" xfId="7678"/>
    <cellStyle name="Comma 4 2 2 2 2 3 2" xfId="29527"/>
    <cellStyle name="Comma 4 2 2 2 2 3 3" xfId="29526"/>
    <cellStyle name="Comma 4 2 2 2 2 4" xfId="4551"/>
    <cellStyle name="Comma 4 2 2 2 2 4 2" xfId="29529"/>
    <cellStyle name="Comma 4 2 2 2 2 4 3" xfId="29528"/>
    <cellStyle name="Comma 4 2 2 2 2 5" xfId="10861"/>
    <cellStyle name="Comma 4 2 2 2 2 5 2" xfId="29531"/>
    <cellStyle name="Comma 4 2 2 2 2 5 3" xfId="29530"/>
    <cellStyle name="Comma 4 2 2 2 2 6" xfId="29532"/>
    <cellStyle name="Comma 4 2 2 2 2 7" xfId="29517"/>
    <cellStyle name="Comma 4 2 2 2 3" xfId="1593"/>
    <cellStyle name="Comma 4 2 2 2 3 2" xfId="3158"/>
    <cellStyle name="Comma 4 2 2 2 3 2 2" xfId="9443"/>
    <cellStyle name="Comma 4 2 2 2 3 2 2 2" xfId="29536"/>
    <cellStyle name="Comma 4 2 2 2 3 2 2 3" xfId="29535"/>
    <cellStyle name="Comma 4 2 2 2 3 2 3" xfId="6316"/>
    <cellStyle name="Comma 4 2 2 2 3 2 3 2" xfId="29538"/>
    <cellStyle name="Comma 4 2 2 2 3 2 3 3" xfId="29537"/>
    <cellStyle name="Comma 4 2 2 2 3 2 4" xfId="12626"/>
    <cellStyle name="Comma 4 2 2 2 3 2 4 2" xfId="29540"/>
    <cellStyle name="Comma 4 2 2 2 3 2 4 3" xfId="29539"/>
    <cellStyle name="Comma 4 2 2 2 3 2 5" xfId="29541"/>
    <cellStyle name="Comma 4 2 2 2 3 2 6" xfId="29534"/>
    <cellStyle name="Comma 4 2 2 2 3 3" xfId="7880"/>
    <cellStyle name="Comma 4 2 2 2 3 3 2" xfId="29543"/>
    <cellStyle name="Comma 4 2 2 2 3 3 3" xfId="29542"/>
    <cellStyle name="Comma 4 2 2 2 3 4" xfId="4753"/>
    <cellStyle name="Comma 4 2 2 2 3 4 2" xfId="29545"/>
    <cellStyle name="Comma 4 2 2 2 3 4 3" xfId="29544"/>
    <cellStyle name="Comma 4 2 2 2 3 5" xfId="11063"/>
    <cellStyle name="Comma 4 2 2 2 3 5 2" xfId="29547"/>
    <cellStyle name="Comma 4 2 2 2 3 5 3" xfId="29546"/>
    <cellStyle name="Comma 4 2 2 2 3 6" xfId="29548"/>
    <cellStyle name="Comma 4 2 2 2 3 7" xfId="29533"/>
    <cellStyle name="Comma 4 2 2 2 4" xfId="2276"/>
    <cellStyle name="Comma 4 2 2 2 4 2" xfId="8561"/>
    <cellStyle name="Comma 4 2 2 2 4 2 2" xfId="29551"/>
    <cellStyle name="Comma 4 2 2 2 4 2 3" xfId="29550"/>
    <cellStyle name="Comma 4 2 2 2 4 3" xfId="5434"/>
    <cellStyle name="Comma 4 2 2 2 4 3 2" xfId="29553"/>
    <cellStyle name="Comma 4 2 2 2 4 3 3" xfId="29552"/>
    <cellStyle name="Comma 4 2 2 2 4 4" xfId="11744"/>
    <cellStyle name="Comma 4 2 2 2 4 4 2" xfId="29555"/>
    <cellStyle name="Comma 4 2 2 2 4 4 3" xfId="29554"/>
    <cellStyle name="Comma 4 2 2 2 4 5" xfId="29556"/>
    <cellStyle name="Comma 4 2 2 2 4 6" xfId="29549"/>
    <cellStyle name="Comma 4 2 2 2 5" xfId="6998"/>
    <cellStyle name="Comma 4 2 2 2 5 2" xfId="29558"/>
    <cellStyle name="Comma 4 2 2 2 5 3" xfId="29557"/>
    <cellStyle name="Comma 4 2 2 2 6" xfId="3871"/>
    <cellStyle name="Comma 4 2 2 2 6 2" xfId="29560"/>
    <cellStyle name="Comma 4 2 2 2 6 3" xfId="29559"/>
    <cellStyle name="Comma 4 2 2 2 7" xfId="9661"/>
    <cellStyle name="Comma 4 2 2 2 7 2" xfId="29562"/>
    <cellStyle name="Comma 4 2 2 2 7 3" xfId="29561"/>
    <cellStyle name="Comma 4 2 2 2 8" xfId="29563"/>
    <cellStyle name="Comma 4 2 2 2 9" xfId="29516"/>
    <cellStyle name="Comma 4 2 2 3" xfId="1390"/>
    <cellStyle name="Comma 4 2 2 3 2" xfId="2955"/>
    <cellStyle name="Comma 4 2 2 3 2 2" xfId="9240"/>
    <cellStyle name="Comma 4 2 2 3 2 2 2" xfId="29567"/>
    <cellStyle name="Comma 4 2 2 3 2 2 3" xfId="29566"/>
    <cellStyle name="Comma 4 2 2 3 2 3" xfId="6113"/>
    <cellStyle name="Comma 4 2 2 3 2 3 2" xfId="29569"/>
    <cellStyle name="Comma 4 2 2 3 2 3 3" xfId="29568"/>
    <cellStyle name="Comma 4 2 2 3 2 4" xfId="12423"/>
    <cellStyle name="Comma 4 2 2 3 2 4 2" xfId="29571"/>
    <cellStyle name="Comma 4 2 2 3 2 4 3" xfId="29570"/>
    <cellStyle name="Comma 4 2 2 3 2 5" xfId="29572"/>
    <cellStyle name="Comma 4 2 2 3 2 6" xfId="29565"/>
    <cellStyle name="Comma 4 2 2 3 3" xfId="7677"/>
    <cellStyle name="Comma 4 2 2 3 3 2" xfId="29574"/>
    <cellStyle name="Comma 4 2 2 3 3 3" xfId="29573"/>
    <cellStyle name="Comma 4 2 2 3 4" xfId="4550"/>
    <cellStyle name="Comma 4 2 2 3 4 2" xfId="29576"/>
    <cellStyle name="Comma 4 2 2 3 4 3" xfId="29575"/>
    <cellStyle name="Comma 4 2 2 3 5" xfId="10860"/>
    <cellStyle name="Comma 4 2 2 3 5 2" xfId="29578"/>
    <cellStyle name="Comma 4 2 2 3 5 3" xfId="29577"/>
    <cellStyle name="Comma 4 2 2 3 6" xfId="29579"/>
    <cellStyle name="Comma 4 2 2 3 7" xfId="29564"/>
    <cellStyle name="Comma 4 2 2 4" xfId="1592"/>
    <cellStyle name="Comma 4 2 2 4 2" xfId="3157"/>
    <cellStyle name="Comma 4 2 2 4 2 2" xfId="9442"/>
    <cellStyle name="Comma 4 2 2 4 2 2 2" xfId="29583"/>
    <cellStyle name="Comma 4 2 2 4 2 2 3" xfId="29582"/>
    <cellStyle name="Comma 4 2 2 4 2 3" xfId="6315"/>
    <cellStyle name="Comma 4 2 2 4 2 3 2" xfId="29585"/>
    <cellStyle name="Comma 4 2 2 4 2 3 3" xfId="29584"/>
    <cellStyle name="Comma 4 2 2 4 2 4" xfId="12625"/>
    <cellStyle name="Comma 4 2 2 4 2 4 2" xfId="29587"/>
    <cellStyle name="Comma 4 2 2 4 2 4 3" xfId="29586"/>
    <cellStyle name="Comma 4 2 2 4 2 5" xfId="29588"/>
    <cellStyle name="Comma 4 2 2 4 2 6" xfId="29581"/>
    <cellStyle name="Comma 4 2 2 4 3" xfId="7879"/>
    <cellStyle name="Comma 4 2 2 4 3 2" xfId="29590"/>
    <cellStyle name="Comma 4 2 2 4 3 3" xfId="29589"/>
    <cellStyle name="Comma 4 2 2 4 4" xfId="4752"/>
    <cellStyle name="Comma 4 2 2 4 4 2" xfId="29592"/>
    <cellStyle name="Comma 4 2 2 4 4 3" xfId="29591"/>
    <cellStyle name="Comma 4 2 2 4 5" xfId="11062"/>
    <cellStyle name="Comma 4 2 2 4 5 2" xfId="29594"/>
    <cellStyle name="Comma 4 2 2 4 5 3" xfId="29593"/>
    <cellStyle name="Comma 4 2 2 4 6" xfId="29595"/>
    <cellStyle name="Comma 4 2 2 4 7" xfId="29580"/>
    <cellStyle name="Comma 4 2 2 5" xfId="2275"/>
    <cellStyle name="Comma 4 2 2 5 2" xfId="8560"/>
    <cellStyle name="Comma 4 2 2 5 2 2" xfId="29598"/>
    <cellStyle name="Comma 4 2 2 5 2 3" xfId="29597"/>
    <cellStyle name="Comma 4 2 2 5 3" xfId="5433"/>
    <cellStyle name="Comma 4 2 2 5 3 2" xfId="29600"/>
    <cellStyle name="Comma 4 2 2 5 3 3" xfId="29599"/>
    <cellStyle name="Comma 4 2 2 5 4" xfId="11743"/>
    <cellStyle name="Comma 4 2 2 5 4 2" xfId="29602"/>
    <cellStyle name="Comma 4 2 2 5 4 3" xfId="29601"/>
    <cellStyle name="Comma 4 2 2 5 5" xfId="29603"/>
    <cellStyle name="Comma 4 2 2 5 6" xfId="29596"/>
    <cellStyle name="Comma 4 2 2 6" xfId="6997"/>
    <cellStyle name="Comma 4 2 2 6 2" xfId="29605"/>
    <cellStyle name="Comma 4 2 2 6 3" xfId="29604"/>
    <cellStyle name="Comma 4 2 2 7" xfId="3870"/>
    <cellStyle name="Comma 4 2 2 7 2" xfId="29607"/>
    <cellStyle name="Comma 4 2 2 7 3" xfId="29606"/>
    <cellStyle name="Comma 4 2 2 8" xfId="9660"/>
    <cellStyle name="Comma 4 2 2 8 2" xfId="29609"/>
    <cellStyle name="Comma 4 2 2 8 3" xfId="29608"/>
    <cellStyle name="Comma 4 2 2 9" xfId="29610"/>
    <cellStyle name="Comma 4 2 3" xfId="694"/>
    <cellStyle name="Comma 4 2 3 2" xfId="1392"/>
    <cellStyle name="Comma 4 2 3 2 2" xfId="2957"/>
    <cellStyle name="Comma 4 2 3 2 2 2" xfId="9242"/>
    <cellStyle name="Comma 4 2 3 2 2 2 2" xfId="29615"/>
    <cellStyle name="Comma 4 2 3 2 2 2 3" xfId="29614"/>
    <cellStyle name="Comma 4 2 3 2 2 3" xfId="6115"/>
    <cellStyle name="Comma 4 2 3 2 2 3 2" xfId="29617"/>
    <cellStyle name="Comma 4 2 3 2 2 3 3" xfId="29616"/>
    <cellStyle name="Comma 4 2 3 2 2 4" xfId="12425"/>
    <cellStyle name="Comma 4 2 3 2 2 4 2" xfId="29619"/>
    <cellStyle name="Comma 4 2 3 2 2 4 3" xfId="29618"/>
    <cellStyle name="Comma 4 2 3 2 2 5" xfId="29620"/>
    <cellStyle name="Comma 4 2 3 2 2 6" xfId="29613"/>
    <cellStyle name="Comma 4 2 3 2 3" xfId="7679"/>
    <cellStyle name="Comma 4 2 3 2 3 2" xfId="29622"/>
    <cellStyle name="Comma 4 2 3 2 3 3" xfId="29621"/>
    <cellStyle name="Comma 4 2 3 2 4" xfId="4552"/>
    <cellStyle name="Comma 4 2 3 2 4 2" xfId="29624"/>
    <cellStyle name="Comma 4 2 3 2 4 3" xfId="29623"/>
    <cellStyle name="Comma 4 2 3 2 5" xfId="10862"/>
    <cellStyle name="Comma 4 2 3 2 5 2" xfId="29626"/>
    <cellStyle name="Comma 4 2 3 2 5 3" xfId="29625"/>
    <cellStyle name="Comma 4 2 3 2 6" xfId="29627"/>
    <cellStyle name="Comma 4 2 3 2 7" xfId="29612"/>
    <cellStyle name="Comma 4 2 3 3" xfId="1594"/>
    <cellStyle name="Comma 4 2 3 3 2" xfId="3159"/>
    <cellStyle name="Comma 4 2 3 3 2 2" xfId="9444"/>
    <cellStyle name="Comma 4 2 3 3 2 2 2" xfId="29631"/>
    <cellStyle name="Comma 4 2 3 3 2 2 3" xfId="29630"/>
    <cellStyle name="Comma 4 2 3 3 2 3" xfId="6317"/>
    <cellStyle name="Comma 4 2 3 3 2 3 2" xfId="29633"/>
    <cellStyle name="Comma 4 2 3 3 2 3 3" xfId="29632"/>
    <cellStyle name="Comma 4 2 3 3 2 4" xfId="12627"/>
    <cellStyle name="Comma 4 2 3 3 2 4 2" xfId="29635"/>
    <cellStyle name="Comma 4 2 3 3 2 4 3" xfId="29634"/>
    <cellStyle name="Comma 4 2 3 3 2 5" xfId="29636"/>
    <cellStyle name="Comma 4 2 3 3 2 6" xfId="29629"/>
    <cellStyle name="Comma 4 2 3 3 3" xfId="7881"/>
    <cellStyle name="Comma 4 2 3 3 3 2" xfId="29638"/>
    <cellStyle name="Comma 4 2 3 3 3 3" xfId="29637"/>
    <cellStyle name="Comma 4 2 3 3 4" xfId="4754"/>
    <cellStyle name="Comma 4 2 3 3 4 2" xfId="29640"/>
    <cellStyle name="Comma 4 2 3 3 4 3" xfId="29639"/>
    <cellStyle name="Comma 4 2 3 3 5" xfId="11064"/>
    <cellStyle name="Comma 4 2 3 3 5 2" xfId="29642"/>
    <cellStyle name="Comma 4 2 3 3 5 3" xfId="29641"/>
    <cellStyle name="Comma 4 2 3 3 6" xfId="29643"/>
    <cellStyle name="Comma 4 2 3 3 7" xfId="29628"/>
    <cellStyle name="Comma 4 2 3 4" xfId="2277"/>
    <cellStyle name="Comma 4 2 3 4 2" xfId="8562"/>
    <cellStyle name="Comma 4 2 3 4 2 2" xfId="29646"/>
    <cellStyle name="Comma 4 2 3 4 2 3" xfId="29645"/>
    <cellStyle name="Comma 4 2 3 4 3" xfId="5435"/>
    <cellStyle name="Comma 4 2 3 4 3 2" xfId="29648"/>
    <cellStyle name="Comma 4 2 3 4 3 3" xfId="29647"/>
    <cellStyle name="Comma 4 2 3 4 4" xfId="11745"/>
    <cellStyle name="Comma 4 2 3 4 4 2" xfId="29650"/>
    <cellStyle name="Comma 4 2 3 4 4 3" xfId="29649"/>
    <cellStyle name="Comma 4 2 3 4 5" xfId="29651"/>
    <cellStyle name="Comma 4 2 3 4 6" xfId="29644"/>
    <cellStyle name="Comma 4 2 3 5" xfId="6999"/>
    <cellStyle name="Comma 4 2 3 5 2" xfId="29653"/>
    <cellStyle name="Comma 4 2 3 5 3" xfId="29652"/>
    <cellStyle name="Comma 4 2 3 6" xfId="3872"/>
    <cellStyle name="Comma 4 2 3 6 2" xfId="29655"/>
    <cellStyle name="Comma 4 2 3 6 3" xfId="29654"/>
    <cellStyle name="Comma 4 2 3 7" xfId="9662"/>
    <cellStyle name="Comma 4 2 3 7 2" xfId="29657"/>
    <cellStyle name="Comma 4 2 3 7 3" xfId="29656"/>
    <cellStyle name="Comma 4 2 3 8" xfId="29658"/>
    <cellStyle name="Comma 4 2 3 9" xfId="29611"/>
    <cellStyle name="Comma 4 2 4" xfId="1389"/>
    <cellStyle name="Comma 4 2 4 2" xfId="2954"/>
    <cellStyle name="Comma 4 2 4 2 2" xfId="9239"/>
    <cellStyle name="Comma 4 2 4 2 2 2" xfId="29662"/>
    <cellStyle name="Comma 4 2 4 2 2 3" xfId="29661"/>
    <cellStyle name="Comma 4 2 4 2 3" xfId="6112"/>
    <cellStyle name="Comma 4 2 4 2 3 2" xfId="29664"/>
    <cellStyle name="Comma 4 2 4 2 3 3" xfId="29663"/>
    <cellStyle name="Comma 4 2 4 2 4" xfId="12422"/>
    <cellStyle name="Comma 4 2 4 2 4 2" xfId="29666"/>
    <cellStyle name="Comma 4 2 4 2 4 3" xfId="29665"/>
    <cellStyle name="Comma 4 2 4 2 5" xfId="29667"/>
    <cellStyle name="Comma 4 2 4 2 6" xfId="29660"/>
    <cellStyle name="Comma 4 2 4 3" xfId="7676"/>
    <cellStyle name="Comma 4 2 4 3 2" xfId="29669"/>
    <cellStyle name="Comma 4 2 4 3 3" xfId="29668"/>
    <cellStyle name="Comma 4 2 4 4" xfId="4549"/>
    <cellStyle name="Comma 4 2 4 4 2" xfId="29671"/>
    <cellStyle name="Comma 4 2 4 4 3" xfId="29670"/>
    <cellStyle name="Comma 4 2 4 5" xfId="10859"/>
    <cellStyle name="Comma 4 2 4 5 2" xfId="29673"/>
    <cellStyle name="Comma 4 2 4 5 3" xfId="29672"/>
    <cellStyle name="Comma 4 2 4 6" xfId="29674"/>
    <cellStyle name="Comma 4 2 4 7" xfId="29659"/>
    <cellStyle name="Comma 4 2 5" xfId="1591"/>
    <cellStyle name="Comma 4 2 5 2" xfId="3156"/>
    <cellStyle name="Comma 4 2 5 2 2" xfId="9441"/>
    <cellStyle name="Comma 4 2 5 2 2 2" xfId="29678"/>
    <cellStyle name="Comma 4 2 5 2 2 3" xfId="29677"/>
    <cellStyle name="Comma 4 2 5 2 3" xfId="6314"/>
    <cellStyle name="Comma 4 2 5 2 3 2" xfId="29680"/>
    <cellStyle name="Comma 4 2 5 2 3 3" xfId="29679"/>
    <cellStyle name="Comma 4 2 5 2 4" xfId="12624"/>
    <cellStyle name="Comma 4 2 5 2 4 2" xfId="29682"/>
    <cellStyle name="Comma 4 2 5 2 4 3" xfId="29681"/>
    <cellStyle name="Comma 4 2 5 2 5" xfId="29683"/>
    <cellStyle name="Comma 4 2 5 2 6" xfId="29676"/>
    <cellStyle name="Comma 4 2 5 3" xfId="7878"/>
    <cellStyle name="Comma 4 2 5 3 2" xfId="29685"/>
    <cellStyle name="Comma 4 2 5 3 3" xfId="29684"/>
    <cellStyle name="Comma 4 2 5 4" xfId="4751"/>
    <cellStyle name="Comma 4 2 5 4 2" xfId="29687"/>
    <cellStyle name="Comma 4 2 5 4 3" xfId="29686"/>
    <cellStyle name="Comma 4 2 5 5" xfId="11061"/>
    <cellStyle name="Comma 4 2 5 5 2" xfId="29689"/>
    <cellStyle name="Comma 4 2 5 5 3" xfId="29688"/>
    <cellStyle name="Comma 4 2 5 6" xfId="29690"/>
    <cellStyle name="Comma 4 2 5 7" xfId="29675"/>
    <cellStyle name="Comma 4 2 6" xfId="2274"/>
    <cellStyle name="Comma 4 2 6 2" xfId="8559"/>
    <cellStyle name="Comma 4 2 6 2 2" xfId="29693"/>
    <cellStyle name="Comma 4 2 6 2 3" xfId="29692"/>
    <cellStyle name="Comma 4 2 6 3" xfId="5432"/>
    <cellStyle name="Comma 4 2 6 3 2" xfId="29695"/>
    <cellStyle name="Comma 4 2 6 3 3" xfId="29694"/>
    <cellStyle name="Comma 4 2 6 4" xfId="11742"/>
    <cellStyle name="Comma 4 2 6 4 2" xfId="29697"/>
    <cellStyle name="Comma 4 2 6 4 3" xfId="29696"/>
    <cellStyle name="Comma 4 2 6 5" xfId="29698"/>
    <cellStyle name="Comma 4 2 6 6" xfId="29691"/>
    <cellStyle name="Comma 4 2 7" xfId="6996"/>
    <cellStyle name="Comma 4 2 7 2" xfId="29700"/>
    <cellStyle name="Comma 4 2 7 3" xfId="29699"/>
    <cellStyle name="Comma 4 2 8" xfId="3869"/>
    <cellStyle name="Comma 4 2 8 2" xfId="29702"/>
    <cellStyle name="Comma 4 2 8 3" xfId="29701"/>
    <cellStyle name="Comma 4 2 9" xfId="9659"/>
    <cellStyle name="Comma 4 2 9 2" xfId="29704"/>
    <cellStyle name="Comma 4 2 9 3" xfId="29703"/>
    <cellStyle name="Comma 4 3" xfId="695"/>
    <cellStyle name="Comma 4 3 10" xfId="29706"/>
    <cellStyle name="Comma 4 3 11" xfId="29705"/>
    <cellStyle name="Comma 4 3 2" xfId="696"/>
    <cellStyle name="Comma 4 3 2 10" xfId="29707"/>
    <cellStyle name="Comma 4 3 2 2" xfId="697"/>
    <cellStyle name="Comma 4 3 2 2 2" xfId="1395"/>
    <cellStyle name="Comma 4 3 2 2 2 2" xfId="2960"/>
    <cellStyle name="Comma 4 3 2 2 2 2 2" xfId="9245"/>
    <cellStyle name="Comma 4 3 2 2 2 2 2 2" xfId="29712"/>
    <cellStyle name="Comma 4 3 2 2 2 2 2 3" xfId="29711"/>
    <cellStyle name="Comma 4 3 2 2 2 2 3" xfId="6118"/>
    <cellStyle name="Comma 4 3 2 2 2 2 3 2" xfId="29714"/>
    <cellStyle name="Comma 4 3 2 2 2 2 3 3" xfId="29713"/>
    <cellStyle name="Comma 4 3 2 2 2 2 4" xfId="12428"/>
    <cellStyle name="Comma 4 3 2 2 2 2 4 2" xfId="29716"/>
    <cellStyle name="Comma 4 3 2 2 2 2 4 3" xfId="29715"/>
    <cellStyle name="Comma 4 3 2 2 2 2 5" xfId="29717"/>
    <cellStyle name="Comma 4 3 2 2 2 2 6" xfId="29710"/>
    <cellStyle name="Comma 4 3 2 2 2 3" xfId="7682"/>
    <cellStyle name="Comma 4 3 2 2 2 3 2" xfId="29719"/>
    <cellStyle name="Comma 4 3 2 2 2 3 3" xfId="29718"/>
    <cellStyle name="Comma 4 3 2 2 2 4" xfId="4555"/>
    <cellStyle name="Comma 4 3 2 2 2 4 2" xfId="29721"/>
    <cellStyle name="Comma 4 3 2 2 2 4 3" xfId="29720"/>
    <cellStyle name="Comma 4 3 2 2 2 5" xfId="10865"/>
    <cellStyle name="Comma 4 3 2 2 2 5 2" xfId="29723"/>
    <cellStyle name="Comma 4 3 2 2 2 5 3" xfId="29722"/>
    <cellStyle name="Comma 4 3 2 2 2 6" xfId="29724"/>
    <cellStyle name="Comma 4 3 2 2 2 7" xfId="29709"/>
    <cellStyle name="Comma 4 3 2 2 3" xfId="1597"/>
    <cellStyle name="Comma 4 3 2 2 3 2" xfId="3162"/>
    <cellStyle name="Comma 4 3 2 2 3 2 2" xfId="9447"/>
    <cellStyle name="Comma 4 3 2 2 3 2 2 2" xfId="29728"/>
    <cellStyle name="Comma 4 3 2 2 3 2 2 3" xfId="29727"/>
    <cellStyle name="Comma 4 3 2 2 3 2 3" xfId="6320"/>
    <cellStyle name="Comma 4 3 2 2 3 2 3 2" xfId="29730"/>
    <cellStyle name="Comma 4 3 2 2 3 2 3 3" xfId="29729"/>
    <cellStyle name="Comma 4 3 2 2 3 2 4" xfId="12630"/>
    <cellStyle name="Comma 4 3 2 2 3 2 4 2" xfId="29732"/>
    <cellStyle name="Comma 4 3 2 2 3 2 4 3" xfId="29731"/>
    <cellStyle name="Comma 4 3 2 2 3 2 5" xfId="29733"/>
    <cellStyle name="Comma 4 3 2 2 3 2 6" xfId="29726"/>
    <cellStyle name="Comma 4 3 2 2 3 3" xfId="7884"/>
    <cellStyle name="Comma 4 3 2 2 3 3 2" xfId="29735"/>
    <cellStyle name="Comma 4 3 2 2 3 3 3" xfId="29734"/>
    <cellStyle name="Comma 4 3 2 2 3 4" xfId="4757"/>
    <cellStyle name="Comma 4 3 2 2 3 4 2" xfId="29737"/>
    <cellStyle name="Comma 4 3 2 2 3 4 3" xfId="29736"/>
    <cellStyle name="Comma 4 3 2 2 3 5" xfId="11067"/>
    <cellStyle name="Comma 4 3 2 2 3 5 2" xfId="29739"/>
    <cellStyle name="Comma 4 3 2 2 3 5 3" xfId="29738"/>
    <cellStyle name="Comma 4 3 2 2 3 6" xfId="29740"/>
    <cellStyle name="Comma 4 3 2 2 3 7" xfId="29725"/>
    <cellStyle name="Comma 4 3 2 2 4" xfId="2280"/>
    <cellStyle name="Comma 4 3 2 2 4 2" xfId="8565"/>
    <cellStyle name="Comma 4 3 2 2 4 2 2" xfId="29743"/>
    <cellStyle name="Comma 4 3 2 2 4 2 3" xfId="29742"/>
    <cellStyle name="Comma 4 3 2 2 4 3" xfId="5438"/>
    <cellStyle name="Comma 4 3 2 2 4 3 2" xfId="29745"/>
    <cellStyle name="Comma 4 3 2 2 4 3 3" xfId="29744"/>
    <cellStyle name="Comma 4 3 2 2 4 4" xfId="11748"/>
    <cellStyle name="Comma 4 3 2 2 4 4 2" xfId="29747"/>
    <cellStyle name="Comma 4 3 2 2 4 4 3" xfId="29746"/>
    <cellStyle name="Comma 4 3 2 2 4 5" xfId="29748"/>
    <cellStyle name="Comma 4 3 2 2 4 6" xfId="29741"/>
    <cellStyle name="Comma 4 3 2 2 5" xfId="7002"/>
    <cellStyle name="Comma 4 3 2 2 5 2" xfId="29750"/>
    <cellStyle name="Comma 4 3 2 2 5 3" xfId="29749"/>
    <cellStyle name="Comma 4 3 2 2 6" xfId="3875"/>
    <cellStyle name="Comma 4 3 2 2 6 2" xfId="29752"/>
    <cellStyle name="Comma 4 3 2 2 6 3" xfId="29751"/>
    <cellStyle name="Comma 4 3 2 2 7" xfId="9665"/>
    <cellStyle name="Comma 4 3 2 2 7 2" xfId="29754"/>
    <cellStyle name="Comma 4 3 2 2 7 3" xfId="29753"/>
    <cellStyle name="Comma 4 3 2 2 8" xfId="29755"/>
    <cellStyle name="Comma 4 3 2 2 9" xfId="29708"/>
    <cellStyle name="Comma 4 3 2 3" xfId="1394"/>
    <cellStyle name="Comma 4 3 2 3 2" xfId="2959"/>
    <cellStyle name="Comma 4 3 2 3 2 2" xfId="9244"/>
    <cellStyle name="Comma 4 3 2 3 2 2 2" xfId="29759"/>
    <cellStyle name="Comma 4 3 2 3 2 2 3" xfId="29758"/>
    <cellStyle name="Comma 4 3 2 3 2 3" xfId="6117"/>
    <cellStyle name="Comma 4 3 2 3 2 3 2" xfId="29761"/>
    <cellStyle name="Comma 4 3 2 3 2 3 3" xfId="29760"/>
    <cellStyle name="Comma 4 3 2 3 2 4" xfId="12427"/>
    <cellStyle name="Comma 4 3 2 3 2 4 2" xfId="29763"/>
    <cellStyle name="Comma 4 3 2 3 2 4 3" xfId="29762"/>
    <cellStyle name="Comma 4 3 2 3 2 5" xfId="29764"/>
    <cellStyle name="Comma 4 3 2 3 2 6" xfId="29757"/>
    <cellStyle name="Comma 4 3 2 3 3" xfId="7681"/>
    <cellStyle name="Comma 4 3 2 3 3 2" xfId="29766"/>
    <cellStyle name="Comma 4 3 2 3 3 3" xfId="29765"/>
    <cellStyle name="Comma 4 3 2 3 4" xfId="4554"/>
    <cellStyle name="Comma 4 3 2 3 4 2" xfId="29768"/>
    <cellStyle name="Comma 4 3 2 3 4 3" xfId="29767"/>
    <cellStyle name="Comma 4 3 2 3 5" xfId="10864"/>
    <cellStyle name="Comma 4 3 2 3 5 2" xfId="29770"/>
    <cellStyle name="Comma 4 3 2 3 5 3" xfId="29769"/>
    <cellStyle name="Comma 4 3 2 3 6" xfId="29771"/>
    <cellStyle name="Comma 4 3 2 3 7" xfId="29756"/>
    <cellStyle name="Comma 4 3 2 4" xfId="1596"/>
    <cellStyle name="Comma 4 3 2 4 2" xfId="3161"/>
    <cellStyle name="Comma 4 3 2 4 2 2" xfId="9446"/>
    <cellStyle name="Comma 4 3 2 4 2 2 2" xfId="29775"/>
    <cellStyle name="Comma 4 3 2 4 2 2 3" xfId="29774"/>
    <cellStyle name="Comma 4 3 2 4 2 3" xfId="6319"/>
    <cellStyle name="Comma 4 3 2 4 2 3 2" xfId="29777"/>
    <cellStyle name="Comma 4 3 2 4 2 3 3" xfId="29776"/>
    <cellStyle name="Comma 4 3 2 4 2 4" xfId="12629"/>
    <cellStyle name="Comma 4 3 2 4 2 4 2" xfId="29779"/>
    <cellStyle name="Comma 4 3 2 4 2 4 3" xfId="29778"/>
    <cellStyle name="Comma 4 3 2 4 2 5" xfId="29780"/>
    <cellStyle name="Comma 4 3 2 4 2 6" xfId="29773"/>
    <cellStyle name="Comma 4 3 2 4 3" xfId="7883"/>
    <cellStyle name="Comma 4 3 2 4 3 2" xfId="29782"/>
    <cellStyle name="Comma 4 3 2 4 3 3" xfId="29781"/>
    <cellStyle name="Comma 4 3 2 4 4" xfId="4756"/>
    <cellStyle name="Comma 4 3 2 4 4 2" xfId="29784"/>
    <cellStyle name="Comma 4 3 2 4 4 3" xfId="29783"/>
    <cellStyle name="Comma 4 3 2 4 5" xfId="11066"/>
    <cellStyle name="Comma 4 3 2 4 5 2" xfId="29786"/>
    <cellStyle name="Comma 4 3 2 4 5 3" xfId="29785"/>
    <cellStyle name="Comma 4 3 2 4 6" xfId="29787"/>
    <cellStyle name="Comma 4 3 2 4 7" xfId="29772"/>
    <cellStyle name="Comma 4 3 2 5" xfId="2279"/>
    <cellStyle name="Comma 4 3 2 5 2" xfId="8564"/>
    <cellStyle name="Comma 4 3 2 5 2 2" xfId="29790"/>
    <cellStyle name="Comma 4 3 2 5 2 3" xfId="29789"/>
    <cellStyle name="Comma 4 3 2 5 3" xfId="5437"/>
    <cellStyle name="Comma 4 3 2 5 3 2" xfId="29792"/>
    <cellStyle name="Comma 4 3 2 5 3 3" xfId="29791"/>
    <cellStyle name="Comma 4 3 2 5 4" xfId="11747"/>
    <cellStyle name="Comma 4 3 2 5 4 2" xfId="29794"/>
    <cellStyle name="Comma 4 3 2 5 4 3" xfId="29793"/>
    <cellStyle name="Comma 4 3 2 5 5" xfId="29795"/>
    <cellStyle name="Comma 4 3 2 5 6" xfId="29788"/>
    <cellStyle name="Comma 4 3 2 6" xfId="7001"/>
    <cellStyle name="Comma 4 3 2 6 2" xfId="29797"/>
    <cellStyle name="Comma 4 3 2 6 3" xfId="29796"/>
    <cellStyle name="Comma 4 3 2 7" xfId="3874"/>
    <cellStyle name="Comma 4 3 2 7 2" xfId="29799"/>
    <cellStyle name="Comma 4 3 2 7 3" xfId="29798"/>
    <cellStyle name="Comma 4 3 2 8" xfId="9664"/>
    <cellStyle name="Comma 4 3 2 8 2" xfId="29801"/>
    <cellStyle name="Comma 4 3 2 8 3" xfId="29800"/>
    <cellStyle name="Comma 4 3 2 9" xfId="29802"/>
    <cellStyle name="Comma 4 3 3" xfId="698"/>
    <cellStyle name="Comma 4 3 3 2" xfId="1396"/>
    <cellStyle name="Comma 4 3 3 2 2" xfId="2961"/>
    <cellStyle name="Comma 4 3 3 2 2 2" xfId="9246"/>
    <cellStyle name="Comma 4 3 3 2 2 2 2" xfId="29807"/>
    <cellStyle name="Comma 4 3 3 2 2 2 3" xfId="29806"/>
    <cellStyle name="Comma 4 3 3 2 2 3" xfId="6119"/>
    <cellStyle name="Comma 4 3 3 2 2 3 2" xfId="29809"/>
    <cellStyle name="Comma 4 3 3 2 2 3 3" xfId="29808"/>
    <cellStyle name="Comma 4 3 3 2 2 4" xfId="12429"/>
    <cellStyle name="Comma 4 3 3 2 2 4 2" xfId="29811"/>
    <cellStyle name="Comma 4 3 3 2 2 4 3" xfId="29810"/>
    <cellStyle name="Comma 4 3 3 2 2 5" xfId="29812"/>
    <cellStyle name="Comma 4 3 3 2 2 6" xfId="29805"/>
    <cellStyle name="Comma 4 3 3 2 3" xfId="7683"/>
    <cellStyle name="Comma 4 3 3 2 3 2" xfId="29814"/>
    <cellStyle name="Comma 4 3 3 2 3 3" xfId="29813"/>
    <cellStyle name="Comma 4 3 3 2 4" xfId="4556"/>
    <cellStyle name="Comma 4 3 3 2 4 2" xfId="29816"/>
    <cellStyle name="Comma 4 3 3 2 4 3" xfId="29815"/>
    <cellStyle name="Comma 4 3 3 2 5" xfId="10866"/>
    <cellStyle name="Comma 4 3 3 2 5 2" xfId="29818"/>
    <cellStyle name="Comma 4 3 3 2 5 3" xfId="29817"/>
    <cellStyle name="Comma 4 3 3 2 6" xfId="29819"/>
    <cellStyle name="Comma 4 3 3 2 7" xfId="29804"/>
    <cellStyle name="Comma 4 3 3 3" xfId="1598"/>
    <cellStyle name="Comma 4 3 3 3 2" xfId="3163"/>
    <cellStyle name="Comma 4 3 3 3 2 2" xfId="9448"/>
    <cellStyle name="Comma 4 3 3 3 2 2 2" xfId="29823"/>
    <cellStyle name="Comma 4 3 3 3 2 2 3" xfId="29822"/>
    <cellStyle name="Comma 4 3 3 3 2 3" xfId="6321"/>
    <cellStyle name="Comma 4 3 3 3 2 3 2" xfId="29825"/>
    <cellStyle name="Comma 4 3 3 3 2 3 3" xfId="29824"/>
    <cellStyle name="Comma 4 3 3 3 2 4" xfId="12631"/>
    <cellStyle name="Comma 4 3 3 3 2 4 2" xfId="29827"/>
    <cellStyle name="Comma 4 3 3 3 2 4 3" xfId="29826"/>
    <cellStyle name="Comma 4 3 3 3 2 5" xfId="29828"/>
    <cellStyle name="Comma 4 3 3 3 2 6" xfId="29821"/>
    <cellStyle name="Comma 4 3 3 3 3" xfId="7885"/>
    <cellStyle name="Comma 4 3 3 3 3 2" xfId="29830"/>
    <cellStyle name="Comma 4 3 3 3 3 3" xfId="29829"/>
    <cellStyle name="Comma 4 3 3 3 4" xfId="4758"/>
    <cellStyle name="Comma 4 3 3 3 4 2" xfId="29832"/>
    <cellStyle name="Comma 4 3 3 3 4 3" xfId="29831"/>
    <cellStyle name="Comma 4 3 3 3 5" xfId="11068"/>
    <cellStyle name="Comma 4 3 3 3 5 2" xfId="29834"/>
    <cellStyle name="Comma 4 3 3 3 5 3" xfId="29833"/>
    <cellStyle name="Comma 4 3 3 3 6" xfId="29835"/>
    <cellStyle name="Comma 4 3 3 3 7" xfId="29820"/>
    <cellStyle name="Comma 4 3 3 4" xfId="2281"/>
    <cellStyle name="Comma 4 3 3 4 2" xfId="8566"/>
    <cellStyle name="Comma 4 3 3 4 2 2" xfId="29838"/>
    <cellStyle name="Comma 4 3 3 4 2 3" xfId="29837"/>
    <cellStyle name="Comma 4 3 3 4 3" xfId="5439"/>
    <cellStyle name="Comma 4 3 3 4 3 2" xfId="29840"/>
    <cellStyle name="Comma 4 3 3 4 3 3" xfId="29839"/>
    <cellStyle name="Comma 4 3 3 4 4" xfId="11749"/>
    <cellStyle name="Comma 4 3 3 4 4 2" xfId="29842"/>
    <cellStyle name="Comma 4 3 3 4 4 3" xfId="29841"/>
    <cellStyle name="Comma 4 3 3 4 5" xfId="29843"/>
    <cellStyle name="Comma 4 3 3 4 6" xfId="29836"/>
    <cellStyle name="Comma 4 3 3 5" xfId="7003"/>
    <cellStyle name="Comma 4 3 3 5 2" xfId="29845"/>
    <cellStyle name="Comma 4 3 3 5 3" xfId="29844"/>
    <cellStyle name="Comma 4 3 3 6" xfId="3876"/>
    <cellStyle name="Comma 4 3 3 6 2" xfId="29847"/>
    <cellStyle name="Comma 4 3 3 6 3" xfId="29846"/>
    <cellStyle name="Comma 4 3 3 7" xfId="9666"/>
    <cellStyle name="Comma 4 3 3 7 2" xfId="29849"/>
    <cellStyle name="Comma 4 3 3 7 3" xfId="29848"/>
    <cellStyle name="Comma 4 3 3 8" xfId="29850"/>
    <cellStyle name="Comma 4 3 3 9" xfId="29803"/>
    <cellStyle name="Comma 4 3 4" xfId="1393"/>
    <cellStyle name="Comma 4 3 4 2" xfId="2958"/>
    <cellStyle name="Comma 4 3 4 2 2" xfId="9243"/>
    <cellStyle name="Comma 4 3 4 2 2 2" xfId="29854"/>
    <cellStyle name="Comma 4 3 4 2 2 3" xfId="29853"/>
    <cellStyle name="Comma 4 3 4 2 3" xfId="6116"/>
    <cellStyle name="Comma 4 3 4 2 3 2" xfId="29856"/>
    <cellStyle name="Comma 4 3 4 2 3 3" xfId="29855"/>
    <cellStyle name="Comma 4 3 4 2 4" xfId="12426"/>
    <cellStyle name="Comma 4 3 4 2 4 2" xfId="29858"/>
    <cellStyle name="Comma 4 3 4 2 4 3" xfId="29857"/>
    <cellStyle name="Comma 4 3 4 2 5" xfId="29859"/>
    <cellStyle name="Comma 4 3 4 2 6" xfId="29852"/>
    <cellStyle name="Comma 4 3 4 3" xfId="7680"/>
    <cellStyle name="Comma 4 3 4 3 2" xfId="29861"/>
    <cellStyle name="Comma 4 3 4 3 3" xfId="29860"/>
    <cellStyle name="Comma 4 3 4 4" xfId="4553"/>
    <cellStyle name="Comma 4 3 4 4 2" xfId="29863"/>
    <cellStyle name="Comma 4 3 4 4 3" xfId="29862"/>
    <cellStyle name="Comma 4 3 4 5" xfId="10863"/>
    <cellStyle name="Comma 4 3 4 5 2" xfId="29865"/>
    <cellStyle name="Comma 4 3 4 5 3" xfId="29864"/>
    <cellStyle name="Comma 4 3 4 6" xfId="29866"/>
    <cellStyle name="Comma 4 3 4 7" xfId="29851"/>
    <cellStyle name="Comma 4 3 5" xfId="1595"/>
    <cellStyle name="Comma 4 3 5 2" xfId="3160"/>
    <cellStyle name="Comma 4 3 5 2 2" xfId="9445"/>
    <cellStyle name="Comma 4 3 5 2 2 2" xfId="29870"/>
    <cellStyle name="Comma 4 3 5 2 2 3" xfId="29869"/>
    <cellStyle name="Comma 4 3 5 2 3" xfId="6318"/>
    <cellStyle name="Comma 4 3 5 2 3 2" xfId="29872"/>
    <cellStyle name="Comma 4 3 5 2 3 3" xfId="29871"/>
    <cellStyle name="Comma 4 3 5 2 4" xfId="12628"/>
    <cellStyle name="Comma 4 3 5 2 4 2" xfId="29874"/>
    <cellStyle name="Comma 4 3 5 2 4 3" xfId="29873"/>
    <cellStyle name="Comma 4 3 5 2 5" xfId="29875"/>
    <cellStyle name="Comma 4 3 5 2 6" xfId="29868"/>
    <cellStyle name="Comma 4 3 5 3" xfId="7882"/>
    <cellStyle name="Comma 4 3 5 3 2" xfId="29877"/>
    <cellStyle name="Comma 4 3 5 3 3" xfId="29876"/>
    <cellStyle name="Comma 4 3 5 4" xfId="4755"/>
    <cellStyle name="Comma 4 3 5 4 2" xfId="29879"/>
    <cellStyle name="Comma 4 3 5 4 3" xfId="29878"/>
    <cellStyle name="Comma 4 3 5 5" xfId="11065"/>
    <cellStyle name="Comma 4 3 5 5 2" xfId="29881"/>
    <cellStyle name="Comma 4 3 5 5 3" xfId="29880"/>
    <cellStyle name="Comma 4 3 5 6" xfId="29882"/>
    <cellStyle name="Comma 4 3 5 7" xfId="29867"/>
    <cellStyle name="Comma 4 3 6" xfId="2278"/>
    <cellStyle name="Comma 4 3 6 2" xfId="8563"/>
    <cellStyle name="Comma 4 3 6 2 2" xfId="29885"/>
    <cellStyle name="Comma 4 3 6 2 3" xfId="29884"/>
    <cellStyle name="Comma 4 3 6 3" xfId="5436"/>
    <cellStyle name="Comma 4 3 6 3 2" xfId="29887"/>
    <cellStyle name="Comma 4 3 6 3 3" xfId="29886"/>
    <cellStyle name="Comma 4 3 6 4" xfId="11746"/>
    <cellStyle name="Comma 4 3 6 4 2" xfId="29889"/>
    <cellStyle name="Comma 4 3 6 4 3" xfId="29888"/>
    <cellStyle name="Comma 4 3 6 5" xfId="29890"/>
    <cellStyle name="Comma 4 3 6 6" xfId="29883"/>
    <cellStyle name="Comma 4 3 7" xfId="7000"/>
    <cellStyle name="Comma 4 3 7 2" xfId="29892"/>
    <cellStyle name="Comma 4 3 7 3" xfId="29891"/>
    <cellStyle name="Comma 4 3 8" xfId="3873"/>
    <cellStyle name="Comma 4 3 8 2" xfId="29894"/>
    <cellStyle name="Comma 4 3 8 3" xfId="29893"/>
    <cellStyle name="Comma 4 3 9" xfId="9663"/>
    <cellStyle name="Comma 4 3 9 2" xfId="29896"/>
    <cellStyle name="Comma 4 3 9 3" xfId="29895"/>
    <cellStyle name="Comma 4 4" xfId="699"/>
    <cellStyle name="Comma 4 4 10" xfId="29897"/>
    <cellStyle name="Comma 4 4 2" xfId="700"/>
    <cellStyle name="Comma 4 4 2 2" xfId="1398"/>
    <cellStyle name="Comma 4 4 2 2 2" xfId="2963"/>
    <cellStyle name="Comma 4 4 2 2 2 2" xfId="9248"/>
    <cellStyle name="Comma 4 4 2 2 2 2 2" xfId="29902"/>
    <cellStyle name="Comma 4 4 2 2 2 2 3" xfId="29901"/>
    <cellStyle name="Comma 4 4 2 2 2 3" xfId="6121"/>
    <cellStyle name="Comma 4 4 2 2 2 3 2" xfId="29904"/>
    <cellStyle name="Comma 4 4 2 2 2 3 3" xfId="29903"/>
    <cellStyle name="Comma 4 4 2 2 2 4" xfId="12431"/>
    <cellStyle name="Comma 4 4 2 2 2 4 2" xfId="29906"/>
    <cellStyle name="Comma 4 4 2 2 2 4 3" xfId="29905"/>
    <cellStyle name="Comma 4 4 2 2 2 5" xfId="29907"/>
    <cellStyle name="Comma 4 4 2 2 2 6" xfId="29900"/>
    <cellStyle name="Comma 4 4 2 2 3" xfId="7685"/>
    <cellStyle name="Comma 4 4 2 2 3 2" xfId="29909"/>
    <cellStyle name="Comma 4 4 2 2 3 3" xfId="29908"/>
    <cellStyle name="Comma 4 4 2 2 4" xfId="4558"/>
    <cellStyle name="Comma 4 4 2 2 4 2" xfId="29911"/>
    <cellStyle name="Comma 4 4 2 2 4 3" xfId="29910"/>
    <cellStyle name="Comma 4 4 2 2 5" xfId="10868"/>
    <cellStyle name="Comma 4 4 2 2 5 2" xfId="29913"/>
    <cellStyle name="Comma 4 4 2 2 5 3" xfId="29912"/>
    <cellStyle name="Comma 4 4 2 2 6" xfId="29914"/>
    <cellStyle name="Comma 4 4 2 2 7" xfId="29899"/>
    <cellStyle name="Comma 4 4 2 3" xfId="1600"/>
    <cellStyle name="Comma 4 4 2 3 2" xfId="3165"/>
    <cellStyle name="Comma 4 4 2 3 2 2" xfId="9450"/>
    <cellStyle name="Comma 4 4 2 3 2 2 2" xfId="29918"/>
    <cellStyle name="Comma 4 4 2 3 2 2 3" xfId="29917"/>
    <cellStyle name="Comma 4 4 2 3 2 3" xfId="6323"/>
    <cellStyle name="Comma 4 4 2 3 2 3 2" xfId="29920"/>
    <cellStyle name="Comma 4 4 2 3 2 3 3" xfId="29919"/>
    <cellStyle name="Comma 4 4 2 3 2 4" xfId="12633"/>
    <cellStyle name="Comma 4 4 2 3 2 4 2" xfId="29922"/>
    <cellStyle name="Comma 4 4 2 3 2 4 3" xfId="29921"/>
    <cellStyle name="Comma 4 4 2 3 2 5" xfId="29923"/>
    <cellStyle name="Comma 4 4 2 3 2 6" xfId="29916"/>
    <cellStyle name="Comma 4 4 2 3 3" xfId="7887"/>
    <cellStyle name="Comma 4 4 2 3 3 2" xfId="29925"/>
    <cellStyle name="Comma 4 4 2 3 3 3" xfId="29924"/>
    <cellStyle name="Comma 4 4 2 3 4" xfId="4760"/>
    <cellStyle name="Comma 4 4 2 3 4 2" xfId="29927"/>
    <cellStyle name="Comma 4 4 2 3 4 3" xfId="29926"/>
    <cellStyle name="Comma 4 4 2 3 5" xfId="11070"/>
    <cellStyle name="Comma 4 4 2 3 5 2" xfId="29929"/>
    <cellStyle name="Comma 4 4 2 3 5 3" xfId="29928"/>
    <cellStyle name="Comma 4 4 2 3 6" xfId="29930"/>
    <cellStyle name="Comma 4 4 2 3 7" xfId="29915"/>
    <cellStyle name="Comma 4 4 2 4" xfId="2283"/>
    <cellStyle name="Comma 4 4 2 4 2" xfId="8568"/>
    <cellStyle name="Comma 4 4 2 4 2 2" xfId="29933"/>
    <cellStyle name="Comma 4 4 2 4 2 3" xfId="29932"/>
    <cellStyle name="Comma 4 4 2 4 3" xfId="5441"/>
    <cellStyle name="Comma 4 4 2 4 3 2" xfId="29935"/>
    <cellStyle name="Comma 4 4 2 4 3 3" xfId="29934"/>
    <cellStyle name="Comma 4 4 2 4 4" xfId="11751"/>
    <cellStyle name="Comma 4 4 2 4 4 2" xfId="29937"/>
    <cellStyle name="Comma 4 4 2 4 4 3" xfId="29936"/>
    <cellStyle name="Comma 4 4 2 4 5" xfId="29938"/>
    <cellStyle name="Comma 4 4 2 4 6" xfId="29931"/>
    <cellStyle name="Comma 4 4 2 5" xfId="7005"/>
    <cellStyle name="Comma 4 4 2 5 2" xfId="29940"/>
    <cellStyle name="Comma 4 4 2 5 3" xfId="29939"/>
    <cellStyle name="Comma 4 4 2 6" xfId="3878"/>
    <cellStyle name="Comma 4 4 2 6 2" xfId="29942"/>
    <cellStyle name="Comma 4 4 2 6 3" xfId="29941"/>
    <cellStyle name="Comma 4 4 2 7" xfId="9668"/>
    <cellStyle name="Comma 4 4 2 7 2" xfId="29944"/>
    <cellStyle name="Comma 4 4 2 7 3" xfId="29943"/>
    <cellStyle name="Comma 4 4 2 8" xfId="29945"/>
    <cellStyle name="Comma 4 4 2 9" xfId="29898"/>
    <cellStyle name="Comma 4 4 3" xfId="1397"/>
    <cellStyle name="Comma 4 4 3 2" xfId="2962"/>
    <cellStyle name="Comma 4 4 3 2 2" xfId="9247"/>
    <cellStyle name="Comma 4 4 3 2 2 2" xfId="29949"/>
    <cellStyle name="Comma 4 4 3 2 2 3" xfId="29948"/>
    <cellStyle name="Comma 4 4 3 2 3" xfId="6120"/>
    <cellStyle name="Comma 4 4 3 2 3 2" xfId="29951"/>
    <cellStyle name="Comma 4 4 3 2 3 3" xfId="29950"/>
    <cellStyle name="Comma 4 4 3 2 4" xfId="12430"/>
    <cellStyle name="Comma 4 4 3 2 4 2" xfId="29953"/>
    <cellStyle name="Comma 4 4 3 2 4 3" xfId="29952"/>
    <cellStyle name="Comma 4 4 3 2 5" xfId="29954"/>
    <cellStyle name="Comma 4 4 3 2 6" xfId="29947"/>
    <cellStyle name="Comma 4 4 3 3" xfId="7684"/>
    <cellStyle name="Comma 4 4 3 3 2" xfId="29956"/>
    <cellStyle name="Comma 4 4 3 3 3" xfId="29955"/>
    <cellStyle name="Comma 4 4 3 4" xfId="4557"/>
    <cellStyle name="Comma 4 4 3 4 2" xfId="29958"/>
    <cellStyle name="Comma 4 4 3 4 3" xfId="29957"/>
    <cellStyle name="Comma 4 4 3 5" xfId="10867"/>
    <cellStyle name="Comma 4 4 3 5 2" xfId="29960"/>
    <cellStyle name="Comma 4 4 3 5 3" xfId="29959"/>
    <cellStyle name="Comma 4 4 3 6" xfId="29961"/>
    <cellStyle name="Comma 4 4 3 7" xfId="29946"/>
    <cellStyle name="Comma 4 4 4" xfId="1599"/>
    <cellStyle name="Comma 4 4 4 2" xfId="3164"/>
    <cellStyle name="Comma 4 4 4 2 2" xfId="9449"/>
    <cellStyle name="Comma 4 4 4 2 2 2" xfId="29965"/>
    <cellStyle name="Comma 4 4 4 2 2 3" xfId="29964"/>
    <cellStyle name="Comma 4 4 4 2 3" xfId="6322"/>
    <cellStyle name="Comma 4 4 4 2 3 2" xfId="29967"/>
    <cellStyle name="Comma 4 4 4 2 3 3" xfId="29966"/>
    <cellStyle name="Comma 4 4 4 2 4" xfId="12632"/>
    <cellStyle name="Comma 4 4 4 2 4 2" xfId="29969"/>
    <cellStyle name="Comma 4 4 4 2 4 3" xfId="29968"/>
    <cellStyle name="Comma 4 4 4 2 5" xfId="29970"/>
    <cellStyle name="Comma 4 4 4 2 6" xfId="29963"/>
    <cellStyle name="Comma 4 4 4 3" xfId="7886"/>
    <cellStyle name="Comma 4 4 4 3 2" xfId="29972"/>
    <cellStyle name="Comma 4 4 4 3 3" xfId="29971"/>
    <cellStyle name="Comma 4 4 4 4" xfId="4759"/>
    <cellStyle name="Comma 4 4 4 4 2" xfId="29974"/>
    <cellStyle name="Comma 4 4 4 4 3" xfId="29973"/>
    <cellStyle name="Comma 4 4 4 5" xfId="11069"/>
    <cellStyle name="Comma 4 4 4 5 2" xfId="29976"/>
    <cellStyle name="Comma 4 4 4 5 3" xfId="29975"/>
    <cellStyle name="Comma 4 4 4 6" xfId="29977"/>
    <cellStyle name="Comma 4 4 4 7" xfId="29962"/>
    <cellStyle name="Comma 4 4 5" xfId="2282"/>
    <cellStyle name="Comma 4 4 5 2" xfId="8567"/>
    <cellStyle name="Comma 4 4 5 2 2" xfId="29980"/>
    <cellStyle name="Comma 4 4 5 2 3" xfId="29979"/>
    <cellStyle name="Comma 4 4 5 3" xfId="5440"/>
    <cellStyle name="Comma 4 4 5 3 2" xfId="29982"/>
    <cellStyle name="Comma 4 4 5 3 3" xfId="29981"/>
    <cellStyle name="Comma 4 4 5 4" xfId="11750"/>
    <cellStyle name="Comma 4 4 5 4 2" xfId="29984"/>
    <cellStyle name="Comma 4 4 5 4 3" xfId="29983"/>
    <cellStyle name="Comma 4 4 5 5" xfId="29985"/>
    <cellStyle name="Comma 4 4 5 6" xfId="29978"/>
    <cellStyle name="Comma 4 4 6" xfId="7004"/>
    <cellStyle name="Comma 4 4 6 2" xfId="29987"/>
    <cellStyle name="Comma 4 4 6 3" xfId="29986"/>
    <cellStyle name="Comma 4 4 7" xfId="3877"/>
    <cellStyle name="Comma 4 4 7 2" xfId="29989"/>
    <cellStyle name="Comma 4 4 7 3" xfId="29988"/>
    <cellStyle name="Comma 4 4 8" xfId="9667"/>
    <cellStyle name="Comma 4 4 8 2" xfId="29991"/>
    <cellStyle name="Comma 4 4 8 3" xfId="29990"/>
    <cellStyle name="Comma 4 4 9" xfId="29992"/>
    <cellStyle name="Comma 4 5" xfId="701"/>
    <cellStyle name="Comma 4 5 10" xfId="29993"/>
    <cellStyle name="Comma 4 5 2" xfId="702"/>
    <cellStyle name="Comma 4 5 2 2" xfId="1400"/>
    <cellStyle name="Comma 4 5 2 2 2" xfId="2965"/>
    <cellStyle name="Comma 4 5 2 2 2 2" xfId="9250"/>
    <cellStyle name="Comma 4 5 2 2 2 2 2" xfId="29998"/>
    <cellStyle name="Comma 4 5 2 2 2 2 3" xfId="29997"/>
    <cellStyle name="Comma 4 5 2 2 2 3" xfId="6123"/>
    <cellStyle name="Comma 4 5 2 2 2 3 2" xfId="30000"/>
    <cellStyle name="Comma 4 5 2 2 2 3 3" xfId="29999"/>
    <cellStyle name="Comma 4 5 2 2 2 4" xfId="12433"/>
    <cellStyle name="Comma 4 5 2 2 2 4 2" xfId="30002"/>
    <cellStyle name="Comma 4 5 2 2 2 4 3" xfId="30001"/>
    <cellStyle name="Comma 4 5 2 2 2 5" xfId="30003"/>
    <cellStyle name="Comma 4 5 2 2 2 6" xfId="29996"/>
    <cellStyle name="Comma 4 5 2 2 3" xfId="7687"/>
    <cellStyle name="Comma 4 5 2 2 3 2" xfId="30005"/>
    <cellStyle name="Comma 4 5 2 2 3 3" xfId="30004"/>
    <cellStyle name="Comma 4 5 2 2 4" xfId="4560"/>
    <cellStyle name="Comma 4 5 2 2 4 2" xfId="30007"/>
    <cellStyle name="Comma 4 5 2 2 4 3" xfId="30006"/>
    <cellStyle name="Comma 4 5 2 2 5" xfId="10870"/>
    <cellStyle name="Comma 4 5 2 2 5 2" xfId="30009"/>
    <cellStyle name="Comma 4 5 2 2 5 3" xfId="30008"/>
    <cellStyle name="Comma 4 5 2 2 6" xfId="30010"/>
    <cellStyle name="Comma 4 5 2 2 7" xfId="29995"/>
    <cellStyle name="Comma 4 5 2 3" xfId="1602"/>
    <cellStyle name="Comma 4 5 2 3 2" xfId="3167"/>
    <cellStyle name="Comma 4 5 2 3 2 2" xfId="9452"/>
    <cellStyle name="Comma 4 5 2 3 2 2 2" xfId="30014"/>
    <cellStyle name="Comma 4 5 2 3 2 2 3" xfId="30013"/>
    <cellStyle name="Comma 4 5 2 3 2 3" xfId="6325"/>
    <cellStyle name="Comma 4 5 2 3 2 3 2" xfId="30016"/>
    <cellStyle name="Comma 4 5 2 3 2 3 3" xfId="30015"/>
    <cellStyle name="Comma 4 5 2 3 2 4" xfId="12635"/>
    <cellStyle name="Comma 4 5 2 3 2 4 2" xfId="30018"/>
    <cellStyle name="Comma 4 5 2 3 2 4 3" xfId="30017"/>
    <cellStyle name="Comma 4 5 2 3 2 5" xfId="30019"/>
    <cellStyle name="Comma 4 5 2 3 2 6" xfId="30012"/>
    <cellStyle name="Comma 4 5 2 3 3" xfId="7889"/>
    <cellStyle name="Comma 4 5 2 3 3 2" xfId="30021"/>
    <cellStyle name="Comma 4 5 2 3 3 3" xfId="30020"/>
    <cellStyle name="Comma 4 5 2 3 4" xfId="4762"/>
    <cellStyle name="Comma 4 5 2 3 4 2" xfId="30023"/>
    <cellStyle name="Comma 4 5 2 3 4 3" xfId="30022"/>
    <cellStyle name="Comma 4 5 2 3 5" xfId="11072"/>
    <cellStyle name="Comma 4 5 2 3 5 2" xfId="30025"/>
    <cellStyle name="Comma 4 5 2 3 5 3" xfId="30024"/>
    <cellStyle name="Comma 4 5 2 3 6" xfId="30026"/>
    <cellStyle name="Comma 4 5 2 3 7" xfId="30011"/>
    <cellStyle name="Comma 4 5 2 4" xfId="2285"/>
    <cellStyle name="Comma 4 5 2 4 2" xfId="8570"/>
    <cellStyle name="Comma 4 5 2 4 2 2" xfId="30029"/>
    <cellStyle name="Comma 4 5 2 4 2 3" xfId="30028"/>
    <cellStyle name="Comma 4 5 2 4 3" xfId="5443"/>
    <cellStyle name="Comma 4 5 2 4 3 2" xfId="30031"/>
    <cellStyle name="Comma 4 5 2 4 3 3" xfId="30030"/>
    <cellStyle name="Comma 4 5 2 4 4" xfId="11753"/>
    <cellStyle name="Comma 4 5 2 4 4 2" xfId="30033"/>
    <cellStyle name="Comma 4 5 2 4 4 3" xfId="30032"/>
    <cellStyle name="Comma 4 5 2 4 5" xfId="30034"/>
    <cellStyle name="Comma 4 5 2 4 6" xfId="30027"/>
    <cellStyle name="Comma 4 5 2 5" xfId="7007"/>
    <cellStyle name="Comma 4 5 2 5 2" xfId="30036"/>
    <cellStyle name="Comma 4 5 2 5 3" xfId="30035"/>
    <cellStyle name="Comma 4 5 2 6" xfId="3880"/>
    <cellStyle name="Comma 4 5 2 6 2" xfId="30038"/>
    <cellStyle name="Comma 4 5 2 6 3" xfId="30037"/>
    <cellStyle name="Comma 4 5 2 7" xfId="9670"/>
    <cellStyle name="Comma 4 5 2 7 2" xfId="30040"/>
    <cellStyle name="Comma 4 5 2 7 3" xfId="30039"/>
    <cellStyle name="Comma 4 5 2 8" xfId="30041"/>
    <cellStyle name="Comma 4 5 2 9" xfId="29994"/>
    <cellStyle name="Comma 4 5 3" xfId="1399"/>
    <cellStyle name="Comma 4 5 3 2" xfId="2964"/>
    <cellStyle name="Comma 4 5 3 2 2" xfId="9249"/>
    <cellStyle name="Comma 4 5 3 2 2 2" xfId="30045"/>
    <cellStyle name="Comma 4 5 3 2 2 3" xfId="30044"/>
    <cellStyle name="Comma 4 5 3 2 3" xfId="6122"/>
    <cellStyle name="Comma 4 5 3 2 3 2" xfId="30047"/>
    <cellStyle name="Comma 4 5 3 2 3 3" xfId="30046"/>
    <cellStyle name="Comma 4 5 3 2 4" xfId="12432"/>
    <cellStyle name="Comma 4 5 3 2 4 2" xfId="30049"/>
    <cellStyle name="Comma 4 5 3 2 4 3" xfId="30048"/>
    <cellStyle name="Comma 4 5 3 2 5" xfId="30050"/>
    <cellStyle name="Comma 4 5 3 2 6" xfId="30043"/>
    <cellStyle name="Comma 4 5 3 3" xfId="7686"/>
    <cellStyle name="Comma 4 5 3 3 2" xfId="30052"/>
    <cellStyle name="Comma 4 5 3 3 3" xfId="30051"/>
    <cellStyle name="Comma 4 5 3 4" xfId="4559"/>
    <cellStyle name="Comma 4 5 3 4 2" xfId="30054"/>
    <cellStyle name="Comma 4 5 3 4 3" xfId="30053"/>
    <cellStyle name="Comma 4 5 3 5" xfId="10869"/>
    <cellStyle name="Comma 4 5 3 5 2" xfId="30056"/>
    <cellStyle name="Comma 4 5 3 5 3" xfId="30055"/>
    <cellStyle name="Comma 4 5 3 6" xfId="30057"/>
    <cellStyle name="Comma 4 5 3 7" xfId="30042"/>
    <cellStyle name="Comma 4 5 4" xfId="1601"/>
    <cellStyle name="Comma 4 5 4 2" xfId="3166"/>
    <cellStyle name="Comma 4 5 4 2 2" xfId="9451"/>
    <cellStyle name="Comma 4 5 4 2 2 2" xfId="30061"/>
    <cellStyle name="Comma 4 5 4 2 2 3" xfId="30060"/>
    <cellStyle name="Comma 4 5 4 2 3" xfId="6324"/>
    <cellStyle name="Comma 4 5 4 2 3 2" xfId="30063"/>
    <cellStyle name="Comma 4 5 4 2 3 3" xfId="30062"/>
    <cellStyle name="Comma 4 5 4 2 4" xfId="12634"/>
    <cellStyle name="Comma 4 5 4 2 4 2" xfId="30065"/>
    <cellStyle name="Comma 4 5 4 2 4 3" xfId="30064"/>
    <cellStyle name="Comma 4 5 4 2 5" xfId="30066"/>
    <cellStyle name="Comma 4 5 4 2 6" xfId="30059"/>
    <cellStyle name="Comma 4 5 4 3" xfId="7888"/>
    <cellStyle name="Comma 4 5 4 3 2" xfId="30068"/>
    <cellStyle name="Comma 4 5 4 3 3" xfId="30067"/>
    <cellStyle name="Comma 4 5 4 4" xfId="4761"/>
    <cellStyle name="Comma 4 5 4 4 2" xfId="30070"/>
    <cellStyle name="Comma 4 5 4 4 3" xfId="30069"/>
    <cellStyle name="Comma 4 5 4 5" xfId="11071"/>
    <cellStyle name="Comma 4 5 4 5 2" xfId="30072"/>
    <cellStyle name="Comma 4 5 4 5 3" xfId="30071"/>
    <cellStyle name="Comma 4 5 4 6" xfId="30073"/>
    <cellStyle name="Comma 4 5 4 7" xfId="30058"/>
    <cellStyle name="Comma 4 5 5" xfId="2284"/>
    <cellStyle name="Comma 4 5 5 2" xfId="8569"/>
    <cellStyle name="Comma 4 5 5 2 2" xfId="30076"/>
    <cellStyle name="Comma 4 5 5 2 3" xfId="30075"/>
    <cellStyle name="Comma 4 5 5 3" xfId="5442"/>
    <cellStyle name="Comma 4 5 5 3 2" xfId="30078"/>
    <cellStyle name="Comma 4 5 5 3 3" xfId="30077"/>
    <cellStyle name="Comma 4 5 5 4" xfId="11752"/>
    <cellStyle name="Comma 4 5 5 4 2" xfId="30080"/>
    <cellStyle name="Comma 4 5 5 4 3" xfId="30079"/>
    <cellStyle name="Comma 4 5 5 5" xfId="30081"/>
    <cellStyle name="Comma 4 5 5 6" xfId="30074"/>
    <cellStyle name="Comma 4 5 6" xfId="7006"/>
    <cellStyle name="Comma 4 5 6 2" xfId="30083"/>
    <cellStyle name="Comma 4 5 6 3" xfId="30082"/>
    <cellStyle name="Comma 4 5 7" xfId="3879"/>
    <cellStyle name="Comma 4 5 7 2" xfId="30085"/>
    <cellStyle name="Comma 4 5 7 3" xfId="30084"/>
    <cellStyle name="Comma 4 5 8" xfId="9669"/>
    <cellStyle name="Comma 4 5 8 2" xfId="30087"/>
    <cellStyle name="Comma 4 5 8 3" xfId="30086"/>
    <cellStyle name="Comma 4 5 9" xfId="30088"/>
    <cellStyle name="Comma 4 6" xfId="703"/>
    <cellStyle name="Comma 4 6 2" xfId="1401"/>
    <cellStyle name="Comma 4 6 2 2" xfId="2966"/>
    <cellStyle name="Comma 4 6 2 2 2" xfId="9251"/>
    <cellStyle name="Comma 4 6 2 2 2 2" xfId="30093"/>
    <cellStyle name="Comma 4 6 2 2 2 3" xfId="30092"/>
    <cellStyle name="Comma 4 6 2 2 3" xfId="6124"/>
    <cellStyle name="Comma 4 6 2 2 3 2" xfId="30095"/>
    <cellStyle name="Comma 4 6 2 2 3 3" xfId="30094"/>
    <cellStyle name="Comma 4 6 2 2 4" xfId="12434"/>
    <cellStyle name="Comma 4 6 2 2 4 2" xfId="30097"/>
    <cellStyle name="Comma 4 6 2 2 4 3" xfId="30096"/>
    <cellStyle name="Comma 4 6 2 2 5" xfId="30098"/>
    <cellStyle name="Comma 4 6 2 2 6" xfId="30091"/>
    <cellStyle name="Comma 4 6 2 3" xfId="7688"/>
    <cellStyle name="Comma 4 6 2 3 2" xfId="30100"/>
    <cellStyle name="Comma 4 6 2 3 3" xfId="30099"/>
    <cellStyle name="Comma 4 6 2 4" xfId="4561"/>
    <cellStyle name="Comma 4 6 2 4 2" xfId="30102"/>
    <cellStyle name="Comma 4 6 2 4 3" xfId="30101"/>
    <cellStyle name="Comma 4 6 2 5" xfId="10871"/>
    <cellStyle name="Comma 4 6 2 5 2" xfId="30104"/>
    <cellStyle name="Comma 4 6 2 5 3" xfId="30103"/>
    <cellStyle name="Comma 4 6 2 6" xfId="30105"/>
    <cellStyle name="Comma 4 6 2 7" xfId="30090"/>
    <cellStyle name="Comma 4 6 3" xfId="1603"/>
    <cellStyle name="Comma 4 6 3 2" xfId="3168"/>
    <cellStyle name="Comma 4 6 3 2 2" xfId="9453"/>
    <cellStyle name="Comma 4 6 3 2 2 2" xfId="30109"/>
    <cellStyle name="Comma 4 6 3 2 2 3" xfId="30108"/>
    <cellStyle name="Comma 4 6 3 2 3" xfId="6326"/>
    <cellStyle name="Comma 4 6 3 2 3 2" xfId="30111"/>
    <cellStyle name="Comma 4 6 3 2 3 3" xfId="30110"/>
    <cellStyle name="Comma 4 6 3 2 4" xfId="12636"/>
    <cellStyle name="Comma 4 6 3 2 4 2" xfId="30113"/>
    <cellStyle name="Comma 4 6 3 2 4 3" xfId="30112"/>
    <cellStyle name="Comma 4 6 3 2 5" xfId="30114"/>
    <cellStyle name="Comma 4 6 3 2 6" xfId="30107"/>
    <cellStyle name="Comma 4 6 3 3" xfId="7890"/>
    <cellStyle name="Comma 4 6 3 3 2" xfId="30116"/>
    <cellStyle name="Comma 4 6 3 3 3" xfId="30115"/>
    <cellStyle name="Comma 4 6 3 4" xfId="4763"/>
    <cellStyle name="Comma 4 6 3 4 2" xfId="30118"/>
    <cellStyle name="Comma 4 6 3 4 3" xfId="30117"/>
    <cellStyle name="Comma 4 6 3 5" xfId="11073"/>
    <cellStyle name="Comma 4 6 3 5 2" xfId="30120"/>
    <cellStyle name="Comma 4 6 3 5 3" xfId="30119"/>
    <cellStyle name="Comma 4 6 3 6" xfId="30121"/>
    <cellStyle name="Comma 4 6 3 7" xfId="30106"/>
    <cellStyle name="Comma 4 6 4" xfId="2286"/>
    <cellStyle name="Comma 4 6 4 2" xfId="8571"/>
    <cellStyle name="Comma 4 6 4 2 2" xfId="30124"/>
    <cellStyle name="Comma 4 6 4 2 3" xfId="30123"/>
    <cellStyle name="Comma 4 6 4 3" xfId="5444"/>
    <cellStyle name="Comma 4 6 4 3 2" xfId="30126"/>
    <cellStyle name="Comma 4 6 4 3 3" xfId="30125"/>
    <cellStyle name="Comma 4 6 4 4" xfId="11754"/>
    <cellStyle name="Comma 4 6 4 4 2" xfId="30128"/>
    <cellStyle name="Comma 4 6 4 4 3" xfId="30127"/>
    <cellStyle name="Comma 4 6 4 5" xfId="30129"/>
    <cellStyle name="Comma 4 6 4 6" xfId="30122"/>
    <cellStyle name="Comma 4 6 5" xfId="7008"/>
    <cellStyle name="Comma 4 6 5 2" xfId="30131"/>
    <cellStyle name="Comma 4 6 5 3" xfId="30130"/>
    <cellStyle name="Comma 4 6 6" xfId="3881"/>
    <cellStyle name="Comma 4 6 6 2" xfId="30133"/>
    <cellStyle name="Comma 4 6 6 3" xfId="30132"/>
    <cellStyle name="Comma 4 6 7" xfId="9671"/>
    <cellStyle name="Comma 4 6 7 2" xfId="30135"/>
    <cellStyle name="Comma 4 6 7 3" xfId="30134"/>
    <cellStyle name="Comma 4 6 8" xfId="30136"/>
    <cellStyle name="Comma 4 6 9" xfId="30089"/>
    <cellStyle name="Comma 4 7" xfId="690"/>
    <cellStyle name="Comma 4 7 2" xfId="1388"/>
    <cellStyle name="Comma 4 7 2 2" xfId="2953"/>
    <cellStyle name="Comma 4 7 2 2 2" xfId="9238"/>
    <cellStyle name="Comma 4 7 2 2 2 2" xfId="30141"/>
    <cellStyle name="Comma 4 7 2 2 2 3" xfId="30140"/>
    <cellStyle name="Comma 4 7 2 2 3" xfId="6111"/>
    <cellStyle name="Comma 4 7 2 2 3 2" xfId="30143"/>
    <cellStyle name="Comma 4 7 2 2 3 3" xfId="30142"/>
    <cellStyle name="Comma 4 7 2 2 4" xfId="12421"/>
    <cellStyle name="Comma 4 7 2 2 4 2" xfId="30145"/>
    <cellStyle name="Comma 4 7 2 2 4 3" xfId="30144"/>
    <cellStyle name="Comma 4 7 2 2 5" xfId="30146"/>
    <cellStyle name="Comma 4 7 2 2 6" xfId="30139"/>
    <cellStyle name="Comma 4 7 2 3" xfId="7675"/>
    <cellStyle name="Comma 4 7 2 3 2" xfId="30148"/>
    <cellStyle name="Comma 4 7 2 3 3" xfId="30147"/>
    <cellStyle name="Comma 4 7 2 4" xfId="4548"/>
    <cellStyle name="Comma 4 7 2 4 2" xfId="30150"/>
    <cellStyle name="Comma 4 7 2 4 3" xfId="30149"/>
    <cellStyle name="Comma 4 7 2 5" xfId="10858"/>
    <cellStyle name="Comma 4 7 2 5 2" xfId="30152"/>
    <cellStyle name="Comma 4 7 2 5 3" xfId="30151"/>
    <cellStyle name="Comma 4 7 2 6" xfId="30153"/>
    <cellStyle name="Comma 4 7 2 7" xfId="30138"/>
    <cellStyle name="Comma 4 7 3" xfId="2273"/>
    <cellStyle name="Comma 4 7 3 2" xfId="8558"/>
    <cellStyle name="Comma 4 7 3 2 2" xfId="30156"/>
    <cellStyle name="Comma 4 7 3 2 3" xfId="30155"/>
    <cellStyle name="Comma 4 7 3 3" xfId="5431"/>
    <cellStyle name="Comma 4 7 3 3 2" xfId="30158"/>
    <cellStyle name="Comma 4 7 3 3 3" xfId="30157"/>
    <cellStyle name="Comma 4 7 3 4" xfId="11741"/>
    <cellStyle name="Comma 4 7 3 4 2" xfId="30160"/>
    <cellStyle name="Comma 4 7 3 4 3" xfId="30159"/>
    <cellStyle name="Comma 4 7 3 5" xfId="30161"/>
    <cellStyle name="Comma 4 7 3 6" xfId="30154"/>
    <cellStyle name="Comma 4 7 4" xfId="6995"/>
    <cellStyle name="Comma 4 7 4 2" xfId="30163"/>
    <cellStyle name="Comma 4 7 4 3" xfId="30162"/>
    <cellStyle name="Comma 4 7 5" xfId="3868"/>
    <cellStyle name="Comma 4 7 5 2" xfId="30165"/>
    <cellStyle name="Comma 4 7 5 3" xfId="30164"/>
    <cellStyle name="Comma 4 7 6" xfId="10288"/>
    <cellStyle name="Comma 4 7 6 2" xfId="30167"/>
    <cellStyle name="Comma 4 7 6 3" xfId="30166"/>
    <cellStyle name="Comma 4 7 7" xfId="30168"/>
    <cellStyle name="Comma 4 7 8" xfId="30137"/>
    <cellStyle name="Comma 4 8" xfId="1590"/>
    <cellStyle name="Comma 4 8 2" xfId="3155"/>
    <cellStyle name="Comma 4 8 2 2" xfId="9440"/>
    <cellStyle name="Comma 4 8 2 2 2" xfId="30172"/>
    <cellStyle name="Comma 4 8 2 2 3" xfId="30171"/>
    <cellStyle name="Comma 4 8 2 3" xfId="6313"/>
    <cellStyle name="Comma 4 8 2 3 2" xfId="30174"/>
    <cellStyle name="Comma 4 8 2 3 3" xfId="30173"/>
    <cellStyle name="Comma 4 8 2 4" xfId="12623"/>
    <cellStyle name="Comma 4 8 2 4 2" xfId="30176"/>
    <cellStyle name="Comma 4 8 2 4 3" xfId="30175"/>
    <cellStyle name="Comma 4 8 2 5" xfId="30177"/>
    <cellStyle name="Comma 4 8 2 6" xfId="30170"/>
    <cellStyle name="Comma 4 8 3" xfId="7877"/>
    <cellStyle name="Comma 4 8 3 2" xfId="30179"/>
    <cellStyle name="Comma 4 8 3 3" xfId="30178"/>
    <cellStyle name="Comma 4 8 4" xfId="4750"/>
    <cellStyle name="Comma 4 8 4 2" xfId="30181"/>
    <cellStyle name="Comma 4 8 4 3" xfId="30180"/>
    <cellStyle name="Comma 4 8 5" xfId="11060"/>
    <cellStyle name="Comma 4 8 5 2" xfId="30183"/>
    <cellStyle name="Comma 4 8 5 3" xfId="30182"/>
    <cellStyle name="Comma 4 8 6" xfId="30184"/>
    <cellStyle name="Comma 4 8 7" xfId="30169"/>
    <cellStyle name="Comma 4 9" xfId="9869"/>
    <cellStyle name="Comma 4 9 2" xfId="30185"/>
    <cellStyle name="Comma 5" xfId="259"/>
    <cellStyle name="Comma 5 2" xfId="704"/>
    <cellStyle name="Comma 5 2 2" xfId="30187"/>
    <cellStyle name="Comma 5 3" xfId="970"/>
    <cellStyle name="Comma 5 3 2" xfId="2536"/>
    <cellStyle name="Comma 5 3 2 2" xfId="8821"/>
    <cellStyle name="Comma 5 3 2 2 2" xfId="30191"/>
    <cellStyle name="Comma 5 3 2 2 3" xfId="30190"/>
    <cellStyle name="Comma 5 3 2 3" xfId="5694"/>
    <cellStyle name="Comma 5 3 2 3 2" xfId="30193"/>
    <cellStyle name="Comma 5 3 2 3 3" xfId="30192"/>
    <cellStyle name="Comma 5 3 2 4" xfId="12004"/>
    <cellStyle name="Comma 5 3 2 4 2" xfId="30195"/>
    <cellStyle name="Comma 5 3 2 4 3" xfId="30194"/>
    <cellStyle name="Comma 5 3 2 5" xfId="30196"/>
    <cellStyle name="Comma 5 3 2 6" xfId="30189"/>
    <cellStyle name="Comma 5 3 3" xfId="7258"/>
    <cellStyle name="Comma 5 3 3 2" xfId="30198"/>
    <cellStyle name="Comma 5 3 3 3" xfId="30197"/>
    <cellStyle name="Comma 5 3 4" xfId="4131"/>
    <cellStyle name="Comma 5 3 4 2" xfId="30200"/>
    <cellStyle name="Comma 5 3 4 3" xfId="30199"/>
    <cellStyle name="Comma 5 3 5" xfId="10441"/>
    <cellStyle name="Comma 5 3 5 2" xfId="30202"/>
    <cellStyle name="Comma 5 3 5 3" xfId="30201"/>
    <cellStyle name="Comma 5 3 6" xfId="30203"/>
    <cellStyle name="Comma 5 3 7" xfId="30188"/>
    <cellStyle name="Comma 5 4" xfId="1856"/>
    <cellStyle name="Comma 5 4 2" xfId="8141"/>
    <cellStyle name="Comma 5 4 2 2" xfId="30206"/>
    <cellStyle name="Comma 5 4 2 3" xfId="30205"/>
    <cellStyle name="Comma 5 4 3" xfId="5014"/>
    <cellStyle name="Comma 5 4 3 2" xfId="30208"/>
    <cellStyle name="Comma 5 4 3 3" xfId="30207"/>
    <cellStyle name="Comma 5 4 4" xfId="11324"/>
    <cellStyle name="Comma 5 4 4 2" xfId="30210"/>
    <cellStyle name="Comma 5 4 4 3" xfId="30209"/>
    <cellStyle name="Comma 5 4 5" xfId="30211"/>
    <cellStyle name="Comma 5 4 6" xfId="30204"/>
    <cellStyle name="Comma 5 5" xfId="6578"/>
    <cellStyle name="Comma 5 5 2" xfId="9858"/>
    <cellStyle name="Comma 5 5 2 2" xfId="30214"/>
    <cellStyle name="Comma 5 5 2 3" xfId="30213"/>
    <cellStyle name="Comma 5 5 3" xfId="30215"/>
    <cellStyle name="Comma 5 5 4" xfId="30212"/>
    <cellStyle name="Comma 5 6" xfId="3451"/>
    <cellStyle name="Comma 5 6 2" xfId="30217"/>
    <cellStyle name="Comma 5 6 3" xfId="30216"/>
    <cellStyle name="Comma 5 7" xfId="30218"/>
    <cellStyle name="Comma 5 8" xfId="30186"/>
    <cellStyle name="Comma 6" xfId="366"/>
    <cellStyle name="Comma 6 2" xfId="705"/>
    <cellStyle name="Comma 6 2 2" xfId="30220"/>
    <cellStyle name="Comma 6 3" xfId="1074"/>
    <cellStyle name="Comma 6 3 2" xfId="2640"/>
    <cellStyle name="Comma 6 3 2 2" xfId="8925"/>
    <cellStyle name="Comma 6 3 2 2 2" xfId="30224"/>
    <cellStyle name="Comma 6 3 2 2 3" xfId="30223"/>
    <cellStyle name="Comma 6 3 2 3" xfId="5798"/>
    <cellStyle name="Comma 6 3 2 3 2" xfId="30226"/>
    <cellStyle name="Comma 6 3 2 3 3" xfId="30225"/>
    <cellStyle name="Comma 6 3 2 4" xfId="12108"/>
    <cellStyle name="Comma 6 3 2 4 2" xfId="30228"/>
    <cellStyle name="Comma 6 3 2 4 3" xfId="30227"/>
    <cellStyle name="Comma 6 3 2 5" xfId="30229"/>
    <cellStyle name="Comma 6 3 2 6" xfId="30222"/>
    <cellStyle name="Comma 6 3 3" xfId="7362"/>
    <cellStyle name="Comma 6 3 3 2" xfId="30231"/>
    <cellStyle name="Comma 6 3 3 3" xfId="30230"/>
    <cellStyle name="Comma 6 3 4" xfId="4235"/>
    <cellStyle name="Comma 6 3 4 2" xfId="30233"/>
    <cellStyle name="Comma 6 3 4 3" xfId="30232"/>
    <cellStyle name="Comma 6 3 5" xfId="10545"/>
    <cellStyle name="Comma 6 3 5 2" xfId="30235"/>
    <cellStyle name="Comma 6 3 5 3" xfId="30234"/>
    <cellStyle name="Comma 6 3 6" xfId="30236"/>
    <cellStyle name="Comma 6 3 7" xfId="30221"/>
    <cellStyle name="Comma 6 4" xfId="1960"/>
    <cellStyle name="Comma 6 4 2" xfId="8245"/>
    <cellStyle name="Comma 6 4 2 2" xfId="30239"/>
    <cellStyle name="Comma 6 4 2 3" xfId="30238"/>
    <cellStyle name="Comma 6 4 3" xfId="5118"/>
    <cellStyle name="Comma 6 4 3 2" xfId="30241"/>
    <cellStyle name="Comma 6 4 3 3" xfId="30240"/>
    <cellStyle name="Comma 6 4 4" xfId="11428"/>
    <cellStyle name="Comma 6 4 4 2" xfId="30243"/>
    <cellStyle name="Comma 6 4 4 3" xfId="30242"/>
    <cellStyle name="Comma 6 4 5" xfId="30244"/>
    <cellStyle name="Comma 6 4 6" xfId="30237"/>
    <cellStyle name="Comma 6 5" xfId="6682"/>
    <cellStyle name="Comma 6 5 2" xfId="9987"/>
    <cellStyle name="Comma 6 5 2 2" xfId="30247"/>
    <cellStyle name="Comma 6 5 2 3" xfId="30246"/>
    <cellStyle name="Comma 6 5 3" xfId="30248"/>
    <cellStyle name="Comma 6 5 4" xfId="30245"/>
    <cellStyle name="Comma 6 6" xfId="3555"/>
    <cellStyle name="Comma 6 6 2" xfId="30250"/>
    <cellStyle name="Comma 6 6 3" xfId="30249"/>
    <cellStyle name="Comma 6 7" xfId="30251"/>
    <cellStyle name="Comma 6 8" xfId="30219"/>
    <cellStyle name="Comma 6 9" xfId="38174"/>
    <cellStyle name="Comma 7" xfId="437"/>
    <cellStyle name="Comma 7 2" xfId="1144"/>
    <cellStyle name="Comma 7 2 2" xfId="2709"/>
    <cellStyle name="Comma 7 2 2 2" xfId="8994"/>
    <cellStyle name="Comma 7 2 2 2 2" xfId="30256"/>
    <cellStyle name="Comma 7 2 2 2 3" xfId="30255"/>
    <cellStyle name="Comma 7 2 2 3" xfId="5867"/>
    <cellStyle name="Comma 7 2 2 3 2" xfId="30258"/>
    <cellStyle name="Comma 7 2 2 3 3" xfId="30257"/>
    <cellStyle name="Comma 7 2 2 4" xfId="12177"/>
    <cellStyle name="Comma 7 2 2 4 2" xfId="30260"/>
    <cellStyle name="Comma 7 2 2 4 3" xfId="30259"/>
    <cellStyle name="Comma 7 2 2 5" xfId="30261"/>
    <cellStyle name="Comma 7 2 2 6" xfId="30254"/>
    <cellStyle name="Comma 7 2 3" xfId="7431"/>
    <cellStyle name="Comma 7 2 3 2" xfId="30263"/>
    <cellStyle name="Comma 7 2 3 3" xfId="30262"/>
    <cellStyle name="Comma 7 2 4" xfId="4304"/>
    <cellStyle name="Comma 7 2 4 2" xfId="30265"/>
    <cellStyle name="Comma 7 2 4 3" xfId="30264"/>
    <cellStyle name="Comma 7 2 5" xfId="10614"/>
    <cellStyle name="Comma 7 2 5 2" xfId="30267"/>
    <cellStyle name="Comma 7 2 5 3" xfId="30266"/>
    <cellStyle name="Comma 7 2 6" xfId="30268"/>
    <cellStyle name="Comma 7 2 7" xfId="30253"/>
    <cellStyle name="Comma 7 3" xfId="2029"/>
    <cellStyle name="Comma 7 3 2" xfId="8314"/>
    <cellStyle name="Comma 7 3 2 2" xfId="30271"/>
    <cellStyle name="Comma 7 3 2 3" xfId="30270"/>
    <cellStyle name="Comma 7 3 3" xfId="5187"/>
    <cellStyle name="Comma 7 3 3 2" xfId="30273"/>
    <cellStyle name="Comma 7 3 3 3" xfId="30272"/>
    <cellStyle name="Comma 7 3 4" xfId="11497"/>
    <cellStyle name="Comma 7 3 4 2" xfId="30275"/>
    <cellStyle name="Comma 7 3 4 3" xfId="30274"/>
    <cellStyle name="Comma 7 3 5" xfId="30276"/>
    <cellStyle name="Comma 7 3 6" xfId="30269"/>
    <cellStyle name="Comma 7 4" xfId="6751"/>
    <cellStyle name="Comma 7 4 2" xfId="30278"/>
    <cellStyle name="Comma 7 4 3" xfId="30277"/>
    <cellStyle name="Comma 7 5" xfId="3624"/>
    <cellStyle name="Comma 7 5 2" xfId="30280"/>
    <cellStyle name="Comma 7 5 3" xfId="30279"/>
    <cellStyle name="Comma 7 6" xfId="10057"/>
    <cellStyle name="Comma 7 6 2" xfId="30282"/>
    <cellStyle name="Comma 7 6 3" xfId="30281"/>
    <cellStyle name="Comma 7 7" xfId="30283"/>
    <cellStyle name="Comma 7 8" xfId="30252"/>
    <cellStyle name="Comma 7 9" xfId="38177"/>
    <cellStyle name="Comma 8" xfId="467"/>
    <cellStyle name="Comma 8 2" xfId="1174"/>
    <cellStyle name="Comma 8 2 2" xfId="2739"/>
    <cellStyle name="Comma 8 2 2 2" xfId="9024"/>
    <cellStyle name="Comma 8 2 2 2 2" xfId="30288"/>
    <cellStyle name="Comma 8 2 2 2 3" xfId="30287"/>
    <cellStyle name="Comma 8 2 2 3" xfId="5897"/>
    <cellStyle name="Comma 8 2 2 3 2" xfId="30290"/>
    <cellStyle name="Comma 8 2 2 3 3" xfId="30289"/>
    <cellStyle name="Comma 8 2 2 4" xfId="12207"/>
    <cellStyle name="Comma 8 2 2 4 2" xfId="30292"/>
    <cellStyle name="Comma 8 2 2 4 3" xfId="30291"/>
    <cellStyle name="Comma 8 2 2 5" xfId="30293"/>
    <cellStyle name="Comma 8 2 2 6" xfId="30286"/>
    <cellStyle name="Comma 8 2 3" xfId="7461"/>
    <cellStyle name="Comma 8 2 3 2" xfId="30295"/>
    <cellStyle name="Comma 8 2 3 3" xfId="30294"/>
    <cellStyle name="Comma 8 2 4" xfId="4334"/>
    <cellStyle name="Comma 8 2 4 2" xfId="30297"/>
    <cellStyle name="Comma 8 2 4 3" xfId="30296"/>
    <cellStyle name="Comma 8 2 5" xfId="10644"/>
    <cellStyle name="Comma 8 2 5 2" xfId="30299"/>
    <cellStyle name="Comma 8 2 5 3" xfId="30298"/>
    <cellStyle name="Comma 8 2 6" xfId="30300"/>
    <cellStyle name="Comma 8 2 7" xfId="30285"/>
    <cellStyle name="Comma 8 3" xfId="2059"/>
    <cellStyle name="Comma 8 3 2" xfId="8344"/>
    <cellStyle name="Comma 8 3 2 2" xfId="30303"/>
    <cellStyle name="Comma 8 3 2 3" xfId="30302"/>
    <cellStyle name="Comma 8 3 3" xfId="5217"/>
    <cellStyle name="Comma 8 3 3 2" xfId="30305"/>
    <cellStyle name="Comma 8 3 3 3" xfId="30304"/>
    <cellStyle name="Comma 8 3 4" xfId="11527"/>
    <cellStyle name="Comma 8 3 4 2" xfId="30307"/>
    <cellStyle name="Comma 8 3 4 3" xfId="30306"/>
    <cellStyle name="Comma 8 3 5" xfId="30308"/>
    <cellStyle name="Comma 8 3 6" xfId="30301"/>
    <cellStyle name="Comma 8 4" xfId="6781"/>
    <cellStyle name="Comma 8 4 2" xfId="30310"/>
    <cellStyle name="Comma 8 4 3" xfId="30309"/>
    <cellStyle name="Comma 8 5" xfId="3654"/>
    <cellStyle name="Comma 8 5 2" xfId="30312"/>
    <cellStyle name="Comma 8 5 3" xfId="30311"/>
    <cellStyle name="Comma 8 6" xfId="10086"/>
    <cellStyle name="Comma 8 6 2" xfId="30314"/>
    <cellStyle name="Comma 8 6 3" xfId="30313"/>
    <cellStyle name="Comma 8 7" xfId="30315"/>
    <cellStyle name="Comma 8 8" xfId="30284"/>
    <cellStyle name="Comma 8 9" xfId="38182"/>
    <cellStyle name="Comma 9" xfId="470"/>
    <cellStyle name="Comma 9 2" xfId="1177"/>
    <cellStyle name="Comma 9 2 2" xfId="2742"/>
    <cellStyle name="Comma 9 2 2 2" xfId="9027"/>
    <cellStyle name="Comma 9 2 2 2 2" xfId="30320"/>
    <cellStyle name="Comma 9 2 2 2 3" xfId="30319"/>
    <cellStyle name="Comma 9 2 2 3" xfId="5900"/>
    <cellStyle name="Comma 9 2 2 3 2" xfId="30322"/>
    <cellStyle name="Comma 9 2 2 3 3" xfId="30321"/>
    <cellStyle name="Comma 9 2 2 4" xfId="12210"/>
    <cellStyle name="Comma 9 2 2 4 2" xfId="30324"/>
    <cellStyle name="Comma 9 2 2 4 3" xfId="30323"/>
    <cellStyle name="Comma 9 2 2 5" xfId="30325"/>
    <cellStyle name="Comma 9 2 2 6" xfId="30318"/>
    <cellStyle name="Comma 9 2 3" xfId="7464"/>
    <cellStyle name="Comma 9 2 3 2" xfId="30327"/>
    <cellStyle name="Comma 9 2 3 3" xfId="30326"/>
    <cellStyle name="Comma 9 2 4" xfId="4337"/>
    <cellStyle name="Comma 9 2 4 2" xfId="30329"/>
    <cellStyle name="Comma 9 2 4 3" xfId="30328"/>
    <cellStyle name="Comma 9 2 5" xfId="10647"/>
    <cellStyle name="Comma 9 2 5 2" xfId="30331"/>
    <cellStyle name="Comma 9 2 5 3" xfId="30330"/>
    <cellStyle name="Comma 9 2 6" xfId="30332"/>
    <cellStyle name="Comma 9 2 7" xfId="30317"/>
    <cellStyle name="Comma 9 3" xfId="2062"/>
    <cellStyle name="Comma 9 3 2" xfId="8347"/>
    <cellStyle name="Comma 9 3 2 2" xfId="30335"/>
    <cellStyle name="Comma 9 3 2 3" xfId="30334"/>
    <cellStyle name="Comma 9 3 3" xfId="5220"/>
    <cellStyle name="Comma 9 3 3 2" xfId="30337"/>
    <cellStyle name="Comma 9 3 3 3" xfId="30336"/>
    <cellStyle name="Comma 9 3 4" xfId="11530"/>
    <cellStyle name="Comma 9 3 4 2" xfId="30339"/>
    <cellStyle name="Comma 9 3 4 3" xfId="30338"/>
    <cellStyle name="Comma 9 3 5" xfId="30340"/>
    <cellStyle name="Comma 9 3 6" xfId="30333"/>
    <cellStyle name="Comma 9 4" xfId="6784"/>
    <cellStyle name="Comma 9 4 2" xfId="30342"/>
    <cellStyle name="Comma 9 4 3" xfId="30341"/>
    <cellStyle name="Comma 9 5" xfId="3657"/>
    <cellStyle name="Comma 9 5 2" xfId="30344"/>
    <cellStyle name="Comma 9 5 3" xfId="30343"/>
    <cellStyle name="Comma 9 6" xfId="10089"/>
    <cellStyle name="Comma 9 6 2" xfId="30346"/>
    <cellStyle name="Comma 9 6 3" xfId="30345"/>
    <cellStyle name="Comma 9 7" xfId="30347"/>
    <cellStyle name="Comma 9 8" xfId="30316"/>
    <cellStyle name="Currency" xfId="2" builtinId="4"/>
    <cellStyle name="Currency 10" xfId="1521"/>
    <cellStyle name="Currency 10 2" xfId="3086"/>
    <cellStyle name="Currency 10 2 2" xfId="9371"/>
    <cellStyle name="Currency 10 2 2 2" xfId="30351"/>
    <cellStyle name="Currency 10 2 2 3" xfId="30350"/>
    <cellStyle name="Currency 10 2 3" xfId="6244"/>
    <cellStyle name="Currency 10 2 3 2" xfId="30353"/>
    <cellStyle name="Currency 10 2 3 3" xfId="30352"/>
    <cellStyle name="Currency 10 2 4" xfId="12554"/>
    <cellStyle name="Currency 10 2 4 2" xfId="30355"/>
    <cellStyle name="Currency 10 2 4 3" xfId="30354"/>
    <cellStyle name="Currency 10 2 5" xfId="30356"/>
    <cellStyle name="Currency 10 2 6" xfId="30349"/>
    <cellStyle name="Currency 10 3" xfId="7808"/>
    <cellStyle name="Currency 10 3 2" xfId="30358"/>
    <cellStyle name="Currency 10 3 3" xfId="30357"/>
    <cellStyle name="Currency 10 4" xfId="4681"/>
    <cellStyle name="Currency 10 4 2" xfId="30360"/>
    <cellStyle name="Currency 10 4 3" xfId="30359"/>
    <cellStyle name="Currency 10 5" xfId="10991"/>
    <cellStyle name="Currency 10 5 2" xfId="30362"/>
    <cellStyle name="Currency 10 5 3" xfId="30361"/>
    <cellStyle name="Currency 10 6" xfId="30363"/>
    <cellStyle name="Currency 10 7" xfId="30348"/>
    <cellStyle name="Currency 11" xfId="1751"/>
    <cellStyle name="Currency 11 2" xfId="30364"/>
    <cellStyle name="Currency 12" xfId="9589"/>
    <cellStyle name="Currency 12 2" xfId="30366"/>
    <cellStyle name="Currency 12 3" xfId="30365"/>
    <cellStyle name="Currency 13" xfId="38160"/>
    <cellStyle name="Currency 2" xfId="144"/>
    <cellStyle name="Currency 2 10" xfId="1767"/>
    <cellStyle name="Currency 2 10 2" xfId="8052"/>
    <cellStyle name="Currency 2 10 2 2" xfId="30370"/>
    <cellStyle name="Currency 2 10 2 3" xfId="30369"/>
    <cellStyle name="Currency 2 10 3" xfId="4925"/>
    <cellStyle name="Currency 2 10 3 2" xfId="30372"/>
    <cellStyle name="Currency 2 10 3 3" xfId="30371"/>
    <cellStyle name="Currency 2 10 4" xfId="11235"/>
    <cellStyle name="Currency 2 10 4 2" xfId="30374"/>
    <cellStyle name="Currency 2 10 4 3" xfId="30373"/>
    <cellStyle name="Currency 2 10 5" xfId="30375"/>
    <cellStyle name="Currency 2 10 6" xfId="30368"/>
    <cellStyle name="Currency 2 11" xfId="6489"/>
    <cellStyle name="Currency 2 11 2" xfId="30377"/>
    <cellStyle name="Currency 2 11 3" xfId="30376"/>
    <cellStyle name="Currency 2 12" xfId="3362"/>
    <cellStyle name="Currency 2 12 2" xfId="30379"/>
    <cellStyle name="Currency 2 12 3" xfId="30378"/>
    <cellStyle name="Currency 2 13" xfId="9642"/>
    <cellStyle name="Currency 2 13 2" xfId="30381"/>
    <cellStyle name="Currency 2 13 3" xfId="30380"/>
    <cellStyle name="Currency 2 14" xfId="30382"/>
    <cellStyle name="Currency 2 15" xfId="30367"/>
    <cellStyle name="Currency 2 16" xfId="38161"/>
    <cellStyle name="Currency 2 2" xfId="200"/>
    <cellStyle name="Currency 2 2 2" xfId="30383"/>
    <cellStyle name="Currency 2 3" xfId="274"/>
    <cellStyle name="Currency 2 3 2" xfId="706"/>
    <cellStyle name="Currency 2 3 2 2" xfId="30385"/>
    <cellStyle name="Currency 2 3 3" xfId="985"/>
    <cellStyle name="Currency 2 3 3 2" xfId="2551"/>
    <cellStyle name="Currency 2 3 3 2 2" xfId="8836"/>
    <cellStyle name="Currency 2 3 3 2 2 2" xfId="30389"/>
    <cellStyle name="Currency 2 3 3 2 2 3" xfId="30388"/>
    <cellStyle name="Currency 2 3 3 2 3" xfId="5709"/>
    <cellStyle name="Currency 2 3 3 2 3 2" xfId="30391"/>
    <cellStyle name="Currency 2 3 3 2 3 3" xfId="30390"/>
    <cellStyle name="Currency 2 3 3 2 4" xfId="12019"/>
    <cellStyle name="Currency 2 3 3 2 4 2" xfId="30393"/>
    <cellStyle name="Currency 2 3 3 2 4 3" xfId="30392"/>
    <cellStyle name="Currency 2 3 3 2 5" xfId="30394"/>
    <cellStyle name="Currency 2 3 3 2 6" xfId="30387"/>
    <cellStyle name="Currency 2 3 3 3" xfId="7273"/>
    <cellStyle name="Currency 2 3 3 3 2" xfId="30396"/>
    <cellStyle name="Currency 2 3 3 3 3" xfId="30395"/>
    <cellStyle name="Currency 2 3 3 4" xfId="4146"/>
    <cellStyle name="Currency 2 3 3 4 2" xfId="30398"/>
    <cellStyle name="Currency 2 3 3 4 3" xfId="30397"/>
    <cellStyle name="Currency 2 3 3 5" xfId="10456"/>
    <cellStyle name="Currency 2 3 3 5 2" xfId="30400"/>
    <cellStyle name="Currency 2 3 3 5 3" xfId="30399"/>
    <cellStyle name="Currency 2 3 3 6" xfId="30401"/>
    <cellStyle name="Currency 2 3 3 7" xfId="30386"/>
    <cellStyle name="Currency 2 3 4" xfId="1871"/>
    <cellStyle name="Currency 2 3 4 2" xfId="8156"/>
    <cellStyle name="Currency 2 3 4 2 2" xfId="30404"/>
    <cellStyle name="Currency 2 3 4 2 3" xfId="30403"/>
    <cellStyle name="Currency 2 3 4 3" xfId="5029"/>
    <cellStyle name="Currency 2 3 4 3 2" xfId="30406"/>
    <cellStyle name="Currency 2 3 4 3 3" xfId="30405"/>
    <cellStyle name="Currency 2 3 4 4" xfId="11339"/>
    <cellStyle name="Currency 2 3 4 4 2" xfId="30408"/>
    <cellStyle name="Currency 2 3 4 4 3" xfId="30407"/>
    <cellStyle name="Currency 2 3 4 5" xfId="30409"/>
    <cellStyle name="Currency 2 3 4 6" xfId="30402"/>
    <cellStyle name="Currency 2 3 5" xfId="6593"/>
    <cellStyle name="Currency 2 3 5 2" xfId="9929"/>
    <cellStyle name="Currency 2 3 5 2 2" xfId="30412"/>
    <cellStyle name="Currency 2 3 5 2 3" xfId="30411"/>
    <cellStyle name="Currency 2 3 5 3" xfId="30413"/>
    <cellStyle name="Currency 2 3 5 4" xfId="30410"/>
    <cellStyle name="Currency 2 3 6" xfId="3466"/>
    <cellStyle name="Currency 2 3 6 2" xfId="30415"/>
    <cellStyle name="Currency 2 3 6 3" xfId="30414"/>
    <cellStyle name="Currency 2 3 7" xfId="30416"/>
    <cellStyle name="Currency 2 3 8" xfId="30384"/>
    <cellStyle name="Currency 2 4" xfId="382"/>
    <cellStyle name="Currency 2 4 2" xfId="1090"/>
    <cellStyle name="Currency 2 4 2 2" xfId="2655"/>
    <cellStyle name="Currency 2 4 2 2 2" xfId="8940"/>
    <cellStyle name="Currency 2 4 2 2 2 2" xfId="30421"/>
    <cellStyle name="Currency 2 4 2 2 2 3" xfId="30420"/>
    <cellStyle name="Currency 2 4 2 2 3" xfId="5813"/>
    <cellStyle name="Currency 2 4 2 2 3 2" xfId="30423"/>
    <cellStyle name="Currency 2 4 2 2 3 3" xfId="30422"/>
    <cellStyle name="Currency 2 4 2 2 4" xfId="12123"/>
    <cellStyle name="Currency 2 4 2 2 4 2" xfId="30425"/>
    <cellStyle name="Currency 2 4 2 2 4 3" xfId="30424"/>
    <cellStyle name="Currency 2 4 2 2 5" xfId="30426"/>
    <cellStyle name="Currency 2 4 2 2 6" xfId="30419"/>
    <cellStyle name="Currency 2 4 2 3" xfId="7377"/>
    <cellStyle name="Currency 2 4 2 3 2" xfId="30428"/>
    <cellStyle name="Currency 2 4 2 3 3" xfId="30427"/>
    <cellStyle name="Currency 2 4 2 4" xfId="4250"/>
    <cellStyle name="Currency 2 4 2 4 2" xfId="30430"/>
    <cellStyle name="Currency 2 4 2 4 3" xfId="30429"/>
    <cellStyle name="Currency 2 4 2 5" xfId="10560"/>
    <cellStyle name="Currency 2 4 2 5 2" xfId="30432"/>
    <cellStyle name="Currency 2 4 2 5 3" xfId="30431"/>
    <cellStyle name="Currency 2 4 2 6" xfId="30433"/>
    <cellStyle name="Currency 2 4 2 7" xfId="30418"/>
    <cellStyle name="Currency 2 4 3" xfId="1975"/>
    <cellStyle name="Currency 2 4 3 2" xfId="8260"/>
    <cellStyle name="Currency 2 4 3 2 2" xfId="30436"/>
    <cellStyle name="Currency 2 4 3 2 3" xfId="30435"/>
    <cellStyle name="Currency 2 4 3 3" xfId="5133"/>
    <cellStyle name="Currency 2 4 3 3 2" xfId="30438"/>
    <cellStyle name="Currency 2 4 3 3 3" xfId="30437"/>
    <cellStyle name="Currency 2 4 3 4" xfId="11443"/>
    <cellStyle name="Currency 2 4 3 4 2" xfId="30440"/>
    <cellStyle name="Currency 2 4 3 4 3" xfId="30439"/>
    <cellStyle name="Currency 2 4 3 5" xfId="30441"/>
    <cellStyle name="Currency 2 4 3 6" xfId="30434"/>
    <cellStyle name="Currency 2 4 4" xfId="6697"/>
    <cellStyle name="Currency 2 4 4 2" xfId="30443"/>
    <cellStyle name="Currency 2 4 4 3" xfId="30442"/>
    <cellStyle name="Currency 2 4 5" xfId="3570"/>
    <cellStyle name="Currency 2 4 5 2" xfId="30445"/>
    <cellStyle name="Currency 2 4 5 3" xfId="30444"/>
    <cellStyle name="Currency 2 4 6" xfId="10002"/>
    <cellStyle name="Currency 2 4 6 2" xfId="30447"/>
    <cellStyle name="Currency 2 4 6 3" xfId="30446"/>
    <cellStyle name="Currency 2 4 7" xfId="30448"/>
    <cellStyle name="Currency 2 4 8" xfId="30417"/>
    <cellStyle name="Currency 2 5" xfId="439"/>
    <cellStyle name="Currency 2 5 2" xfId="1146"/>
    <cellStyle name="Currency 2 5 2 2" xfId="2711"/>
    <cellStyle name="Currency 2 5 2 2 2" xfId="8996"/>
    <cellStyle name="Currency 2 5 2 2 2 2" xfId="30453"/>
    <cellStyle name="Currency 2 5 2 2 2 3" xfId="30452"/>
    <cellStyle name="Currency 2 5 2 2 3" xfId="5869"/>
    <cellStyle name="Currency 2 5 2 2 3 2" xfId="30455"/>
    <cellStyle name="Currency 2 5 2 2 3 3" xfId="30454"/>
    <cellStyle name="Currency 2 5 2 2 4" xfId="12179"/>
    <cellStyle name="Currency 2 5 2 2 4 2" xfId="30457"/>
    <cellStyle name="Currency 2 5 2 2 4 3" xfId="30456"/>
    <cellStyle name="Currency 2 5 2 2 5" xfId="30458"/>
    <cellStyle name="Currency 2 5 2 2 6" xfId="30451"/>
    <cellStyle name="Currency 2 5 2 3" xfId="7433"/>
    <cellStyle name="Currency 2 5 2 3 2" xfId="30460"/>
    <cellStyle name="Currency 2 5 2 3 3" xfId="30459"/>
    <cellStyle name="Currency 2 5 2 4" xfId="4306"/>
    <cellStyle name="Currency 2 5 2 4 2" xfId="30462"/>
    <cellStyle name="Currency 2 5 2 4 3" xfId="30461"/>
    <cellStyle name="Currency 2 5 2 5" xfId="10616"/>
    <cellStyle name="Currency 2 5 2 5 2" xfId="30464"/>
    <cellStyle name="Currency 2 5 2 5 3" xfId="30463"/>
    <cellStyle name="Currency 2 5 2 6" xfId="30465"/>
    <cellStyle name="Currency 2 5 2 7" xfId="30450"/>
    <cellStyle name="Currency 2 5 3" xfId="2031"/>
    <cellStyle name="Currency 2 5 3 2" xfId="8316"/>
    <cellStyle name="Currency 2 5 3 2 2" xfId="30468"/>
    <cellStyle name="Currency 2 5 3 2 3" xfId="30467"/>
    <cellStyle name="Currency 2 5 3 3" xfId="5189"/>
    <cellStyle name="Currency 2 5 3 3 2" xfId="30470"/>
    <cellStyle name="Currency 2 5 3 3 3" xfId="30469"/>
    <cellStyle name="Currency 2 5 3 4" xfId="11499"/>
    <cellStyle name="Currency 2 5 3 4 2" xfId="30472"/>
    <cellStyle name="Currency 2 5 3 4 3" xfId="30471"/>
    <cellStyle name="Currency 2 5 3 5" xfId="30473"/>
    <cellStyle name="Currency 2 5 3 6" xfId="30466"/>
    <cellStyle name="Currency 2 5 4" xfId="6753"/>
    <cellStyle name="Currency 2 5 4 2" xfId="30475"/>
    <cellStyle name="Currency 2 5 4 3" xfId="30474"/>
    <cellStyle name="Currency 2 5 5" xfId="3626"/>
    <cellStyle name="Currency 2 5 5 2" xfId="30477"/>
    <cellStyle name="Currency 2 5 5 3" xfId="30476"/>
    <cellStyle name="Currency 2 5 6" xfId="10058"/>
    <cellStyle name="Currency 2 5 6 2" xfId="30479"/>
    <cellStyle name="Currency 2 5 6 3" xfId="30478"/>
    <cellStyle name="Currency 2 5 7" xfId="30480"/>
    <cellStyle name="Currency 2 5 8" xfId="30449"/>
    <cellStyle name="Currency 2 6" xfId="608"/>
    <cellStyle name="Currency 2 6 2" xfId="1315"/>
    <cellStyle name="Currency 2 6 2 2" xfId="2880"/>
    <cellStyle name="Currency 2 6 2 2 2" xfId="9165"/>
    <cellStyle name="Currency 2 6 2 2 2 2" xfId="30485"/>
    <cellStyle name="Currency 2 6 2 2 2 3" xfId="30484"/>
    <cellStyle name="Currency 2 6 2 2 3" xfId="6038"/>
    <cellStyle name="Currency 2 6 2 2 3 2" xfId="30487"/>
    <cellStyle name="Currency 2 6 2 2 3 3" xfId="30486"/>
    <cellStyle name="Currency 2 6 2 2 4" xfId="12348"/>
    <cellStyle name="Currency 2 6 2 2 4 2" xfId="30489"/>
    <cellStyle name="Currency 2 6 2 2 4 3" xfId="30488"/>
    <cellStyle name="Currency 2 6 2 2 5" xfId="30490"/>
    <cellStyle name="Currency 2 6 2 2 6" xfId="30483"/>
    <cellStyle name="Currency 2 6 2 3" xfId="7602"/>
    <cellStyle name="Currency 2 6 2 3 2" xfId="30492"/>
    <cellStyle name="Currency 2 6 2 3 3" xfId="30491"/>
    <cellStyle name="Currency 2 6 2 4" xfId="4475"/>
    <cellStyle name="Currency 2 6 2 4 2" xfId="30494"/>
    <cellStyle name="Currency 2 6 2 4 3" xfId="30493"/>
    <cellStyle name="Currency 2 6 2 5" xfId="10785"/>
    <cellStyle name="Currency 2 6 2 5 2" xfId="30496"/>
    <cellStyle name="Currency 2 6 2 5 3" xfId="30495"/>
    <cellStyle name="Currency 2 6 2 6" xfId="30497"/>
    <cellStyle name="Currency 2 6 2 7" xfId="30482"/>
    <cellStyle name="Currency 2 6 3" xfId="2200"/>
    <cellStyle name="Currency 2 6 3 2" xfId="8485"/>
    <cellStyle name="Currency 2 6 3 2 2" xfId="30500"/>
    <cellStyle name="Currency 2 6 3 2 3" xfId="30499"/>
    <cellStyle name="Currency 2 6 3 3" xfId="5358"/>
    <cellStyle name="Currency 2 6 3 3 2" xfId="30502"/>
    <cellStyle name="Currency 2 6 3 3 3" xfId="30501"/>
    <cellStyle name="Currency 2 6 3 4" xfId="11668"/>
    <cellStyle name="Currency 2 6 3 4 2" xfId="30504"/>
    <cellStyle name="Currency 2 6 3 4 3" xfId="30503"/>
    <cellStyle name="Currency 2 6 3 5" xfId="30505"/>
    <cellStyle name="Currency 2 6 3 6" xfId="30498"/>
    <cellStyle name="Currency 2 6 4" xfId="6922"/>
    <cellStyle name="Currency 2 6 4 2" xfId="30507"/>
    <cellStyle name="Currency 2 6 4 3" xfId="30506"/>
    <cellStyle name="Currency 2 6 5" xfId="3795"/>
    <cellStyle name="Currency 2 6 5 2" xfId="30509"/>
    <cellStyle name="Currency 2 6 5 3" xfId="30508"/>
    <cellStyle name="Currency 2 6 6" xfId="10226"/>
    <cellStyle name="Currency 2 6 6 2" xfId="30511"/>
    <cellStyle name="Currency 2 6 6 3" xfId="30510"/>
    <cellStyle name="Currency 2 6 7" xfId="30512"/>
    <cellStyle name="Currency 2 6 8" xfId="30481"/>
    <cellStyle name="Currency 2 7" xfId="667"/>
    <cellStyle name="Currency 2 7 2" xfId="1372"/>
    <cellStyle name="Currency 2 7 2 2" xfId="2937"/>
    <cellStyle name="Currency 2 7 2 2 2" xfId="9222"/>
    <cellStyle name="Currency 2 7 2 2 2 2" xfId="30517"/>
    <cellStyle name="Currency 2 7 2 2 2 3" xfId="30516"/>
    <cellStyle name="Currency 2 7 2 2 3" xfId="6095"/>
    <cellStyle name="Currency 2 7 2 2 3 2" xfId="30519"/>
    <cellStyle name="Currency 2 7 2 2 3 3" xfId="30518"/>
    <cellStyle name="Currency 2 7 2 2 4" xfId="12405"/>
    <cellStyle name="Currency 2 7 2 2 4 2" xfId="30521"/>
    <cellStyle name="Currency 2 7 2 2 4 3" xfId="30520"/>
    <cellStyle name="Currency 2 7 2 2 5" xfId="30522"/>
    <cellStyle name="Currency 2 7 2 2 6" xfId="30515"/>
    <cellStyle name="Currency 2 7 2 3" xfId="7659"/>
    <cellStyle name="Currency 2 7 2 3 2" xfId="30524"/>
    <cellStyle name="Currency 2 7 2 3 3" xfId="30523"/>
    <cellStyle name="Currency 2 7 2 4" xfId="4532"/>
    <cellStyle name="Currency 2 7 2 4 2" xfId="30526"/>
    <cellStyle name="Currency 2 7 2 4 3" xfId="30525"/>
    <cellStyle name="Currency 2 7 2 5" xfId="10842"/>
    <cellStyle name="Currency 2 7 2 5 2" xfId="30528"/>
    <cellStyle name="Currency 2 7 2 5 3" xfId="30527"/>
    <cellStyle name="Currency 2 7 2 6" xfId="30529"/>
    <cellStyle name="Currency 2 7 2 7" xfId="30514"/>
    <cellStyle name="Currency 2 7 3" xfId="2257"/>
    <cellStyle name="Currency 2 7 3 2" xfId="8542"/>
    <cellStyle name="Currency 2 7 3 2 2" xfId="30532"/>
    <cellStyle name="Currency 2 7 3 2 3" xfId="30531"/>
    <cellStyle name="Currency 2 7 3 3" xfId="5415"/>
    <cellStyle name="Currency 2 7 3 3 2" xfId="30534"/>
    <cellStyle name="Currency 2 7 3 3 3" xfId="30533"/>
    <cellStyle name="Currency 2 7 3 4" xfId="11725"/>
    <cellStyle name="Currency 2 7 3 4 2" xfId="30536"/>
    <cellStyle name="Currency 2 7 3 4 3" xfId="30535"/>
    <cellStyle name="Currency 2 7 3 5" xfId="30537"/>
    <cellStyle name="Currency 2 7 3 6" xfId="30530"/>
    <cellStyle name="Currency 2 7 4" xfId="6979"/>
    <cellStyle name="Currency 2 7 4 2" xfId="30539"/>
    <cellStyle name="Currency 2 7 4 3" xfId="30538"/>
    <cellStyle name="Currency 2 7 5" xfId="3852"/>
    <cellStyle name="Currency 2 7 5 2" xfId="30541"/>
    <cellStyle name="Currency 2 7 5 3" xfId="30540"/>
    <cellStyle name="Currency 2 7 6" xfId="10285"/>
    <cellStyle name="Currency 2 7 6 2" xfId="30543"/>
    <cellStyle name="Currency 2 7 6 3" xfId="30542"/>
    <cellStyle name="Currency 2 7 7" xfId="30544"/>
    <cellStyle name="Currency 2 7 8" xfId="30513"/>
    <cellStyle name="Currency 2 8" xfId="881"/>
    <cellStyle name="Currency 2 8 2" xfId="2447"/>
    <cellStyle name="Currency 2 8 2 2" xfId="8732"/>
    <cellStyle name="Currency 2 8 2 2 2" xfId="30548"/>
    <cellStyle name="Currency 2 8 2 2 3" xfId="30547"/>
    <cellStyle name="Currency 2 8 2 3" xfId="5605"/>
    <cellStyle name="Currency 2 8 2 3 2" xfId="30550"/>
    <cellStyle name="Currency 2 8 2 3 3" xfId="30549"/>
    <cellStyle name="Currency 2 8 2 4" xfId="11915"/>
    <cellStyle name="Currency 2 8 2 4 2" xfId="30552"/>
    <cellStyle name="Currency 2 8 2 4 3" xfId="30551"/>
    <cellStyle name="Currency 2 8 2 5" xfId="30553"/>
    <cellStyle name="Currency 2 8 2 6" xfId="30546"/>
    <cellStyle name="Currency 2 8 3" xfId="7169"/>
    <cellStyle name="Currency 2 8 3 2" xfId="30555"/>
    <cellStyle name="Currency 2 8 3 3" xfId="30554"/>
    <cellStyle name="Currency 2 8 4" xfId="4042"/>
    <cellStyle name="Currency 2 8 4 2" xfId="30557"/>
    <cellStyle name="Currency 2 8 4 3" xfId="30556"/>
    <cellStyle name="Currency 2 8 5" xfId="10352"/>
    <cellStyle name="Currency 2 8 5 2" xfId="30559"/>
    <cellStyle name="Currency 2 8 5 3" xfId="30558"/>
    <cellStyle name="Currency 2 8 6" xfId="30560"/>
    <cellStyle name="Currency 2 8 7" xfId="30545"/>
    <cellStyle name="Currency 2 9" xfId="1574"/>
    <cellStyle name="Currency 2 9 2" xfId="3139"/>
    <cellStyle name="Currency 2 9 2 2" xfId="9424"/>
    <cellStyle name="Currency 2 9 2 2 2" xfId="30564"/>
    <cellStyle name="Currency 2 9 2 2 3" xfId="30563"/>
    <cellStyle name="Currency 2 9 2 3" xfId="6297"/>
    <cellStyle name="Currency 2 9 2 3 2" xfId="30566"/>
    <cellStyle name="Currency 2 9 2 3 3" xfId="30565"/>
    <cellStyle name="Currency 2 9 2 4" xfId="12607"/>
    <cellStyle name="Currency 2 9 2 4 2" xfId="30568"/>
    <cellStyle name="Currency 2 9 2 4 3" xfId="30567"/>
    <cellStyle name="Currency 2 9 2 5" xfId="30569"/>
    <cellStyle name="Currency 2 9 2 6" xfId="30562"/>
    <cellStyle name="Currency 2 9 3" xfId="7861"/>
    <cellStyle name="Currency 2 9 3 2" xfId="30571"/>
    <cellStyle name="Currency 2 9 3 3" xfId="30570"/>
    <cellStyle name="Currency 2 9 4" xfId="4734"/>
    <cellStyle name="Currency 2 9 4 2" xfId="30573"/>
    <cellStyle name="Currency 2 9 4 3" xfId="30572"/>
    <cellStyle name="Currency 2 9 5" xfId="11044"/>
    <cellStyle name="Currency 2 9 5 2" xfId="30575"/>
    <cellStyle name="Currency 2 9 5 3" xfId="30574"/>
    <cellStyle name="Currency 2 9 6" xfId="30576"/>
    <cellStyle name="Currency 2 9 7" xfId="30561"/>
    <cellStyle name="Currency 3" xfId="199"/>
    <cellStyle name="Currency 3 10" xfId="1604"/>
    <cellStyle name="Currency 3 10 2" xfId="3169"/>
    <cellStyle name="Currency 3 10 2 2" xfId="9454"/>
    <cellStyle name="Currency 3 10 2 2 2" xfId="30581"/>
    <cellStyle name="Currency 3 10 2 2 3" xfId="30580"/>
    <cellStyle name="Currency 3 10 2 3" xfId="6327"/>
    <cellStyle name="Currency 3 10 2 3 2" xfId="30583"/>
    <cellStyle name="Currency 3 10 2 3 3" xfId="30582"/>
    <cellStyle name="Currency 3 10 2 4" xfId="12637"/>
    <cellStyle name="Currency 3 10 2 4 2" xfId="30585"/>
    <cellStyle name="Currency 3 10 2 4 3" xfId="30584"/>
    <cellStyle name="Currency 3 10 2 5" xfId="30586"/>
    <cellStyle name="Currency 3 10 2 6" xfId="30579"/>
    <cellStyle name="Currency 3 10 3" xfId="7891"/>
    <cellStyle name="Currency 3 10 3 2" xfId="30588"/>
    <cellStyle name="Currency 3 10 3 3" xfId="30587"/>
    <cellStyle name="Currency 3 10 4" xfId="4764"/>
    <cellStyle name="Currency 3 10 4 2" xfId="30590"/>
    <cellStyle name="Currency 3 10 4 3" xfId="30589"/>
    <cellStyle name="Currency 3 10 5" xfId="11074"/>
    <cellStyle name="Currency 3 10 5 2" xfId="30592"/>
    <cellStyle name="Currency 3 10 5 3" xfId="30591"/>
    <cellStyle name="Currency 3 10 6" xfId="30593"/>
    <cellStyle name="Currency 3 10 7" xfId="30578"/>
    <cellStyle name="Currency 3 11" xfId="9824"/>
    <cellStyle name="Currency 3 11 2" xfId="30594"/>
    <cellStyle name="Currency 3 12" xfId="9672"/>
    <cellStyle name="Currency 3 12 2" xfId="30596"/>
    <cellStyle name="Currency 3 12 3" xfId="30595"/>
    <cellStyle name="Currency 3 13" xfId="30577"/>
    <cellStyle name="Currency 3 14" xfId="38162"/>
    <cellStyle name="Currency 3 2" xfId="708"/>
    <cellStyle name="Currency 3 2 10" xfId="30598"/>
    <cellStyle name="Currency 3 2 11" xfId="30597"/>
    <cellStyle name="Currency 3 2 2" xfId="709"/>
    <cellStyle name="Currency 3 2 2 10" xfId="30599"/>
    <cellStyle name="Currency 3 2 2 2" xfId="710"/>
    <cellStyle name="Currency 3 2 2 2 2" xfId="1405"/>
    <cellStyle name="Currency 3 2 2 2 2 2" xfId="2970"/>
    <cellStyle name="Currency 3 2 2 2 2 2 2" xfId="9255"/>
    <cellStyle name="Currency 3 2 2 2 2 2 2 2" xfId="30604"/>
    <cellStyle name="Currency 3 2 2 2 2 2 2 3" xfId="30603"/>
    <cellStyle name="Currency 3 2 2 2 2 2 3" xfId="6128"/>
    <cellStyle name="Currency 3 2 2 2 2 2 3 2" xfId="30606"/>
    <cellStyle name="Currency 3 2 2 2 2 2 3 3" xfId="30605"/>
    <cellStyle name="Currency 3 2 2 2 2 2 4" xfId="12438"/>
    <cellStyle name="Currency 3 2 2 2 2 2 4 2" xfId="30608"/>
    <cellStyle name="Currency 3 2 2 2 2 2 4 3" xfId="30607"/>
    <cellStyle name="Currency 3 2 2 2 2 2 5" xfId="30609"/>
    <cellStyle name="Currency 3 2 2 2 2 2 6" xfId="30602"/>
    <cellStyle name="Currency 3 2 2 2 2 3" xfId="7692"/>
    <cellStyle name="Currency 3 2 2 2 2 3 2" xfId="30611"/>
    <cellStyle name="Currency 3 2 2 2 2 3 3" xfId="30610"/>
    <cellStyle name="Currency 3 2 2 2 2 4" xfId="4565"/>
    <cellStyle name="Currency 3 2 2 2 2 4 2" xfId="30613"/>
    <cellStyle name="Currency 3 2 2 2 2 4 3" xfId="30612"/>
    <cellStyle name="Currency 3 2 2 2 2 5" xfId="10875"/>
    <cellStyle name="Currency 3 2 2 2 2 5 2" xfId="30615"/>
    <cellStyle name="Currency 3 2 2 2 2 5 3" xfId="30614"/>
    <cellStyle name="Currency 3 2 2 2 2 6" xfId="30616"/>
    <cellStyle name="Currency 3 2 2 2 2 7" xfId="30601"/>
    <cellStyle name="Currency 3 2 2 2 3" xfId="1607"/>
    <cellStyle name="Currency 3 2 2 2 3 2" xfId="3172"/>
    <cellStyle name="Currency 3 2 2 2 3 2 2" xfId="9457"/>
    <cellStyle name="Currency 3 2 2 2 3 2 2 2" xfId="30620"/>
    <cellStyle name="Currency 3 2 2 2 3 2 2 3" xfId="30619"/>
    <cellStyle name="Currency 3 2 2 2 3 2 3" xfId="6330"/>
    <cellStyle name="Currency 3 2 2 2 3 2 3 2" xfId="30622"/>
    <cellStyle name="Currency 3 2 2 2 3 2 3 3" xfId="30621"/>
    <cellStyle name="Currency 3 2 2 2 3 2 4" xfId="12640"/>
    <cellStyle name="Currency 3 2 2 2 3 2 4 2" xfId="30624"/>
    <cellStyle name="Currency 3 2 2 2 3 2 4 3" xfId="30623"/>
    <cellStyle name="Currency 3 2 2 2 3 2 5" xfId="30625"/>
    <cellStyle name="Currency 3 2 2 2 3 2 6" xfId="30618"/>
    <cellStyle name="Currency 3 2 2 2 3 3" xfId="7894"/>
    <cellStyle name="Currency 3 2 2 2 3 3 2" xfId="30627"/>
    <cellStyle name="Currency 3 2 2 2 3 3 3" xfId="30626"/>
    <cellStyle name="Currency 3 2 2 2 3 4" xfId="4767"/>
    <cellStyle name="Currency 3 2 2 2 3 4 2" xfId="30629"/>
    <cellStyle name="Currency 3 2 2 2 3 4 3" xfId="30628"/>
    <cellStyle name="Currency 3 2 2 2 3 5" xfId="11077"/>
    <cellStyle name="Currency 3 2 2 2 3 5 2" xfId="30631"/>
    <cellStyle name="Currency 3 2 2 2 3 5 3" xfId="30630"/>
    <cellStyle name="Currency 3 2 2 2 3 6" xfId="30632"/>
    <cellStyle name="Currency 3 2 2 2 3 7" xfId="30617"/>
    <cellStyle name="Currency 3 2 2 2 4" xfId="2290"/>
    <cellStyle name="Currency 3 2 2 2 4 2" xfId="8575"/>
    <cellStyle name="Currency 3 2 2 2 4 2 2" xfId="30635"/>
    <cellStyle name="Currency 3 2 2 2 4 2 3" xfId="30634"/>
    <cellStyle name="Currency 3 2 2 2 4 3" xfId="5448"/>
    <cellStyle name="Currency 3 2 2 2 4 3 2" xfId="30637"/>
    <cellStyle name="Currency 3 2 2 2 4 3 3" xfId="30636"/>
    <cellStyle name="Currency 3 2 2 2 4 4" xfId="11758"/>
    <cellStyle name="Currency 3 2 2 2 4 4 2" xfId="30639"/>
    <cellStyle name="Currency 3 2 2 2 4 4 3" xfId="30638"/>
    <cellStyle name="Currency 3 2 2 2 4 5" xfId="30640"/>
    <cellStyle name="Currency 3 2 2 2 4 6" xfId="30633"/>
    <cellStyle name="Currency 3 2 2 2 5" xfId="7012"/>
    <cellStyle name="Currency 3 2 2 2 5 2" xfId="30642"/>
    <cellStyle name="Currency 3 2 2 2 5 3" xfId="30641"/>
    <cellStyle name="Currency 3 2 2 2 6" xfId="3885"/>
    <cellStyle name="Currency 3 2 2 2 6 2" xfId="30644"/>
    <cellStyle name="Currency 3 2 2 2 6 3" xfId="30643"/>
    <cellStyle name="Currency 3 2 2 2 7" xfId="9675"/>
    <cellStyle name="Currency 3 2 2 2 7 2" xfId="30646"/>
    <cellStyle name="Currency 3 2 2 2 7 3" xfId="30645"/>
    <cellStyle name="Currency 3 2 2 2 8" xfId="30647"/>
    <cellStyle name="Currency 3 2 2 2 9" xfId="30600"/>
    <cellStyle name="Currency 3 2 2 3" xfId="1404"/>
    <cellStyle name="Currency 3 2 2 3 2" xfId="2969"/>
    <cellStyle name="Currency 3 2 2 3 2 2" xfId="9254"/>
    <cellStyle name="Currency 3 2 2 3 2 2 2" xfId="30651"/>
    <cellStyle name="Currency 3 2 2 3 2 2 3" xfId="30650"/>
    <cellStyle name="Currency 3 2 2 3 2 3" xfId="6127"/>
    <cellStyle name="Currency 3 2 2 3 2 3 2" xfId="30653"/>
    <cellStyle name="Currency 3 2 2 3 2 3 3" xfId="30652"/>
    <cellStyle name="Currency 3 2 2 3 2 4" xfId="12437"/>
    <cellStyle name="Currency 3 2 2 3 2 4 2" xfId="30655"/>
    <cellStyle name="Currency 3 2 2 3 2 4 3" xfId="30654"/>
    <cellStyle name="Currency 3 2 2 3 2 5" xfId="30656"/>
    <cellStyle name="Currency 3 2 2 3 2 6" xfId="30649"/>
    <cellStyle name="Currency 3 2 2 3 3" xfId="7691"/>
    <cellStyle name="Currency 3 2 2 3 3 2" xfId="30658"/>
    <cellStyle name="Currency 3 2 2 3 3 3" xfId="30657"/>
    <cellStyle name="Currency 3 2 2 3 4" xfId="4564"/>
    <cellStyle name="Currency 3 2 2 3 4 2" xfId="30660"/>
    <cellStyle name="Currency 3 2 2 3 4 3" xfId="30659"/>
    <cellStyle name="Currency 3 2 2 3 5" xfId="10874"/>
    <cellStyle name="Currency 3 2 2 3 5 2" xfId="30662"/>
    <cellStyle name="Currency 3 2 2 3 5 3" xfId="30661"/>
    <cellStyle name="Currency 3 2 2 3 6" xfId="30663"/>
    <cellStyle name="Currency 3 2 2 3 7" xfId="30648"/>
    <cellStyle name="Currency 3 2 2 4" xfId="1606"/>
    <cellStyle name="Currency 3 2 2 4 2" xfId="3171"/>
    <cellStyle name="Currency 3 2 2 4 2 2" xfId="9456"/>
    <cellStyle name="Currency 3 2 2 4 2 2 2" xfId="30667"/>
    <cellStyle name="Currency 3 2 2 4 2 2 3" xfId="30666"/>
    <cellStyle name="Currency 3 2 2 4 2 3" xfId="6329"/>
    <cellStyle name="Currency 3 2 2 4 2 3 2" xfId="30669"/>
    <cellStyle name="Currency 3 2 2 4 2 3 3" xfId="30668"/>
    <cellStyle name="Currency 3 2 2 4 2 4" xfId="12639"/>
    <cellStyle name="Currency 3 2 2 4 2 4 2" xfId="30671"/>
    <cellStyle name="Currency 3 2 2 4 2 4 3" xfId="30670"/>
    <cellStyle name="Currency 3 2 2 4 2 5" xfId="30672"/>
    <cellStyle name="Currency 3 2 2 4 2 6" xfId="30665"/>
    <cellStyle name="Currency 3 2 2 4 3" xfId="7893"/>
    <cellStyle name="Currency 3 2 2 4 3 2" xfId="30674"/>
    <cellStyle name="Currency 3 2 2 4 3 3" xfId="30673"/>
    <cellStyle name="Currency 3 2 2 4 4" xfId="4766"/>
    <cellStyle name="Currency 3 2 2 4 4 2" xfId="30676"/>
    <cellStyle name="Currency 3 2 2 4 4 3" xfId="30675"/>
    <cellStyle name="Currency 3 2 2 4 5" xfId="11076"/>
    <cellStyle name="Currency 3 2 2 4 5 2" xfId="30678"/>
    <cellStyle name="Currency 3 2 2 4 5 3" xfId="30677"/>
    <cellStyle name="Currency 3 2 2 4 6" xfId="30679"/>
    <cellStyle name="Currency 3 2 2 4 7" xfId="30664"/>
    <cellStyle name="Currency 3 2 2 5" xfId="2289"/>
    <cellStyle name="Currency 3 2 2 5 2" xfId="8574"/>
    <cellStyle name="Currency 3 2 2 5 2 2" xfId="30682"/>
    <cellStyle name="Currency 3 2 2 5 2 3" xfId="30681"/>
    <cellStyle name="Currency 3 2 2 5 3" xfId="5447"/>
    <cellStyle name="Currency 3 2 2 5 3 2" xfId="30684"/>
    <cellStyle name="Currency 3 2 2 5 3 3" xfId="30683"/>
    <cellStyle name="Currency 3 2 2 5 4" xfId="11757"/>
    <cellStyle name="Currency 3 2 2 5 4 2" xfId="30686"/>
    <cellStyle name="Currency 3 2 2 5 4 3" xfId="30685"/>
    <cellStyle name="Currency 3 2 2 5 5" xfId="30687"/>
    <cellStyle name="Currency 3 2 2 5 6" xfId="30680"/>
    <cellStyle name="Currency 3 2 2 6" xfId="7011"/>
    <cellStyle name="Currency 3 2 2 6 2" xfId="30689"/>
    <cellStyle name="Currency 3 2 2 6 3" xfId="30688"/>
    <cellStyle name="Currency 3 2 2 7" xfId="3884"/>
    <cellStyle name="Currency 3 2 2 7 2" xfId="30691"/>
    <cellStyle name="Currency 3 2 2 7 3" xfId="30690"/>
    <cellStyle name="Currency 3 2 2 8" xfId="9674"/>
    <cellStyle name="Currency 3 2 2 8 2" xfId="30693"/>
    <cellStyle name="Currency 3 2 2 8 3" xfId="30692"/>
    <cellStyle name="Currency 3 2 2 9" xfId="30694"/>
    <cellStyle name="Currency 3 2 3" xfId="711"/>
    <cellStyle name="Currency 3 2 3 2" xfId="1406"/>
    <cellStyle name="Currency 3 2 3 2 2" xfId="2971"/>
    <cellStyle name="Currency 3 2 3 2 2 2" xfId="9256"/>
    <cellStyle name="Currency 3 2 3 2 2 2 2" xfId="30699"/>
    <cellStyle name="Currency 3 2 3 2 2 2 3" xfId="30698"/>
    <cellStyle name="Currency 3 2 3 2 2 3" xfId="6129"/>
    <cellStyle name="Currency 3 2 3 2 2 3 2" xfId="30701"/>
    <cellStyle name="Currency 3 2 3 2 2 3 3" xfId="30700"/>
    <cellStyle name="Currency 3 2 3 2 2 4" xfId="12439"/>
    <cellStyle name="Currency 3 2 3 2 2 4 2" xfId="30703"/>
    <cellStyle name="Currency 3 2 3 2 2 4 3" xfId="30702"/>
    <cellStyle name="Currency 3 2 3 2 2 5" xfId="30704"/>
    <cellStyle name="Currency 3 2 3 2 2 6" xfId="30697"/>
    <cellStyle name="Currency 3 2 3 2 3" xfId="7693"/>
    <cellStyle name="Currency 3 2 3 2 3 2" xfId="30706"/>
    <cellStyle name="Currency 3 2 3 2 3 3" xfId="30705"/>
    <cellStyle name="Currency 3 2 3 2 4" xfId="4566"/>
    <cellStyle name="Currency 3 2 3 2 4 2" xfId="30708"/>
    <cellStyle name="Currency 3 2 3 2 4 3" xfId="30707"/>
    <cellStyle name="Currency 3 2 3 2 5" xfId="10876"/>
    <cellStyle name="Currency 3 2 3 2 5 2" xfId="30710"/>
    <cellStyle name="Currency 3 2 3 2 5 3" xfId="30709"/>
    <cellStyle name="Currency 3 2 3 2 6" xfId="30711"/>
    <cellStyle name="Currency 3 2 3 2 7" xfId="30696"/>
    <cellStyle name="Currency 3 2 3 3" xfId="1608"/>
    <cellStyle name="Currency 3 2 3 3 2" xfId="3173"/>
    <cellStyle name="Currency 3 2 3 3 2 2" xfId="9458"/>
    <cellStyle name="Currency 3 2 3 3 2 2 2" xfId="30715"/>
    <cellStyle name="Currency 3 2 3 3 2 2 3" xfId="30714"/>
    <cellStyle name="Currency 3 2 3 3 2 3" xfId="6331"/>
    <cellStyle name="Currency 3 2 3 3 2 3 2" xfId="30717"/>
    <cellStyle name="Currency 3 2 3 3 2 3 3" xfId="30716"/>
    <cellStyle name="Currency 3 2 3 3 2 4" xfId="12641"/>
    <cellStyle name="Currency 3 2 3 3 2 4 2" xfId="30719"/>
    <cellStyle name="Currency 3 2 3 3 2 4 3" xfId="30718"/>
    <cellStyle name="Currency 3 2 3 3 2 5" xfId="30720"/>
    <cellStyle name="Currency 3 2 3 3 2 6" xfId="30713"/>
    <cellStyle name="Currency 3 2 3 3 3" xfId="7895"/>
    <cellStyle name="Currency 3 2 3 3 3 2" xfId="30722"/>
    <cellStyle name="Currency 3 2 3 3 3 3" xfId="30721"/>
    <cellStyle name="Currency 3 2 3 3 4" xfId="4768"/>
    <cellStyle name="Currency 3 2 3 3 4 2" xfId="30724"/>
    <cellStyle name="Currency 3 2 3 3 4 3" xfId="30723"/>
    <cellStyle name="Currency 3 2 3 3 5" xfId="11078"/>
    <cellStyle name="Currency 3 2 3 3 5 2" xfId="30726"/>
    <cellStyle name="Currency 3 2 3 3 5 3" xfId="30725"/>
    <cellStyle name="Currency 3 2 3 3 6" xfId="30727"/>
    <cellStyle name="Currency 3 2 3 3 7" xfId="30712"/>
    <cellStyle name="Currency 3 2 3 4" xfId="2291"/>
    <cellStyle name="Currency 3 2 3 4 2" xfId="8576"/>
    <cellStyle name="Currency 3 2 3 4 2 2" xfId="30730"/>
    <cellStyle name="Currency 3 2 3 4 2 3" xfId="30729"/>
    <cellStyle name="Currency 3 2 3 4 3" xfId="5449"/>
    <cellStyle name="Currency 3 2 3 4 3 2" xfId="30732"/>
    <cellStyle name="Currency 3 2 3 4 3 3" xfId="30731"/>
    <cellStyle name="Currency 3 2 3 4 4" xfId="11759"/>
    <cellStyle name="Currency 3 2 3 4 4 2" xfId="30734"/>
    <cellStyle name="Currency 3 2 3 4 4 3" xfId="30733"/>
    <cellStyle name="Currency 3 2 3 4 5" xfId="30735"/>
    <cellStyle name="Currency 3 2 3 4 6" xfId="30728"/>
    <cellStyle name="Currency 3 2 3 5" xfId="7013"/>
    <cellStyle name="Currency 3 2 3 5 2" xfId="30737"/>
    <cellStyle name="Currency 3 2 3 5 3" xfId="30736"/>
    <cellStyle name="Currency 3 2 3 6" xfId="3886"/>
    <cellStyle name="Currency 3 2 3 6 2" xfId="30739"/>
    <cellStyle name="Currency 3 2 3 6 3" xfId="30738"/>
    <cellStyle name="Currency 3 2 3 7" xfId="9676"/>
    <cellStyle name="Currency 3 2 3 7 2" xfId="30741"/>
    <cellStyle name="Currency 3 2 3 7 3" xfId="30740"/>
    <cellStyle name="Currency 3 2 3 8" xfId="30742"/>
    <cellStyle name="Currency 3 2 3 9" xfId="30695"/>
    <cellStyle name="Currency 3 2 4" xfId="1403"/>
    <cellStyle name="Currency 3 2 4 2" xfId="2968"/>
    <cellStyle name="Currency 3 2 4 2 2" xfId="9253"/>
    <cellStyle name="Currency 3 2 4 2 2 2" xfId="30746"/>
    <cellStyle name="Currency 3 2 4 2 2 3" xfId="30745"/>
    <cellStyle name="Currency 3 2 4 2 3" xfId="6126"/>
    <cellStyle name="Currency 3 2 4 2 3 2" xfId="30748"/>
    <cellStyle name="Currency 3 2 4 2 3 3" xfId="30747"/>
    <cellStyle name="Currency 3 2 4 2 4" xfId="12436"/>
    <cellStyle name="Currency 3 2 4 2 4 2" xfId="30750"/>
    <cellStyle name="Currency 3 2 4 2 4 3" xfId="30749"/>
    <cellStyle name="Currency 3 2 4 2 5" xfId="30751"/>
    <cellStyle name="Currency 3 2 4 2 6" xfId="30744"/>
    <cellStyle name="Currency 3 2 4 3" xfId="7690"/>
    <cellStyle name="Currency 3 2 4 3 2" xfId="30753"/>
    <cellStyle name="Currency 3 2 4 3 3" xfId="30752"/>
    <cellStyle name="Currency 3 2 4 4" xfId="4563"/>
    <cellStyle name="Currency 3 2 4 4 2" xfId="30755"/>
    <cellStyle name="Currency 3 2 4 4 3" xfId="30754"/>
    <cellStyle name="Currency 3 2 4 5" xfId="10873"/>
    <cellStyle name="Currency 3 2 4 5 2" xfId="30757"/>
    <cellStyle name="Currency 3 2 4 5 3" xfId="30756"/>
    <cellStyle name="Currency 3 2 4 6" xfId="30758"/>
    <cellStyle name="Currency 3 2 4 7" xfId="30743"/>
    <cellStyle name="Currency 3 2 5" xfId="1605"/>
    <cellStyle name="Currency 3 2 5 2" xfId="3170"/>
    <cellStyle name="Currency 3 2 5 2 2" xfId="9455"/>
    <cellStyle name="Currency 3 2 5 2 2 2" xfId="30762"/>
    <cellStyle name="Currency 3 2 5 2 2 3" xfId="30761"/>
    <cellStyle name="Currency 3 2 5 2 3" xfId="6328"/>
    <cellStyle name="Currency 3 2 5 2 3 2" xfId="30764"/>
    <cellStyle name="Currency 3 2 5 2 3 3" xfId="30763"/>
    <cellStyle name="Currency 3 2 5 2 4" xfId="12638"/>
    <cellStyle name="Currency 3 2 5 2 4 2" xfId="30766"/>
    <cellStyle name="Currency 3 2 5 2 4 3" xfId="30765"/>
    <cellStyle name="Currency 3 2 5 2 5" xfId="30767"/>
    <cellStyle name="Currency 3 2 5 2 6" xfId="30760"/>
    <cellStyle name="Currency 3 2 5 3" xfId="7892"/>
    <cellStyle name="Currency 3 2 5 3 2" xfId="30769"/>
    <cellStyle name="Currency 3 2 5 3 3" xfId="30768"/>
    <cellStyle name="Currency 3 2 5 4" xfId="4765"/>
    <cellStyle name="Currency 3 2 5 4 2" xfId="30771"/>
    <cellStyle name="Currency 3 2 5 4 3" xfId="30770"/>
    <cellStyle name="Currency 3 2 5 5" xfId="11075"/>
    <cellStyle name="Currency 3 2 5 5 2" xfId="30773"/>
    <cellStyle name="Currency 3 2 5 5 3" xfId="30772"/>
    <cellStyle name="Currency 3 2 5 6" xfId="30774"/>
    <cellStyle name="Currency 3 2 5 7" xfId="30759"/>
    <cellStyle name="Currency 3 2 6" xfId="2288"/>
    <cellStyle name="Currency 3 2 6 2" xfId="8573"/>
    <cellStyle name="Currency 3 2 6 2 2" xfId="30777"/>
    <cellStyle name="Currency 3 2 6 2 3" xfId="30776"/>
    <cellStyle name="Currency 3 2 6 3" xfId="5446"/>
    <cellStyle name="Currency 3 2 6 3 2" xfId="30779"/>
    <cellStyle name="Currency 3 2 6 3 3" xfId="30778"/>
    <cellStyle name="Currency 3 2 6 4" xfId="11756"/>
    <cellStyle name="Currency 3 2 6 4 2" xfId="30781"/>
    <cellStyle name="Currency 3 2 6 4 3" xfId="30780"/>
    <cellStyle name="Currency 3 2 6 5" xfId="30782"/>
    <cellStyle name="Currency 3 2 6 6" xfId="30775"/>
    <cellStyle name="Currency 3 2 7" xfId="7010"/>
    <cellStyle name="Currency 3 2 7 2" xfId="30784"/>
    <cellStyle name="Currency 3 2 7 3" xfId="30783"/>
    <cellStyle name="Currency 3 2 8" xfId="3883"/>
    <cellStyle name="Currency 3 2 8 2" xfId="30786"/>
    <cellStyle name="Currency 3 2 8 3" xfId="30785"/>
    <cellStyle name="Currency 3 2 9" xfId="9673"/>
    <cellStyle name="Currency 3 2 9 2" xfId="30788"/>
    <cellStyle name="Currency 3 2 9 3" xfId="30787"/>
    <cellStyle name="Currency 3 3" xfId="712"/>
    <cellStyle name="Currency 3 3 10" xfId="30790"/>
    <cellStyle name="Currency 3 3 11" xfId="30789"/>
    <cellStyle name="Currency 3 3 2" xfId="713"/>
    <cellStyle name="Currency 3 3 2 10" xfId="30791"/>
    <cellStyle name="Currency 3 3 2 2" xfId="714"/>
    <cellStyle name="Currency 3 3 2 2 2" xfId="1409"/>
    <cellStyle name="Currency 3 3 2 2 2 2" xfId="2974"/>
    <cellStyle name="Currency 3 3 2 2 2 2 2" xfId="9259"/>
    <cellStyle name="Currency 3 3 2 2 2 2 2 2" xfId="30796"/>
    <cellStyle name="Currency 3 3 2 2 2 2 2 3" xfId="30795"/>
    <cellStyle name="Currency 3 3 2 2 2 2 3" xfId="6132"/>
    <cellStyle name="Currency 3 3 2 2 2 2 3 2" xfId="30798"/>
    <cellStyle name="Currency 3 3 2 2 2 2 3 3" xfId="30797"/>
    <cellStyle name="Currency 3 3 2 2 2 2 4" xfId="12442"/>
    <cellStyle name="Currency 3 3 2 2 2 2 4 2" xfId="30800"/>
    <cellStyle name="Currency 3 3 2 2 2 2 4 3" xfId="30799"/>
    <cellStyle name="Currency 3 3 2 2 2 2 5" xfId="30801"/>
    <cellStyle name="Currency 3 3 2 2 2 2 6" xfId="30794"/>
    <cellStyle name="Currency 3 3 2 2 2 3" xfId="7696"/>
    <cellStyle name="Currency 3 3 2 2 2 3 2" xfId="30803"/>
    <cellStyle name="Currency 3 3 2 2 2 3 3" xfId="30802"/>
    <cellStyle name="Currency 3 3 2 2 2 4" xfId="4569"/>
    <cellStyle name="Currency 3 3 2 2 2 4 2" xfId="30805"/>
    <cellStyle name="Currency 3 3 2 2 2 4 3" xfId="30804"/>
    <cellStyle name="Currency 3 3 2 2 2 5" xfId="10879"/>
    <cellStyle name="Currency 3 3 2 2 2 5 2" xfId="30807"/>
    <cellStyle name="Currency 3 3 2 2 2 5 3" xfId="30806"/>
    <cellStyle name="Currency 3 3 2 2 2 6" xfId="30808"/>
    <cellStyle name="Currency 3 3 2 2 2 7" xfId="30793"/>
    <cellStyle name="Currency 3 3 2 2 3" xfId="1611"/>
    <cellStyle name="Currency 3 3 2 2 3 2" xfId="3176"/>
    <cellStyle name="Currency 3 3 2 2 3 2 2" xfId="9461"/>
    <cellStyle name="Currency 3 3 2 2 3 2 2 2" xfId="30812"/>
    <cellStyle name="Currency 3 3 2 2 3 2 2 3" xfId="30811"/>
    <cellStyle name="Currency 3 3 2 2 3 2 3" xfId="6334"/>
    <cellStyle name="Currency 3 3 2 2 3 2 3 2" xfId="30814"/>
    <cellStyle name="Currency 3 3 2 2 3 2 3 3" xfId="30813"/>
    <cellStyle name="Currency 3 3 2 2 3 2 4" xfId="12644"/>
    <cellStyle name="Currency 3 3 2 2 3 2 4 2" xfId="30816"/>
    <cellStyle name="Currency 3 3 2 2 3 2 4 3" xfId="30815"/>
    <cellStyle name="Currency 3 3 2 2 3 2 5" xfId="30817"/>
    <cellStyle name="Currency 3 3 2 2 3 2 6" xfId="30810"/>
    <cellStyle name="Currency 3 3 2 2 3 3" xfId="7898"/>
    <cellStyle name="Currency 3 3 2 2 3 3 2" xfId="30819"/>
    <cellStyle name="Currency 3 3 2 2 3 3 3" xfId="30818"/>
    <cellStyle name="Currency 3 3 2 2 3 4" xfId="4771"/>
    <cellStyle name="Currency 3 3 2 2 3 4 2" xfId="30821"/>
    <cellStyle name="Currency 3 3 2 2 3 4 3" xfId="30820"/>
    <cellStyle name="Currency 3 3 2 2 3 5" xfId="11081"/>
    <cellStyle name="Currency 3 3 2 2 3 5 2" xfId="30823"/>
    <cellStyle name="Currency 3 3 2 2 3 5 3" xfId="30822"/>
    <cellStyle name="Currency 3 3 2 2 3 6" xfId="30824"/>
    <cellStyle name="Currency 3 3 2 2 3 7" xfId="30809"/>
    <cellStyle name="Currency 3 3 2 2 4" xfId="2294"/>
    <cellStyle name="Currency 3 3 2 2 4 2" xfId="8579"/>
    <cellStyle name="Currency 3 3 2 2 4 2 2" xfId="30827"/>
    <cellStyle name="Currency 3 3 2 2 4 2 3" xfId="30826"/>
    <cellStyle name="Currency 3 3 2 2 4 3" xfId="5452"/>
    <cellStyle name="Currency 3 3 2 2 4 3 2" xfId="30829"/>
    <cellStyle name="Currency 3 3 2 2 4 3 3" xfId="30828"/>
    <cellStyle name="Currency 3 3 2 2 4 4" xfId="11762"/>
    <cellStyle name="Currency 3 3 2 2 4 4 2" xfId="30831"/>
    <cellStyle name="Currency 3 3 2 2 4 4 3" xfId="30830"/>
    <cellStyle name="Currency 3 3 2 2 4 5" xfId="30832"/>
    <cellStyle name="Currency 3 3 2 2 4 6" xfId="30825"/>
    <cellStyle name="Currency 3 3 2 2 5" xfId="7016"/>
    <cellStyle name="Currency 3 3 2 2 5 2" xfId="30834"/>
    <cellStyle name="Currency 3 3 2 2 5 3" xfId="30833"/>
    <cellStyle name="Currency 3 3 2 2 6" xfId="3889"/>
    <cellStyle name="Currency 3 3 2 2 6 2" xfId="30836"/>
    <cellStyle name="Currency 3 3 2 2 6 3" xfId="30835"/>
    <cellStyle name="Currency 3 3 2 2 7" xfId="9679"/>
    <cellStyle name="Currency 3 3 2 2 7 2" xfId="30838"/>
    <cellStyle name="Currency 3 3 2 2 7 3" xfId="30837"/>
    <cellStyle name="Currency 3 3 2 2 8" xfId="30839"/>
    <cellStyle name="Currency 3 3 2 2 9" xfId="30792"/>
    <cellStyle name="Currency 3 3 2 3" xfId="1408"/>
    <cellStyle name="Currency 3 3 2 3 2" xfId="2973"/>
    <cellStyle name="Currency 3 3 2 3 2 2" xfId="9258"/>
    <cellStyle name="Currency 3 3 2 3 2 2 2" xfId="30843"/>
    <cellStyle name="Currency 3 3 2 3 2 2 3" xfId="30842"/>
    <cellStyle name="Currency 3 3 2 3 2 3" xfId="6131"/>
    <cellStyle name="Currency 3 3 2 3 2 3 2" xfId="30845"/>
    <cellStyle name="Currency 3 3 2 3 2 3 3" xfId="30844"/>
    <cellStyle name="Currency 3 3 2 3 2 4" xfId="12441"/>
    <cellStyle name="Currency 3 3 2 3 2 4 2" xfId="30847"/>
    <cellStyle name="Currency 3 3 2 3 2 4 3" xfId="30846"/>
    <cellStyle name="Currency 3 3 2 3 2 5" xfId="30848"/>
    <cellStyle name="Currency 3 3 2 3 2 6" xfId="30841"/>
    <cellStyle name="Currency 3 3 2 3 3" xfId="7695"/>
    <cellStyle name="Currency 3 3 2 3 3 2" xfId="30850"/>
    <cellStyle name="Currency 3 3 2 3 3 3" xfId="30849"/>
    <cellStyle name="Currency 3 3 2 3 4" xfId="4568"/>
    <cellStyle name="Currency 3 3 2 3 4 2" xfId="30852"/>
    <cellStyle name="Currency 3 3 2 3 4 3" xfId="30851"/>
    <cellStyle name="Currency 3 3 2 3 5" xfId="10878"/>
    <cellStyle name="Currency 3 3 2 3 5 2" xfId="30854"/>
    <cellStyle name="Currency 3 3 2 3 5 3" xfId="30853"/>
    <cellStyle name="Currency 3 3 2 3 6" xfId="30855"/>
    <cellStyle name="Currency 3 3 2 3 7" xfId="30840"/>
    <cellStyle name="Currency 3 3 2 4" xfId="1610"/>
    <cellStyle name="Currency 3 3 2 4 2" xfId="3175"/>
    <cellStyle name="Currency 3 3 2 4 2 2" xfId="9460"/>
    <cellStyle name="Currency 3 3 2 4 2 2 2" xfId="30859"/>
    <cellStyle name="Currency 3 3 2 4 2 2 3" xfId="30858"/>
    <cellStyle name="Currency 3 3 2 4 2 3" xfId="6333"/>
    <cellStyle name="Currency 3 3 2 4 2 3 2" xfId="30861"/>
    <cellStyle name="Currency 3 3 2 4 2 3 3" xfId="30860"/>
    <cellStyle name="Currency 3 3 2 4 2 4" xfId="12643"/>
    <cellStyle name="Currency 3 3 2 4 2 4 2" xfId="30863"/>
    <cellStyle name="Currency 3 3 2 4 2 4 3" xfId="30862"/>
    <cellStyle name="Currency 3 3 2 4 2 5" xfId="30864"/>
    <cellStyle name="Currency 3 3 2 4 2 6" xfId="30857"/>
    <cellStyle name="Currency 3 3 2 4 3" xfId="7897"/>
    <cellStyle name="Currency 3 3 2 4 3 2" xfId="30866"/>
    <cellStyle name="Currency 3 3 2 4 3 3" xfId="30865"/>
    <cellStyle name="Currency 3 3 2 4 4" xfId="4770"/>
    <cellStyle name="Currency 3 3 2 4 4 2" xfId="30868"/>
    <cellStyle name="Currency 3 3 2 4 4 3" xfId="30867"/>
    <cellStyle name="Currency 3 3 2 4 5" xfId="11080"/>
    <cellStyle name="Currency 3 3 2 4 5 2" xfId="30870"/>
    <cellStyle name="Currency 3 3 2 4 5 3" xfId="30869"/>
    <cellStyle name="Currency 3 3 2 4 6" xfId="30871"/>
    <cellStyle name="Currency 3 3 2 4 7" xfId="30856"/>
    <cellStyle name="Currency 3 3 2 5" xfId="2293"/>
    <cellStyle name="Currency 3 3 2 5 2" xfId="8578"/>
    <cellStyle name="Currency 3 3 2 5 2 2" xfId="30874"/>
    <cellStyle name="Currency 3 3 2 5 2 3" xfId="30873"/>
    <cellStyle name="Currency 3 3 2 5 3" xfId="5451"/>
    <cellStyle name="Currency 3 3 2 5 3 2" xfId="30876"/>
    <cellStyle name="Currency 3 3 2 5 3 3" xfId="30875"/>
    <cellStyle name="Currency 3 3 2 5 4" xfId="11761"/>
    <cellStyle name="Currency 3 3 2 5 4 2" xfId="30878"/>
    <cellStyle name="Currency 3 3 2 5 4 3" xfId="30877"/>
    <cellStyle name="Currency 3 3 2 5 5" xfId="30879"/>
    <cellStyle name="Currency 3 3 2 5 6" xfId="30872"/>
    <cellStyle name="Currency 3 3 2 6" xfId="7015"/>
    <cellStyle name="Currency 3 3 2 6 2" xfId="30881"/>
    <cellStyle name="Currency 3 3 2 6 3" xfId="30880"/>
    <cellStyle name="Currency 3 3 2 7" xfId="3888"/>
    <cellStyle name="Currency 3 3 2 7 2" xfId="30883"/>
    <cellStyle name="Currency 3 3 2 7 3" xfId="30882"/>
    <cellStyle name="Currency 3 3 2 8" xfId="9678"/>
    <cellStyle name="Currency 3 3 2 8 2" xfId="30885"/>
    <cellStyle name="Currency 3 3 2 8 3" xfId="30884"/>
    <cellStyle name="Currency 3 3 2 9" xfId="30886"/>
    <cellStyle name="Currency 3 3 3" xfId="715"/>
    <cellStyle name="Currency 3 3 3 2" xfId="1410"/>
    <cellStyle name="Currency 3 3 3 2 2" xfId="2975"/>
    <cellStyle name="Currency 3 3 3 2 2 2" xfId="9260"/>
    <cellStyle name="Currency 3 3 3 2 2 2 2" xfId="30891"/>
    <cellStyle name="Currency 3 3 3 2 2 2 3" xfId="30890"/>
    <cellStyle name="Currency 3 3 3 2 2 3" xfId="6133"/>
    <cellStyle name="Currency 3 3 3 2 2 3 2" xfId="30893"/>
    <cellStyle name="Currency 3 3 3 2 2 3 3" xfId="30892"/>
    <cellStyle name="Currency 3 3 3 2 2 4" xfId="12443"/>
    <cellStyle name="Currency 3 3 3 2 2 4 2" xfId="30895"/>
    <cellStyle name="Currency 3 3 3 2 2 4 3" xfId="30894"/>
    <cellStyle name="Currency 3 3 3 2 2 5" xfId="30896"/>
    <cellStyle name="Currency 3 3 3 2 2 6" xfId="30889"/>
    <cellStyle name="Currency 3 3 3 2 3" xfId="7697"/>
    <cellStyle name="Currency 3 3 3 2 3 2" xfId="30898"/>
    <cellStyle name="Currency 3 3 3 2 3 3" xfId="30897"/>
    <cellStyle name="Currency 3 3 3 2 4" xfId="4570"/>
    <cellStyle name="Currency 3 3 3 2 4 2" xfId="30900"/>
    <cellStyle name="Currency 3 3 3 2 4 3" xfId="30899"/>
    <cellStyle name="Currency 3 3 3 2 5" xfId="10880"/>
    <cellStyle name="Currency 3 3 3 2 5 2" xfId="30902"/>
    <cellStyle name="Currency 3 3 3 2 5 3" xfId="30901"/>
    <cellStyle name="Currency 3 3 3 2 6" xfId="30903"/>
    <cellStyle name="Currency 3 3 3 2 7" xfId="30888"/>
    <cellStyle name="Currency 3 3 3 3" xfId="1612"/>
    <cellStyle name="Currency 3 3 3 3 2" xfId="3177"/>
    <cellStyle name="Currency 3 3 3 3 2 2" xfId="9462"/>
    <cellStyle name="Currency 3 3 3 3 2 2 2" xfId="30907"/>
    <cellStyle name="Currency 3 3 3 3 2 2 3" xfId="30906"/>
    <cellStyle name="Currency 3 3 3 3 2 3" xfId="6335"/>
    <cellStyle name="Currency 3 3 3 3 2 3 2" xfId="30909"/>
    <cellStyle name="Currency 3 3 3 3 2 3 3" xfId="30908"/>
    <cellStyle name="Currency 3 3 3 3 2 4" xfId="12645"/>
    <cellStyle name="Currency 3 3 3 3 2 4 2" xfId="30911"/>
    <cellStyle name="Currency 3 3 3 3 2 4 3" xfId="30910"/>
    <cellStyle name="Currency 3 3 3 3 2 5" xfId="30912"/>
    <cellStyle name="Currency 3 3 3 3 2 6" xfId="30905"/>
    <cellStyle name="Currency 3 3 3 3 3" xfId="7899"/>
    <cellStyle name="Currency 3 3 3 3 3 2" xfId="30914"/>
    <cellStyle name="Currency 3 3 3 3 3 3" xfId="30913"/>
    <cellStyle name="Currency 3 3 3 3 4" xfId="4772"/>
    <cellStyle name="Currency 3 3 3 3 4 2" xfId="30916"/>
    <cellStyle name="Currency 3 3 3 3 4 3" xfId="30915"/>
    <cellStyle name="Currency 3 3 3 3 5" xfId="11082"/>
    <cellStyle name="Currency 3 3 3 3 5 2" xfId="30918"/>
    <cellStyle name="Currency 3 3 3 3 5 3" xfId="30917"/>
    <cellStyle name="Currency 3 3 3 3 6" xfId="30919"/>
    <cellStyle name="Currency 3 3 3 3 7" xfId="30904"/>
    <cellStyle name="Currency 3 3 3 4" xfId="2295"/>
    <cellStyle name="Currency 3 3 3 4 2" xfId="8580"/>
    <cellStyle name="Currency 3 3 3 4 2 2" xfId="30922"/>
    <cellStyle name="Currency 3 3 3 4 2 3" xfId="30921"/>
    <cellStyle name="Currency 3 3 3 4 3" xfId="5453"/>
    <cellStyle name="Currency 3 3 3 4 3 2" xfId="30924"/>
    <cellStyle name="Currency 3 3 3 4 3 3" xfId="30923"/>
    <cellStyle name="Currency 3 3 3 4 4" xfId="11763"/>
    <cellStyle name="Currency 3 3 3 4 4 2" xfId="30926"/>
    <cellStyle name="Currency 3 3 3 4 4 3" xfId="30925"/>
    <cellStyle name="Currency 3 3 3 4 5" xfId="30927"/>
    <cellStyle name="Currency 3 3 3 4 6" xfId="30920"/>
    <cellStyle name="Currency 3 3 3 5" xfId="7017"/>
    <cellStyle name="Currency 3 3 3 5 2" xfId="30929"/>
    <cellStyle name="Currency 3 3 3 5 3" xfId="30928"/>
    <cellStyle name="Currency 3 3 3 6" xfId="3890"/>
    <cellStyle name="Currency 3 3 3 6 2" xfId="30931"/>
    <cellStyle name="Currency 3 3 3 6 3" xfId="30930"/>
    <cellStyle name="Currency 3 3 3 7" xfId="9680"/>
    <cellStyle name="Currency 3 3 3 7 2" xfId="30933"/>
    <cellStyle name="Currency 3 3 3 7 3" xfId="30932"/>
    <cellStyle name="Currency 3 3 3 8" xfId="30934"/>
    <cellStyle name="Currency 3 3 3 9" xfId="30887"/>
    <cellStyle name="Currency 3 3 4" xfId="1407"/>
    <cellStyle name="Currency 3 3 4 2" xfId="2972"/>
    <cellStyle name="Currency 3 3 4 2 2" xfId="9257"/>
    <cellStyle name="Currency 3 3 4 2 2 2" xfId="30938"/>
    <cellStyle name="Currency 3 3 4 2 2 3" xfId="30937"/>
    <cellStyle name="Currency 3 3 4 2 3" xfId="6130"/>
    <cellStyle name="Currency 3 3 4 2 3 2" xfId="30940"/>
    <cellStyle name="Currency 3 3 4 2 3 3" xfId="30939"/>
    <cellStyle name="Currency 3 3 4 2 4" xfId="12440"/>
    <cellStyle name="Currency 3 3 4 2 4 2" xfId="30942"/>
    <cellStyle name="Currency 3 3 4 2 4 3" xfId="30941"/>
    <cellStyle name="Currency 3 3 4 2 5" xfId="30943"/>
    <cellStyle name="Currency 3 3 4 2 6" xfId="30936"/>
    <cellStyle name="Currency 3 3 4 3" xfId="7694"/>
    <cellStyle name="Currency 3 3 4 3 2" xfId="30945"/>
    <cellStyle name="Currency 3 3 4 3 3" xfId="30944"/>
    <cellStyle name="Currency 3 3 4 4" xfId="4567"/>
    <cellStyle name="Currency 3 3 4 4 2" xfId="30947"/>
    <cellStyle name="Currency 3 3 4 4 3" xfId="30946"/>
    <cellStyle name="Currency 3 3 4 5" xfId="10877"/>
    <cellStyle name="Currency 3 3 4 5 2" xfId="30949"/>
    <cellStyle name="Currency 3 3 4 5 3" xfId="30948"/>
    <cellStyle name="Currency 3 3 4 6" xfId="30950"/>
    <cellStyle name="Currency 3 3 4 7" xfId="30935"/>
    <cellStyle name="Currency 3 3 5" xfId="1609"/>
    <cellStyle name="Currency 3 3 5 2" xfId="3174"/>
    <cellStyle name="Currency 3 3 5 2 2" xfId="9459"/>
    <cellStyle name="Currency 3 3 5 2 2 2" xfId="30954"/>
    <cellStyle name="Currency 3 3 5 2 2 3" xfId="30953"/>
    <cellStyle name="Currency 3 3 5 2 3" xfId="6332"/>
    <cellStyle name="Currency 3 3 5 2 3 2" xfId="30956"/>
    <cellStyle name="Currency 3 3 5 2 3 3" xfId="30955"/>
    <cellStyle name="Currency 3 3 5 2 4" xfId="12642"/>
    <cellStyle name="Currency 3 3 5 2 4 2" xfId="30958"/>
    <cellStyle name="Currency 3 3 5 2 4 3" xfId="30957"/>
    <cellStyle name="Currency 3 3 5 2 5" xfId="30959"/>
    <cellStyle name="Currency 3 3 5 2 6" xfId="30952"/>
    <cellStyle name="Currency 3 3 5 3" xfId="7896"/>
    <cellStyle name="Currency 3 3 5 3 2" xfId="30961"/>
    <cellStyle name="Currency 3 3 5 3 3" xfId="30960"/>
    <cellStyle name="Currency 3 3 5 4" xfId="4769"/>
    <cellStyle name="Currency 3 3 5 4 2" xfId="30963"/>
    <cellStyle name="Currency 3 3 5 4 3" xfId="30962"/>
    <cellStyle name="Currency 3 3 5 5" xfId="11079"/>
    <cellStyle name="Currency 3 3 5 5 2" xfId="30965"/>
    <cellStyle name="Currency 3 3 5 5 3" xfId="30964"/>
    <cellStyle name="Currency 3 3 5 6" xfId="30966"/>
    <cellStyle name="Currency 3 3 5 7" xfId="30951"/>
    <cellStyle name="Currency 3 3 6" xfId="2292"/>
    <cellStyle name="Currency 3 3 6 2" xfId="8577"/>
    <cellStyle name="Currency 3 3 6 2 2" xfId="30969"/>
    <cellStyle name="Currency 3 3 6 2 3" xfId="30968"/>
    <cellStyle name="Currency 3 3 6 3" xfId="5450"/>
    <cellStyle name="Currency 3 3 6 3 2" xfId="30971"/>
    <cellStyle name="Currency 3 3 6 3 3" xfId="30970"/>
    <cellStyle name="Currency 3 3 6 4" xfId="11760"/>
    <cellStyle name="Currency 3 3 6 4 2" xfId="30973"/>
    <cellStyle name="Currency 3 3 6 4 3" xfId="30972"/>
    <cellStyle name="Currency 3 3 6 5" xfId="30974"/>
    <cellStyle name="Currency 3 3 6 6" xfId="30967"/>
    <cellStyle name="Currency 3 3 7" xfId="7014"/>
    <cellStyle name="Currency 3 3 7 2" xfId="30976"/>
    <cellStyle name="Currency 3 3 7 3" xfId="30975"/>
    <cellStyle name="Currency 3 3 8" xfId="3887"/>
    <cellStyle name="Currency 3 3 8 2" xfId="30978"/>
    <cellStyle name="Currency 3 3 8 3" xfId="30977"/>
    <cellStyle name="Currency 3 3 9" xfId="9677"/>
    <cellStyle name="Currency 3 3 9 2" xfId="30980"/>
    <cellStyle name="Currency 3 3 9 3" xfId="30979"/>
    <cellStyle name="Currency 3 4" xfId="716"/>
    <cellStyle name="Currency 3 4 10" xfId="30982"/>
    <cellStyle name="Currency 3 4 11" xfId="30981"/>
    <cellStyle name="Currency 3 4 2" xfId="717"/>
    <cellStyle name="Currency 3 4 2 10" xfId="30983"/>
    <cellStyle name="Currency 3 4 2 2" xfId="718"/>
    <cellStyle name="Currency 3 4 2 2 2" xfId="1413"/>
    <cellStyle name="Currency 3 4 2 2 2 2" xfId="2978"/>
    <cellStyle name="Currency 3 4 2 2 2 2 2" xfId="9263"/>
    <cellStyle name="Currency 3 4 2 2 2 2 2 2" xfId="30988"/>
    <cellStyle name="Currency 3 4 2 2 2 2 2 3" xfId="30987"/>
    <cellStyle name="Currency 3 4 2 2 2 2 3" xfId="6136"/>
    <cellStyle name="Currency 3 4 2 2 2 2 3 2" xfId="30990"/>
    <cellStyle name="Currency 3 4 2 2 2 2 3 3" xfId="30989"/>
    <cellStyle name="Currency 3 4 2 2 2 2 4" xfId="12446"/>
    <cellStyle name="Currency 3 4 2 2 2 2 4 2" xfId="30992"/>
    <cellStyle name="Currency 3 4 2 2 2 2 4 3" xfId="30991"/>
    <cellStyle name="Currency 3 4 2 2 2 2 5" xfId="30993"/>
    <cellStyle name="Currency 3 4 2 2 2 2 6" xfId="30986"/>
    <cellStyle name="Currency 3 4 2 2 2 3" xfId="7700"/>
    <cellStyle name="Currency 3 4 2 2 2 3 2" xfId="30995"/>
    <cellStyle name="Currency 3 4 2 2 2 3 3" xfId="30994"/>
    <cellStyle name="Currency 3 4 2 2 2 4" xfId="4573"/>
    <cellStyle name="Currency 3 4 2 2 2 4 2" xfId="30997"/>
    <cellStyle name="Currency 3 4 2 2 2 4 3" xfId="30996"/>
    <cellStyle name="Currency 3 4 2 2 2 5" xfId="10883"/>
    <cellStyle name="Currency 3 4 2 2 2 5 2" xfId="30999"/>
    <cellStyle name="Currency 3 4 2 2 2 5 3" xfId="30998"/>
    <cellStyle name="Currency 3 4 2 2 2 6" xfId="31000"/>
    <cellStyle name="Currency 3 4 2 2 2 7" xfId="30985"/>
    <cellStyle name="Currency 3 4 2 2 3" xfId="1615"/>
    <cellStyle name="Currency 3 4 2 2 3 2" xfId="3180"/>
    <cellStyle name="Currency 3 4 2 2 3 2 2" xfId="9465"/>
    <cellStyle name="Currency 3 4 2 2 3 2 2 2" xfId="31004"/>
    <cellStyle name="Currency 3 4 2 2 3 2 2 3" xfId="31003"/>
    <cellStyle name="Currency 3 4 2 2 3 2 3" xfId="6338"/>
    <cellStyle name="Currency 3 4 2 2 3 2 3 2" xfId="31006"/>
    <cellStyle name="Currency 3 4 2 2 3 2 3 3" xfId="31005"/>
    <cellStyle name="Currency 3 4 2 2 3 2 4" xfId="12648"/>
    <cellStyle name="Currency 3 4 2 2 3 2 4 2" xfId="31008"/>
    <cellStyle name="Currency 3 4 2 2 3 2 4 3" xfId="31007"/>
    <cellStyle name="Currency 3 4 2 2 3 2 5" xfId="31009"/>
    <cellStyle name="Currency 3 4 2 2 3 2 6" xfId="31002"/>
    <cellStyle name="Currency 3 4 2 2 3 3" xfId="7902"/>
    <cellStyle name="Currency 3 4 2 2 3 3 2" xfId="31011"/>
    <cellStyle name="Currency 3 4 2 2 3 3 3" xfId="31010"/>
    <cellStyle name="Currency 3 4 2 2 3 4" xfId="4775"/>
    <cellStyle name="Currency 3 4 2 2 3 4 2" xfId="31013"/>
    <cellStyle name="Currency 3 4 2 2 3 4 3" xfId="31012"/>
    <cellStyle name="Currency 3 4 2 2 3 5" xfId="11085"/>
    <cellStyle name="Currency 3 4 2 2 3 5 2" xfId="31015"/>
    <cellStyle name="Currency 3 4 2 2 3 5 3" xfId="31014"/>
    <cellStyle name="Currency 3 4 2 2 3 6" xfId="31016"/>
    <cellStyle name="Currency 3 4 2 2 3 7" xfId="31001"/>
    <cellStyle name="Currency 3 4 2 2 4" xfId="2298"/>
    <cellStyle name="Currency 3 4 2 2 4 2" xfId="8583"/>
    <cellStyle name="Currency 3 4 2 2 4 2 2" xfId="31019"/>
    <cellStyle name="Currency 3 4 2 2 4 2 3" xfId="31018"/>
    <cellStyle name="Currency 3 4 2 2 4 3" xfId="5456"/>
    <cellStyle name="Currency 3 4 2 2 4 3 2" xfId="31021"/>
    <cellStyle name="Currency 3 4 2 2 4 3 3" xfId="31020"/>
    <cellStyle name="Currency 3 4 2 2 4 4" xfId="11766"/>
    <cellStyle name="Currency 3 4 2 2 4 4 2" xfId="31023"/>
    <cellStyle name="Currency 3 4 2 2 4 4 3" xfId="31022"/>
    <cellStyle name="Currency 3 4 2 2 4 5" xfId="31024"/>
    <cellStyle name="Currency 3 4 2 2 4 6" xfId="31017"/>
    <cellStyle name="Currency 3 4 2 2 5" xfId="7020"/>
    <cellStyle name="Currency 3 4 2 2 5 2" xfId="31026"/>
    <cellStyle name="Currency 3 4 2 2 5 3" xfId="31025"/>
    <cellStyle name="Currency 3 4 2 2 6" xfId="3893"/>
    <cellStyle name="Currency 3 4 2 2 6 2" xfId="31028"/>
    <cellStyle name="Currency 3 4 2 2 6 3" xfId="31027"/>
    <cellStyle name="Currency 3 4 2 2 7" xfId="9683"/>
    <cellStyle name="Currency 3 4 2 2 7 2" xfId="31030"/>
    <cellStyle name="Currency 3 4 2 2 7 3" xfId="31029"/>
    <cellStyle name="Currency 3 4 2 2 8" xfId="31031"/>
    <cellStyle name="Currency 3 4 2 2 9" xfId="30984"/>
    <cellStyle name="Currency 3 4 2 3" xfId="1412"/>
    <cellStyle name="Currency 3 4 2 3 2" xfId="2977"/>
    <cellStyle name="Currency 3 4 2 3 2 2" xfId="9262"/>
    <cellStyle name="Currency 3 4 2 3 2 2 2" xfId="31035"/>
    <cellStyle name="Currency 3 4 2 3 2 2 3" xfId="31034"/>
    <cellStyle name="Currency 3 4 2 3 2 3" xfId="6135"/>
    <cellStyle name="Currency 3 4 2 3 2 3 2" xfId="31037"/>
    <cellStyle name="Currency 3 4 2 3 2 3 3" xfId="31036"/>
    <cellStyle name="Currency 3 4 2 3 2 4" xfId="12445"/>
    <cellStyle name="Currency 3 4 2 3 2 4 2" xfId="31039"/>
    <cellStyle name="Currency 3 4 2 3 2 4 3" xfId="31038"/>
    <cellStyle name="Currency 3 4 2 3 2 5" xfId="31040"/>
    <cellStyle name="Currency 3 4 2 3 2 6" xfId="31033"/>
    <cellStyle name="Currency 3 4 2 3 3" xfId="7699"/>
    <cellStyle name="Currency 3 4 2 3 3 2" xfId="31042"/>
    <cellStyle name="Currency 3 4 2 3 3 3" xfId="31041"/>
    <cellStyle name="Currency 3 4 2 3 4" xfId="4572"/>
    <cellStyle name="Currency 3 4 2 3 4 2" xfId="31044"/>
    <cellStyle name="Currency 3 4 2 3 4 3" xfId="31043"/>
    <cellStyle name="Currency 3 4 2 3 5" xfId="10882"/>
    <cellStyle name="Currency 3 4 2 3 5 2" xfId="31046"/>
    <cellStyle name="Currency 3 4 2 3 5 3" xfId="31045"/>
    <cellStyle name="Currency 3 4 2 3 6" xfId="31047"/>
    <cellStyle name="Currency 3 4 2 3 7" xfId="31032"/>
    <cellStyle name="Currency 3 4 2 4" xfId="1614"/>
    <cellStyle name="Currency 3 4 2 4 2" xfId="3179"/>
    <cellStyle name="Currency 3 4 2 4 2 2" xfId="9464"/>
    <cellStyle name="Currency 3 4 2 4 2 2 2" xfId="31051"/>
    <cellStyle name="Currency 3 4 2 4 2 2 3" xfId="31050"/>
    <cellStyle name="Currency 3 4 2 4 2 3" xfId="6337"/>
    <cellStyle name="Currency 3 4 2 4 2 3 2" xfId="31053"/>
    <cellStyle name="Currency 3 4 2 4 2 3 3" xfId="31052"/>
    <cellStyle name="Currency 3 4 2 4 2 4" xfId="12647"/>
    <cellStyle name="Currency 3 4 2 4 2 4 2" xfId="31055"/>
    <cellStyle name="Currency 3 4 2 4 2 4 3" xfId="31054"/>
    <cellStyle name="Currency 3 4 2 4 2 5" xfId="31056"/>
    <cellStyle name="Currency 3 4 2 4 2 6" xfId="31049"/>
    <cellStyle name="Currency 3 4 2 4 3" xfId="7901"/>
    <cellStyle name="Currency 3 4 2 4 3 2" xfId="31058"/>
    <cellStyle name="Currency 3 4 2 4 3 3" xfId="31057"/>
    <cellStyle name="Currency 3 4 2 4 4" xfId="4774"/>
    <cellStyle name="Currency 3 4 2 4 4 2" xfId="31060"/>
    <cellStyle name="Currency 3 4 2 4 4 3" xfId="31059"/>
    <cellStyle name="Currency 3 4 2 4 5" xfId="11084"/>
    <cellStyle name="Currency 3 4 2 4 5 2" xfId="31062"/>
    <cellStyle name="Currency 3 4 2 4 5 3" xfId="31061"/>
    <cellStyle name="Currency 3 4 2 4 6" xfId="31063"/>
    <cellStyle name="Currency 3 4 2 4 7" xfId="31048"/>
    <cellStyle name="Currency 3 4 2 5" xfId="2297"/>
    <cellStyle name="Currency 3 4 2 5 2" xfId="8582"/>
    <cellStyle name="Currency 3 4 2 5 2 2" xfId="31066"/>
    <cellStyle name="Currency 3 4 2 5 2 3" xfId="31065"/>
    <cellStyle name="Currency 3 4 2 5 3" xfId="5455"/>
    <cellStyle name="Currency 3 4 2 5 3 2" xfId="31068"/>
    <cellStyle name="Currency 3 4 2 5 3 3" xfId="31067"/>
    <cellStyle name="Currency 3 4 2 5 4" xfId="11765"/>
    <cellStyle name="Currency 3 4 2 5 4 2" xfId="31070"/>
    <cellStyle name="Currency 3 4 2 5 4 3" xfId="31069"/>
    <cellStyle name="Currency 3 4 2 5 5" xfId="31071"/>
    <cellStyle name="Currency 3 4 2 5 6" xfId="31064"/>
    <cellStyle name="Currency 3 4 2 6" xfId="7019"/>
    <cellStyle name="Currency 3 4 2 6 2" xfId="31073"/>
    <cellStyle name="Currency 3 4 2 6 3" xfId="31072"/>
    <cellStyle name="Currency 3 4 2 7" xfId="3892"/>
    <cellStyle name="Currency 3 4 2 7 2" xfId="31075"/>
    <cellStyle name="Currency 3 4 2 7 3" xfId="31074"/>
    <cellStyle name="Currency 3 4 2 8" xfId="9682"/>
    <cellStyle name="Currency 3 4 2 8 2" xfId="31077"/>
    <cellStyle name="Currency 3 4 2 8 3" xfId="31076"/>
    <cellStyle name="Currency 3 4 2 9" xfId="31078"/>
    <cellStyle name="Currency 3 4 3" xfId="719"/>
    <cellStyle name="Currency 3 4 3 2" xfId="1414"/>
    <cellStyle name="Currency 3 4 3 2 2" xfId="2979"/>
    <cellStyle name="Currency 3 4 3 2 2 2" xfId="9264"/>
    <cellStyle name="Currency 3 4 3 2 2 2 2" xfId="31083"/>
    <cellStyle name="Currency 3 4 3 2 2 2 3" xfId="31082"/>
    <cellStyle name="Currency 3 4 3 2 2 3" xfId="6137"/>
    <cellStyle name="Currency 3 4 3 2 2 3 2" xfId="31085"/>
    <cellStyle name="Currency 3 4 3 2 2 3 3" xfId="31084"/>
    <cellStyle name="Currency 3 4 3 2 2 4" xfId="12447"/>
    <cellStyle name="Currency 3 4 3 2 2 4 2" xfId="31087"/>
    <cellStyle name="Currency 3 4 3 2 2 4 3" xfId="31086"/>
    <cellStyle name="Currency 3 4 3 2 2 5" xfId="31088"/>
    <cellStyle name="Currency 3 4 3 2 2 6" xfId="31081"/>
    <cellStyle name="Currency 3 4 3 2 3" xfId="7701"/>
    <cellStyle name="Currency 3 4 3 2 3 2" xfId="31090"/>
    <cellStyle name="Currency 3 4 3 2 3 3" xfId="31089"/>
    <cellStyle name="Currency 3 4 3 2 4" xfId="4574"/>
    <cellStyle name="Currency 3 4 3 2 4 2" xfId="31092"/>
    <cellStyle name="Currency 3 4 3 2 4 3" xfId="31091"/>
    <cellStyle name="Currency 3 4 3 2 5" xfId="10884"/>
    <cellStyle name="Currency 3 4 3 2 5 2" xfId="31094"/>
    <cellStyle name="Currency 3 4 3 2 5 3" xfId="31093"/>
    <cellStyle name="Currency 3 4 3 2 6" xfId="31095"/>
    <cellStyle name="Currency 3 4 3 2 7" xfId="31080"/>
    <cellStyle name="Currency 3 4 3 3" xfId="1616"/>
    <cellStyle name="Currency 3 4 3 3 2" xfId="3181"/>
    <cellStyle name="Currency 3 4 3 3 2 2" xfId="9466"/>
    <cellStyle name="Currency 3 4 3 3 2 2 2" xfId="31099"/>
    <cellStyle name="Currency 3 4 3 3 2 2 3" xfId="31098"/>
    <cellStyle name="Currency 3 4 3 3 2 3" xfId="6339"/>
    <cellStyle name="Currency 3 4 3 3 2 3 2" xfId="31101"/>
    <cellStyle name="Currency 3 4 3 3 2 3 3" xfId="31100"/>
    <cellStyle name="Currency 3 4 3 3 2 4" xfId="12649"/>
    <cellStyle name="Currency 3 4 3 3 2 4 2" xfId="31103"/>
    <cellStyle name="Currency 3 4 3 3 2 4 3" xfId="31102"/>
    <cellStyle name="Currency 3 4 3 3 2 5" xfId="31104"/>
    <cellStyle name="Currency 3 4 3 3 2 6" xfId="31097"/>
    <cellStyle name="Currency 3 4 3 3 3" xfId="7903"/>
    <cellStyle name="Currency 3 4 3 3 3 2" xfId="31106"/>
    <cellStyle name="Currency 3 4 3 3 3 3" xfId="31105"/>
    <cellStyle name="Currency 3 4 3 3 4" xfId="4776"/>
    <cellStyle name="Currency 3 4 3 3 4 2" xfId="31108"/>
    <cellStyle name="Currency 3 4 3 3 4 3" xfId="31107"/>
    <cellStyle name="Currency 3 4 3 3 5" xfId="11086"/>
    <cellStyle name="Currency 3 4 3 3 5 2" xfId="31110"/>
    <cellStyle name="Currency 3 4 3 3 5 3" xfId="31109"/>
    <cellStyle name="Currency 3 4 3 3 6" xfId="31111"/>
    <cellStyle name="Currency 3 4 3 3 7" xfId="31096"/>
    <cellStyle name="Currency 3 4 3 4" xfId="2299"/>
    <cellStyle name="Currency 3 4 3 4 2" xfId="8584"/>
    <cellStyle name="Currency 3 4 3 4 2 2" xfId="31114"/>
    <cellStyle name="Currency 3 4 3 4 2 3" xfId="31113"/>
    <cellStyle name="Currency 3 4 3 4 3" xfId="5457"/>
    <cellStyle name="Currency 3 4 3 4 3 2" xfId="31116"/>
    <cellStyle name="Currency 3 4 3 4 3 3" xfId="31115"/>
    <cellStyle name="Currency 3 4 3 4 4" xfId="11767"/>
    <cellStyle name="Currency 3 4 3 4 4 2" xfId="31118"/>
    <cellStyle name="Currency 3 4 3 4 4 3" xfId="31117"/>
    <cellStyle name="Currency 3 4 3 4 5" xfId="31119"/>
    <cellStyle name="Currency 3 4 3 4 6" xfId="31112"/>
    <cellStyle name="Currency 3 4 3 5" xfId="7021"/>
    <cellStyle name="Currency 3 4 3 5 2" xfId="31121"/>
    <cellStyle name="Currency 3 4 3 5 3" xfId="31120"/>
    <cellStyle name="Currency 3 4 3 6" xfId="3894"/>
    <cellStyle name="Currency 3 4 3 6 2" xfId="31123"/>
    <cellStyle name="Currency 3 4 3 6 3" xfId="31122"/>
    <cellStyle name="Currency 3 4 3 7" xfId="9684"/>
    <cellStyle name="Currency 3 4 3 7 2" xfId="31125"/>
    <cellStyle name="Currency 3 4 3 7 3" xfId="31124"/>
    <cellStyle name="Currency 3 4 3 8" xfId="31126"/>
    <cellStyle name="Currency 3 4 3 9" xfId="31079"/>
    <cellStyle name="Currency 3 4 4" xfId="1411"/>
    <cellStyle name="Currency 3 4 4 2" xfId="2976"/>
    <cellStyle name="Currency 3 4 4 2 2" xfId="9261"/>
    <cellStyle name="Currency 3 4 4 2 2 2" xfId="31130"/>
    <cellStyle name="Currency 3 4 4 2 2 3" xfId="31129"/>
    <cellStyle name="Currency 3 4 4 2 3" xfId="6134"/>
    <cellStyle name="Currency 3 4 4 2 3 2" xfId="31132"/>
    <cellStyle name="Currency 3 4 4 2 3 3" xfId="31131"/>
    <cellStyle name="Currency 3 4 4 2 4" xfId="12444"/>
    <cellStyle name="Currency 3 4 4 2 4 2" xfId="31134"/>
    <cellStyle name="Currency 3 4 4 2 4 3" xfId="31133"/>
    <cellStyle name="Currency 3 4 4 2 5" xfId="31135"/>
    <cellStyle name="Currency 3 4 4 2 6" xfId="31128"/>
    <cellStyle name="Currency 3 4 4 3" xfId="7698"/>
    <cellStyle name="Currency 3 4 4 3 2" xfId="31137"/>
    <cellStyle name="Currency 3 4 4 3 3" xfId="31136"/>
    <cellStyle name="Currency 3 4 4 4" xfId="4571"/>
    <cellStyle name="Currency 3 4 4 4 2" xfId="31139"/>
    <cellStyle name="Currency 3 4 4 4 3" xfId="31138"/>
    <cellStyle name="Currency 3 4 4 5" xfId="10881"/>
    <cellStyle name="Currency 3 4 4 5 2" xfId="31141"/>
    <cellStyle name="Currency 3 4 4 5 3" xfId="31140"/>
    <cellStyle name="Currency 3 4 4 6" xfId="31142"/>
    <cellStyle name="Currency 3 4 4 7" xfId="31127"/>
    <cellStyle name="Currency 3 4 5" xfId="1613"/>
    <cellStyle name="Currency 3 4 5 2" xfId="3178"/>
    <cellStyle name="Currency 3 4 5 2 2" xfId="9463"/>
    <cellStyle name="Currency 3 4 5 2 2 2" xfId="31146"/>
    <cellStyle name="Currency 3 4 5 2 2 3" xfId="31145"/>
    <cellStyle name="Currency 3 4 5 2 3" xfId="6336"/>
    <cellStyle name="Currency 3 4 5 2 3 2" xfId="31148"/>
    <cellStyle name="Currency 3 4 5 2 3 3" xfId="31147"/>
    <cellStyle name="Currency 3 4 5 2 4" xfId="12646"/>
    <cellStyle name="Currency 3 4 5 2 4 2" xfId="31150"/>
    <cellStyle name="Currency 3 4 5 2 4 3" xfId="31149"/>
    <cellStyle name="Currency 3 4 5 2 5" xfId="31151"/>
    <cellStyle name="Currency 3 4 5 2 6" xfId="31144"/>
    <cellStyle name="Currency 3 4 5 3" xfId="7900"/>
    <cellStyle name="Currency 3 4 5 3 2" xfId="31153"/>
    <cellStyle name="Currency 3 4 5 3 3" xfId="31152"/>
    <cellStyle name="Currency 3 4 5 4" xfId="4773"/>
    <cellStyle name="Currency 3 4 5 4 2" xfId="31155"/>
    <cellStyle name="Currency 3 4 5 4 3" xfId="31154"/>
    <cellStyle name="Currency 3 4 5 5" xfId="11083"/>
    <cellStyle name="Currency 3 4 5 5 2" xfId="31157"/>
    <cellStyle name="Currency 3 4 5 5 3" xfId="31156"/>
    <cellStyle name="Currency 3 4 5 6" xfId="31158"/>
    <cellStyle name="Currency 3 4 5 7" xfId="31143"/>
    <cellStyle name="Currency 3 4 6" xfId="2296"/>
    <cellStyle name="Currency 3 4 6 2" xfId="8581"/>
    <cellStyle name="Currency 3 4 6 2 2" xfId="31161"/>
    <cellStyle name="Currency 3 4 6 2 3" xfId="31160"/>
    <cellStyle name="Currency 3 4 6 3" xfId="5454"/>
    <cellStyle name="Currency 3 4 6 3 2" xfId="31163"/>
    <cellStyle name="Currency 3 4 6 3 3" xfId="31162"/>
    <cellStyle name="Currency 3 4 6 4" xfId="11764"/>
    <cellStyle name="Currency 3 4 6 4 2" xfId="31165"/>
    <cellStyle name="Currency 3 4 6 4 3" xfId="31164"/>
    <cellStyle name="Currency 3 4 6 5" xfId="31166"/>
    <cellStyle name="Currency 3 4 6 6" xfId="31159"/>
    <cellStyle name="Currency 3 4 7" xfId="7018"/>
    <cellStyle name="Currency 3 4 7 2" xfId="31168"/>
    <cellStyle name="Currency 3 4 7 3" xfId="31167"/>
    <cellStyle name="Currency 3 4 8" xfId="3891"/>
    <cellStyle name="Currency 3 4 8 2" xfId="31170"/>
    <cellStyle name="Currency 3 4 8 3" xfId="31169"/>
    <cellStyle name="Currency 3 4 9" xfId="9681"/>
    <cellStyle name="Currency 3 4 9 2" xfId="31172"/>
    <cellStyle name="Currency 3 4 9 3" xfId="31171"/>
    <cellStyle name="Currency 3 5" xfId="720"/>
    <cellStyle name="Currency 3 5 10" xfId="31173"/>
    <cellStyle name="Currency 3 5 2" xfId="721"/>
    <cellStyle name="Currency 3 5 2 2" xfId="1416"/>
    <cellStyle name="Currency 3 5 2 2 2" xfId="2981"/>
    <cellStyle name="Currency 3 5 2 2 2 2" xfId="9266"/>
    <cellStyle name="Currency 3 5 2 2 2 2 2" xfId="31178"/>
    <cellStyle name="Currency 3 5 2 2 2 2 3" xfId="31177"/>
    <cellStyle name="Currency 3 5 2 2 2 3" xfId="6139"/>
    <cellStyle name="Currency 3 5 2 2 2 3 2" xfId="31180"/>
    <cellStyle name="Currency 3 5 2 2 2 3 3" xfId="31179"/>
    <cellStyle name="Currency 3 5 2 2 2 4" xfId="12449"/>
    <cellStyle name="Currency 3 5 2 2 2 4 2" xfId="31182"/>
    <cellStyle name="Currency 3 5 2 2 2 4 3" xfId="31181"/>
    <cellStyle name="Currency 3 5 2 2 2 5" xfId="31183"/>
    <cellStyle name="Currency 3 5 2 2 2 6" xfId="31176"/>
    <cellStyle name="Currency 3 5 2 2 3" xfId="7703"/>
    <cellStyle name="Currency 3 5 2 2 3 2" xfId="31185"/>
    <cellStyle name="Currency 3 5 2 2 3 3" xfId="31184"/>
    <cellStyle name="Currency 3 5 2 2 4" xfId="4576"/>
    <cellStyle name="Currency 3 5 2 2 4 2" xfId="31187"/>
    <cellStyle name="Currency 3 5 2 2 4 3" xfId="31186"/>
    <cellStyle name="Currency 3 5 2 2 5" xfId="10886"/>
    <cellStyle name="Currency 3 5 2 2 5 2" xfId="31189"/>
    <cellStyle name="Currency 3 5 2 2 5 3" xfId="31188"/>
    <cellStyle name="Currency 3 5 2 2 6" xfId="31190"/>
    <cellStyle name="Currency 3 5 2 2 7" xfId="31175"/>
    <cellStyle name="Currency 3 5 2 3" xfId="1618"/>
    <cellStyle name="Currency 3 5 2 3 2" xfId="3183"/>
    <cellStyle name="Currency 3 5 2 3 2 2" xfId="9468"/>
    <cellStyle name="Currency 3 5 2 3 2 2 2" xfId="31194"/>
    <cellStyle name="Currency 3 5 2 3 2 2 3" xfId="31193"/>
    <cellStyle name="Currency 3 5 2 3 2 3" xfId="6341"/>
    <cellStyle name="Currency 3 5 2 3 2 3 2" xfId="31196"/>
    <cellStyle name="Currency 3 5 2 3 2 3 3" xfId="31195"/>
    <cellStyle name="Currency 3 5 2 3 2 4" xfId="12651"/>
    <cellStyle name="Currency 3 5 2 3 2 4 2" xfId="31198"/>
    <cellStyle name="Currency 3 5 2 3 2 4 3" xfId="31197"/>
    <cellStyle name="Currency 3 5 2 3 2 5" xfId="31199"/>
    <cellStyle name="Currency 3 5 2 3 2 6" xfId="31192"/>
    <cellStyle name="Currency 3 5 2 3 3" xfId="7905"/>
    <cellStyle name="Currency 3 5 2 3 3 2" xfId="31201"/>
    <cellStyle name="Currency 3 5 2 3 3 3" xfId="31200"/>
    <cellStyle name="Currency 3 5 2 3 4" xfId="4778"/>
    <cellStyle name="Currency 3 5 2 3 4 2" xfId="31203"/>
    <cellStyle name="Currency 3 5 2 3 4 3" xfId="31202"/>
    <cellStyle name="Currency 3 5 2 3 5" xfId="11088"/>
    <cellStyle name="Currency 3 5 2 3 5 2" xfId="31205"/>
    <cellStyle name="Currency 3 5 2 3 5 3" xfId="31204"/>
    <cellStyle name="Currency 3 5 2 3 6" xfId="31206"/>
    <cellStyle name="Currency 3 5 2 3 7" xfId="31191"/>
    <cellStyle name="Currency 3 5 2 4" xfId="2301"/>
    <cellStyle name="Currency 3 5 2 4 2" xfId="8586"/>
    <cellStyle name="Currency 3 5 2 4 2 2" xfId="31209"/>
    <cellStyle name="Currency 3 5 2 4 2 3" xfId="31208"/>
    <cellStyle name="Currency 3 5 2 4 3" xfId="5459"/>
    <cellStyle name="Currency 3 5 2 4 3 2" xfId="31211"/>
    <cellStyle name="Currency 3 5 2 4 3 3" xfId="31210"/>
    <cellStyle name="Currency 3 5 2 4 4" xfId="11769"/>
    <cellStyle name="Currency 3 5 2 4 4 2" xfId="31213"/>
    <cellStyle name="Currency 3 5 2 4 4 3" xfId="31212"/>
    <cellStyle name="Currency 3 5 2 4 5" xfId="31214"/>
    <cellStyle name="Currency 3 5 2 4 6" xfId="31207"/>
    <cellStyle name="Currency 3 5 2 5" xfId="7023"/>
    <cellStyle name="Currency 3 5 2 5 2" xfId="31216"/>
    <cellStyle name="Currency 3 5 2 5 3" xfId="31215"/>
    <cellStyle name="Currency 3 5 2 6" xfId="3896"/>
    <cellStyle name="Currency 3 5 2 6 2" xfId="31218"/>
    <cellStyle name="Currency 3 5 2 6 3" xfId="31217"/>
    <cellStyle name="Currency 3 5 2 7" xfId="9686"/>
    <cellStyle name="Currency 3 5 2 7 2" xfId="31220"/>
    <cellStyle name="Currency 3 5 2 7 3" xfId="31219"/>
    <cellStyle name="Currency 3 5 2 8" xfId="31221"/>
    <cellStyle name="Currency 3 5 2 9" xfId="31174"/>
    <cellStyle name="Currency 3 5 3" xfId="1415"/>
    <cellStyle name="Currency 3 5 3 2" xfId="2980"/>
    <cellStyle name="Currency 3 5 3 2 2" xfId="9265"/>
    <cellStyle name="Currency 3 5 3 2 2 2" xfId="31225"/>
    <cellStyle name="Currency 3 5 3 2 2 3" xfId="31224"/>
    <cellStyle name="Currency 3 5 3 2 3" xfId="6138"/>
    <cellStyle name="Currency 3 5 3 2 3 2" xfId="31227"/>
    <cellStyle name="Currency 3 5 3 2 3 3" xfId="31226"/>
    <cellStyle name="Currency 3 5 3 2 4" xfId="12448"/>
    <cellStyle name="Currency 3 5 3 2 4 2" xfId="31229"/>
    <cellStyle name="Currency 3 5 3 2 4 3" xfId="31228"/>
    <cellStyle name="Currency 3 5 3 2 5" xfId="31230"/>
    <cellStyle name="Currency 3 5 3 2 6" xfId="31223"/>
    <cellStyle name="Currency 3 5 3 3" xfId="7702"/>
    <cellStyle name="Currency 3 5 3 3 2" xfId="31232"/>
    <cellStyle name="Currency 3 5 3 3 3" xfId="31231"/>
    <cellStyle name="Currency 3 5 3 4" xfId="4575"/>
    <cellStyle name="Currency 3 5 3 4 2" xfId="31234"/>
    <cellStyle name="Currency 3 5 3 4 3" xfId="31233"/>
    <cellStyle name="Currency 3 5 3 5" xfId="10885"/>
    <cellStyle name="Currency 3 5 3 5 2" xfId="31236"/>
    <cellStyle name="Currency 3 5 3 5 3" xfId="31235"/>
    <cellStyle name="Currency 3 5 3 6" xfId="31237"/>
    <cellStyle name="Currency 3 5 3 7" xfId="31222"/>
    <cellStyle name="Currency 3 5 4" xfId="1617"/>
    <cellStyle name="Currency 3 5 4 2" xfId="3182"/>
    <cellStyle name="Currency 3 5 4 2 2" xfId="9467"/>
    <cellStyle name="Currency 3 5 4 2 2 2" xfId="31241"/>
    <cellStyle name="Currency 3 5 4 2 2 3" xfId="31240"/>
    <cellStyle name="Currency 3 5 4 2 3" xfId="6340"/>
    <cellStyle name="Currency 3 5 4 2 3 2" xfId="31243"/>
    <cellStyle name="Currency 3 5 4 2 3 3" xfId="31242"/>
    <cellStyle name="Currency 3 5 4 2 4" xfId="12650"/>
    <cellStyle name="Currency 3 5 4 2 4 2" xfId="31245"/>
    <cellStyle name="Currency 3 5 4 2 4 3" xfId="31244"/>
    <cellStyle name="Currency 3 5 4 2 5" xfId="31246"/>
    <cellStyle name="Currency 3 5 4 2 6" xfId="31239"/>
    <cellStyle name="Currency 3 5 4 3" xfId="7904"/>
    <cellStyle name="Currency 3 5 4 3 2" xfId="31248"/>
    <cellStyle name="Currency 3 5 4 3 3" xfId="31247"/>
    <cellStyle name="Currency 3 5 4 4" xfId="4777"/>
    <cellStyle name="Currency 3 5 4 4 2" xfId="31250"/>
    <cellStyle name="Currency 3 5 4 4 3" xfId="31249"/>
    <cellStyle name="Currency 3 5 4 5" xfId="11087"/>
    <cellStyle name="Currency 3 5 4 5 2" xfId="31252"/>
    <cellStyle name="Currency 3 5 4 5 3" xfId="31251"/>
    <cellStyle name="Currency 3 5 4 6" xfId="31253"/>
    <cellStyle name="Currency 3 5 4 7" xfId="31238"/>
    <cellStyle name="Currency 3 5 5" xfId="2300"/>
    <cellStyle name="Currency 3 5 5 2" xfId="8585"/>
    <cellStyle name="Currency 3 5 5 2 2" xfId="31256"/>
    <cellStyle name="Currency 3 5 5 2 3" xfId="31255"/>
    <cellStyle name="Currency 3 5 5 3" xfId="5458"/>
    <cellStyle name="Currency 3 5 5 3 2" xfId="31258"/>
    <cellStyle name="Currency 3 5 5 3 3" xfId="31257"/>
    <cellStyle name="Currency 3 5 5 4" xfId="11768"/>
    <cellStyle name="Currency 3 5 5 4 2" xfId="31260"/>
    <cellStyle name="Currency 3 5 5 4 3" xfId="31259"/>
    <cellStyle name="Currency 3 5 5 5" xfId="31261"/>
    <cellStyle name="Currency 3 5 5 6" xfId="31254"/>
    <cellStyle name="Currency 3 5 6" xfId="7022"/>
    <cellStyle name="Currency 3 5 6 2" xfId="31263"/>
    <cellStyle name="Currency 3 5 6 3" xfId="31262"/>
    <cellStyle name="Currency 3 5 7" xfId="3895"/>
    <cellStyle name="Currency 3 5 7 2" xfId="31265"/>
    <cellStyle name="Currency 3 5 7 3" xfId="31264"/>
    <cellStyle name="Currency 3 5 8" xfId="9685"/>
    <cellStyle name="Currency 3 5 8 2" xfId="31267"/>
    <cellStyle name="Currency 3 5 8 3" xfId="31266"/>
    <cellStyle name="Currency 3 5 9" xfId="31268"/>
    <cellStyle name="Currency 3 6" xfId="722"/>
    <cellStyle name="Currency 3 6 10" xfId="31269"/>
    <cellStyle name="Currency 3 6 2" xfId="723"/>
    <cellStyle name="Currency 3 6 2 2" xfId="1418"/>
    <cellStyle name="Currency 3 6 2 2 2" xfId="2983"/>
    <cellStyle name="Currency 3 6 2 2 2 2" xfId="9268"/>
    <cellStyle name="Currency 3 6 2 2 2 2 2" xfId="31274"/>
    <cellStyle name="Currency 3 6 2 2 2 2 3" xfId="31273"/>
    <cellStyle name="Currency 3 6 2 2 2 3" xfId="6141"/>
    <cellStyle name="Currency 3 6 2 2 2 3 2" xfId="31276"/>
    <cellStyle name="Currency 3 6 2 2 2 3 3" xfId="31275"/>
    <cellStyle name="Currency 3 6 2 2 2 4" xfId="12451"/>
    <cellStyle name="Currency 3 6 2 2 2 4 2" xfId="31278"/>
    <cellStyle name="Currency 3 6 2 2 2 4 3" xfId="31277"/>
    <cellStyle name="Currency 3 6 2 2 2 5" xfId="31279"/>
    <cellStyle name="Currency 3 6 2 2 2 6" xfId="31272"/>
    <cellStyle name="Currency 3 6 2 2 3" xfId="7705"/>
    <cellStyle name="Currency 3 6 2 2 3 2" xfId="31281"/>
    <cellStyle name="Currency 3 6 2 2 3 3" xfId="31280"/>
    <cellStyle name="Currency 3 6 2 2 4" xfId="4578"/>
    <cellStyle name="Currency 3 6 2 2 4 2" xfId="31283"/>
    <cellStyle name="Currency 3 6 2 2 4 3" xfId="31282"/>
    <cellStyle name="Currency 3 6 2 2 5" xfId="10888"/>
    <cellStyle name="Currency 3 6 2 2 5 2" xfId="31285"/>
    <cellStyle name="Currency 3 6 2 2 5 3" xfId="31284"/>
    <cellStyle name="Currency 3 6 2 2 6" xfId="31286"/>
    <cellStyle name="Currency 3 6 2 2 7" xfId="31271"/>
    <cellStyle name="Currency 3 6 2 3" xfId="1620"/>
    <cellStyle name="Currency 3 6 2 3 2" xfId="3185"/>
    <cellStyle name="Currency 3 6 2 3 2 2" xfId="9470"/>
    <cellStyle name="Currency 3 6 2 3 2 2 2" xfId="31290"/>
    <cellStyle name="Currency 3 6 2 3 2 2 3" xfId="31289"/>
    <cellStyle name="Currency 3 6 2 3 2 3" xfId="6343"/>
    <cellStyle name="Currency 3 6 2 3 2 3 2" xfId="31292"/>
    <cellStyle name="Currency 3 6 2 3 2 3 3" xfId="31291"/>
    <cellStyle name="Currency 3 6 2 3 2 4" xfId="12653"/>
    <cellStyle name="Currency 3 6 2 3 2 4 2" xfId="31294"/>
    <cellStyle name="Currency 3 6 2 3 2 4 3" xfId="31293"/>
    <cellStyle name="Currency 3 6 2 3 2 5" xfId="31295"/>
    <cellStyle name="Currency 3 6 2 3 2 6" xfId="31288"/>
    <cellStyle name="Currency 3 6 2 3 3" xfId="7907"/>
    <cellStyle name="Currency 3 6 2 3 3 2" xfId="31297"/>
    <cellStyle name="Currency 3 6 2 3 3 3" xfId="31296"/>
    <cellStyle name="Currency 3 6 2 3 4" xfId="4780"/>
    <cellStyle name="Currency 3 6 2 3 4 2" xfId="31299"/>
    <cellStyle name="Currency 3 6 2 3 4 3" xfId="31298"/>
    <cellStyle name="Currency 3 6 2 3 5" xfId="11090"/>
    <cellStyle name="Currency 3 6 2 3 5 2" xfId="31301"/>
    <cellStyle name="Currency 3 6 2 3 5 3" xfId="31300"/>
    <cellStyle name="Currency 3 6 2 3 6" xfId="31302"/>
    <cellStyle name="Currency 3 6 2 3 7" xfId="31287"/>
    <cellStyle name="Currency 3 6 2 4" xfId="2303"/>
    <cellStyle name="Currency 3 6 2 4 2" xfId="8588"/>
    <cellStyle name="Currency 3 6 2 4 2 2" xfId="31305"/>
    <cellStyle name="Currency 3 6 2 4 2 3" xfId="31304"/>
    <cellStyle name="Currency 3 6 2 4 3" xfId="5461"/>
    <cellStyle name="Currency 3 6 2 4 3 2" xfId="31307"/>
    <cellStyle name="Currency 3 6 2 4 3 3" xfId="31306"/>
    <cellStyle name="Currency 3 6 2 4 4" xfId="11771"/>
    <cellStyle name="Currency 3 6 2 4 4 2" xfId="31309"/>
    <cellStyle name="Currency 3 6 2 4 4 3" xfId="31308"/>
    <cellStyle name="Currency 3 6 2 4 5" xfId="31310"/>
    <cellStyle name="Currency 3 6 2 4 6" xfId="31303"/>
    <cellStyle name="Currency 3 6 2 5" xfId="7025"/>
    <cellStyle name="Currency 3 6 2 5 2" xfId="31312"/>
    <cellStyle name="Currency 3 6 2 5 3" xfId="31311"/>
    <cellStyle name="Currency 3 6 2 6" xfId="3898"/>
    <cellStyle name="Currency 3 6 2 6 2" xfId="31314"/>
    <cellStyle name="Currency 3 6 2 6 3" xfId="31313"/>
    <cellStyle name="Currency 3 6 2 7" xfId="9688"/>
    <cellStyle name="Currency 3 6 2 7 2" xfId="31316"/>
    <cellStyle name="Currency 3 6 2 7 3" xfId="31315"/>
    <cellStyle name="Currency 3 6 2 8" xfId="31317"/>
    <cellStyle name="Currency 3 6 2 9" xfId="31270"/>
    <cellStyle name="Currency 3 6 3" xfId="1417"/>
    <cellStyle name="Currency 3 6 3 2" xfId="2982"/>
    <cellStyle name="Currency 3 6 3 2 2" xfId="9267"/>
    <cellStyle name="Currency 3 6 3 2 2 2" xfId="31321"/>
    <cellStyle name="Currency 3 6 3 2 2 3" xfId="31320"/>
    <cellStyle name="Currency 3 6 3 2 3" xfId="6140"/>
    <cellStyle name="Currency 3 6 3 2 3 2" xfId="31323"/>
    <cellStyle name="Currency 3 6 3 2 3 3" xfId="31322"/>
    <cellStyle name="Currency 3 6 3 2 4" xfId="12450"/>
    <cellStyle name="Currency 3 6 3 2 4 2" xfId="31325"/>
    <cellStyle name="Currency 3 6 3 2 4 3" xfId="31324"/>
    <cellStyle name="Currency 3 6 3 2 5" xfId="31326"/>
    <cellStyle name="Currency 3 6 3 2 6" xfId="31319"/>
    <cellStyle name="Currency 3 6 3 3" xfId="7704"/>
    <cellStyle name="Currency 3 6 3 3 2" xfId="31328"/>
    <cellStyle name="Currency 3 6 3 3 3" xfId="31327"/>
    <cellStyle name="Currency 3 6 3 4" xfId="4577"/>
    <cellStyle name="Currency 3 6 3 4 2" xfId="31330"/>
    <cellStyle name="Currency 3 6 3 4 3" xfId="31329"/>
    <cellStyle name="Currency 3 6 3 5" xfId="10887"/>
    <cellStyle name="Currency 3 6 3 5 2" xfId="31332"/>
    <cellStyle name="Currency 3 6 3 5 3" xfId="31331"/>
    <cellStyle name="Currency 3 6 3 6" xfId="31333"/>
    <cellStyle name="Currency 3 6 3 7" xfId="31318"/>
    <cellStyle name="Currency 3 6 4" xfId="1619"/>
    <cellStyle name="Currency 3 6 4 2" xfId="3184"/>
    <cellStyle name="Currency 3 6 4 2 2" xfId="9469"/>
    <cellStyle name="Currency 3 6 4 2 2 2" xfId="31337"/>
    <cellStyle name="Currency 3 6 4 2 2 3" xfId="31336"/>
    <cellStyle name="Currency 3 6 4 2 3" xfId="6342"/>
    <cellStyle name="Currency 3 6 4 2 3 2" xfId="31339"/>
    <cellStyle name="Currency 3 6 4 2 3 3" xfId="31338"/>
    <cellStyle name="Currency 3 6 4 2 4" xfId="12652"/>
    <cellStyle name="Currency 3 6 4 2 4 2" xfId="31341"/>
    <cellStyle name="Currency 3 6 4 2 4 3" xfId="31340"/>
    <cellStyle name="Currency 3 6 4 2 5" xfId="31342"/>
    <cellStyle name="Currency 3 6 4 2 6" xfId="31335"/>
    <cellStyle name="Currency 3 6 4 3" xfId="7906"/>
    <cellStyle name="Currency 3 6 4 3 2" xfId="31344"/>
    <cellStyle name="Currency 3 6 4 3 3" xfId="31343"/>
    <cellStyle name="Currency 3 6 4 4" xfId="4779"/>
    <cellStyle name="Currency 3 6 4 4 2" xfId="31346"/>
    <cellStyle name="Currency 3 6 4 4 3" xfId="31345"/>
    <cellStyle name="Currency 3 6 4 5" xfId="11089"/>
    <cellStyle name="Currency 3 6 4 5 2" xfId="31348"/>
    <cellStyle name="Currency 3 6 4 5 3" xfId="31347"/>
    <cellStyle name="Currency 3 6 4 6" xfId="31349"/>
    <cellStyle name="Currency 3 6 4 7" xfId="31334"/>
    <cellStyle name="Currency 3 6 5" xfId="2302"/>
    <cellStyle name="Currency 3 6 5 2" xfId="8587"/>
    <cellStyle name="Currency 3 6 5 2 2" xfId="31352"/>
    <cellStyle name="Currency 3 6 5 2 3" xfId="31351"/>
    <cellStyle name="Currency 3 6 5 3" xfId="5460"/>
    <cellStyle name="Currency 3 6 5 3 2" xfId="31354"/>
    <cellStyle name="Currency 3 6 5 3 3" xfId="31353"/>
    <cellStyle name="Currency 3 6 5 4" xfId="11770"/>
    <cellStyle name="Currency 3 6 5 4 2" xfId="31356"/>
    <cellStyle name="Currency 3 6 5 4 3" xfId="31355"/>
    <cellStyle name="Currency 3 6 5 5" xfId="31357"/>
    <cellStyle name="Currency 3 6 5 6" xfId="31350"/>
    <cellStyle name="Currency 3 6 6" xfId="7024"/>
    <cellStyle name="Currency 3 6 6 2" xfId="31359"/>
    <cellStyle name="Currency 3 6 6 3" xfId="31358"/>
    <cellStyle name="Currency 3 6 7" xfId="3897"/>
    <cellStyle name="Currency 3 6 7 2" xfId="31361"/>
    <cellStyle name="Currency 3 6 7 3" xfId="31360"/>
    <cellStyle name="Currency 3 6 8" xfId="9687"/>
    <cellStyle name="Currency 3 6 8 2" xfId="31363"/>
    <cellStyle name="Currency 3 6 8 3" xfId="31362"/>
    <cellStyle name="Currency 3 6 9" xfId="31364"/>
    <cellStyle name="Currency 3 7" xfId="724"/>
    <cellStyle name="Currency 3 7 10" xfId="31365"/>
    <cellStyle name="Currency 3 7 2" xfId="725"/>
    <cellStyle name="Currency 3 7 2 2" xfId="1420"/>
    <cellStyle name="Currency 3 7 2 2 2" xfId="2985"/>
    <cellStyle name="Currency 3 7 2 2 2 2" xfId="9270"/>
    <cellStyle name="Currency 3 7 2 2 2 2 2" xfId="31370"/>
    <cellStyle name="Currency 3 7 2 2 2 2 3" xfId="31369"/>
    <cellStyle name="Currency 3 7 2 2 2 3" xfId="6143"/>
    <cellStyle name="Currency 3 7 2 2 2 3 2" xfId="31372"/>
    <cellStyle name="Currency 3 7 2 2 2 3 3" xfId="31371"/>
    <cellStyle name="Currency 3 7 2 2 2 4" xfId="12453"/>
    <cellStyle name="Currency 3 7 2 2 2 4 2" xfId="31374"/>
    <cellStyle name="Currency 3 7 2 2 2 4 3" xfId="31373"/>
    <cellStyle name="Currency 3 7 2 2 2 5" xfId="31375"/>
    <cellStyle name="Currency 3 7 2 2 2 6" xfId="31368"/>
    <cellStyle name="Currency 3 7 2 2 3" xfId="7707"/>
    <cellStyle name="Currency 3 7 2 2 3 2" xfId="31377"/>
    <cellStyle name="Currency 3 7 2 2 3 3" xfId="31376"/>
    <cellStyle name="Currency 3 7 2 2 4" xfId="4580"/>
    <cellStyle name="Currency 3 7 2 2 4 2" xfId="31379"/>
    <cellStyle name="Currency 3 7 2 2 4 3" xfId="31378"/>
    <cellStyle name="Currency 3 7 2 2 5" xfId="10890"/>
    <cellStyle name="Currency 3 7 2 2 5 2" xfId="31381"/>
    <cellStyle name="Currency 3 7 2 2 5 3" xfId="31380"/>
    <cellStyle name="Currency 3 7 2 2 6" xfId="31382"/>
    <cellStyle name="Currency 3 7 2 2 7" xfId="31367"/>
    <cellStyle name="Currency 3 7 2 3" xfId="1622"/>
    <cellStyle name="Currency 3 7 2 3 2" xfId="3187"/>
    <cellStyle name="Currency 3 7 2 3 2 2" xfId="9472"/>
    <cellStyle name="Currency 3 7 2 3 2 2 2" xfId="31386"/>
    <cellStyle name="Currency 3 7 2 3 2 2 3" xfId="31385"/>
    <cellStyle name="Currency 3 7 2 3 2 3" xfId="6345"/>
    <cellStyle name="Currency 3 7 2 3 2 3 2" xfId="31388"/>
    <cellStyle name="Currency 3 7 2 3 2 3 3" xfId="31387"/>
    <cellStyle name="Currency 3 7 2 3 2 4" xfId="12655"/>
    <cellStyle name="Currency 3 7 2 3 2 4 2" xfId="31390"/>
    <cellStyle name="Currency 3 7 2 3 2 4 3" xfId="31389"/>
    <cellStyle name="Currency 3 7 2 3 2 5" xfId="31391"/>
    <cellStyle name="Currency 3 7 2 3 2 6" xfId="31384"/>
    <cellStyle name="Currency 3 7 2 3 3" xfId="7909"/>
    <cellStyle name="Currency 3 7 2 3 3 2" xfId="31393"/>
    <cellStyle name="Currency 3 7 2 3 3 3" xfId="31392"/>
    <cellStyle name="Currency 3 7 2 3 4" xfId="4782"/>
    <cellStyle name="Currency 3 7 2 3 4 2" xfId="31395"/>
    <cellStyle name="Currency 3 7 2 3 4 3" xfId="31394"/>
    <cellStyle name="Currency 3 7 2 3 5" xfId="11092"/>
    <cellStyle name="Currency 3 7 2 3 5 2" xfId="31397"/>
    <cellStyle name="Currency 3 7 2 3 5 3" xfId="31396"/>
    <cellStyle name="Currency 3 7 2 3 6" xfId="31398"/>
    <cellStyle name="Currency 3 7 2 3 7" xfId="31383"/>
    <cellStyle name="Currency 3 7 2 4" xfId="2305"/>
    <cellStyle name="Currency 3 7 2 4 2" xfId="8590"/>
    <cellStyle name="Currency 3 7 2 4 2 2" xfId="31401"/>
    <cellStyle name="Currency 3 7 2 4 2 3" xfId="31400"/>
    <cellStyle name="Currency 3 7 2 4 3" xfId="5463"/>
    <cellStyle name="Currency 3 7 2 4 3 2" xfId="31403"/>
    <cellStyle name="Currency 3 7 2 4 3 3" xfId="31402"/>
    <cellStyle name="Currency 3 7 2 4 4" xfId="11773"/>
    <cellStyle name="Currency 3 7 2 4 4 2" xfId="31405"/>
    <cellStyle name="Currency 3 7 2 4 4 3" xfId="31404"/>
    <cellStyle name="Currency 3 7 2 4 5" xfId="31406"/>
    <cellStyle name="Currency 3 7 2 4 6" xfId="31399"/>
    <cellStyle name="Currency 3 7 2 5" xfId="7027"/>
    <cellStyle name="Currency 3 7 2 5 2" xfId="31408"/>
    <cellStyle name="Currency 3 7 2 5 3" xfId="31407"/>
    <cellStyle name="Currency 3 7 2 6" xfId="3900"/>
    <cellStyle name="Currency 3 7 2 6 2" xfId="31410"/>
    <cellStyle name="Currency 3 7 2 6 3" xfId="31409"/>
    <cellStyle name="Currency 3 7 2 7" xfId="9690"/>
    <cellStyle name="Currency 3 7 2 7 2" xfId="31412"/>
    <cellStyle name="Currency 3 7 2 7 3" xfId="31411"/>
    <cellStyle name="Currency 3 7 2 8" xfId="31413"/>
    <cellStyle name="Currency 3 7 2 9" xfId="31366"/>
    <cellStyle name="Currency 3 7 3" xfId="1419"/>
    <cellStyle name="Currency 3 7 3 2" xfId="2984"/>
    <cellStyle name="Currency 3 7 3 2 2" xfId="9269"/>
    <cellStyle name="Currency 3 7 3 2 2 2" xfId="31417"/>
    <cellStyle name="Currency 3 7 3 2 2 3" xfId="31416"/>
    <cellStyle name="Currency 3 7 3 2 3" xfId="6142"/>
    <cellStyle name="Currency 3 7 3 2 3 2" xfId="31419"/>
    <cellStyle name="Currency 3 7 3 2 3 3" xfId="31418"/>
    <cellStyle name="Currency 3 7 3 2 4" xfId="12452"/>
    <cellStyle name="Currency 3 7 3 2 4 2" xfId="31421"/>
    <cellStyle name="Currency 3 7 3 2 4 3" xfId="31420"/>
    <cellStyle name="Currency 3 7 3 2 5" xfId="31422"/>
    <cellStyle name="Currency 3 7 3 2 6" xfId="31415"/>
    <cellStyle name="Currency 3 7 3 3" xfId="7706"/>
    <cellStyle name="Currency 3 7 3 3 2" xfId="31424"/>
    <cellStyle name="Currency 3 7 3 3 3" xfId="31423"/>
    <cellStyle name="Currency 3 7 3 4" xfId="4579"/>
    <cellStyle name="Currency 3 7 3 4 2" xfId="31426"/>
    <cellStyle name="Currency 3 7 3 4 3" xfId="31425"/>
    <cellStyle name="Currency 3 7 3 5" xfId="10889"/>
    <cellStyle name="Currency 3 7 3 5 2" xfId="31428"/>
    <cellStyle name="Currency 3 7 3 5 3" xfId="31427"/>
    <cellStyle name="Currency 3 7 3 6" xfId="31429"/>
    <cellStyle name="Currency 3 7 3 7" xfId="31414"/>
    <cellStyle name="Currency 3 7 4" xfId="1621"/>
    <cellStyle name="Currency 3 7 4 2" xfId="3186"/>
    <cellStyle name="Currency 3 7 4 2 2" xfId="9471"/>
    <cellStyle name="Currency 3 7 4 2 2 2" xfId="31433"/>
    <cellStyle name="Currency 3 7 4 2 2 3" xfId="31432"/>
    <cellStyle name="Currency 3 7 4 2 3" xfId="6344"/>
    <cellStyle name="Currency 3 7 4 2 3 2" xfId="31435"/>
    <cellStyle name="Currency 3 7 4 2 3 3" xfId="31434"/>
    <cellStyle name="Currency 3 7 4 2 4" xfId="12654"/>
    <cellStyle name="Currency 3 7 4 2 4 2" xfId="31437"/>
    <cellStyle name="Currency 3 7 4 2 4 3" xfId="31436"/>
    <cellStyle name="Currency 3 7 4 2 5" xfId="31438"/>
    <cellStyle name="Currency 3 7 4 2 6" xfId="31431"/>
    <cellStyle name="Currency 3 7 4 3" xfId="7908"/>
    <cellStyle name="Currency 3 7 4 3 2" xfId="31440"/>
    <cellStyle name="Currency 3 7 4 3 3" xfId="31439"/>
    <cellStyle name="Currency 3 7 4 4" xfId="4781"/>
    <cellStyle name="Currency 3 7 4 4 2" xfId="31442"/>
    <cellStyle name="Currency 3 7 4 4 3" xfId="31441"/>
    <cellStyle name="Currency 3 7 4 5" xfId="11091"/>
    <cellStyle name="Currency 3 7 4 5 2" xfId="31444"/>
    <cellStyle name="Currency 3 7 4 5 3" xfId="31443"/>
    <cellStyle name="Currency 3 7 4 6" xfId="31445"/>
    <cellStyle name="Currency 3 7 4 7" xfId="31430"/>
    <cellStyle name="Currency 3 7 5" xfId="2304"/>
    <cellStyle name="Currency 3 7 5 2" xfId="8589"/>
    <cellStyle name="Currency 3 7 5 2 2" xfId="31448"/>
    <cellStyle name="Currency 3 7 5 2 3" xfId="31447"/>
    <cellStyle name="Currency 3 7 5 3" xfId="5462"/>
    <cellStyle name="Currency 3 7 5 3 2" xfId="31450"/>
    <cellStyle name="Currency 3 7 5 3 3" xfId="31449"/>
    <cellStyle name="Currency 3 7 5 4" xfId="11772"/>
    <cellStyle name="Currency 3 7 5 4 2" xfId="31452"/>
    <cellStyle name="Currency 3 7 5 4 3" xfId="31451"/>
    <cellStyle name="Currency 3 7 5 5" xfId="31453"/>
    <cellStyle name="Currency 3 7 5 6" xfId="31446"/>
    <cellStyle name="Currency 3 7 6" xfId="7026"/>
    <cellStyle name="Currency 3 7 6 2" xfId="31455"/>
    <cellStyle name="Currency 3 7 6 3" xfId="31454"/>
    <cellStyle name="Currency 3 7 7" xfId="3899"/>
    <cellStyle name="Currency 3 7 7 2" xfId="31457"/>
    <cellStyle name="Currency 3 7 7 3" xfId="31456"/>
    <cellStyle name="Currency 3 7 8" xfId="9689"/>
    <cellStyle name="Currency 3 7 8 2" xfId="31459"/>
    <cellStyle name="Currency 3 7 8 3" xfId="31458"/>
    <cellStyle name="Currency 3 7 9" xfId="31460"/>
    <cellStyle name="Currency 3 8" xfId="726"/>
    <cellStyle name="Currency 3 8 2" xfId="1421"/>
    <cellStyle name="Currency 3 8 2 2" xfId="2986"/>
    <cellStyle name="Currency 3 8 2 2 2" xfId="9271"/>
    <cellStyle name="Currency 3 8 2 2 2 2" xfId="31465"/>
    <cellStyle name="Currency 3 8 2 2 2 3" xfId="31464"/>
    <cellStyle name="Currency 3 8 2 2 3" xfId="6144"/>
    <cellStyle name="Currency 3 8 2 2 3 2" xfId="31467"/>
    <cellStyle name="Currency 3 8 2 2 3 3" xfId="31466"/>
    <cellStyle name="Currency 3 8 2 2 4" xfId="12454"/>
    <cellStyle name="Currency 3 8 2 2 4 2" xfId="31469"/>
    <cellStyle name="Currency 3 8 2 2 4 3" xfId="31468"/>
    <cellStyle name="Currency 3 8 2 2 5" xfId="31470"/>
    <cellStyle name="Currency 3 8 2 2 6" xfId="31463"/>
    <cellStyle name="Currency 3 8 2 3" xfId="7708"/>
    <cellStyle name="Currency 3 8 2 3 2" xfId="31472"/>
    <cellStyle name="Currency 3 8 2 3 3" xfId="31471"/>
    <cellStyle name="Currency 3 8 2 4" xfId="4581"/>
    <cellStyle name="Currency 3 8 2 4 2" xfId="31474"/>
    <cellStyle name="Currency 3 8 2 4 3" xfId="31473"/>
    <cellStyle name="Currency 3 8 2 5" xfId="10891"/>
    <cellStyle name="Currency 3 8 2 5 2" xfId="31476"/>
    <cellStyle name="Currency 3 8 2 5 3" xfId="31475"/>
    <cellStyle name="Currency 3 8 2 6" xfId="31477"/>
    <cellStyle name="Currency 3 8 2 7" xfId="31462"/>
    <cellStyle name="Currency 3 8 3" xfId="1623"/>
    <cellStyle name="Currency 3 8 3 2" xfId="3188"/>
    <cellStyle name="Currency 3 8 3 2 2" xfId="9473"/>
    <cellStyle name="Currency 3 8 3 2 2 2" xfId="31481"/>
    <cellStyle name="Currency 3 8 3 2 2 3" xfId="31480"/>
    <cellStyle name="Currency 3 8 3 2 3" xfId="6346"/>
    <cellStyle name="Currency 3 8 3 2 3 2" xfId="31483"/>
    <cellStyle name="Currency 3 8 3 2 3 3" xfId="31482"/>
    <cellStyle name="Currency 3 8 3 2 4" xfId="12656"/>
    <cellStyle name="Currency 3 8 3 2 4 2" xfId="31485"/>
    <cellStyle name="Currency 3 8 3 2 4 3" xfId="31484"/>
    <cellStyle name="Currency 3 8 3 2 5" xfId="31486"/>
    <cellStyle name="Currency 3 8 3 2 6" xfId="31479"/>
    <cellStyle name="Currency 3 8 3 3" xfId="7910"/>
    <cellStyle name="Currency 3 8 3 3 2" xfId="31488"/>
    <cellStyle name="Currency 3 8 3 3 3" xfId="31487"/>
    <cellStyle name="Currency 3 8 3 4" xfId="4783"/>
    <cellStyle name="Currency 3 8 3 4 2" xfId="31490"/>
    <cellStyle name="Currency 3 8 3 4 3" xfId="31489"/>
    <cellStyle name="Currency 3 8 3 5" xfId="11093"/>
    <cellStyle name="Currency 3 8 3 5 2" xfId="31492"/>
    <cellStyle name="Currency 3 8 3 5 3" xfId="31491"/>
    <cellStyle name="Currency 3 8 3 6" xfId="31493"/>
    <cellStyle name="Currency 3 8 3 7" xfId="31478"/>
    <cellStyle name="Currency 3 8 4" xfId="2306"/>
    <cellStyle name="Currency 3 8 4 2" xfId="8591"/>
    <cellStyle name="Currency 3 8 4 2 2" xfId="31496"/>
    <cellStyle name="Currency 3 8 4 2 3" xfId="31495"/>
    <cellStyle name="Currency 3 8 4 3" xfId="5464"/>
    <cellStyle name="Currency 3 8 4 3 2" xfId="31498"/>
    <cellStyle name="Currency 3 8 4 3 3" xfId="31497"/>
    <cellStyle name="Currency 3 8 4 4" xfId="11774"/>
    <cellStyle name="Currency 3 8 4 4 2" xfId="31500"/>
    <cellStyle name="Currency 3 8 4 4 3" xfId="31499"/>
    <cellStyle name="Currency 3 8 4 5" xfId="31501"/>
    <cellStyle name="Currency 3 8 4 6" xfId="31494"/>
    <cellStyle name="Currency 3 8 5" xfId="7028"/>
    <cellStyle name="Currency 3 8 5 2" xfId="31503"/>
    <cellStyle name="Currency 3 8 5 3" xfId="31502"/>
    <cellStyle name="Currency 3 8 6" xfId="3901"/>
    <cellStyle name="Currency 3 8 6 2" xfId="31505"/>
    <cellStyle name="Currency 3 8 6 3" xfId="31504"/>
    <cellStyle name="Currency 3 8 7" xfId="9691"/>
    <cellStyle name="Currency 3 8 7 2" xfId="31507"/>
    <cellStyle name="Currency 3 8 7 3" xfId="31506"/>
    <cellStyle name="Currency 3 8 8" xfId="31508"/>
    <cellStyle name="Currency 3 8 9" xfId="31461"/>
    <cellStyle name="Currency 3 9" xfId="707"/>
    <cellStyle name="Currency 3 9 2" xfId="1402"/>
    <cellStyle name="Currency 3 9 2 2" xfId="2967"/>
    <cellStyle name="Currency 3 9 2 2 2" xfId="9252"/>
    <cellStyle name="Currency 3 9 2 2 2 2" xfId="31513"/>
    <cellStyle name="Currency 3 9 2 2 2 3" xfId="31512"/>
    <cellStyle name="Currency 3 9 2 2 3" xfId="6125"/>
    <cellStyle name="Currency 3 9 2 2 3 2" xfId="31515"/>
    <cellStyle name="Currency 3 9 2 2 3 3" xfId="31514"/>
    <cellStyle name="Currency 3 9 2 2 4" xfId="12435"/>
    <cellStyle name="Currency 3 9 2 2 4 2" xfId="31517"/>
    <cellStyle name="Currency 3 9 2 2 4 3" xfId="31516"/>
    <cellStyle name="Currency 3 9 2 2 5" xfId="31518"/>
    <cellStyle name="Currency 3 9 2 2 6" xfId="31511"/>
    <cellStyle name="Currency 3 9 2 3" xfId="7689"/>
    <cellStyle name="Currency 3 9 2 3 2" xfId="31520"/>
    <cellStyle name="Currency 3 9 2 3 3" xfId="31519"/>
    <cellStyle name="Currency 3 9 2 4" xfId="4562"/>
    <cellStyle name="Currency 3 9 2 4 2" xfId="31522"/>
    <cellStyle name="Currency 3 9 2 4 3" xfId="31521"/>
    <cellStyle name="Currency 3 9 2 5" xfId="10872"/>
    <cellStyle name="Currency 3 9 2 5 2" xfId="31524"/>
    <cellStyle name="Currency 3 9 2 5 3" xfId="31523"/>
    <cellStyle name="Currency 3 9 2 6" xfId="31525"/>
    <cellStyle name="Currency 3 9 2 7" xfId="31510"/>
    <cellStyle name="Currency 3 9 3" xfId="2287"/>
    <cellStyle name="Currency 3 9 3 2" xfId="8572"/>
    <cellStyle name="Currency 3 9 3 2 2" xfId="31528"/>
    <cellStyle name="Currency 3 9 3 2 3" xfId="31527"/>
    <cellStyle name="Currency 3 9 3 3" xfId="5445"/>
    <cellStyle name="Currency 3 9 3 3 2" xfId="31530"/>
    <cellStyle name="Currency 3 9 3 3 3" xfId="31529"/>
    <cellStyle name="Currency 3 9 3 4" xfId="11755"/>
    <cellStyle name="Currency 3 9 3 4 2" xfId="31532"/>
    <cellStyle name="Currency 3 9 3 4 3" xfId="31531"/>
    <cellStyle name="Currency 3 9 3 5" xfId="31533"/>
    <cellStyle name="Currency 3 9 3 6" xfId="31526"/>
    <cellStyle name="Currency 3 9 4" xfId="7009"/>
    <cellStyle name="Currency 3 9 4 2" xfId="31535"/>
    <cellStyle name="Currency 3 9 4 3" xfId="31534"/>
    <cellStyle name="Currency 3 9 5" xfId="3882"/>
    <cellStyle name="Currency 3 9 5 2" xfId="31537"/>
    <cellStyle name="Currency 3 9 5 3" xfId="31536"/>
    <cellStyle name="Currency 3 9 6" xfId="10289"/>
    <cellStyle name="Currency 3 9 6 2" xfId="31539"/>
    <cellStyle name="Currency 3 9 6 3" xfId="31538"/>
    <cellStyle name="Currency 3 9 7" xfId="31540"/>
    <cellStyle name="Currency 3 9 8" xfId="31509"/>
    <cellStyle name="Currency 4" xfId="221"/>
    <cellStyle name="Currency 4 2" xfId="727"/>
    <cellStyle name="Currency 4 2 2" xfId="31542"/>
    <cellStyle name="Currency 4 3" xfId="932"/>
    <cellStyle name="Currency 4 3 2" xfId="2498"/>
    <cellStyle name="Currency 4 3 2 2" xfId="8783"/>
    <cellStyle name="Currency 4 3 2 2 2" xfId="31546"/>
    <cellStyle name="Currency 4 3 2 2 3" xfId="31545"/>
    <cellStyle name="Currency 4 3 2 3" xfId="5656"/>
    <cellStyle name="Currency 4 3 2 3 2" xfId="31548"/>
    <cellStyle name="Currency 4 3 2 3 3" xfId="31547"/>
    <cellStyle name="Currency 4 3 2 4" xfId="11966"/>
    <cellStyle name="Currency 4 3 2 4 2" xfId="31550"/>
    <cellStyle name="Currency 4 3 2 4 3" xfId="31549"/>
    <cellStyle name="Currency 4 3 2 5" xfId="31551"/>
    <cellStyle name="Currency 4 3 2 6" xfId="31544"/>
    <cellStyle name="Currency 4 3 3" xfId="7220"/>
    <cellStyle name="Currency 4 3 3 2" xfId="31553"/>
    <cellStyle name="Currency 4 3 3 3" xfId="31552"/>
    <cellStyle name="Currency 4 3 4" xfId="4093"/>
    <cellStyle name="Currency 4 3 4 2" xfId="31555"/>
    <cellStyle name="Currency 4 3 4 3" xfId="31554"/>
    <cellStyle name="Currency 4 3 5" xfId="10403"/>
    <cellStyle name="Currency 4 3 5 2" xfId="31557"/>
    <cellStyle name="Currency 4 3 5 3" xfId="31556"/>
    <cellStyle name="Currency 4 3 6" xfId="31558"/>
    <cellStyle name="Currency 4 3 7" xfId="31543"/>
    <cellStyle name="Currency 4 4" xfId="1818"/>
    <cellStyle name="Currency 4 4 2" xfId="8103"/>
    <cellStyle name="Currency 4 4 2 2" xfId="31561"/>
    <cellStyle name="Currency 4 4 2 3" xfId="31560"/>
    <cellStyle name="Currency 4 4 3" xfId="4976"/>
    <cellStyle name="Currency 4 4 3 2" xfId="31563"/>
    <cellStyle name="Currency 4 4 3 3" xfId="31562"/>
    <cellStyle name="Currency 4 4 4" xfId="11286"/>
    <cellStyle name="Currency 4 4 4 2" xfId="31565"/>
    <cellStyle name="Currency 4 4 4 3" xfId="31564"/>
    <cellStyle name="Currency 4 4 5" xfId="31566"/>
    <cellStyle name="Currency 4 4 6" xfId="31559"/>
    <cellStyle name="Currency 4 5" xfId="6540"/>
    <cellStyle name="Currency 4 5 2" xfId="9902"/>
    <cellStyle name="Currency 4 5 2 2" xfId="31569"/>
    <cellStyle name="Currency 4 5 2 3" xfId="31568"/>
    <cellStyle name="Currency 4 5 3" xfId="31570"/>
    <cellStyle name="Currency 4 5 4" xfId="31567"/>
    <cellStyle name="Currency 4 6" xfId="3413"/>
    <cellStyle name="Currency 4 6 2" xfId="31572"/>
    <cellStyle name="Currency 4 6 3" xfId="31571"/>
    <cellStyle name="Currency 4 7" xfId="31573"/>
    <cellStyle name="Currency 4 8" xfId="31541"/>
    <cellStyle name="Currency 4 9" xfId="38163"/>
    <cellStyle name="Currency 5" xfId="282"/>
    <cellStyle name="Currency 5 2" xfId="31574"/>
    <cellStyle name="Currency 5 3" xfId="38178"/>
    <cellStyle name="Currency 6" xfId="328"/>
    <cellStyle name="Currency 6 2" xfId="1036"/>
    <cellStyle name="Currency 6 2 2" xfId="2602"/>
    <cellStyle name="Currency 6 2 2 2" xfId="8887"/>
    <cellStyle name="Currency 6 2 2 2 2" xfId="31579"/>
    <cellStyle name="Currency 6 2 2 2 3" xfId="31578"/>
    <cellStyle name="Currency 6 2 2 3" xfId="5760"/>
    <cellStyle name="Currency 6 2 2 3 2" xfId="31581"/>
    <cellStyle name="Currency 6 2 2 3 3" xfId="31580"/>
    <cellStyle name="Currency 6 2 2 4" xfId="12070"/>
    <cellStyle name="Currency 6 2 2 4 2" xfId="31583"/>
    <cellStyle name="Currency 6 2 2 4 3" xfId="31582"/>
    <cellStyle name="Currency 6 2 2 5" xfId="31584"/>
    <cellStyle name="Currency 6 2 2 6" xfId="31577"/>
    <cellStyle name="Currency 6 2 3" xfId="7324"/>
    <cellStyle name="Currency 6 2 3 2" xfId="31586"/>
    <cellStyle name="Currency 6 2 3 3" xfId="31585"/>
    <cellStyle name="Currency 6 2 4" xfId="4197"/>
    <cellStyle name="Currency 6 2 4 2" xfId="31588"/>
    <cellStyle name="Currency 6 2 4 3" xfId="31587"/>
    <cellStyle name="Currency 6 2 5" xfId="10507"/>
    <cellStyle name="Currency 6 2 5 2" xfId="31590"/>
    <cellStyle name="Currency 6 2 5 3" xfId="31589"/>
    <cellStyle name="Currency 6 2 6" xfId="31591"/>
    <cellStyle name="Currency 6 2 7" xfId="31576"/>
    <cellStyle name="Currency 6 3" xfId="1922"/>
    <cellStyle name="Currency 6 3 2" xfId="8207"/>
    <cellStyle name="Currency 6 3 2 2" xfId="31594"/>
    <cellStyle name="Currency 6 3 2 3" xfId="31593"/>
    <cellStyle name="Currency 6 3 3" xfId="5080"/>
    <cellStyle name="Currency 6 3 3 2" xfId="31596"/>
    <cellStyle name="Currency 6 3 3 3" xfId="31595"/>
    <cellStyle name="Currency 6 3 4" xfId="11390"/>
    <cellStyle name="Currency 6 3 4 2" xfId="31598"/>
    <cellStyle name="Currency 6 3 4 3" xfId="31597"/>
    <cellStyle name="Currency 6 3 5" xfId="31599"/>
    <cellStyle name="Currency 6 3 6" xfId="31592"/>
    <cellStyle name="Currency 6 4" xfId="6644"/>
    <cellStyle name="Currency 6 4 2" xfId="31601"/>
    <cellStyle name="Currency 6 4 3" xfId="31600"/>
    <cellStyle name="Currency 6 5" xfId="3517"/>
    <cellStyle name="Currency 6 5 2" xfId="31603"/>
    <cellStyle name="Currency 6 5 3" xfId="31602"/>
    <cellStyle name="Currency 6 6" xfId="9794"/>
    <cellStyle name="Currency 6 6 2" xfId="31605"/>
    <cellStyle name="Currency 6 6 3" xfId="31604"/>
    <cellStyle name="Currency 6 7" xfId="31606"/>
    <cellStyle name="Currency 6 8" xfId="31575"/>
    <cellStyle name="Currency 6 9" xfId="38183"/>
    <cellStyle name="Currency 7" xfId="391"/>
    <cellStyle name="Currency 7 2" xfId="1098"/>
    <cellStyle name="Currency 7 2 2" xfId="2663"/>
    <cellStyle name="Currency 7 2 2 2" xfId="8948"/>
    <cellStyle name="Currency 7 2 2 2 2" xfId="31611"/>
    <cellStyle name="Currency 7 2 2 2 3" xfId="31610"/>
    <cellStyle name="Currency 7 2 2 3" xfId="5821"/>
    <cellStyle name="Currency 7 2 2 3 2" xfId="31613"/>
    <cellStyle name="Currency 7 2 2 3 3" xfId="31612"/>
    <cellStyle name="Currency 7 2 2 4" xfId="12131"/>
    <cellStyle name="Currency 7 2 2 4 2" xfId="31615"/>
    <cellStyle name="Currency 7 2 2 4 3" xfId="31614"/>
    <cellStyle name="Currency 7 2 2 5" xfId="31616"/>
    <cellStyle name="Currency 7 2 2 6" xfId="31609"/>
    <cellStyle name="Currency 7 2 3" xfId="7385"/>
    <cellStyle name="Currency 7 2 3 2" xfId="31618"/>
    <cellStyle name="Currency 7 2 3 3" xfId="31617"/>
    <cellStyle name="Currency 7 2 4" xfId="4258"/>
    <cellStyle name="Currency 7 2 4 2" xfId="31620"/>
    <cellStyle name="Currency 7 2 4 3" xfId="31619"/>
    <cellStyle name="Currency 7 2 5" xfId="10568"/>
    <cellStyle name="Currency 7 2 5 2" xfId="31622"/>
    <cellStyle name="Currency 7 2 5 3" xfId="31621"/>
    <cellStyle name="Currency 7 2 6" xfId="31623"/>
    <cellStyle name="Currency 7 2 7" xfId="31608"/>
    <cellStyle name="Currency 7 3" xfId="1983"/>
    <cellStyle name="Currency 7 3 2" xfId="8268"/>
    <cellStyle name="Currency 7 3 2 2" xfId="31626"/>
    <cellStyle name="Currency 7 3 2 3" xfId="31625"/>
    <cellStyle name="Currency 7 3 3" xfId="5141"/>
    <cellStyle name="Currency 7 3 3 2" xfId="31628"/>
    <cellStyle name="Currency 7 3 3 3" xfId="31627"/>
    <cellStyle name="Currency 7 3 4" xfId="11451"/>
    <cellStyle name="Currency 7 3 4 2" xfId="31630"/>
    <cellStyle name="Currency 7 3 4 3" xfId="31629"/>
    <cellStyle name="Currency 7 3 5" xfId="31631"/>
    <cellStyle name="Currency 7 3 6" xfId="31624"/>
    <cellStyle name="Currency 7 4" xfId="6705"/>
    <cellStyle name="Currency 7 4 2" xfId="31633"/>
    <cellStyle name="Currency 7 4 3" xfId="31632"/>
    <cellStyle name="Currency 7 5" xfId="3578"/>
    <cellStyle name="Currency 7 5 2" xfId="31635"/>
    <cellStyle name="Currency 7 5 3" xfId="31634"/>
    <cellStyle name="Currency 7 6" xfId="10011"/>
    <cellStyle name="Currency 7 6 2" xfId="31637"/>
    <cellStyle name="Currency 7 6 3" xfId="31636"/>
    <cellStyle name="Currency 7 7" xfId="31638"/>
    <cellStyle name="Currency 7 8" xfId="31607"/>
    <cellStyle name="Currency 8" xfId="555"/>
    <cellStyle name="Currency 8 2" xfId="1262"/>
    <cellStyle name="Currency 8 2 2" xfId="2827"/>
    <cellStyle name="Currency 8 2 2 2" xfId="9112"/>
    <cellStyle name="Currency 8 2 2 2 2" xfId="31643"/>
    <cellStyle name="Currency 8 2 2 2 3" xfId="31642"/>
    <cellStyle name="Currency 8 2 2 3" xfId="5985"/>
    <cellStyle name="Currency 8 2 2 3 2" xfId="31645"/>
    <cellStyle name="Currency 8 2 2 3 3" xfId="31644"/>
    <cellStyle name="Currency 8 2 2 4" xfId="12295"/>
    <cellStyle name="Currency 8 2 2 4 2" xfId="31647"/>
    <cellStyle name="Currency 8 2 2 4 3" xfId="31646"/>
    <cellStyle name="Currency 8 2 2 5" xfId="31648"/>
    <cellStyle name="Currency 8 2 2 6" xfId="31641"/>
    <cellStyle name="Currency 8 2 3" xfId="7549"/>
    <cellStyle name="Currency 8 2 3 2" xfId="31650"/>
    <cellStyle name="Currency 8 2 3 3" xfId="31649"/>
    <cellStyle name="Currency 8 2 4" xfId="4422"/>
    <cellStyle name="Currency 8 2 4 2" xfId="31652"/>
    <cellStyle name="Currency 8 2 4 3" xfId="31651"/>
    <cellStyle name="Currency 8 2 5" xfId="10732"/>
    <cellStyle name="Currency 8 2 5 2" xfId="31654"/>
    <cellStyle name="Currency 8 2 5 3" xfId="31653"/>
    <cellStyle name="Currency 8 2 6" xfId="31655"/>
    <cellStyle name="Currency 8 2 7" xfId="31640"/>
    <cellStyle name="Currency 8 3" xfId="2147"/>
    <cellStyle name="Currency 8 3 2" xfId="8432"/>
    <cellStyle name="Currency 8 3 2 2" xfId="31658"/>
    <cellStyle name="Currency 8 3 2 3" xfId="31657"/>
    <cellStyle name="Currency 8 3 3" xfId="5305"/>
    <cellStyle name="Currency 8 3 3 2" xfId="31660"/>
    <cellStyle name="Currency 8 3 3 3" xfId="31659"/>
    <cellStyle name="Currency 8 3 4" xfId="11615"/>
    <cellStyle name="Currency 8 3 4 2" xfId="31662"/>
    <cellStyle name="Currency 8 3 4 3" xfId="31661"/>
    <cellStyle name="Currency 8 3 5" xfId="31663"/>
    <cellStyle name="Currency 8 3 6" xfId="31656"/>
    <cellStyle name="Currency 8 4" xfId="6869"/>
    <cellStyle name="Currency 8 4 2" xfId="31665"/>
    <cellStyle name="Currency 8 4 3" xfId="31664"/>
    <cellStyle name="Currency 8 5" xfId="3742"/>
    <cellStyle name="Currency 8 5 2" xfId="31667"/>
    <cellStyle name="Currency 8 5 3" xfId="31666"/>
    <cellStyle name="Currency 8 6" xfId="10174"/>
    <cellStyle name="Currency 8 6 2" xfId="31669"/>
    <cellStyle name="Currency 8 6 3" xfId="31668"/>
    <cellStyle name="Currency 8 7" xfId="31670"/>
    <cellStyle name="Currency 8 8" xfId="31639"/>
    <cellStyle name="Currency 9" xfId="614"/>
    <cellStyle name="Currency 9 2" xfId="1319"/>
    <cellStyle name="Currency 9 2 2" xfId="2884"/>
    <cellStyle name="Currency 9 2 2 2" xfId="9169"/>
    <cellStyle name="Currency 9 2 2 2 2" xfId="31675"/>
    <cellStyle name="Currency 9 2 2 2 3" xfId="31674"/>
    <cellStyle name="Currency 9 2 2 3" xfId="6042"/>
    <cellStyle name="Currency 9 2 2 3 2" xfId="31677"/>
    <cellStyle name="Currency 9 2 2 3 3" xfId="31676"/>
    <cellStyle name="Currency 9 2 2 4" xfId="12352"/>
    <cellStyle name="Currency 9 2 2 4 2" xfId="31679"/>
    <cellStyle name="Currency 9 2 2 4 3" xfId="31678"/>
    <cellStyle name="Currency 9 2 2 5" xfId="31680"/>
    <cellStyle name="Currency 9 2 2 6" xfId="31673"/>
    <cellStyle name="Currency 9 2 3" xfId="7606"/>
    <cellStyle name="Currency 9 2 3 2" xfId="31682"/>
    <cellStyle name="Currency 9 2 3 3" xfId="31681"/>
    <cellStyle name="Currency 9 2 4" xfId="4479"/>
    <cellStyle name="Currency 9 2 4 2" xfId="31684"/>
    <cellStyle name="Currency 9 2 4 3" xfId="31683"/>
    <cellStyle name="Currency 9 2 5" xfId="10789"/>
    <cellStyle name="Currency 9 2 5 2" xfId="31686"/>
    <cellStyle name="Currency 9 2 5 3" xfId="31685"/>
    <cellStyle name="Currency 9 2 6" xfId="31687"/>
    <cellStyle name="Currency 9 2 7" xfId="31672"/>
    <cellStyle name="Currency 9 3" xfId="2204"/>
    <cellStyle name="Currency 9 3 2" xfId="8489"/>
    <cellStyle name="Currency 9 3 2 2" xfId="31690"/>
    <cellStyle name="Currency 9 3 2 3" xfId="31689"/>
    <cellStyle name="Currency 9 3 3" xfId="5362"/>
    <cellStyle name="Currency 9 3 3 2" xfId="31692"/>
    <cellStyle name="Currency 9 3 3 3" xfId="31691"/>
    <cellStyle name="Currency 9 3 4" xfId="11672"/>
    <cellStyle name="Currency 9 3 4 2" xfId="31694"/>
    <cellStyle name="Currency 9 3 4 3" xfId="31693"/>
    <cellStyle name="Currency 9 3 5" xfId="31695"/>
    <cellStyle name="Currency 9 3 6" xfId="31688"/>
    <cellStyle name="Currency 9 4" xfId="6926"/>
    <cellStyle name="Currency 9 4 2" xfId="31697"/>
    <cellStyle name="Currency 9 4 3" xfId="31696"/>
    <cellStyle name="Currency 9 5" xfId="3799"/>
    <cellStyle name="Currency 9 5 2" xfId="31699"/>
    <cellStyle name="Currency 9 5 3" xfId="31698"/>
    <cellStyle name="Currency 9 6" xfId="10232"/>
    <cellStyle name="Currency 9 6 2" xfId="31701"/>
    <cellStyle name="Currency 9 6 3" xfId="31700"/>
    <cellStyle name="Currency 9 7" xfId="31702"/>
    <cellStyle name="Currency 9 8" xfId="31671"/>
    <cellStyle name="Detail" xfId="3"/>
    <cellStyle name="Detail 2" xfId="70"/>
    <cellStyle name="Detail 2 2" xfId="31704"/>
    <cellStyle name="Detail 3" xfId="31703"/>
    <cellStyle name="Explanatory Text" xfId="25" builtinId="53" customBuiltin="1"/>
    <cellStyle name="Explanatory Text 2" xfId="31705"/>
    <cellStyle name="Good" xfId="16" builtinId="26" customBuiltin="1"/>
    <cellStyle name="Good 2" xfId="31706"/>
    <cellStyle name="Heading 1" xfId="12" builtinId="16" customBuiltin="1"/>
    <cellStyle name="Heading 1 2" xfId="31707"/>
    <cellStyle name="Heading 2" xfId="13" builtinId="17" customBuiltin="1"/>
    <cellStyle name="Heading 2 2" xfId="728"/>
    <cellStyle name="Heading 2 2 2" xfId="31709"/>
    <cellStyle name="Heading 2 3" xfId="31708"/>
    <cellStyle name="Heading 3" xfId="14" builtinId="18" customBuiltin="1"/>
    <cellStyle name="Heading 3 2" xfId="31710"/>
    <cellStyle name="Heading 4" xfId="15" builtinId="19" customBuiltin="1"/>
    <cellStyle name="Heading 4 2" xfId="729"/>
    <cellStyle name="Heading 4 2 2" xfId="31712"/>
    <cellStyle name="Heading 4 3" xfId="31711"/>
    <cellStyle name="Input" xfId="19" builtinId="20" customBuiltin="1"/>
    <cellStyle name="Input 2" xfId="31713"/>
    <cellStyle name="Linked Cell" xfId="22" builtinId="24" customBuiltin="1"/>
    <cellStyle name="Linked Cell 2" xfId="31714"/>
    <cellStyle name="Neutral" xfId="18" builtinId="28" customBuiltin="1"/>
    <cellStyle name="Neutral 2" xfId="31715"/>
    <cellStyle name="Normal" xfId="0" builtinId="0"/>
    <cellStyle name="Normal 10" xfId="201"/>
    <cellStyle name="Normal 10 2" xfId="730"/>
    <cellStyle name="Normal 10 2 2" xfId="1422"/>
    <cellStyle name="Normal 10 2 2 2" xfId="2987"/>
    <cellStyle name="Normal 10 2 2 2 2" xfId="9272"/>
    <cellStyle name="Normal 10 2 2 2 2 2" xfId="31721"/>
    <cellStyle name="Normal 10 2 2 2 2 3" xfId="31720"/>
    <cellStyle name="Normal 10 2 2 2 3" xfId="6145"/>
    <cellStyle name="Normal 10 2 2 2 3 2" xfId="31723"/>
    <cellStyle name="Normal 10 2 2 2 3 3" xfId="31722"/>
    <cellStyle name="Normal 10 2 2 2 4" xfId="12455"/>
    <cellStyle name="Normal 10 2 2 2 4 2" xfId="31725"/>
    <cellStyle name="Normal 10 2 2 2 4 3" xfId="31724"/>
    <cellStyle name="Normal 10 2 2 2 5" xfId="31726"/>
    <cellStyle name="Normal 10 2 2 2 6" xfId="31719"/>
    <cellStyle name="Normal 10 2 2 3" xfId="7709"/>
    <cellStyle name="Normal 10 2 2 3 2" xfId="31728"/>
    <cellStyle name="Normal 10 2 2 3 3" xfId="31727"/>
    <cellStyle name="Normal 10 2 2 4" xfId="4582"/>
    <cellStyle name="Normal 10 2 2 4 2" xfId="31730"/>
    <cellStyle name="Normal 10 2 2 4 3" xfId="31729"/>
    <cellStyle name="Normal 10 2 2 5" xfId="10892"/>
    <cellStyle name="Normal 10 2 2 5 2" xfId="31732"/>
    <cellStyle name="Normal 10 2 2 5 3" xfId="31731"/>
    <cellStyle name="Normal 10 2 2 6" xfId="31733"/>
    <cellStyle name="Normal 10 2 2 7" xfId="31718"/>
    <cellStyle name="Normal 10 2 3" xfId="2307"/>
    <cellStyle name="Normal 10 2 3 2" xfId="8592"/>
    <cellStyle name="Normal 10 2 3 2 2" xfId="31736"/>
    <cellStyle name="Normal 10 2 3 2 3" xfId="31735"/>
    <cellStyle name="Normal 10 2 3 3" xfId="5465"/>
    <cellStyle name="Normal 10 2 3 3 2" xfId="31738"/>
    <cellStyle name="Normal 10 2 3 3 3" xfId="31737"/>
    <cellStyle name="Normal 10 2 3 4" xfId="11775"/>
    <cellStyle name="Normal 10 2 3 4 2" xfId="31740"/>
    <cellStyle name="Normal 10 2 3 4 3" xfId="31739"/>
    <cellStyle name="Normal 10 2 3 5" xfId="31741"/>
    <cellStyle name="Normal 10 2 3 6" xfId="31734"/>
    <cellStyle name="Normal 10 2 4" xfId="7029"/>
    <cellStyle name="Normal 10 2 4 2" xfId="31743"/>
    <cellStyle name="Normal 10 2 4 3" xfId="31742"/>
    <cellStyle name="Normal 10 2 5" xfId="3902"/>
    <cellStyle name="Normal 10 2 5 2" xfId="31745"/>
    <cellStyle name="Normal 10 2 5 3" xfId="31744"/>
    <cellStyle name="Normal 10 2 6" xfId="10290"/>
    <cellStyle name="Normal 10 2 6 2" xfId="31747"/>
    <cellStyle name="Normal 10 2 6 3" xfId="31746"/>
    <cellStyle name="Normal 10 2 7" xfId="31748"/>
    <cellStyle name="Normal 10 2 8" xfId="31717"/>
    <cellStyle name="Normal 10 3" xfId="1624"/>
    <cellStyle name="Normal 10 3 2" xfId="3189"/>
    <cellStyle name="Normal 10 3 2 2" xfId="9474"/>
    <cellStyle name="Normal 10 3 2 2 2" xfId="31752"/>
    <cellStyle name="Normal 10 3 2 2 3" xfId="31751"/>
    <cellStyle name="Normal 10 3 2 3" xfId="6347"/>
    <cellStyle name="Normal 10 3 2 3 2" xfId="31754"/>
    <cellStyle name="Normal 10 3 2 3 3" xfId="31753"/>
    <cellStyle name="Normal 10 3 2 4" xfId="12657"/>
    <cellStyle name="Normal 10 3 2 4 2" xfId="31756"/>
    <cellStyle name="Normal 10 3 2 4 3" xfId="31755"/>
    <cellStyle name="Normal 10 3 2 5" xfId="31757"/>
    <cellStyle name="Normal 10 3 2 6" xfId="31750"/>
    <cellStyle name="Normal 10 3 3" xfId="7911"/>
    <cellStyle name="Normal 10 3 3 2" xfId="31759"/>
    <cellStyle name="Normal 10 3 3 3" xfId="31758"/>
    <cellStyle name="Normal 10 3 4" xfId="4784"/>
    <cellStyle name="Normal 10 3 4 2" xfId="31761"/>
    <cellStyle name="Normal 10 3 4 3" xfId="31760"/>
    <cellStyle name="Normal 10 3 5" xfId="11094"/>
    <cellStyle name="Normal 10 3 5 2" xfId="31763"/>
    <cellStyle name="Normal 10 3 5 3" xfId="31762"/>
    <cellStyle name="Normal 10 3 6" xfId="31764"/>
    <cellStyle name="Normal 10 3 7" xfId="31749"/>
    <cellStyle name="Normal 10 4" xfId="9815"/>
    <cellStyle name="Normal 10 4 2" xfId="31765"/>
    <cellStyle name="Normal 10 5" xfId="9692"/>
    <cellStyle name="Normal 10 5 2" xfId="31767"/>
    <cellStyle name="Normal 10 5 3" xfId="31766"/>
    <cellStyle name="Normal 10 6" xfId="31716"/>
    <cellStyle name="Normal 10 7" xfId="38181"/>
    <cellStyle name="Normal 11" xfId="202"/>
    <cellStyle name="Normal 11 2" xfId="31768"/>
    <cellStyle name="Normal 12" xfId="203"/>
    <cellStyle name="Normal 12 2" xfId="31769"/>
    <cellStyle name="Normal 13" xfId="145"/>
    <cellStyle name="Normal 14" xfId="220"/>
    <cellStyle name="Normal 14 2" xfId="931"/>
    <cellStyle name="Normal 14 2 2" xfId="2497"/>
    <cellStyle name="Normal 14 2 2 2" xfId="8782"/>
    <cellStyle name="Normal 14 2 2 2 2" xfId="31774"/>
    <cellStyle name="Normal 14 2 2 2 3" xfId="31773"/>
    <cellStyle name="Normal 14 2 2 3" xfId="5655"/>
    <cellStyle name="Normal 14 2 2 3 2" xfId="31776"/>
    <cellStyle name="Normal 14 2 2 3 3" xfId="31775"/>
    <cellStyle name="Normal 14 2 2 4" xfId="11965"/>
    <cellStyle name="Normal 14 2 2 4 2" xfId="31778"/>
    <cellStyle name="Normal 14 2 2 4 3" xfId="31777"/>
    <cellStyle name="Normal 14 2 2 5" xfId="31779"/>
    <cellStyle name="Normal 14 2 2 6" xfId="31772"/>
    <cellStyle name="Normal 14 2 3" xfId="7219"/>
    <cellStyle name="Normal 14 2 3 2" xfId="31781"/>
    <cellStyle name="Normal 14 2 3 3" xfId="31780"/>
    <cellStyle name="Normal 14 2 4" xfId="4092"/>
    <cellStyle name="Normal 14 2 4 2" xfId="31783"/>
    <cellStyle name="Normal 14 2 4 3" xfId="31782"/>
    <cellStyle name="Normal 14 2 5" xfId="10402"/>
    <cellStyle name="Normal 14 2 5 2" xfId="31785"/>
    <cellStyle name="Normal 14 2 5 3" xfId="31784"/>
    <cellStyle name="Normal 14 2 6" xfId="31786"/>
    <cellStyle name="Normal 14 2 7" xfId="31771"/>
    <cellStyle name="Normal 14 3" xfId="1817"/>
    <cellStyle name="Normal 14 3 2" xfId="8102"/>
    <cellStyle name="Normal 14 3 2 2" xfId="31789"/>
    <cellStyle name="Normal 14 3 2 3" xfId="31788"/>
    <cellStyle name="Normal 14 3 3" xfId="4975"/>
    <cellStyle name="Normal 14 3 3 2" xfId="31791"/>
    <cellStyle name="Normal 14 3 3 3" xfId="31790"/>
    <cellStyle name="Normal 14 3 4" xfId="11285"/>
    <cellStyle name="Normal 14 3 4 2" xfId="31793"/>
    <cellStyle name="Normal 14 3 4 3" xfId="31792"/>
    <cellStyle name="Normal 14 3 5" xfId="31794"/>
    <cellStyle name="Normal 14 3 6" xfId="31787"/>
    <cellStyle name="Normal 14 4" xfId="6539"/>
    <cellStyle name="Normal 14 4 2" xfId="31796"/>
    <cellStyle name="Normal 14 4 3" xfId="31795"/>
    <cellStyle name="Normal 14 5" xfId="3412"/>
    <cellStyle name="Normal 14 5 2" xfId="31798"/>
    <cellStyle name="Normal 14 5 3" xfId="31797"/>
    <cellStyle name="Normal 14 6" xfId="9903"/>
    <cellStyle name="Normal 14 6 2" xfId="31800"/>
    <cellStyle name="Normal 14 6 3" xfId="31799"/>
    <cellStyle name="Normal 14 7" xfId="31801"/>
    <cellStyle name="Normal 14 8" xfId="31770"/>
    <cellStyle name="Normal 15" xfId="327"/>
    <cellStyle name="Normal 15 2" xfId="1035"/>
    <cellStyle name="Normal 15 2 2" xfId="2601"/>
    <cellStyle name="Normal 15 2 2 2" xfId="8886"/>
    <cellStyle name="Normal 15 2 2 2 2" xfId="31806"/>
    <cellStyle name="Normal 15 2 2 2 3" xfId="31805"/>
    <cellStyle name="Normal 15 2 2 3" xfId="5759"/>
    <cellStyle name="Normal 15 2 2 3 2" xfId="31808"/>
    <cellStyle name="Normal 15 2 2 3 3" xfId="31807"/>
    <cellStyle name="Normal 15 2 2 4" xfId="12069"/>
    <cellStyle name="Normal 15 2 2 4 2" xfId="31810"/>
    <cellStyle name="Normal 15 2 2 4 3" xfId="31809"/>
    <cellStyle name="Normal 15 2 2 5" xfId="31811"/>
    <cellStyle name="Normal 15 2 2 6" xfId="31804"/>
    <cellStyle name="Normal 15 2 3" xfId="7323"/>
    <cellStyle name="Normal 15 2 3 2" xfId="31813"/>
    <cellStyle name="Normal 15 2 3 3" xfId="31812"/>
    <cellStyle name="Normal 15 2 4" xfId="4196"/>
    <cellStyle name="Normal 15 2 4 2" xfId="31815"/>
    <cellStyle name="Normal 15 2 4 3" xfId="31814"/>
    <cellStyle name="Normal 15 2 5" xfId="10506"/>
    <cellStyle name="Normal 15 2 5 2" xfId="31817"/>
    <cellStyle name="Normal 15 2 5 3" xfId="31816"/>
    <cellStyle name="Normal 15 2 6" xfId="31818"/>
    <cellStyle name="Normal 15 2 7" xfId="31803"/>
    <cellStyle name="Normal 15 3" xfId="1921"/>
    <cellStyle name="Normal 15 3 2" xfId="8206"/>
    <cellStyle name="Normal 15 3 2 2" xfId="31821"/>
    <cellStyle name="Normal 15 3 2 3" xfId="31820"/>
    <cellStyle name="Normal 15 3 3" xfId="5079"/>
    <cellStyle name="Normal 15 3 3 2" xfId="31823"/>
    <cellStyle name="Normal 15 3 3 3" xfId="31822"/>
    <cellStyle name="Normal 15 3 4" xfId="11389"/>
    <cellStyle name="Normal 15 3 4 2" xfId="31825"/>
    <cellStyle name="Normal 15 3 4 3" xfId="31824"/>
    <cellStyle name="Normal 15 3 5" xfId="31826"/>
    <cellStyle name="Normal 15 3 6" xfId="31819"/>
    <cellStyle name="Normal 15 4" xfId="6643"/>
    <cellStyle name="Normal 15 4 2" xfId="31828"/>
    <cellStyle name="Normal 15 4 3" xfId="31827"/>
    <cellStyle name="Normal 15 5" xfId="3516"/>
    <cellStyle name="Normal 15 5 2" xfId="31830"/>
    <cellStyle name="Normal 15 5 3" xfId="31829"/>
    <cellStyle name="Normal 15 6" xfId="9795"/>
    <cellStyle name="Normal 15 6 2" xfId="31832"/>
    <cellStyle name="Normal 15 6 3" xfId="31831"/>
    <cellStyle name="Normal 15 7" xfId="31833"/>
    <cellStyle name="Normal 15 8" xfId="31802"/>
    <cellStyle name="Normal 16" xfId="385"/>
    <cellStyle name="Normal 16 2" xfId="1092"/>
    <cellStyle name="Normal 16 2 2" xfId="2657"/>
    <cellStyle name="Normal 16 2 2 2" xfId="8942"/>
    <cellStyle name="Normal 16 2 2 2 2" xfId="31838"/>
    <cellStyle name="Normal 16 2 2 2 3" xfId="31837"/>
    <cellStyle name="Normal 16 2 2 3" xfId="5815"/>
    <cellStyle name="Normal 16 2 2 3 2" xfId="31840"/>
    <cellStyle name="Normal 16 2 2 3 3" xfId="31839"/>
    <cellStyle name="Normal 16 2 2 4" xfId="12125"/>
    <cellStyle name="Normal 16 2 2 4 2" xfId="31842"/>
    <cellStyle name="Normal 16 2 2 4 3" xfId="31841"/>
    <cellStyle name="Normal 16 2 2 5" xfId="31843"/>
    <cellStyle name="Normal 16 2 2 6" xfId="31836"/>
    <cellStyle name="Normal 16 2 3" xfId="7379"/>
    <cellStyle name="Normal 16 2 3 2" xfId="31845"/>
    <cellStyle name="Normal 16 2 3 3" xfId="31844"/>
    <cellStyle name="Normal 16 2 4" xfId="4252"/>
    <cellStyle name="Normal 16 2 4 2" xfId="31847"/>
    <cellStyle name="Normal 16 2 4 3" xfId="31846"/>
    <cellStyle name="Normal 16 2 5" xfId="10562"/>
    <cellStyle name="Normal 16 2 5 2" xfId="31849"/>
    <cellStyle name="Normal 16 2 5 3" xfId="31848"/>
    <cellStyle name="Normal 16 2 6" xfId="31850"/>
    <cellStyle name="Normal 16 2 7" xfId="31835"/>
    <cellStyle name="Normal 16 3" xfId="1977"/>
    <cellStyle name="Normal 16 3 2" xfId="8262"/>
    <cellStyle name="Normal 16 3 2 2" xfId="31853"/>
    <cellStyle name="Normal 16 3 2 3" xfId="31852"/>
    <cellStyle name="Normal 16 3 3" xfId="5135"/>
    <cellStyle name="Normal 16 3 3 2" xfId="31855"/>
    <cellStyle name="Normal 16 3 3 3" xfId="31854"/>
    <cellStyle name="Normal 16 3 4" xfId="11445"/>
    <cellStyle name="Normal 16 3 4 2" xfId="31857"/>
    <cellStyle name="Normal 16 3 4 3" xfId="31856"/>
    <cellStyle name="Normal 16 3 5" xfId="31858"/>
    <cellStyle name="Normal 16 3 6" xfId="31851"/>
    <cellStyle name="Normal 16 4" xfId="6699"/>
    <cellStyle name="Normal 16 4 2" xfId="31860"/>
    <cellStyle name="Normal 16 4 3" xfId="31859"/>
    <cellStyle name="Normal 16 5" xfId="3572"/>
    <cellStyle name="Normal 16 5 2" xfId="31862"/>
    <cellStyle name="Normal 16 5 3" xfId="31861"/>
    <cellStyle name="Normal 16 6" xfId="10005"/>
    <cellStyle name="Normal 16 6 2" xfId="31864"/>
    <cellStyle name="Normal 16 6 3" xfId="31863"/>
    <cellStyle name="Normal 16 7" xfId="31865"/>
    <cellStyle name="Normal 16 8" xfId="31834"/>
    <cellStyle name="Normal 17" xfId="441"/>
    <cellStyle name="Normal 17 2" xfId="1148"/>
    <cellStyle name="Normal 17 2 2" xfId="2713"/>
    <cellStyle name="Normal 17 2 2 2" xfId="8998"/>
    <cellStyle name="Normal 17 2 2 2 2" xfId="31870"/>
    <cellStyle name="Normal 17 2 2 2 3" xfId="31869"/>
    <cellStyle name="Normal 17 2 2 3" xfId="5871"/>
    <cellStyle name="Normal 17 2 2 3 2" xfId="31872"/>
    <cellStyle name="Normal 17 2 2 3 3" xfId="31871"/>
    <cellStyle name="Normal 17 2 2 4" xfId="12181"/>
    <cellStyle name="Normal 17 2 2 4 2" xfId="31874"/>
    <cellStyle name="Normal 17 2 2 4 3" xfId="31873"/>
    <cellStyle name="Normal 17 2 2 5" xfId="31875"/>
    <cellStyle name="Normal 17 2 2 6" xfId="31868"/>
    <cellStyle name="Normal 17 2 3" xfId="7435"/>
    <cellStyle name="Normal 17 2 3 2" xfId="31877"/>
    <cellStyle name="Normal 17 2 3 3" xfId="31876"/>
    <cellStyle name="Normal 17 2 4" xfId="4308"/>
    <cellStyle name="Normal 17 2 4 2" xfId="31879"/>
    <cellStyle name="Normal 17 2 4 3" xfId="31878"/>
    <cellStyle name="Normal 17 2 5" xfId="10618"/>
    <cellStyle name="Normal 17 2 5 2" xfId="31881"/>
    <cellStyle name="Normal 17 2 5 3" xfId="31880"/>
    <cellStyle name="Normal 17 2 6" xfId="31882"/>
    <cellStyle name="Normal 17 2 7" xfId="31867"/>
    <cellStyle name="Normal 17 3" xfId="2033"/>
    <cellStyle name="Normal 17 3 2" xfId="8318"/>
    <cellStyle name="Normal 17 3 2 2" xfId="31885"/>
    <cellStyle name="Normal 17 3 2 3" xfId="31884"/>
    <cellStyle name="Normal 17 3 3" xfId="5191"/>
    <cellStyle name="Normal 17 3 3 2" xfId="31887"/>
    <cellStyle name="Normal 17 3 3 3" xfId="31886"/>
    <cellStyle name="Normal 17 3 4" xfId="11501"/>
    <cellStyle name="Normal 17 3 4 2" xfId="31889"/>
    <cellStyle name="Normal 17 3 4 3" xfId="31888"/>
    <cellStyle name="Normal 17 3 5" xfId="31890"/>
    <cellStyle name="Normal 17 3 6" xfId="31883"/>
    <cellStyle name="Normal 17 4" xfId="6755"/>
    <cellStyle name="Normal 17 4 2" xfId="31892"/>
    <cellStyle name="Normal 17 4 3" xfId="31891"/>
    <cellStyle name="Normal 17 5" xfId="3628"/>
    <cellStyle name="Normal 17 5 2" xfId="31894"/>
    <cellStyle name="Normal 17 5 3" xfId="31893"/>
    <cellStyle name="Normal 17 6" xfId="10060"/>
    <cellStyle name="Normal 17 6 2" xfId="31896"/>
    <cellStyle name="Normal 17 6 3" xfId="31895"/>
    <cellStyle name="Normal 17 7" xfId="31897"/>
    <cellStyle name="Normal 17 8" xfId="31866"/>
    <cellStyle name="Normal 18" xfId="455"/>
    <cellStyle name="Normal 18 2" xfId="1162"/>
    <cellStyle name="Normal 18 2 2" xfId="2727"/>
    <cellStyle name="Normal 18 2 2 2" xfId="9012"/>
    <cellStyle name="Normal 18 2 2 2 2" xfId="31902"/>
    <cellStyle name="Normal 18 2 2 2 3" xfId="31901"/>
    <cellStyle name="Normal 18 2 2 3" xfId="5885"/>
    <cellStyle name="Normal 18 2 2 3 2" xfId="31904"/>
    <cellStyle name="Normal 18 2 2 3 3" xfId="31903"/>
    <cellStyle name="Normal 18 2 2 4" xfId="12195"/>
    <cellStyle name="Normal 18 2 2 4 2" xfId="31906"/>
    <cellStyle name="Normal 18 2 2 4 3" xfId="31905"/>
    <cellStyle name="Normal 18 2 2 5" xfId="31907"/>
    <cellStyle name="Normal 18 2 2 6" xfId="31900"/>
    <cellStyle name="Normal 18 2 3" xfId="7449"/>
    <cellStyle name="Normal 18 2 3 2" xfId="31909"/>
    <cellStyle name="Normal 18 2 3 3" xfId="31908"/>
    <cellStyle name="Normal 18 2 4" xfId="4322"/>
    <cellStyle name="Normal 18 2 4 2" xfId="31911"/>
    <cellStyle name="Normal 18 2 4 3" xfId="31910"/>
    <cellStyle name="Normal 18 2 5" xfId="10632"/>
    <cellStyle name="Normal 18 2 5 2" xfId="31913"/>
    <cellStyle name="Normal 18 2 5 3" xfId="31912"/>
    <cellStyle name="Normal 18 2 6" xfId="31914"/>
    <cellStyle name="Normal 18 2 7" xfId="31899"/>
    <cellStyle name="Normal 18 3" xfId="2047"/>
    <cellStyle name="Normal 18 3 2" xfId="8332"/>
    <cellStyle name="Normal 18 3 2 2" xfId="31917"/>
    <cellStyle name="Normal 18 3 2 3" xfId="31916"/>
    <cellStyle name="Normal 18 3 3" xfId="5205"/>
    <cellStyle name="Normal 18 3 3 2" xfId="31919"/>
    <cellStyle name="Normal 18 3 3 3" xfId="31918"/>
    <cellStyle name="Normal 18 3 4" xfId="11515"/>
    <cellStyle name="Normal 18 3 4 2" xfId="31921"/>
    <cellStyle name="Normal 18 3 4 3" xfId="31920"/>
    <cellStyle name="Normal 18 3 5" xfId="31922"/>
    <cellStyle name="Normal 18 3 6" xfId="31915"/>
    <cellStyle name="Normal 18 4" xfId="6769"/>
    <cellStyle name="Normal 18 4 2" xfId="31924"/>
    <cellStyle name="Normal 18 4 3" xfId="31923"/>
    <cellStyle name="Normal 18 5" xfId="3642"/>
    <cellStyle name="Normal 18 5 2" xfId="31926"/>
    <cellStyle name="Normal 18 5 3" xfId="31925"/>
    <cellStyle name="Normal 18 6" xfId="10074"/>
    <cellStyle name="Normal 18 6 2" xfId="31928"/>
    <cellStyle name="Normal 18 6 3" xfId="31927"/>
    <cellStyle name="Normal 18 7" xfId="31929"/>
    <cellStyle name="Normal 18 8" xfId="31898"/>
    <cellStyle name="Normal 19" xfId="484"/>
    <cellStyle name="Normal 19 2" xfId="1191"/>
    <cellStyle name="Normal 19 2 2" xfId="2756"/>
    <cellStyle name="Normal 19 2 2 2" xfId="9041"/>
    <cellStyle name="Normal 19 2 2 2 2" xfId="31934"/>
    <cellStyle name="Normal 19 2 2 2 3" xfId="31933"/>
    <cellStyle name="Normal 19 2 2 3" xfId="5914"/>
    <cellStyle name="Normal 19 2 2 3 2" xfId="31936"/>
    <cellStyle name="Normal 19 2 2 3 3" xfId="31935"/>
    <cellStyle name="Normal 19 2 2 4" xfId="12224"/>
    <cellStyle name="Normal 19 2 2 4 2" xfId="31938"/>
    <cellStyle name="Normal 19 2 2 4 3" xfId="31937"/>
    <cellStyle name="Normal 19 2 2 5" xfId="31939"/>
    <cellStyle name="Normal 19 2 2 6" xfId="31932"/>
    <cellStyle name="Normal 19 2 3" xfId="7478"/>
    <cellStyle name="Normal 19 2 3 2" xfId="31941"/>
    <cellStyle name="Normal 19 2 3 3" xfId="31940"/>
    <cellStyle name="Normal 19 2 4" xfId="4351"/>
    <cellStyle name="Normal 19 2 4 2" xfId="31943"/>
    <cellStyle name="Normal 19 2 4 3" xfId="31942"/>
    <cellStyle name="Normal 19 2 5" xfId="10661"/>
    <cellStyle name="Normal 19 2 5 2" xfId="31945"/>
    <cellStyle name="Normal 19 2 5 3" xfId="31944"/>
    <cellStyle name="Normal 19 2 6" xfId="31946"/>
    <cellStyle name="Normal 19 2 7" xfId="31931"/>
    <cellStyle name="Normal 19 3" xfId="2076"/>
    <cellStyle name="Normal 19 3 2" xfId="8361"/>
    <cellStyle name="Normal 19 3 2 2" xfId="31949"/>
    <cellStyle name="Normal 19 3 2 3" xfId="31948"/>
    <cellStyle name="Normal 19 3 3" xfId="5234"/>
    <cellStyle name="Normal 19 3 3 2" xfId="31951"/>
    <cellStyle name="Normal 19 3 3 3" xfId="31950"/>
    <cellStyle name="Normal 19 3 4" xfId="11544"/>
    <cellStyle name="Normal 19 3 4 2" xfId="31953"/>
    <cellStyle name="Normal 19 3 4 3" xfId="31952"/>
    <cellStyle name="Normal 19 3 5" xfId="31954"/>
    <cellStyle name="Normal 19 3 6" xfId="31947"/>
    <cellStyle name="Normal 19 4" xfId="6798"/>
    <cellStyle name="Normal 19 4 2" xfId="31956"/>
    <cellStyle name="Normal 19 4 3" xfId="31955"/>
    <cellStyle name="Normal 19 5" xfId="3671"/>
    <cellStyle name="Normal 19 5 2" xfId="31958"/>
    <cellStyle name="Normal 19 5 3" xfId="31957"/>
    <cellStyle name="Normal 19 6" xfId="10103"/>
    <cellStyle name="Normal 19 6 2" xfId="31960"/>
    <cellStyle name="Normal 19 6 3" xfId="31959"/>
    <cellStyle name="Normal 19 7" xfId="31961"/>
    <cellStyle name="Normal 19 8" xfId="31930"/>
    <cellStyle name="Normal 2" xfId="8"/>
    <cellStyle name="Normal 2 2" xfId="67"/>
    <cellStyle name="Normal 2 2 2" xfId="731"/>
    <cellStyle name="Normal 2 3" xfId="71"/>
    <cellStyle name="Normal 2 3 2" xfId="670"/>
    <cellStyle name="Normal 2 3 3" xfId="31962"/>
    <cellStyle name="Normal 2 4" xfId="3289"/>
    <cellStyle name="Normal 2 4 2" xfId="31964"/>
    <cellStyle name="Normal 2 4 3" xfId="31963"/>
    <cellStyle name="Normal 2 5" xfId="3291"/>
    <cellStyle name="Normal 2 5 2" xfId="31966"/>
    <cellStyle name="Normal 2 5 3" xfId="31965"/>
    <cellStyle name="Normal 2 6" xfId="31967"/>
    <cellStyle name="Normal 2 7" xfId="38164"/>
    <cellStyle name="Normal 20" xfId="512"/>
    <cellStyle name="Normal 20 2" xfId="1219"/>
    <cellStyle name="Normal 20 2 2" xfId="2784"/>
    <cellStyle name="Normal 20 2 2 2" xfId="9069"/>
    <cellStyle name="Normal 20 2 2 2 2" xfId="31972"/>
    <cellStyle name="Normal 20 2 2 2 3" xfId="31971"/>
    <cellStyle name="Normal 20 2 2 3" xfId="5942"/>
    <cellStyle name="Normal 20 2 2 3 2" xfId="31974"/>
    <cellStyle name="Normal 20 2 2 3 3" xfId="31973"/>
    <cellStyle name="Normal 20 2 2 4" xfId="12252"/>
    <cellStyle name="Normal 20 2 2 4 2" xfId="31976"/>
    <cellStyle name="Normal 20 2 2 4 3" xfId="31975"/>
    <cellStyle name="Normal 20 2 2 5" xfId="31977"/>
    <cellStyle name="Normal 20 2 2 6" xfId="31970"/>
    <cellStyle name="Normal 20 2 3" xfId="7506"/>
    <cellStyle name="Normal 20 2 3 2" xfId="31979"/>
    <cellStyle name="Normal 20 2 3 3" xfId="31978"/>
    <cellStyle name="Normal 20 2 4" xfId="4379"/>
    <cellStyle name="Normal 20 2 4 2" xfId="31981"/>
    <cellStyle name="Normal 20 2 4 3" xfId="31980"/>
    <cellStyle name="Normal 20 2 5" xfId="10689"/>
    <cellStyle name="Normal 20 2 5 2" xfId="31983"/>
    <cellStyle name="Normal 20 2 5 3" xfId="31982"/>
    <cellStyle name="Normal 20 2 6" xfId="31984"/>
    <cellStyle name="Normal 20 2 7" xfId="31969"/>
    <cellStyle name="Normal 20 3" xfId="2104"/>
    <cellStyle name="Normal 20 3 2" xfId="8389"/>
    <cellStyle name="Normal 20 3 2 2" xfId="31987"/>
    <cellStyle name="Normal 20 3 2 3" xfId="31986"/>
    <cellStyle name="Normal 20 3 3" xfId="5262"/>
    <cellStyle name="Normal 20 3 3 2" xfId="31989"/>
    <cellStyle name="Normal 20 3 3 3" xfId="31988"/>
    <cellStyle name="Normal 20 3 4" xfId="11572"/>
    <cellStyle name="Normal 20 3 4 2" xfId="31991"/>
    <cellStyle name="Normal 20 3 4 3" xfId="31990"/>
    <cellStyle name="Normal 20 3 5" xfId="31992"/>
    <cellStyle name="Normal 20 3 6" xfId="31985"/>
    <cellStyle name="Normal 20 4" xfId="6826"/>
    <cellStyle name="Normal 20 4 2" xfId="31994"/>
    <cellStyle name="Normal 20 4 3" xfId="31993"/>
    <cellStyle name="Normal 20 5" xfId="3699"/>
    <cellStyle name="Normal 20 5 2" xfId="31996"/>
    <cellStyle name="Normal 20 5 3" xfId="31995"/>
    <cellStyle name="Normal 20 6" xfId="10131"/>
    <cellStyle name="Normal 20 6 2" xfId="31998"/>
    <cellStyle name="Normal 20 6 3" xfId="31997"/>
    <cellStyle name="Normal 20 7" xfId="31999"/>
    <cellStyle name="Normal 20 8" xfId="31968"/>
    <cellStyle name="Normal 21" xfId="526"/>
    <cellStyle name="Normal 21 2" xfId="1233"/>
    <cellStyle name="Normal 21 2 2" xfId="2798"/>
    <cellStyle name="Normal 21 2 2 2" xfId="9083"/>
    <cellStyle name="Normal 21 2 2 2 2" xfId="32004"/>
    <cellStyle name="Normal 21 2 2 2 3" xfId="32003"/>
    <cellStyle name="Normal 21 2 2 3" xfId="5956"/>
    <cellStyle name="Normal 21 2 2 3 2" xfId="32006"/>
    <cellStyle name="Normal 21 2 2 3 3" xfId="32005"/>
    <cellStyle name="Normal 21 2 2 4" xfId="12266"/>
    <cellStyle name="Normal 21 2 2 4 2" xfId="32008"/>
    <cellStyle name="Normal 21 2 2 4 3" xfId="32007"/>
    <cellStyle name="Normal 21 2 2 5" xfId="32009"/>
    <cellStyle name="Normal 21 2 2 6" xfId="32002"/>
    <cellStyle name="Normal 21 2 3" xfId="7520"/>
    <cellStyle name="Normal 21 2 3 2" xfId="32011"/>
    <cellStyle name="Normal 21 2 3 3" xfId="32010"/>
    <cellStyle name="Normal 21 2 4" xfId="4393"/>
    <cellStyle name="Normal 21 2 4 2" xfId="32013"/>
    <cellStyle name="Normal 21 2 4 3" xfId="32012"/>
    <cellStyle name="Normal 21 2 5" xfId="10703"/>
    <cellStyle name="Normal 21 2 5 2" xfId="32015"/>
    <cellStyle name="Normal 21 2 5 3" xfId="32014"/>
    <cellStyle name="Normal 21 2 6" xfId="32016"/>
    <cellStyle name="Normal 21 2 7" xfId="32001"/>
    <cellStyle name="Normal 21 3" xfId="2118"/>
    <cellStyle name="Normal 21 3 2" xfId="8403"/>
    <cellStyle name="Normal 21 3 2 2" xfId="32019"/>
    <cellStyle name="Normal 21 3 2 3" xfId="32018"/>
    <cellStyle name="Normal 21 3 3" xfId="5276"/>
    <cellStyle name="Normal 21 3 3 2" xfId="32021"/>
    <cellStyle name="Normal 21 3 3 3" xfId="32020"/>
    <cellStyle name="Normal 21 3 4" xfId="11586"/>
    <cellStyle name="Normal 21 3 4 2" xfId="32023"/>
    <cellStyle name="Normal 21 3 4 3" xfId="32022"/>
    <cellStyle name="Normal 21 3 5" xfId="32024"/>
    <cellStyle name="Normal 21 3 6" xfId="32017"/>
    <cellStyle name="Normal 21 4" xfId="6840"/>
    <cellStyle name="Normal 21 4 2" xfId="32026"/>
    <cellStyle name="Normal 21 4 3" xfId="32025"/>
    <cellStyle name="Normal 21 5" xfId="3713"/>
    <cellStyle name="Normal 21 5 2" xfId="32028"/>
    <cellStyle name="Normal 21 5 3" xfId="32027"/>
    <cellStyle name="Normal 21 6" xfId="10145"/>
    <cellStyle name="Normal 21 6 2" xfId="32030"/>
    <cellStyle name="Normal 21 6 3" xfId="32029"/>
    <cellStyle name="Normal 21 7" xfId="32031"/>
    <cellStyle name="Normal 21 8" xfId="32000"/>
    <cellStyle name="Normal 22" xfId="540"/>
    <cellStyle name="Normal 22 2" xfId="1247"/>
    <cellStyle name="Normal 22 2 2" xfId="2812"/>
    <cellStyle name="Normal 22 2 2 2" xfId="9097"/>
    <cellStyle name="Normal 22 2 2 2 2" xfId="32036"/>
    <cellStyle name="Normal 22 2 2 2 3" xfId="32035"/>
    <cellStyle name="Normal 22 2 2 3" xfId="5970"/>
    <cellStyle name="Normal 22 2 2 3 2" xfId="32038"/>
    <cellStyle name="Normal 22 2 2 3 3" xfId="32037"/>
    <cellStyle name="Normal 22 2 2 4" xfId="12280"/>
    <cellStyle name="Normal 22 2 2 4 2" xfId="32040"/>
    <cellStyle name="Normal 22 2 2 4 3" xfId="32039"/>
    <cellStyle name="Normal 22 2 2 5" xfId="32041"/>
    <cellStyle name="Normal 22 2 2 6" xfId="32034"/>
    <cellStyle name="Normal 22 2 3" xfId="7534"/>
    <cellStyle name="Normal 22 2 3 2" xfId="32043"/>
    <cellStyle name="Normal 22 2 3 3" xfId="32042"/>
    <cellStyle name="Normal 22 2 4" xfId="4407"/>
    <cellStyle name="Normal 22 2 4 2" xfId="32045"/>
    <cellStyle name="Normal 22 2 4 3" xfId="32044"/>
    <cellStyle name="Normal 22 2 5" xfId="10717"/>
    <cellStyle name="Normal 22 2 5 2" xfId="32047"/>
    <cellStyle name="Normal 22 2 5 3" xfId="32046"/>
    <cellStyle name="Normal 22 2 6" xfId="32048"/>
    <cellStyle name="Normal 22 2 7" xfId="32033"/>
    <cellStyle name="Normal 22 3" xfId="2132"/>
    <cellStyle name="Normal 22 3 2" xfId="8417"/>
    <cellStyle name="Normal 22 3 2 2" xfId="32051"/>
    <cellStyle name="Normal 22 3 2 3" xfId="32050"/>
    <cellStyle name="Normal 22 3 3" xfId="5290"/>
    <cellStyle name="Normal 22 3 3 2" xfId="32053"/>
    <cellStyle name="Normal 22 3 3 3" xfId="32052"/>
    <cellStyle name="Normal 22 3 4" xfId="11600"/>
    <cellStyle name="Normal 22 3 4 2" xfId="32055"/>
    <cellStyle name="Normal 22 3 4 3" xfId="32054"/>
    <cellStyle name="Normal 22 3 5" xfId="32056"/>
    <cellStyle name="Normal 22 3 6" xfId="32049"/>
    <cellStyle name="Normal 22 4" xfId="6854"/>
    <cellStyle name="Normal 22 4 2" xfId="32058"/>
    <cellStyle name="Normal 22 4 3" xfId="32057"/>
    <cellStyle name="Normal 22 5" xfId="3727"/>
    <cellStyle name="Normal 22 5 2" xfId="32060"/>
    <cellStyle name="Normal 22 5 3" xfId="32059"/>
    <cellStyle name="Normal 22 6" xfId="10159"/>
    <cellStyle name="Normal 22 6 2" xfId="32062"/>
    <cellStyle name="Normal 22 6 3" xfId="32061"/>
    <cellStyle name="Normal 22 7" xfId="32063"/>
    <cellStyle name="Normal 22 8" xfId="32032"/>
    <cellStyle name="Normal 23" xfId="554"/>
    <cellStyle name="Normal 23 2" xfId="1261"/>
    <cellStyle name="Normal 23 2 2" xfId="2826"/>
    <cellStyle name="Normal 23 2 2 2" xfId="9111"/>
    <cellStyle name="Normal 23 2 2 2 2" xfId="32068"/>
    <cellStyle name="Normal 23 2 2 2 3" xfId="32067"/>
    <cellStyle name="Normal 23 2 2 3" xfId="5984"/>
    <cellStyle name="Normal 23 2 2 3 2" xfId="32070"/>
    <cellStyle name="Normal 23 2 2 3 3" xfId="32069"/>
    <cellStyle name="Normal 23 2 2 4" xfId="12294"/>
    <cellStyle name="Normal 23 2 2 4 2" xfId="32072"/>
    <cellStyle name="Normal 23 2 2 4 3" xfId="32071"/>
    <cellStyle name="Normal 23 2 2 5" xfId="32073"/>
    <cellStyle name="Normal 23 2 2 6" xfId="32066"/>
    <cellStyle name="Normal 23 2 3" xfId="7548"/>
    <cellStyle name="Normal 23 2 3 2" xfId="32075"/>
    <cellStyle name="Normal 23 2 3 3" xfId="32074"/>
    <cellStyle name="Normal 23 2 4" xfId="4421"/>
    <cellStyle name="Normal 23 2 4 2" xfId="32077"/>
    <cellStyle name="Normal 23 2 4 3" xfId="32076"/>
    <cellStyle name="Normal 23 2 5" xfId="10731"/>
    <cellStyle name="Normal 23 2 5 2" xfId="32079"/>
    <cellStyle name="Normal 23 2 5 3" xfId="32078"/>
    <cellStyle name="Normal 23 2 6" xfId="32080"/>
    <cellStyle name="Normal 23 2 7" xfId="32065"/>
    <cellStyle name="Normal 23 3" xfId="2146"/>
    <cellStyle name="Normal 23 3 2" xfId="8431"/>
    <cellStyle name="Normal 23 3 2 2" xfId="32083"/>
    <cellStyle name="Normal 23 3 2 3" xfId="32082"/>
    <cellStyle name="Normal 23 3 3" xfId="5304"/>
    <cellStyle name="Normal 23 3 3 2" xfId="32085"/>
    <cellStyle name="Normal 23 3 3 3" xfId="32084"/>
    <cellStyle name="Normal 23 3 4" xfId="11614"/>
    <cellStyle name="Normal 23 3 4 2" xfId="32087"/>
    <cellStyle name="Normal 23 3 4 3" xfId="32086"/>
    <cellStyle name="Normal 23 3 5" xfId="32088"/>
    <cellStyle name="Normal 23 3 6" xfId="32081"/>
    <cellStyle name="Normal 23 4" xfId="6868"/>
    <cellStyle name="Normal 23 4 2" xfId="32090"/>
    <cellStyle name="Normal 23 4 3" xfId="32089"/>
    <cellStyle name="Normal 23 5" xfId="3741"/>
    <cellStyle name="Normal 23 5 2" xfId="32092"/>
    <cellStyle name="Normal 23 5 3" xfId="32091"/>
    <cellStyle name="Normal 23 6" xfId="10173"/>
    <cellStyle name="Normal 23 6 2" xfId="32094"/>
    <cellStyle name="Normal 23 6 3" xfId="32093"/>
    <cellStyle name="Normal 23 7" xfId="32095"/>
    <cellStyle name="Normal 23 8" xfId="32064"/>
    <cellStyle name="Normal 24" xfId="613"/>
    <cellStyle name="Normal 24 2" xfId="1318"/>
    <cellStyle name="Normal 24 2 2" xfId="2883"/>
    <cellStyle name="Normal 24 2 2 2" xfId="9168"/>
    <cellStyle name="Normal 24 2 2 2 2" xfId="32100"/>
    <cellStyle name="Normal 24 2 2 2 3" xfId="32099"/>
    <cellStyle name="Normal 24 2 2 3" xfId="6041"/>
    <cellStyle name="Normal 24 2 2 3 2" xfId="32102"/>
    <cellStyle name="Normal 24 2 2 3 3" xfId="32101"/>
    <cellStyle name="Normal 24 2 2 4" xfId="12351"/>
    <cellStyle name="Normal 24 2 2 4 2" xfId="32104"/>
    <cellStyle name="Normal 24 2 2 4 3" xfId="32103"/>
    <cellStyle name="Normal 24 2 2 5" xfId="32105"/>
    <cellStyle name="Normal 24 2 2 6" xfId="32098"/>
    <cellStyle name="Normal 24 2 3" xfId="7605"/>
    <cellStyle name="Normal 24 2 3 2" xfId="32107"/>
    <cellStyle name="Normal 24 2 3 3" xfId="32106"/>
    <cellStyle name="Normal 24 2 4" xfId="4478"/>
    <cellStyle name="Normal 24 2 4 2" xfId="32109"/>
    <cellStyle name="Normal 24 2 4 3" xfId="32108"/>
    <cellStyle name="Normal 24 2 5" xfId="10788"/>
    <cellStyle name="Normal 24 2 5 2" xfId="32111"/>
    <cellStyle name="Normal 24 2 5 3" xfId="32110"/>
    <cellStyle name="Normal 24 2 6" xfId="32112"/>
    <cellStyle name="Normal 24 2 7" xfId="32097"/>
    <cellStyle name="Normal 24 3" xfId="2203"/>
    <cellStyle name="Normal 24 3 2" xfId="8488"/>
    <cellStyle name="Normal 24 3 2 2" xfId="32115"/>
    <cellStyle name="Normal 24 3 2 3" xfId="32114"/>
    <cellStyle name="Normal 24 3 3" xfId="5361"/>
    <cellStyle name="Normal 24 3 3 2" xfId="32117"/>
    <cellStyle name="Normal 24 3 3 3" xfId="32116"/>
    <cellStyle name="Normal 24 3 4" xfId="11671"/>
    <cellStyle name="Normal 24 3 4 2" xfId="32119"/>
    <cellStyle name="Normal 24 3 4 3" xfId="32118"/>
    <cellStyle name="Normal 24 3 5" xfId="32120"/>
    <cellStyle name="Normal 24 3 6" xfId="32113"/>
    <cellStyle name="Normal 24 4" xfId="6925"/>
    <cellStyle name="Normal 24 4 2" xfId="32122"/>
    <cellStyle name="Normal 24 4 3" xfId="32121"/>
    <cellStyle name="Normal 24 5" xfId="3798"/>
    <cellStyle name="Normal 24 5 2" xfId="32124"/>
    <cellStyle name="Normal 24 5 3" xfId="32123"/>
    <cellStyle name="Normal 24 6" xfId="10231"/>
    <cellStyle name="Normal 24 6 2" xfId="32126"/>
    <cellStyle name="Normal 24 6 3" xfId="32125"/>
    <cellStyle name="Normal 24 7" xfId="32127"/>
    <cellStyle name="Normal 24 8" xfId="32096"/>
    <cellStyle name="Normal 25" xfId="1520"/>
    <cellStyle name="Normal 25 2" xfId="3085"/>
    <cellStyle name="Normal 25 2 2" xfId="9370"/>
    <cellStyle name="Normal 25 2 2 2" xfId="32131"/>
    <cellStyle name="Normal 25 2 2 3" xfId="32130"/>
    <cellStyle name="Normal 25 2 3" xfId="6243"/>
    <cellStyle name="Normal 25 2 3 2" xfId="32133"/>
    <cellStyle name="Normal 25 2 3 3" xfId="32132"/>
    <cellStyle name="Normal 25 2 4" xfId="12553"/>
    <cellStyle name="Normal 25 2 4 2" xfId="32135"/>
    <cellStyle name="Normal 25 2 4 3" xfId="32134"/>
    <cellStyle name="Normal 25 2 5" xfId="32136"/>
    <cellStyle name="Normal 25 2 6" xfId="32129"/>
    <cellStyle name="Normal 25 3" xfId="7807"/>
    <cellStyle name="Normal 25 3 2" xfId="32138"/>
    <cellStyle name="Normal 25 3 3" xfId="32137"/>
    <cellStyle name="Normal 25 4" xfId="4680"/>
    <cellStyle name="Normal 25 4 2" xfId="32140"/>
    <cellStyle name="Normal 25 4 3" xfId="32139"/>
    <cellStyle name="Normal 25 5" xfId="10990"/>
    <cellStyle name="Normal 25 5 2" xfId="32142"/>
    <cellStyle name="Normal 25 5 3" xfId="32141"/>
    <cellStyle name="Normal 25 6" xfId="32143"/>
    <cellStyle name="Normal 25 7" xfId="32128"/>
    <cellStyle name="Normal 26" xfId="1722"/>
    <cellStyle name="Normal 26 2" xfId="8009"/>
    <cellStyle name="Normal 26 2 2" xfId="32146"/>
    <cellStyle name="Normal 26 2 3" xfId="32145"/>
    <cellStyle name="Normal 26 3" xfId="4882"/>
    <cellStyle name="Normal 26 3 2" xfId="32148"/>
    <cellStyle name="Normal 26 3 3" xfId="32147"/>
    <cellStyle name="Normal 26 4" xfId="11192"/>
    <cellStyle name="Normal 26 4 2" xfId="32150"/>
    <cellStyle name="Normal 26 4 3" xfId="32149"/>
    <cellStyle name="Normal 26 5" xfId="32151"/>
    <cellStyle name="Normal 26 6" xfId="32144"/>
    <cellStyle name="Normal 27" xfId="1737"/>
    <cellStyle name="Normal 27 2" xfId="32152"/>
    <cellStyle name="Normal 28" xfId="3287"/>
    <cellStyle name="Normal 28 2" xfId="9572"/>
    <cellStyle name="Normal 28 2 2" xfId="32155"/>
    <cellStyle name="Normal 28 2 3" xfId="32154"/>
    <cellStyle name="Normal 28 3" xfId="6445"/>
    <cellStyle name="Normal 28 3 2" xfId="32157"/>
    <cellStyle name="Normal 28 3 3" xfId="32156"/>
    <cellStyle name="Normal 28 4" xfId="12755"/>
    <cellStyle name="Normal 28 4 2" xfId="32159"/>
    <cellStyle name="Normal 28 4 3" xfId="32158"/>
    <cellStyle name="Normal 28 5" xfId="32160"/>
    <cellStyle name="Normal 28 6" xfId="32153"/>
    <cellStyle name="Normal 29" xfId="100"/>
    <cellStyle name="Normal 29 2" xfId="9574"/>
    <cellStyle name="Normal 29 2 2" xfId="32163"/>
    <cellStyle name="Normal 29 2 3" xfId="32162"/>
    <cellStyle name="Normal 29 3" xfId="9833"/>
    <cellStyle name="Normal 29 3 2" xfId="32164"/>
    <cellStyle name="Normal 29 4" xfId="32161"/>
    <cellStyle name="Normal 3" xfId="51"/>
    <cellStyle name="Normal 3 10" xfId="1558"/>
    <cellStyle name="Normal 3 10 2" xfId="3123"/>
    <cellStyle name="Normal 3 10 2 2" xfId="9408"/>
    <cellStyle name="Normal 3 10 2 2 2" xfId="32168"/>
    <cellStyle name="Normal 3 10 2 2 3" xfId="32167"/>
    <cellStyle name="Normal 3 10 2 3" xfId="6281"/>
    <cellStyle name="Normal 3 10 2 3 2" xfId="32170"/>
    <cellStyle name="Normal 3 10 2 3 3" xfId="32169"/>
    <cellStyle name="Normal 3 10 2 4" xfId="12591"/>
    <cellStyle name="Normal 3 10 2 4 2" xfId="32172"/>
    <cellStyle name="Normal 3 10 2 4 3" xfId="32171"/>
    <cellStyle name="Normal 3 10 2 5" xfId="32173"/>
    <cellStyle name="Normal 3 10 2 6" xfId="32166"/>
    <cellStyle name="Normal 3 10 3" xfId="7845"/>
    <cellStyle name="Normal 3 10 3 2" xfId="32175"/>
    <cellStyle name="Normal 3 10 3 3" xfId="32174"/>
    <cellStyle name="Normal 3 10 4" xfId="4718"/>
    <cellStyle name="Normal 3 10 4 2" xfId="32177"/>
    <cellStyle name="Normal 3 10 4 3" xfId="32176"/>
    <cellStyle name="Normal 3 10 5" xfId="11028"/>
    <cellStyle name="Normal 3 10 5 2" xfId="32179"/>
    <cellStyle name="Normal 3 10 5 3" xfId="32178"/>
    <cellStyle name="Normal 3 10 6" xfId="32180"/>
    <cellStyle name="Normal 3 10 7" xfId="32165"/>
    <cellStyle name="Normal 3 11" xfId="1752"/>
    <cellStyle name="Normal 3 11 2" xfId="8037"/>
    <cellStyle name="Normal 3 11 2 2" xfId="32183"/>
    <cellStyle name="Normal 3 11 2 3" xfId="32182"/>
    <cellStyle name="Normal 3 11 3" xfId="4910"/>
    <cellStyle name="Normal 3 11 3 2" xfId="32185"/>
    <cellStyle name="Normal 3 11 3 3" xfId="32184"/>
    <cellStyle name="Normal 3 11 4" xfId="11220"/>
    <cellStyle name="Normal 3 11 4 2" xfId="32187"/>
    <cellStyle name="Normal 3 11 4 3" xfId="32186"/>
    <cellStyle name="Normal 3 11 5" xfId="32188"/>
    <cellStyle name="Normal 3 11 6" xfId="32181"/>
    <cellStyle name="Normal 3 12" xfId="129"/>
    <cellStyle name="Normal 3 12 2" xfId="6474"/>
    <cellStyle name="Normal 3 12 2 2" xfId="32191"/>
    <cellStyle name="Normal 3 12 2 3" xfId="32190"/>
    <cellStyle name="Normal 3 12 3" xfId="32192"/>
    <cellStyle name="Normal 3 12 4" xfId="32189"/>
    <cellStyle name="Normal 3 13" xfId="3347"/>
    <cellStyle name="Normal 3 13 2" xfId="32194"/>
    <cellStyle name="Normal 3 13 3" xfId="32193"/>
    <cellStyle name="Normal 3 14" xfId="9626"/>
    <cellStyle name="Normal 3 14 2" xfId="32196"/>
    <cellStyle name="Normal 3 14 3" xfId="32195"/>
    <cellStyle name="Normal 3 2" xfId="182"/>
    <cellStyle name="Normal 3 2 10" xfId="1804"/>
    <cellStyle name="Normal 3 2 10 2" xfId="8089"/>
    <cellStyle name="Normal 3 2 10 2 2" xfId="32200"/>
    <cellStyle name="Normal 3 2 10 2 3" xfId="32199"/>
    <cellStyle name="Normal 3 2 10 3" xfId="4962"/>
    <cellStyle name="Normal 3 2 10 3 2" xfId="32202"/>
    <cellStyle name="Normal 3 2 10 3 3" xfId="32201"/>
    <cellStyle name="Normal 3 2 10 4" xfId="11272"/>
    <cellStyle name="Normal 3 2 10 4 2" xfId="32204"/>
    <cellStyle name="Normal 3 2 10 4 3" xfId="32203"/>
    <cellStyle name="Normal 3 2 10 5" xfId="32205"/>
    <cellStyle name="Normal 3 2 10 6" xfId="32198"/>
    <cellStyle name="Normal 3 2 11" xfId="6526"/>
    <cellStyle name="Normal 3 2 11 2" xfId="32207"/>
    <cellStyle name="Normal 3 2 11 3" xfId="32206"/>
    <cellStyle name="Normal 3 2 12" xfId="3399"/>
    <cellStyle name="Normal 3 2 12 2" xfId="32209"/>
    <cellStyle name="Normal 3 2 12 3" xfId="32208"/>
    <cellStyle name="Normal 3 2 13" xfId="9693"/>
    <cellStyle name="Normal 3 2 13 2" xfId="32211"/>
    <cellStyle name="Normal 3 2 13 3" xfId="32210"/>
    <cellStyle name="Normal 3 2 14" xfId="32212"/>
    <cellStyle name="Normal 3 2 15" xfId="32197"/>
    <cellStyle name="Normal 3 2 2" xfId="205"/>
    <cellStyle name="Normal 3 2 2 2" xfId="734"/>
    <cellStyle name="Normal 3 2 2 2 10" xfId="32214"/>
    <cellStyle name="Normal 3 2 2 2 2" xfId="735"/>
    <cellStyle name="Normal 3 2 2 2 2 2" xfId="1426"/>
    <cellStyle name="Normal 3 2 2 2 2 2 2" xfId="2991"/>
    <cellStyle name="Normal 3 2 2 2 2 2 2 2" xfId="9276"/>
    <cellStyle name="Normal 3 2 2 2 2 2 2 2 2" xfId="32219"/>
    <cellStyle name="Normal 3 2 2 2 2 2 2 2 3" xfId="32218"/>
    <cellStyle name="Normal 3 2 2 2 2 2 2 3" xfId="6149"/>
    <cellStyle name="Normal 3 2 2 2 2 2 2 3 2" xfId="32221"/>
    <cellStyle name="Normal 3 2 2 2 2 2 2 3 3" xfId="32220"/>
    <cellStyle name="Normal 3 2 2 2 2 2 2 4" xfId="12459"/>
    <cellStyle name="Normal 3 2 2 2 2 2 2 4 2" xfId="32223"/>
    <cellStyle name="Normal 3 2 2 2 2 2 2 4 3" xfId="32222"/>
    <cellStyle name="Normal 3 2 2 2 2 2 2 5" xfId="32224"/>
    <cellStyle name="Normal 3 2 2 2 2 2 2 6" xfId="32217"/>
    <cellStyle name="Normal 3 2 2 2 2 2 3" xfId="7713"/>
    <cellStyle name="Normal 3 2 2 2 2 2 3 2" xfId="32226"/>
    <cellStyle name="Normal 3 2 2 2 2 2 3 3" xfId="32225"/>
    <cellStyle name="Normal 3 2 2 2 2 2 4" xfId="4586"/>
    <cellStyle name="Normal 3 2 2 2 2 2 4 2" xfId="32228"/>
    <cellStyle name="Normal 3 2 2 2 2 2 4 3" xfId="32227"/>
    <cellStyle name="Normal 3 2 2 2 2 2 5" xfId="10896"/>
    <cellStyle name="Normal 3 2 2 2 2 2 5 2" xfId="32230"/>
    <cellStyle name="Normal 3 2 2 2 2 2 5 3" xfId="32229"/>
    <cellStyle name="Normal 3 2 2 2 2 2 6" xfId="32231"/>
    <cellStyle name="Normal 3 2 2 2 2 2 7" xfId="32216"/>
    <cellStyle name="Normal 3 2 2 2 2 3" xfId="1628"/>
    <cellStyle name="Normal 3 2 2 2 2 3 2" xfId="3193"/>
    <cellStyle name="Normal 3 2 2 2 2 3 2 2" xfId="9478"/>
    <cellStyle name="Normal 3 2 2 2 2 3 2 2 2" xfId="32235"/>
    <cellStyle name="Normal 3 2 2 2 2 3 2 2 3" xfId="32234"/>
    <cellStyle name="Normal 3 2 2 2 2 3 2 3" xfId="6351"/>
    <cellStyle name="Normal 3 2 2 2 2 3 2 3 2" xfId="32237"/>
    <cellStyle name="Normal 3 2 2 2 2 3 2 3 3" xfId="32236"/>
    <cellStyle name="Normal 3 2 2 2 2 3 2 4" xfId="12661"/>
    <cellStyle name="Normal 3 2 2 2 2 3 2 4 2" xfId="32239"/>
    <cellStyle name="Normal 3 2 2 2 2 3 2 4 3" xfId="32238"/>
    <cellStyle name="Normal 3 2 2 2 2 3 2 5" xfId="32240"/>
    <cellStyle name="Normal 3 2 2 2 2 3 2 6" xfId="32233"/>
    <cellStyle name="Normal 3 2 2 2 2 3 3" xfId="7915"/>
    <cellStyle name="Normal 3 2 2 2 2 3 3 2" xfId="32242"/>
    <cellStyle name="Normal 3 2 2 2 2 3 3 3" xfId="32241"/>
    <cellStyle name="Normal 3 2 2 2 2 3 4" xfId="4788"/>
    <cellStyle name="Normal 3 2 2 2 2 3 4 2" xfId="32244"/>
    <cellStyle name="Normal 3 2 2 2 2 3 4 3" xfId="32243"/>
    <cellStyle name="Normal 3 2 2 2 2 3 5" xfId="11098"/>
    <cellStyle name="Normal 3 2 2 2 2 3 5 2" xfId="32246"/>
    <cellStyle name="Normal 3 2 2 2 2 3 5 3" xfId="32245"/>
    <cellStyle name="Normal 3 2 2 2 2 3 6" xfId="32247"/>
    <cellStyle name="Normal 3 2 2 2 2 3 7" xfId="32232"/>
    <cellStyle name="Normal 3 2 2 2 2 4" xfId="2311"/>
    <cellStyle name="Normal 3 2 2 2 2 4 2" xfId="8596"/>
    <cellStyle name="Normal 3 2 2 2 2 4 2 2" xfId="32250"/>
    <cellStyle name="Normal 3 2 2 2 2 4 2 3" xfId="32249"/>
    <cellStyle name="Normal 3 2 2 2 2 4 3" xfId="5469"/>
    <cellStyle name="Normal 3 2 2 2 2 4 3 2" xfId="32252"/>
    <cellStyle name="Normal 3 2 2 2 2 4 3 3" xfId="32251"/>
    <cellStyle name="Normal 3 2 2 2 2 4 4" xfId="11779"/>
    <cellStyle name="Normal 3 2 2 2 2 4 4 2" xfId="32254"/>
    <cellStyle name="Normal 3 2 2 2 2 4 4 3" xfId="32253"/>
    <cellStyle name="Normal 3 2 2 2 2 4 5" xfId="32255"/>
    <cellStyle name="Normal 3 2 2 2 2 4 6" xfId="32248"/>
    <cellStyle name="Normal 3 2 2 2 2 5" xfId="7033"/>
    <cellStyle name="Normal 3 2 2 2 2 5 2" xfId="32257"/>
    <cellStyle name="Normal 3 2 2 2 2 5 3" xfId="32256"/>
    <cellStyle name="Normal 3 2 2 2 2 6" xfId="3906"/>
    <cellStyle name="Normal 3 2 2 2 2 6 2" xfId="32259"/>
    <cellStyle name="Normal 3 2 2 2 2 6 3" xfId="32258"/>
    <cellStyle name="Normal 3 2 2 2 2 7" xfId="9696"/>
    <cellStyle name="Normal 3 2 2 2 2 7 2" xfId="32261"/>
    <cellStyle name="Normal 3 2 2 2 2 7 3" xfId="32260"/>
    <cellStyle name="Normal 3 2 2 2 2 8" xfId="32262"/>
    <cellStyle name="Normal 3 2 2 2 2 9" xfId="32215"/>
    <cellStyle name="Normal 3 2 2 2 3" xfId="1425"/>
    <cellStyle name="Normal 3 2 2 2 3 2" xfId="2990"/>
    <cellStyle name="Normal 3 2 2 2 3 2 2" xfId="9275"/>
    <cellStyle name="Normal 3 2 2 2 3 2 2 2" xfId="32266"/>
    <cellStyle name="Normal 3 2 2 2 3 2 2 3" xfId="32265"/>
    <cellStyle name="Normal 3 2 2 2 3 2 3" xfId="6148"/>
    <cellStyle name="Normal 3 2 2 2 3 2 3 2" xfId="32268"/>
    <cellStyle name="Normal 3 2 2 2 3 2 3 3" xfId="32267"/>
    <cellStyle name="Normal 3 2 2 2 3 2 4" xfId="12458"/>
    <cellStyle name="Normal 3 2 2 2 3 2 4 2" xfId="32270"/>
    <cellStyle name="Normal 3 2 2 2 3 2 4 3" xfId="32269"/>
    <cellStyle name="Normal 3 2 2 2 3 2 5" xfId="32271"/>
    <cellStyle name="Normal 3 2 2 2 3 2 6" xfId="32264"/>
    <cellStyle name="Normal 3 2 2 2 3 3" xfId="7712"/>
    <cellStyle name="Normal 3 2 2 2 3 3 2" xfId="32273"/>
    <cellStyle name="Normal 3 2 2 2 3 3 3" xfId="32272"/>
    <cellStyle name="Normal 3 2 2 2 3 4" xfId="4585"/>
    <cellStyle name="Normal 3 2 2 2 3 4 2" xfId="32275"/>
    <cellStyle name="Normal 3 2 2 2 3 4 3" xfId="32274"/>
    <cellStyle name="Normal 3 2 2 2 3 5" xfId="10895"/>
    <cellStyle name="Normal 3 2 2 2 3 5 2" xfId="32277"/>
    <cellStyle name="Normal 3 2 2 2 3 5 3" xfId="32276"/>
    <cellStyle name="Normal 3 2 2 2 3 6" xfId="32278"/>
    <cellStyle name="Normal 3 2 2 2 3 7" xfId="32263"/>
    <cellStyle name="Normal 3 2 2 2 4" xfId="1627"/>
    <cellStyle name="Normal 3 2 2 2 4 2" xfId="3192"/>
    <cellStyle name="Normal 3 2 2 2 4 2 2" xfId="9477"/>
    <cellStyle name="Normal 3 2 2 2 4 2 2 2" xfId="32282"/>
    <cellStyle name="Normal 3 2 2 2 4 2 2 3" xfId="32281"/>
    <cellStyle name="Normal 3 2 2 2 4 2 3" xfId="6350"/>
    <cellStyle name="Normal 3 2 2 2 4 2 3 2" xfId="32284"/>
    <cellStyle name="Normal 3 2 2 2 4 2 3 3" xfId="32283"/>
    <cellStyle name="Normal 3 2 2 2 4 2 4" xfId="12660"/>
    <cellStyle name="Normal 3 2 2 2 4 2 4 2" xfId="32286"/>
    <cellStyle name="Normal 3 2 2 2 4 2 4 3" xfId="32285"/>
    <cellStyle name="Normal 3 2 2 2 4 2 5" xfId="32287"/>
    <cellStyle name="Normal 3 2 2 2 4 2 6" xfId="32280"/>
    <cellStyle name="Normal 3 2 2 2 4 3" xfId="7914"/>
    <cellStyle name="Normal 3 2 2 2 4 3 2" xfId="32289"/>
    <cellStyle name="Normal 3 2 2 2 4 3 3" xfId="32288"/>
    <cellStyle name="Normal 3 2 2 2 4 4" xfId="4787"/>
    <cellStyle name="Normal 3 2 2 2 4 4 2" xfId="32291"/>
    <cellStyle name="Normal 3 2 2 2 4 4 3" xfId="32290"/>
    <cellStyle name="Normal 3 2 2 2 4 5" xfId="11097"/>
    <cellStyle name="Normal 3 2 2 2 4 5 2" xfId="32293"/>
    <cellStyle name="Normal 3 2 2 2 4 5 3" xfId="32292"/>
    <cellStyle name="Normal 3 2 2 2 4 6" xfId="32294"/>
    <cellStyle name="Normal 3 2 2 2 4 7" xfId="32279"/>
    <cellStyle name="Normal 3 2 2 2 5" xfId="2310"/>
    <cellStyle name="Normal 3 2 2 2 5 2" xfId="8595"/>
    <cellStyle name="Normal 3 2 2 2 5 2 2" xfId="32297"/>
    <cellStyle name="Normal 3 2 2 2 5 2 3" xfId="32296"/>
    <cellStyle name="Normal 3 2 2 2 5 3" xfId="5468"/>
    <cellStyle name="Normal 3 2 2 2 5 3 2" xfId="32299"/>
    <cellStyle name="Normal 3 2 2 2 5 3 3" xfId="32298"/>
    <cellStyle name="Normal 3 2 2 2 5 4" xfId="11778"/>
    <cellStyle name="Normal 3 2 2 2 5 4 2" xfId="32301"/>
    <cellStyle name="Normal 3 2 2 2 5 4 3" xfId="32300"/>
    <cellStyle name="Normal 3 2 2 2 5 5" xfId="32302"/>
    <cellStyle name="Normal 3 2 2 2 5 6" xfId="32295"/>
    <cellStyle name="Normal 3 2 2 2 6" xfId="7032"/>
    <cellStyle name="Normal 3 2 2 2 6 2" xfId="32304"/>
    <cellStyle name="Normal 3 2 2 2 6 3" xfId="32303"/>
    <cellStyle name="Normal 3 2 2 2 7" xfId="3905"/>
    <cellStyle name="Normal 3 2 2 2 7 2" xfId="32306"/>
    <cellStyle name="Normal 3 2 2 2 7 3" xfId="32305"/>
    <cellStyle name="Normal 3 2 2 2 8" xfId="9695"/>
    <cellStyle name="Normal 3 2 2 2 8 2" xfId="32308"/>
    <cellStyle name="Normal 3 2 2 2 8 3" xfId="32307"/>
    <cellStyle name="Normal 3 2 2 2 9" xfId="32309"/>
    <cellStyle name="Normal 3 2 2 3" xfId="736"/>
    <cellStyle name="Normal 3 2 2 3 2" xfId="1427"/>
    <cellStyle name="Normal 3 2 2 3 2 2" xfId="2992"/>
    <cellStyle name="Normal 3 2 2 3 2 2 2" xfId="9277"/>
    <cellStyle name="Normal 3 2 2 3 2 2 2 2" xfId="32314"/>
    <cellStyle name="Normal 3 2 2 3 2 2 2 3" xfId="32313"/>
    <cellStyle name="Normal 3 2 2 3 2 2 3" xfId="6150"/>
    <cellStyle name="Normal 3 2 2 3 2 2 3 2" xfId="32316"/>
    <cellStyle name="Normal 3 2 2 3 2 2 3 3" xfId="32315"/>
    <cellStyle name="Normal 3 2 2 3 2 2 4" xfId="12460"/>
    <cellStyle name="Normal 3 2 2 3 2 2 4 2" xfId="32318"/>
    <cellStyle name="Normal 3 2 2 3 2 2 4 3" xfId="32317"/>
    <cellStyle name="Normal 3 2 2 3 2 2 5" xfId="32319"/>
    <cellStyle name="Normal 3 2 2 3 2 2 6" xfId="32312"/>
    <cellStyle name="Normal 3 2 2 3 2 3" xfId="7714"/>
    <cellStyle name="Normal 3 2 2 3 2 3 2" xfId="32321"/>
    <cellStyle name="Normal 3 2 2 3 2 3 3" xfId="32320"/>
    <cellStyle name="Normal 3 2 2 3 2 4" xfId="4587"/>
    <cellStyle name="Normal 3 2 2 3 2 4 2" xfId="32323"/>
    <cellStyle name="Normal 3 2 2 3 2 4 3" xfId="32322"/>
    <cellStyle name="Normal 3 2 2 3 2 5" xfId="10897"/>
    <cellStyle name="Normal 3 2 2 3 2 5 2" xfId="32325"/>
    <cellStyle name="Normal 3 2 2 3 2 5 3" xfId="32324"/>
    <cellStyle name="Normal 3 2 2 3 2 6" xfId="32326"/>
    <cellStyle name="Normal 3 2 2 3 2 7" xfId="32311"/>
    <cellStyle name="Normal 3 2 2 3 3" xfId="1629"/>
    <cellStyle name="Normal 3 2 2 3 3 2" xfId="3194"/>
    <cellStyle name="Normal 3 2 2 3 3 2 2" xfId="9479"/>
    <cellStyle name="Normal 3 2 2 3 3 2 2 2" xfId="32330"/>
    <cellStyle name="Normal 3 2 2 3 3 2 2 3" xfId="32329"/>
    <cellStyle name="Normal 3 2 2 3 3 2 3" xfId="6352"/>
    <cellStyle name="Normal 3 2 2 3 3 2 3 2" xfId="32332"/>
    <cellStyle name="Normal 3 2 2 3 3 2 3 3" xfId="32331"/>
    <cellStyle name="Normal 3 2 2 3 3 2 4" xfId="12662"/>
    <cellStyle name="Normal 3 2 2 3 3 2 4 2" xfId="32334"/>
    <cellStyle name="Normal 3 2 2 3 3 2 4 3" xfId="32333"/>
    <cellStyle name="Normal 3 2 2 3 3 2 5" xfId="32335"/>
    <cellStyle name="Normal 3 2 2 3 3 2 6" xfId="32328"/>
    <cellStyle name="Normal 3 2 2 3 3 3" xfId="7916"/>
    <cellStyle name="Normal 3 2 2 3 3 3 2" xfId="32337"/>
    <cellStyle name="Normal 3 2 2 3 3 3 3" xfId="32336"/>
    <cellStyle name="Normal 3 2 2 3 3 4" xfId="4789"/>
    <cellStyle name="Normal 3 2 2 3 3 4 2" xfId="32339"/>
    <cellStyle name="Normal 3 2 2 3 3 4 3" xfId="32338"/>
    <cellStyle name="Normal 3 2 2 3 3 5" xfId="11099"/>
    <cellStyle name="Normal 3 2 2 3 3 5 2" xfId="32341"/>
    <cellStyle name="Normal 3 2 2 3 3 5 3" xfId="32340"/>
    <cellStyle name="Normal 3 2 2 3 3 6" xfId="32342"/>
    <cellStyle name="Normal 3 2 2 3 3 7" xfId="32327"/>
    <cellStyle name="Normal 3 2 2 3 4" xfId="2312"/>
    <cellStyle name="Normal 3 2 2 3 4 2" xfId="8597"/>
    <cellStyle name="Normal 3 2 2 3 4 2 2" xfId="32345"/>
    <cellStyle name="Normal 3 2 2 3 4 2 3" xfId="32344"/>
    <cellStyle name="Normal 3 2 2 3 4 3" xfId="5470"/>
    <cellStyle name="Normal 3 2 2 3 4 3 2" xfId="32347"/>
    <cellStyle name="Normal 3 2 2 3 4 3 3" xfId="32346"/>
    <cellStyle name="Normal 3 2 2 3 4 4" xfId="11780"/>
    <cellStyle name="Normal 3 2 2 3 4 4 2" xfId="32349"/>
    <cellStyle name="Normal 3 2 2 3 4 4 3" xfId="32348"/>
    <cellStyle name="Normal 3 2 2 3 4 5" xfId="32350"/>
    <cellStyle name="Normal 3 2 2 3 4 6" xfId="32343"/>
    <cellStyle name="Normal 3 2 2 3 5" xfId="7034"/>
    <cellStyle name="Normal 3 2 2 3 5 2" xfId="32352"/>
    <cellStyle name="Normal 3 2 2 3 5 3" xfId="32351"/>
    <cellStyle name="Normal 3 2 2 3 6" xfId="3907"/>
    <cellStyle name="Normal 3 2 2 3 6 2" xfId="32354"/>
    <cellStyle name="Normal 3 2 2 3 6 3" xfId="32353"/>
    <cellStyle name="Normal 3 2 2 3 7" xfId="9697"/>
    <cellStyle name="Normal 3 2 2 3 7 2" xfId="32356"/>
    <cellStyle name="Normal 3 2 2 3 7 3" xfId="32355"/>
    <cellStyle name="Normal 3 2 2 3 8" xfId="32357"/>
    <cellStyle name="Normal 3 2 2 3 9" xfId="32310"/>
    <cellStyle name="Normal 3 2 2 4" xfId="733"/>
    <cellStyle name="Normal 3 2 2 4 2" xfId="1424"/>
    <cellStyle name="Normal 3 2 2 4 2 2" xfId="2989"/>
    <cellStyle name="Normal 3 2 2 4 2 2 2" xfId="9274"/>
    <cellStyle name="Normal 3 2 2 4 2 2 2 2" xfId="32362"/>
    <cellStyle name="Normal 3 2 2 4 2 2 2 3" xfId="32361"/>
    <cellStyle name="Normal 3 2 2 4 2 2 3" xfId="6147"/>
    <cellStyle name="Normal 3 2 2 4 2 2 3 2" xfId="32364"/>
    <cellStyle name="Normal 3 2 2 4 2 2 3 3" xfId="32363"/>
    <cellStyle name="Normal 3 2 2 4 2 2 4" xfId="12457"/>
    <cellStyle name="Normal 3 2 2 4 2 2 4 2" xfId="32366"/>
    <cellStyle name="Normal 3 2 2 4 2 2 4 3" xfId="32365"/>
    <cellStyle name="Normal 3 2 2 4 2 2 5" xfId="32367"/>
    <cellStyle name="Normal 3 2 2 4 2 2 6" xfId="32360"/>
    <cellStyle name="Normal 3 2 2 4 2 3" xfId="7711"/>
    <cellStyle name="Normal 3 2 2 4 2 3 2" xfId="32369"/>
    <cellStyle name="Normal 3 2 2 4 2 3 3" xfId="32368"/>
    <cellStyle name="Normal 3 2 2 4 2 4" xfId="4584"/>
    <cellStyle name="Normal 3 2 2 4 2 4 2" xfId="32371"/>
    <cellStyle name="Normal 3 2 2 4 2 4 3" xfId="32370"/>
    <cellStyle name="Normal 3 2 2 4 2 5" xfId="10894"/>
    <cellStyle name="Normal 3 2 2 4 2 5 2" xfId="32373"/>
    <cellStyle name="Normal 3 2 2 4 2 5 3" xfId="32372"/>
    <cellStyle name="Normal 3 2 2 4 2 6" xfId="32374"/>
    <cellStyle name="Normal 3 2 2 4 2 7" xfId="32359"/>
    <cellStyle name="Normal 3 2 2 4 3" xfId="2309"/>
    <cellStyle name="Normal 3 2 2 4 3 2" xfId="8594"/>
    <cellStyle name="Normal 3 2 2 4 3 2 2" xfId="32377"/>
    <cellStyle name="Normal 3 2 2 4 3 2 3" xfId="32376"/>
    <cellStyle name="Normal 3 2 2 4 3 3" xfId="5467"/>
    <cellStyle name="Normal 3 2 2 4 3 3 2" xfId="32379"/>
    <cellStyle name="Normal 3 2 2 4 3 3 3" xfId="32378"/>
    <cellStyle name="Normal 3 2 2 4 3 4" xfId="11777"/>
    <cellStyle name="Normal 3 2 2 4 3 4 2" xfId="32381"/>
    <cellStyle name="Normal 3 2 2 4 3 4 3" xfId="32380"/>
    <cellStyle name="Normal 3 2 2 4 3 5" xfId="32382"/>
    <cellStyle name="Normal 3 2 2 4 3 6" xfId="32375"/>
    <cellStyle name="Normal 3 2 2 4 4" xfId="7031"/>
    <cellStyle name="Normal 3 2 2 4 4 2" xfId="32384"/>
    <cellStyle name="Normal 3 2 2 4 4 3" xfId="32383"/>
    <cellStyle name="Normal 3 2 2 4 5" xfId="3904"/>
    <cellStyle name="Normal 3 2 2 4 5 2" xfId="32386"/>
    <cellStyle name="Normal 3 2 2 4 5 3" xfId="32385"/>
    <cellStyle name="Normal 3 2 2 4 6" xfId="10292"/>
    <cellStyle name="Normal 3 2 2 4 6 2" xfId="32388"/>
    <cellStyle name="Normal 3 2 2 4 6 3" xfId="32387"/>
    <cellStyle name="Normal 3 2 2 4 7" xfId="32389"/>
    <cellStyle name="Normal 3 2 2 4 8" xfId="32358"/>
    <cellStyle name="Normal 3 2 2 5" xfId="1626"/>
    <cellStyle name="Normal 3 2 2 5 2" xfId="3191"/>
    <cellStyle name="Normal 3 2 2 5 2 2" xfId="9476"/>
    <cellStyle name="Normal 3 2 2 5 2 2 2" xfId="32393"/>
    <cellStyle name="Normal 3 2 2 5 2 2 3" xfId="32392"/>
    <cellStyle name="Normal 3 2 2 5 2 3" xfId="6349"/>
    <cellStyle name="Normal 3 2 2 5 2 3 2" xfId="32395"/>
    <cellStyle name="Normal 3 2 2 5 2 3 3" xfId="32394"/>
    <cellStyle name="Normal 3 2 2 5 2 4" xfId="12659"/>
    <cellStyle name="Normal 3 2 2 5 2 4 2" xfId="32397"/>
    <cellStyle name="Normal 3 2 2 5 2 4 3" xfId="32396"/>
    <cellStyle name="Normal 3 2 2 5 2 5" xfId="32398"/>
    <cellStyle name="Normal 3 2 2 5 2 6" xfId="32391"/>
    <cellStyle name="Normal 3 2 2 5 3" xfId="7913"/>
    <cellStyle name="Normal 3 2 2 5 3 2" xfId="32400"/>
    <cellStyle name="Normal 3 2 2 5 3 3" xfId="32399"/>
    <cellStyle name="Normal 3 2 2 5 4" xfId="4786"/>
    <cellStyle name="Normal 3 2 2 5 4 2" xfId="32402"/>
    <cellStyle name="Normal 3 2 2 5 4 3" xfId="32401"/>
    <cellStyle name="Normal 3 2 2 5 5" xfId="11096"/>
    <cellStyle name="Normal 3 2 2 5 5 2" xfId="32404"/>
    <cellStyle name="Normal 3 2 2 5 5 3" xfId="32403"/>
    <cellStyle name="Normal 3 2 2 5 6" xfId="32405"/>
    <cellStyle name="Normal 3 2 2 5 7" xfId="32390"/>
    <cellStyle name="Normal 3 2 2 6" xfId="9942"/>
    <cellStyle name="Normal 3 2 2 6 2" xfId="32406"/>
    <cellStyle name="Normal 3 2 2 7" xfId="9694"/>
    <cellStyle name="Normal 3 2 2 7 2" xfId="32408"/>
    <cellStyle name="Normal 3 2 2 7 3" xfId="32407"/>
    <cellStyle name="Normal 3 2 2 8" xfId="32213"/>
    <cellStyle name="Normal 3 2 3" xfId="313"/>
    <cellStyle name="Normal 3 2 3 10" xfId="9698"/>
    <cellStyle name="Normal 3 2 3 10 2" xfId="32411"/>
    <cellStyle name="Normal 3 2 3 10 3" xfId="32410"/>
    <cellStyle name="Normal 3 2 3 11" xfId="32412"/>
    <cellStyle name="Normal 3 2 3 12" xfId="32409"/>
    <cellStyle name="Normal 3 2 3 2" xfId="738"/>
    <cellStyle name="Normal 3 2 3 2 10" xfId="32413"/>
    <cellStyle name="Normal 3 2 3 2 2" xfId="739"/>
    <cellStyle name="Normal 3 2 3 2 2 2" xfId="1430"/>
    <cellStyle name="Normal 3 2 3 2 2 2 2" xfId="2995"/>
    <cellStyle name="Normal 3 2 3 2 2 2 2 2" xfId="9280"/>
    <cellStyle name="Normal 3 2 3 2 2 2 2 2 2" xfId="32418"/>
    <cellStyle name="Normal 3 2 3 2 2 2 2 2 3" xfId="32417"/>
    <cellStyle name="Normal 3 2 3 2 2 2 2 3" xfId="6153"/>
    <cellStyle name="Normal 3 2 3 2 2 2 2 3 2" xfId="32420"/>
    <cellStyle name="Normal 3 2 3 2 2 2 2 3 3" xfId="32419"/>
    <cellStyle name="Normal 3 2 3 2 2 2 2 4" xfId="12463"/>
    <cellStyle name="Normal 3 2 3 2 2 2 2 4 2" xfId="32422"/>
    <cellStyle name="Normal 3 2 3 2 2 2 2 4 3" xfId="32421"/>
    <cellStyle name="Normal 3 2 3 2 2 2 2 5" xfId="32423"/>
    <cellStyle name="Normal 3 2 3 2 2 2 2 6" xfId="32416"/>
    <cellStyle name="Normal 3 2 3 2 2 2 3" xfId="7717"/>
    <cellStyle name="Normal 3 2 3 2 2 2 3 2" xfId="32425"/>
    <cellStyle name="Normal 3 2 3 2 2 2 3 3" xfId="32424"/>
    <cellStyle name="Normal 3 2 3 2 2 2 4" xfId="4590"/>
    <cellStyle name="Normal 3 2 3 2 2 2 4 2" xfId="32427"/>
    <cellStyle name="Normal 3 2 3 2 2 2 4 3" xfId="32426"/>
    <cellStyle name="Normal 3 2 3 2 2 2 5" xfId="10900"/>
    <cellStyle name="Normal 3 2 3 2 2 2 5 2" xfId="32429"/>
    <cellStyle name="Normal 3 2 3 2 2 2 5 3" xfId="32428"/>
    <cellStyle name="Normal 3 2 3 2 2 2 6" xfId="32430"/>
    <cellStyle name="Normal 3 2 3 2 2 2 7" xfId="32415"/>
    <cellStyle name="Normal 3 2 3 2 2 3" xfId="1632"/>
    <cellStyle name="Normal 3 2 3 2 2 3 2" xfId="3197"/>
    <cellStyle name="Normal 3 2 3 2 2 3 2 2" xfId="9482"/>
    <cellStyle name="Normal 3 2 3 2 2 3 2 2 2" xfId="32434"/>
    <cellStyle name="Normal 3 2 3 2 2 3 2 2 3" xfId="32433"/>
    <cellStyle name="Normal 3 2 3 2 2 3 2 3" xfId="6355"/>
    <cellStyle name="Normal 3 2 3 2 2 3 2 3 2" xfId="32436"/>
    <cellStyle name="Normal 3 2 3 2 2 3 2 3 3" xfId="32435"/>
    <cellStyle name="Normal 3 2 3 2 2 3 2 4" xfId="12665"/>
    <cellStyle name="Normal 3 2 3 2 2 3 2 4 2" xfId="32438"/>
    <cellStyle name="Normal 3 2 3 2 2 3 2 4 3" xfId="32437"/>
    <cellStyle name="Normal 3 2 3 2 2 3 2 5" xfId="32439"/>
    <cellStyle name="Normal 3 2 3 2 2 3 2 6" xfId="32432"/>
    <cellStyle name="Normal 3 2 3 2 2 3 3" xfId="7919"/>
    <cellStyle name="Normal 3 2 3 2 2 3 3 2" xfId="32441"/>
    <cellStyle name="Normal 3 2 3 2 2 3 3 3" xfId="32440"/>
    <cellStyle name="Normal 3 2 3 2 2 3 4" xfId="4792"/>
    <cellStyle name="Normal 3 2 3 2 2 3 4 2" xfId="32443"/>
    <cellStyle name="Normal 3 2 3 2 2 3 4 3" xfId="32442"/>
    <cellStyle name="Normal 3 2 3 2 2 3 5" xfId="11102"/>
    <cellStyle name="Normal 3 2 3 2 2 3 5 2" xfId="32445"/>
    <cellStyle name="Normal 3 2 3 2 2 3 5 3" xfId="32444"/>
    <cellStyle name="Normal 3 2 3 2 2 3 6" xfId="32446"/>
    <cellStyle name="Normal 3 2 3 2 2 3 7" xfId="32431"/>
    <cellStyle name="Normal 3 2 3 2 2 4" xfId="2315"/>
    <cellStyle name="Normal 3 2 3 2 2 4 2" xfId="8600"/>
    <cellStyle name="Normal 3 2 3 2 2 4 2 2" xfId="32449"/>
    <cellStyle name="Normal 3 2 3 2 2 4 2 3" xfId="32448"/>
    <cellStyle name="Normal 3 2 3 2 2 4 3" xfId="5473"/>
    <cellStyle name="Normal 3 2 3 2 2 4 3 2" xfId="32451"/>
    <cellStyle name="Normal 3 2 3 2 2 4 3 3" xfId="32450"/>
    <cellStyle name="Normal 3 2 3 2 2 4 4" xfId="11783"/>
    <cellStyle name="Normal 3 2 3 2 2 4 4 2" xfId="32453"/>
    <cellStyle name="Normal 3 2 3 2 2 4 4 3" xfId="32452"/>
    <cellStyle name="Normal 3 2 3 2 2 4 5" xfId="32454"/>
    <cellStyle name="Normal 3 2 3 2 2 4 6" xfId="32447"/>
    <cellStyle name="Normal 3 2 3 2 2 5" xfId="7037"/>
    <cellStyle name="Normal 3 2 3 2 2 5 2" xfId="32456"/>
    <cellStyle name="Normal 3 2 3 2 2 5 3" xfId="32455"/>
    <cellStyle name="Normal 3 2 3 2 2 6" xfId="3910"/>
    <cellStyle name="Normal 3 2 3 2 2 6 2" xfId="32458"/>
    <cellStyle name="Normal 3 2 3 2 2 6 3" xfId="32457"/>
    <cellStyle name="Normal 3 2 3 2 2 7" xfId="9700"/>
    <cellStyle name="Normal 3 2 3 2 2 7 2" xfId="32460"/>
    <cellStyle name="Normal 3 2 3 2 2 7 3" xfId="32459"/>
    <cellStyle name="Normal 3 2 3 2 2 8" xfId="32461"/>
    <cellStyle name="Normal 3 2 3 2 2 9" xfId="32414"/>
    <cellStyle name="Normal 3 2 3 2 3" xfId="1429"/>
    <cellStyle name="Normal 3 2 3 2 3 2" xfId="2994"/>
    <cellStyle name="Normal 3 2 3 2 3 2 2" xfId="9279"/>
    <cellStyle name="Normal 3 2 3 2 3 2 2 2" xfId="32465"/>
    <cellStyle name="Normal 3 2 3 2 3 2 2 3" xfId="32464"/>
    <cellStyle name="Normal 3 2 3 2 3 2 3" xfId="6152"/>
    <cellStyle name="Normal 3 2 3 2 3 2 3 2" xfId="32467"/>
    <cellStyle name="Normal 3 2 3 2 3 2 3 3" xfId="32466"/>
    <cellStyle name="Normal 3 2 3 2 3 2 4" xfId="12462"/>
    <cellStyle name="Normal 3 2 3 2 3 2 4 2" xfId="32469"/>
    <cellStyle name="Normal 3 2 3 2 3 2 4 3" xfId="32468"/>
    <cellStyle name="Normal 3 2 3 2 3 2 5" xfId="32470"/>
    <cellStyle name="Normal 3 2 3 2 3 2 6" xfId="32463"/>
    <cellStyle name="Normal 3 2 3 2 3 3" xfId="7716"/>
    <cellStyle name="Normal 3 2 3 2 3 3 2" xfId="32472"/>
    <cellStyle name="Normal 3 2 3 2 3 3 3" xfId="32471"/>
    <cellStyle name="Normal 3 2 3 2 3 4" xfId="4589"/>
    <cellStyle name="Normal 3 2 3 2 3 4 2" xfId="32474"/>
    <cellStyle name="Normal 3 2 3 2 3 4 3" xfId="32473"/>
    <cellStyle name="Normal 3 2 3 2 3 5" xfId="10899"/>
    <cellStyle name="Normal 3 2 3 2 3 5 2" xfId="32476"/>
    <cellStyle name="Normal 3 2 3 2 3 5 3" xfId="32475"/>
    <cellStyle name="Normal 3 2 3 2 3 6" xfId="32477"/>
    <cellStyle name="Normal 3 2 3 2 3 7" xfId="32462"/>
    <cellStyle name="Normal 3 2 3 2 4" xfId="1631"/>
    <cellStyle name="Normal 3 2 3 2 4 2" xfId="3196"/>
    <cellStyle name="Normal 3 2 3 2 4 2 2" xfId="9481"/>
    <cellStyle name="Normal 3 2 3 2 4 2 2 2" xfId="32481"/>
    <cellStyle name="Normal 3 2 3 2 4 2 2 3" xfId="32480"/>
    <cellStyle name="Normal 3 2 3 2 4 2 3" xfId="6354"/>
    <cellStyle name="Normal 3 2 3 2 4 2 3 2" xfId="32483"/>
    <cellStyle name="Normal 3 2 3 2 4 2 3 3" xfId="32482"/>
    <cellStyle name="Normal 3 2 3 2 4 2 4" xfId="12664"/>
    <cellStyle name="Normal 3 2 3 2 4 2 4 2" xfId="32485"/>
    <cellStyle name="Normal 3 2 3 2 4 2 4 3" xfId="32484"/>
    <cellStyle name="Normal 3 2 3 2 4 2 5" xfId="32486"/>
    <cellStyle name="Normal 3 2 3 2 4 2 6" xfId="32479"/>
    <cellStyle name="Normal 3 2 3 2 4 3" xfId="7918"/>
    <cellStyle name="Normal 3 2 3 2 4 3 2" xfId="32488"/>
    <cellStyle name="Normal 3 2 3 2 4 3 3" xfId="32487"/>
    <cellStyle name="Normal 3 2 3 2 4 4" xfId="4791"/>
    <cellStyle name="Normal 3 2 3 2 4 4 2" xfId="32490"/>
    <cellStyle name="Normal 3 2 3 2 4 4 3" xfId="32489"/>
    <cellStyle name="Normal 3 2 3 2 4 5" xfId="11101"/>
    <cellStyle name="Normal 3 2 3 2 4 5 2" xfId="32492"/>
    <cellStyle name="Normal 3 2 3 2 4 5 3" xfId="32491"/>
    <cellStyle name="Normal 3 2 3 2 4 6" xfId="32493"/>
    <cellStyle name="Normal 3 2 3 2 4 7" xfId="32478"/>
    <cellStyle name="Normal 3 2 3 2 5" xfId="2314"/>
    <cellStyle name="Normal 3 2 3 2 5 2" xfId="8599"/>
    <cellStyle name="Normal 3 2 3 2 5 2 2" xfId="32496"/>
    <cellStyle name="Normal 3 2 3 2 5 2 3" xfId="32495"/>
    <cellStyle name="Normal 3 2 3 2 5 3" xfId="5472"/>
    <cellStyle name="Normal 3 2 3 2 5 3 2" xfId="32498"/>
    <cellStyle name="Normal 3 2 3 2 5 3 3" xfId="32497"/>
    <cellStyle name="Normal 3 2 3 2 5 4" xfId="11782"/>
    <cellStyle name="Normal 3 2 3 2 5 4 2" xfId="32500"/>
    <cellStyle name="Normal 3 2 3 2 5 4 3" xfId="32499"/>
    <cellStyle name="Normal 3 2 3 2 5 5" xfId="32501"/>
    <cellStyle name="Normal 3 2 3 2 5 6" xfId="32494"/>
    <cellStyle name="Normal 3 2 3 2 6" xfId="7036"/>
    <cellStyle name="Normal 3 2 3 2 6 2" xfId="32503"/>
    <cellStyle name="Normal 3 2 3 2 6 3" xfId="32502"/>
    <cellStyle name="Normal 3 2 3 2 7" xfId="3909"/>
    <cellStyle name="Normal 3 2 3 2 7 2" xfId="32505"/>
    <cellStyle name="Normal 3 2 3 2 7 3" xfId="32504"/>
    <cellStyle name="Normal 3 2 3 2 8" xfId="9699"/>
    <cellStyle name="Normal 3 2 3 2 8 2" xfId="32507"/>
    <cellStyle name="Normal 3 2 3 2 8 3" xfId="32506"/>
    <cellStyle name="Normal 3 2 3 2 9" xfId="32508"/>
    <cellStyle name="Normal 3 2 3 3" xfId="740"/>
    <cellStyle name="Normal 3 2 3 3 2" xfId="1431"/>
    <cellStyle name="Normal 3 2 3 3 2 2" xfId="2996"/>
    <cellStyle name="Normal 3 2 3 3 2 2 2" xfId="9281"/>
    <cellStyle name="Normal 3 2 3 3 2 2 2 2" xfId="32513"/>
    <cellStyle name="Normal 3 2 3 3 2 2 2 3" xfId="32512"/>
    <cellStyle name="Normal 3 2 3 3 2 2 3" xfId="6154"/>
    <cellStyle name="Normal 3 2 3 3 2 2 3 2" xfId="32515"/>
    <cellStyle name="Normal 3 2 3 3 2 2 3 3" xfId="32514"/>
    <cellStyle name="Normal 3 2 3 3 2 2 4" xfId="12464"/>
    <cellStyle name="Normal 3 2 3 3 2 2 4 2" xfId="32517"/>
    <cellStyle name="Normal 3 2 3 3 2 2 4 3" xfId="32516"/>
    <cellStyle name="Normal 3 2 3 3 2 2 5" xfId="32518"/>
    <cellStyle name="Normal 3 2 3 3 2 2 6" xfId="32511"/>
    <cellStyle name="Normal 3 2 3 3 2 3" xfId="7718"/>
    <cellStyle name="Normal 3 2 3 3 2 3 2" xfId="32520"/>
    <cellStyle name="Normal 3 2 3 3 2 3 3" xfId="32519"/>
    <cellStyle name="Normal 3 2 3 3 2 4" xfId="4591"/>
    <cellStyle name="Normal 3 2 3 3 2 4 2" xfId="32522"/>
    <cellStyle name="Normal 3 2 3 3 2 4 3" xfId="32521"/>
    <cellStyle name="Normal 3 2 3 3 2 5" xfId="10901"/>
    <cellStyle name="Normal 3 2 3 3 2 5 2" xfId="32524"/>
    <cellStyle name="Normal 3 2 3 3 2 5 3" xfId="32523"/>
    <cellStyle name="Normal 3 2 3 3 2 6" xfId="32525"/>
    <cellStyle name="Normal 3 2 3 3 2 7" xfId="32510"/>
    <cellStyle name="Normal 3 2 3 3 3" xfId="1633"/>
    <cellStyle name="Normal 3 2 3 3 3 2" xfId="3198"/>
    <cellStyle name="Normal 3 2 3 3 3 2 2" xfId="9483"/>
    <cellStyle name="Normal 3 2 3 3 3 2 2 2" xfId="32529"/>
    <cellStyle name="Normal 3 2 3 3 3 2 2 3" xfId="32528"/>
    <cellStyle name="Normal 3 2 3 3 3 2 3" xfId="6356"/>
    <cellStyle name="Normal 3 2 3 3 3 2 3 2" xfId="32531"/>
    <cellStyle name="Normal 3 2 3 3 3 2 3 3" xfId="32530"/>
    <cellStyle name="Normal 3 2 3 3 3 2 4" xfId="12666"/>
    <cellStyle name="Normal 3 2 3 3 3 2 4 2" xfId="32533"/>
    <cellStyle name="Normal 3 2 3 3 3 2 4 3" xfId="32532"/>
    <cellStyle name="Normal 3 2 3 3 3 2 5" xfId="32534"/>
    <cellStyle name="Normal 3 2 3 3 3 2 6" xfId="32527"/>
    <cellStyle name="Normal 3 2 3 3 3 3" xfId="7920"/>
    <cellStyle name="Normal 3 2 3 3 3 3 2" xfId="32536"/>
    <cellStyle name="Normal 3 2 3 3 3 3 3" xfId="32535"/>
    <cellStyle name="Normal 3 2 3 3 3 4" xfId="4793"/>
    <cellStyle name="Normal 3 2 3 3 3 4 2" xfId="32538"/>
    <cellStyle name="Normal 3 2 3 3 3 4 3" xfId="32537"/>
    <cellStyle name="Normal 3 2 3 3 3 5" xfId="11103"/>
    <cellStyle name="Normal 3 2 3 3 3 5 2" xfId="32540"/>
    <cellStyle name="Normal 3 2 3 3 3 5 3" xfId="32539"/>
    <cellStyle name="Normal 3 2 3 3 3 6" xfId="32541"/>
    <cellStyle name="Normal 3 2 3 3 3 7" xfId="32526"/>
    <cellStyle name="Normal 3 2 3 3 4" xfId="2316"/>
    <cellStyle name="Normal 3 2 3 3 4 2" xfId="8601"/>
    <cellStyle name="Normal 3 2 3 3 4 2 2" xfId="32544"/>
    <cellStyle name="Normal 3 2 3 3 4 2 3" xfId="32543"/>
    <cellStyle name="Normal 3 2 3 3 4 3" xfId="5474"/>
    <cellStyle name="Normal 3 2 3 3 4 3 2" xfId="32546"/>
    <cellStyle name="Normal 3 2 3 3 4 3 3" xfId="32545"/>
    <cellStyle name="Normal 3 2 3 3 4 4" xfId="11784"/>
    <cellStyle name="Normal 3 2 3 3 4 4 2" xfId="32548"/>
    <cellStyle name="Normal 3 2 3 3 4 4 3" xfId="32547"/>
    <cellStyle name="Normal 3 2 3 3 4 5" xfId="32549"/>
    <cellStyle name="Normal 3 2 3 3 4 6" xfId="32542"/>
    <cellStyle name="Normal 3 2 3 3 5" xfId="7038"/>
    <cellStyle name="Normal 3 2 3 3 5 2" xfId="32551"/>
    <cellStyle name="Normal 3 2 3 3 5 3" xfId="32550"/>
    <cellStyle name="Normal 3 2 3 3 6" xfId="3911"/>
    <cellStyle name="Normal 3 2 3 3 6 2" xfId="32553"/>
    <cellStyle name="Normal 3 2 3 3 6 3" xfId="32552"/>
    <cellStyle name="Normal 3 2 3 3 7" xfId="9701"/>
    <cellStyle name="Normal 3 2 3 3 7 2" xfId="32555"/>
    <cellStyle name="Normal 3 2 3 3 7 3" xfId="32554"/>
    <cellStyle name="Normal 3 2 3 3 8" xfId="32556"/>
    <cellStyle name="Normal 3 2 3 3 9" xfId="32509"/>
    <cellStyle name="Normal 3 2 3 4" xfId="737"/>
    <cellStyle name="Normal 3 2 3 4 2" xfId="1428"/>
    <cellStyle name="Normal 3 2 3 4 2 2" xfId="2993"/>
    <cellStyle name="Normal 3 2 3 4 2 2 2" xfId="9278"/>
    <cellStyle name="Normal 3 2 3 4 2 2 2 2" xfId="32561"/>
    <cellStyle name="Normal 3 2 3 4 2 2 2 3" xfId="32560"/>
    <cellStyle name="Normal 3 2 3 4 2 2 3" xfId="6151"/>
    <cellStyle name="Normal 3 2 3 4 2 2 3 2" xfId="32563"/>
    <cellStyle name="Normal 3 2 3 4 2 2 3 3" xfId="32562"/>
    <cellStyle name="Normal 3 2 3 4 2 2 4" xfId="12461"/>
    <cellStyle name="Normal 3 2 3 4 2 2 4 2" xfId="32565"/>
    <cellStyle name="Normal 3 2 3 4 2 2 4 3" xfId="32564"/>
    <cellStyle name="Normal 3 2 3 4 2 2 5" xfId="32566"/>
    <cellStyle name="Normal 3 2 3 4 2 2 6" xfId="32559"/>
    <cellStyle name="Normal 3 2 3 4 2 3" xfId="7715"/>
    <cellStyle name="Normal 3 2 3 4 2 3 2" xfId="32568"/>
    <cellStyle name="Normal 3 2 3 4 2 3 3" xfId="32567"/>
    <cellStyle name="Normal 3 2 3 4 2 4" xfId="4588"/>
    <cellStyle name="Normal 3 2 3 4 2 4 2" xfId="32570"/>
    <cellStyle name="Normal 3 2 3 4 2 4 3" xfId="32569"/>
    <cellStyle name="Normal 3 2 3 4 2 5" xfId="10898"/>
    <cellStyle name="Normal 3 2 3 4 2 5 2" xfId="32572"/>
    <cellStyle name="Normal 3 2 3 4 2 5 3" xfId="32571"/>
    <cellStyle name="Normal 3 2 3 4 2 6" xfId="32573"/>
    <cellStyle name="Normal 3 2 3 4 2 7" xfId="32558"/>
    <cellStyle name="Normal 3 2 3 4 3" xfId="2313"/>
    <cellStyle name="Normal 3 2 3 4 3 2" xfId="8598"/>
    <cellStyle name="Normal 3 2 3 4 3 2 2" xfId="32576"/>
    <cellStyle name="Normal 3 2 3 4 3 2 3" xfId="32575"/>
    <cellStyle name="Normal 3 2 3 4 3 3" xfId="5471"/>
    <cellStyle name="Normal 3 2 3 4 3 3 2" xfId="32578"/>
    <cellStyle name="Normal 3 2 3 4 3 3 3" xfId="32577"/>
    <cellStyle name="Normal 3 2 3 4 3 4" xfId="11781"/>
    <cellStyle name="Normal 3 2 3 4 3 4 2" xfId="32580"/>
    <cellStyle name="Normal 3 2 3 4 3 4 3" xfId="32579"/>
    <cellStyle name="Normal 3 2 3 4 3 5" xfId="32581"/>
    <cellStyle name="Normal 3 2 3 4 3 6" xfId="32574"/>
    <cellStyle name="Normal 3 2 3 4 4" xfId="7035"/>
    <cellStyle name="Normal 3 2 3 4 4 2" xfId="32583"/>
    <cellStyle name="Normal 3 2 3 4 4 3" xfId="32582"/>
    <cellStyle name="Normal 3 2 3 4 5" xfId="3908"/>
    <cellStyle name="Normal 3 2 3 4 5 2" xfId="32585"/>
    <cellStyle name="Normal 3 2 3 4 5 3" xfId="32584"/>
    <cellStyle name="Normal 3 2 3 4 6" xfId="10293"/>
    <cellStyle name="Normal 3 2 3 4 6 2" xfId="32587"/>
    <cellStyle name="Normal 3 2 3 4 6 3" xfId="32586"/>
    <cellStyle name="Normal 3 2 3 4 7" xfId="32588"/>
    <cellStyle name="Normal 3 2 3 4 8" xfId="32557"/>
    <cellStyle name="Normal 3 2 3 5" xfId="1023"/>
    <cellStyle name="Normal 3 2 3 5 2" xfId="2589"/>
    <cellStyle name="Normal 3 2 3 5 2 2" xfId="8874"/>
    <cellStyle name="Normal 3 2 3 5 2 2 2" xfId="32592"/>
    <cellStyle name="Normal 3 2 3 5 2 2 3" xfId="32591"/>
    <cellStyle name="Normal 3 2 3 5 2 3" xfId="5747"/>
    <cellStyle name="Normal 3 2 3 5 2 3 2" xfId="32594"/>
    <cellStyle name="Normal 3 2 3 5 2 3 3" xfId="32593"/>
    <cellStyle name="Normal 3 2 3 5 2 4" xfId="12057"/>
    <cellStyle name="Normal 3 2 3 5 2 4 2" xfId="32596"/>
    <cellStyle name="Normal 3 2 3 5 2 4 3" xfId="32595"/>
    <cellStyle name="Normal 3 2 3 5 2 5" xfId="32597"/>
    <cellStyle name="Normal 3 2 3 5 2 6" xfId="32590"/>
    <cellStyle name="Normal 3 2 3 5 3" xfId="7311"/>
    <cellStyle name="Normal 3 2 3 5 3 2" xfId="32599"/>
    <cellStyle name="Normal 3 2 3 5 3 3" xfId="32598"/>
    <cellStyle name="Normal 3 2 3 5 4" xfId="4184"/>
    <cellStyle name="Normal 3 2 3 5 4 2" xfId="32601"/>
    <cellStyle name="Normal 3 2 3 5 4 3" xfId="32600"/>
    <cellStyle name="Normal 3 2 3 5 5" xfId="10494"/>
    <cellStyle name="Normal 3 2 3 5 5 2" xfId="32603"/>
    <cellStyle name="Normal 3 2 3 5 5 3" xfId="32602"/>
    <cellStyle name="Normal 3 2 3 5 6" xfId="32604"/>
    <cellStyle name="Normal 3 2 3 5 7" xfId="32589"/>
    <cellStyle name="Normal 3 2 3 6" xfId="1630"/>
    <cellStyle name="Normal 3 2 3 6 2" xfId="3195"/>
    <cellStyle name="Normal 3 2 3 6 2 2" xfId="9480"/>
    <cellStyle name="Normal 3 2 3 6 2 2 2" xfId="32608"/>
    <cellStyle name="Normal 3 2 3 6 2 2 3" xfId="32607"/>
    <cellStyle name="Normal 3 2 3 6 2 3" xfId="6353"/>
    <cellStyle name="Normal 3 2 3 6 2 3 2" xfId="32610"/>
    <cellStyle name="Normal 3 2 3 6 2 3 3" xfId="32609"/>
    <cellStyle name="Normal 3 2 3 6 2 4" xfId="12663"/>
    <cellStyle name="Normal 3 2 3 6 2 4 2" xfId="32612"/>
    <cellStyle name="Normal 3 2 3 6 2 4 3" xfId="32611"/>
    <cellStyle name="Normal 3 2 3 6 2 5" xfId="32613"/>
    <cellStyle name="Normal 3 2 3 6 2 6" xfId="32606"/>
    <cellStyle name="Normal 3 2 3 6 3" xfId="7917"/>
    <cellStyle name="Normal 3 2 3 6 3 2" xfId="32615"/>
    <cellStyle name="Normal 3 2 3 6 3 3" xfId="32614"/>
    <cellStyle name="Normal 3 2 3 6 4" xfId="4790"/>
    <cellStyle name="Normal 3 2 3 6 4 2" xfId="32617"/>
    <cellStyle name="Normal 3 2 3 6 4 3" xfId="32616"/>
    <cellStyle name="Normal 3 2 3 6 5" xfId="11100"/>
    <cellStyle name="Normal 3 2 3 6 5 2" xfId="32619"/>
    <cellStyle name="Normal 3 2 3 6 5 3" xfId="32618"/>
    <cellStyle name="Normal 3 2 3 6 6" xfId="32620"/>
    <cellStyle name="Normal 3 2 3 6 7" xfId="32605"/>
    <cellStyle name="Normal 3 2 3 7" xfId="1909"/>
    <cellStyle name="Normal 3 2 3 7 2" xfId="8194"/>
    <cellStyle name="Normal 3 2 3 7 2 2" xfId="32623"/>
    <cellStyle name="Normal 3 2 3 7 2 3" xfId="32622"/>
    <cellStyle name="Normal 3 2 3 7 3" xfId="5067"/>
    <cellStyle name="Normal 3 2 3 7 3 2" xfId="32625"/>
    <cellStyle name="Normal 3 2 3 7 3 3" xfId="32624"/>
    <cellStyle name="Normal 3 2 3 7 4" xfId="11377"/>
    <cellStyle name="Normal 3 2 3 7 4 2" xfId="32627"/>
    <cellStyle name="Normal 3 2 3 7 4 3" xfId="32626"/>
    <cellStyle name="Normal 3 2 3 7 5" xfId="32628"/>
    <cellStyle name="Normal 3 2 3 7 6" xfId="32621"/>
    <cellStyle name="Normal 3 2 3 8" xfId="6631"/>
    <cellStyle name="Normal 3 2 3 8 2" xfId="32630"/>
    <cellStyle name="Normal 3 2 3 8 3" xfId="32629"/>
    <cellStyle name="Normal 3 2 3 9" xfId="3504"/>
    <cellStyle name="Normal 3 2 3 9 2" xfId="32632"/>
    <cellStyle name="Normal 3 2 3 9 3" xfId="32631"/>
    <cellStyle name="Normal 3 2 4" xfId="741"/>
    <cellStyle name="Normal 3 2 4 10" xfId="32633"/>
    <cellStyle name="Normal 3 2 4 2" xfId="742"/>
    <cellStyle name="Normal 3 2 4 2 2" xfId="1433"/>
    <cellStyle name="Normal 3 2 4 2 2 2" xfId="2998"/>
    <cellStyle name="Normal 3 2 4 2 2 2 2" xfId="9283"/>
    <cellStyle name="Normal 3 2 4 2 2 2 2 2" xfId="32638"/>
    <cellStyle name="Normal 3 2 4 2 2 2 2 3" xfId="32637"/>
    <cellStyle name="Normal 3 2 4 2 2 2 3" xfId="6156"/>
    <cellStyle name="Normal 3 2 4 2 2 2 3 2" xfId="32640"/>
    <cellStyle name="Normal 3 2 4 2 2 2 3 3" xfId="32639"/>
    <cellStyle name="Normal 3 2 4 2 2 2 4" xfId="12466"/>
    <cellStyle name="Normal 3 2 4 2 2 2 4 2" xfId="32642"/>
    <cellStyle name="Normal 3 2 4 2 2 2 4 3" xfId="32641"/>
    <cellStyle name="Normal 3 2 4 2 2 2 5" xfId="32643"/>
    <cellStyle name="Normal 3 2 4 2 2 2 6" xfId="32636"/>
    <cellStyle name="Normal 3 2 4 2 2 3" xfId="7720"/>
    <cellStyle name="Normal 3 2 4 2 2 3 2" xfId="32645"/>
    <cellStyle name="Normal 3 2 4 2 2 3 3" xfId="32644"/>
    <cellStyle name="Normal 3 2 4 2 2 4" xfId="4593"/>
    <cellStyle name="Normal 3 2 4 2 2 4 2" xfId="32647"/>
    <cellStyle name="Normal 3 2 4 2 2 4 3" xfId="32646"/>
    <cellStyle name="Normal 3 2 4 2 2 5" xfId="10903"/>
    <cellStyle name="Normal 3 2 4 2 2 5 2" xfId="32649"/>
    <cellStyle name="Normal 3 2 4 2 2 5 3" xfId="32648"/>
    <cellStyle name="Normal 3 2 4 2 2 6" xfId="32650"/>
    <cellStyle name="Normal 3 2 4 2 2 7" xfId="32635"/>
    <cellStyle name="Normal 3 2 4 2 3" xfId="1635"/>
    <cellStyle name="Normal 3 2 4 2 3 2" xfId="3200"/>
    <cellStyle name="Normal 3 2 4 2 3 2 2" xfId="9485"/>
    <cellStyle name="Normal 3 2 4 2 3 2 2 2" xfId="32654"/>
    <cellStyle name="Normal 3 2 4 2 3 2 2 3" xfId="32653"/>
    <cellStyle name="Normal 3 2 4 2 3 2 3" xfId="6358"/>
    <cellStyle name="Normal 3 2 4 2 3 2 3 2" xfId="32656"/>
    <cellStyle name="Normal 3 2 4 2 3 2 3 3" xfId="32655"/>
    <cellStyle name="Normal 3 2 4 2 3 2 4" xfId="12668"/>
    <cellStyle name="Normal 3 2 4 2 3 2 4 2" xfId="32658"/>
    <cellStyle name="Normal 3 2 4 2 3 2 4 3" xfId="32657"/>
    <cellStyle name="Normal 3 2 4 2 3 2 5" xfId="32659"/>
    <cellStyle name="Normal 3 2 4 2 3 2 6" xfId="32652"/>
    <cellStyle name="Normal 3 2 4 2 3 3" xfId="7922"/>
    <cellStyle name="Normal 3 2 4 2 3 3 2" xfId="32661"/>
    <cellStyle name="Normal 3 2 4 2 3 3 3" xfId="32660"/>
    <cellStyle name="Normal 3 2 4 2 3 4" xfId="4795"/>
    <cellStyle name="Normal 3 2 4 2 3 4 2" xfId="32663"/>
    <cellStyle name="Normal 3 2 4 2 3 4 3" xfId="32662"/>
    <cellStyle name="Normal 3 2 4 2 3 5" xfId="11105"/>
    <cellStyle name="Normal 3 2 4 2 3 5 2" xfId="32665"/>
    <cellStyle name="Normal 3 2 4 2 3 5 3" xfId="32664"/>
    <cellStyle name="Normal 3 2 4 2 3 6" xfId="32666"/>
    <cellStyle name="Normal 3 2 4 2 3 7" xfId="32651"/>
    <cellStyle name="Normal 3 2 4 2 4" xfId="2318"/>
    <cellStyle name="Normal 3 2 4 2 4 2" xfId="8603"/>
    <cellStyle name="Normal 3 2 4 2 4 2 2" xfId="32669"/>
    <cellStyle name="Normal 3 2 4 2 4 2 3" xfId="32668"/>
    <cellStyle name="Normal 3 2 4 2 4 3" xfId="5476"/>
    <cellStyle name="Normal 3 2 4 2 4 3 2" xfId="32671"/>
    <cellStyle name="Normal 3 2 4 2 4 3 3" xfId="32670"/>
    <cellStyle name="Normal 3 2 4 2 4 4" xfId="11786"/>
    <cellStyle name="Normal 3 2 4 2 4 4 2" xfId="32673"/>
    <cellStyle name="Normal 3 2 4 2 4 4 3" xfId="32672"/>
    <cellStyle name="Normal 3 2 4 2 4 5" xfId="32674"/>
    <cellStyle name="Normal 3 2 4 2 4 6" xfId="32667"/>
    <cellStyle name="Normal 3 2 4 2 5" xfId="7040"/>
    <cellStyle name="Normal 3 2 4 2 5 2" xfId="32676"/>
    <cellStyle name="Normal 3 2 4 2 5 3" xfId="32675"/>
    <cellStyle name="Normal 3 2 4 2 6" xfId="3913"/>
    <cellStyle name="Normal 3 2 4 2 6 2" xfId="32678"/>
    <cellStyle name="Normal 3 2 4 2 6 3" xfId="32677"/>
    <cellStyle name="Normal 3 2 4 2 7" xfId="9703"/>
    <cellStyle name="Normal 3 2 4 2 7 2" xfId="32680"/>
    <cellStyle name="Normal 3 2 4 2 7 3" xfId="32679"/>
    <cellStyle name="Normal 3 2 4 2 8" xfId="32681"/>
    <cellStyle name="Normal 3 2 4 2 9" xfId="32634"/>
    <cellStyle name="Normal 3 2 4 3" xfId="1432"/>
    <cellStyle name="Normal 3 2 4 3 2" xfId="2997"/>
    <cellStyle name="Normal 3 2 4 3 2 2" xfId="9282"/>
    <cellStyle name="Normal 3 2 4 3 2 2 2" xfId="32685"/>
    <cellStyle name="Normal 3 2 4 3 2 2 3" xfId="32684"/>
    <cellStyle name="Normal 3 2 4 3 2 3" xfId="6155"/>
    <cellStyle name="Normal 3 2 4 3 2 3 2" xfId="32687"/>
    <cellStyle name="Normal 3 2 4 3 2 3 3" xfId="32686"/>
    <cellStyle name="Normal 3 2 4 3 2 4" xfId="12465"/>
    <cellStyle name="Normal 3 2 4 3 2 4 2" xfId="32689"/>
    <cellStyle name="Normal 3 2 4 3 2 4 3" xfId="32688"/>
    <cellStyle name="Normal 3 2 4 3 2 5" xfId="32690"/>
    <cellStyle name="Normal 3 2 4 3 2 6" xfId="32683"/>
    <cellStyle name="Normal 3 2 4 3 3" xfId="7719"/>
    <cellStyle name="Normal 3 2 4 3 3 2" xfId="32692"/>
    <cellStyle name="Normal 3 2 4 3 3 3" xfId="32691"/>
    <cellStyle name="Normal 3 2 4 3 4" xfId="4592"/>
    <cellStyle name="Normal 3 2 4 3 4 2" xfId="32694"/>
    <cellStyle name="Normal 3 2 4 3 4 3" xfId="32693"/>
    <cellStyle name="Normal 3 2 4 3 5" xfId="10902"/>
    <cellStyle name="Normal 3 2 4 3 5 2" xfId="32696"/>
    <cellStyle name="Normal 3 2 4 3 5 3" xfId="32695"/>
    <cellStyle name="Normal 3 2 4 3 6" xfId="32697"/>
    <cellStyle name="Normal 3 2 4 3 7" xfId="32682"/>
    <cellStyle name="Normal 3 2 4 4" xfId="1634"/>
    <cellStyle name="Normal 3 2 4 4 2" xfId="3199"/>
    <cellStyle name="Normal 3 2 4 4 2 2" xfId="9484"/>
    <cellStyle name="Normal 3 2 4 4 2 2 2" xfId="32701"/>
    <cellStyle name="Normal 3 2 4 4 2 2 3" xfId="32700"/>
    <cellStyle name="Normal 3 2 4 4 2 3" xfId="6357"/>
    <cellStyle name="Normal 3 2 4 4 2 3 2" xfId="32703"/>
    <cellStyle name="Normal 3 2 4 4 2 3 3" xfId="32702"/>
    <cellStyle name="Normal 3 2 4 4 2 4" xfId="12667"/>
    <cellStyle name="Normal 3 2 4 4 2 4 2" xfId="32705"/>
    <cellStyle name="Normal 3 2 4 4 2 4 3" xfId="32704"/>
    <cellStyle name="Normal 3 2 4 4 2 5" xfId="32706"/>
    <cellStyle name="Normal 3 2 4 4 2 6" xfId="32699"/>
    <cellStyle name="Normal 3 2 4 4 3" xfId="7921"/>
    <cellStyle name="Normal 3 2 4 4 3 2" xfId="32708"/>
    <cellStyle name="Normal 3 2 4 4 3 3" xfId="32707"/>
    <cellStyle name="Normal 3 2 4 4 4" xfId="4794"/>
    <cellStyle name="Normal 3 2 4 4 4 2" xfId="32710"/>
    <cellStyle name="Normal 3 2 4 4 4 3" xfId="32709"/>
    <cellStyle name="Normal 3 2 4 4 5" xfId="11104"/>
    <cellStyle name="Normal 3 2 4 4 5 2" xfId="32712"/>
    <cellStyle name="Normal 3 2 4 4 5 3" xfId="32711"/>
    <cellStyle name="Normal 3 2 4 4 6" xfId="32713"/>
    <cellStyle name="Normal 3 2 4 4 7" xfId="32698"/>
    <cellStyle name="Normal 3 2 4 5" xfId="2317"/>
    <cellStyle name="Normal 3 2 4 5 2" xfId="8602"/>
    <cellStyle name="Normal 3 2 4 5 2 2" xfId="32716"/>
    <cellStyle name="Normal 3 2 4 5 2 3" xfId="32715"/>
    <cellStyle name="Normal 3 2 4 5 3" xfId="5475"/>
    <cellStyle name="Normal 3 2 4 5 3 2" xfId="32718"/>
    <cellStyle name="Normal 3 2 4 5 3 3" xfId="32717"/>
    <cellStyle name="Normal 3 2 4 5 4" xfId="11785"/>
    <cellStyle name="Normal 3 2 4 5 4 2" xfId="32720"/>
    <cellStyle name="Normal 3 2 4 5 4 3" xfId="32719"/>
    <cellStyle name="Normal 3 2 4 5 5" xfId="32721"/>
    <cellStyle name="Normal 3 2 4 5 6" xfId="32714"/>
    <cellStyle name="Normal 3 2 4 6" xfId="7039"/>
    <cellStyle name="Normal 3 2 4 6 2" xfId="32723"/>
    <cellStyle name="Normal 3 2 4 6 3" xfId="32722"/>
    <cellStyle name="Normal 3 2 4 7" xfId="3912"/>
    <cellStyle name="Normal 3 2 4 7 2" xfId="32725"/>
    <cellStyle name="Normal 3 2 4 7 3" xfId="32724"/>
    <cellStyle name="Normal 3 2 4 8" xfId="9702"/>
    <cellStyle name="Normal 3 2 4 8 2" xfId="32727"/>
    <cellStyle name="Normal 3 2 4 8 3" xfId="32726"/>
    <cellStyle name="Normal 3 2 4 9" xfId="32728"/>
    <cellStyle name="Normal 3 2 5" xfId="743"/>
    <cellStyle name="Normal 3 2 5 10" xfId="32729"/>
    <cellStyle name="Normal 3 2 5 2" xfId="744"/>
    <cellStyle name="Normal 3 2 5 2 2" xfId="1435"/>
    <cellStyle name="Normal 3 2 5 2 2 2" xfId="3000"/>
    <cellStyle name="Normal 3 2 5 2 2 2 2" xfId="9285"/>
    <cellStyle name="Normal 3 2 5 2 2 2 2 2" xfId="32734"/>
    <cellStyle name="Normal 3 2 5 2 2 2 2 3" xfId="32733"/>
    <cellStyle name="Normal 3 2 5 2 2 2 3" xfId="6158"/>
    <cellStyle name="Normal 3 2 5 2 2 2 3 2" xfId="32736"/>
    <cellStyle name="Normal 3 2 5 2 2 2 3 3" xfId="32735"/>
    <cellStyle name="Normal 3 2 5 2 2 2 4" xfId="12468"/>
    <cellStyle name="Normal 3 2 5 2 2 2 4 2" xfId="32738"/>
    <cellStyle name="Normal 3 2 5 2 2 2 4 3" xfId="32737"/>
    <cellStyle name="Normal 3 2 5 2 2 2 5" xfId="32739"/>
    <cellStyle name="Normal 3 2 5 2 2 2 6" xfId="32732"/>
    <cellStyle name="Normal 3 2 5 2 2 3" xfId="7722"/>
    <cellStyle name="Normal 3 2 5 2 2 3 2" xfId="32741"/>
    <cellStyle name="Normal 3 2 5 2 2 3 3" xfId="32740"/>
    <cellStyle name="Normal 3 2 5 2 2 4" xfId="4595"/>
    <cellStyle name="Normal 3 2 5 2 2 4 2" xfId="32743"/>
    <cellStyle name="Normal 3 2 5 2 2 4 3" xfId="32742"/>
    <cellStyle name="Normal 3 2 5 2 2 5" xfId="10905"/>
    <cellStyle name="Normal 3 2 5 2 2 5 2" xfId="32745"/>
    <cellStyle name="Normal 3 2 5 2 2 5 3" xfId="32744"/>
    <cellStyle name="Normal 3 2 5 2 2 6" xfId="32746"/>
    <cellStyle name="Normal 3 2 5 2 2 7" xfId="32731"/>
    <cellStyle name="Normal 3 2 5 2 3" xfId="1637"/>
    <cellStyle name="Normal 3 2 5 2 3 2" xfId="3202"/>
    <cellStyle name="Normal 3 2 5 2 3 2 2" xfId="9487"/>
    <cellStyle name="Normal 3 2 5 2 3 2 2 2" xfId="32750"/>
    <cellStyle name="Normal 3 2 5 2 3 2 2 3" xfId="32749"/>
    <cellStyle name="Normal 3 2 5 2 3 2 3" xfId="6360"/>
    <cellStyle name="Normal 3 2 5 2 3 2 3 2" xfId="32752"/>
    <cellStyle name="Normal 3 2 5 2 3 2 3 3" xfId="32751"/>
    <cellStyle name="Normal 3 2 5 2 3 2 4" xfId="12670"/>
    <cellStyle name="Normal 3 2 5 2 3 2 4 2" xfId="32754"/>
    <cellStyle name="Normal 3 2 5 2 3 2 4 3" xfId="32753"/>
    <cellStyle name="Normal 3 2 5 2 3 2 5" xfId="32755"/>
    <cellStyle name="Normal 3 2 5 2 3 2 6" xfId="32748"/>
    <cellStyle name="Normal 3 2 5 2 3 3" xfId="7924"/>
    <cellStyle name="Normal 3 2 5 2 3 3 2" xfId="32757"/>
    <cellStyle name="Normal 3 2 5 2 3 3 3" xfId="32756"/>
    <cellStyle name="Normal 3 2 5 2 3 4" xfId="4797"/>
    <cellStyle name="Normal 3 2 5 2 3 4 2" xfId="32759"/>
    <cellStyle name="Normal 3 2 5 2 3 4 3" xfId="32758"/>
    <cellStyle name="Normal 3 2 5 2 3 5" xfId="11107"/>
    <cellStyle name="Normal 3 2 5 2 3 5 2" xfId="32761"/>
    <cellStyle name="Normal 3 2 5 2 3 5 3" xfId="32760"/>
    <cellStyle name="Normal 3 2 5 2 3 6" xfId="32762"/>
    <cellStyle name="Normal 3 2 5 2 3 7" xfId="32747"/>
    <cellStyle name="Normal 3 2 5 2 4" xfId="2320"/>
    <cellStyle name="Normal 3 2 5 2 4 2" xfId="8605"/>
    <cellStyle name="Normal 3 2 5 2 4 2 2" xfId="32765"/>
    <cellStyle name="Normal 3 2 5 2 4 2 3" xfId="32764"/>
    <cellStyle name="Normal 3 2 5 2 4 3" xfId="5478"/>
    <cellStyle name="Normal 3 2 5 2 4 3 2" xfId="32767"/>
    <cellStyle name="Normal 3 2 5 2 4 3 3" xfId="32766"/>
    <cellStyle name="Normal 3 2 5 2 4 4" xfId="11788"/>
    <cellStyle name="Normal 3 2 5 2 4 4 2" xfId="32769"/>
    <cellStyle name="Normal 3 2 5 2 4 4 3" xfId="32768"/>
    <cellStyle name="Normal 3 2 5 2 4 5" xfId="32770"/>
    <cellStyle name="Normal 3 2 5 2 4 6" xfId="32763"/>
    <cellStyle name="Normal 3 2 5 2 5" xfId="7042"/>
    <cellStyle name="Normal 3 2 5 2 5 2" xfId="32772"/>
    <cellStyle name="Normal 3 2 5 2 5 3" xfId="32771"/>
    <cellStyle name="Normal 3 2 5 2 6" xfId="3915"/>
    <cellStyle name="Normal 3 2 5 2 6 2" xfId="32774"/>
    <cellStyle name="Normal 3 2 5 2 6 3" xfId="32773"/>
    <cellStyle name="Normal 3 2 5 2 7" xfId="9705"/>
    <cellStyle name="Normal 3 2 5 2 7 2" xfId="32776"/>
    <cellStyle name="Normal 3 2 5 2 7 3" xfId="32775"/>
    <cellStyle name="Normal 3 2 5 2 8" xfId="32777"/>
    <cellStyle name="Normal 3 2 5 2 9" xfId="32730"/>
    <cellStyle name="Normal 3 2 5 3" xfId="1434"/>
    <cellStyle name="Normal 3 2 5 3 2" xfId="2999"/>
    <cellStyle name="Normal 3 2 5 3 2 2" xfId="9284"/>
    <cellStyle name="Normal 3 2 5 3 2 2 2" xfId="32781"/>
    <cellStyle name="Normal 3 2 5 3 2 2 3" xfId="32780"/>
    <cellStyle name="Normal 3 2 5 3 2 3" xfId="6157"/>
    <cellStyle name="Normal 3 2 5 3 2 3 2" xfId="32783"/>
    <cellStyle name="Normal 3 2 5 3 2 3 3" xfId="32782"/>
    <cellStyle name="Normal 3 2 5 3 2 4" xfId="12467"/>
    <cellStyle name="Normal 3 2 5 3 2 4 2" xfId="32785"/>
    <cellStyle name="Normal 3 2 5 3 2 4 3" xfId="32784"/>
    <cellStyle name="Normal 3 2 5 3 2 5" xfId="32786"/>
    <cellStyle name="Normal 3 2 5 3 2 6" xfId="32779"/>
    <cellStyle name="Normal 3 2 5 3 3" xfId="7721"/>
    <cellStyle name="Normal 3 2 5 3 3 2" xfId="32788"/>
    <cellStyle name="Normal 3 2 5 3 3 3" xfId="32787"/>
    <cellStyle name="Normal 3 2 5 3 4" xfId="4594"/>
    <cellStyle name="Normal 3 2 5 3 4 2" xfId="32790"/>
    <cellStyle name="Normal 3 2 5 3 4 3" xfId="32789"/>
    <cellStyle name="Normal 3 2 5 3 5" xfId="10904"/>
    <cellStyle name="Normal 3 2 5 3 5 2" xfId="32792"/>
    <cellStyle name="Normal 3 2 5 3 5 3" xfId="32791"/>
    <cellStyle name="Normal 3 2 5 3 6" xfId="32793"/>
    <cellStyle name="Normal 3 2 5 3 7" xfId="32778"/>
    <cellStyle name="Normal 3 2 5 4" xfId="1636"/>
    <cellStyle name="Normal 3 2 5 4 2" xfId="3201"/>
    <cellStyle name="Normal 3 2 5 4 2 2" xfId="9486"/>
    <cellStyle name="Normal 3 2 5 4 2 2 2" xfId="32797"/>
    <cellStyle name="Normal 3 2 5 4 2 2 3" xfId="32796"/>
    <cellStyle name="Normal 3 2 5 4 2 3" xfId="6359"/>
    <cellStyle name="Normal 3 2 5 4 2 3 2" xfId="32799"/>
    <cellStyle name="Normal 3 2 5 4 2 3 3" xfId="32798"/>
    <cellStyle name="Normal 3 2 5 4 2 4" xfId="12669"/>
    <cellStyle name="Normal 3 2 5 4 2 4 2" xfId="32801"/>
    <cellStyle name="Normal 3 2 5 4 2 4 3" xfId="32800"/>
    <cellStyle name="Normal 3 2 5 4 2 5" xfId="32802"/>
    <cellStyle name="Normal 3 2 5 4 2 6" xfId="32795"/>
    <cellStyle name="Normal 3 2 5 4 3" xfId="7923"/>
    <cellStyle name="Normal 3 2 5 4 3 2" xfId="32804"/>
    <cellStyle name="Normal 3 2 5 4 3 3" xfId="32803"/>
    <cellStyle name="Normal 3 2 5 4 4" xfId="4796"/>
    <cellStyle name="Normal 3 2 5 4 4 2" xfId="32806"/>
    <cellStyle name="Normal 3 2 5 4 4 3" xfId="32805"/>
    <cellStyle name="Normal 3 2 5 4 5" xfId="11106"/>
    <cellStyle name="Normal 3 2 5 4 5 2" xfId="32808"/>
    <cellStyle name="Normal 3 2 5 4 5 3" xfId="32807"/>
    <cellStyle name="Normal 3 2 5 4 6" xfId="32809"/>
    <cellStyle name="Normal 3 2 5 4 7" xfId="32794"/>
    <cellStyle name="Normal 3 2 5 5" xfId="2319"/>
    <cellStyle name="Normal 3 2 5 5 2" xfId="8604"/>
    <cellStyle name="Normal 3 2 5 5 2 2" xfId="32812"/>
    <cellStyle name="Normal 3 2 5 5 2 3" xfId="32811"/>
    <cellStyle name="Normal 3 2 5 5 3" xfId="5477"/>
    <cellStyle name="Normal 3 2 5 5 3 2" xfId="32814"/>
    <cellStyle name="Normal 3 2 5 5 3 3" xfId="32813"/>
    <cellStyle name="Normal 3 2 5 5 4" xfId="11787"/>
    <cellStyle name="Normal 3 2 5 5 4 2" xfId="32816"/>
    <cellStyle name="Normal 3 2 5 5 4 3" xfId="32815"/>
    <cellStyle name="Normal 3 2 5 5 5" xfId="32817"/>
    <cellStyle name="Normal 3 2 5 5 6" xfId="32810"/>
    <cellStyle name="Normal 3 2 5 6" xfId="7041"/>
    <cellStyle name="Normal 3 2 5 6 2" xfId="32819"/>
    <cellStyle name="Normal 3 2 5 6 3" xfId="32818"/>
    <cellStyle name="Normal 3 2 5 7" xfId="3914"/>
    <cellStyle name="Normal 3 2 5 7 2" xfId="32821"/>
    <cellStyle name="Normal 3 2 5 7 3" xfId="32820"/>
    <cellStyle name="Normal 3 2 5 8" xfId="9704"/>
    <cellStyle name="Normal 3 2 5 8 2" xfId="32823"/>
    <cellStyle name="Normal 3 2 5 8 3" xfId="32822"/>
    <cellStyle name="Normal 3 2 5 9" xfId="32824"/>
    <cellStyle name="Normal 3 2 6" xfId="745"/>
    <cellStyle name="Normal 3 2 6 2" xfId="1436"/>
    <cellStyle name="Normal 3 2 6 2 2" xfId="3001"/>
    <cellStyle name="Normal 3 2 6 2 2 2" xfId="9286"/>
    <cellStyle name="Normal 3 2 6 2 2 2 2" xfId="32829"/>
    <cellStyle name="Normal 3 2 6 2 2 2 3" xfId="32828"/>
    <cellStyle name="Normal 3 2 6 2 2 3" xfId="6159"/>
    <cellStyle name="Normal 3 2 6 2 2 3 2" xfId="32831"/>
    <cellStyle name="Normal 3 2 6 2 2 3 3" xfId="32830"/>
    <cellStyle name="Normal 3 2 6 2 2 4" xfId="12469"/>
    <cellStyle name="Normal 3 2 6 2 2 4 2" xfId="32833"/>
    <cellStyle name="Normal 3 2 6 2 2 4 3" xfId="32832"/>
    <cellStyle name="Normal 3 2 6 2 2 5" xfId="32834"/>
    <cellStyle name="Normal 3 2 6 2 2 6" xfId="32827"/>
    <cellStyle name="Normal 3 2 6 2 3" xfId="7723"/>
    <cellStyle name="Normal 3 2 6 2 3 2" xfId="32836"/>
    <cellStyle name="Normal 3 2 6 2 3 3" xfId="32835"/>
    <cellStyle name="Normal 3 2 6 2 4" xfId="4596"/>
    <cellStyle name="Normal 3 2 6 2 4 2" xfId="32838"/>
    <cellStyle name="Normal 3 2 6 2 4 3" xfId="32837"/>
    <cellStyle name="Normal 3 2 6 2 5" xfId="10906"/>
    <cellStyle name="Normal 3 2 6 2 5 2" xfId="32840"/>
    <cellStyle name="Normal 3 2 6 2 5 3" xfId="32839"/>
    <cellStyle name="Normal 3 2 6 2 6" xfId="32841"/>
    <cellStyle name="Normal 3 2 6 2 7" xfId="32826"/>
    <cellStyle name="Normal 3 2 6 3" xfId="1638"/>
    <cellStyle name="Normal 3 2 6 3 2" xfId="3203"/>
    <cellStyle name="Normal 3 2 6 3 2 2" xfId="9488"/>
    <cellStyle name="Normal 3 2 6 3 2 2 2" xfId="32845"/>
    <cellStyle name="Normal 3 2 6 3 2 2 3" xfId="32844"/>
    <cellStyle name="Normal 3 2 6 3 2 3" xfId="6361"/>
    <cellStyle name="Normal 3 2 6 3 2 3 2" xfId="32847"/>
    <cellStyle name="Normal 3 2 6 3 2 3 3" xfId="32846"/>
    <cellStyle name="Normal 3 2 6 3 2 4" xfId="12671"/>
    <cellStyle name="Normal 3 2 6 3 2 4 2" xfId="32849"/>
    <cellStyle name="Normal 3 2 6 3 2 4 3" xfId="32848"/>
    <cellStyle name="Normal 3 2 6 3 2 5" xfId="32850"/>
    <cellStyle name="Normal 3 2 6 3 2 6" xfId="32843"/>
    <cellStyle name="Normal 3 2 6 3 3" xfId="7925"/>
    <cellStyle name="Normal 3 2 6 3 3 2" xfId="32852"/>
    <cellStyle name="Normal 3 2 6 3 3 3" xfId="32851"/>
    <cellStyle name="Normal 3 2 6 3 4" xfId="4798"/>
    <cellStyle name="Normal 3 2 6 3 4 2" xfId="32854"/>
    <cellStyle name="Normal 3 2 6 3 4 3" xfId="32853"/>
    <cellStyle name="Normal 3 2 6 3 5" xfId="11108"/>
    <cellStyle name="Normal 3 2 6 3 5 2" xfId="32856"/>
    <cellStyle name="Normal 3 2 6 3 5 3" xfId="32855"/>
    <cellStyle name="Normal 3 2 6 3 6" xfId="32857"/>
    <cellStyle name="Normal 3 2 6 3 7" xfId="32842"/>
    <cellStyle name="Normal 3 2 6 4" xfId="2321"/>
    <cellStyle name="Normal 3 2 6 4 2" xfId="8606"/>
    <cellStyle name="Normal 3 2 6 4 2 2" xfId="32860"/>
    <cellStyle name="Normal 3 2 6 4 2 3" xfId="32859"/>
    <cellStyle name="Normal 3 2 6 4 3" xfId="5479"/>
    <cellStyle name="Normal 3 2 6 4 3 2" xfId="32862"/>
    <cellStyle name="Normal 3 2 6 4 3 3" xfId="32861"/>
    <cellStyle name="Normal 3 2 6 4 4" xfId="11789"/>
    <cellStyle name="Normal 3 2 6 4 4 2" xfId="32864"/>
    <cellStyle name="Normal 3 2 6 4 4 3" xfId="32863"/>
    <cellStyle name="Normal 3 2 6 4 5" xfId="32865"/>
    <cellStyle name="Normal 3 2 6 4 6" xfId="32858"/>
    <cellStyle name="Normal 3 2 6 5" xfId="7043"/>
    <cellStyle name="Normal 3 2 6 5 2" xfId="32867"/>
    <cellStyle name="Normal 3 2 6 5 3" xfId="32866"/>
    <cellStyle name="Normal 3 2 6 6" xfId="3916"/>
    <cellStyle name="Normal 3 2 6 6 2" xfId="32869"/>
    <cellStyle name="Normal 3 2 6 6 3" xfId="32868"/>
    <cellStyle name="Normal 3 2 6 7" xfId="9706"/>
    <cellStyle name="Normal 3 2 6 7 2" xfId="32871"/>
    <cellStyle name="Normal 3 2 6 7 3" xfId="32870"/>
    <cellStyle name="Normal 3 2 6 8" xfId="32872"/>
    <cellStyle name="Normal 3 2 6 9" xfId="32825"/>
    <cellStyle name="Normal 3 2 7" xfId="732"/>
    <cellStyle name="Normal 3 2 7 2" xfId="1423"/>
    <cellStyle name="Normal 3 2 7 2 2" xfId="2988"/>
    <cellStyle name="Normal 3 2 7 2 2 2" xfId="9273"/>
    <cellStyle name="Normal 3 2 7 2 2 2 2" xfId="32877"/>
    <cellStyle name="Normal 3 2 7 2 2 2 3" xfId="32876"/>
    <cellStyle name="Normal 3 2 7 2 2 3" xfId="6146"/>
    <cellStyle name="Normal 3 2 7 2 2 3 2" xfId="32879"/>
    <cellStyle name="Normal 3 2 7 2 2 3 3" xfId="32878"/>
    <cellStyle name="Normal 3 2 7 2 2 4" xfId="12456"/>
    <cellStyle name="Normal 3 2 7 2 2 4 2" xfId="32881"/>
    <cellStyle name="Normal 3 2 7 2 2 4 3" xfId="32880"/>
    <cellStyle name="Normal 3 2 7 2 2 5" xfId="32882"/>
    <cellStyle name="Normal 3 2 7 2 2 6" xfId="32875"/>
    <cellStyle name="Normal 3 2 7 2 3" xfId="7710"/>
    <cellStyle name="Normal 3 2 7 2 3 2" xfId="32884"/>
    <cellStyle name="Normal 3 2 7 2 3 3" xfId="32883"/>
    <cellStyle name="Normal 3 2 7 2 4" xfId="4583"/>
    <cellStyle name="Normal 3 2 7 2 4 2" xfId="32886"/>
    <cellStyle name="Normal 3 2 7 2 4 3" xfId="32885"/>
    <cellStyle name="Normal 3 2 7 2 5" xfId="10893"/>
    <cellStyle name="Normal 3 2 7 2 5 2" xfId="32888"/>
    <cellStyle name="Normal 3 2 7 2 5 3" xfId="32887"/>
    <cellStyle name="Normal 3 2 7 2 6" xfId="32889"/>
    <cellStyle name="Normal 3 2 7 2 7" xfId="32874"/>
    <cellStyle name="Normal 3 2 7 3" xfId="2308"/>
    <cellStyle name="Normal 3 2 7 3 2" xfId="8593"/>
    <cellStyle name="Normal 3 2 7 3 2 2" xfId="32892"/>
    <cellStyle name="Normal 3 2 7 3 2 3" xfId="32891"/>
    <cellStyle name="Normal 3 2 7 3 3" xfId="5466"/>
    <cellStyle name="Normal 3 2 7 3 3 2" xfId="32894"/>
    <cellStyle name="Normal 3 2 7 3 3 3" xfId="32893"/>
    <cellStyle name="Normal 3 2 7 3 4" xfId="11776"/>
    <cellStyle name="Normal 3 2 7 3 4 2" xfId="32896"/>
    <cellStyle name="Normal 3 2 7 3 4 3" xfId="32895"/>
    <cellStyle name="Normal 3 2 7 3 5" xfId="32897"/>
    <cellStyle name="Normal 3 2 7 3 6" xfId="32890"/>
    <cellStyle name="Normal 3 2 7 4" xfId="7030"/>
    <cellStyle name="Normal 3 2 7 4 2" xfId="32899"/>
    <cellStyle name="Normal 3 2 7 4 3" xfId="32898"/>
    <cellStyle name="Normal 3 2 7 5" xfId="3903"/>
    <cellStyle name="Normal 3 2 7 5 2" xfId="32901"/>
    <cellStyle name="Normal 3 2 7 5 3" xfId="32900"/>
    <cellStyle name="Normal 3 2 7 6" xfId="10291"/>
    <cellStyle name="Normal 3 2 7 6 2" xfId="32903"/>
    <cellStyle name="Normal 3 2 7 6 3" xfId="32902"/>
    <cellStyle name="Normal 3 2 7 7" xfId="32904"/>
    <cellStyle name="Normal 3 2 7 8" xfId="32873"/>
    <cellStyle name="Normal 3 2 8" xfId="918"/>
    <cellStyle name="Normal 3 2 8 2" xfId="2484"/>
    <cellStyle name="Normal 3 2 8 2 2" xfId="8769"/>
    <cellStyle name="Normal 3 2 8 2 2 2" xfId="32908"/>
    <cellStyle name="Normal 3 2 8 2 2 3" xfId="32907"/>
    <cellStyle name="Normal 3 2 8 2 3" xfId="5642"/>
    <cellStyle name="Normal 3 2 8 2 3 2" xfId="32910"/>
    <cellStyle name="Normal 3 2 8 2 3 3" xfId="32909"/>
    <cellStyle name="Normal 3 2 8 2 4" xfId="11952"/>
    <cellStyle name="Normal 3 2 8 2 4 2" xfId="32912"/>
    <cellStyle name="Normal 3 2 8 2 4 3" xfId="32911"/>
    <cellStyle name="Normal 3 2 8 2 5" xfId="32913"/>
    <cellStyle name="Normal 3 2 8 2 6" xfId="32906"/>
    <cellStyle name="Normal 3 2 8 3" xfId="7206"/>
    <cellStyle name="Normal 3 2 8 3 2" xfId="32915"/>
    <cellStyle name="Normal 3 2 8 3 3" xfId="32914"/>
    <cellStyle name="Normal 3 2 8 4" xfId="4079"/>
    <cellStyle name="Normal 3 2 8 4 2" xfId="32917"/>
    <cellStyle name="Normal 3 2 8 4 3" xfId="32916"/>
    <cellStyle name="Normal 3 2 8 5" xfId="10389"/>
    <cellStyle name="Normal 3 2 8 5 2" xfId="32919"/>
    <cellStyle name="Normal 3 2 8 5 3" xfId="32918"/>
    <cellStyle name="Normal 3 2 8 6" xfId="32920"/>
    <cellStyle name="Normal 3 2 8 7" xfId="32905"/>
    <cellStyle name="Normal 3 2 9" xfId="1625"/>
    <cellStyle name="Normal 3 2 9 2" xfId="3190"/>
    <cellStyle name="Normal 3 2 9 2 2" xfId="9475"/>
    <cellStyle name="Normal 3 2 9 2 2 2" xfId="32924"/>
    <cellStyle name="Normal 3 2 9 2 2 3" xfId="32923"/>
    <cellStyle name="Normal 3 2 9 2 3" xfId="6348"/>
    <cellStyle name="Normal 3 2 9 2 3 2" xfId="32926"/>
    <cellStyle name="Normal 3 2 9 2 3 3" xfId="32925"/>
    <cellStyle name="Normal 3 2 9 2 4" xfId="12658"/>
    <cellStyle name="Normal 3 2 9 2 4 2" xfId="32928"/>
    <cellStyle name="Normal 3 2 9 2 4 3" xfId="32927"/>
    <cellStyle name="Normal 3 2 9 2 5" xfId="32929"/>
    <cellStyle name="Normal 3 2 9 2 6" xfId="32922"/>
    <cellStyle name="Normal 3 2 9 3" xfId="7912"/>
    <cellStyle name="Normal 3 2 9 3 2" xfId="32931"/>
    <cellStyle name="Normal 3 2 9 3 3" xfId="32930"/>
    <cellStyle name="Normal 3 2 9 4" xfId="4785"/>
    <cellStyle name="Normal 3 2 9 4 2" xfId="32933"/>
    <cellStyle name="Normal 3 2 9 4 3" xfId="32932"/>
    <cellStyle name="Normal 3 2 9 5" xfId="11095"/>
    <cellStyle name="Normal 3 2 9 5 2" xfId="32935"/>
    <cellStyle name="Normal 3 2 9 5 3" xfId="32934"/>
    <cellStyle name="Normal 3 2 9 6" xfId="32936"/>
    <cellStyle name="Normal 3 2 9 7" xfId="32921"/>
    <cellStyle name="Normal 3 3" xfId="204"/>
    <cellStyle name="Normal 3 3 2" xfId="746"/>
    <cellStyle name="Normal 3 3 3" xfId="9832"/>
    <cellStyle name="Normal 3 3 3 2" xfId="32937"/>
    <cellStyle name="Normal 3 4" xfId="258"/>
    <cellStyle name="Normal 3 4 2" xfId="969"/>
    <cellStyle name="Normal 3 4 2 2" xfId="2535"/>
    <cellStyle name="Normal 3 4 2 2 2" xfId="8820"/>
    <cellStyle name="Normal 3 4 2 2 2 2" xfId="32942"/>
    <cellStyle name="Normal 3 4 2 2 2 3" xfId="32941"/>
    <cellStyle name="Normal 3 4 2 2 3" xfId="5693"/>
    <cellStyle name="Normal 3 4 2 2 3 2" xfId="32944"/>
    <cellStyle name="Normal 3 4 2 2 3 3" xfId="32943"/>
    <cellStyle name="Normal 3 4 2 2 4" xfId="12003"/>
    <cellStyle name="Normal 3 4 2 2 4 2" xfId="32946"/>
    <cellStyle name="Normal 3 4 2 2 4 3" xfId="32945"/>
    <cellStyle name="Normal 3 4 2 2 5" xfId="32947"/>
    <cellStyle name="Normal 3 4 2 2 6" xfId="32940"/>
    <cellStyle name="Normal 3 4 2 3" xfId="7257"/>
    <cellStyle name="Normal 3 4 2 3 2" xfId="32949"/>
    <cellStyle name="Normal 3 4 2 3 3" xfId="32948"/>
    <cellStyle name="Normal 3 4 2 4" xfId="4130"/>
    <cellStyle name="Normal 3 4 2 4 2" xfId="32951"/>
    <cellStyle name="Normal 3 4 2 4 3" xfId="32950"/>
    <cellStyle name="Normal 3 4 2 5" xfId="10440"/>
    <cellStyle name="Normal 3 4 2 5 2" xfId="32953"/>
    <cellStyle name="Normal 3 4 2 5 3" xfId="32952"/>
    <cellStyle name="Normal 3 4 2 6" xfId="32954"/>
    <cellStyle name="Normal 3 4 2 7" xfId="32939"/>
    <cellStyle name="Normal 3 4 3" xfId="1855"/>
    <cellStyle name="Normal 3 4 3 2" xfId="8140"/>
    <cellStyle name="Normal 3 4 3 2 2" xfId="32957"/>
    <cellStyle name="Normal 3 4 3 2 3" xfId="32956"/>
    <cellStyle name="Normal 3 4 3 3" xfId="5013"/>
    <cellStyle name="Normal 3 4 3 3 2" xfId="32959"/>
    <cellStyle name="Normal 3 4 3 3 3" xfId="32958"/>
    <cellStyle name="Normal 3 4 3 4" xfId="11323"/>
    <cellStyle name="Normal 3 4 3 4 2" xfId="32961"/>
    <cellStyle name="Normal 3 4 3 4 3" xfId="32960"/>
    <cellStyle name="Normal 3 4 3 5" xfId="32962"/>
    <cellStyle name="Normal 3 4 3 6" xfId="32955"/>
    <cellStyle name="Normal 3 4 4" xfId="6577"/>
    <cellStyle name="Normal 3 4 4 2" xfId="32964"/>
    <cellStyle name="Normal 3 4 4 3" xfId="32963"/>
    <cellStyle name="Normal 3 4 5" xfId="3450"/>
    <cellStyle name="Normal 3 4 5 2" xfId="32966"/>
    <cellStyle name="Normal 3 4 5 3" xfId="32965"/>
    <cellStyle name="Normal 3 4 6" xfId="9882"/>
    <cellStyle name="Normal 3 4 6 2" xfId="32968"/>
    <cellStyle name="Normal 3 4 6 3" xfId="32967"/>
    <cellStyle name="Normal 3 4 7" xfId="32969"/>
    <cellStyle name="Normal 3 4 8" xfId="32938"/>
    <cellStyle name="Normal 3 5" xfId="365"/>
    <cellStyle name="Normal 3 5 2" xfId="1073"/>
    <cellStyle name="Normal 3 5 2 2" xfId="2639"/>
    <cellStyle name="Normal 3 5 2 2 2" xfId="8924"/>
    <cellStyle name="Normal 3 5 2 2 2 2" xfId="32974"/>
    <cellStyle name="Normal 3 5 2 2 2 3" xfId="32973"/>
    <cellStyle name="Normal 3 5 2 2 3" xfId="5797"/>
    <cellStyle name="Normal 3 5 2 2 3 2" xfId="32976"/>
    <cellStyle name="Normal 3 5 2 2 3 3" xfId="32975"/>
    <cellStyle name="Normal 3 5 2 2 4" xfId="12107"/>
    <cellStyle name="Normal 3 5 2 2 4 2" xfId="32978"/>
    <cellStyle name="Normal 3 5 2 2 4 3" xfId="32977"/>
    <cellStyle name="Normal 3 5 2 2 5" xfId="32979"/>
    <cellStyle name="Normal 3 5 2 2 6" xfId="32972"/>
    <cellStyle name="Normal 3 5 2 3" xfId="7361"/>
    <cellStyle name="Normal 3 5 2 3 2" xfId="32981"/>
    <cellStyle name="Normal 3 5 2 3 3" xfId="32980"/>
    <cellStyle name="Normal 3 5 2 4" xfId="4234"/>
    <cellStyle name="Normal 3 5 2 4 2" xfId="32983"/>
    <cellStyle name="Normal 3 5 2 4 3" xfId="32982"/>
    <cellStyle name="Normal 3 5 2 5" xfId="10544"/>
    <cellStyle name="Normal 3 5 2 5 2" xfId="32985"/>
    <cellStyle name="Normal 3 5 2 5 3" xfId="32984"/>
    <cellStyle name="Normal 3 5 2 6" xfId="32986"/>
    <cellStyle name="Normal 3 5 2 7" xfId="32971"/>
    <cellStyle name="Normal 3 5 3" xfId="1959"/>
    <cellStyle name="Normal 3 5 3 2" xfId="8244"/>
    <cellStyle name="Normal 3 5 3 2 2" xfId="32989"/>
    <cellStyle name="Normal 3 5 3 2 3" xfId="32988"/>
    <cellStyle name="Normal 3 5 3 3" xfId="5117"/>
    <cellStyle name="Normal 3 5 3 3 2" xfId="32991"/>
    <cellStyle name="Normal 3 5 3 3 3" xfId="32990"/>
    <cellStyle name="Normal 3 5 3 4" xfId="11427"/>
    <cellStyle name="Normal 3 5 3 4 2" xfId="32993"/>
    <cellStyle name="Normal 3 5 3 4 3" xfId="32992"/>
    <cellStyle name="Normal 3 5 3 5" xfId="32994"/>
    <cellStyle name="Normal 3 5 3 6" xfId="32987"/>
    <cellStyle name="Normal 3 5 4" xfId="6681"/>
    <cellStyle name="Normal 3 5 4 2" xfId="32996"/>
    <cellStyle name="Normal 3 5 4 3" xfId="32995"/>
    <cellStyle name="Normal 3 5 5" xfId="3554"/>
    <cellStyle name="Normal 3 5 5 2" xfId="32998"/>
    <cellStyle name="Normal 3 5 5 3" xfId="32997"/>
    <cellStyle name="Normal 3 5 6" xfId="9986"/>
    <cellStyle name="Normal 3 5 6 2" xfId="33000"/>
    <cellStyle name="Normal 3 5 6 3" xfId="32999"/>
    <cellStyle name="Normal 3 5 7" xfId="33001"/>
    <cellStyle name="Normal 3 5 8" xfId="32970"/>
    <cellStyle name="Normal 3 6" xfId="419"/>
    <cellStyle name="Normal 3 6 2" xfId="1126"/>
    <cellStyle name="Normal 3 6 2 2" xfId="2691"/>
    <cellStyle name="Normal 3 6 2 2 2" xfId="8976"/>
    <cellStyle name="Normal 3 6 2 2 2 2" xfId="33006"/>
    <cellStyle name="Normal 3 6 2 2 2 3" xfId="33005"/>
    <cellStyle name="Normal 3 6 2 2 3" xfId="5849"/>
    <cellStyle name="Normal 3 6 2 2 3 2" xfId="33008"/>
    <cellStyle name="Normal 3 6 2 2 3 3" xfId="33007"/>
    <cellStyle name="Normal 3 6 2 2 4" xfId="12159"/>
    <cellStyle name="Normal 3 6 2 2 4 2" xfId="33010"/>
    <cellStyle name="Normal 3 6 2 2 4 3" xfId="33009"/>
    <cellStyle name="Normal 3 6 2 2 5" xfId="33011"/>
    <cellStyle name="Normal 3 6 2 2 6" xfId="33004"/>
    <cellStyle name="Normal 3 6 2 3" xfId="7413"/>
    <cellStyle name="Normal 3 6 2 3 2" xfId="33013"/>
    <cellStyle name="Normal 3 6 2 3 3" xfId="33012"/>
    <cellStyle name="Normal 3 6 2 4" xfId="4286"/>
    <cellStyle name="Normal 3 6 2 4 2" xfId="33015"/>
    <cellStyle name="Normal 3 6 2 4 3" xfId="33014"/>
    <cellStyle name="Normal 3 6 2 5" xfId="10596"/>
    <cellStyle name="Normal 3 6 2 5 2" xfId="33017"/>
    <cellStyle name="Normal 3 6 2 5 3" xfId="33016"/>
    <cellStyle name="Normal 3 6 2 6" xfId="33018"/>
    <cellStyle name="Normal 3 6 2 7" xfId="33003"/>
    <cellStyle name="Normal 3 6 3" xfId="2011"/>
    <cellStyle name="Normal 3 6 3 2" xfId="8296"/>
    <cellStyle name="Normal 3 6 3 2 2" xfId="33021"/>
    <cellStyle name="Normal 3 6 3 2 3" xfId="33020"/>
    <cellStyle name="Normal 3 6 3 3" xfId="5169"/>
    <cellStyle name="Normal 3 6 3 3 2" xfId="33023"/>
    <cellStyle name="Normal 3 6 3 3 3" xfId="33022"/>
    <cellStyle name="Normal 3 6 3 4" xfId="11479"/>
    <cellStyle name="Normal 3 6 3 4 2" xfId="33025"/>
    <cellStyle name="Normal 3 6 3 4 3" xfId="33024"/>
    <cellStyle name="Normal 3 6 3 5" xfId="33026"/>
    <cellStyle name="Normal 3 6 3 6" xfId="33019"/>
    <cellStyle name="Normal 3 6 4" xfId="6733"/>
    <cellStyle name="Normal 3 6 4 2" xfId="33028"/>
    <cellStyle name="Normal 3 6 4 3" xfId="33027"/>
    <cellStyle name="Normal 3 6 5" xfId="3606"/>
    <cellStyle name="Normal 3 6 5 2" xfId="33030"/>
    <cellStyle name="Normal 3 6 5 3" xfId="33029"/>
    <cellStyle name="Normal 3 6 6" xfId="10039"/>
    <cellStyle name="Normal 3 6 6 2" xfId="33032"/>
    <cellStyle name="Normal 3 6 6 3" xfId="33031"/>
    <cellStyle name="Normal 3 6 7" xfId="33033"/>
    <cellStyle name="Normal 3 6 8" xfId="33002"/>
    <cellStyle name="Normal 3 7" xfId="592"/>
    <cellStyle name="Normal 3 7 2" xfId="1299"/>
    <cellStyle name="Normal 3 7 2 2" xfId="2864"/>
    <cellStyle name="Normal 3 7 2 2 2" xfId="9149"/>
    <cellStyle name="Normal 3 7 2 2 2 2" xfId="33038"/>
    <cellStyle name="Normal 3 7 2 2 2 3" xfId="33037"/>
    <cellStyle name="Normal 3 7 2 2 3" xfId="6022"/>
    <cellStyle name="Normal 3 7 2 2 3 2" xfId="33040"/>
    <cellStyle name="Normal 3 7 2 2 3 3" xfId="33039"/>
    <cellStyle name="Normal 3 7 2 2 4" xfId="12332"/>
    <cellStyle name="Normal 3 7 2 2 4 2" xfId="33042"/>
    <cellStyle name="Normal 3 7 2 2 4 3" xfId="33041"/>
    <cellStyle name="Normal 3 7 2 2 5" xfId="33043"/>
    <cellStyle name="Normal 3 7 2 2 6" xfId="33036"/>
    <cellStyle name="Normal 3 7 2 3" xfId="7586"/>
    <cellStyle name="Normal 3 7 2 3 2" xfId="33045"/>
    <cellStyle name="Normal 3 7 2 3 3" xfId="33044"/>
    <cellStyle name="Normal 3 7 2 4" xfId="4459"/>
    <cellStyle name="Normal 3 7 2 4 2" xfId="33047"/>
    <cellStyle name="Normal 3 7 2 4 3" xfId="33046"/>
    <cellStyle name="Normal 3 7 2 5" xfId="10769"/>
    <cellStyle name="Normal 3 7 2 5 2" xfId="33049"/>
    <cellStyle name="Normal 3 7 2 5 3" xfId="33048"/>
    <cellStyle name="Normal 3 7 2 6" xfId="33050"/>
    <cellStyle name="Normal 3 7 2 7" xfId="33035"/>
    <cellStyle name="Normal 3 7 3" xfId="2184"/>
    <cellStyle name="Normal 3 7 3 2" xfId="8469"/>
    <cellStyle name="Normal 3 7 3 2 2" xfId="33053"/>
    <cellStyle name="Normal 3 7 3 2 3" xfId="33052"/>
    <cellStyle name="Normal 3 7 3 3" xfId="5342"/>
    <cellStyle name="Normal 3 7 3 3 2" xfId="33055"/>
    <cellStyle name="Normal 3 7 3 3 3" xfId="33054"/>
    <cellStyle name="Normal 3 7 3 4" xfId="11652"/>
    <cellStyle name="Normal 3 7 3 4 2" xfId="33057"/>
    <cellStyle name="Normal 3 7 3 4 3" xfId="33056"/>
    <cellStyle name="Normal 3 7 3 5" xfId="33058"/>
    <cellStyle name="Normal 3 7 3 6" xfId="33051"/>
    <cellStyle name="Normal 3 7 4" xfId="6906"/>
    <cellStyle name="Normal 3 7 4 2" xfId="33060"/>
    <cellStyle name="Normal 3 7 4 3" xfId="33059"/>
    <cellStyle name="Normal 3 7 5" xfId="3779"/>
    <cellStyle name="Normal 3 7 5 2" xfId="33062"/>
    <cellStyle name="Normal 3 7 5 3" xfId="33061"/>
    <cellStyle name="Normal 3 7 6" xfId="10211"/>
    <cellStyle name="Normal 3 7 6 2" xfId="33064"/>
    <cellStyle name="Normal 3 7 6 3" xfId="33063"/>
    <cellStyle name="Normal 3 7 7" xfId="33065"/>
    <cellStyle name="Normal 3 7 8" xfId="33034"/>
    <cellStyle name="Normal 3 8" xfId="651"/>
    <cellStyle name="Normal 3 8 2" xfId="1356"/>
    <cellStyle name="Normal 3 8 2 2" xfId="2921"/>
    <cellStyle name="Normal 3 8 2 2 2" xfId="9206"/>
    <cellStyle name="Normal 3 8 2 2 2 2" xfId="33070"/>
    <cellStyle name="Normal 3 8 2 2 2 3" xfId="33069"/>
    <cellStyle name="Normal 3 8 2 2 3" xfId="6079"/>
    <cellStyle name="Normal 3 8 2 2 3 2" xfId="33072"/>
    <cellStyle name="Normal 3 8 2 2 3 3" xfId="33071"/>
    <cellStyle name="Normal 3 8 2 2 4" xfId="12389"/>
    <cellStyle name="Normal 3 8 2 2 4 2" xfId="33074"/>
    <cellStyle name="Normal 3 8 2 2 4 3" xfId="33073"/>
    <cellStyle name="Normal 3 8 2 2 5" xfId="33075"/>
    <cellStyle name="Normal 3 8 2 2 6" xfId="33068"/>
    <cellStyle name="Normal 3 8 2 3" xfId="7643"/>
    <cellStyle name="Normal 3 8 2 3 2" xfId="33077"/>
    <cellStyle name="Normal 3 8 2 3 3" xfId="33076"/>
    <cellStyle name="Normal 3 8 2 4" xfId="4516"/>
    <cellStyle name="Normal 3 8 2 4 2" xfId="33079"/>
    <cellStyle name="Normal 3 8 2 4 3" xfId="33078"/>
    <cellStyle name="Normal 3 8 2 5" xfId="10826"/>
    <cellStyle name="Normal 3 8 2 5 2" xfId="33081"/>
    <cellStyle name="Normal 3 8 2 5 3" xfId="33080"/>
    <cellStyle name="Normal 3 8 2 6" xfId="33082"/>
    <cellStyle name="Normal 3 8 2 7" xfId="33067"/>
    <cellStyle name="Normal 3 8 3" xfId="2241"/>
    <cellStyle name="Normal 3 8 3 2" xfId="8526"/>
    <cellStyle name="Normal 3 8 3 2 2" xfId="33085"/>
    <cellStyle name="Normal 3 8 3 2 3" xfId="33084"/>
    <cellStyle name="Normal 3 8 3 3" xfId="5399"/>
    <cellStyle name="Normal 3 8 3 3 2" xfId="33087"/>
    <cellStyle name="Normal 3 8 3 3 3" xfId="33086"/>
    <cellStyle name="Normal 3 8 3 4" xfId="11709"/>
    <cellStyle name="Normal 3 8 3 4 2" xfId="33089"/>
    <cellStyle name="Normal 3 8 3 4 3" xfId="33088"/>
    <cellStyle name="Normal 3 8 3 5" xfId="33090"/>
    <cellStyle name="Normal 3 8 3 6" xfId="33083"/>
    <cellStyle name="Normal 3 8 4" xfId="6963"/>
    <cellStyle name="Normal 3 8 4 2" xfId="33092"/>
    <cellStyle name="Normal 3 8 4 3" xfId="33091"/>
    <cellStyle name="Normal 3 8 5" xfId="3836"/>
    <cellStyle name="Normal 3 8 5 2" xfId="33094"/>
    <cellStyle name="Normal 3 8 5 3" xfId="33093"/>
    <cellStyle name="Normal 3 8 6" xfId="10269"/>
    <cellStyle name="Normal 3 8 6 2" xfId="33096"/>
    <cellStyle name="Normal 3 8 6 3" xfId="33095"/>
    <cellStyle name="Normal 3 8 7" xfId="33097"/>
    <cellStyle name="Normal 3 8 8" xfId="33066"/>
    <cellStyle name="Normal 3 9" xfId="866"/>
    <cellStyle name="Normal 3 9 2" xfId="2432"/>
    <cellStyle name="Normal 3 9 2 2" xfId="8717"/>
    <cellStyle name="Normal 3 9 2 2 2" xfId="33101"/>
    <cellStyle name="Normal 3 9 2 2 3" xfId="33100"/>
    <cellStyle name="Normal 3 9 2 3" xfId="5590"/>
    <cellStyle name="Normal 3 9 2 3 2" xfId="33103"/>
    <cellStyle name="Normal 3 9 2 3 3" xfId="33102"/>
    <cellStyle name="Normal 3 9 2 4" xfId="11900"/>
    <cellStyle name="Normal 3 9 2 4 2" xfId="33105"/>
    <cellStyle name="Normal 3 9 2 4 3" xfId="33104"/>
    <cellStyle name="Normal 3 9 2 5" xfId="33106"/>
    <cellStyle name="Normal 3 9 2 6" xfId="33099"/>
    <cellStyle name="Normal 3 9 3" xfId="7154"/>
    <cellStyle name="Normal 3 9 3 2" xfId="33108"/>
    <cellStyle name="Normal 3 9 3 3" xfId="33107"/>
    <cellStyle name="Normal 3 9 4" xfId="4027"/>
    <cellStyle name="Normal 3 9 4 2" xfId="33110"/>
    <cellStyle name="Normal 3 9 4 3" xfId="33109"/>
    <cellStyle name="Normal 3 9 5" xfId="10337"/>
    <cellStyle name="Normal 3 9 5 2" xfId="33112"/>
    <cellStyle name="Normal 3 9 5 3" xfId="33111"/>
    <cellStyle name="Normal 3 9 6" xfId="33113"/>
    <cellStyle name="Normal 3 9 7" xfId="33098"/>
    <cellStyle name="Normal 30" xfId="103"/>
    <cellStyle name="Normal 30 2" xfId="33115"/>
    <cellStyle name="Normal 30 3" xfId="33114"/>
    <cellStyle name="Normal 31" xfId="9588"/>
    <cellStyle name="Normal 31 2" xfId="33117"/>
    <cellStyle name="Normal 31 3" xfId="33116"/>
    <cellStyle name="Normal 32" xfId="38119"/>
    <cellStyle name="Normal 4" xfId="53"/>
    <cellStyle name="Normal 4 10" xfId="747"/>
    <cellStyle name="Normal 4 11" xfId="666"/>
    <cellStyle name="Normal 4 11 2" xfId="1371"/>
    <cellStyle name="Normal 4 11 2 2" xfId="2936"/>
    <cellStyle name="Normal 4 11 2 2 2" xfId="9221"/>
    <cellStyle name="Normal 4 11 2 2 2 2" xfId="33122"/>
    <cellStyle name="Normal 4 11 2 2 2 3" xfId="33121"/>
    <cellStyle name="Normal 4 11 2 2 3" xfId="6094"/>
    <cellStyle name="Normal 4 11 2 2 3 2" xfId="33124"/>
    <cellStyle name="Normal 4 11 2 2 3 3" xfId="33123"/>
    <cellStyle name="Normal 4 11 2 2 4" xfId="12404"/>
    <cellStyle name="Normal 4 11 2 2 4 2" xfId="33126"/>
    <cellStyle name="Normal 4 11 2 2 4 3" xfId="33125"/>
    <cellStyle name="Normal 4 11 2 2 5" xfId="33127"/>
    <cellStyle name="Normal 4 11 2 2 6" xfId="33120"/>
    <cellStyle name="Normal 4 11 2 3" xfId="7658"/>
    <cellStyle name="Normal 4 11 2 3 2" xfId="33129"/>
    <cellStyle name="Normal 4 11 2 3 3" xfId="33128"/>
    <cellStyle name="Normal 4 11 2 4" xfId="4531"/>
    <cellStyle name="Normal 4 11 2 4 2" xfId="33131"/>
    <cellStyle name="Normal 4 11 2 4 3" xfId="33130"/>
    <cellStyle name="Normal 4 11 2 5" xfId="10841"/>
    <cellStyle name="Normal 4 11 2 5 2" xfId="33133"/>
    <cellStyle name="Normal 4 11 2 5 3" xfId="33132"/>
    <cellStyle name="Normal 4 11 2 6" xfId="33134"/>
    <cellStyle name="Normal 4 11 2 7" xfId="33119"/>
    <cellStyle name="Normal 4 11 3" xfId="2256"/>
    <cellStyle name="Normal 4 11 3 2" xfId="8541"/>
    <cellStyle name="Normal 4 11 3 2 2" xfId="33137"/>
    <cellStyle name="Normal 4 11 3 2 3" xfId="33136"/>
    <cellStyle name="Normal 4 11 3 3" xfId="5414"/>
    <cellStyle name="Normal 4 11 3 3 2" xfId="33139"/>
    <cellStyle name="Normal 4 11 3 3 3" xfId="33138"/>
    <cellStyle name="Normal 4 11 3 4" xfId="11724"/>
    <cellStyle name="Normal 4 11 3 4 2" xfId="33141"/>
    <cellStyle name="Normal 4 11 3 4 3" xfId="33140"/>
    <cellStyle name="Normal 4 11 3 5" xfId="33142"/>
    <cellStyle name="Normal 4 11 3 6" xfId="33135"/>
    <cellStyle name="Normal 4 11 4" xfId="6978"/>
    <cellStyle name="Normal 4 11 4 2" xfId="33144"/>
    <cellStyle name="Normal 4 11 4 3" xfId="33143"/>
    <cellStyle name="Normal 4 11 5" xfId="3851"/>
    <cellStyle name="Normal 4 11 5 2" xfId="33146"/>
    <cellStyle name="Normal 4 11 5 3" xfId="33145"/>
    <cellStyle name="Normal 4 11 6" xfId="10284"/>
    <cellStyle name="Normal 4 11 6 2" xfId="33148"/>
    <cellStyle name="Normal 4 11 6 3" xfId="33147"/>
    <cellStyle name="Normal 4 11 7" xfId="33149"/>
    <cellStyle name="Normal 4 11 8" xfId="33118"/>
    <cellStyle name="Normal 4 12" xfId="880"/>
    <cellStyle name="Normal 4 12 2" xfId="2446"/>
    <cellStyle name="Normal 4 12 2 2" xfId="8731"/>
    <cellStyle name="Normal 4 12 2 2 2" xfId="33153"/>
    <cellStyle name="Normal 4 12 2 2 3" xfId="33152"/>
    <cellStyle name="Normal 4 12 2 3" xfId="5604"/>
    <cellStyle name="Normal 4 12 2 3 2" xfId="33155"/>
    <cellStyle name="Normal 4 12 2 3 3" xfId="33154"/>
    <cellStyle name="Normal 4 12 2 4" xfId="11914"/>
    <cellStyle name="Normal 4 12 2 4 2" xfId="33157"/>
    <cellStyle name="Normal 4 12 2 4 3" xfId="33156"/>
    <cellStyle name="Normal 4 12 2 5" xfId="33158"/>
    <cellStyle name="Normal 4 12 2 6" xfId="33151"/>
    <cellStyle name="Normal 4 12 3" xfId="7168"/>
    <cellStyle name="Normal 4 12 3 2" xfId="33160"/>
    <cellStyle name="Normal 4 12 3 3" xfId="33159"/>
    <cellStyle name="Normal 4 12 4" xfId="4041"/>
    <cellStyle name="Normal 4 12 4 2" xfId="33162"/>
    <cellStyle name="Normal 4 12 4 3" xfId="33161"/>
    <cellStyle name="Normal 4 12 5" xfId="10351"/>
    <cellStyle name="Normal 4 12 5 2" xfId="33164"/>
    <cellStyle name="Normal 4 12 5 3" xfId="33163"/>
    <cellStyle name="Normal 4 12 6" xfId="33165"/>
    <cellStyle name="Normal 4 12 7" xfId="33150"/>
    <cellStyle name="Normal 4 13" xfId="1573"/>
    <cellStyle name="Normal 4 13 2" xfId="3138"/>
    <cellStyle name="Normal 4 13 2 2" xfId="9423"/>
    <cellStyle name="Normal 4 13 2 2 2" xfId="33169"/>
    <cellStyle name="Normal 4 13 2 2 3" xfId="33168"/>
    <cellStyle name="Normal 4 13 2 3" xfId="6296"/>
    <cellStyle name="Normal 4 13 2 3 2" xfId="33171"/>
    <cellStyle name="Normal 4 13 2 3 3" xfId="33170"/>
    <cellStyle name="Normal 4 13 2 4" xfId="12606"/>
    <cellStyle name="Normal 4 13 2 4 2" xfId="33173"/>
    <cellStyle name="Normal 4 13 2 4 3" xfId="33172"/>
    <cellStyle name="Normal 4 13 2 5" xfId="33174"/>
    <cellStyle name="Normal 4 13 2 6" xfId="33167"/>
    <cellStyle name="Normal 4 13 3" xfId="7860"/>
    <cellStyle name="Normal 4 13 3 2" xfId="33176"/>
    <cellStyle name="Normal 4 13 3 3" xfId="33175"/>
    <cellStyle name="Normal 4 13 4" xfId="4733"/>
    <cellStyle name="Normal 4 13 4 2" xfId="33178"/>
    <cellStyle name="Normal 4 13 4 3" xfId="33177"/>
    <cellStyle name="Normal 4 13 5" xfId="11043"/>
    <cellStyle name="Normal 4 13 5 2" xfId="33180"/>
    <cellStyle name="Normal 4 13 5 3" xfId="33179"/>
    <cellStyle name="Normal 4 13 6" xfId="33181"/>
    <cellStyle name="Normal 4 13 7" xfId="33166"/>
    <cellStyle name="Normal 4 14" xfId="1766"/>
    <cellStyle name="Normal 4 14 2" xfId="8051"/>
    <cellStyle name="Normal 4 14 2 2" xfId="33184"/>
    <cellStyle name="Normal 4 14 2 3" xfId="33183"/>
    <cellStyle name="Normal 4 14 3" xfId="4924"/>
    <cellStyle name="Normal 4 14 3 2" xfId="33186"/>
    <cellStyle name="Normal 4 14 3 3" xfId="33185"/>
    <cellStyle name="Normal 4 14 4" xfId="11234"/>
    <cellStyle name="Normal 4 14 4 2" xfId="33188"/>
    <cellStyle name="Normal 4 14 4 3" xfId="33187"/>
    <cellStyle name="Normal 4 14 5" xfId="33189"/>
    <cellStyle name="Normal 4 14 6" xfId="33182"/>
    <cellStyle name="Normal 4 15" xfId="143"/>
    <cellStyle name="Normal 4 15 2" xfId="6488"/>
    <cellStyle name="Normal 4 15 2 2" xfId="33192"/>
    <cellStyle name="Normal 4 15 2 3" xfId="33191"/>
    <cellStyle name="Normal 4 15 3" xfId="33193"/>
    <cellStyle name="Normal 4 15 4" xfId="33190"/>
    <cellStyle name="Normal 4 16" xfId="3306"/>
    <cellStyle name="Normal 4 16 2" xfId="33195"/>
    <cellStyle name="Normal 4 16 3" xfId="33194"/>
    <cellStyle name="Normal 4 17" xfId="3361"/>
    <cellStyle name="Normal 4 17 2" xfId="33197"/>
    <cellStyle name="Normal 4 17 3" xfId="33196"/>
    <cellStyle name="Normal 4 18" xfId="9641"/>
    <cellStyle name="Normal 4 18 2" xfId="33199"/>
    <cellStyle name="Normal 4 18 3" xfId="33198"/>
    <cellStyle name="Normal 4 19" xfId="33200"/>
    <cellStyle name="Normal 4 2" xfId="86"/>
    <cellStyle name="Normal 4 2 2" xfId="748"/>
    <cellStyle name="Normal 4 2 3" xfId="207"/>
    <cellStyle name="Normal 4 2 3 2" xfId="33201"/>
    <cellStyle name="Normal 4 2 4" xfId="33202"/>
    <cellStyle name="Normal 4 20" xfId="38165"/>
    <cellStyle name="Normal 4 3" xfId="206"/>
    <cellStyle name="Normal 4 3 2" xfId="750"/>
    <cellStyle name="Normal 4 3 2 10" xfId="33204"/>
    <cellStyle name="Normal 4 3 2 2" xfId="751"/>
    <cellStyle name="Normal 4 3 2 2 2" xfId="1439"/>
    <cellStyle name="Normal 4 3 2 2 2 2" xfId="3004"/>
    <cellStyle name="Normal 4 3 2 2 2 2 2" xfId="9289"/>
    <cellStyle name="Normal 4 3 2 2 2 2 2 2" xfId="33209"/>
    <cellStyle name="Normal 4 3 2 2 2 2 2 3" xfId="33208"/>
    <cellStyle name="Normal 4 3 2 2 2 2 3" xfId="6162"/>
    <cellStyle name="Normal 4 3 2 2 2 2 3 2" xfId="33211"/>
    <cellStyle name="Normal 4 3 2 2 2 2 3 3" xfId="33210"/>
    <cellStyle name="Normal 4 3 2 2 2 2 4" xfId="12472"/>
    <cellStyle name="Normal 4 3 2 2 2 2 4 2" xfId="33213"/>
    <cellStyle name="Normal 4 3 2 2 2 2 4 3" xfId="33212"/>
    <cellStyle name="Normal 4 3 2 2 2 2 5" xfId="33214"/>
    <cellStyle name="Normal 4 3 2 2 2 2 6" xfId="33207"/>
    <cellStyle name="Normal 4 3 2 2 2 3" xfId="7726"/>
    <cellStyle name="Normal 4 3 2 2 2 3 2" xfId="33216"/>
    <cellStyle name="Normal 4 3 2 2 2 3 3" xfId="33215"/>
    <cellStyle name="Normal 4 3 2 2 2 4" xfId="4599"/>
    <cellStyle name="Normal 4 3 2 2 2 4 2" xfId="33218"/>
    <cellStyle name="Normal 4 3 2 2 2 4 3" xfId="33217"/>
    <cellStyle name="Normal 4 3 2 2 2 5" xfId="10909"/>
    <cellStyle name="Normal 4 3 2 2 2 5 2" xfId="33220"/>
    <cellStyle name="Normal 4 3 2 2 2 5 3" xfId="33219"/>
    <cellStyle name="Normal 4 3 2 2 2 6" xfId="33221"/>
    <cellStyle name="Normal 4 3 2 2 2 7" xfId="33206"/>
    <cellStyle name="Normal 4 3 2 2 3" xfId="1641"/>
    <cellStyle name="Normal 4 3 2 2 3 2" xfId="3206"/>
    <cellStyle name="Normal 4 3 2 2 3 2 2" xfId="9491"/>
    <cellStyle name="Normal 4 3 2 2 3 2 2 2" xfId="33225"/>
    <cellStyle name="Normal 4 3 2 2 3 2 2 3" xfId="33224"/>
    <cellStyle name="Normal 4 3 2 2 3 2 3" xfId="6364"/>
    <cellStyle name="Normal 4 3 2 2 3 2 3 2" xfId="33227"/>
    <cellStyle name="Normal 4 3 2 2 3 2 3 3" xfId="33226"/>
    <cellStyle name="Normal 4 3 2 2 3 2 4" xfId="12674"/>
    <cellStyle name="Normal 4 3 2 2 3 2 4 2" xfId="33229"/>
    <cellStyle name="Normal 4 3 2 2 3 2 4 3" xfId="33228"/>
    <cellStyle name="Normal 4 3 2 2 3 2 5" xfId="33230"/>
    <cellStyle name="Normal 4 3 2 2 3 2 6" xfId="33223"/>
    <cellStyle name="Normal 4 3 2 2 3 3" xfId="7928"/>
    <cellStyle name="Normal 4 3 2 2 3 3 2" xfId="33232"/>
    <cellStyle name="Normal 4 3 2 2 3 3 3" xfId="33231"/>
    <cellStyle name="Normal 4 3 2 2 3 4" xfId="4801"/>
    <cellStyle name="Normal 4 3 2 2 3 4 2" xfId="33234"/>
    <cellStyle name="Normal 4 3 2 2 3 4 3" xfId="33233"/>
    <cellStyle name="Normal 4 3 2 2 3 5" xfId="11111"/>
    <cellStyle name="Normal 4 3 2 2 3 5 2" xfId="33236"/>
    <cellStyle name="Normal 4 3 2 2 3 5 3" xfId="33235"/>
    <cellStyle name="Normal 4 3 2 2 3 6" xfId="33237"/>
    <cellStyle name="Normal 4 3 2 2 3 7" xfId="33222"/>
    <cellStyle name="Normal 4 3 2 2 4" xfId="2324"/>
    <cellStyle name="Normal 4 3 2 2 4 2" xfId="8609"/>
    <cellStyle name="Normal 4 3 2 2 4 2 2" xfId="33240"/>
    <cellStyle name="Normal 4 3 2 2 4 2 3" xfId="33239"/>
    <cellStyle name="Normal 4 3 2 2 4 3" xfId="5482"/>
    <cellStyle name="Normal 4 3 2 2 4 3 2" xfId="33242"/>
    <cellStyle name="Normal 4 3 2 2 4 3 3" xfId="33241"/>
    <cellStyle name="Normal 4 3 2 2 4 4" xfId="11792"/>
    <cellStyle name="Normal 4 3 2 2 4 4 2" xfId="33244"/>
    <cellStyle name="Normal 4 3 2 2 4 4 3" xfId="33243"/>
    <cellStyle name="Normal 4 3 2 2 4 5" xfId="33245"/>
    <cellStyle name="Normal 4 3 2 2 4 6" xfId="33238"/>
    <cellStyle name="Normal 4 3 2 2 5" xfId="7046"/>
    <cellStyle name="Normal 4 3 2 2 5 2" xfId="33247"/>
    <cellStyle name="Normal 4 3 2 2 5 3" xfId="33246"/>
    <cellStyle name="Normal 4 3 2 2 6" xfId="3919"/>
    <cellStyle name="Normal 4 3 2 2 6 2" xfId="33249"/>
    <cellStyle name="Normal 4 3 2 2 6 3" xfId="33248"/>
    <cellStyle name="Normal 4 3 2 2 7" xfId="9709"/>
    <cellStyle name="Normal 4 3 2 2 7 2" xfId="33251"/>
    <cellStyle name="Normal 4 3 2 2 7 3" xfId="33250"/>
    <cellStyle name="Normal 4 3 2 2 8" xfId="33252"/>
    <cellStyle name="Normal 4 3 2 2 9" xfId="33205"/>
    <cellStyle name="Normal 4 3 2 3" xfId="1438"/>
    <cellStyle name="Normal 4 3 2 3 2" xfId="3003"/>
    <cellStyle name="Normal 4 3 2 3 2 2" xfId="9288"/>
    <cellStyle name="Normal 4 3 2 3 2 2 2" xfId="33256"/>
    <cellStyle name="Normal 4 3 2 3 2 2 3" xfId="33255"/>
    <cellStyle name="Normal 4 3 2 3 2 3" xfId="6161"/>
    <cellStyle name="Normal 4 3 2 3 2 3 2" xfId="33258"/>
    <cellStyle name="Normal 4 3 2 3 2 3 3" xfId="33257"/>
    <cellStyle name="Normal 4 3 2 3 2 4" xfId="12471"/>
    <cellStyle name="Normal 4 3 2 3 2 4 2" xfId="33260"/>
    <cellStyle name="Normal 4 3 2 3 2 4 3" xfId="33259"/>
    <cellStyle name="Normal 4 3 2 3 2 5" xfId="33261"/>
    <cellStyle name="Normal 4 3 2 3 2 6" xfId="33254"/>
    <cellStyle name="Normal 4 3 2 3 3" xfId="7725"/>
    <cellStyle name="Normal 4 3 2 3 3 2" xfId="33263"/>
    <cellStyle name="Normal 4 3 2 3 3 3" xfId="33262"/>
    <cellStyle name="Normal 4 3 2 3 4" xfId="4598"/>
    <cellStyle name="Normal 4 3 2 3 4 2" xfId="33265"/>
    <cellStyle name="Normal 4 3 2 3 4 3" xfId="33264"/>
    <cellStyle name="Normal 4 3 2 3 5" xfId="10908"/>
    <cellStyle name="Normal 4 3 2 3 5 2" xfId="33267"/>
    <cellStyle name="Normal 4 3 2 3 5 3" xfId="33266"/>
    <cellStyle name="Normal 4 3 2 3 6" xfId="33268"/>
    <cellStyle name="Normal 4 3 2 3 7" xfId="33253"/>
    <cellStyle name="Normal 4 3 2 4" xfId="1640"/>
    <cellStyle name="Normal 4 3 2 4 2" xfId="3205"/>
    <cellStyle name="Normal 4 3 2 4 2 2" xfId="9490"/>
    <cellStyle name="Normal 4 3 2 4 2 2 2" xfId="33272"/>
    <cellStyle name="Normal 4 3 2 4 2 2 3" xfId="33271"/>
    <cellStyle name="Normal 4 3 2 4 2 3" xfId="6363"/>
    <cellStyle name="Normal 4 3 2 4 2 3 2" xfId="33274"/>
    <cellStyle name="Normal 4 3 2 4 2 3 3" xfId="33273"/>
    <cellStyle name="Normal 4 3 2 4 2 4" xfId="12673"/>
    <cellStyle name="Normal 4 3 2 4 2 4 2" xfId="33276"/>
    <cellStyle name="Normal 4 3 2 4 2 4 3" xfId="33275"/>
    <cellStyle name="Normal 4 3 2 4 2 5" xfId="33277"/>
    <cellStyle name="Normal 4 3 2 4 2 6" xfId="33270"/>
    <cellStyle name="Normal 4 3 2 4 3" xfId="7927"/>
    <cellStyle name="Normal 4 3 2 4 3 2" xfId="33279"/>
    <cellStyle name="Normal 4 3 2 4 3 3" xfId="33278"/>
    <cellStyle name="Normal 4 3 2 4 4" xfId="4800"/>
    <cellStyle name="Normal 4 3 2 4 4 2" xfId="33281"/>
    <cellStyle name="Normal 4 3 2 4 4 3" xfId="33280"/>
    <cellStyle name="Normal 4 3 2 4 5" xfId="11110"/>
    <cellStyle name="Normal 4 3 2 4 5 2" xfId="33283"/>
    <cellStyle name="Normal 4 3 2 4 5 3" xfId="33282"/>
    <cellStyle name="Normal 4 3 2 4 6" xfId="33284"/>
    <cellStyle name="Normal 4 3 2 4 7" xfId="33269"/>
    <cellStyle name="Normal 4 3 2 5" xfId="2323"/>
    <cellStyle name="Normal 4 3 2 5 2" xfId="8608"/>
    <cellStyle name="Normal 4 3 2 5 2 2" xfId="33287"/>
    <cellStyle name="Normal 4 3 2 5 2 3" xfId="33286"/>
    <cellStyle name="Normal 4 3 2 5 3" xfId="5481"/>
    <cellStyle name="Normal 4 3 2 5 3 2" xfId="33289"/>
    <cellStyle name="Normal 4 3 2 5 3 3" xfId="33288"/>
    <cellStyle name="Normal 4 3 2 5 4" xfId="11791"/>
    <cellStyle name="Normal 4 3 2 5 4 2" xfId="33291"/>
    <cellStyle name="Normal 4 3 2 5 4 3" xfId="33290"/>
    <cellStyle name="Normal 4 3 2 5 5" xfId="33292"/>
    <cellStyle name="Normal 4 3 2 5 6" xfId="33285"/>
    <cellStyle name="Normal 4 3 2 6" xfId="7045"/>
    <cellStyle name="Normal 4 3 2 6 2" xfId="33294"/>
    <cellStyle name="Normal 4 3 2 6 3" xfId="33293"/>
    <cellStyle name="Normal 4 3 2 7" xfId="3918"/>
    <cellStyle name="Normal 4 3 2 7 2" xfId="33296"/>
    <cellStyle name="Normal 4 3 2 7 3" xfId="33295"/>
    <cellStyle name="Normal 4 3 2 8" xfId="9708"/>
    <cellStyle name="Normal 4 3 2 8 2" xfId="33298"/>
    <cellStyle name="Normal 4 3 2 8 3" xfId="33297"/>
    <cellStyle name="Normal 4 3 2 9" xfId="33299"/>
    <cellStyle name="Normal 4 3 3" xfId="752"/>
    <cellStyle name="Normal 4 3 3 2" xfId="1440"/>
    <cellStyle name="Normal 4 3 3 2 2" xfId="3005"/>
    <cellStyle name="Normal 4 3 3 2 2 2" xfId="9290"/>
    <cellStyle name="Normal 4 3 3 2 2 2 2" xfId="33304"/>
    <cellStyle name="Normal 4 3 3 2 2 2 3" xfId="33303"/>
    <cellStyle name="Normal 4 3 3 2 2 3" xfId="6163"/>
    <cellStyle name="Normal 4 3 3 2 2 3 2" xfId="33306"/>
    <cellStyle name="Normal 4 3 3 2 2 3 3" xfId="33305"/>
    <cellStyle name="Normal 4 3 3 2 2 4" xfId="12473"/>
    <cellStyle name="Normal 4 3 3 2 2 4 2" xfId="33308"/>
    <cellStyle name="Normal 4 3 3 2 2 4 3" xfId="33307"/>
    <cellStyle name="Normal 4 3 3 2 2 5" xfId="33309"/>
    <cellStyle name="Normal 4 3 3 2 2 6" xfId="33302"/>
    <cellStyle name="Normal 4 3 3 2 3" xfId="7727"/>
    <cellStyle name="Normal 4 3 3 2 3 2" xfId="33311"/>
    <cellStyle name="Normal 4 3 3 2 3 3" xfId="33310"/>
    <cellStyle name="Normal 4 3 3 2 4" xfId="4600"/>
    <cellStyle name="Normal 4 3 3 2 4 2" xfId="33313"/>
    <cellStyle name="Normal 4 3 3 2 4 3" xfId="33312"/>
    <cellStyle name="Normal 4 3 3 2 5" xfId="10910"/>
    <cellStyle name="Normal 4 3 3 2 5 2" xfId="33315"/>
    <cellStyle name="Normal 4 3 3 2 5 3" xfId="33314"/>
    <cellStyle name="Normal 4 3 3 2 6" xfId="33316"/>
    <cellStyle name="Normal 4 3 3 2 7" xfId="33301"/>
    <cellStyle name="Normal 4 3 3 3" xfId="1642"/>
    <cellStyle name="Normal 4 3 3 3 2" xfId="3207"/>
    <cellStyle name="Normal 4 3 3 3 2 2" xfId="9492"/>
    <cellStyle name="Normal 4 3 3 3 2 2 2" xfId="33320"/>
    <cellStyle name="Normal 4 3 3 3 2 2 3" xfId="33319"/>
    <cellStyle name="Normal 4 3 3 3 2 3" xfId="6365"/>
    <cellStyle name="Normal 4 3 3 3 2 3 2" xfId="33322"/>
    <cellStyle name="Normal 4 3 3 3 2 3 3" xfId="33321"/>
    <cellStyle name="Normal 4 3 3 3 2 4" xfId="12675"/>
    <cellStyle name="Normal 4 3 3 3 2 4 2" xfId="33324"/>
    <cellStyle name="Normal 4 3 3 3 2 4 3" xfId="33323"/>
    <cellStyle name="Normal 4 3 3 3 2 5" xfId="33325"/>
    <cellStyle name="Normal 4 3 3 3 2 6" xfId="33318"/>
    <cellStyle name="Normal 4 3 3 3 3" xfId="7929"/>
    <cellStyle name="Normal 4 3 3 3 3 2" xfId="33327"/>
    <cellStyle name="Normal 4 3 3 3 3 3" xfId="33326"/>
    <cellStyle name="Normal 4 3 3 3 4" xfId="4802"/>
    <cellStyle name="Normal 4 3 3 3 4 2" xfId="33329"/>
    <cellStyle name="Normal 4 3 3 3 4 3" xfId="33328"/>
    <cellStyle name="Normal 4 3 3 3 5" xfId="11112"/>
    <cellStyle name="Normal 4 3 3 3 5 2" xfId="33331"/>
    <cellStyle name="Normal 4 3 3 3 5 3" xfId="33330"/>
    <cellStyle name="Normal 4 3 3 3 6" xfId="33332"/>
    <cellStyle name="Normal 4 3 3 3 7" xfId="33317"/>
    <cellStyle name="Normal 4 3 3 4" xfId="2325"/>
    <cellStyle name="Normal 4 3 3 4 2" xfId="8610"/>
    <cellStyle name="Normal 4 3 3 4 2 2" xfId="33335"/>
    <cellStyle name="Normal 4 3 3 4 2 3" xfId="33334"/>
    <cellStyle name="Normal 4 3 3 4 3" xfId="5483"/>
    <cellStyle name="Normal 4 3 3 4 3 2" xfId="33337"/>
    <cellStyle name="Normal 4 3 3 4 3 3" xfId="33336"/>
    <cellStyle name="Normal 4 3 3 4 4" xfId="11793"/>
    <cellStyle name="Normal 4 3 3 4 4 2" xfId="33339"/>
    <cellStyle name="Normal 4 3 3 4 4 3" xfId="33338"/>
    <cellStyle name="Normal 4 3 3 4 5" xfId="33340"/>
    <cellStyle name="Normal 4 3 3 4 6" xfId="33333"/>
    <cellStyle name="Normal 4 3 3 5" xfId="7047"/>
    <cellStyle name="Normal 4 3 3 5 2" xfId="33342"/>
    <cellStyle name="Normal 4 3 3 5 3" xfId="33341"/>
    <cellStyle name="Normal 4 3 3 6" xfId="3920"/>
    <cellStyle name="Normal 4 3 3 6 2" xfId="33344"/>
    <cellStyle name="Normal 4 3 3 6 3" xfId="33343"/>
    <cellStyle name="Normal 4 3 3 7" xfId="9710"/>
    <cellStyle name="Normal 4 3 3 7 2" xfId="33346"/>
    <cellStyle name="Normal 4 3 3 7 3" xfId="33345"/>
    <cellStyle name="Normal 4 3 3 8" xfId="33347"/>
    <cellStyle name="Normal 4 3 3 9" xfId="33300"/>
    <cellStyle name="Normal 4 3 4" xfId="749"/>
    <cellStyle name="Normal 4 3 4 2" xfId="1437"/>
    <cellStyle name="Normal 4 3 4 2 2" xfId="3002"/>
    <cellStyle name="Normal 4 3 4 2 2 2" xfId="9287"/>
    <cellStyle name="Normal 4 3 4 2 2 2 2" xfId="33352"/>
    <cellStyle name="Normal 4 3 4 2 2 2 3" xfId="33351"/>
    <cellStyle name="Normal 4 3 4 2 2 3" xfId="6160"/>
    <cellStyle name="Normal 4 3 4 2 2 3 2" xfId="33354"/>
    <cellStyle name="Normal 4 3 4 2 2 3 3" xfId="33353"/>
    <cellStyle name="Normal 4 3 4 2 2 4" xfId="12470"/>
    <cellStyle name="Normal 4 3 4 2 2 4 2" xfId="33356"/>
    <cellStyle name="Normal 4 3 4 2 2 4 3" xfId="33355"/>
    <cellStyle name="Normal 4 3 4 2 2 5" xfId="33357"/>
    <cellStyle name="Normal 4 3 4 2 2 6" xfId="33350"/>
    <cellStyle name="Normal 4 3 4 2 3" xfId="7724"/>
    <cellStyle name="Normal 4 3 4 2 3 2" xfId="33359"/>
    <cellStyle name="Normal 4 3 4 2 3 3" xfId="33358"/>
    <cellStyle name="Normal 4 3 4 2 4" xfId="4597"/>
    <cellStyle name="Normal 4 3 4 2 4 2" xfId="33361"/>
    <cellStyle name="Normal 4 3 4 2 4 3" xfId="33360"/>
    <cellStyle name="Normal 4 3 4 2 5" xfId="10907"/>
    <cellStyle name="Normal 4 3 4 2 5 2" xfId="33363"/>
    <cellStyle name="Normal 4 3 4 2 5 3" xfId="33362"/>
    <cellStyle name="Normal 4 3 4 2 6" xfId="33364"/>
    <cellStyle name="Normal 4 3 4 2 7" xfId="33349"/>
    <cellStyle name="Normal 4 3 4 3" xfId="2322"/>
    <cellStyle name="Normal 4 3 4 3 2" xfId="8607"/>
    <cellStyle name="Normal 4 3 4 3 2 2" xfId="33367"/>
    <cellStyle name="Normal 4 3 4 3 2 3" xfId="33366"/>
    <cellStyle name="Normal 4 3 4 3 3" xfId="5480"/>
    <cellStyle name="Normal 4 3 4 3 3 2" xfId="33369"/>
    <cellStyle name="Normal 4 3 4 3 3 3" xfId="33368"/>
    <cellStyle name="Normal 4 3 4 3 4" xfId="11790"/>
    <cellStyle name="Normal 4 3 4 3 4 2" xfId="33371"/>
    <cellStyle name="Normal 4 3 4 3 4 3" xfId="33370"/>
    <cellStyle name="Normal 4 3 4 3 5" xfId="33372"/>
    <cellStyle name="Normal 4 3 4 3 6" xfId="33365"/>
    <cellStyle name="Normal 4 3 4 4" xfId="7044"/>
    <cellStyle name="Normal 4 3 4 4 2" xfId="33374"/>
    <cellStyle name="Normal 4 3 4 4 3" xfId="33373"/>
    <cellStyle name="Normal 4 3 4 5" xfId="3917"/>
    <cellStyle name="Normal 4 3 4 5 2" xfId="33376"/>
    <cellStyle name="Normal 4 3 4 5 3" xfId="33375"/>
    <cellStyle name="Normal 4 3 4 6" xfId="10294"/>
    <cellStyle name="Normal 4 3 4 6 2" xfId="33378"/>
    <cellStyle name="Normal 4 3 4 6 3" xfId="33377"/>
    <cellStyle name="Normal 4 3 4 7" xfId="33379"/>
    <cellStyle name="Normal 4 3 4 8" xfId="33348"/>
    <cellStyle name="Normal 4 3 5" xfId="1639"/>
    <cellStyle name="Normal 4 3 5 2" xfId="3204"/>
    <cellStyle name="Normal 4 3 5 2 2" xfId="9489"/>
    <cellStyle name="Normal 4 3 5 2 2 2" xfId="33383"/>
    <cellStyle name="Normal 4 3 5 2 2 3" xfId="33382"/>
    <cellStyle name="Normal 4 3 5 2 3" xfId="6362"/>
    <cellStyle name="Normal 4 3 5 2 3 2" xfId="33385"/>
    <cellStyle name="Normal 4 3 5 2 3 3" xfId="33384"/>
    <cellStyle name="Normal 4 3 5 2 4" xfId="12672"/>
    <cellStyle name="Normal 4 3 5 2 4 2" xfId="33387"/>
    <cellStyle name="Normal 4 3 5 2 4 3" xfId="33386"/>
    <cellStyle name="Normal 4 3 5 2 5" xfId="33388"/>
    <cellStyle name="Normal 4 3 5 2 6" xfId="33381"/>
    <cellStyle name="Normal 4 3 5 3" xfId="7926"/>
    <cellStyle name="Normal 4 3 5 3 2" xfId="33390"/>
    <cellStyle name="Normal 4 3 5 3 3" xfId="33389"/>
    <cellStyle name="Normal 4 3 5 4" xfId="4799"/>
    <cellStyle name="Normal 4 3 5 4 2" xfId="33392"/>
    <cellStyle name="Normal 4 3 5 4 3" xfId="33391"/>
    <cellStyle name="Normal 4 3 5 5" xfId="11109"/>
    <cellStyle name="Normal 4 3 5 5 2" xfId="33394"/>
    <cellStyle name="Normal 4 3 5 5 3" xfId="33393"/>
    <cellStyle name="Normal 4 3 5 6" xfId="33395"/>
    <cellStyle name="Normal 4 3 5 7" xfId="33380"/>
    <cellStyle name="Normal 4 3 6" xfId="9952"/>
    <cellStyle name="Normal 4 3 6 2" xfId="33396"/>
    <cellStyle name="Normal 4 3 7" xfId="9707"/>
    <cellStyle name="Normal 4 3 7 2" xfId="33398"/>
    <cellStyle name="Normal 4 3 7 3" xfId="33397"/>
    <cellStyle name="Normal 4 3 8" xfId="33203"/>
    <cellStyle name="Normal 4 4" xfId="273"/>
    <cellStyle name="Normal 4 4 10" xfId="9711"/>
    <cellStyle name="Normal 4 4 10 2" xfId="33401"/>
    <cellStyle name="Normal 4 4 10 3" xfId="33400"/>
    <cellStyle name="Normal 4 4 11" xfId="33402"/>
    <cellStyle name="Normal 4 4 12" xfId="33399"/>
    <cellStyle name="Normal 4 4 2" xfId="754"/>
    <cellStyle name="Normal 4 4 2 10" xfId="33403"/>
    <cellStyle name="Normal 4 4 2 2" xfId="755"/>
    <cellStyle name="Normal 4 4 2 2 2" xfId="1443"/>
    <cellStyle name="Normal 4 4 2 2 2 2" xfId="3008"/>
    <cellStyle name="Normal 4 4 2 2 2 2 2" xfId="9293"/>
    <cellStyle name="Normal 4 4 2 2 2 2 2 2" xfId="33408"/>
    <cellStyle name="Normal 4 4 2 2 2 2 2 3" xfId="33407"/>
    <cellStyle name="Normal 4 4 2 2 2 2 3" xfId="6166"/>
    <cellStyle name="Normal 4 4 2 2 2 2 3 2" xfId="33410"/>
    <cellStyle name="Normal 4 4 2 2 2 2 3 3" xfId="33409"/>
    <cellStyle name="Normal 4 4 2 2 2 2 4" xfId="12476"/>
    <cellStyle name="Normal 4 4 2 2 2 2 4 2" xfId="33412"/>
    <cellStyle name="Normal 4 4 2 2 2 2 4 3" xfId="33411"/>
    <cellStyle name="Normal 4 4 2 2 2 2 5" xfId="33413"/>
    <cellStyle name="Normal 4 4 2 2 2 2 6" xfId="33406"/>
    <cellStyle name="Normal 4 4 2 2 2 3" xfId="7730"/>
    <cellStyle name="Normal 4 4 2 2 2 3 2" xfId="33415"/>
    <cellStyle name="Normal 4 4 2 2 2 3 3" xfId="33414"/>
    <cellStyle name="Normal 4 4 2 2 2 4" xfId="4603"/>
    <cellStyle name="Normal 4 4 2 2 2 4 2" xfId="33417"/>
    <cellStyle name="Normal 4 4 2 2 2 4 3" xfId="33416"/>
    <cellStyle name="Normal 4 4 2 2 2 5" xfId="10913"/>
    <cellStyle name="Normal 4 4 2 2 2 5 2" xfId="33419"/>
    <cellStyle name="Normal 4 4 2 2 2 5 3" xfId="33418"/>
    <cellStyle name="Normal 4 4 2 2 2 6" xfId="33420"/>
    <cellStyle name="Normal 4 4 2 2 2 7" xfId="33405"/>
    <cellStyle name="Normal 4 4 2 2 3" xfId="1645"/>
    <cellStyle name="Normal 4 4 2 2 3 2" xfId="3210"/>
    <cellStyle name="Normal 4 4 2 2 3 2 2" xfId="9495"/>
    <cellStyle name="Normal 4 4 2 2 3 2 2 2" xfId="33424"/>
    <cellStyle name="Normal 4 4 2 2 3 2 2 3" xfId="33423"/>
    <cellStyle name="Normal 4 4 2 2 3 2 3" xfId="6368"/>
    <cellStyle name="Normal 4 4 2 2 3 2 3 2" xfId="33426"/>
    <cellStyle name="Normal 4 4 2 2 3 2 3 3" xfId="33425"/>
    <cellStyle name="Normal 4 4 2 2 3 2 4" xfId="12678"/>
    <cellStyle name="Normal 4 4 2 2 3 2 4 2" xfId="33428"/>
    <cellStyle name="Normal 4 4 2 2 3 2 4 3" xfId="33427"/>
    <cellStyle name="Normal 4 4 2 2 3 2 5" xfId="33429"/>
    <cellStyle name="Normal 4 4 2 2 3 2 6" xfId="33422"/>
    <cellStyle name="Normal 4 4 2 2 3 3" xfId="7932"/>
    <cellStyle name="Normal 4 4 2 2 3 3 2" xfId="33431"/>
    <cellStyle name="Normal 4 4 2 2 3 3 3" xfId="33430"/>
    <cellStyle name="Normal 4 4 2 2 3 4" xfId="4805"/>
    <cellStyle name="Normal 4 4 2 2 3 4 2" xfId="33433"/>
    <cellStyle name="Normal 4 4 2 2 3 4 3" xfId="33432"/>
    <cellStyle name="Normal 4 4 2 2 3 5" xfId="11115"/>
    <cellStyle name="Normal 4 4 2 2 3 5 2" xfId="33435"/>
    <cellStyle name="Normal 4 4 2 2 3 5 3" xfId="33434"/>
    <cellStyle name="Normal 4 4 2 2 3 6" xfId="33436"/>
    <cellStyle name="Normal 4 4 2 2 3 7" xfId="33421"/>
    <cellStyle name="Normal 4 4 2 2 4" xfId="2328"/>
    <cellStyle name="Normal 4 4 2 2 4 2" xfId="8613"/>
    <cellStyle name="Normal 4 4 2 2 4 2 2" xfId="33439"/>
    <cellStyle name="Normal 4 4 2 2 4 2 3" xfId="33438"/>
    <cellStyle name="Normal 4 4 2 2 4 3" xfId="5486"/>
    <cellStyle name="Normal 4 4 2 2 4 3 2" xfId="33441"/>
    <cellStyle name="Normal 4 4 2 2 4 3 3" xfId="33440"/>
    <cellStyle name="Normal 4 4 2 2 4 4" xfId="11796"/>
    <cellStyle name="Normal 4 4 2 2 4 4 2" xfId="33443"/>
    <cellStyle name="Normal 4 4 2 2 4 4 3" xfId="33442"/>
    <cellStyle name="Normal 4 4 2 2 4 5" xfId="33444"/>
    <cellStyle name="Normal 4 4 2 2 4 6" xfId="33437"/>
    <cellStyle name="Normal 4 4 2 2 5" xfId="7050"/>
    <cellStyle name="Normal 4 4 2 2 5 2" xfId="33446"/>
    <cellStyle name="Normal 4 4 2 2 5 3" xfId="33445"/>
    <cellStyle name="Normal 4 4 2 2 6" xfId="3923"/>
    <cellStyle name="Normal 4 4 2 2 6 2" xfId="33448"/>
    <cellStyle name="Normal 4 4 2 2 6 3" xfId="33447"/>
    <cellStyle name="Normal 4 4 2 2 7" xfId="9713"/>
    <cellStyle name="Normal 4 4 2 2 7 2" xfId="33450"/>
    <cellStyle name="Normal 4 4 2 2 7 3" xfId="33449"/>
    <cellStyle name="Normal 4 4 2 2 8" xfId="33451"/>
    <cellStyle name="Normal 4 4 2 2 9" xfId="33404"/>
    <cellStyle name="Normal 4 4 2 3" xfId="1442"/>
    <cellStyle name="Normal 4 4 2 3 2" xfId="3007"/>
    <cellStyle name="Normal 4 4 2 3 2 2" xfId="9292"/>
    <cellStyle name="Normal 4 4 2 3 2 2 2" xfId="33455"/>
    <cellStyle name="Normal 4 4 2 3 2 2 3" xfId="33454"/>
    <cellStyle name="Normal 4 4 2 3 2 3" xfId="6165"/>
    <cellStyle name="Normal 4 4 2 3 2 3 2" xfId="33457"/>
    <cellStyle name="Normal 4 4 2 3 2 3 3" xfId="33456"/>
    <cellStyle name="Normal 4 4 2 3 2 4" xfId="12475"/>
    <cellStyle name="Normal 4 4 2 3 2 4 2" xfId="33459"/>
    <cellStyle name="Normal 4 4 2 3 2 4 3" xfId="33458"/>
    <cellStyle name="Normal 4 4 2 3 2 5" xfId="33460"/>
    <cellStyle name="Normal 4 4 2 3 2 6" xfId="33453"/>
    <cellStyle name="Normal 4 4 2 3 3" xfId="7729"/>
    <cellStyle name="Normal 4 4 2 3 3 2" xfId="33462"/>
    <cellStyle name="Normal 4 4 2 3 3 3" xfId="33461"/>
    <cellStyle name="Normal 4 4 2 3 4" xfId="4602"/>
    <cellStyle name="Normal 4 4 2 3 4 2" xfId="33464"/>
    <cellStyle name="Normal 4 4 2 3 4 3" xfId="33463"/>
    <cellStyle name="Normal 4 4 2 3 5" xfId="10912"/>
    <cellStyle name="Normal 4 4 2 3 5 2" xfId="33466"/>
    <cellStyle name="Normal 4 4 2 3 5 3" xfId="33465"/>
    <cellStyle name="Normal 4 4 2 3 6" xfId="33467"/>
    <cellStyle name="Normal 4 4 2 3 7" xfId="33452"/>
    <cellStyle name="Normal 4 4 2 4" xfId="1644"/>
    <cellStyle name="Normal 4 4 2 4 2" xfId="3209"/>
    <cellStyle name="Normal 4 4 2 4 2 2" xfId="9494"/>
    <cellStyle name="Normal 4 4 2 4 2 2 2" xfId="33471"/>
    <cellStyle name="Normal 4 4 2 4 2 2 3" xfId="33470"/>
    <cellStyle name="Normal 4 4 2 4 2 3" xfId="6367"/>
    <cellStyle name="Normal 4 4 2 4 2 3 2" xfId="33473"/>
    <cellStyle name="Normal 4 4 2 4 2 3 3" xfId="33472"/>
    <cellStyle name="Normal 4 4 2 4 2 4" xfId="12677"/>
    <cellStyle name="Normal 4 4 2 4 2 4 2" xfId="33475"/>
    <cellStyle name="Normal 4 4 2 4 2 4 3" xfId="33474"/>
    <cellStyle name="Normal 4 4 2 4 2 5" xfId="33476"/>
    <cellStyle name="Normal 4 4 2 4 2 6" xfId="33469"/>
    <cellStyle name="Normal 4 4 2 4 3" xfId="7931"/>
    <cellStyle name="Normal 4 4 2 4 3 2" xfId="33478"/>
    <cellStyle name="Normal 4 4 2 4 3 3" xfId="33477"/>
    <cellStyle name="Normal 4 4 2 4 4" xfId="4804"/>
    <cellStyle name="Normal 4 4 2 4 4 2" xfId="33480"/>
    <cellStyle name="Normal 4 4 2 4 4 3" xfId="33479"/>
    <cellStyle name="Normal 4 4 2 4 5" xfId="11114"/>
    <cellStyle name="Normal 4 4 2 4 5 2" xfId="33482"/>
    <cellStyle name="Normal 4 4 2 4 5 3" xfId="33481"/>
    <cellStyle name="Normal 4 4 2 4 6" xfId="33483"/>
    <cellStyle name="Normal 4 4 2 4 7" xfId="33468"/>
    <cellStyle name="Normal 4 4 2 5" xfId="2327"/>
    <cellStyle name="Normal 4 4 2 5 2" xfId="8612"/>
    <cellStyle name="Normal 4 4 2 5 2 2" xfId="33486"/>
    <cellStyle name="Normal 4 4 2 5 2 3" xfId="33485"/>
    <cellStyle name="Normal 4 4 2 5 3" xfId="5485"/>
    <cellStyle name="Normal 4 4 2 5 3 2" xfId="33488"/>
    <cellStyle name="Normal 4 4 2 5 3 3" xfId="33487"/>
    <cellStyle name="Normal 4 4 2 5 4" xfId="11795"/>
    <cellStyle name="Normal 4 4 2 5 4 2" xfId="33490"/>
    <cellStyle name="Normal 4 4 2 5 4 3" xfId="33489"/>
    <cellStyle name="Normal 4 4 2 5 5" xfId="33491"/>
    <cellStyle name="Normal 4 4 2 5 6" xfId="33484"/>
    <cellStyle name="Normal 4 4 2 6" xfId="7049"/>
    <cellStyle name="Normal 4 4 2 6 2" xfId="33493"/>
    <cellStyle name="Normal 4 4 2 6 3" xfId="33492"/>
    <cellStyle name="Normal 4 4 2 7" xfId="3922"/>
    <cellStyle name="Normal 4 4 2 7 2" xfId="33495"/>
    <cellStyle name="Normal 4 4 2 7 3" xfId="33494"/>
    <cellStyle name="Normal 4 4 2 8" xfId="9712"/>
    <cellStyle name="Normal 4 4 2 8 2" xfId="33497"/>
    <cellStyle name="Normal 4 4 2 8 3" xfId="33496"/>
    <cellStyle name="Normal 4 4 2 9" xfId="33498"/>
    <cellStyle name="Normal 4 4 3" xfId="756"/>
    <cellStyle name="Normal 4 4 3 2" xfId="1444"/>
    <cellStyle name="Normal 4 4 3 2 2" xfId="3009"/>
    <cellStyle name="Normal 4 4 3 2 2 2" xfId="9294"/>
    <cellStyle name="Normal 4 4 3 2 2 2 2" xfId="33503"/>
    <cellStyle name="Normal 4 4 3 2 2 2 3" xfId="33502"/>
    <cellStyle name="Normal 4 4 3 2 2 3" xfId="6167"/>
    <cellStyle name="Normal 4 4 3 2 2 3 2" xfId="33505"/>
    <cellStyle name="Normal 4 4 3 2 2 3 3" xfId="33504"/>
    <cellStyle name="Normal 4 4 3 2 2 4" xfId="12477"/>
    <cellStyle name="Normal 4 4 3 2 2 4 2" xfId="33507"/>
    <cellStyle name="Normal 4 4 3 2 2 4 3" xfId="33506"/>
    <cellStyle name="Normal 4 4 3 2 2 5" xfId="33508"/>
    <cellStyle name="Normal 4 4 3 2 2 6" xfId="33501"/>
    <cellStyle name="Normal 4 4 3 2 3" xfId="7731"/>
    <cellStyle name="Normal 4 4 3 2 3 2" xfId="33510"/>
    <cellStyle name="Normal 4 4 3 2 3 3" xfId="33509"/>
    <cellStyle name="Normal 4 4 3 2 4" xfId="4604"/>
    <cellStyle name="Normal 4 4 3 2 4 2" xfId="33512"/>
    <cellStyle name="Normal 4 4 3 2 4 3" xfId="33511"/>
    <cellStyle name="Normal 4 4 3 2 5" xfId="10914"/>
    <cellStyle name="Normal 4 4 3 2 5 2" xfId="33514"/>
    <cellStyle name="Normal 4 4 3 2 5 3" xfId="33513"/>
    <cellStyle name="Normal 4 4 3 2 6" xfId="33515"/>
    <cellStyle name="Normal 4 4 3 2 7" xfId="33500"/>
    <cellStyle name="Normal 4 4 3 3" xfId="1646"/>
    <cellStyle name="Normal 4 4 3 3 2" xfId="3211"/>
    <cellStyle name="Normal 4 4 3 3 2 2" xfId="9496"/>
    <cellStyle name="Normal 4 4 3 3 2 2 2" xfId="33519"/>
    <cellStyle name="Normal 4 4 3 3 2 2 3" xfId="33518"/>
    <cellStyle name="Normal 4 4 3 3 2 3" xfId="6369"/>
    <cellStyle name="Normal 4 4 3 3 2 3 2" xfId="33521"/>
    <cellStyle name="Normal 4 4 3 3 2 3 3" xfId="33520"/>
    <cellStyle name="Normal 4 4 3 3 2 4" xfId="12679"/>
    <cellStyle name="Normal 4 4 3 3 2 4 2" xfId="33523"/>
    <cellStyle name="Normal 4 4 3 3 2 4 3" xfId="33522"/>
    <cellStyle name="Normal 4 4 3 3 2 5" xfId="33524"/>
    <cellStyle name="Normal 4 4 3 3 2 6" xfId="33517"/>
    <cellStyle name="Normal 4 4 3 3 3" xfId="7933"/>
    <cellStyle name="Normal 4 4 3 3 3 2" xfId="33526"/>
    <cellStyle name="Normal 4 4 3 3 3 3" xfId="33525"/>
    <cellStyle name="Normal 4 4 3 3 4" xfId="4806"/>
    <cellStyle name="Normal 4 4 3 3 4 2" xfId="33528"/>
    <cellStyle name="Normal 4 4 3 3 4 3" xfId="33527"/>
    <cellStyle name="Normal 4 4 3 3 5" xfId="11116"/>
    <cellStyle name="Normal 4 4 3 3 5 2" xfId="33530"/>
    <cellStyle name="Normal 4 4 3 3 5 3" xfId="33529"/>
    <cellStyle name="Normal 4 4 3 3 6" xfId="33531"/>
    <cellStyle name="Normal 4 4 3 3 7" xfId="33516"/>
    <cellStyle name="Normal 4 4 3 4" xfId="2329"/>
    <cellStyle name="Normal 4 4 3 4 2" xfId="8614"/>
    <cellStyle name="Normal 4 4 3 4 2 2" xfId="33534"/>
    <cellStyle name="Normal 4 4 3 4 2 3" xfId="33533"/>
    <cellStyle name="Normal 4 4 3 4 3" xfId="5487"/>
    <cellStyle name="Normal 4 4 3 4 3 2" xfId="33536"/>
    <cellStyle name="Normal 4 4 3 4 3 3" xfId="33535"/>
    <cellStyle name="Normal 4 4 3 4 4" xfId="11797"/>
    <cellStyle name="Normal 4 4 3 4 4 2" xfId="33538"/>
    <cellStyle name="Normal 4 4 3 4 4 3" xfId="33537"/>
    <cellStyle name="Normal 4 4 3 4 5" xfId="33539"/>
    <cellStyle name="Normal 4 4 3 4 6" xfId="33532"/>
    <cellStyle name="Normal 4 4 3 5" xfId="7051"/>
    <cellStyle name="Normal 4 4 3 5 2" xfId="33541"/>
    <cellStyle name="Normal 4 4 3 5 3" xfId="33540"/>
    <cellStyle name="Normal 4 4 3 6" xfId="3924"/>
    <cellStyle name="Normal 4 4 3 6 2" xfId="33543"/>
    <cellStyle name="Normal 4 4 3 6 3" xfId="33542"/>
    <cellStyle name="Normal 4 4 3 7" xfId="9714"/>
    <cellStyle name="Normal 4 4 3 7 2" xfId="33545"/>
    <cellStyle name="Normal 4 4 3 7 3" xfId="33544"/>
    <cellStyle name="Normal 4 4 3 8" xfId="33546"/>
    <cellStyle name="Normal 4 4 3 9" xfId="33499"/>
    <cellStyle name="Normal 4 4 4" xfId="753"/>
    <cellStyle name="Normal 4 4 4 2" xfId="1441"/>
    <cellStyle name="Normal 4 4 4 2 2" xfId="3006"/>
    <cellStyle name="Normal 4 4 4 2 2 2" xfId="9291"/>
    <cellStyle name="Normal 4 4 4 2 2 2 2" xfId="33551"/>
    <cellStyle name="Normal 4 4 4 2 2 2 3" xfId="33550"/>
    <cellStyle name="Normal 4 4 4 2 2 3" xfId="6164"/>
    <cellStyle name="Normal 4 4 4 2 2 3 2" xfId="33553"/>
    <cellStyle name="Normal 4 4 4 2 2 3 3" xfId="33552"/>
    <cellStyle name="Normal 4 4 4 2 2 4" xfId="12474"/>
    <cellStyle name="Normal 4 4 4 2 2 4 2" xfId="33555"/>
    <cellStyle name="Normal 4 4 4 2 2 4 3" xfId="33554"/>
    <cellStyle name="Normal 4 4 4 2 2 5" xfId="33556"/>
    <cellStyle name="Normal 4 4 4 2 2 6" xfId="33549"/>
    <cellStyle name="Normal 4 4 4 2 3" xfId="7728"/>
    <cellStyle name="Normal 4 4 4 2 3 2" xfId="33558"/>
    <cellStyle name="Normal 4 4 4 2 3 3" xfId="33557"/>
    <cellStyle name="Normal 4 4 4 2 4" xfId="4601"/>
    <cellStyle name="Normal 4 4 4 2 4 2" xfId="33560"/>
    <cellStyle name="Normal 4 4 4 2 4 3" xfId="33559"/>
    <cellStyle name="Normal 4 4 4 2 5" xfId="10911"/>
    <cellStyle name="Normal 4 4 4 2 5 2" xfId="33562"/>
    <cellStyle name="Normal 4 4 4 2 5 3" xfId="33561"/>
    <cellStyle name="Normal 4 4 4 2 6" xfId="33563"/>
    <cellStyle name="Normal 4 4 4 2 7" xfId="33548"/>
    <cellStyle name="Normal 4 4 4 3" xfId="2326"/>
    <cellStyle name="Normal 4 4 4 3 2" xfId="8611"/>
    <cellStyle name="Normal 4 4 4 3 2 2" xfId="33566"/>
    <cellStyle name="Normal 4 4 4 3 2 3" xfId="33565"/>
    <cellStyle name="Normal 4 4 4 3 3" xfId="5484"/>
    <cellStyle name="Normal 4 4 4 3 3 2" xfId="33568"/>
    <cellStyle name="Normal 4 4 4 3 3 3" xfId="33567"/>
    <cellStyle name="Normal 4 4 4 3 4" xfId="11794"/>
    <cellStyle name="Normal 4 4 4 3 4 2" xfId="33570"/>
    <cellStyle name="Normal 4 4 4 3 4 3" xfId="33569"/>
    <cellStyle name="Normal 4 4 4 3 5" xfId="33571"/>
    <cellStyle name="Normal 4 4 4 3 6" xfId="33564"/>
    <cellStyle name="Normal 4 4 4 4" xfId="7048"/>
    <cellStyle name="Normal 4 4 4 4 2" xfId="33573"/>
    <cellStyle name="Normal 4 4 4 4 3" xfId="33572"/>
    <cellStyle name="Normal 4 4 4 5" xfId="3921"/>
    <cellStyle name="Normal 4 4 4 5 2" xfId="33575"/>
    <cellStyle name="Normal 4 4 4 5 3" xfId="33574"/>
    <cellStyle name="Normal 4 4 4 6" xfId="10295"/>
    <cellStyle name="Normal 4 4 4 6 2" xfId="33577"/>
    <cellStyle name="Normal 4 4 4 6 3" xfId="33576"/>
    <cellStyle name="Normal 4 4 4 7" xfId="33578"/>
    <cellStyle name="Normal 4 4 4 8" xfId="33547"/>
    <cellStyle name="Normal 4 4 5" xfId="984"/>
    <cellStyle name="Normal 4 4 5 2" xfId="2550"/>
    <cellStyle name="Normal 4 4 5 2 2" xfId="8835"/>
    <cellStyle name="Normal 4 4 5 2 2 2" xfId="33582"/>
    <cellStyle name="Normal 4 4 5 2 2 3" xfId="33581"/>
    <cellStyle name="Normal 4 4 5 2 3" xfId="5708"/>
    <cellStyle name="Normal 4 4 5 2 3 2" xfId="33584"/>
    <cellStyle name="Normal 4 4 5 2 3 3" xfId="33583"/>
    <cellStyle name="Normal 4 4 5 2 4" xfId="12018"/>
    <cellStyle name="Normal 4 4 5 2 4 2" xfId="33586"/>
    <cellStyle name="Normal 4 4 5 2 4 3" xfId="33585"/>
    <cellStyle name="Normal 4 4 5 2 5" xfId="33587"/>
    <cellStyle name="Normal 4 4 5 2 6" xfId="33580"/>
    <cellStyle name="Normal 4 4 5 3" xfId="7272"/>
    <cellStyle name="Normal 4 4 5 3 2" xfId="33589"/>
    <cellStyle name="Normal 4 4 5 3 3" xfId="33588"/>
    <cellStyle name="Normal 4 4 5 4" xfId="4145"/>
    <cellStyle name="Normal 4 4 5 4 2" xfId="33591"/>
    <cellStyle name="Normal 4 4 5 4 3" xfId="33590"/>
    <cellStyle name="Normal 4 4 5 5" xfId="10455"/>
    <cellStyle name="Normal 4 4 5 5 2" xfId="33593"/>
    <cellStyle name="Normal 4 4 5 5 3" xfId="33592"/>
    <cellStyle name="Normal 4 4 5 6" xfId="33594"/>
    <cellStyle name="Normal 4 4 5 7" xfId="33579"/>
    <cellStyle name="Normal 4 4 6" xfId="1643"/>
    <cellStyle name="Normal 4 4 6 2" xfId="3208"/>
    <cellStyle name="Normal 4 4 6 2 2" xfId="9493"/>
    <cellStyle name="Normal 4 4 6 2 2 2" xfId="33598"/>
    <cellStyle name="Normal 4 4 6 2 2 3" xfId="33597"/>
    <cellStyle name="Normal 4 4 6 2 3" xfId="6366"/>
    <cellStyle name="Normal 4 4 6 2 3 2" xfId="33600"/>
    <cellStyle name="Normal 4 4 6 2 3 3" xfId="33599"/>
    <cellStyle name="Normal 4 4 6 2 4" xfId="12676"/>
    <cellStyle name="Normal 4 4 6 2 4 2" xfId="33602"/>
    <cellStyle name="Normal 4 4 6 2 4 3" xfId="33601"/>
    <cellStyle name="Normal 4 4 6 2 5" xfId="33603"/>
    <cellStyle name="Normal 4 4 6 2 6" xfId="33596"/>
    <cellStyle name="Normal 4 4 6 3" xfId="7930"/>
    <cellStyle name="Normal 4 4 6 3 2" xfId="33605"/>
    <cellStyle name="Normal 4 4 6 3 3" xfId="33604"/>
    <cellStyle name="Normal 4 4 6 4" xfId="4803"/>
    <cellStyle name="Normal 4 4 6 4 2" xfId="33607"/>
    <cellStyle name="Normal 4 4 6 4 3" xfId="33606"/>
    <cellStyle name="Normal 4 4 6 5" xfId="11113"/>
    <cellStyle name="Normal 4 4 6 5 2" xfId="33609"/>
    <cellStyle name="Normal 4 4 6 5 3" xfId="33608"/>
    <cellStyle name="Normal 4 4 6 6" xfId="33610"/>
    <cellStyle name="Normal 4 4 6 7" xfId="33595"/>
    <cellStyle name="Normal 4 4 7" xfId="1870"/>
    <cellStyle name="Normal 4 4 7 2" xfId="8155"/>
    <cellStyle name="Normal 4 4 7 2 2" xfId="33613"/>
    <cellStyle name="Normal 4 4 7 2 3" xfId="33612"/>
    <cellStyle name="Normal 4 4 7 3" xfId="5028"/>
    <cellStyle name="Normal 4 4 7 3 2" xfId="33615"/>
    <cellStyle name="Normal 4 4 7 3 3" xfId="33614"/>
    <cellStyle name="Normal 4 4 7 4" xfId="11338"/>
    <cellStyle name="Normal 4 4 7 4 2" xfId="33617"/>
    <cellStyle name="Normal 4 4 7 4 3" xfId="33616"/>
    <cellStyle name="Normal 4 4 7 5" xfId="33618"/>
    <cellStyle name="Normal 4 4 7 6" xfId="33611"/>
    <cellStyle name="Normal 4 4 8" xfId="6592"/>
    <cellStyle name="Normal 4 4 8 2" xfId="33620"/>
    <cellStyle name="Normal 4 4 8 3" xfId="33619"/>
    <cellStyle name="Normal 4 4 9" xfId="3465"/>
    <cellStyle name="Normal 4 4 9 2" xfId="33622"/>
    <cellStyle name="Normal 4 4 9 3" xfId="33621"/>
    <cellStyle name="Normal 4 5" xfId="381"/>
    <cellStyle name="Normal 4 5 10" xfId="9715"/>
    <cellStyle name="Normal 4 5 10 2" xfId="33625"/>
    <cellStyle name="Normal 4 5 10 3" xfId="33624"/>
    <cellStyle name="Normal 4 5 11" xfId="33626"/>
    <cellStyle name="Normal 4 5 12" xfId="33623"/>
    <cellStyle name="Normal 4 5 2" xfId="758"/>
    <cellStyle name="Normal 4 5 2 10" xfId="33627"/>
    <cellStyle name="Normal 4 5 2 2" xfId="759"/>
    <cellStyle name="Normal 4 5 2 2 2" xfId="1447"/>
    <cellStyle name="Normal 4 5 2 2 2 2" xfId="3012"/>
    <cellStyle name="Normal 4 5 2 2 2 2 2" xfId="9297"/>
    <cellStyle name="Normal 4 5 2 2 2 2 2 2" xfId="33632"/>
    <cellStyle name="Normal 4 5 2 2 2 2 2 3" xfId="33631"/>
    <cellStyle name="Normal 4 5 2 2 2 2 3" xfId="6170"/>
    <cellStyle name="Normal 4 5 2 2 2 2 3 2" xfId="33634"/>
    <cellStyle name="Normal 4 5 2 2 2 2 3 3" xfId="33633"/>
    <cellStyle name="Normal 4 5 2 2 2 2 4" xfId="12480"/>
    <cellStyle name="Normal 4 5 2 2 2 2 4 2" xfId="33636"/>
    <cellStyle name="Normal 4 5 2 2 2 2 4 3" xfId="33635"/>
    <cellStyle name="Normal 4 5 2 2 2 2 5" xfId="33637"/>
    <cellStyle name="Normal 4 5 2 2 2 2 6" xfId="33630"/>
    <cellStyle name="Normal 4 5 2 2 2 3" xfId="7734"/>
    <cellStyle name="Normal 4 5 2 2 2 3 2" xfId="33639"/>
    <cellStyle name="Normal 4 5 2 2 2 3 3" xfId="33638"/>
    <cellStyle name="Normal 4 5 2 2 2 4" xfId="4607"/>
    <cellStyle name="Normal 4 5 2 2 2 4 2" xfId="33641"/>
    <cellStyle name="Normal 4 5 2 2 2 4 3" xfId="33640"/>
    <cellStyle name="Normal 4 5 2 2 2 5" xfId="10917"/>
    <cellStyle name="Normal 4 5 2 2 2 5 2" xfId="33643"/>
    <cellStyle name="Normal 4 5 2 2 2 5 3" xfId="33642"/>
    <cellStyle name="Normal 4 5 2 2 2 6" xfId="33644"/>
    <cellStyle name="Normal 4 5 2 2 2 7" xfId="33629"/>
    <cellStyle name="Normal 4 5 2 2 3" xfId="1649"/>
    <cellStyle name="Normal 4 5 2 2 3 2" xfId="3214"/>
    <cellStyle name="Normal 4 5 2 2 3 2 2" xfId="9499"/>
    <cellStyle name="Normal 4 5 2 2 3 2 2 2" xfId="33648"/>
    <cellStyle name="Normal 4 5 2 2 3 2 2 3" xfId="33647"/>
    <cellStyle name="Normal 4 5 2 2 3 2 3" xfId="6372"/>
    <cellStyle name="Normal 4 5 2 2 3 2 3 2" xfId="33650"/>
    <cellStyle name="Normal 4 5 2 2 3 2 3 3" xfId="33649"/>
    <cellStyle name="Normal 4 5 2 2 3 2 4" xfId="12682"/>
    <cellStyle name="Normal 4 5 2 2 3 2 4 2" xfId="33652"/>
    <cellStyle name="Normal 4 5 2 2 3 2 4 3" xfId="33651"/>
    <cellStyle name="Normal 4 5 2 2 3 2 5" xfId="33653"/>
    <cellStyle name="Normal 4 5 2 2 3 2 6" xfId="33646"/>
    <cellStyle name="Normal 4 5 2 2 3 3" xfId="7936"/>
    <cellStyle name="Normal 4 5 2 2 3 3 2" xfId="33655"/>
    <cellStyle name="Normal 4 5 2 2 3 3 3" xfId="33654"/>
    <cellStyle name="Normal 4 5 2 2 3 4" xfId="4809"/>
    <cellStyle name="Normal 4 5 2 2 3 4 2" xfId="33657"/>
    <cellStyle name="Normal 4 5 2 2 3 4 3" xfId="33656"/>
    <cellStyle name="Normal 4 5 2 2 3 5" xfId="11119"/>
    <cellStyle name="Normal 4 5 2 2 3 5 2" xfId="33659"/>
    <cellStyle name="Normal 4 5 2 2 3 5 3" xfId="33658"/>
    <cellStyle name="Normal 4 5 2 2 3 6" xfId="33660"/>
    <cellStyle name="Normal 4 5 2 2 3 7" xfId="33645"/>
    <cellStyle name="Normal 4 5 2 2 4" xfId="2332"/>
    <cellStyle name="Normal 4 5 2 2 4 2" xfId="8617"/>
    <cellStyle name="Normal 4 5 2 2 4 2 2" xfId="33663"/>
    <cellStyle name="Normal 4 5 2 2 4 2 3" xfId="33662"/>
    <cellStyle name="Normal 4 5 2 2 4 3" xfId="5490"/>
    <cellStyle name="Normal 4 5 2 2 4 3 2" xfId="33665"/>
    <cellStyle name="Normal 4 5 2 2 4 3 3" xfId="33664"/>
    <cellStyle name="Normal 4 5 2 2 4 4" xfId="11800"/>
    <cellStyle name="Normal 4 5 2 2 4 4 2" xfId="33667"/>
    <cellStyle name="Normal 4 5 2 2 4 4 3" xfId="33666"/>
    <cellStyle name="Normal 4 5 2 2 4 5" xfId="33668"/>
    <cellStyle name="Normal 4 5 2 2 4 6" xfId="33661"/>
    <cellStyle name="Normal 4 5 2 2 5" xfId="7054"/>
    <cellStyle name="Normal 4 5 2 2 5 2" xfId="33670"/>
    <cellStyle name="Normal 4 5 2 2 5 3" xfId="33669"/>
    <cellStyle name="Normal 4 5 2 2 6" xfId="3927"/>
    <cellStyle name="Normal 4 5 2 2 6 2" xfId="33672"/>
    <cellStyle name="Normal 4 5 2 2 6 3" xfId="33671"/>
    <cellStyle name="Normal 4 5 2 2 7" xfId="9717"/>
    <cellStyle name="Normal 4 5 2 2 7 2" xfId="33674"/>
    <cellStyle name="Normal 4 5 2 2 7 3" xfId="33673"/>
    <cellStyle name="Normal 4 5 2 2 8" xfId="33675"/>
    <cellStyle name="Normal 4 5 2 2 9" xfId="33628"/>
    <cellStyle name="Normal 4 5 2 3" xfId="1446"/>
    <cellStyle name="Normal 4 5 2 3 2" xfId="3011"/>
    <cellStyle name="Normal 4 5 2 3 2 2" xfId="9296"/>
    <cellStyle name="Normal 4 5 2 3 2 2 2" xfId="33679"/>
    <cellStyle name="Normal 4 5 2 3 2 2 3" xfId="33678"/>
    <cellStyle name="Normal 4 5 2 3 2 3" xfId="6169"/>
    <cellStyle name="Normal 4 5 2 3 2 3 2" xfId="33681"/>
    <cellStyle name="Normal 4 5 2 3 2 3 3" xfId="33680"/>
    <cellStyle name="Normal 4 5 2 3 2 4" xfId="12479"/>
    <cellStyle name="Normal 4 5 2 3 2 4 2" xfId="33683"/>
    <cellStyle name="Normal 4 5 2 3 2 4 3" xfId="33682"/>
    <cellStyle name="Normal 4 5 2 3 2 5" xfId="33684"/>
    <cellStyle name="Normal 4 5 2 3 2 6" xfId="33677"/>
    <cellStyle name="Normal 4 5 2 3 3" xfId="7733"/>
    <cellStyle name="Normal 4 5 2 3 3 2" xfId="33686"/>
    <cellStyle name="Normal 4 5 2 3 3 3" xfId="33685"/>
    <cellStyle name="Normal 4 5 2 3 4" xfId="4606"/>
    <cellStyle name="Normal 4 5 2 3 4 2" xfId="33688"/>
    <cellStyle name="Normal 4 5 2 3 4 3" xfId="33687"/>
    <cellStyle name="Normal 4 5 2 3 5" xfId="10916"/>
    <cellStyle name="Normal 4 5 2 3 5 2" xfId="33690"/>
    <cellStyle name="Normal 4 5 2 3 5 3" xfId="33689"/>
    <cellStyle name="Normal 4 5 2 3 6" xfId="33691"/>
    <cellStyle name="Normal 4 5 2 3 7" xfId="33676"/>
    <cellStyle name="Normal 4 5 2 4" xfId="1648"/>
    <cellStyle name="Normal 4 5 2 4 2" xfId="3213"/>
    <cellStyle name="Normal 4 5 2 4 2 2" xfId="9498"/>
    <cellStyle name="Normal 4 5 2 4 2 2 2" xfId="33695"/>
    <cellStyle name="Normal 4 5 2 4 2 2 3" xfId="33694"/>
    <cellStyle name="Normal 4 5 2 4 2 3" xfId="6371"/>
    <cellStyle name="Normal 4 5 2 4 2 3 2" xfId="33697"/>
    <cellStyle name="Normal 4 5 2 4 2 3 3" xfId="33696"/>
    <cellStyle name="Normal 4 5 2 4 2 4" xfId="12681"/>
    <cellStyle name="Normal 4 5 2 4 2 4 2" xfId="33699"/>
    <cellStyle name="Normal 4 5 2 4 2 4 3" xfId="33698"/>
    <cellStyle name="Normal 4 5 2 4 2 5" xfId="33700"/>
    <cellStyle name="Normal 4 5 2 4 2 6" xfId="33693"/>
    <cellStyle name="Normal 4 5 2 4 3" xfId="7935"/>
    <cellStyle name="Normal 4 5 2 4 3 2" xfId="33702"/>
    <cellStyle name="Normal 4 5 2 4 3 3" xfId="33701"/>
    <cellStyle name="Normal 4 5 2 4 4" xfId="4808"/>
    <cellStyle name="Normal 4 5 2 4 4 2" xfId="33704"/>
    <cellStyle name="Normal 4 5 2 4 4 3" xfId="33703"/>
    <cellStyle name="Normal 4 5 2 4 5" xfId="11118"/>
    <cellStyle name="Normal 4 5 2 4 5 2" xfId="33706"/>
    <cellStyle name="Normal 4 5 2 4 5 3" xfId="33705"/>
    <cellStyle name="Normal 4 5 2 4 6" xfId="33707"/>
    <cellStyle name="Normal 4 5 2 4 7" xfId="33692"/>
    <cellStyle name="Normal 4 5 2 5" xfId="2331"/>
    <cellStyle name="Normal 4 5 2 5 2" xfId="8616"/>
    <cellStyle name="Normal 4 5 2 5 2 2" xfId="33710"/>
    <cellStyle name="Normal 4 5 2 5 2 3" xfId="33709"/>
    <cellStyle name="Normal 4 5 2 5 3" xfId="5489"/>
    <cellStyle name="Normal 4 5 2 5 3 2" xfId="33712"/>
    <cellStyle name="Normal 4 5 2 5 3 3" xfId="33711"/>
    <cellStyle name="Normal 4 5 2 5 4" xfId="11799"/>
    <cellStyle name="Normal 4 5 2 5 4 2" xfId="33714"/>
    <cellStyle name="Normal 4 5 2 5 4 3" xfId="33713"/>
    <cellStyle name="Normal 4 5 2 5 5" xfId="33715"/>
    <cellStyle name="Normal 4 5 2 5 6" xfId="33708"/>
    <cellStyle name="Normal 4 5 2 6" xfId="7053"/>
    <cellStyle name="Normal 4 5 2 6 2" xfId="33717"/>
    <cellStyle name="Normal 4 5 2 6 3" xfId="33716"/>
    <cellStyle name="Normal 4 5 2 7" xfId="3926"/>
    <cellStyle name="Normal 4 5 2 7 2" xfId="33719"/>
    <cellStyle name="Normal 4 5 2 7 3" xfId="33718"/>
    <cellStyle name="Normal 4 5 2 8" xfId="9716"/>
    <cellStyle name="Normal 4 5 2 8 2" xfId="33721"/>
    <cellStyle name="Normal 4 5 2 8 3" xfId="33720"/>
    <cellStyle name="Normal 4 5 2 9" xfId="33722"/>
    <cellStyle name="Normal 4 5 3" xfId="760"/>
    <cellStyle name="Normal 4 5 3 2" xfId="1448"/>
    <cellStyle name="Normal 4 5 3 2 2" xfId="3013"/>
    <cellStyle name="Normal 4 5 3 2 2 2" xfId="9298"/>
    <cellStyle name="Normal 4 5 3 2 2 2 2" xfId="33727"/>
    <cellStyle name="Normal 4 5 3 2 2 2 3" xfId="33726"/>
    <cellStyle name="Normal 4 5 3 2 2 3" xfId="6171"/>
    <cellStyle name="Normal 4 5 3 2 2 3 2" xfId="33729"/>
    <cellStyle name="Normal 4 5 3 2 2 3 3" xfId="33728"/>
    <cellStyle name="Normal 4 5 3 2 2 4" xfId="12481"/>
    <cellStyle name="Normal 4 5 3 2 2 4 2" xfId="33731"/>
    <cellStyle name="Normal 4 5 3 2 2 4 3" xfId="33730"/>
    <cellStyle name="Normal 4 5 3 2 2 5" xfId="33732"/>
    <cellStyle name="Normal 4 5 3 2 2 6" xfId="33725"/>
    <cellStyle name="Normal 4 5 3 2 3" xfId="7735"/>
    <cellStyle name="Normal 4 5 3 2 3 2" xfId="33734"/>
    <cellStyle name="Normal 4 5 3 2 3 3" xfId="33733"/>
    <cellStyle name="Normal 4 5 3 2 4" xfId="4608"/>
    <cellStyle name="Normal 4 5 3 2 4 2" xfId="33736"/>
    <cellStyle name="Normal 4 5 3 2 4 3" xfId="33735"/>
    <cellStyle name="Normal 4 5 3 2 5" xfId="10918"/>
    <cellStyle name="Normal 4 5 3 2 5 2" xfId="33738"/>
    <cellStyle name="Normal 4 5 3 2 5 3" xfId="33737"/>
    <cellStyle name="Normal 4 5 3 2 6" xfId="33739"/>
    <cellStyle name="Normal 4 5 3 2 7" xfId="33724"/>
    <cellStyle name="Normal 4 5 3 3" xfId="1650"/>
    <cellStyle name="Normal 4 5 3 3 2" xfId="3215"/>
    <cellStyle name="Normal 4 5 3 3 2 2" xfId="9500"/>
    <cellStyle name="Normal 4 5 3 3 2 2 2" xfId="33743"/>
    <cellStyle name="Normal 4 5 3 3 2 2 3" xfId="33742"/>
    <cellStyle name="Normal 4 5 3 3 2 3" xfId="6373"/>
    <cellStyle name="Normal 4 5 3 3 2 3 2" xfId="33745"/>
    <cellStyle name="Normal 4 5 3 3 2 3 3" xfId="33744"/>
    <cellStyle name="Normal 4 5 3 3 2 4" xfId="12683"/>
    <cellStyle name="Normal 4 5 3 3 2 4 2" xfId="33747"/>
    <cellStyle name="Normal 4 5 3 3 2 4 3" xfId="33746"/>
    <cellStyle name="Normal 4 5 3 3 2 5" xfId="33748"/>
    <cellStyle name="Normal 4 5 3 3 2 6" xfId="33741"/>
    <cellStyle name="Normal 4 5 3 3 3" xfId="7937"/>
    <cellStyle name="Normal 4 5 3 3 3 2" xfId="33750"/>
    <cellStyle name="Normal 4 5 3 3 3 3" xfId="33749"/>
    <cellStyle name="Normal 4 5 3 3 4" xfId="4810"/>
    <cellStyle name="Normal 4 5 3 3 4 2" xfId="33752"/>
    <cellStyle name="Normal 4 5 3 3 4 3" xfId="33751"/>
    <cellStyle name="Normal 4 5 3 3 5" xfId="11120"/>
    <cellStyle name="Normal 4 5 3 3 5 2" xfId="33754"/>
    <cellStyle name="Normal 4 5 3 3 5 3" xfId="33753"/>
    <cellStyle name="Normal 4 5 3 3 6" xfId="33755"/>
    <cellStyle name="Normal 4 5 3 3 7" xfId="33740"/>
    <cellStyle name="Normal 4 5 3 4" xfId="2333"/>
    <cellStyle name="Normal 4 5 3 4 2" xfId="8618"/>
    <cellStyle name="Normal 4 5 3 4 2 2" xfId="33758"/>
    <cellStyle name="Normal 4 5 3 4 2 3" xfId="33757"/>
    <cellStyle name="Normal 4 5 3 4 3" xfId="5491"/>
    <cellStyle name="Normal 4 5 3 4 3 2" xfId="33760"/>
    <cellStyle name="Normal 4 5 3 4 3 3" xfId="33759"/>
    <cellStyle name="Normal 4 5 3 4 4" xfId="11801"/>
    <cellStyle name="Normal 4 5 3 4 4 2" xfId="33762"/>
    <cellStyle name="Normal 4 5 3 4 4 3" xfId="33761"/>
    <cellStyle name="Normal 4 5 3 4 5" xfId="33763"/>
    <cellStyle name="Normal 4 5 3 4 6" xfId="33756"/>
    <cellStyle name="Normal 4 5 3 5" xfId="7055"/>
    <cellStyle name="Normal 4 5 3 5 2" xfId="33765"/>
    <cellStyle name="Normal 4 5 3 5 3" xfId="33764"/>
    <cellStyle name="Normal 4 5 3 6" xfId="3928"/>
    <cellStyle name="Normal 4 5 3 6 2" xfId="33767"/>
    <cellStyle name="Normal 4 5 3 6 3" xfId="33766"/>
    <cellStyle name="Normal 4 5 3 7" xfId="9718"/>
    <cellStyle name="Normal 4 5 3 7 2" xfId="33769"/>
    <cellStyle name="Normal 4 5 3 7 3" xfId="33768"/>
    <cellStyle name="Normal 4 5 3 8" xfId="33770"/>
    <cellStyle name="Normal 4 5 3 9" xfId="33723"/>
    <cellStyle name="Normal 4 5 4" xfId="757"/>
    <cellStyle name="Normal 4 5 4 2" xfId="1445"/>
    <cellStyle name="Normal 4 5 4 2 2" xfId="3010"/>
    <cellStyle name="Normal 4 5 4 2 2 2" xfId="9295"/>
    <cellStyle name="Normal 4 5 4 2 2 2 2" xfId="33775"/>
    <cellStyle name="Normal 4 5 4 2 2 2 3" xfId="33774"/>
    <cellStyle name="Normal 4 5 4 2 2 3" xfId="6168"/>
    <cellStyle name="Normal 4 5 4 2 2 3 2" xfId="33777"/>
    <cellStyle name="Normal 4 5 4 2 2 3 3" xfId="33776"/>
    <cellStyle name="Normal 4 5 4 2 2 4" xfId="12478"/>
    <cellStyle name="Normal 4 5 4 2 2 4 2" xfId="33779"/>
    <cellStyle name="Normal 4 5 4 2 2 4 3" xfId="33778"/>
    <cellStyle name="Normal 4 5 4 2 2 5" xfId="33780"/>
    <cellStyle name="Normal 4 5 4 2 2 6" xfId="33773"/>
    <cellStyle name="Normal 4 5 4 2 3" xfId="7732"/>
    <cellStyle name="Normal 4 5 4 2 3 2" xfId="33782"/>
    <cellStyle name="Normal 4 5 4 2 3 3" xfId="33781"/>
    <cellStyle name="Normal 4 5 4 2 4" xfId="4605"/>
    <cellStyle name="Normal 4 5 4 2 4 2" xfId="33784"/>
    <cellStyle name="Normal 4 5 4 2 4 3" xfId="33783"/>
    <cellStyle name="Normal 4 5 4 2 5" xfId="10915"/>
    <cellStyle name="Normal 4 5 4 2 5 2" xfId="33786"/>
    <cellStyle name="Normal 4 5 4 2 5 3" xfId="33785"/>
    <cellStyle name="Normal 4 5 4 2 6" xfId="33787"/>
    <cellStyle name="Normal 4 5 4 2 7" xfId="33772"/>
    <cellStyle name="Normal 4 5 4 3" xfId="2330"/>
    <cellStyle name="Normal 4 5 4 3 2" xfId="8615"/>
    <cellStyle name="Normal 4 5 4 3 2 2" xfId="33790"/>
    <cellStyle name="Normal 4 5 4 3 2 3" xfId="33789"/>
    <cellStyle name="Normal 4 5 4 3 3" xfId="5488"/>
    <cellStyle name="Normal 4 5 4 3 3 2" xfId="33792"/>
    <cellStyle name="Normal 4 5 4 3 3 3" xfId="33791"/>
    <cellStyle name="Normal 4 5 4 3 4" xfId="11798"/>
    <cellStyle name="Normal 4 5 4 3 4 2" xfId="33794"/>
    <cellStyle name="Normal 4 5 4 3 4 3" xfId="33793"/>
    <cellStyle name="Normal 4 5 4 3 5" xfId="33795"/>
    <cellStyle name="Normal 4 5 4 3 6" xfId="33788"/>
    <cellStyle name="Normal 4 5 4 4" xfId="7052"/>
    <cellStyle name="Normal 4 5 4 4 2" xfId="33797"/>
    <cellStyle name="Normal 4 5 4 4 3" xfId="33796"/>
    <cellStyle name="Normal 4 5 4 5" xfId="3925"/>
    <cellStyle name="Normal 4 5 4 5 2" xfId="33799"/>
    <cellStyle name="Normal 4 5 4 5 3" xfId="33798"/>
    <cellStyle name="Normal 4 5 4 6" xfId="10296"/>
    <cellStyle name="Normal 4 5 4 6 2" xfId="33801"/>
    <cellStyle name="Normal 4 5 4 6 3" xfId="33800"/>
    <cellStyle name="Normal 4 5 4 7" xfId="33802"/>
    <cellStyle name="Normal 4 5 4 8" xfId="33771"/>
    <cellStyle name="Normal 4 5 5" xfId="1089"/>
    <cellStyle name="Normal 4 5 5 2" xfId="2654"/>
    <cellStyle name="Normal 4 5 5 2 2" xfId="8939"/>
    <cellStyle name="Normal 4 5 5 2 2 2" xfId="33806"/>
    <cellStyle name="Normal 4 5 5 2 2 3" xfId="33805"/>
    <cellStyle name="Normal 4 5 5 2 3" xfId="5812"/>
    <cellStyle name="Normal 4 5 5 2 3 2" xfId="33808"/>
    <cellStyle name="Normal 4 5 5 2 3 3" xfId="33807"/>
    <cellStyle name="Normal 4 5 5 2 4" xfId="12122"/>
    <cellStyle name="Normal 4 5 5 2 4 2" xfId="33810"/>
    <cellStyle name="Normal 4 5 5 2 4 3" xfId="33809"/>
    <cellStyle name="Normal 4 5 5 2 5" xfId="33811"/>
    <cellStyle name="Normal 4 5 5 2 6" xfId="33804"/>
    <cellStyle name="Normal 4 5 5 3" xfId="7376"/>
    <cellStyle name="Normal 4 5 5 3 2" xfId="33813"/>
    <cellStyle name="Normal 4 5 5 3 3" xfId="33812"/>
    <cellStyle name="Normal 4 5 5 4" xfId="4249"/>
    <cellStyle name="Normal 4 5 5 4 2" xfId="33815"/>
    <cellStyle name="Normal 4 5 5 4 3" xfId="33814"/>
    <cellStyle name="Normal 4 5 5 5" xfId="10559"/>
    <cellStyle name="Normal 4 5 5 5 2" xfId="33817"/>
    <cellStyle name="Normal 4 5 5 5 3" xfId="33816"/>
    <cellStyle name="Normal 4 5 5 6" xfId="33818"/>
    <cellStyle name="Normal 4 5 5 7" xfId="33803"/>
    <cellStyle name="Normal 4 5 6" xfId="1647"/>
    <cellStyle name="Normal 4 5 6 2" xfId="3212"/>
    <cellStyle name="Normal 4 5 6 2 2" xfId="9497"/>
    <cellStyle name="Normal 4 5 6 2 2 2" xfId="33822"/>
    <cellStyle name="Normal 4 5 6 2 2 3" xfId="33821"/>
    <cellStyle name="Normal 4 5 6 2 3" xfId="6370"/>
    <cellStyle name="Normal 4 5 6 2 3 2" xfId="33824"/>
    <cellStyle name="Normal 4 5 6 2 3 3" xfId="33823"/>
    <cellStyle name="Normal 4 5 6 2 4" xfId="12680"/>
    <cellStyle name="Normal 4 5 6 2 4 2" xfId="33826"/>
    <cellStyle name="Normal 4 5 6 2 4 3" xfId="33825"/>
    <cellStyle name="Normal 4 5 6 2 5" xfId="33827"/>
    <cellStyle name="Normal 4 5 6 2 6" xfId="33820"/>
    <cellStyle name="Normal 4 5 6 3" xfId="7934"/>
    <cellStyle name="Normal 4 5 6 3 2" xfId="33829"/>
    <cellStyle name="Normal 4 5 6 3 3" xfId="33828"/>
    <cellStyle name="Normal 4 5 6 4" xfId="4807"/>
    <cellStyle name="Normal 4 5 6 4 2" xfId="33831"/>
    <cellStyle name="Normal 4 5 6 4 3" xfId="33830"/>
    <cellStyle name="Normal 4 5 6 5" xfId="11117"/>
    <cellStyle name="Normal 4 5 6 5 2" xfId="33833"/>
    <cellStyle name="Normal 4 5 6 5 3" xfId="33832"/>
    <cellStyle name="Normal 4 5 6 6" xfId="33834"/>
    <cellStyle name="Normal 4 5 6 7" xfId="33819"/>
    <cellStyle name="Normal 4 5 7" xfId="1974"/>
    <cellStyle name="Normal 4 5 7 2" xfId="8259"/>
    <cellStyle name="Normal 4 5 7 2 2" xfId="33837"/>
    <cellStyle name="Normal 4 5 7 2 3" xfId="33836"/>
    <cellStyle name="Normal 4 5 7 3" xfId="5132"/>
    <cellStyle name="Normal 4 5 7 3 2" xfId="33839"/>
    <cellStyle name="Normal 4 5 7 3 3" xfId="33838"/>
    <cellStyle name="Normal 4 5 7 4" xfId="11442"/>
    <cellStyle name="Normal 4 5 7 4 2" xfId="33841"/>
    <cellStyle name="Normal 4 5 7 4 3" xfId="33840"/>
    <cellStyle name="Normal 4 5 7 5" xfId="33842"/>
    <cellStyle name="Normal 4 5 7 6" xfId="33835"/>
    <cellStyle name="Normal 4 5 8" xfId="6696"/>
    <cellStyle name="Normal 4 5 8 2" xfId="33844"/>
    <cellStyle name="Normal 4 5 8 3" xfId="33843"/>
    <cellStyle name="Normal 4 5 9" xfId="3569"/>
    <cellStyle name="Normal 4 5 9 2" xfId="33846"/>
    <cellStyle name="Normal 4 5 9 3" xfId="33845"/>
    <cellStyle name="Normal 4 6" xfId="438"/>
    <cellStyle name="Normal 4 6 10" xfId="33848"/>
    <cellStyle name="Normal 4 6 11" xfId="33847"/>
    <cellStyle name="Normal 4 6 2" xfId="762"/>
    <cellStyle name="Normal 4 6 2 2" xfId="1450"/>
    <cellStyle name="Normal 4 6 2 2 2" xfId="3015"/>
    <cellStyle name="Normal 4 6 2 2 2 2" xfId="9300"/>
    <cellStyle name="Normal 4 6 2 2 2 2 2" xfId="33853"/>
    <cellStyle name="Normal 4 6 2 2 2 2 3" xfId="33852"/>
    <cellStyle name="Normal 4 6 2 2 2 3" xfId="6173"/>
    <cellStyle name="Normal 4 6 2 2 2 3 2" xfId="33855"/>
    <cellStyle name="Normal 4 6 2 2 2 3 3" xfId="33854"/>
    <cellStyle name="Normal 4 6 2 2 2 4" xfId="12483"/>
    <cellStyle name="Normal 4 6 2 2 2 4 2" xfId="33857"/>
    <cellStyle name="Normal 4 6 2 2 2 4 3" xfId="33856"/>
    <cellStyle name="Normal 4 6 2 2 2 5" xfId="33858"/>
    <cellStyle name="Normal 4 6 2 2 2 6" xfId="33851"/>
    <cellStyle name="Normal 4 6 2 2 3" xfId="7737"/>
    <cellStyle name="Normal 4 6 2 2 3 2" xfId="33860"/>
    <cellStyle name="Normal 4 6 2 2 3 3" xfId="33859"/>
    <cellStyle name="Normal 4 6 2 2 4" xfId="4610"/>
    <cellStyle name="Normal 4 6 2 2 4 2" xfId="33862"/>
    <cellStyle name="Normal 4 6 2 2 4 3" xfId="33861"/>
    <cellStyle name="Normal 4 6 2 2 5" xfId="10920"/>
    <cellStyle name="Normal 4 6 2 2 5 2" xfId="33864"/>
    <cellStyle name="Normal 4 6 2 2 5 3" xfId="33863"/>
    <cellStyle name="Normal 4 6 2 2 6" xfId="33865"/>
    <cellStyle name="Normal 4 6 2 2 7" xfId="33850"/>
    <cellStyle name="Normal 4 6 2 3" xfId="1652"/>
    <cellStyle name="Normal 4 6 2 3 2" xfId="3217"/>
    <cellStyle name="Normal 4 6 2 3 2 2" xfId="9502"/>
    <cellStyle name="Normal 4 6 2 3 2 2 2" xfId="33869"/>
    <cellStyle name="Normal 4 6 2 3 2 2 3" xfId="33868"/>
    <cellStyle name="Normal 4 6 2 3 2 3" xfId="6375"/>
    <cellStyle name="Normal 4 6 2 3 2 3 2" xfId="33871"/>
    <cellStyle name="Normal 4 6 2 3 2 3 3" xfId="33870"/>
    <cellStyle name="Normal 4 6 2 3 2 4" xfId="12685"/>
    <cellStyle name="Normal 4 6 2 3 2 4 2" xfId="33873"/>
    <cellStyle name="Normal 4 6 2 3 2 4 3" xfId="33872"/>
    <cellStyle name="Normal 4 6 2 3 2 5" xfId="33874"/>
    <cellStyle name="Normal 4 6 2 3 2 6" xfId="33867"/>
    <cellStyle name="Normal 4 6 2 3 3" xfId="7939"/>
    <cellStyle name="Normal 4 6 2 3 3 2" xfId="33876"/>
    <cellStyle name="Normal 4 6 2 3 3 3" xfId="33875"/>
    <cellStyle name="Normal 4 6 2 3 4" xfId="4812"/>
    <cellStyle name="Normal 4 6 2 3 4 2" xfId="33878"/>
    <cellStyle name="Normal 4 6 2 3 4 3" xfId="33877"/>
    <cellStyle name="Normal 4 6 2 3 5" xfId="11122"/>
    <cellStyle name="Normal 4 6 2 3 5 2" xfId="33880"/>
    <cellStyle name="Normal 4 6 2 3 5 3" xfId="33879"/>
    <cellStyle name="Normal 4 6 2 3 6" xfId="33881"/>
    <cellStyle name="Normal 4 6 2 3 7" xfId="33866"/>
    <cellStyle name="Normal 4 6 2 4" xfId="2335"/>
    <cellStyle name="Normal 4 6 2 4 2" xfId="8620"/>
    <cellStyle name="Normal 4 6 2 4 2 2" xfId="33884"/>
    <cellStyle name="Normal 4 6 2 4 2 3" xfId="33883"/>
    <cellStyle name="Normal 4 6 2 4 3" xfId="5493"/>
    <cellStyle name="Normal 4 6 2 4 3 2" xfId="33886"/>
    <cellStyle name="Normal 4 6 2 4 3 3" xfId="33885"/>
    <cellStyle name="Normal 4 6 2 4 4" xfId="11803"/>
    <cellStyle name="Normal 4 6 2 4 4 2" xfId="33888"/>
    <cellStyle name="Normal 4 6 2 4 4 3" xfId="33887"/>
    <cellStyle name="Normal 4 6 2 4 5" xfId="33889"/>
    <cellStyle name="Normal 4 6 2 4 6" xfId="33882"/>
    <cellStyle name="Normal 4 6 2 5" xfId="7057"/>
    <cellStyle name="Normal 4 6 2 5 2" xfId="33891"/>
    <cellStyle name="Normal 4 6 2 5 3" xfId="33890"/>
    <cellStyle name="Normal 4 6 2 6" xfId="3930"/>
    <cellStyle name="Normal 4 6 2 6 2" xfId="33893"/>
    <cellStyle name="Normal 4 6 2 6 3" xfId="33892"/>
    <cellStyle name="Normal 4 6 2 7" xfId="9720"/>
    <cellStyle name="Normal 4 6 2 7 2" xfId="33895"/>
    <cellStyle name="Normal 4 6 2 7 3" xfId="33894"/>
    <cellStyle name="Normal 4 6 2 8" xfId="33896"/>
    <cellStyle name="Normal 4 6 2 9" xfId="33849"/>
    <cellStyle name="Normal 4 6 3" xfId="761"/>
    <cellStyle name="Normal 4 6 3 2" xfId="1449"/>
    <cellStyle name="Normal 4 6 3 2 2" xfId="3014"/>
    <cellStyle name="Normal 4 6 3 2 2 2" xfId="9299"/>
    <cellStyle name="Normal 4 6 3 2 2 2 2" xfId="33901"/>
    <cellStyle name="Normal 4 6 3 2 2 2 3" xfId="33900"/>
    <cellStyle name="Normal 4 6 3 2 2 3" xfId="6172"/>
    <cellStyle name="Normal 4 6 3 2 2 3 2" xfId="33903"/>
    <cellStyle name="Normal 4 6 3 2 2 3 3" xfId="33902"/>
    <cellStyle name="Normal 4 6 3 2 2 4" xfId="12482"/>
    <cellStyle name="Normal 4 6 3 2 2 4 2" xfId="33905"/>
    <cellStyle name="Normal 4 6 3 2 2 4 3" xfId="33904"/>
    <cellStyle name="Normal 4 6 3 2 2 5" xfId="33906"/>
    <cellStyle name="Normal 4 6 3 2 2 6" xfId="33899"/>
    <cellStyle name="Normal 4 6 3 2 3" xfId="7736"/>
    <cellStyle name="Normal 4 6 3 2 3 2" xfId="33908"/>
    <cellStyle name="Normal 4 6 3 2 3 3" xfId="33907"/>
    <cellStyle name="Normal 4 6 3 2 4" xfId="4609"/>
    <cellStyle name="Normal 4 6 3 2 4 2" xfId="33910"/>
    <cellStyle name="Normal 4 6 3 2 4 3" xfId="33909"/>
    <cellStyle name="Normal 4 6 3 2 5" xfId="10919"/>
    <cellStyle name="Normal 4 6 3 2 5 2" xfId="33912"/>
    <cellStyle name="Normal 4 6 3 2 5 3" xfId="33911"/>
    <cellStyle name="Normal 4 6 3 2 6" xfId="33913"/>
    <cellStyle name="Normal 4 6 3 2 7" xfId="33898"/>
    <cellStyle name="Normal 4 6 3 3" xfId="2334"/>
    <cellStyle name="Normal 4 6 3 3 2" xfId="8619"/>
    <cellStyle name="Normal 4 6 3 3 2 2" xfId="33916"/>
    <cellStyle name="Normal 4 6 3 3 2 3" xfId="33915"/>
    <cellStyle name="Normal 4 6 3 3 3" xfId="5492"/>
    <cellStyle name="Normal 4 6 3 3 3 2" xfId="33918"/>
    <cellStyle name="Normal 4 6 3 3 3 3" xfId="33917"/>
    <cellStyle name="Normal 4 6 3 3 4" xfId="11802"/>
    <cellStyle name="Normal 4 6 3 3 4 2" xfId="33920"/>
    <cellStyle name="Normal 4 6 3 3 4 3" xfId="33919"/>
    <cellStyle name="Normal 4 6 3 3 5" xfId="33921"/>
    <cellStyle name="Normal 4 6 3 3 6" xfId="33914"/>
    <cellStyle name="Normal 4 6 3 4" xfId="7056"/>
    <cellStyle name="Normal 4 6 3 4 2" xfId="33923"/>
    <cellStyle name="Normal 4 6 3 4 3" xfId="33922"/>
    <cellStyle name="Normal 4 6 3 5" xfId="3929"/>
    <cellStyle name="Normal 4 6 3 5 2" xfId="33925"/>
    <cellStyle name="Normal 4 6 3 5 3" xfId="33924"/>
    <cellStyle name="Normal 4 6 3 6" xfId="10297"/>
    <cellStyle name="Normal 4 6 3 6 2" xfId="33927"/>
    <cellStyle name="Normal 4 6 3 6 3" xfId="33926"/>
    <cellStyle name="Normal 4 6 3 7" xfId="33928"/>
    <cellStyle name="Normal 4 6 3 8" xfId="33897"/>
    <cellStyle name="Normal 4 6 4" xfId="1145"/>
    <cellStyle name="Normal 4 6 4 2" xfId="2710"/>
    <cellStyle name="Normal 4 6 4 2 2" xfId="8995"/>
    <cellStyle name="Normal 4 6 4 2 2 2" xfId="33932"/>
    <cellStyle name="Normal 4 6 4 2 2 3" xfId="33931"/>
    <cellStyle name="Normal 4 6 4 2 3" xfId="5868"/>
    <cellStyle name="Normal 4 6 4 2 3 2" xfId="33934"/>
    <cellStyle name="Normal 4 6 4 2 3 3" xfId="33933"/>
    <cellStyle name="Normal 4 6 4 2 4" xfId="12178"/>
    <cellStyle name="Normal 4 6 4 2 4 2" xfId="33936"/>
    <cellStyle name="Normal 4 6 4 2 4 3" xfId="33935"/>
    <cellStyle name="Normal 4 6 4 2 5" xfId="33937"/>
    <cellStyle name="Normal 4 6 4 2 6" xfId="33930"/>
    <cellStyle name="Normal 4 6 4 3" xfId="7432"/>
    <cellStyle name="Normal 4 6 4 3 2" xfId="33939"/>
    <cellStyle name="Normal 4 6 4 3 3" xfId="33938"/>
    <cellStyle name="Normal 4 6 4 4" xfId="4305"/>
    <cellStyle name="Normal 4 6 4 4 2" xfId="33941"/>
    <cellStyle name="Normal 4 6 4 4 3" xfId="33940"/>
    <cellStyle name="Normal 4 6 4 5" xfId="10615"/>
    <cellStyle name="Normal 4 6 4 5 2" xfId="33943"/>
    <cellStyle name="Normal 4 6 4 5 3" xfId="33942"/>
    <cellStyle name="Normal 4 6 4 6" xfId="33944"/>
    <cellStyle name="Normal 4 6 4 7" xfId="33929"/>
    <cellStyle name="Normal 4 6 5" xfId="1651"/>
    <cellStyle name="Normal 4 6 5 2" xfId="3216"/>
    <cellStyle name="Normal 4 6 5 2 2" xfId="9501"/>
    <cellStyle name="Normal 4 6 5 2 2 2" xfId="33948"/>
    <cellStyle name="Normal 4 6 5 2 2 3" xfId="33947"/>
    <cellStyle name="Normal 4 6 5 2 3" xfId="6374"/>
    <cellStyle name="Normal 4 6 5 2 3 2" xfId="33950"/>
    <cellStyle name="Normal 4 6 5 2 3 3" xfId="33949"/>
    <cellStyle name="Normal 4 6 5 2 4" xfId="12684"/>
    <cellStyle name="Normal 4 6 5 2 4 2" xfId="33952"/>
    <cellStyle name="Normal 4 6 5 2 4 3" xfId="33951"/>
    <cellStyle name="Normal 4 6 5 2 5" xfId="33953"/>
    <cellStyle name="Normal 4 6 5 2 6" xfId="33946"/>
    <cellStyle name="Normal 4 6 5 3" xfId="7938"/>
    <cellStyle name="Normal 4 6 5 3 2" xfId="33955"/>
    <cellStyle name="Normal 4 6 5 3 3" xfId="33954"/>
    <cellStyle name="Normal 4 6 5 4" xfId="4811"/>
    <cellStyle name="Normal 4 6 5 4 2" xfId="33957"/>
    <cellStyle name="Normal 4 6 5 4 3" xfId="33956"/>
    <cellStyle name="Normal 4 6 5 5" xfId="11121"/>
    <cellStyle name="Normal 4 6 5 5 2" xfId="33959"/>
    <cellStyle name="Normal 4 6 5 5 3" xfId="33958"/>
    <cellStyle name="Normal 4 6 5 6" xfId="33960"/>
    <cellStyle name="Normal 4 6 5 7" xfId="33945"/>
    <cellStyle name="Normal 4 6 6" xfId="2030"/>
    <cellStyle name="Normal 4 6 6 2" xfId="8315"/>
    <cellStyle name="Normal 4 6 6 2 2" xfId="33963"/>
    <cellStyle name="Normal 4 6 6 2 3" xfId="33962"/>
    <cellStyle name="Normal 4 6 6 3" xfId="5188"/>
    <cellStyle name="Normal 4 6 6 3 2" xfId="33965"/>
    <cellStyle name="Normal 4 6 6 3 3" xfId="33964"/>
    <cellStyle name="Normal 4 6 6 4" xfId="11498"/>
    <cellStyle name="Normal 4 6 6 4 2" xfId="33967"/>
    <cellStyle name="Normal 4 6 6 4 3" xfId="33966"/>
    <cellStyle name="Normal 4 6 6 5" xfId="33968"/>
    <cellStyle name="Normal 4 6 6 6" xfId="33961"/>
    <cellStyle name="Normal 4 6 7" xfId="6752"/>
    <cellStyle name="Normal 4 6 7 2" xfId="33970"/>
    <cellStyle name="Normal 4 6 7 3" xfId="33969"/>
    <cellStyle name="Normal 4 6 8" xfId="3625"/>
    <cellStyle name="Normal 4 6 8 2" xfId="33972"/>
    <cellStyle name="Normal 4 6 8 3" xfId="33971"/>
    <cellStyle name="Normal 4 6 9" xfId="9719"/>
    <cellStyle name="Normal 4 6 9 2" xfId="33974"/>
    <cellStyle name="Normal 4 6 9 3" xfId="33973"/>
    <cellStyle name="Normal 4 7" xfId="607"/>
    <cellStyle name="Normal 4 7 10" xfId="33976"/>
    <cellStyle name="Normal 4 7 11" xfId="33975"/>
    <cellStyle name="Normal 4 7 2" xfId="764"/>
    <cellStyle name="Normal 4 7 2 2" xfId="1452"/>
    <cellStyle name="Normal 4 7 2 2 2" xfId="3017"/>
    <cellStyle name="Normal 4 7 2 2 2 2" xfId="9302"/>
    <cellStyle name="Normal 4 7 2 2 2 2 2" xfId="33981"/>
    <cellStyle name="Normal 4 7 2 2 2 2 3" xfId="33980"/>
    <cellStyle name="Normal 4 7 2 2 2 3" xfId="6175"/>
    <cellStyle name="Normal 4 7 2 2 2 3 2" xfId="33983"/>
    <cellStyle name="Normal 4 7 2 2 2 3 3" xfId="33982"/>
    <cellStyle name="Normal 4 7 2 2 2 4" xfId="12485"/>
    <cellStyle name="Normal 4 7 2 2 2 4 2" xfId="33985"/>
    <cellStyle name="Normal 4 7 2 2 2 4 3" xfId="33984"/>
    <cellStyle name="Normal 4 7 2 2 2 5" xfId="33986"/>
    <cellStyle name="Normal 4 7 2 2 2 6" xfId="33979"/>
    <cellStyle name="Normal 4 7 2 2 3" xfId="7739"/>
    <cellStyle name="Normal 4 7 2 2 3 2" xfId="33988"/>
    <cellStyle name="Normal 4 7 2 2 3 3" xfId="33987"/>
    <cellStyle name="Normal 4 7 2 2 4" xfId="4612"/>
    <cellStyle name="Normal 4 7 2 2 4 2" xfId="33990"/>
    <cellStyle name="Normal 4 7 2 2 4 3" xfId="33989"/>
    <cellStyle name="Normal 4 7 2 2 5" xfId="10922"/>
    <cellStyle name="Normal 4 7 2 2 5 2" xfId="33992"/>
    <cellStyle name="Normal 4 7 2 2 5 3" xfId="33991"/>
    <cellStyle name="Normal 4 7 2 2 6" xfId="33993"/>
    <cellStyle name="Normal 4 7 2 2 7" xfId="33978"/>
    <cellStyle name="Normal 4 7 2 3" xfId="1654"/>
    <cellStyle name="Normal 4 7 2 3 2" xfId="3219"/>
    <cellStyle name="Normal 4 7 2 3 2 2" xfId="9504"/>
    <cellStyle name="Normal 4 7 2 3 2 2 2" xfId="33997"/>
    <cellStyle name="Normal 4 7 2 3 2 2 3" xfId="33996"/>
    <cellStyle name="Normal 4 7 2 3 2 3" xfId="6377"/>
    <cellStyle name="Normal 4 7 2 3 2 3 2" xfId="33999"/>
    <cellStyle name="Normal 4 7 2 3 2 3 3" xfId="33998"/>
    <cellStyle name="Normal 4 7 2 3 2 4" xfId="12687"/>
    <cellStyle name="Normal 4 7 2 3 2 4 2" xfId="34001"/>
    <cellStyle name="Normal 4 7 2 3 2 4 3" xfId="34000"/>
    <cellStyle name="Normal 4 7 2 3 2 5" xfId="34002"/>
    <cellStyle name="Normal 4 7 2 3 2 6" xfId="33995"/>
    <cellStyle name="Normal 4 7 2 3 3" xfId="7941"/>
    <cellStyle name="Normal 4 7 2 3 3 2" xfId="34004"/>
    <cellStyle name="Normal 4 7 2 3 3 3" xfId="34003"/>
    <cellStyle name="Normal 4 7 2 3 4" xfId="4814"/>
    <cellStyle name="Normal 4 7 2 3 4 2" xfId="34006"/>
    <cellStyle name="Normal 4 7 2 3 4 3" xfId="34005"/>
    <cellStyle name="Normal 4 7 2 3 5" xfId="11124"/>
    <cellStyle name="Normal 4 7 2 3 5 2" xfId="34008"/>
    <cellStyle name="Normal 4 7 2 3 5 3" xfId="34007"/>
    <cellStyle name="Normal 4 7 2 3 6" xfId="34009"/>
    <cellStyle name="Normal 4 7 2 3 7" xfId="33994"/>
    <cellStyle name="Normal 4 7 2 4" xfId="2337"/>
    <cellStyle name="Normal 4 7 2 4 2" xfId="8622"/>
    <cellStyle name="Normal 4 7 2 4 2 2" xfId="34012"/>
    <cellStyle name="Normal 4 7 2 4 2 3" xfId="34011"/>
    <cellStyle name="Normal 4 7 2 4 3" xfId="5495"/>
    <cellStyle name="Normal 4 7 2 4 3 2" xfId="34014"/>
    <cellStyle name="Normal 4 7 2 4 3 3" xfId="34013"/>
    <cellStyle name="Normal 4 7 2 4 4" xfId="11805"/>
    <cellStyle name="Normal 4 7 2 4 4 2" xfId="34016"/>
    <cellStyle name="Normal 4 7 2 4 4 3" xfId="34015"/>
    <cellStyle name="Normal 4 7 2 4 5" xfId="34017"/>
    <cellStyle name="Normal 4 7 2 4 6" xfId="34010"/>
    <cellStyle name="Normal 4 7 2 5" xfId="7059"/>
    <cellStyle name="Normal 4 7 2 5 2" xfId="34019"/>
    <cellStyle name="Normal 4 7 2 5 3" xfId="34018"/>
    <cellStyle name="Normal 4 7 2 6" xfId="3932"/>
    <cellStyle name="Normal 4 7 2 6 2" xfId="34021"/>
    <cellStyle name="Normal 4 7 2 6 3" xfId="34020"/>
    <cellStyle name="Normal 4 7 2 7" xfId="9722"/>
    <cellStyle name="Normal 4 7 2 7 2" xfId="34023"/>
    <cellStyle name="Normal 4 7 2 7 3" xfId="34022"/>
    <cellStyle name="Normal 4 7 2 8" xfId="34024"/>
    <cellStyle name="Normal 4 7 2 9" xfId="33977"/>
    <cellStyle name="Normal 4 7 3" xfId="763"/>
    <cellStyle name="Normal 4 7 3 2" xfId="1451"/>
    <cellStyle name="Normal 4 7 3 2 2" xfId="3016"/>
    <cellStyle name="Normal 4 7 3 2 2 2" xfId="9301"/>
    <cellStyle name="Normal 4 7 3 2 2 2 2" xfId="34029"/>
    <cellStyle name="Normal 4 7 3 2 2 2 3" xfId="34028"/>
    <cellStyle name="Normal 4 7 3 2 2 3" xfId="6174"/>
    <cellStyle name="Normal 4 7 3 2 2 3 2" xfId="34031"/>
    <cellStyle name="Normal 4 7 3 2 2 3 3" xfId="34030"/>
    <cellStyle name="Normal 4 7 3 2 2 4" xfId="12484"/>
    <cellStyle name="Normal 4 7 3 2 2 4 2" xfId="34033"/>
    <cellStyle name="Normal 4 7 3 2 2 4 3" xfId="34032"/>
    <cellStyle name="Normal 4 7 3 2 2 5" xfId="34034"/>
    <cellStyle name="Normal 4 7 3 2 2 6" xfId="34027"/>
    <cellStyle name="Normal 4 7 3 2 3" xfId="7738"/>
    <cellStyle name="Normal 4 7 3 2 3 2" xfId="34036"/>
    <cellStyle name="Normal 4 7 3 2 3 3" xfId="34035"/>
    <cellStyle name="Normal 4 7 3 2 4" xfId="4611"/>
    <cellStyle name="Normal 4 7 3 2 4 2" xfId="34038"/>
    <cellStyle name="Normal 4 7 3 2 4 3" xfId="34037"/>
    <cellStyle name="Normal 4 7 3 2 5" xfId="10921"/>
    <cellStyle name="Normal 4 7 3 2 5 2" xfId="34040"/>
    <cellStyle name="Normal 4 7 3 2 5 3" xfId="34039"/>
    <cellStyle name="Normal 4 7 3 2 6" xfId="34041"/>
    <cellStyle name="Normal 4 7 3 2 7" xfId="34026"/>
    <cellStyle name="Normal 4 7 3 3" xfId="2336"/>
    <cellStyle name="Normal 4 7 3 3 2" xfId="8621"/>
    <cellStyle name="Normal 4 7 3 3 2 2" xfId="34044"/>
    <cellStyle name="Normal 4 7 3 3 2 3" xfId="34043"/>
    <cellStyle name="Normal 4 7 3 3 3" xfId="5494"/>
    <cellStyle name="Normal 4 7 3 3 3 2" xfId="34046"/>
    <cellStyle name="Normal 4 7 3 3 3 3" xfId="34045"/>
    <cellStyle name="Normal 4 7 3 3 4" xfId="11804"/>
    <cellStyle name="Normal 4 7 3 3 4 2" xfId="34048"/>
    <cellStyle name="Normal 4 7 3 3 4 3" xfId="34047"/>
    <cellStyle name="Normal 4 7 3 3 5" xfId="34049"/>
    <cellStyle name="Normal 4 7 3 3 6" xfId="34042"/>
    <cellStyle name="Normal 4 7 3 4" xfId="7058"/>
    <cellStyle name="Normal 4 7 3 4 2" xfId="34051"/>
    <cellStyle name="Normal 4 7 3 4 3" xfId="34050"/>
    <cellStyle name="Normal 4 7 3 5" xfId="3931"/>
    <cellStyle name="Normal 4 7 3 5 2" xfId="34053"/>
    <cellStyle name="Normal 4 7 3 5 3" xfId="34052"/>
    <cellStyle name="Normal 4 7 3 6" xfId="10298"/>
    <cellStyle name="Normal 4 7 3 6 2" xfId="34055"/>
    <cellStyle name="Normal 4 7 3 6 3" xfId="34054"/>
    <cellStyle name="Normal 4 7 3 7" xfId="34056"/>
    <cellStyle name="Normal 4 7 3 8" xfId="34025"/>
    <cellStyle name="Normal 4 7 4" xfId="1314"/>
    <cellStyle name="Normal 4 7 4 2" xfId="2879"/>
    <cellStyle name="Normal 4 7 4 2 2" xfId="9164"/>
    <cellStyle name="Normal 4 7 4 2 2 2" xfId="34060"/>
    <cellStyle name="Normal 4 7 4 2 2 3" xfId="34059"/>
    <cellStyle name="Normal 4 7 4 2 3" xfId="6037"/>
    <cellStyle name="Normal 4 7 4 2 3 2" xfId="34062"/>
    <cellStyle name="Normal 4 7 4 2 3 3" xfId="34061"/>
    <cellStyle name="Normal 4 7 4 2 4" xfId="12347"/>
    <cellStyle name="Normal 4 7 4 2 4 2" xfId="34064"/>
    <cellStyle name="Normal 4 7 4 2 4 3" xfId="34063"/>
    <cellStyle name="Normal 4 7 4 2 5" xfId="34065"/>
    <cellStyle name="Normal 4 7 4 2 6" xfId="34058"/>
    <cellStyle name="Normal 4 7 4 3" xfId="7601"/>
    <cellStyle name="Normal 4 7 4 3 2" xfId="34067"/>
    <cellStyle name="Normal 4 7 4 3 3" xfId="34066"/>
    <cellStyle name="Normal 4 7 4 4" xfId="4474"/>
    <cellStyle name="Normal 4 7 4 4 2" xfId="34069"/>
    <cellStyle name="Normal 4 7 4 4 3" xfId="34068"/>
    <cellStyle name="Normal 4 7 4 5" xfId="10784"/>
    <cellStyle name="Normal 4 7 4 5 2" xfId="34071"/>
    <cellStyle name="Normal 4 7 4 5 3" xfId="34070"/>
    <cellStyle name="Normal 4 7 4 6" xfId="34072"/>
    <cellStyle name="Normal 4 7 4 7" xfId="34057"/>
    <cellStyle name="Normal 4 7 5" xfId="1653"/>
    <cellStyle name="Normal 4 7 5 2" xfId="3218"/>
    <cellStyle name="Normal 4 7 5 2 2" xfId="9503"/>
    <cellStyle name="Normal 4 7 5 2 2 2" xfId="34076"/>
    <cellStyle name="Normal 4 7 5 2 2 3" xfId="34075"/>
    <cellStyle name="Normal 4 7 5 2 3" xfId="6376"/>
    <cellStyle name="Normal 4 7 5 2 3 2" xfId="34078"/>
    <cellStyle name="Normal 4 7 5 2 3 3" xfId="34077"/>
    <cellStyle name="Normal 4 7 5 2 4" xfId="12686"/>
    <cellStyle name="Normal 4 7 5 2 4 2" xfId="34080"/>
    <cellStyle name="Normal 4 7 5 2 4 3" xfId="34079"/>
    <cellStyle name="Normal 4 7 5 2 5" xfId="34081"/>
    <cellStyle name="Normal 4 7 5 2 6" xfId="34074"/>
    <cellStyle name="Normal 4 7 5 3" xfId="7940"/>
    <cellStyle name="Normal 4 7 5 3 2" xfId="34083"/>
    <cellStyle name="Normal 4 7 5 3 3" xfId="34082"/>
    <cellStyle name="Normal 4 7 5 4" xfId="4813"/>
    <cellStyle name="Normal 4 7 5 4 2" xfId="34085"/>
    <cellStyle name="Normal 4 7 5 4 3" xfId="34084"/>
    <cellStyle name="Normal 4 7 5 5" xfId="11123"/>
    <cellStyle name="Normal 4 7 5 5 2" xfId="34087"/>
    <cellStyle name="Normal 4 7 5 5 3" xfId="34086"/>
    <cellStyle name="Normal 4 7 5 6" xfId="34088"/>
    <cellStyle name="Normal 4 7 5 7" xfId="34073"/>
    <cellStyle name="Normal 4 7 6" xfId="2199"/>
    <cellStyle name="Normal 4 7 6 2" xfId="8484"/>
    <cellStyle name="Normal 4 7 6 2 2" xfId="34091"/>
    <cellStyle name="Normal 4 7 6 2 3" xfId="34090"/>
    <cellStyle name="Normal 4 7 6 3" xfId="5357"/>
    <cellStyle name="Normal 4 7 6 3 2" xfId="34093"/>
    <cellStyle name="Normal 4 7 6 3 3" xfId="34092"/>
    <cellStyle name="Normal 4 7 6 4" xfId="11667"/>
    <cellStyle name="Normal 4 7 6 4 2" xfId="34095"/>
    <cellStyle name="Normal 4 7 6 4 3" xfId="34094"/>
    <cellStyle name="Normal 4 7 6 5" xfId="34096"/>
    <cellStyle name="Normal 4 7 6 6" xfId="34089"/>
    <cellStyle name="Normal 4 7 7" xfId="6921"/>
    <cellStyle name="Normal 4 7 7 2" xfId="34098"/>
    <cellStyle name="Normal 4 7 7 3" xfId="34097"/>
    <cellStyle name="Normal 4 7 8" xfId="3794"/>
    <cellStyle name="Normal 4 7 8 2" xfId="34100"/>
    <cellStyle name="Normal 4 7 8 3" xfId="34099"/>
    <cellStyle name="Normal 4 7 9" xfId="9721"/>
    <cellStyle name="Normal 4 7 9 2" xfId="34102"/>
    <cellStyle name="Normal 4 7 9 3" xfId="34101"/>
    <cellStyle name="Normal 4 8" xfId="765"/>
    <cellStyle name="Normal 4 8 10" xfId="34103"/>
    <cellStyle name="Normal 4 8 2" xfId="766"/>
    <cellStyle name="Normal 4 8 2 2" xfId="1454"/>
    <cellStyle name="Normal 4 8 2 2 2" xfId="3019"/>
    <cellStyle name="Normal 4 8 2 2 2 2" xfId="9304"/>
    <cellStyle name="Normal 4 8 2 2 2 2 2" xfId="34108"/>
    <cellStyle name="Normal 4 8 2 2 2 2 3" xfId="34107"/>
    <cellStyle name="Normal 4 8 2 2 2 3" xfId="6177"/>
    <cellStyle name="Normal 4 8 2 2 2 3 2" xfId="34110"/>
    <cellStyle name="Normal 4 8 2 2 2 3 3" xfId="34109"/>
    <cellStyle name="Normal 4 8 2 2 2 4" xfId="12487"/>
    <cellStyle name="Normal 4 8 2 2 2 4 2" xfId="34112"/>
    <cellStyle name="Normal 4 8 2 2 2 4 3" xfId="34111"/>
    <cellStyle name="Normal 4 8 2 2 2 5" xfId="34113"/>
    <cellStyle name="Normal 4 8 2 2 2 6" xfId="34106"/>
    <cellStyle name="Normal 4 8 2 2 3" xfId="7741"/>
    <cellStyle name="Normal 4 8 2 2 3 2" xfId="34115"/>
    <cellStyle name="Normal 4 8 2 2 3 3" xfId="34114"/>
    <cellStyle name="Normal 4 8 2 2 4" xfId="4614"/>
    <cellStyle name="Normal 4 8 2 2 4 2" xfId="34117"/>
    <cellStyle name="Normal 4 8 2 2 4 3" xfId="34116"/>
    <cellStyle name="Normal 4 8 2 2 5" xfId="10924"/>
    <cellStyle name="Normal 4 8 2 2 5 2" xfId="34119"/>
    <cellStyle name="Normal 4 8 2 2 5 3" xfId="34118"/>
    <cellStyle name="Normal 4 8 2 2 6" xfId="34120"/>
    <cellStyle name="Normal 4 8 2 2 7" xfId="34105"/>
    <cellStyle name="Normal 4 8 2 3" xfId="1656"/>
    <cellStyle name="Normal 4 8 2 3 2" xfId="3221"/>
    <cellStyle name="Normal 4 8 2 3 2 2" xfId="9506"/>
    <cellStyle name="Normal 4 8 2 3 2 2 2" xfId="34124"/>
    <cellStyle name="Normal 4 8 2 3 2 2 3" xfId="34123"/>
    <cellStyle name="Normal 4 8 2 3 2 3" xfId="6379"/>
    <cellStyle name="Normal 4 8 2 3 2 3 2" xfId="34126"/>
    <cellStyle name="Normal 4 8 2 3 2 3 3" xfId="34125"/>
    <cellStyle name="Normal 4 8 2 3 2 4" xfId="12689"/>
    <cellStyle name="Normal 4 8 2 3 2 4 2" xfId="34128"/>
    <cellStyle name="Normal 4 8 2 3 2 4 3" xfId="34127"/>
    <cellStyle name="Normal 4 8 2 3 2 5" xfId="34129"/>
    <cellStyle name="Normal 4 8 2 3 2 6" xfId="34122"/>
    <cellStyle name="Normal 4 8 2 3 3" xfId="7943"/>
    <cellStyle name="Normal 4 8 2 3 3 2" xfId="34131"/>
    <cellStyle name="Normal 4 8 2 3 3 3" xfId="34130"/>
    <cellStyle name="Normal 4 8 2 3 4" xfId="4816"/>
    <cellStyle name="Normal 4 8 2 3 4 2" xfId="34133"/>
    <cellStyle name="Normal 4 8 2 3 4 3" xfId="34132"/>
    <cellStyle name="Normal 4 8 2 3 5" xfId="11126"/>
    <cellStyle name="Normal 4 8 2 3 5 2" xfId="34135"/>
    <cellStyle name="Normal 4 8 2 3 5 3" xfId="34134"/>
    <cellStyle name="Normal 4 8 2 3 6" xfId="34136"/>
    <cellStyle name="Normal 4 8 2 3 7" xfId="34121"/>
    <cellStyle name="Normal 4 8 2 4" xfId="2339"/>
    <cellStyle name="Normal 4 8 2 4 2" xfId="8624"/>
    <cellStyle name="Normal 4 8 2 4 2 2" xfId="34139"/>
    <cellStyle name="Normal 4 8 2 4 2 3" xfId="34138"/>
    <cellStyle name="Normal 4 8 2 4 3" xfId="5497"/>
    <cellStyle name="Normal 4 8 2 4 3 2" xfId="34141"/>
    <cellStyle name="Normal 4 8 2 4 3 3" xfId="34140"/>
    <cellStyle name="Normal 4 8 2 4 4" xfId="11807"/>
    <cellStyle name="Normal 4 8 2 4 4 2" xfId="34143"/>
    <cellStyle name="Normal 4 8 2 4 4 3" xfId="34142"/>
    <cellStyle name="Normal 4 8 2 4 5" xfId="34144"/>
    <cellStyle name="Normal 4 8 2 4 6" xfId="34137"/>
    <cellStyle name="Normal 4 8 2 5" xfId="7061"/>
    <cellStyle name="Normal 4 8 2 5 2" xfId="34146"/>
    <cellStyle name="Normal 4 8 2 5 3" xfId="34145"/>
    <cellStyle name="Normal 4 8 2 6" xfId="3934"/>
    <cellStyle name="Normal 4 8 2 6 2" xfId="34148"/>
    <cellStyle name="Normal 4 8 2 6 3" xfId="34147"/>
    <cellStyle name="Normal 4 8 2 7" xfId="9724"/>
    <cellStyle name="Normal 4 8 2 7 2" xfId="34150"/>
    <cellStyle name="Normal 4 8 2 7 3" xfId="34149"/>
    <cellStyle name="Normal 4 8 2 8" xfId="34151"/>
    <cellStyle name="Normal 4 8 2 9" xfId="34104"/>
    <cellStyle name="Normal 4 8 3" xfId="1453"/>
    <cellStyle name="Normal 4 8 3 2" xfId="3018"/>
    <cellStyle name="Normal 4 8 3 2 2" xfId="9303"/>
    <cellStyle name="Normal 4 8 3 2 2 2" xfId="34155"/>
    <cellStyle name="Normal 4 8 3 2 2 3" xfId="34154"/>
    <cellStyle name="Normal 4 8 3 2 3" xfId="6176"/>
    <cellStyle name="Normal 4 8 3 2 3 2" xfId="34157"/>
    <cellStyle name="Normal 4 8 3 2 3 3" xfId="34156"/>
    <cellStyle name="Normal 4 8 3 2 4" xfId="12486"/>
    <cellStyle name="Normal 4 8 3 2 4 2" xfId="34159"/>
    <cellStyle name="Normal 4 8 3 2 4 3" xfId="34158"/>
    <cellStyle name="Normal 4 8 3 2 5" xfId="34160"/>
    <cellStyle name="Normal 4 8 3 2 6" xfId="34153"/>
    <cellStyle name="Normal 4 8 3 3" xfId="7740"/>
    <cellStyle name="Normal 4 8 3 3 2" xfId="34162"/>
    <cellStyle name="Normal 4 8 3 3 3" xfId="34161"/>
    <cellStyle name="Normal 4 8 3 4" xfId="4613"/>
    <cellStyle name="Normal 4 8 3 4 2" xfId="34164"/>
    <cellStyle name="Normal 4 8 3 4 3" xfId="34163"/>
    <cellStyle name="Normal 4 8 3 5" xfId="10923"/>
    <cellStyle name="Normal 4 8 3 5 2" xfId="34166"/>
    <cellStyle name="Normal 4 8 3 5 3" xfId="34165"/>
    <cellStyle name="Normal 4 8 3 6" xfId="34167"/>
    <cellStyle name="Normal 4 8 3 7" xfId="34152"/>
    <cellStyle name="Normal 4 8 4" xfId="1655"/>
    <cellStyle name="Normal 4 8 4 2" xfId="3220"/>
    <cellStyle name="Normal 4 8 4 2 2" xfId="9505"/>
    <cellStyle name="Normal 4 8 4 2 2 2" xfId="34171"/>
    <cellStyle name="Normal 4 8 4 2 2 3" xfId="34170"/>
    <cellStyle name="Normal 4 8 4 2 3" xfId="6378"/>
    <cellStyle name="Normal 4 8 4 2 3 2" xfId="34173"/>
    <cellStyle name="Normal 4 8 4 2 3 3" xfId="34172"/>
    <cellStyle name="Normal 4 8 4 2 4" xfId="12688"/>
    <cellStyle name="Normal 4 8 4 2 4 2" xfId="34175"/>
    <cellStyle name="Normal 4 8 4 2 4 3" xfId="34174"/>
    <cellStyle name="Normal 4 8 4 2 5" xfId="34176"/>
    <cellStyle name="Normal 4 8 4 2 6" xfId="34169"/>
    <cellStyle name="Normal 4 8 4 3" xfId="7942"/>
    <cellStyle name="Normal 4 8 4 3 2" xfId="34178"/>
    <cellStyle name="Normal 4 8 4 3 3" xfId="34177"/>
    <cellStyle name="Normal 4 8 4 4" xfId="4815"/>
    <cellStyle name="Normal 4 8 4 4 2" xfId="34180"/>
    <cellStyle name="Normal 4 8 4 4 3" xfId="34179"/>
    <cellStyle name="Normal 4 8 4 5" xfId="11125"/>
    <cellStyle name="Normal 4 8 4 5 2" xfId="34182"/>
    <cellStyle name="Normal 4 8 4 5 3" xfId="34181"/>
    <cellStyle name="Normal 4 8 4 6" xfId="34183"/>
    <cellStyle name="Normal 4 8 4 7" xfId="34168"/>
    <cellStyle name="Normal 4 8 5" xfId="2338"/>
    <cellStyle name="Normal 4 8 5 2" xfId="8623"/>
    <cellStyle name="Normal 4 8 5 2 2" xfId="34186"/>
    <cellStyle name="Normal 4 8 5 2 3" xfId="34185"/>
    <cellStyle name="Normal 4 8 5 3" xfId="5496"/>
    <cellStyle name="Normal 4 8 5 3 2" xfId="34188"/>
    <cellStyle name="Normal 4 8 5 3 3" xfId="34187"/>
    <cellStyle name="Normal 4 8 5 4" xfId="11806"/>
    <cellStyle name="Normal 4 8 5 4 2" xfId="34190"/>
    <cellStyle name="Normal 4 8 5 4 3" xfId="34189"/>
    <cellStyle name="Normal 4 8 5 5" xfId="34191"/>
    <cellStyle name="Normal 4 8 5 6" xfId="34184"/>
    <cellStyle name="Normal 4 8 6" xfId="7060"/>
    <cellStyle name="Normal 4 8 6 2" xfId="34193"/>
    <cellStyle name="Normal 4 8 6 3" xfId="34192"/>
    <cellStyle name="Normal 4 8 7" xfId="3933"/>
    <cellStyle name="Normal 4 8 7 2" xfId="34195"/>
    <cellStyle name="Normal 4 8 7 3" xfId="34194"/>
    <cellStyle name="Normal 4 8 8" xfId="9723"/>
    <cellStyle name="Normal 4 8 8 2" xfId="34197"/>
    <cellStyle name="Normal 4 8 8 3" xfId="34196"/>
    <cellStyle name="Normal 4 8 9" xfId="34198"/>
    <cellStyle name="Normal 4 9" xfId="767"/>
    <cellStyle name="Normal 4 9 2" xfId="1455"/>
    <cellStyle name="Normal 4 9 2 2" xfId="3020"/>
    <cellStyle name="Normal 4 9 2 2 2" xfId="9305"/>
    <cellStyle name="Normal 4 9 2 2 2 2" xfId="34203"/>
    <cellStyle name="Normal 4 9 2 2 2 3" xfId="34202"/>
    <cellStyle name="Normal 4 9 2 2 3" xfId="6178"/>
    <cellStyle name="Normal 4 9 2 2 3 2" xfId="34205"/>
    <cellStyle name="Normal 4 9 2 2 3 3" xfId="34204"/>
    <cellStyle name="Normal 4 9 2 2 4" xfId="12488"/>
    <cellStyle name="Normal 4 9 2 2 4 2" xfId="34207"/>
    <cellStyle name="Normal 4 9 2 2 4 3" xfId="34206"/>
    <cellStyle name="Normal 4 9 2 2 5" xfId="34208"/>
    <cellStyle name="Normal 4 9 2 2 6" xfId="34201"/>
    <cellStyle name="Normal 4 9 2 3" xfId="7742"/>
    <cellStyle name="Normal 4 9 2 3 2" xfId="34210"/>
    <cellStyle name="Normal 4 9 2 3 3" xfId="34209"/>
    <cellStyle name="Normal 4 9 2 4" xfId="4615"/>
    <cellStyle name="Normal 4 9 2 4 2" xfId="34212"/>
    <cellStyle name="Normal 4 9 2 4 3" xfId="34211"/>
    <cellStyle name="Normal 4 9 2 5" xfId="10925"/>
    <cellStyle name="Normal 4 9 2 5 2" xfId="34214"/>
    <cellStyle name="Normal 4 9 2 5 3" xfId="34213"/>
    <cellStyle name="Normal 4 9 2 6" xfId="34215"/>
    <cellStyle name="Normal 4 9 2 7" xfId="34200"/>
    <cellStyle name="Normal 4 9 3" xfId="1657"/>
    <cellStyle name="Normal 4 9 3 2" xfId="3222"/>
    <cellStyle name="Normal 4 9 3 2 2" xfId="9507"/>
    <cellStyle name="Normal 4 9 3 2 2 2" xfId="34219"/>
    <cellStyle name="Normal 4 9 3 2 2 3" xfId="34218"/>
    <cellStyle name="Normal 4 9 3 2 3" xfId="6380"/>
    <cellStyle name="Normal 4 9 3 2 3 2" xfId="34221"/>
    <cellStyle name="Normal 4 9 3 2 3 3" xfId="34220"/>
    <cellStyle name="Normal 4 9 3 2 4" xfId="12690"/>
    <cellStyle name="Normal 4 9 3 2 4 2" xfId="34223"/>
    <cellStyle name="Normal 4 9 3 2 4 3" xfId="34222"/>
    <cellStyle name="Normal 4 9 3 2 5" xfId="34224"/>
    <cellStyle name="Normal 4 9 3 2 6" xfId="34217"/>
    <cellStyle name="Normal 4 9 3 3" xfId="7944"/>
    <cellStyle name="Normal 4 9 3 3 2" xfId="34226"/>
    <cellStyle name="Normal 4 9 3 3 3" xfId="34225"/>
    <cellStyle name="Normal 4 9 3 4" xfId="4817"/>
    <cellStyle name="Normal 4 9 3 4 2" xfId="34228"/>
    <cellStyle name="Normal 4 9 3 4 3" xfId="34227"/>
    <cellStyle name="Normal 4 9 3 5" xfId="11127"/>
    <cellStyle name="Normal 4 9 3 5 2" xfId="34230"/>
    <cellStyle name="Normal 4 9 3 5 3" xfId="34229"/>
    <cellStyle name="Normal 4 9 3 6" xfId="34231"/>
    <cellStyle name="Normal 4 9 3 7" xfId="34216"/>
    <cellStyle name="Normal 4 9 4" xfId="2340"/>
    <cellStyle name="Normal 4 9 4 2" xfId="8625"/>
    <cellStyle name="Normal 4 9 4 2 2" xfId="34234"/>
    <cellStyle name="Normal 4 9 4 2 3" xfId="34233"/>
    <cellStyle name="Normal 4 9 4 3" xfId="5498"/>
    <cellStyle name="Normal 4 9 4 3 2" xfId="34236"/>
    <cellStyle name="Normal 4 9 4 3 3" xfId="34235"/>
    <cellStyle name="Normal 4 9 4 4" xfId="11808"/>
    <cellStyle name="Normal 4 9 4 4 2" xfId="34238"/>
    <cellStyle name="Normal 4 9 4 4 3" xfId="34237"/>
    <cellStyle name="Normal 4 9 4 5" xfId="34239"/>
    <cellStyle name="Normal 4 9 4 6" xfId="34232"/>
    <cellStyle name="Normal 4 9 5" xfId="7062"/>
    <cellStyle name="Normal 4 9 5 2" xfId="34241"/>
    <cellStyle name="Normal 4 9 5 3" xfId="34240"/>
    <cellStyle name="Normal 4 9 6" xfId="3935"/>
    <cellStyle name="Normal 4 9 6 2" xfId="34243"/>
    <cellStyle name="Normal 4 9 6 3" xfId="34242"/>
    <cellStyle name="Normal 4 9 7" xfId="9725"/>
    <cellStyle name="Normal 4 9 7 2" xfId="34245"/>
    <cellStyle name="Normal 4 9 7 3" xfId="34244"/>
    <cellStyle name="Normal 4 9 8" xfId="34246"/>
    <cellStyle name="Normal 4 9 9" xfId="34199"/>
    <cellStyle name="Normal 5" xfId="68"/>
    <cellStyle name="Normal 5 10" xfId="38166"/>
    <cellStyle name="Normal 5 2" xfId="209"/>
    <cellStyle name="Normal 5 2 2" xfId="770"/>
    <cellStyle name="Normal 5 2 2 10" xfId="34248"/>
    <cellStyle name="Normal 5 2 2 2" xfId="771"/>
    <cellStyle name="Normal 5 2 2 2 2" xfId="1459"/>
    <cellStyle name="Normal 5 2 2 2 2 2" xfId="3024"/>
    <cellStyle name="Normal 5 2 2 2 2 2 2" xfId="9309"/>
    <cellStyle name="Normal 5 2 2 2 2 2 2 2" xfId="34253"/>
    <cellStyle name="Normal 5 2 2 2 2 2 2 3" xfId="34252"/>
    <cellStyle name="Normal 5 2 2 2 2 2 3" xfId="6182"/>
    <cellStyle name="Normal 5 2 2 2 2 2 3 2" xfId="34255"/>
    <cellStyle name="Normal 5 2 2 2 2 2 3 3" xfId="34254"/>
    <cellStyle name="Normal 5 2 2 2 2 2 4" xfId="12492"/>
    <cellStyle name="Normal 5 2 2 2 2 2 4 2" xfId="34257"/>
    <cellStyle name="Normal 5 2 2 2 2 2 4 3" xfId="34256"/>
    <cellStyle name="Normal 5 2 2 2 2 2 5" xfId="34258"/>
    <cellStyle name="Normal 5 2 2 2 2 2 6" xfId="34251"/>
    <cellStyle name="Normal 5 2 2 2 2 3" xfId="7746"/>
    <cellStyle name="Normal 5 2 2 2 2 3 2" xfId="34260"/>
    <cellStyle name="Normal 5 2 2 2 2 3 3" xfId="34259"/>
    <cellStyle name="Normal 5 2 2 2 2 4" xfId="4619"/>
    <cellStyle name="Normal 5 2 2 2 2 4 2" xfId="34262"/>
    <cellStyle name="Normal 5 2 2 2 2 4 3" xfId="34261"/>
    <cellStyle name="Normal 5 2 2 2 2 5" xfId="10929"/>
    <cellStyle name="Normal 5 2 2 2 2 5 2" xfId="34264"/>
    <cellStyle name="Normal 5 2 2 2 2 5 3" xfId="34263"/>
    <cellStyle name="Normal 5 2 2 2 2 6" xfId="34265"/>
    <cellStyle name="Normal 5 2 2 2 2 7" xfId="34250"/>
    <cellStyle name="Normal 5 2 2 2 3" xfId="1661"/>
    <cellStyle name="Normal 5 2 2 2 3 2" xfId="3226"/>
    <cellStyle name="Normal 5 2 2 2 3 2 2" xfId="9511"/>
    <cellStyle name="Normal 5 2 2 2 3 2 2 2" xfId="34269"/>
    <cellStyle name="Normal 5 2 2 2 3 2 2 3" xfId="34268"/>
    <cellStyle name="Normal 5 2 2 2 3 2 3" xfId="6384"/>
    <cellStyle name="Normal 5 2 2 2 3 2 3 2" xfId="34271"/>
    <cellStyle name="Normal 5 2 2 2 3 2 3 3" xfId="34270"/>
    <cellStyle name="Normal 5 2 2 2 3 2 4" xfId="12694"/>
    <cellStyle name="Normal 5 2 2 2 3 2 4 2" xfId="34273"/>
    <cellStyle name="Normal 5 2 2 2 3 2 4 3" xfId="34272"/>
    <cellStyle name="Normal 5 2 2 2 3 2 5" xfId="34274"/>
    <cellStyle name="Normal 5 2 2 2 3 2 6" xfId="34267"/>
    <cellStyle name="Normal 5 2 2 2 3 3" xfId="7948"/>
    <cellStyle name="Normal 5 2 2 2 3 3 2" xfId="34276"/>
    <cellStyle name="Normal 5 2 2 2 3 3 3" xfId="34275"/>
    <cellStyle name="Normal 5 2 2 2 3 4" xfId="4821"/>
    <cellStyle name="Normal 5 2 2 2 3 4 2" xfId="34278"/>
    <cellStyle name="Normal 5 2 2 2 3 4 3" xfId="34277"/>
    <cellStyle name="Normal 5 2 2 2 3 5" xfId="11131"/>
    <cellStyle name="Normal 5 2 2 2 3 5 2" xfId="34280"/>
    <cellStyle name="Normal 5 2 2 2 3 5 3" xfId="34279"/>
    <cellStyle name="Normal 5 2 2 2 3 6" xfId="34281"/>
    <cellStyle name="Normal 5 2 2 2 3 7" xfId="34266"/>
    <cellStyle name="Normal 5 2 2 2 4" xfId="2344"/>
    <cellStyle name="Normal 5 2 2 2 4 2" xfId="8629"/>
    <cellStyle name="Normal 5 2 2 2 4 2 2" xfId="34284"/>
    <cellStyle name="Normal 5 2 2 2 4 2 3" xfId="34283"/>
    <cellStyle name="Normal 5 2 2 2 4 3" xfId="5502"/>
    <cellStyle name="Normal 5 2 2 2 4 3 2" xfId="34286"/>
    <cellStyle name="Normal 5 2 2 2 4 3 3" xfId="34285"/>
    <cellStyle name="Normal 5 2 2 2 4 4" xfId="11812"/>
    <cellStyle name="Normal 5 2 2 2 4 4 2" xfId="34288"/>
    <cellStyle name="Normal 5 2 2 2 4 4 3" xfId="34287"/>
    <cellStyle name="Normal 5 2 2 2 4 5" xfId="34289"/>
    <cellStyle name="Normal 5 2 2 2 4 6" xfId="34282"/>
    <cellStyle name="Normal 5 2 2 2 5" xfId="7066"/>
    <cellStyle name="Normal 5 2 2 2 5 2" xfId="34291"/>
    <cellStyle name="Normal 5 2 2 2 5 3" xfId="34290"/>
    <cellStyle name="Normal 5 2 2 2 6" xfId="3939"/>
    <cellStyle name="Normal 5 2 2 2 6 2" xfId="34293"/>
    <cellStyle name="Normal 5 2 2 2 6 3" xfId="34292"/>
    <cellStyle name="Normal 5 2 2 2 7" xfId="9729"/>
    <cellStyle name="Normal 5 2 2 2 7 2" xfId="34295"/>
    <cellStyle name="Normal 5 2 2 2 7 3" xfId="34294"/>
    <cellStyle name="Normal 5 2 2 2 8" xfId="34296"/>
    <cellStyle name="Normal 5 2 2 2 9" xfId="34249"/>
    <cellStyle name="Normal 5 2 2 3" xfId="1458"/>
    <cellStyle name="Normal 5 2 2 3 2" xfId="3023"/>
    <cellStyle name="Normal 5 2 2 3 2 2" xfId="9308"/>
    <cellStyle name="Normal 5 2 2 3 2 2 2" xfId="34300"/>
    <cellStyle name="Normal 5 2 2 3 2 2 3" xfId="34299"/>
    <cellStyle name="Normal 5 2 2 3 2 3" xfId="6181"/>
    <cellStyle name="Normal 5 2 2 3 2 3 2" xfId="34302"/>
    <cellStyle name="Normal 5 2 2 3 2 3 3" xfId="34301"/>
    <cellStyle name="Normal 5 2 2 3 2 4" xfId="12491"/>
    <cellStyle name="Normal 5 2 2 3 2 4 2" xfId="34304"/>
    <cellStyle name="Normal 5 2 2 3 2 4 3" xfId="34303"/>
    <cellStyle name="Normal 5 2 2 3 2 5" xfId="34305"/>
    <cellStyle name="Normal 5 2 2 3 2 6" xfId="34298"/>
    <cellStyle name="Normal 5 2 2 3 3" xfId="7745"/>
    <cellStyle name="Normal 5 2 2 3 3 2" xfId="34307"/>
    <cellStyle name="Normal 5 2 2 3 3 3" xfId="34306"/>
    <cellStyle name="Normal 5 2 2 3 4" xfId="4618"/>
    <cellStyle name="Normal 5 2 2 3 4 2" xfId="34309"/>
    <cellStyle name="Normal 5 2 2 3 4 3" xfId="34308"/>
    <cellStyle name="Normal 5 2 2 3 5" xfId="10928"/>
    <cellStyle name="Normal 5 2 2 3 5 2" xfId="34311"/>
    <cellStyle name="Normal 5 2 2 3 5 3" xfId="34310"/>
    <cellStyle name="Normal 5 2 2 3 6" xfId="34312"/>
    <cellStyle name="Normal 5 2 2 3 7" xfId="34297"/>
    <cellStyle name="Normal 5 2 2 4" xfId="1660"/>
    <cellStyle name="Normal 5 2 2 4 2" xfId="3225"/>
    <cellStyle name="Normal 5 2 2 4 2 2" xfId="9510"/>
    <cellStyle name="Normal 5 2 2 4 2 2 2" xfId="34316"/>
    <cellStyle name="Normal 5 2 2 4 2 2 3" xfId="34315"/>
    <cellStyle name="Normal 5 2 2 4 2 3" xfId="6383"/>
    <cellStyle name="Normal 5 2 2 4 2 3 2" xfId="34318"/>
    <cellStyle name="Normal 5 2 2 4 2 3 3" xfId="34317"/>
    <cellStyle name="Normal 5 2 2 4 2 4" xfId="12693"/>
    <cellStyle name="Normal 5 2 2 4 2 4 2" xfId="34320"/>
    <cellStyle name="Normal 5 2 2 4 2 4 3" xfId="34319"/>
    <cellStyle name="Normal 5 2 2 4 2 5" xfId="34321"/>
    <cellStyle name="Normal 5 2 2 4 2 6" xfId="34314"/>
    <cellStyle name="Normal 5 2 2 4 3" xfId="7947"/>
    <cellStyle name="Normal 5 2 2 4 3 2" xfId="34323"/>
    <cellStyle name="Normal 5 2 2 4 3 3" xfId="34322"/>
    <cellStyle name="Normal 5 2 2 4 4" xfId="4820"/>
    <cellStyle name="Normal 5 2 2 4 4 2" xfId="34325"/>
    <cellStyle name="Normal 5 2 2 4 4 3" xfId="34324"/>
    <cellStyle name="Normal 5 2 2 4 5" xfId="11130"/>
    <cellStyle name="Normal 5 2 2 4 5 2" xfId="34327"/>
    <cellStyle name="Normal 5 2 2 4 5 3" xfId="34326"/>
    <cellStyle name="Normal 5 2 2 4 6" xfId="34328"/>
    <cellStyle name="Normal 5 2 2 4 7" xfId="34313"/>
    <cellStyle name="Normal 5 2 2 5" xfId="2343"/>
    <cellStyle name="Normal 5 2 2 5 2" xfId="8628"/>
    <cellStyle name="Normal 5 2 2 5 2 2" xfId="34331"/>
    <cellStyle name="Normal 5 2 2 5 2 3" xfId="34330"/>
    <cellStyle name="Normal 5 2 2 5 3" xfId="5501"/>
    <cellStyle name="Normal 5 2 2 5 3 2" xfId="34333"/>
    <cellStyle name="Normal 5 2 2 5 3 3" xfId="34332"/>
    <cellStyle name="Normal 5 2 2 5 4" xfId="11811"/>
    <cellStyle name="Normal 5 2 2 5 4 2" xfId="34335"/>
    <cellStyle name="Normal 5 2 2 5 4 3" xfId="34334"/>
    <cellStyle name="Normal 5 2 2 5 5" xfId="34336"/>
    <cellStyle name="Normal 5 2 2 5 6" xfId="34329"/>
    <cellStyle name="Normal 5 2 2 6" xfId="7065"/>
    <cellStyle name="Normal 5 2 2 6 2" xfId="34338"/>
    <cellStyle name="Normal 5 2 2 6 3" xfId="34337"/>
    <cellStyle name="Normal 5 2 2 7" xfId="3938"/>
    <cellStyle name="Normal 5 2 2 7 2" xfId="34340"/>
    <cellStyle name="Normal 5 2 2 7 3" xfId="34339"/>
    <cellStyle name="Normal 5 2 2 8" xfId="9728"/>
    <cellStyle name="Normal 5 2 2 8 2" xfId="34342"/>
    <cellStyle name="Normal 5 2 2 8 3" xfId="34341"/>
    <cellStyle name="Normal 5 2 2 9" xfId="34343"/>
    <cellStyle name="Normal 5 2 3" xfId="772"/>
    <cellStyle name="Normal 5 2 3 2" xfId="1460"/>
    <cellStyle name="Normal 5 2 3 2 2" xfId="3025"/>
    <cellStyle name="Normal 5 2 3 2 2 2" xfId="9310"/>
    <cellStyle name="Normal 5 2 3 2 2 2 2" xfId="34348"/>
    <cellStyle name="Normal 5 2 3 2 2 2 3" xfId="34347"/>
    <cellStyle name="Normal 5 2 3 2 2 3" xfId="6183"/>
    <cellStyle name="Normal 5 2 3 2 2 3 2" xfId="34350"/>
    <cellStyle name="Normal 5 2 3 2 2 3 3" xfId="34349"/>
    <cellStyle name="Normal 5 2 3 2 2 4" xfId="12493"/>
    <cellStyle name="Normal 5 2 3 2 2 4 2" xfId="34352"/>
    <cellStyle name="Normal 5 2 3 2 2 4 3" xfId="34351"/>
    <cellStyle name="Normal 5 2 3 2 2 5" xfId="34353"/>
    <cellStyle name="Normal 5 2 3 2 2 6" xfId="34346"/>
    <cellStyle name="Normal 5 2 3 2 3" xfId="7747"/>
    <cellStyle name="Normal 5 2 3 2 3 2" xfId="34355"/>
    <cellStyle name="Normal 5 2 3 2 3 3" xfId="34354"/>
    <cellStyle name="Normal 5 2 3 2 4" xfId="4620"/>
    <cellStyle name="Normal 5 2 3 2 4 2" xfId="34357"/>
    <cellStyle name="Normal 5 2 3 2 4 3" xfId="34356"/>
    <cellStyle name="Normal 5 2 3 2 5" xfId="10930"/>
    <cellStyle name="Normal 5 2 3 2 5 2" xfId="34359"/>
    <cellStyle name="Normal 5 2 3 2 5 3" xfId="34358"/>
    <cellStyle name="Normal 5 2 3 2 6" xfId="34360"/>
    <cellStyle name="Normal 5 2 3 2 7" xfId="34345"/>
    <cellStyle name="Normal 5 2 3 3" xfId="1662"/>
    <cellStyle name="Normal 5 2 3 3 2" xfId="3227"/>
    <cellStyle name="Normal 5 2 3 3 2 2" xfId="9512"/>
    <cellStyle name="Normal 5 2 3 3 2 2 2" xfId="34364"/>
    <cellStyle name="Normal 5 2 3 3 2 2 3" xfId="34363"/>
    <cellStyle name="Normal 5 2 3 3 2 3" xfId="6385"/>
    <cellStyle name="Normal 5 2 3 3 2 3 2" xfId="34366"/>
    <cellStyle name="Normal 5 2 3 3 2 3 3" xfId="34365"/>
    <cellStyle name="Normal 5 2 3 3 2 4" xfId="12695"/>
    <cellStyle name="Normal 5 2 3 3 2 4 2" xfId="34368"/>
    <cellStyle name="Normal 5 2 3 3 2 4 3" xfId="34367"/>
    <cellStyle name="Normal 5 2 3 3 2 5" xfId="34369"/>
    <cellStyle name="Normal 5 2 3 3 2 6" xfId="34362"/>
    <cellStyle name="Normal 5 2 3 3 3" xfId="7949"/>
    <cellStyle name="Normal 5 2 3 3 3 2" xfId="34371"/>
    <cellStyle name="Normal 5 2 3 3 3 3" xfId="34370"/>
    <cellStyle name="Normal 5 2 3 3 4" xfId="4822"/>
    <cellStyle name="Normal 5 2 3 3 4 2" xfId="34373"/>
    <cellStyle name="Normal 5 2 3 3 4 3" xfId="34372"/>
    <cellStyle name="Normal 5 2 3 3 5" xfId="11132"/>
    <cellStyle name="Normal 5 2 3 3 5 2" xfId="34375"/>
    <cellStyle name="Normal 5 2 3 3 5 3" xfId="34374"/>
    <cellStyle name="Normal 5 2 3 3 6" xfId="34376"/>
    <cellStyle name="Normal 5 2 3 3 7" xfId="34361"/>
    <cellStyle name="Normal 5 2 3 4" xfId="2345"/>
    <cellStyle name="Normal 5 2 3 4 2" xfId="8630"/>
    <cellStyle name="Normal 5 2 3 4 2 2" xfId="34379"/>
    <cellStyle name="Normal 5 2 3 4 2 3" xfId="34378"/>
    <cellStyle name="Normal 5 2 3 4 3" xfId="5503"/>
    <cellStyle name="Normal 5 2 3 4 3 2" xfId="34381"/>
    <cellStyle name="Normal 5 2 3 4 3 3" xfId="34380"/>
    <cellStyle name="Normal 5 2 3 4 4" xfId="11813"/>
    <cellStyle name="Normal 5 2 3 4 4 2" xfId="34383"/>
    <cellStyle name="Normal 5 2 3 4 4 3" xfId="34382"/>
    <cellStyle name="Normal 5 2 3 4 5" xfId="34384"/>
    <cellStyle name="Normal 5 2 3 4 6" xfId="34377"/>
    <cellStyle name="Normal 5 2 3 5" xfId="7067"/>
    <cellStyle name="Normal 5 2 3 5 2" xfId="34386"/>
    <cellStyle name="Normal 5 2 3 5 3" xfId="34385"/>
    <cellStyle name="Normal 5 2 3 6" xfId="3940"/>
    <cellStyle name="Normal 5 2 3 6 2" xfId="34388"/>
    <cellStyle name="Normal 5 2 3 6 3" xfId="34387"/>
    <cellStyle name="Normal 5 2 3 7" xfId="9730"/>
    <cellStyle name="Normal 5 2 3 7 2" xfId="34390"/>
    <cellStyle name="Normal 5 2 3 7 3" xfId="34389"/>
    <cellStyle name="Normal 5 2 3 8" xfId="34391"/>
    <cellStyle name="Normal 5 2 3 9" xfId="34344"/>
    <cellStyle name="Normal 5 2 4" xfId="769"/>
    <cellStyle name="Normal 5 2 4 2" xfId="1457"/>
    <cellStyle name="Normal 5 2 4 2 2" xfId="3022"/>
    <cellStyle name="Normal 5 2 4 2 2 2" xfId="9307"/>
    <cellStyle name="Normal 5 2 4 2 2 2 2" xfId="34396"/>
    <cellStyle name="Normal 5 2 4 2 2 2 3" xfId="34395"/>
    <cellStyle name="Normal 5 2 4 2 2 3" xfId="6180"/>
    <cellStyle name="Normal 5 2 4 2 2 3 2" xfId="34398"/>
    <cellStyle name="Normal 5 2 4 2 2 3 3" xfId="34397"/>
    <cellStyle name="Normal 5 2 4 2 2 4" xfId="12490"/>
    <cellStyle name="Normal 5 2 4 2 2 4 2" xfId="34400"/>
    <cellStyle name="Normal 5 2 4 2 2 4 3" xfId="34399"/>
    <cellStyle name="Normal 5 2 4 2 2 5" xfId="34401"/>
    <cellStyle name="Normal 5 2 4 2 2 6" xfId="34394"/>
    <cellStyle name="Normal 5 2 4 2 3" xfId="7744"/>
    <cellStyle name="Normal 5 2 4 2 3 2" xfId="34403"/>
    <cellStyle name="Normal 5 2 4 2 3 3" xfId="34402"/>
    <cellStyle name="Normal 5 2 4 2 4" xfId="4617"/>
    <cellStyle name="Normal 5 2 4 2 4 2" xfId="34405"/>
    <cellStyle name="Normal 5 2 4 2 4 3" xfId="34404"/>
    <cellStyle name="Normal 5 2 4 2 5" xfId="10927"/>
    <cellStyle name="Normal 5 2 4 2 5 2" xfId="34407"/>
    <cellStyle name="Normal 5 2 4 2 5 3" xfId="34406"/>
    <cellStyle name="Normal 5 2 4 2 6" xfId="34408"/>
    <cellStyle name="Normal 5 2 4 2 7" xfId="34393"/>
    <cellStyle name="Normal 5 2 4 3" xfId="1659"/>
    <cellStyle name="Normal 5 2 4 3 2" xfId="3224"/>
    <cellStyle name="Normal 5 2 4 3 2 2" xfId="9509"/>
    <cellStyle name="Normal 5 2 4 3 2 2 2" xfId="34412"/>
    <cellStyle name="Normal 5 2 4 3 2 2 3" xfId="34411"/>
    <cellStyle name="Normal 5 2 4 3 2 3" xfId="6382"/>
    <cellStyle name="Normal 5 2 4 3 2 3 2" xfId="34414"/>
    <cellStyle name="Normal 5 2 4 3 2 3 3" xfId="34413"/>
    <cellStyle name="Normal 5 2 4 3 2 4" xfId="12692"/>
    <cellStyle name="Normal 5 2 4 3 2 4 2" xfId="34416"/>
    <cellStyle name="Normal 5 2 4 3 2 4 3" xfId="34415"/>
    <cellStyle name="Normal 5 2 4 3 2 5" xfId="34417"/>
    <cellStyle name="Normal 5 2 4 3 2 6" xfId="34410"/>
    <cellStyle name="Normal 5 2 4 3 3" xfId="7946"/>
    <cellStyle name="Normal 5 2 4 3 3 2" xfId="34419"/>
    <cellStyle name="Normal 5 2 4 3 3 3" xfId="34418"/>
    <cellStyle name="Normal 5 2 4 3 4" xfId="4819"/>
    <cellStyle name="Normal 5 2 4 3 4 2" xfId="34421"/>
    <cellStyle name="Normal 5 2 4 3 4 3" xfId="34420"/>
    <cellStyle name="Normal 5 2 4 3 5" xfId="11129"/>
    <cellStyle name="Normal 5 2 4 3 5 2" xfId="34423"/>
    <cellStyle name="Normal 5 2 4 3 5 3" xfId="34422"/>
    <cellStyle name="Normal 5 2 4 3 6" xfId="34424"/>
    <cellStyle name="Normal 5 2 4 3 7" xfId="34409"/>
    <cellStyle name="Normal 5 2 4 4" xfId="2342"/>
    <cellStyle name="Normal 5 2 4 4 2" xfId="8627"/>
    <cellStyle name="Normal 5 2 4 4 2 2" xfId="34427"/>
    <cellStyle name="Normal 5 2 4 4 2 3" xfId="34426"/>
    <cellStyle name="Normal 5 2 4 4 3" xfId="5500"/>
    <cellStyle name="Normal 5 2 4 4 3 2" xfId="34429"/>
    <cellStyle name="Normal 5 2 4 4 3 3" xfId="34428"/>
    <cellStyle name="Normal 5 2 4 4 4" xfId="11810"/>
    <cellStyle name="Normal 5 2 4 4 4 2" xfId="34431"/>
    <cellStyle name="Normal 5 2 4 4 4 3" xfId="34430"/>
    <cellStyle name="Normal 5 2 4 4 5" xfId="34432"/>
    <cellStyle name="Normal 5 2 4 4 6" xfId="34425"/>
    <cellStyle name="Normal 5 2 4 5" xfId="7064"/>
    <cellStyle name="Normal 5 2 4 5 2" xfId="34434"/>
    <cellStyle name="Normal 5 2 4 5 3" xfId="34433"/>
    <cellStyle name="Normal 5 2 4 6" xfId="3937"/>
    <cellStyle name="Normal 5 2 4 6 2" xfId="34436"/>
    <cellStyle name="Normal 5 2 4 6 3" xfId="34435"/>
    <cellStyle name="Normal 5 2 4 7" xfId="9727"/>
    <cellStyle name="Normal 5 2 4 7 2" xfId="34438"/>
    <cellStyle name="Normal 5 2 4 7 3" xfId="34437"/>
    <cellStyle name="Normal 5 2 4 8" xfId="34439"/>
    <cellStyle name="Normal 5 2 4 9" xfId="34392"/>
    <cellStyle name="Normal 5 2 5" xfId="34247"/>
    <cellStyle name="Normal 5 3" xfId="324"/>
    <cellStyle name="Normal 5 3 2" xfId="774"/>
    <cellStyle name="Normal 5 3 2 10" xfId="34441"/>
    <cellStyle name="Normal 5 3 2 2" xfId="775"/>
    <cellStyle name="Normal 5 3 2 2 2" xfId="1463"/>
    <cellStyle name="Normal 5 3 2 2 2 2" xfId="3028"/>
    <cellStyle name="Normal 5 3 2 2 2 2 2" xfId="9313"/>
    <cellStyle name="Normal 5 3 2 2 2 2 2 2" xfId="34446"/>
    <cellStyle name="Normal 5 3 2 2 2 2 2 3" xfId="34445"/>
    <cellStyle name="Normal 5 3 2 2 2 2 3" xfId="6186"/>
    <cellStyle name="Normal 5 3 2 2 2 2 3 2" xfId="34448"/>
    <cellStyle name="Normal 5 3 2 2 2 2 3 3" xfId="34447"/>
    <cellStyle name="Normal 5 3 2 2 2 2 4" xfId="12496"/>
    <cellStyle name="Normal 5 3 2 2 2 2 4 2" xfId="34450"/>
    <cellStyle name="Normal 5 3 2 2 2 2 4 3" xfId="34449"/>
    <cellStyle name="Normal 5 3 2 2 2 2 5" xfId="34451"/>
    <cellStyle name="Normal 5 3 2 2 2 2 6" xfId="34444"/>
    <cellStyle name="Normal 5 3 2 2 2 3" xfId="7750"/>
    <cellStyle name="Normal 5 3 2 2 2 3 2" xfId="34453"/>
    <cellStyle name="Normal 5 3 2 2 2 3 3" xfId="34452"/>
    <cellStyle name="Normal 5 3 2 2 2 4" xfId="4623"/>
    <cellStyle name="Normal 5 3 2 2 2 4 2" xfId="34455"/>
    <cellStyle name="Normal 5 3 2 2 2 4 3" xfId="34454"/>
    <cellStyle name="Normal 5 3 2 2 2 5" xfId="10933"/>
    <cellStyle name="Normal 5 3 2 2 2 5 2" xfId="34457"/>
    <cellStyle name="Normal 5 3 2 2 2 5 3" xfId="34456"/>
    <cellStyle name="Normal 5 3 2 2 2 6" xfId="34458"/>
    <cellStyle name="Normal 5 3 2 2 2 7" xfId="34443"/>
    <cellStyle name="Normal 5 3 2 2 3" xfId="1665"/>
    <cellStyle name="Normal 5 3 2 2 3 2" xfId="3230"/>
    <cellStyle name="Normal 5 3 2 2 3 2 2" xfId="9515"/>
    <cellStyle name="Normal 5 3 2 2 3 2 2 2" xfId="34462"/>
    <cellStyle name="Normal 5 3 2 2 3 2 2 3" xfId="34461"/>
    <cellStyle name="Normal 5 3 2 2 3 2 3" xfId="6388"/>
    <cellStyle name="Normal 5 3 2 2 3 2 3 2" xfId="34464"/>
    <cellStyle name="Normal 5 3 2 2 3 2 3 3" xfId="34463"/>
    <cellStyle name="Normal 5 3 2 2 3 2 4" xfId="12698"/>
    <cellStyle name="Normal 5 3 2 2 3 2 4 2" xfId="34466"/>
    <cellStyle name="Normal 5 3 2 2 3 2 4 3" xfId="34465"/>
    <cellStyle name="Normal 5 3 2 2 3 2 5" xfId="34467"/>
    <cellStyle name="Normal 5 3 2 2 3 2 6" xfId="34460"/>
    <cellStyle name="Normal 5 3 2 2 3 3" xfId="7952"/>
    <cellStyle name="Normal 5 3 2 2 3 3 2" xfId="34469"/>
    <cellStyle name="Normal 5 3 2 2 3 3 3" xfId="34468"/>
    <cellStyle name="Normal 5 3 2 2 3 4" xfId="4825"/>
    <cellStyle name="Normal 5 3 2 2 3 4 2" xfId="34471"/>
    <cellStyle name="Normal 5 3 2 2 3 4 3" xfId="34470"/>
    <cellStyle name="Normal 5 3 2 2 3 5" xfId="11135"/>
    <cellStyle name="Normal 5 3 2 2 3 5 2" xfId="34473"/>
    <cellStyle name="Normal 5 3 2 2 3 5 3" xfId="34472"/>
    <cellStyle name="Normal 5 3 2 2 3 6" xfId="34474"/>
    <cellStyle name="Normal 5 3 2 2 3 7" xfId="34459"/>
    <cellStyle name="Normal 5 3 2 2 4" xfId="2348"/>
    <cellStyle name="Normal 5 3 2 2 4 2" xfId="8633"/>
    <cellStyle name="Normal 5 3 2 2 4 2 2" xfId="34477"/>
    <cellStyle name="Normal 5 3 2 2 4 2 3" xfId="34476"/>
    <cellStyle name="Normal 5 3 2 2 4 3" xfId="5506"/>
    <cellStyle name="Normal 5 3 2 2 4 3 2" xfId="34479"/>
    <cellStyle name="Normal 5 3 2 2 4 3 3" xfId="34478"/>
    <cellStyle name="Normal 5 3 2 2 4 4" xfId="11816"/>
    <cellStyle name="Normal 5 3 2 2 4 4 2" xfId="34481"/>
    <cellStyle name="Normal 5 3 2 2 4 4 3" xfId="34480"/>
    <cellStyle name="Normal 5 3 2 2 4 5" xfId="34482"/>
    <cellStyle name="Normal 5 3 2 2 4 6" xfId="34475"/>
    <cellStyle name="Normal 5 3 2 2 5" xfId="7070"/>
    <cellStyle name="Normal 5 3 2 2 5 2" xfId="34484"/>
    <cellStyle name="Normal 5 3 2 2 5 3" xfId="34483"/>
    <cellStyle name="Normal 5 3 2 2 6" xfId="3943"/>
    <cellStyle name="Normal 5 3 2 2 6 2" xfId="34486"/>
    <cellStyle name="Normal 5 3 2 2 6 3" xfId="34485"/>
    <cellStyle name="Normal 5 3 2 2 7" xfId="9733"/>
    <cellStyle name="Normal 5 3 2 2 7 2" xfId="34488"/>
    <cellStyle name="Normal 5 3 2 2 7 3" xfId="34487"/>
    <cellStyle name="Normal 5 3 2 2 8" xfId="34489"/>
    <cellStyle name="Normal 5 3 2 2 9" xfId="34442"/>
    <cellStyle name="Normal 5 3 2 3" xfId="1462"/>
    <cellStyle name="Normal 5 3 2 3 2" xfId="3027"/>
    <cellStyle name="Normal 5 3 2 3 2 2" xfId="9312"/>
    <cellStyle name="Normal 5 3 2 3 2 2 2" xfId="34493"/>
    <cellStyle name="Normal 5 3 2 3 2 2 3" xfId="34492"/>
    <cellStyle name="Normal 5 3 2 3 2 3" xfId="6185"/>
    <cellStyle name="Normal 5 3 2 3 2 3 2" xfId="34495"/>
    <cellStyle name="Normal 5 3 2 3 2 3 3" xfId="34494"/>
    <cellStyle name="Normal 5 3 2 3 2 4" xfId="12495"/>
    <cellStyle name="Normal 5 3 2 3 2 4 2" xfId="34497"/>
    <cellStyle name="Normal 5 3 2 3 2 4 3" xfId="34496"/>
    <cellStyle name="Normal 5 3 2 3 2 5" xfId="34498"/>
    <cellStyle name="Normal 5 3 2 3 2 6" xfId="34491"/>
    <cellStyle name="Normal 5 3 2 3 3" xfId="7749"/>
    <cellStyle name="Normal 5 3 2 3 3 2" xfId="34500"/>
    <cellStyle name="Normal 5 3 2 3 3 3" xfId="34499"/>
    <cellStyle name="Normal 5 3 2 3 4" xfId="4622"/>
    <cellStyle name="Normal 5 3 2 3 4 2" xfId="34502"/>
    <cellStyle name="Normal 5 3 2 3 4 3" xfId="34501"/>
    <cellStyle name="Normal 5 3 2 3 5" xfId="10932"/>
    <cellStyle name="Normal 5 3 2 3 5 2" xfId="34504"/>
    <cellStyle name="Normal 5 3 2 3 5 3" xfId="34503"/>
    <cellStyle name="Normal 5 3 2 3 6" xfId="34505"/>
    <cellStyle name="Normal 5 3 2 3 7" xfId="34490"/>
    <cellStyle name="Normal 5 3 2 4" xfId="1664"/>
    <cellStyle name="Normal 5 3 2 4 2" xfId="3229"/>
    <cellStyle name="Normal 5 3 2 4 2 2" xfId="9514"/>
    <cellStyle name="Normal 5 3 2 4 2 2 2" xfId="34509"/>
    <cellStyle name="Normal 5 3 2 4 2 2 3" xfId="34508"/>
    <cellStyle name="Normal 5 3 2 4 2 3" xfId="6387"/>
    <cellStyle name="Normal 5 3 2 4 2 3 2" xfId="34511"/>
    <cellStyle name="Normal 5 3 2 4 2 3 3" xfId="34510"/>
    <cellStyle name="Normal 5 3 2 4 2 4" xfId="12697"/>
    <cellStyle name="Normal 5 3 2 4 2 4 2" xfId="34513"/>
    <cellStyle name="Normal 5 3 2 4 2 4 3" xfId="34512"/>
    <cellStyle name="Normal 5 3 2 4 2 5" xfId="34514"/>
    <cellStyle name="Normal 5 3 2 4 2 6" xfId="34507"/>
    <cellStyle name="Normal 5 3 2 4 3" xfId="7951"/>
    <cellStyle name="Normal 5 3 2 4 3 2" xfId="34516"/>
    <cellStyle name="Normal 5 3 2 4 3 3" xfId="34515"/>
    <cellStyle name="Normal 5 3 2 4 4" xfId="4824"/>
    <cellStyle name="Normal 5 3 2 4 4 2" xfId="34518"/>
    <cellStyle name="Normal 5 3 2 4 4 3" xfId="34517"/>
    <cellStyle name="Normal 5 3 2 4 5" xfId="11134"/>
    <cellStyle name="Normal 5 3 2 4 5 2" xfId="34520"/>
    <cellStyle name="Normal 5 3 2 4 5 3" xfId="34519"/>
    <cellStyle name="Normal 5 3 2 4 6" xfId="34521"/>
    <cellStyle name="Normal 5 3 2 4 7" xfId="34506"/>
    <cellStyle name="Normal 5 3 2 5" xfId="2347"/>
    <cellStyle name="Normal 5 3 2 5 2" xfId="8632"/>
    <cellStyle name="Normal 5 3 2 5 2 2" xfId="34524"/>
    <cellStyle name="Normal 5 3 2 5 2 3" xfId="34523"/>
    <cellStyle name="Normal 5 3 2 5 3" xfId="5505"/>
    <cellStyle name="Normal 5 3 2 5 3 2" xfId="34526"/>
    <cellStyle name="Normal 5 3 2 5 3 3" xfId="34525"/>
    <cellStyle name="Normal 5 3 2 5 4" xfId="11815"/>
    <cellStyle name="Normal 5 3 2 5 4 2" xfId="34528"/>
    <cellStyle name="Normal 5 3 2 5 4 3" xfId="34527"/>
    <cellStyle name="Normal 5 3 2 5 5" xfId="34529"/>
    <cellStyle name="Normal 5 3 2 5 6" xfId="34522"/>
    <cellStyle name="Normal 5 3 2 6" xfId="7069"/>
    <cellStyle name="Normal 5 3 2 6 2" xfId="34531"/>
    <cellStyle name="Normal 5 3 2 6 3" xfId="34530"/>
    <cellStyle name="Normal 5 3 2 7" xfId="3942"/>
    <cellStyle name="Normal 5 3 2 7 2" xfId="34533"/>
    <cellStyle name="Normal 5 3 2 7 3" xfId="34532"/>
    <cellStyle name="Normal 5 3 2 8" xfId="9732"/>
    <cellStyle name="Normal 5 3 2 8 2" xfId="34535"/>
    <cellStyle name="Normal 5 3 2 8 3" xfId="34534"/>
    <cellStyle name="Normal 5 3 2 9" xfId="34536"/>
    <cellStyle name="Normal 5 3 3" xfId="776"/>
    <cellStyle name="Normal 5 3 3 2" xfId="1464"/>
    <cellStyle name="Normal 5 3 3 2 2" xfId="3029"/>
    <cellStyle name="Normal 5 3 3 2 2 2" xfId="9314"/>
    <cellStyle name="Normal 5 3 3 2 2 2 2" xfId="34541"/>
    <cellStyle name="Normal 5 3 3 2 2 2 3" xfId="34540"/>
    <cellStyle name="Normal 5 3 3 2 2 3" xfId="6187"/>
    <cellStyle name="Normal 5 3 3 2 2 3 2" xfId="34543"/>
    <cellStyle name="Normal 5 3 3 2 2 3 3" xfId="34542"/>
    <cellStyle name="Normal 5 3 3 2 2 4" xfId="12497"/>
    <cellStyle name="Normal 5 3 3 2 2 4 2" xfId="34545"/>
    <cellStyle name="Normal 5 3 3 2 2 4 3" xfId="34544"/>
    <cellStyle name="Normal 5 3 3 2 2 5" xfId="34546"/>
    <cellStyle name="Normal 5 3 3 2 2 6" xfId="34539"/>
    <cellStyle name="Normal 5 3 3 2 3" xfId="7751"/>
    <cellStyle name="Normal 5 3 3 2 3 2" xfId="34548"/>
    <cellStyle name="Normal 5 3 3 2 3 3" xfId="34547"/>
    <cellStyle name="Normal 5 3 3 2 4" xfId="4624"/>
    <cellStyle name="Normal 5 3 3 2 4 2" xfId="34550"/>
    <cellStyle name="Normal 5 3 3 2 4 3" xfId="34549"/>
    <cellStyle name="Normal 5 3 3 2 5" xfId="10934"/>
    <cellStyle name="Normal 5 3 3 2 5 2" xfId="34552"/>
    <cellStyle name="Normal 5 3 3 2 5 3" xfId="34551"/>
    <cellStyle name="Normal 5 3 3 2 6" xfId="34553"/>
    <cellStyle name="Normal 5 3 3 2 7" xfId="34538"/>
    <cellStyle name="Normal 5 3 3 3" xfId="1666"/>
    <cellStyle name="Normal 5 3 3 3 2" xfId="3231"/>
    <cellStyle name="Normal 5 3 3 3 2 2" xfId="9516"/>
    <cellStyle name="Normal 5 3 3 3 2 2 2" xfId="34557"/>
    <cellStyle name="Normal 5 3 3 3 2 2 3" xfId="34556"/>
    <cellStyle name="Normal 5 3 3 3 2 3" xfId="6389"/>
    <cellStyle name="Normal 5 3 3 3 2 3 2" xfId="34559"/>
    <cellStyle name="Normal 5 3 3 3 2 3 3" xfId="34558"/>
    <cellStyle name="Normal 5 3 3 3 2 4" xfId="12699"/>
    <cellStyle name="Normal 5 3 3 3 2 4 2" xfId="34561"/>
    <cellStyle name="Normal 5 3 3 3 2 4 3" xfId="34560"/>
    <cellStyle name="Normal 5 3 3 3 2 5" xfId="34562"/>
    <cellStyle name="Normal 5 3 3 3 2 6" xfId="34555"/>
    <cellStyle name="Normal 5 3 3 3 3" xfId="7953"/>
    <cellStyle name="Normal 5 3 3 3 3 2" xfId="34564"/>
    <cellStyle name="Normal 5 3 3 3 3 3" xfId="34563"/>
    <cellStyle name="Normal 5 3 3 3 4" xfId="4826"/>
    <cellStyle name="Normal 5 3 3 3 4 2" xfId="34566"/>
    <cellStyle name="Normal 5 3 3 3 4 3" xfId="34565"/>
    <cellStyle name="Normal 5 3 3 3 5" xfId="11136"/>
    <cellStyle name="Normal 5 3 3 3 5 2" xfId="34568"/>
    <cellStyle name="Normal 5 3 3 3 5 3" xfId="34567"/>
    <cellStyle name="Normal 5 3 3 3 6" xfId="34569"/>
    <cellStyle name="Normal 5 3 3 3 7" xfId="34554"/>
    <cellStyle name="Normal 5 3 3 4" xfId="2349"/>
    <cellStyle name="Normal 5 3 3 4 2" xfId="8634"/>
    <cellStyle name="Normal 5 3 3 4 2 2" xfId="34572"/>
    <cellStyle name="Normal 5 3 3 4 2 3" xfId="34571"/>
    <cellStyle name="Normal 5 3 3 4 3" xfId="5507"/>
    <cellStyle name="Normal 5 3 3 4 3 2" xfId="34574"/>
    <cellStyle name="Normal 5 3 3 4 3 3" xfId="34573"/>
    <cellStyle name="Normal 5 3 3 4 4" xfId="11817"/>
    <cellStyle name="Normal 5 3 3 4 4 2" xfId="34576"/>
    <cellStyle name="Normal 5 3 3 4 4 3" xfId="34575"/>
    <cellStyle name="Normal 5 3 3 4 5" xfId="34577"/>
    <cellStyle name="Normal 5 3 3 4 6" xfId="34570"/>
    <cellStyle name="Normal 5 3 3 5" xfId="7071"/>
    <cellStyle name="Normal 5 3 3 5 2" xfId="34579"/>
    <cellStyle name="Normal 5 3 3 5 3" xfId="34578"/>
    <cellStyle name="Normal 5 3 3 6" xfId="3944"/>
    <cellStyle name="Normal 5 3 3 6 2" xfId="34581"/>
    <cellStyle name="Normal 5 3 3 6 3" xfId="34580"/>
    <cellStyle name="Normal 5 3 3 7" xfId="9734"/>
    <cellStyle name="Normal 5 3 3 7 2" xfId="34583"/>
    <cellStyle name="Normal 5 3 3 7 3" xfId="34582"/>
    <cellStyle name="Normal 5 3 3 8" xfId="34584"/>
    <cellStyle name="Normal 5 3 3 9" xfId="34537"/>
    <cellStyle name="Normal 5 3 4" xfId="773"/>
    <cellStyle name="Normal 5 3 4 2" xfId="1461"/>
    <cellStyle name="Normal 5 3 4 2 2" xfId="3026"/>
    <cellStyle name="Normal 5 3 4 2 2 2" xfId="9311"/>
    <cellStyle name="Normal 5 3 4 2 2 2 2" xfId="34589"/>
    <cellStyle name="Normal 5 3 4 2 2 2 3" xfId="34588"/>
    <cellStyle name="Normal 5 3 4 2 2 3" xfId="6184"/>
    <cellStyle name="Normal 5 3 4 2 2 3 2" xfId="34591"/>
    <cellStyle name="Normal 5 3 4 2 2 3 3" xfId="34590"/>
    <cellStyle name="Normal 5 3 4 2 2 4" xfId="12494"/>
    <cellStyle name="Normal 5 3 4 2 2 4 2" xfId="34593"/>
    <cellStyle name="Normal 5 3 4 2 2 4 3" xfId="34592"/>
    <cellStyle name="Normal 5 3 4 2 2 5" xfId="34594"/>
    <cellStyle name="Normal 5 3 4 2 2 6" xfId="34587"/>
    <cellStyle name="Normal 5 3 4 2 3" xfId="7748"/>
    <cellStyle name="Normal 5 3 4 2 3 2" xfId="34596"/>
    <cellStyle name="Normal 5 3 4 2 3 3" xfId="34595"/>
    <cellStyle name="Normal 5 3 4 2 4" xfId="4621"/>
    <cellStyle name="Normal 5 3 4 2 4 2" xfId="34598"/>
    <cellStyle name="Normal 5 3 4 2 4 3" xfId="34597"/>
    <cellStyle name="Normal 5 3 4 2 5" xfId="10931"/>
    <cellStyle name="Normal 5 3 4 2 5 2" xfId="34600"/>
    <cellStyle name="Normal 5 3 4 2 5 3" xfId="34599"/>
    <cellStyle name="Normal 5 3 4 2 6" xfId="34601"/>
    <cellStyle name="Normal 5 3 4 2 7" xfId="34586"/>
    <cellStyle name="Normal 5 3 4 3" xfId="2346"/>
    <cellStyle name="Normal 5 3 4 3 2" xfId="8631"/>
    <cellStyle name="Normal 5 3 4 3 2 2" xfId="34604"/>
    <cellStyle name="Normal 5 3 4 3 2 3" xfId="34603"/>
    <cellStyle name="Normal 5 3 4 3 3" xfId="5504"/>
    <cellStyle name="Normal 5 3 4 3 3 2" xfId="34606"/>
    <cellStyle name="Normal 5 3 4 3 3 3" xfId="34605"/>
    <cellStyle name="Normal 5 3 4 3 4" xfId="11814"/>
    <cellStyle name="Normal 5 3 4 3 4 2" xfId="34608"/>
    <cellStyle name="Normal 5 3 4 3 4 3" xfId="34607"/>
    <cellStyle name="Normal 5 3 4 3 5" xfId="34609"/>
    <cellStyle name="Normal 5 3 4 3 6" xfId="34602"/>
    <cellStyle name="Normal 5 3 4 4" xfId="7068"/>
    <cellStyle name="Normal 5 3 4 4 2" xfId="34611"/>
    <cellStyle name="Normal 5 3 4 4 3" xfId="34610"/>
    <cellStyle name="Normal 5 3 4 5" xfId="3941"/>
    <cellStyle name="Normal 5 3 4 5 2" xfId="34613"/>
    <cellStyle name="Normal 5 3 4 5 3" xfId="34612"/>
    <cellStyle name="Normal 5 3 4 6" xfId="10299"/>
    <cellStyle name="Normal 5 3 4 6 2" xfId="34615"/>
    <cellStyle name="Normal 5 3 4 6 3" xfId="34614"/>
    <cellStyle name="Normal 5 3 4 7" xfId="34616"/>
    <cellStyle name="Normal 5 3 4 8" xfId="34585"/>
    <cellStyle name="Normal 5 3 5" xfId="1663"/>
    <cellStyle name="Normal 5 3 5 2" xfId="3228"/>
    <cellStyle name="Normal 5 3 5 2 2" xfId="9513"/>
    <cellStyle name="Normal 5 3 5 2 2 2" xfId="34620"/>
    <cellStyle name="Normal 5 3 5 2 2 3" xfId="34619"/>
    <cellStyle name="Normal 5 3 5 2 3" xfId="6386"/>
    <cellStyle name="Normal 5 3 5 2 3 2" xfId="34622"/>
    <cellStyle name="Normal 5 3 5 2 3 3" xfId="34621"/>
    <cellStyle name="Normal 5 3 5 2 4" xfId="12696"/>
    <cellStyle name="Normal 5 3 5 2 4 2" xfId="34624"/>
    <cellStyle name="Normal 5 3 5 2 4 3" xfId="34623"/>
    <cellStyle name="Normal 5 3 5 2 5" xfId="34625"/>
    <cellStyle name="Normal 5 3 5 2 6" xfId="34618"/>
    <cellStyle name="Normal 5 3 5 3" xfId="7950"/>
    <cellStyle name="Normal 5 3 5 3 2" xfId="34627"/>
    <cellStyle name="Normal 5 3 5 3 3" xfId="34626"/>
    <cellStyle name="Normal 5 3 5 4" xfId="4823"/>
    <cellStyle name="Normal 5 3 5 4 2" xfId="34629"/>
    <cellStyle name="Normal 5 3 5 4 3" xfId="34628"/>
    <cellStyle name="Normal 5 3 5 5" xfId="11133"/>
    <cellStyle name="Normal 5 3 5 5 2" xfId="34631"/>
    <cellStyle name="Normal 5 3 5 5 3" xfId="34630"/>
    <cellStyle name="Normal 5 3 5 6" xfId="34632"/>
    <cellStyle name="Normal 5 3 5 7" xfId="34617"/>
    <cellStyle name="Normal 5 3 6" xfId="9840"/>
    <cellStyle name="Normal 5 3 6 2" xfId="34633"/>
    <cellStyle name="Normal 5 3 7" xfId="9731"/>
    <cellStyle name="Normal 5 3 7 2" xfId="34635"/>
    <cellStyle name="Normal 5 3 7 3" xfId="34634"/>
    <cellStyle name="Normal 5 3 8" xfId="34440"/>
    <cellStyle name="Normal 5 4" xfId="380"/>
    <cellStyle name="Normal 5 4 2" xfId="778"/>
    <cellStyle name="Normal 5 4 2 2" xfId="1466"/>
    <cellStyle name="Normal 5 4 2 2 2" xfId="3031"/>
    <cellStyle name="Normal 5 4 2 2 2 2" xfId="9316"/>
    <cellStyle name="Normal 5 4 2 2 2 2 2" xfId="34641"/>
    <cellStyle name="Normal 5 4 2 2 2 2 3" xfId="34640"/>
    <cellStyle name="Normal 5 4 2 2 2 3" xfId="6189"/>
    <cellStyle name="Normal 5 4 2 2 2 3 2" xfId="34643"/>
    <cellStyle name="Normal 5 4 2 2 2 3 3" xfId="34642"/>
    <cellStyle name="Normal 5 4 2 2 2 4" xfId="12499"/>
    <cellStyle name="Normal 5 4 2 2 2 4 2" xfId="34645"/>
    <cellStyle name="Normal 5 4 2 2 2 4 3" xfId="34644"/>
    <cellStyle name="Normal 5 4 2 2 2 5" xfId="34646"/>
    <cellStyle name="Normal 5 4 2 2 2 6" xfId="34639"/>
    <cellStyle name="Normal 5 4 2 2 3" xfId="7753"/>
    <cellStyle name="Normal 5 4 2 2 3 2" xfId="34648"/>
    <cellStyle name="Normal 5 4 2 2 3 3" xfId="34647"/>
    <cellStyle name="Normal 5 4 2 2 4" xfId="4626"/>
    <cellStyle name="Normal 5 4 2 2 4 2" xfId="34650"/>
    <cellStyle name="Normal 5 4 2 2 4 3" xfId="34649"/>
    <cellStyle name="Normal 5 4 2 2 5" xfId="10936"/>
    <cellStyle name="Normal 5 4 2 2 5 2" xfId="34652"/>
    <cellStyle name="Normal 5 4 2 2 5 3" xfId="34651"/>
    <cellStyle name="Normal 5 4 2 2 6" xfId="34653"/>
    <cellStyle name="Normal 5 4 2 2 7" xfId="34638"/>
    <cellStyle name="Normal 5 4 2 3" xfId="1668"/>
    <cellStyle name="Normal 5 4 2 3 2" xfId="3233"/>
    <cellStyle name="Normal 5 4 2 3 2 2" xfId="9518"/>
    <cellStyle name="Normal 5 4 2 3 2 2 2" xfId="34657"/>
    <cellStyle name="Normal 5 4 2 3 2 2 3" xfId="34656"/>
    <cellStyle name="Normal 5 4 2 3 2 3" xfId="6391"/>
    <cellStyle name="Normal 5 4 2 3 2 3 2" xfId="34659"/>
    <cellStyle name="Normal 5 4 2 3 2 3 3" xfId="34658"/>
    <cellStyle name="Normal 5 4 2 3 2 4" xfId="12701"/>
    <cellStyle name="Normal 5 4 2 3 2 4 2" xfId="34661"/>
    <cellStyle name="Normal 5 4 2 3 2 4 3" xfId="34660"/>
    <cellStyle name="Normal 5 4 2 3 2 5" xfId="34662"/>
    <cellStyle name="Normal 5 4 2 3 2 6" xfId="34655"/>
    <cellStyle name="Normal 5 4 2 3 3" xfId="7955"/>
    <cellStyle name="Normal 5 4 2 3 3 2" xfId="34664"/>
    <cellStyle name="Normal 5 4 2 3 3 3" xfId="34663"/>
    <cellStyle name="Normal 5 4 2 3 4" xfId="4828"/>
    <cellStyle name="Normal 5 4 2 3 4 2" xfId="34666"/>
    <cellStyle name="Normal 5 4 2 3 4 3" xfId="34665"/>
    <cellStyle name="Normal 5 4 2 3 5" xfId="11138"/>
    <cellStyle name="Normal 5 4 2 3 5 2" xfId="34668"/>
    <cellStyle name="Normal 5 4 2 3 5 3" xfId="34667"/>
    <cellStyle name="Normal 5 4 2 3 6" xfId="34669"/>
    <cellStyle name="Normal 5 4 2 3 7" xfId="34654"/>
    <cellStyle name="Normal 5 4 2 4" xfId="2351"/>
    <cellStyle name="Normal 5 4 2 4 2" xfId="8636"/>
    <cellStyle name="Normal 5 4 2 4 2 2" xfId="34672"/>
    <cellStyle name="Normal 5 4 2 4 2 3" xfId="34671"/>
    <cellStyle name="Normal 5 4 2 4 3" xfId="5509"/>
    <cellStyle name="Normal 5 4 2 4 3 2" xfId="34674"/>
    <cellStyle name="Normal 5 4 2 4 3 3" xfId="34673"/>
    <cellStyle name="Normal 5 4 2 4 4" xfId="11819"/>
    <cellStyle name="Normal 5 4 2 4 4 2" xfId="34676"/>
    <cellStyle name="Normal 5 4 2 4 4 3" xfId="34675"/>
    <cellStyle name="Normal 5 4 2 4 5" xfId="34677"/>
    <cellStyle name="Normal 5 4 2 4 6" xfId="34670"/>
    <cellStyle name="Normal 5 4 2 5" xfId="7073"/>
    <cellStyle name="Normal 5 4 2 5 2" xfId="34679"/>
    <cellStyle name="Normal 5 4 2 5 3" xfId="34678"/>
    <cellStyle name="Normal 5 4 2 6" xfId="3946"/>
    <cellStyle name="Normal 5 4 2 6 2" xfId="34681"/>
    <cellStyle name="Normal 5 4 2 6 3" xfId="34680"/>
    <cellStyle name="Normal 5 4 2 7" xfId="9736"/>
    <cellStyle name="Normal 5 4 2 7 2" xfId="34683"/>
    <cellStyle name="Normal 5 4 2 7 3" xfId="34682"/>
    <cellStyle name="Normal 5 4 2 8" xfId="34684"/>
    <cellStyle name="Normal 5 4 2 9" xfId="34637"/>
    <cellStyle name="Normal 5 4 3" xfId="777"/>
    <cellStyle name="Normal 5 4 3 2" xfId="1465"/>
    <cellStyle name="Normal 5 4 3 2 2" xfId="3030"/>
    <cellStyle name="Normal 5 4 3 2 2 2" xfId="9315"/>
    <cellStyle name="Normal 5 4 3 2 2 2 2" xfId="34689"/>
    <cellStyle name="Normal 5 4 3 2 2 2 3" xfId="34688"/>
    <cellStyle name="Normal 5 4 3 2 2 3" xfId="6188"/>
    <cellStyle name="Normal 5 4 3 2 2 3 2" xfId="34691"/>
    <cellStyle name="Normal 5 4 3 2 2 3 3" xfId="34690"/>
    <cellStyle name="Normal 5 4 3 2 2 4" xfId="12498"/>
    <cellStyle name="Normal 5 4 3 2 2 4 2" xfId="34693"/>
    <cellStyle name="Normal 5 4 3 2 2 4 3" xfId="34692"/>
    <cellStyle name="Normal 5 4 3 2 2 5" xfId="34694"/>
    <cellStyle name="Normal 5 4 3 2 2 6" xfId="34687"/>
    <cellStyle name="Normal 5 4 3 2 3" xfId="7752"/>
    <cellStyle name="Normal 5 4 3 2 3 2" xfId="34696"/>
    <cellStyle name="Normal 5 4 3 2 3 3" xfId="34695"/>
    <cellStyle name="Normal 5 4 3 2 4" xfId="4625"/>
    <cellStyle name="Normal 5 4 3 2 4 2" xfId="34698"/>
    <cellStyle name="Normal 5 4 3 2 4 3" xfId="34697"/>
    <cellStyle name="Normal 5 4 3 2 5" xfId="10935"/>
    <cellStyle name="Normal 5 4 3 2 5 2" xfId="34700"/>
    <cellStyle name="Normal 5 4 3 2 5 3" xfId="34699"/>
    <cellStyle name="Normal 5 4 3 2 6" xfId="34701"/>
    <cellStyle name="Normal 5 4 3 2 7" xfId="34686"/>
    <cellStyle name="Normal 5 4 3 3" xfId="2350"/>
    <cellStyle name="Normal 5 4 3 3 2" xfId="8635"/>
    <cellStyle name="Normal 5 4 3 3 2 2" xfId="34704"/>
    <cellStyle name="Normal 5 4 3 3 2 3" xfId="34703"/>
    <cellStyle name="Normal 5 4 3 3 3" xfId="5508"/>
    <cellStyle name="Normal 5 4 3 3 3 2" xfId="34706"/>
    <cellStyle name="Normal 5 4 3 3 3 3" xfId="34705"/>
    <cellStyle name="Normal 5 4 3 3 4" xfId="11818"/>
    <cellStyle name="Normal 5 4 3 3 4 2" xfId="34708"/>
    <cellStyle name="Normal 5 4 3 3 4 3" xfId="34707"/>
    <cellStyle name="Normal 5 4 3 3 5" xfId="34709"/>
    <cellStyle name="Normal 5 4 3 3 6" xfId="34702"/>
    <cellStyle name="Normal 5 4 3 4" xfId="7072"/>
    <cellStyle name="Normal 5 4 3 4 2" xfId="34711"/>
    <cellStyle name="Normal 5 4 3 4 3" xfId="34710"/>
    <cellStyle name="Normal 5 4 3 5" xfId="3945"/>
    <cellStyle name="Normal 5 4 3 5 2" xfId="34713"/>
    <cellStyle name="Normal 5 4 3 5 3" xfId="34712"/>
    <cellStyle name="Normal 5 4 3 6" xfId="10300"/>
    <cellStyle name="Normal 5 4 3 6 2" xfId="34715"/>
    <cellStyle name="Normal 5 4 3 6 3" xfId="34714"/>
    <cellStyle name="Normal 5 4 3 7" xfId="34716"/>
    <cellStyle name="Normal 5 4 3 8" xfId="34685"/>
    <cellStyle name="Normal 5 4 4" xfId="1088"/>
    <cellStyle name="Normal 5 4 4 2" xfId="34717"/>
    <cellStyle name="Normal 5 4 5" xfId="1667"/>
    <cellStyle name="Normal 5 4 5 2" xfId="3232"/>
    <cellStyle name="Normal 5 4 5 2 2" xfId="9517"/>
    <cellStyle name="Normal 5 4 5 2 2 2" xfId="34721"/>
    <cellStyle name="Normal 5 4 5 2 2 3" xfId="34720"/>
    <cellStyle name="Normal 5 4 5 2 3" xfId="6390"/>
    <cellStyle name="Normal 5 4 5 2 3 2" xfId="34723"/>
    <cellStyle name="Normal 5 4 5 2 3 3" xfId="34722"/>
    <cellStyle name="Normal 5 4 5 2 4" xfId="12700"/>
    <cellStyle name="Normal 5 4 5 2 4 2" xfId="34725"/>
    <cellStyle name="Normal 5 4 5 2 4 3" xfId="34724"/>
    <cellStyle name="Normal 5 4 5 2 5" xfId="34726"/>
    <cellStyle name="Normal 5 4 5 2 6" xfId="34719"/>
    <cellStyle name="Normal 5 4 5 3" xfId="7954"/>
    <cellStyle name="Normal 5 4 5 3 2" xfId="34728"/>
    <cellStyle name="Normal 5 4 5 3 3" xfId="34727"/>
    <cellStyle name="Normal 5 4 5 4" xfId="4827"/>
    <cellStyle name="Normal 5 4 5 4 2" xfId="34730"/>
    <cellStyle name="Normal 5 4 5 4 3" xfId="34729"/>
    <cellStyle name="Normal 5 4 5 5" xfId="11137"/>
    <cellStyle name="Normal 5 4 5 5 2" xfId="34732"/>
    <cellStyle name="Normal 5 4 5 5 3" xfId="34731"/>
    <cellStyle name="Normal 5 4 5 6" xfId="34733"/>
    <cellStyle name="Normal 5 4 5 7" xfId="34718"/>
    <cellStyle name="Normal 5 4 6" xfId="10001"/>
    <cellStyle name="Normal 5 4 6 2" xfId="34734"/>
    <cellStyle name="Normal 5 4 7" xfId="9735"/>
    <cellStyle name="Normal 5 4 7 2" xfId="34736"/>
    <cellStyle name="Normal 5 4 7 3" xfId="34735"/>
    <cellStyle name="Normal 5 4 8" xfId="34636"/>
    <cellStyle name="Normal 5 5" xfId="779"/>
    <cellStyle name="Normal 5 6" xfId="780"/>
    <cellStyle name="Normal 5 6 10" xfId="34737"/>
    <cellStyle name="Normal 5 6 2" xfId="781"/>
    <cellStyle name="Normal 5 6 2 2" xfId="1468"/>
    <cellStyle name="Normal 5 6 2 2 2" xfId="3033"/>
    <cellStyle name="Normal 5 6 2 2 2 2" xfId="9318"/>
    <cellStyle name="Normal 5 6 2 2 2 2 2" xfId="34742"/>
    <cellStyle name="Normal 5 6 2 2 2 2 3" xfId="34741"/>
    <cellStyle name="Normal 5 6 2 2 2 3" xfId="6191"/>
    <cellStyle name="Normal 5 6 2 2 2 3 2" xfId="34744"/>
    <cellStyle name="Normal 5 6 2 2 2 3 3" xfId="34743"/>
    <cellStyle name="Normal 5 6 2 2 2 4" xfId="12501"/>
    <cellStyle name="Normal 5 6 2 2 2 4 2" xfId="34746"/>
    <cellStyle name="Normal 5 6 2 2 2 4 3" xfId="34745"/>
    <cellStyle name="Normal 5 6 2 2 2 5" xfId="34747"/>
    <cellStyle name="Normal 5 6 2 2 2 6" xfId="34740"/>
    <cellStyle name="Normal 5 6 2 2 3" xfId="7755"/>
    <cellStyle name="Normal 5 6 2 2 3 2" xfId="34749"/>
    <cellStyle name="Normal 5 6 2 2 3 3" xfId="34748"/>
    <cellStyle name="Normal 5 6 2 2 4" xfId="4628"/>
    <cellStyle name="Normal 5 6 2 2 4 2" xfId="34751"/>
    <cellStyle name="Normal 5 6 2 2 4 3" xfId="34750"/>
    <cellStyle name="Normal 5 6 2 2 5" xfId="10938"/>
    <cellStyle name="Normal 5 6 2 2 5 2" xfId="34753"/>
    <cellStyle name="Normal 5 6 2 2 5 3" xfId="34752"/>
    <cellStyle name="Normal 5 6 2 2 6" xfId="34754"/>
    <cellStyle name="Normal 5 6 2 2 7" xfId="34739"/>
    <cellStyle name="Normal 5 6 2 3" xfId="1670"/>
    <cellStyle name="Normal 5 6 2 3 2" xfId="3235"/>
    <cellStyle name="Normal 5 6 2 3 2 2" xfId="9520"/>
    <cellStyle name="Normal 5 6 2 3 2 2 2" xfId="34758"/>
    <cellStyle name="Normal 5 6 2 3 2 2 3" xfId="34757"/>
    <cellStyle name="Normal 5 6 2 3 2 3" xfId="6393"/>
    <cellStyle name="Normal 5 6 2 3 2 3 2" xfId="34760"/>
    <cellStyle name="Normal 5 6 2 3 2 3 3" xfId="34759"/>
    <cellStyle name="Normal 5 6 2 3 2 4" xfId="12703"/>
    <cellStyle name="Normal 5 6 2 3 2 4 2" xfId="34762"/>
    <cellStyle name="Normal 5 6 2 3 2 4 3" xfId="34761"/>
    <cellStyle name="Normal 5 6 2 3 2 5" xfId="34763"/>
    <cellStyle name="Normal 5 6 2 3 2 6" xfId="34756"/>
    <cellStyle name="Normal 5 6 2 3 3" xfId="7957"/>
    <cellStyle name="Normal 5 6 2 3 3 2" xfId="34765"/>
    <cellStyle name="Normal 5 6 2 3 3 3" xfId="34764"/>
    <cellStyle name="Normal 5 6 2 3 4" xfId="4830"/>
    <cellStyle name="Normal 5 6 2 3 4 2" xfId="34767"/>
    <cellStyle name="Normal 5 6 2 3 4 3" xfId="34766"/>
    <cellStyle name="Normal 5 6 2 3 5" xfId="11140"/>
    <cellStyle name="Normal 5 6 2 3 5 2" xfId="34769"/>
    <cellStyle name="Normal 5 6 2 3 5 3" xfId="34768"/>
    <cellStyle name="Normal 5 6 2 3 6" xfId="34770"/>
    <cellStyle name="Normal 5 6 2 3 7" xfId="34755"/>
    <cellStyle name="Normal 5 6 2 4" xfId="2353"/>
    <cellStyle name="Normal 5 6 2 4 2" xfId="8638"/>
    <cellStyle name="Normal 5 6 2 4 2 2" xfId="34773"/>
    <cellStyle name="Normal 5 6 2 4 2 3" xfId="34772"/>
    <cellStyle name="Normal 5 6 2 4 3" xfId="5511"/>
    <cellStyle name="Normal 5 6 2 4 3 2" xfId="34775"/>
    <cellStyle name="Normal 5 6 2 4 3 3" xfId="34774"/>
    <cellStyle name="Normal 5 6 2 4 4" xfId="11821"/>
    <cellStyle name="Normal 5 6 2 4 4 2" xfId="34777"/>
    <cellStyle name="Normal 5 6 2 4 4 3" xfId="34776"/>
    <cellStyle name="Normal 5 6 2 4 5" xfId="34778"/>
    <cellStyle name="Normal 5 6 2 4 6" xfId="34771"/>
    <cellStyle name="Normal 5 6 2 5" xfId="7075"/>
    <cellStyle name="Normal 5 6 2 5 2" xfId="34780"/>
    <cellStyle name="Normal 5 6 2 5 3" xfId="34779"/>
    <cellStyle name="Normal 5 6 2 6" xfId="3948"/>
    <cellStyle name="Normal 5 6 2 6 2" xfId="34782"/>
    <cellStyle name="Normal 5 6 2 6 3" xfId="34781"/>
    <cellStyle name="Normal 5 6 2 7" xfId="9738"/>
    <cellStyle name="Normal 5 6 2 7 2" xfId="34784"/>
    <cellStyle name="Normal 5 6 2 7 3" xfId="34783"/>
    <cellStyle name="Normal 5 6 2 8" xfId="34785"/>
    <cellStyle name="Normal 5 6 2 9" xfId="34738"/>
    <cellStyle name="Normal 5 6 3" xfId="1467"/>
    <cellStyle name="Normal 5 6 3 2" xfId="3032"/>
    <cellStyle name="Normal 5 6 3 2 2" xfId="9317"/>
    <cellStyle name="Normal 5 6 3 2 2 2" xfId="34789"/>
    <cellStyle name="Normal 5 6 3 2 2 3" xfId="34788"/>
    <cellStyle name="Normal 5 6 3 2 3" xfId="6190"/>
    <cellStyle name="Normal 5 6 3 2 3 2" xfId="34791"/>
    <cellStyle name="Normal 5 6 3 2 3 3" xfId="34790"/>
    <cellStyle name="Normal 5 6 3 2 4" xfId="12500"/>
    <cellStyle name="Normal 5 6 3 2 4 2" xfId="34793"/>
    <cellStyle name="Normal 5 6 3 2 4 3" xfId="34792"/>
    <cellStyle name="Normal 5 6 3 2 5" xfId="34794"/>
    <cellStyle name="Normal 5 6 3 2 6" xfId="34787"/>
    <cellStyle name="Normal 5 6 3 3" xfId="7754"/>
    <cellStyle name="Normal 5 6 3 3 2" xfId="34796"/>
    <cellStyle name="Normal 5 6 3 3 3" xfId="34795"/>
    <cellStyle name="Normal 5 6 3 4" xfId="4627"/>
    <cellStyle name="Normal 5 6 3 4 2" xfId="34798"/>
    <cellStyle name="Normal 5 6 3 4 3" xfId="34797"/>
    <cellStyle name="Normal 5 6 3 5" xfId="10937"/>
    <cellStyle name="Normal 5 6 3 5 2" xfId="34800"/>
    <cellStyle name="Normal 5 6 3 5 3" xfId="34799"/>
    <cellStyle name="Normal 5 6 3 6" xfId="34801"/>
    <cellStyle name="Normal 5 6 3 7" xfId="34786"/>
    <cellStyle name="Normal 5 6 4" xfId="1669"/>
    <cellStyle name="Normal 5 6 4 2" xfId="3234"/>
    <cellStyle name="Normal 5 6 4 2 2" xfId="9519"/>
    <cellStyle name="Normal 5 6 4 2 2 2" xfId="34805"/>
    <cellStyle name="Normal 5 6 4 2 2 3" xfId="34804"/>
    <cellStyle name="Normal 5 6 4 2 3" xfId="6392"/>
    <cellStyle name="Normal 5 6 4 2 3 2" xfId="34807"/>
    <cellStyle name="Normal 5 6 4 2 3 3" xfId="34806"/>
    <cellStyle name="Normal 5 6 4 2 4" xfId="12702"/>
    <cellStyle name="Normal 5 6 4 2 4 2" xfId="34809"/>
    <cellStyle name="Normal 5 6 4 2 4 3" xfId="34808"/>
    <cellStyle name="Normal 5 6 4 2 5" xfId="34810"/>
    <cellStyle name="Normal 5 6 4 2 6" xfId="34803"/>
    <cellStyle name="Normal 5 6 4 3" xfId="7956"/>
    <cellStyle name="Normal 5 6 4 3 2" xfId="34812"/>
    <cellStyle name="Normal 5 6 4 3 3" xfId="34811"/>
    <cellStyle name="Normal 5 6 4 4" xfId="4829"/>
    <cellStyle name="Normal 5 6 4 4 2" xfId="34814"/>
    <cellStyle name="Normal 5 6 4 4 3" xfId="34813"/>
    <cellStyle name="Normal 5 6 4 5" xfId="11139"/>
    <cellStyle name="Normal 5 6 4 5 2" xfId="34816"/>
    <cellStyle name="Normal 5 6 4 5 3" xfId="34815"/>
    <cellStyle name="Normal 5 6 4 6" xfId="34817"/>
    <cellStyle name="Normal 5 6 4 7" xfId="34802"/>
    <cellStyle name="Normal 5 6 5" xfId="2352"/>
    <cellStyle name="Normal 5 6 5 2" xfId="8637"/>
    <cellStyle name="Normal 5 6 5 2 2" xfId="34820"/>
    <cellStyle name="Normal 5 6 5 2 3" xfId="34819"/>
    <cellStyle name="Normal 5 6 5 3" xfId="5510"/>
    <cellStyle name="Normal 5 6 5 3 2" xfId="34822"/>
    <cellStyle name="Normal 5 6 5 3 3" xfId="34821"/>
    <cellStyle name="Normal 5 6 5 4" xfId="11820"/>
    <cellStyle name="Normal 5 6 5 4 2" xfId="34824"/>
    <cellStyle name="Normal 5 6 5 4 3" xfId="34823"/>
    <cellStyle name="Normal 5 6 5 5" xfId="34825"/>
    <cellStyle name="Normal 5 6 5 6" xfId="34818"/>
    <cellStyle name="Normal 5 6 6" xfId="7074"/>
    <cellStyle name="Normal 5 6 6 2" xfId="34827"/>
    <cellStyle name="Normal 5 6 6 3" xfId="34826"/>
    <cellStyle name="Normal 5 6 7" xfId="3947"/>
    <cellStyle name="Normal 5 6 7 2" xfId="34829"/>
    <cellStyle name="Normal 5 6 7 3" xfId="34828"/>
    <cellStyle name="Normal 5 6 8" xfId="9737"/>
    <cellStyle name="Normal 5 6 8 2" xfId="34831"/>
    <cellStyle name="Normal 5 6 8 3" xfId="34830"/>
    <cellStyle name="Normal 5 6 9" xfId="34832"/>
    <cellStyle name="Normal 5 7" xfId="782"/>
    <cellStyle name="Normal 5 7 2" xfId="1469"/>
    <cellStyle name="Normal 5 7 2 2" xfId="3034"/>
    <cellStyle name="Normal 5 7 2 2 2" xfId="9319"/>
    <cellStyle name="Normal 5 7 2 2 2 2" xfId="34837"/>
    <cellStyle name="Normal 5 7 2 2 2 3" xfId="34836"/>
    <cellStyle name="Normal 5 7 2 2 3" xfId="6192"/>
    <cellStyle name="Normal 5 7 2 2 3 2" xfId="34839"/>
    <cellStyle name="Normal 5 7 2 2 3 3" xfId="34838"/>
    <cellStyle name="Normal 5 7 2 2 4" xfId="12502"/>
    <cellStyle name="Normal 5 7 2 2 4 2" xfId="34841"/>
    <cellStyle name="Normal 5 7 2 2 4 3" xfId="34840"/>
    <cellStyle name="Normal 5 7 2 2 5" xfId="34842"/>
    <cellStyle name="Normal 5 7 2 2 6" xfId="34835"/>
    <cellStyle name="Normal 5 7 2 3" xfId="7756"/>
    <cellStyle name="Normal 5 7 2 3 2" xfId="34844"/>
    <cellStyle name="Normal 5 7 2 3 3" xfId="34843"/>
    <cellStyle name="Normal 5 7 2 4" xfId="4629"/>
    <cellStyle name="Normal 5 7 2 4 2" xfId="34846"/>
    <cellStyle name="Normal 5 7 2 4 3" xfId="34845"/>
    <cellStyle name="Normal 5 7 2 5" xfId="10939"/>
    <cellStyle name="Normal 5 7 2 5 2" xfId="34848"/>
    <cellStyle name="Normal 5 7 2 5 3" xfId="34847"/>
    <cellStyle name="Normal 5 7 2 6" xfId="34849"/>
    <cellStyle name="Normal 5 7 2 7" xfId="34834"/>
    <cellStyle name="Normal 5 7 3" xfId="1671"/>
    <cellStyle name="Normal 5 7 3 2" xfId="3236"/>
    <cellStyle name="Normal 5 7 3 2 2" xfId="9521"/>
    <cellStyle name="Normal 5 7 3 2 2 2" xfId="34853"/>
    <cellStyle name="Normal 5 7 3 2 2 3" xfId="34852"/>
    <cellStyle name="Normal 5 7 3 2 3" xfId="6394"/>
    <cellStyle name="Normal 5 7 3 2 3 2" xfId="34855"/>
    <cellStyle name="Normal 5 7 3 2 3 3" xfId="34854"/>
    <cellStyle name="Normal 5 7 3 2 4" xfId="12704"/>
    <cellStyle name="Normal 5 7 3 2 4 2" xfId="34857"/>
    <cellStyle name="Normal 5 7 3 2 4 3" xfId="34856"/>
    <cellStyle name="Normal 5 7 3 2 5" xfId="34858"/>
    <cellStyle name="Normal 5 7 3 2 6" xfId="34851"/>
    <cellStyle name="Normal 5 7 3 3" xfId="7958"/>
    <cellStyle name="Normal 5 7 3 3 2" xfId="34860"/>
    <cellStyle name="Normal 5 7 3 3 3" xfId="34859"/>
    <cellStyle name="Normal 5 7 3 4" xfId="4831"/>
    <cellStyle name="Normal 5 7 3 4 2" xfId="34862"/>
    <cellStyle name="Normal 5 7 3 4 3" xfId="34861"/>
    <cellStyle name="Normal 5 7 3 5" xfId="11141"/>
    <cellStyle name="Normal 5 7 3 5 2" xfId="34864"/>
    <cellStyle name="Normal 5 7 3 5 3" xfId="34863"/>
    <cellStyle name="Normal 5 7 3 6" xfId="34865"/>
    <cellStyle name="Normal 5 7 3 7" xfId="34850"/>
    <cellStyle name="Normal 5 7 4" xfId="2354"/>
    <cellStyle name="Normal 5 7 4 2" xfId="8639"/>
    <cellStyle name="Normal 5 7 4 2 2" xfId="34868"/>
    <cellStyle name="Normal 5 7 4 2 3" xfId="34867"/>
    <cellStyle name="Normal 5 7 4 3" xfId="5512"/>
    <cellStyle name="Normal 5 7 4 3 2" xfId="34870"/>
    <cellStyle name="Normal 5 7 4 3 3" xfId="34869"/>
    <cellStyle name="Normal 5 7 4 4" xfId="11822"/>
    <cellStyle name="Normal 5 7 4 4 2" xfId="34872"/>
    <cellStyle name="Normal 5 7 4 4 3" xfId="34871"/>
    <cellStyle name="Normal 5 7 4 5" xfId="34873"/>
    <cellStyle name="Normal 5 7 4 6" xfId="34866"/>
    <cellStyle name="Normal 5 7 5" xfId="7076"/>
    <cellStyle name="Normal 5 7 5 2" xfId="34875"/>
    <cellStyle name="Normal 5 7 5 3" xfId="34874"/>
    <cellStyle name="Normal 5 7 6" xfId="3949"/>
    <cellStyle name="Normal 5 7 6 2" xfId="34877"/>
    <cellStyle name="Normal 5 7 6 3" xfId="34876"/>
    <cellStyle name="Normal 5 7 7" xfId="9739"/>
    <cellStyle name="Normal 5 7 7 2" xfId="34879"/>
    <cellStyle name="Normal 5 7 7 3" xfId="34878"/>
    <cellStyle name="Normal 5 7 8" xfId="34880"/>
    <cellStyle name="Normal 5 7 9" xfId="34833"/>
    <cellStyle name="Normal 5 8" xfId="768"/>
    <cellStyle name="Normal 5 8 2" xfId="1456"/>
    <cellStyle name="Normal 5 8 2 2" xfId="3021"/>
    <cellStyle name="Normal 5 8 2 2 2" xfId="9306"/>
    <cellStyle name="Normal 5 8 2 2 2 2" xfId="34885"/>
    <cellStyle name="Normal 5 8 2 2 2 3" xfId="34884"/>
    <cellStyle name="Normal 5 8 2 2 3" xfId="6179"/>
    <cellStyle name="Normal 5 8 2 2 3 2" xfId="34887"/>
    <cellStyle name="Normal 5 8 2 2 3 3" xfId="34886"/>
    <cellStyle name="Normal 5 8 2 2 4" xfId="12489"/>
    <cellStyle name="Normal 5 8 2 2 4 2" xfId="34889"/>
    <cellStyle name="Normal 5 8 2 2 4 3" xfId="34888"/>
    <cellStyle name="Normal 5 8 2 2 5" xfId="34890"/>
    <cellStyle name="Normal 5 8 2 2 6" xfId="34883"/>
    <cellStyle name="Normal 5 8 2 3" xfId="7743"/>
    <cellStyle name="Normal 5 8 2 3 2" xfId="34892"/>
    <cellStyle name="Normal 5 8 2 3 3" xfId="34891"/>
    <cellStyle name="Normal 5 8 2 4" xfId="4616"/>
    <cellStyle name="Normal 5 8 2 4 2" xfId="34894"/>
    <cellStyle name="Normal 5 8 2 4 3" xfId="34893"/>
    <cellStyle name="Normal 5 8 2 5" xfId="10926"/>
    <cellStyle name="Normal 5 8 2 5 2" xfId="34896"/>
    <cellStyle name="Normal 5 8 2 5 3" xfId="34895"/>
    <cellStyle name="Normal 5 8 2 6" xfId="34897"/>
    <cellStyle name="Normal 5 8 2 7" xfId="34882"/>
    <cellStyle name="Normal 5 8 3" xfId="1658"/>
    <cellStyle name="Normal 5 8 3 2" xfId="3223"/>
    <cellStyle name="Normal 5 8 3 2 2" xfId="9508"/>
    <cellStyle name="Normal 5 8 3 2 2 2" xfId="34901"/>
    <cellStyle name="Normal 5 8 3 2 2 3" xfId="34900"/>
    <cellStyle name="Normal 5 8 3 2 3" xfId="6381"/>
    <cellStyle name="Normal 5 8 3 2 3 2" xfId="34903"/>
    <cellStyle name="Normal 5 8 3 2 3 3" xfId="34902"/>
    <cellStyle name="Normal 5 8 3 2 4" xfId="12691"/>
    <cellStyle name="Normal 5 8 3 2 4 2" xfId="34905"/>
    <cellStyle name="Normal 5 8 3 2 4 3" xfId="34904"/>
    <cellStyle name="Normal 5 8 3 2 5" xfId="34906"/>
    <cellStyle name="Normal 5 8 3 2 6" xfId="34899"/>
    <cellStyle name="Normal 5 8 3 3" xfId="7945"/>
    <cellStyle name="Normal 5 8 3 3 2" xfId="34908"/>
    <cellStyle name="Normal 5 8 3 3 3" xfId="34907"/>
    <cellStyle name="Normal 5 8 3 4" xfId="4818"/>
    <cellStyle name="Normal 5 8 3 4 2" xfId="34910"/>
    <cellStyle name="Normal 5 8 3 4 3" xfId="34909"/>
    <cellStyle name="Normal 5 8 3 5" xfId="11128"/>
    <cellStyle name="Normal 5 8 3 5 2" xfId="34912"/>
    <cellStyle name="Normal 5 8 3 5 3" xfId="34911"/>
    <cellStyle name="Normal 5 8 3 6" xfId="34913"/>
    <cellStyle name="Normal 5 8 3 7" xfId="34898"/>
    <cellStyle name="Normal 5 8 4" xfId="2341"/>
    <cellStyle name="Normal 5 8 4 2" xfId="8626"/>
    <cellStyle name="Normal 5 8 4 2 2" xfId="34916"/>
    <cellStyle name="Normal 5 8 4 2 3" xfId="34915"/>
    <cellStyle name="Normal 5 8 4 3" xfId="5499"/>
    <cellStyle name="Normal 5 8 4 3 2" xfId="34918"/>
    <cellStyle name="Normal 5 8 4 3 3" xfId="34917"/>
    <cellStyle name="Normal 5 8 4 4" xfId="11809"/>
    <cellStyle name="Normal 5 8 4 4 2" xfId="34920"/>
    <cellStyle name="Normal 5 8 4 4 3" xfId="34919"/>
    <cellStyle name="Normal 5 8 4 5" xfId="34921"/>
    <cellStyle name="Normal 5 8 4 6" xfId="34914"/>
    <cellStyle name="Normal 5 8 5" xfId="7063"/>
    <cellStyle name="Normal 5 8 5 2" xfId="34923"/>
    <cellStyle name="Normal 5 8 5 3" xfId="34922"/>
    <cellStyle name="Normal 5 8 6" xfId="3936"/>
    <cellStyle name="Normal 5 8 6 2" xfId="34925"/>
    <cellStyle name="Normal 5 8 6 3" xfId="34924"/>
    <cellStyle name="Normal 5 8 7" xfId="9726"/>
    <cellStyle name="Normal 5 8 7 2" xfId="34927"/>
    <cellStyle name="Normal 5 8 7 3" xfId="34926"/>
    <cellStyle name="Normal 5 8 8" xfId="34928"/>
    <cellStyle name="Normal 5 8 9" xfId="34881"/>
    <cellStyle name="Normal 5 9" xfId="208"/>
    <cellStyle name="Normal 5 9 2" xfId="34929"/>
    <cellStyle name="Normal 6" xfId="69"/>
    <cellStyle name="Normal 6 2" xfId="211"/>
    <cellStyle name="Normal 6 2 2" xfId="785"/>
    <cellStyle name="Normal 6 2 2 10" xfId="34931"/>
    <cellStyle name="Normal 6 2 2 2" xfId="786"/>
    <cellStyle name="Normal 6 2 2 2 2" xfId="1473"/>
    <cellStyle name="Normal 6 2 2 2 2 2" xfId="3038"/>
    <cellStyle name="Normal 6 2 2 2 2 2 2" xfId="9323"/>
    <cellStyle name="Normal 6 2 2 2 2 2 2 2" xfId="34936"/>
    <cellStyle name="Normal 6 2 2 2 2 2 2 3" xfId="34935"/>
    <cellStyle name="Normal 6 2 2 2 2 2 3" xfId="6196"/>
    <cellStyle name="Normal 6 2 2 2 2 2 3 2" xfId="34938"/>
    <cellStyle name="Normal 6 2 2 2 2 2 3 3" xfId="34937"/>
    <cellStyle name="Normal 6 2 2 2 2 2 4" xfId="12506"/>
    <cellStyle name="Normal 6 2 2 2 2 2 4 2" xfId="34940"/>
    <cellStyle name="Normal 6 2 2 2 2 2 4 3" xfId="34939"/>
    <cellStyle name="Normal 6 2 2 2 2 2 5" xfId="34941"/>
    <cellStyle name="Normal 6 2 2 2 2 2 6" xfId="34934"/>
    <cellStyle name="Normal 6 2 2 2 2 3" xfId="7760"/>
    <cellStyle name="Normal 6 2 2 2 2 3 2" xfId="34943"/>
    <cellStyle name="Normal 6 2 2 2 2 3 3" xfId="34942"/>
    <cellStyle name="Normal 6 2 2 2 2 4" xfId="4633"/>
    <cellStyle name="Normal 6 2 2 2 2 4 2" xfId="34945"/>
    <cellStyle name="Normal 6 2 2 2 2 4 3" xfId="34944"/>
    <cellStyle name="Normal 6 2 2 2 2 5" xfId="10943"/>
    <cellStyle name="Normal 6 2 2 2 2 5 2" xfId="34947"/>
    <cellStyle name="Normal 6 2 2 2 2 5 3" xfId="34946"/>
    <cellStyle name="Normal 6 2 2 2 2 6" xfId="34948"/>
    <cellStyle name="Normal 6 2 2 2 2 7" xfId="34933"/>
    <cellStyle name="Normal 6 2 2 2 3" xfId="1675"/>
    <cellStyle name="Normal 6 2 2 2 3 2" xfId="3240"/>
    <cellStyle name="Normal 6 2 2 2 3 2 2" xfId="9525"/>
    <cellStyle name="Normal 6 2 2 2 3 2 2 2" xfId="34952"/>
    <cellStyle name="Normal 6 2 2 2 3 2 2 3" xfId="34951"/>
    <cellStyle name="Normal 6 2 2 2 3 2 3" xfId="6398"/>
    <cellStyle name="Normal 6 2 2 2 3 2 3 2" xfId="34954"/>
    <cellStyle name="Normal 6 2 2 2 3 2 3 3" xfId="34953"/>
    <cellStyle name="Normal 6 2 2 2 3 2 4" xfId="12708"/>
    <cellStyle name="Normal 6 2 2 2 3 2 4 2" xfId="34956"/>
    <cellStyle name="Normal 6 2 2 2 3 2 4 3" xfId="34955"/>
    <cellStyle name="Normal 6 2 2 2 3 2 5" xfId="34957"/>
    <cellStyle name="Normal 6 2 2 2 3 2 6" xfId="34950"/>
    <cellStyle name="Normal 6 2 2 2 3 3" xfId="7962"/>
    <cellStyle name="Normal 6 2 2 2 3 3 2" xfId="34959"/>
    <cellStyle name="Normal 6 2 2 2 3 3 3" xfId="34958"/>
    <cellStyle name="Normal 6 2 2 2 3 4" xfId="4835"/>
    <cellStyle name="Normal 6 2 2 2 3 4 2" xfId="34961"/>
    <cellStyle name="Normal 6 2 2 2 3 4 3" xfId="34960"/>
    <cellStyle name="Normal 6 2 2 2 3 5" xfId="11145"/>
    <cellStyle name="Normal 6 2 2 2 3 5 2" xfId="34963"/>
    <cellStyle name="Normal 6 2 2 2 3 5 3" xfId="34962"/>
    <cellStyle name="Normal 6 2 2 2 3 6" xfId="34964"/>
    <cellStyle name="Normal 6 2 2 2 3 7" xfId="34949"/>
    <cellStyle name="Normal 6 2 2 2 4" xfId="2358"/>
    <cellStyle name="Normal 6 2 2 2 4 2" xfId="8643"/>
    <cellStyle name="Normal 6 2 2 2 4 2 2" xfId="34967"/>
    <cellStyle name="Normal 6 2 2 2 4 2 3" xfId="34966"/>
    <cellStyle name="Normal 6 2 2 2 4 3" xfId="5516"/>
    <cellStyle name="Normal 6 2 2 2 4 3 2" xfId="34969"/>
    <cellStyle name="Normal 6 2 2 2 4 3 3" xfId="34968"/>
    <cellStyle name="Normal 6 2 2 2 4 4" xfId="11826"/>
    <cellStyle name="Normal 6 2 2 2 4 4 2" xfId="34971"/>
    <cellStyle name="Normal 6 2 2 2 4 4 3" xfId="34970"/>
    <cellStyle name="Normal 6 2 2 2 4 5" xfId="34972"/>
    <cellStyle name="Normal 6 2 2 2 4 6" xfId="34965"/>
    <cellStyle name="Normal 6 2 2 2 5" xfId="7080"/>
    <cellStyle name="Normal 6 2 2 2 5 2" xfId="34974"/>
    <cellStyle name="Normal 6 2 2 2 5 3" xfId="34973"/>
    <cellStyle name="Normal 6 2 2 2 6" xfId="3953"/>
    <cellStyle name="Normal 6 2 2 2 6 2" xfId="34976"/>
    <cellStyle name="Normal 6 2 2 2 6 3" xfId="34975"/>
    <cellStyle name="Normal 6 2 2 2 7" xfId="9743"/>
    <cellStyle name="Normal 6 2 2 2 7 2" xfId="34978"/>
    <cellStyle name="Normal 6 2 2 2 7 3" xfId="34977"/>
    <cellStyle name="Normal 6 2 2 2 8" xfId="34979"/>
    <cellStyle name="Normal 6 2 2 2 9" xfId="34932"/>
    <cellStyle name="Normal 6 2 2 3" xfId="1472"/>
    <cellStyle name="Normal 6 2 2 3 2" xfId="3037"/>
    <cellStyle name="Normal 6 2 2 3 2 2" xfId="9322"/>
    <cellStyle name="Normal 6 2 2 3 2 2 2" xfId="34983"/>
    <cellStyle name="Normal 6 2 2 3 2 2 3" xfId="34982"/>
    <cellStyle name="Normal 6 2 2 3 2 3" xfId="6195"/>
    <cellStyle name="Normal 6 2 2 3 2 3 2" xfId="34985"/>
    <cellStyle name="Normal 6 2 2 3 2 3 3" xfId="34984"/>
    <cellStyle name="Normal 6 2 2 3 2 4" xfId="12505"/>
    <cellStyle name="Normal 6 2 2 3 2 4 2" xfId="34987"/>
    <cellStyle name="Normal 6 2 2 3 2 4 3" xfId="34986"/>
    <cellStyle name="Normal 6 2 2 3 2 5" xfId="34988"/>
    <cellStyle name="Normal 6 2 2 3 2 6" xfId="34981"/>
    <cellStyle name="Normal 6 2 2 3 3" xfId="7759"/>
    <cellStyle name="Normal 6 2 2 3 3 2" xfId="34990"/>
    <cellStyle name="Normal 6 2 2 3 3 3" xfId="34989"/>
    <cellStyle name="Normal 6 2 2 3 4" xfId="4632"/>
    <cellStyle name="Normal 6 2 2 3 4 2" xfId="34992"/>
    <cellStyle name="Normal 6 2 2 3 4 3" xfId="34991"/>
    <cellStyle name="Normal 6 2 2 3 5" xfId="10942"/>
    <cellStyle name="Normal 6 2 2 3 5 2" xfId="34994"/>
    <cellStyle name="Normal 6 2 2 3 5 3" xfId="34993"/>
    <cellStyle name="Normal 6 2 2 3 6" xfId="34995"/>
    <cellStyle name="Normal 6 2 2 3 7" xfId="34980"/>
    <cellStyle name="Normal 6 2 2 4" xfId="1674"/>
    <cellStyle name="Normal 6 2 2 4 2" xfId="3239"/>
    <cellStyle name="Normal 6 2 2 4 2 2" xfId="9524"/>
    <cellStyle name="Normal 6 2 2 4 2 2 2" xfId="34999"/>
    <cellStyle name="Normal 6 2 2 4 2 2 3" xfId="34998"/>
    <cellStyle name="Normal 6 2 2 4 2 3" xfId="6397"/>
    <cellStyle name="Normal 6 2 2 4 2 3 2" xfId="35001"/>
    <cellStyle name="Normal 6 2 2 4 2 3 3" xfId="35000"/>
    <cellStyle name="Normal 6 2 2 4 2 4" xfId="12707"/>
    <cellStyle name="Normal 6 2 2 4 2 4 2" xfId="35003"/>
    <cellStyle name="Normal 6 2 2 4 2 4 3" xfId="35002"/>
    <cellStyle name="Normal 6 2 2 4 2 5" xfId="35004"/>
    <cellStyle name="Normal 6 2 2 4 2 6" xfId="34997"/>
    <cellStyle name="Normal 6 2 2 4 3" xfId="7961"/>
    <cellStyle name="Normal 6 2 2 4 3 2" xfId="35006"/>
    <cellStyle name="Normal 6 2 2 4 3 3" xfId="35005"/>
    <cellStyle name="Normal 6 2 2 4 4" xfId="4834"/>
    <cellStyle name="Normal 6 2 2 4 4 2" xfId="35008"/>
    <cellStyle name="Normal 6 2 2 4 4 3" xfId="35007"/>
    <cellStyle name="Normal 6 2 2 4 5" xfId="11144"/>
    <cellStyle name="Normal 6 2 2 4 5 2" xfId="35010"/>
    <cellStyle name="Normal 6 2 2 4 5 3" xfId="35009"/>
    <cellStyle name="Normal 6 2 2 4 6" xfId="35011"/>
    <cellStyle name="Normal 6 2 2 4 7" xfId="34996"/>
    <cellStyle name="Normal 6 2 2 5" xfId="2357"/>
    <cellStyle name="Normal 6 2 2 5 2" xfId="8642"/>
    <cellStyle name="Normal 6 2 2 5 2 2" xfId="35014"/>
    <cellStyle name="Normal 6 2 2 5 2 3" xfId="35013"/>
    <cellStyle name="Normal 6 2 2 5 3" xfId="5515"/>
    <cellStyle name="Normal 6 2 2 5 3 2" xfId="35016"/>
    <cellStyle name="Normal 6 2 2 5 3 3" xfId="35015"/>
    <cellStyle name="Normal 6 2 2 5 4" xfId="11825"/>
    <cellStyle name="Normal 6 2 2 5 4 2" xfId="35018"/>
    <cellStyle name="Normal 6 2 2 5 4 3" xfId="35017"/>
    <cellStyle name="Normal 6 2 2 5 5" xfId="35019"/>
    <cellStyle name="Normal 6 2 2 5 6" xfId="35012"/>
    <cellStyle name="Normal 6 2 2 6" xfId="7079"/>
    <cellStyle name="Normal 6 2 2 6 2" xfId="35021"/>
    <cellStyle name="Normal 6 2 2 6 3" xfId="35020"/>
    <cellStyle name="Normal 6 2 2 7" xfId="3952"/>
    <cellStyle name="Normal 6 2 2 7 2" xfId="35023"/>
    <cellStyle name="Normal 6 2 2 7 3" xfId="35022"/>
    <cellStyle name="Normal 6 2 2 8" xfId="9742"/>
    <cellStyle name="Normal 6 2 2 8 2" xfId="35025"/>
    <cellStyle name="Normal 6 2 2 8 3" xfId="35024"/>
    <cellStyle name="Normal 6 2 2 9" xfId="35026"/>
    <cellStyle name="Normal 6 2 3" xfId="787"/>
    <cellStyle name="Normal 6 2 3 2" xfId="1474"/>
    <cellStyle name="Normal 6 2 3 2 2" xfId="3039"/>
    <cellStyle name="Normal 6 2 3 2 2 2" xfId="9324"/>
    <cellStyle name="Normal 6 2 3 2 2 2 2" xfId="35031"/>
    <cellStyle name="Normal 6 2 3 2 2 2 3" xfId="35030"/>
    <cellStyle name="Normal 6 2 3 2 2 3" xfId="6197"/>
    <cellStyle name="Normal 6 2 3 2 2 3 2" xfId="35033"/>
    <cellStyle name="Normal 6 2 3 2 2 3 3" xfId="35032"/>
    <cellStyle name="Normal 6 2 3 2 2 4" xfId="12507"/>
    <cellStyle name="Normal 6 2 3 2 2 4 2" xfId="35035"/>
    <cellStyle name="Normal 6 2 3 2 2 4 3" xfId="35034"/>
    <cellStyle name="Normal 6 2 3 2 2 5" xfId="35036"/>
    <cellStyle name="Normal 6 2 3 2 2 6" xfId="35029"/>
    <cellStyle name="Normal 6 2 3 2 3" xfId="7761"/>
    <cellStyle name="Normal 6 2 3 2 3 2" xfId="35038"/>
    <cellStyle name="Normal 6 2 3 2 3 3" xfId="35037"/>
    <cellStyle name="Normal 6 2 3 2 4" xfId="4634"/>
    <cellStyle name="Normal 6 2 3 2 4 2" xfId="35040"/>
    <cellStyle name="Normal 6 2 3 2 4 3" xfId="35039"/>
    <cellStyle name="Normal 6 2 3 2 5" xfId="10944"/>
    <cellStyle name="Normal 6 2 3 2 5 2" xfId="35042"/>
    <cellStyle name="Normal 6 2 3 2 5 3" xfId="35041"/>
    <cellStyle name="Normal 6 2 3 2 6" xfId="35043"/>
    <cellStyle name="Normal 6 2 3 2 7" xfId="35028"/>
    <cellStyle name="Normal 6 2 3 3" xfId="1676"/>
    <cellStyle name="Normal 6 2 3 3 2" xfId="3241"/>
    <cellStyle name="Normal 6 2 3 3 2 2" xfId="9526"/>
    <cellStyle name="Normal 6 2 3 3 2 2 2" xfId="35047"/>
    <cellStyle name="Normal 6 2 3 3 2 2 3" xfId="35046"/>
    <cellStyle name="Normal 6 2 3 3 2 3" xfId="6399"/>
    <cellStyle name="Normal 6 2 3 3 2 3 2" xfId="35049"/>
    <cellStyle name="Normal 6 2 3 3 2 3 3" xfId="35048"/>
    <cellStyle name="Normal 6 2 3 3 2 4" xfId="12709"/>
    <cellStyle name="Normal 6 2 3 3 2 4 2" xfId="35051"/>
    <cellStyle name="Normal 6 2 3 3 2 4 3" xfId="35050"/>
    <cellStyle name="Normal 6 2 3 3 2 5" xfId="35052"/>
    <cellStyle name="Normal 6 2 3 3 2 6" xfId="35045"/>
    <cellStyle name="Normal 6 2 3 3 3" xfId="7963"/>
    <cellStyle name="Normal 6 2 3 3 3 2" xfId="35054"/>
    <cellStyle name="Normal 6 2 3 3 3 3" xfId="35053"/>
    <cellStyle name="Normal 6 2 3 3 4" xfId="4836"/>
    <cellStyle name="Normal 6 2 3 3 4 2" xfId="35056"/>
    <cellStyle name="Normal 6 2 3 3 4 3" xfId="35055"/>
    <cellStyle name="Normal 6 2 3 3 5" xfId="11146"/>
    <cellStyle name="Normal 6 2 3 3 5 2" xfId="35058"/>
    <cellStyle name="Normal 6 2 3 3 5 3" xfId="35057"/>
    <cellStyle name="Normal 6 2 3 3 6" xfId="35059"/>
    <cellStyle name="Normal 6 2 3 3 7" xfId="35044"/>
    <cellStyle name="Normal 6 2 3 4" xfId="2359"/>
    <cellStyle name="Normal 6 2 3 4 2" xfId="8644"/>
    <cellStyle name="Normal 6 2 3 4 2 2" xfId="35062"/>
    <cellStyle name="Normal 6 2 3 4 2 3" xfId="35061"/>
    <cellStyle name="Normal 6 2 3 4 3" xfId="5517"/>
    <cellStyle name="Normal 6 2 3 4 3 2" xfId="35064"/>
    <cellStyle name="Normal 6 2 3 4 3 3" xfId="35063"/>
    <cellStyle name="Normal 6 2 3 4 4" xfId="11827"/>
    <cellStyle name="Normal 6 2 3 4 4 2" xfId="35066"/>
    <cellStyle name="Normal 6 2 3 4 4 3" xfId="35065"/>
    <cellStyle name="Normal 6 2 3 4 5" xfId="35067"/>
    <cellStyle name="Normal 6 2 3 4 6" xfId="35060"/>
    <cellStyle name="Normal 6 2 3 5" xfId="7081"/>
    <cellStyle name="Normal 6 2 3 5 2" xfId="35069"/>
    <cellStyle name="Normal 6 2 3 5 3" xfId="35068"/>
    <cellStyle name="Normal 6 2 3 6" xfId="3954"/>
    <cellStyle name="Normal 6 2 3 6 2" xfId="35071"/>
    <cellStyle name="Normal 6 2 3 6 3" xfId="35070"/>
    <cellStyle name="Normal 6 2 3 7" xfId="9744"/>
    <cellStyle name="Normal 6 2 3 7 2" xfId="35073"/>
    <cellStyle name="Normal 6 2 3 7 3" xfId="35072"/>
    <cellStyle name="Normal 6 2 3 8" xfId="35074"/>
    <cellStyle name="Normal 6 2 3 9" xfId="35027"/>
    <cellStyle name="Normal 6 2 4" xfId="784"/>
    <cellStyle name="Normal 6 2 4 2" xfId="1471"/>
    <cellStyle name="Normal 6 2 4 2 2" xfId="3036"/>
    <cellStyle name="Normal 6 2 4 2 2 2" xfId="9321"/>
    <cellStyle name="Normal 6 2 4 2 2 2 2" xfId="35079"/>
    <cellStyle name="Normal 6 2 4 2 2 2 3" xfId="35078"/>
    <cellStyle name="Normal 6 2 4 2 2 3" xfId="6194"/>
    <cellStyle name="Normal 6 2 4 2 2 3 2" xfId="35081"/>
    <cellStyle name="Normal 6 2 4 2 2 3 3" xfId="35080"/>
    <cellStyle name="Normal 6 2 4 2 2 4" xfId="12504"/>
    <cellStyle name="Normal 6 2 4 2 2 4 2" xfId="35083"/>
    <cellStyle name="Normal 6 2 4 2 2 4 3" xfId="35082"/>
    <cellStyle name="Normal 6 2 4 2 2 5" xfId="35084"/>
    <cellStyle name="Normal 6 2 4 2 2 6" xfId="35077"/>
    <cellStyle name="Normal 6 2 4 2 3" xfId="7758"/>
    <cellStyle name="Normal 6 2 4 2 3 2" xfId="35086"/>
    <cellStyle name="Normal 6 2 4 2 3 3" xfId="35085"/>
    <cellStyle name="Normal 6 2 4 2 4" xfId="4631"/>
    <cellStyle name="Normal 6 2 4 2 4 2" xfId="35088"/>
    <cellStyle name="Normal 6 2 4 2 4 3" xfId="35087"/>
    <cellStyle name="Normal 6 2 4 2 5" xfId="10941"/>
    <cellStyle name="Normal 6 2 4 2 5 2" xfId="35090"/>
    <cellStyle name="Normal 6 2 4 2 5 3" xfId="35089"/>
    <cellStyle name="Normal 6 2 4 2 6" xfId="35091"/>
    <cellStyle name="Normal 6 2 4 2 7" xfId="35076"/>
    <cellStyle name="Normal 6 2 4 3" xfId="2356"/>
    <cellStyle name="Normal 6 2 4 3 2" xfId="8641"/>
    <cellStyle name="Normal 6 2 4 3 2 2" xfId="35094"/>
    <cellStyle name="Normal 6 2 4 3 2 3" xfId="35093"/>
    <cellStyle name="Normal 6 2 4 3 3" xfId="5514"/>
    <cellStyle name="Normal 6 2 4 3 3 2" xfId="35096"/>
    <cellStyle name="Normal 6 2 4 3 3 3" xfId="35095"/>
    <cellStyle name="Normal 6 2 4 3 4" xfId="11824"/>
    <cellStyle name="Normal 6 2 4 3 4 2" xfId="35098"/>
    <cellStyle name="Normal 6 2 4 3 4 3" xfId="35097"/>
    <cellStyle name="Normal 6 2 4 3 5" xfId="35099"/>
    <cellStyle name="Normal 6 2 4 3 6" xfId="35092"/>
    <cellStyle name="Normal 6 2 4 4" xfId="7078"/>
    <cellStyle name="Normal 6 2 4 4 2" xfId="35101"/>
    <cellStyle name="Normal 6 2 4 4 3" xfId="35100"/>
    <cellStyle name="Normal 6 2 4 5" xfId="3951"/>
    <cellStyle name="Normal 6 2 4 5 2" xfId="35103"/>
    <cellStyle name="Normal 6 2 4 5 3" xfId="35102"/>
    <cellStyle name="Normal 6 2 4 6" xfId="10301"/>
    <cellStyle name="Normal 6 2 4 6 2" xfId="35105"/>
    <cellStyle name="Normal 6 2 4 6 3" xfId="35104"/>
    <cellStyle name="Normal 6 2 4 7" xfId="35106"/>
    <cellStyle name="Normal 6 2 4 8" xfId="35075"/>
    <cellStyle name="Normal 6 2 5" xfId="1673"/>
    <cellStyle name="Normal 6 2 5 2" xfId="3238"/>
    <cellStyle name="Normal 6 2 5 2 2" xfId="9523"/>
    <cellStyle name="Normal 6 2 5 2 2 2" xfId="35110"/>
    <cellStyle name="Normal 6 2 5 2 2 3" xfId="35109"/>
    <cellStyle name="Normal 6 2 5 2 3" xfId="6396"/>
    <cellStyle name="Normal 6 2 5 2 3 2" xfId="35112"/>
    <cellStyle name="Normal 6 2 5 2 3 3" xfId="35111"/>
    <cellStyle name="Normal 6 2 5 2 4" xfId="12706"/>
    <cellStyle name="Normal 6 2 5 2 4 2" xfId="35114"/>
    <cellStyle name="Normal 6 2 5 2 4 3" xfId="35113"/>
    <cellStyle name="Normal 6 2 5 2 5" xfId="35115"/>
    <cellStyle name="Normal 6 2 5 2 6" xfId="35108"/>
    <cellStyle name="Normal 6 2 5 3" xfId="7960"/>
    <cellStyle name="Normal 6 2 5 3 2" xfId="35117"/>
    <cellStyle name="Normal 6 2 5 3 3" xfId="35116"/>
    <cellStyle name="Normal 6 2 5 4" xfId="4833"/>
    <cellStyle name="Normal 6 2 5 4 2" xfId="35119"/>
    <cellStyle name="Normal 6 2 5 4 3" xfId="35118"/>
    <cellStyle name="Normal 6 2 5 5" xfId="11143"/>
    <cellStyle name="Normal 6 2 5 5 2" xfId="35121"/>
    <cellStyle name="Normal 6 2 5 5 3" xfId="35120"/>
    <cellStyle name="Normal 6 2 5 6" xfId="35122"/>
    <cellStyle name="Normal 6 2 5 7" xfId="35107"/>
    <cellStyle name="Normal 6 2 6" xfId="9849"/>
    <cellStyle name="Normal 6 2 6 2" xfId="35123"/>
    <cellStyle name="Normal 6 2 7" xfId="9741"/>
    <cellStyle name="Normal 6 2 7 2" xfId="35125"/>
    <cellStyle name="Normal 6 2 7 3" xfId="35124"/>
    <cellStyle name="Normal 6 2 8" xfId="34930"/>
    <cellStyle name="Normal 6 3" xfId="384"/>
    <cellStyle name="Normal 6 3 2" xfId="789"/>
    <cellStyle name="Normal 6 3 2 10" xfId="35127"/>
    <cellStyle name="Normal 6 3 2 2" xfId="790"/>
    <cellStyle name="Normal 6 3 2 2 2" xfId="1477"/>
    <cellStyle name="Normal 6 3 2 2 2 2" xfId="3042"/>
    <cellStyle name="Normal 6 3 2 2 2 2 2" xfId="9327"/>
    <cellStyle name="Normal 6 3 2 2 2 2 2 2" xfId="35132"/>
    <cellStyle name="Normal 6 3 2 2 2 2 2 3" xfId="35131"/>
    <cellStyle name="Normal 6 3 2 2 2 2 3" xfId="6200"/>
    <cellStyle name="Normal 6 3 2 2 2 2 3 2" xfId="35134"/>
    <cellStyle name="Normal 6 3 2 2 2 2 3 3" xfId="35133"/>
    <cellStyle name="Normal 6 3 2 2 2 2 4" xfId="12510"/>
    <cellStyle name="Normal 6 3 2 2 2 2 4 2" xfId="35136"/>
    <cellStyle name="Normal 6 3 2 2 2 2 4 3" xfId="35135"/>
    <cellStyle name="Normal 6 3 2 2 2 2 5" xfId="35137"/>
    <cellStyle name="Normal 6 3 2 2 2 2 6" xfId="35130"/>
    <cellStyle name="Normal 6 3 2 2 2 3" xfId="7764"/>
    <cellStyle name="Normal 6 3 2 2 2 3 2" xfId="35139"/>
    <cellStyle name="Normal 6 3 2 2 2 3 3" xfId="35138"/>
    <cellStyle name="Normal 6 3 2 2 2 4" xfId="4637"/>
    <cellStyle name="Normal 6 3 2 2 2 4 2" xfId="35141"/>
    <cellStyle name="Normal 6 3 2 2 2 4 3" xfId="35140"/>
    <cellStyle name="Normal 6 3 2 2 2 5" xfId="10947"/>
    <cellStyle name="Normal 6 3 2 2 2 5 2" xfId="35143"/>
    <cellStyle name="Normal 6 3 2 2 2 5 3" xfId="35142"/>
    <cellStyle name="Normal 6 3 2 2 2 6" xfId="35144"/>
    <cellStyle name="Normal 6 3 2 2 2 7" xfId="35129"/>
    <cellStyle name="Normal 6 3 2 2 3" xfId="1679"/>
    <cellStyle name="Normal 6 3 2 2 3 2" xfId="3244"/>
    <cellStyle name="Normal 6 3 2 2 3 2 2" xfId="9529"/>
    <cellStyle name="Normal 6 3 2 2 3 2 2 2" xfId="35148"/>
    <cellStyle name="Normal 6 3 2 2 3 2 2 3" xfId="35147"/>
    <cellStyle name="Normal 6 3 2 2 3 2 3" xfId="6402"/>
    <cellStyle name="Normal 6 3 2 2 3 2 3 2" xfId="35150"/>
    <cellStyle name="Normal 6 3 2 2 3 2 3 3" xfId="35149"/>
    <cellStyle name="Normal 6 3 2 2 3 2 4" xfId="12712"/>
    <cellStyle name="Normal 6 3 2 2 3 2 4 2" xfId="35152"/>
    <cellStyle name="Normal 6 3 2 2 3 2 4 3" xfId="35151"/>
    <cellStyle name="Normal 6 3 2 2 3 2 5" xfId="35153"/>
    <cellStyle name="Normal 6 3 2 2 3 2 6" xfId="35146"/>
    <cellStyle name="Normal 6 3 2 2 3 3" xfId="7966"/>
    <cellStyle name="Normal 6 3 2 2 3 3 2" xfId="35155"/>
    <cellStyle name="Normal 6 3 2 2 3 3 3" xfId="35154"/>
    <cellStyle name="Normal 6 3 2 2 3 4" xfId="4839"/>
    <cellStyle name="Normal 6 3 2 2 3 4 2" xfId="35157"/>
    <cellStyle name="Normal 6 3 2 2 3 4 3" xfId="35156"/>
    <cellStyle name="Normal 6 3 2 2 3 5" xfId="11149"/>
    <cellStyle name="Normal 6 3 2 2 3 5 2" xfId="35159"/>
    <cellStyle name="Normal 6 3 2 2 3 5 3" xfId="35158"/>
    <cellStyle name="Normal 6 3 2 2 3 6" xfId="35160"/>
    <cellStyle name="Normal 6 3 2 2 3 7" xfId="35145"/>
    <cellStyle name="Normal 6 3 2 2 4" xfId="2362"/>
    <cellStyle name="Normal 6 3 2 2 4 2" xfId="8647"/>
    <cellStyle name="Normal 6 3 2 2 4 2 2" xfId="35163"/>
    <cellStyle name="Normal 6 3 2 2 4 2 3" xfId="35162"/>
    <cellStyle name="Normal 6 3 2 2 4 3" xfId="5520"/>
    <cellStyle name="Normal 6 3 2 2 4 3 2" xfId="35165"/>
    <cellStyle name="Normal 6 3 2 2 4 3 3" xfId="35164"/>
    <cellStyle name="Normal 6 3 2 2 4 4" xfId="11830"/>
    <cellStyle name="Normal 6 3 2 2 4 4 2" xfId="35167"/>
    <cellStyle name="Normal 6 3 2 2 4 4 3" xfId="35166"/>
    <cellStyle name="Normal 6 3 2 2 4 5" xfId="35168"/>
    <cellStyle name="Normal 6 3 2 2 4 6" xfId="35161"/>
    <cellStyle name="Normal 6 3 2 2 5" xfId="7084"/>
    <cellStyle name="Normal 6 3 2 2 5 2" xfId="35170"/>
    <cellStyle name="Normal 6 3 2 2 5 3" xfId="35169"/>
    <cellStyle name="Normal 6 3 2 2 6" xfId="3957"/>
    <cellStyle name="Normal 6 3 2 2 6 2" xfId="35172"/>
    <cellStyle name="Normal 6 3 2 2 6 3" xfId="35171"/>
    <cellStyle name="Normal 6 3 2 2 7" xfId="9747"/>
    <cellStyle name="Normal 6 3 2 2 7 2" xfId="35174"/>
    <cellStyle name="Normal 6 3 2 2 7 3" xfId="35173"/>
    <cellStyle name="Normal 6 3 2 2 8" xfId="35175"/>
    <cellStyle name="Normal 6 3 2 2 9" xfId="35128"/>
    <cellStyle name="Normal 6 3 2 3" xfId="1476"/>
    <cellStyle name="Normal 6 3 2 3 2" xfId="3041"/>
    <cellStyle name="Normal 6 3 2 3 2 2" xfId="9326"/>
    <cellStyle name="Normal 6 3 2 3 2 2 2" xfId="35179"/>
    <cellStyle name="Normal 6 3 2 3 2 2 3" xfId="35178"/>
    <cellStyle name="Normal 6 3 2 3 2 3" xfId="6199"/>
    <cellStyle name="Normal 6 3 2 3 2 3 2" xfId="35181"/>
    <cellStyle name="Normal 6 3 2 3 2 3 3" xfId="35180"/>
    <cellStyle name="Normal 6 3 2 3 2 4" xfId="12509"/>
    <cellStyle name="Normal 6 3 2 3 2 4 2" xfId="35183"/>
    <cellStyle name="Normal 6 3 2 3 2 4 3" xfId="35182"/>
    <cellStyle name="Normal 6 3 2 3 2 5" xfId="35184"/>
    <cellStyle name="Normal 6 3 2 3 2 6" xfId="35177"/>
    <cellStyle name="Normal 6 3 2 3 3" xfId="7763"/>
    <cellStyle name="Normal 6 3 2 3 3 2" xfId="35186"/>
    <cellStyle name="Normal 6 3 2 3 3 3" xfId="35185"/>
    <cellStyle name="Normal 6 3 2 3 4" xfId="4636"/>
    <cellStyle name="Normal 6 3 2 3 4 2" xfId="35188"/>
    <cellStyle name="Normal 6 3 2 3 4 3" xfId="35187"/>
    <cellStyle name="Normal 6 3 2 3 5" xfId="10946"/>
    <cellStyle name="Normal 6 3 2 3 5 2" xfId="35190"/>
    <cellStyle name="Normal 6 3 2 3 5 3" xfId="35189"/>
    <cellStyle name="Normal 6 3 2 3 6" xfId="35191"/>
    <cellStyle name="Normal 6 3 2 3 7" xfId="35176"/>
    <cellStyle name="Normal 6 3 2 4" xfId="1678"/>
    <cellStyle name="Normal 6 3 2 4 2" xfId="3243"/>
    <cellStyle name="Normal 6 3 2 4 2 2" xfId="9528"/>
    <cellStyle name="Normal 6 3 2 4 2 2 2" xfId="35195"/>
    <cellStyle name="Normal 6 3 2 4 2 2 3" xfId="35194"/>
    <cellStyle name="Normal 6 3 2 4 2 3" xfId="6401"/>
    <cellStyle name="Normal 6 3 2 4 2 3 2" xfId="35197"/>
    <cellStyle name="Normal 6 3 2 4 2 3 3" xfId="35196"/>
    <cellStyle name="Normal 6 3 2 4 2 4" xfId="12711"/>
    <cellStyle name="Normal 6 3 2 4 2 4 2" xfId="35199"/>
    <cellStyle name="Normal 6 3 2 4 2 4 3" xfId="35198"/>
    <cellStyle name="Normal 6 3 2 4 2 5" xfId="35200"/>
    <cellStyle name="Normal 6 3 2 4 2 6" xfId="35193"/>
    <cellStyle name="Normal 6 3 2 4 3" xfId="7965"/>
    <cellStyle name="Normal 6 3 2 4 3 2" xfId="35202"/>
    <cellStyle name="Normal 6 3 2 4 3 3" xfId="35201"/>
    <cellStyle name="Normal 6 3 2 4 4" xfId="4838"/>
    <cellStyle name="Normal 6 3 2 4 4 2" xfId="35204"/>
    <cellStyle name="Normal 6 3 2 4 4 3" xfId="35203"/>
    <cellStyle name="Normal 6 3 2 4 5" xfId="11148"/>
    <cellStyle name="Normal 6 3 2 4 5 2" xfId="35206"/>
    <cellStyle name="Normal 6 3 2 4 5 3" xfId="35205"/>
    <cellStyle name="Normal 6 3 2 4 6" xfId="35207"/>
    <cellStyle name="Normal 6 3 2 4 7" xfId="35192"/>
    <cellStyle name="Normal 6 3 2 5" xfId="2361"/>
    <cellStyle name="Normal 6 3 2 5 2" xfId="8646"/>
    <cellStyle name="Normal 6 3 2 5 2 2" xfId="35210"/>
    <cellStyle name="Normal 6 3 2 5 2 3" xfId="35209"/>
    <cellStyle name="Normal 6 3 2 5 3" xfId="5519"/>
    <cellStyle name="Normal 6 3 2 5 3 2" xfId="35212"/>
    <cellStyle name="Normal 6 3 2 5 3 3" xfId="35211"/>
    <cellStyle name="Normal 6 3 2 5 4" xfId="11829"/>
    <cellStyle name="Normal 6 3 2 5 4 2" xfId="35214"/>
    <cellStyle name="Normal 6 3 2 5 4 3" xfId="35213"/>
    <cellStyle name="Normal 6 3 2 5 5" xfId="35215"/>
    <cellStyle name="Normal 6 3 2 5 6" xfId="35208"/>
    <cellStyle name="Normal 6 3 2 6" xfId="7083"/>
    <cellStyle name="Normal 6 3 2 6 2" xfId="35217"/>
    <cellStyle name="Normal 6 3 2 6 3" xfId="35216"/>
    <cellStyle name="Normal 6 3 2 7" xfId="3956"/>
    <cellStyle name="Normal 6 3 2 7 2" xfId="35219"/>
    <cellStyle name="Normal 6 3 2 7 3" xfId="35218"/>
    <cellStyle name="Normal 6 3 2 8" xfId="9746"/>
    <cellStyle name="Normal 6 3 2 8 2" xfId="35221"/>
    <cellStyle name="Normal 6 3 2 8 3" xfId="35220"/>
    <cellStyle name="Normal 6 3 2 9" xfId="35222"/>
    <cellStyle name="Normal 6 3 3" xfId="791"/>
    <cellStyle name="Normal 6 3 3 2" xfId="1478"/>
    <cellStyle name="Normal 6 3 3 2 2" xfId="3043"/>
    <cellStyle name="Normal 6 3 3 2 2 2" xfId="9328"/>
    <cellStyle name="Normal 6 3 3 2 2 2 2" xfId="35227"/>
    <cellStyle name="Normal 6 3 3 2 2 2 3" xfId="35226"/>
    <cellStyle name="Normal 6 3 3 2 2 3" xfId="6201"/>
    <cellStyle name="Normal 6 3 3 2 2 3 2" xfId="35229"/>
    <cellStyle name="Normal 6 3 3 2 2 3 3" xfId="35228"/>
    <cellStyle name="Normal 6 3 3 2 2 4" xfId="12511"/>
    <cellStyle name="Normal 6 3 3 2 2 4 2" xfId="35231"/>
    <cellStyle name="Normal 6 3 3 2 2 4 3" xfId="35230"/>
    <cellStyle name="Normal 6 3 3 2 2 5" xfId="35232"/>
    <cellStyle name="Normal 6 3 3 2 2 6" xfId="35225"/>
    <cellStyle name="Normal 6 3 3 2 3" xfId="7765"/>
    <cellStyle name="Normal 6 3 3 2 3 2" xfId="35234"/>
    <cellStyle name="Normal 6 3 3 2 3 3" xfId="35233"/>
    <cellStyle name="Normal 6 3 3 2 4" xfId="4638"/>
    <cellStyle name="Normal 6 3 3 2 4 2" xfId="35236"/>
    <cellStyle name="Normal 6 3 3 2 4 3" xfId="35235"/>
    <cellStyle name="Normal 6 3 3 2 5" xfId="10948"/>
    <cellStyle name="Normal 6 3 3 2 5 2" xfId="35238"/>
    <cellStyle name="Normal 6 3 3 2 5 3" xfId="35237"/>
    <cellStyle name="Normal 6 3 3 2 6" xfId="35239"/>
    <cellStyle name="Normal 6 3 3 2 7" xfId="35224"/>
    <cellStyle name="Normal 6 3 3 3" xfId="1680"/>
    <cellStyle name="Normal 6 3 3 3 2" xfId="3245"/>
    <cellStyle name="Normal 6 3 3 3 2 2" xfId="9530"/>
    <cellStyle name="Normal 6 3 3 3 2 2 2" xfId="35243"/>
    <cellStyle name="Normal 6 3 3 3 2 2 3" xfId="35242"/>
    <cellStyle name="Normal 6 3 3 3 2 3" xfId="6403"/>
    <cellStyle name="Normal 6 3 3 3 2 3 2" xfId="35245"/>
    <cellStyle name="Normal 6 3 3 3 2 3 3" xfId="35244"/>
    <cellStyle name="Normal 6 3 3 3 2 4" xfId="12713"/>
    <cellStyle name="Normal 6 3 3 3 2 4 2" xfId="35247"/>
    <cellStyle name="Normal 6 3 3 3 2 4 3" xfId="35246"/>
    <cellStyle name="Normal 6 3 3 3 2 5" xfId="35248"/>
    <cellStyle name="Normal 6 3 3 3 2 6" xfId="35241"/>
    <cellStyle name="Normal 6 3 3 3 3" xfId="7967"/>
    <cellStyle name="Normal 6 3 3 3 3 2" xfId="35250"/>
    <cellStyle name="Normal 6 3 3 3 3 3" xfId="35249"/>
    <cellStyle name="Normal 6 3 3 3 4" xfId="4840"/>
    <cellStyle name="Normal 6 3 3 3 4 2" xfId="35252"/>
    <cellStyle name="Normal 6 3 3 3 4 3" xfId="35251"/>
    <cellStyle name="Normal 6 3 3 3 5" xfId="11150"/>
    <cellStyle name="Normal 6 3 3 3 5 2" xfId="35254"/>
    <cellStyle name="Normal 6 3 3 3 5 3" xfId="35253"/>
    <cellStyle name="Normal 6 3 3 3 6" xfId="35255"/>
    <cellStyle name="Normal 6 3 3 3 7" xfId="35240"/>
    <cellStyle name="Normal 6 3 3 4" xfId="2363"/>
    <cellStyle name="Normal 6 3 3 4 2" xfId="8648"/>
    <cellStyle name="Normal 6 3 3 4 2 2" xfId="35258"/>
    <cellStyle name="Normal 6 3 3 4 2 3" xfId="35257"/>
    <cellStyle name="Normal 6 3 3 4 3" xfId="5521"/>
    <cellStyle name="Normal 6 3 3 4 3 2" xfId="35260"/>
    <cellStyle name="Normal 6 3 3 4 3 3" xfId="35259"/>
    <cellStyle name="Normal 6 3 3 4 4" xfId="11831"/>
    <cellStyle name="Normal 6 3 3 4 4 2" xfId="35262"/>
    <cellStyle name="Normal 6 3 3 4 4 3" xfId="35261"/>
    <cellStyle name="Normal 6 3 3 4 5" xfId="35263"/>
    <cellStyle name="Normal 6 3 3 4 6" xfId="35256"/>
    <cellStyle name="Normal 6 3 3 5" xfId="7085"/>
    <cellStyle name="Normal 6 3 3 5 2" xfId="35265"/>
    <cellStyle name="Normal 6 3 3 5 3" xfId="35264"/>
    <cellStyle name="Normal 6 3 3 6" xfId="3958"/>
    <cellStyle name="Normal 6 3 3 6 2" xfId="35267"/>
    <cellStyle name="Normal 6 3 3 6 3" xfId="35266"/>
    <cellStyle name="Normal 6 3 3 7" xfId="9748"/>
    <cellStyle name="Normal 6 3 3 7 2" xfId="35269"/>
    <cellStyle name="Normal 6 3 3 7 3" xfId="35268"/>
    <cellStyle name="Normal 6 3 3 8" xfId="35270"/>
    <cellStyle name="Normal 6 3 3 9" xfId="35223"/>
    <cellStyle name="Normal 6 3 4" xfId="788"/>
    <cellStyle name="Normal 6 3 4 2" xfId="1475"/>
    <cellStyle name="Normal 6 3 4 2 2" xfId="3040"/>
    <cellStyle name="Normal 6 3 4 2 2 2" xfId="9325"/>
    <cellStyle name="Normal 6 3 4 2 2 2 2" xfId="35275"/>
    <cellStyle name="Normal 6 3 4 2 2 2 3" xfId="35274"/>
    <cellStyle name="Normal 6 3 4 2 2 3" xfId="6198"/>
    <cellStyle name="Normal 6 3 4 2 2 3 2" xfId="35277"/>
    <cellStyle name="Normal 6 3 4 2 2 3 3" xfId="35276"/>
    <cellStyle name="Normal 6 3 4 2 2 4" xfId="12508"/>
    <cellStyle name="Normal 6 3 4 2 2 4 2" xfId="35279"/>
    <cellStyle name="Normal 6 3 4 2 2 4 3" xfId="35278"/>
    <cellStyle name="Normal 6 3 4 2 2 5" xfId="35280"/>
    <cellStyle name="Normal 6 3 4 2 2 6" xfId="35273"/>
    <cellStyle name="Normal 6 3 4 2 3" xfId="7762"/>
    <cellStyle name="Normal 6 3 4 2 3 2" xfId="35282"/>
    <cellStyle name="Normal 6 3 4 2 3 3" xfId="35281"/>
    <cellStyle name="Normal 6 3 4 2 4" xfId="4635"/>
    <cellStyle name="Normal 6 3 4 2 4 2" xfId="35284"/>
    <cellStyle name="Normal 6 3 4 2 4 3" xfId="35283"/>
    <cellStyle name="Normal 6 3 4 2 5" xfId="10945"/>
    <cellStyle name="Normal 6 3 4 2 5 2" xfId="35286"/>
    <cellStyle name="Normal 6 3 4 2 5 3" xfId="35285"/>
    <cellStyle name="Normal 6 3 4 2 6" xfId="35287"/>
    <cellStyle name="Normal 6 3 4 2 7" xfId="35272"/>
    <cellStyle name="Normal 6 3 4 3" xfId="2360"/>
    <cellStyle name="Normal 6 3 4 3 2" xfId="8645"/>
    <cellStyle name="Normal 6 3 4 3 2 2" xfId="35290"/>
    <cellStyle name="Normal 6 3 4 3 2 3" xfId="35289"/>
    <cellStyle name="Normal 6 3 4 3 3" xfId="5518"/>
    <cellStyle name="Normal 6 3 4 3 3 2" xfId="35292"/>
    <cellStyle name="Normal 6 3 4 3 3 3" xfId="35291"/>
    <cellStyle name="Normal 6 3 4 3 4" xfId="11828"/>
    <cellStyle name="Normal 6 3 4 3 4 2" xfId="35294"/>
    <cellStyle name="Normal 6 3 4 3 4 3" xfId="35293"/>
    <cellStyle name="Normal 6 3 4 3 5" xfId="35295"/>
    <cellStyle name="Normal 6 3 4 3 6" xfId="35288"/>
    <cellStyle name="Normal 6 3 4 4" xfId="7082"/>
    <cellStyle name="Normal 6 3 4 4 2" xfId="35297"/>
    <cellStyle name="Normal 6 3 4 4 3" xfId="35296"/>
    <cellStyle name="Normal 6 3 4 5" xfId="3955"/>
    <cellStyle name="Normal 6 3 4 5 2" xfId="35299"/>
    <cellStyle name="Normal 6 3 4 5 3" xfId="35298"/>
    <cellStyle name="Normal 6 3 4 6" xfId="10302"/>
    <cellStyle name="Normal 6 3 4 6 2" xfId="35301"/>
    <cellStyle name="Normal 6 3 4 6 3" xfId="35300"/>
    <cellStyle name="Normal 6 3 4 7" xfId="35302"/>
    <cellStyle name="Normal 6 3 4 8" xfId="35271"/>
    <cellStyle name="Normal 6 3 5" xfId="1677"/>
    <cellStyle name="Normal 6 3 5 2" xfId="3242"/>
    <cellStyle name="Normal 6 3 5 2 2" xfId="9527"/>
    <cellStyle name="Normal 6 3 5 2 2 2" xfId="35306"/>
    <cellStyle name="Normal 6 3 5 2 2 3" xfId="35305"/>
    <cellStyle name="Normal 6 3 5 2 3" xfId="6400"/>
    <cellStyle name="Normal 6 3 5 2 3 2" xfId="35308"/>
    <cellStyle name="Normal 6 3 5 2 3 3" xfId="35307"/>
    <cellStyle name="Normal 6 3 5 2 4" xfId="12710"/>
    <cellStyle name="Normal 6 3 5 2 4 2" xfId="35310"/>
    <cellStyle name="Normal 6 3 5 2 4 3" xfId="35309"/>
    <cellStyle name="Normal 6 3 5 2 5" xfId="35311"/>
    <cellStyle name="Normal 6 3 5 2 6" xfId="35304"/>
    <cellStyle name="Normal 6 3 5 3" xfId="7964"/>
    <cellStyle name="Normal 6 3 5 3 2" xfId="35313"/>
    <cellStyle name="Normal 6 3 5 3 3" xfId="35312"/>
    <cellStyle name="Normal 6 3 5 4" xfId="4837"/>
    <cellStyle name="Normal 6 3 5 4 2" xfId="35315"/>
    <cellStyle name="Normal 6 3 5 4 3" xfId="35314"/>
    <cellStyle name="Normal 6 3 5 5" xfId="11147"/>
    <cellStyle name="Normal 6 3 5 5 2" xfId="35317"/>
    <cellStyle name="Normal 6 3 5 5 3" xfId="35316"/>
    <cellStyle name="Normal 6 3 5 6" xfId="35318"/>
    <cellStyle name="Normal 6 3 5 7" xfId="35303"/>
    <cellStyle name="Normal 6 3 6" xfId="10004"/>
    <cellStyle name="Normal 6 3 6 2" xfId="35319"/>
    <cellStyle name="Normal 6 3 7" xfId="9745"/>
    <cellStyle name="Normal 6 3 7 2" xfId="35321"/>
    <cellStyle name="Normal 6 3 7 3" xfId="35320"/>
    <cellStyle name="Normal 6 3 8" xfId="35126"/>
    <cellStyle name="Normal 6 4" xfId="792"/>
    <cellStyle name="Normal 6 4 10" xfId="35322"/>
    <cellStyle name="Normal 6 4 2" xfId="793"/>
    <cellStyle name="Normal 6 4 2 2" xfId="1480"/>
    <cellStyle name="Normal 6 4 2 2 2" xfId="3045"/>
    <cellStyle name="Normal 6 4 2 2 2 2" xfId="9330"/>
    <cellStyle name="Normal 6 4 2 2 2 2 2" xfId="35327"/>
    <cellStyle name="Normal 6 4 2 2 2 2 3" xfId="35326"/>
    <cellStyle name="Normal 6 4 2 2 2 3" xfId="6203"/>
    <cellStyle name="Normal 6 4 2 2 2 3 2" xfId="35329"/>
    <cellStyle name="Normal 6 4 2 2 2 3 3" xfId="35328"/>
    <cellStyle name="Normal 6 4 2 2 2 4" xfId="12513"/>
    <cellStyle name="Normal 6 4 2 2 2 4 2" xfId="35331"/>
    <cellStyle name="Normal 6 4 2 2 2 4 3" xfId="35330"/>
    <cellStyle name="Normal 6 4 2 2 2 5" xfId="35332"/>
    <cellStyle name="Normal 6 4 2 2 2 6" xfId="35325"/>
    <cellStyle name="Normal 6 4 2 2 3" xfId="7767"/>
    <cellStyle name="Normal 6 4 2 2 3 2" xfId="35334"/>
    <cellStyle name="Normal 6 4 2 2 3 3" xfId="35333"/>
    <cellStyle name="Normal 6 4 2 2 4" xfId="4640"/>
    <cellStyle name="Normal 6 4 2 2 4 2" xfId="35336"/>
    <cellStyle name="Normal 6 4 2 2 4 3" xfId="35335"/>
    <cellStyle name="Normal 6 4 2 2 5" xfId="10950"/>
    <cellStyle name="Normal 6 4 2 2 5 2" xfId="35338"/>
    <cellStyle name="Normal 6 4 2 2 5 3" xfId="35337"/>
    <cellStyle name="Normal 6 4 2 2 6" xfId="35339"/>
    <cellStyle name="Normal 6 4 2 2 7" xfId="35324"/>
    <cellStyle name="Normal 6 4 2 3" xfId="1682"/>
    <cellStyle name="Normal 6 4 2 3 2" xfId="3247"/>
    <cellStyle name="Normal 6 4 2 3 2 2" xfId="9532"/>
    <cellStyle name="Normal 6 4 2 3 2 2 2" xfId="35343"/>
    <cellStyle name="Normal 6 4 2 3 2 2 3" xfId="35342"/>
    <cellStyle name="Normal 6 4 2 3 2 3" xfId="6405"/>
    <cellStyle name="Normal 6 4 2 3 2 3 2" xfId="35345"/>
    <cellStyle name="Normal 6 4 2 3 2 3 3" xfId="35344"/>
    <cellStyle name="Normal 6 4 2 3 2 4" xfId="12715"/>
    <cellStyle name="Normal 6 4 2 3 2 4 2" xfId="35347"/>
    <cellStyle name="Normal 6 4 2 3 2 4 3" xfId="35346"/>
    <cellStyle name="Normal 6 4 2 3 2 5" xfId="35348"/>
    <cellStyle name="Normal 6 4 2 3 2 6" xfId="35341"/>
    <cellStyle name="Normal 6 4 2 3 3" xfId="7969"/>
    <cellStyle name="Normal 6 4 2 3 3 2" xfId="35350"/>
    <cellStyle name="Normal 6 4 2 3 3 3" xfId="35349"/>
    <cellStyle name="Normal 6 4 2 3 4" xfId="4842"/>
    <cellStyle name="Normal 6 4 2 3 4 2" xfId="35352"/>
    <cellStyle name="Normal 6 4 2 3 4 3" xfId="35351"/>
    <cellStyle name="Normal 6 4 2 3 5" xfId="11152"/>
    <cellStyle name="Normal 6 4 2 3 5 2" xfId="35354"/>
    <cellStyle name="Normal 6 4 2 3 5 3" xfId="35353"/>
    <cellStyle name="Normal 6 4 2 3 6" xfId="35355"/>
    <cellStyle name="Normal 6 4 2 3 7" xfId="35340"/>
    <cellStyle name="Normal 6 4 2 4" xfId="2365"/>
    <cellStyle name="Normal 6 4 2 4 2" xfId="8650"/>
    <cellStyle name="Normal 6 4 2 4 2 2" xfId="35358"/>
    <cellStyle name="Normal 6 4 2 4 2 3" xfId="35357"/>
    <cellStyle name="Normal 6 4 2 4 3" xfId="5523"/>
    <cellStyle name="Normal 6 4 2 4 3 2" xfId="35360"/>
    <cellStyle name="Normal 6 4 2 4 3 3" xfId="35359"/>
    <cellStyle name="Normal 6 4 2 4 4" xfId="11833"/>
    <cellStyle name="Normal 6 4 2 4 4 2" xfId="35362"/>
    <cellStyle name="Normal 6 4 2 4 4 3" xfId="35361"/>
    <cellStyle name="Normal 6 4 2 4 5" xfId="35363"/>
    <cellStyle name="Normal 6 4 2 4 6" xfId="35356"/>
    <cellStyle name="Normal 6 4 2 5" xfId="7087"/>
    <cellStyle name="Normal 6 4 2 5 2" xfId="35365"/>
    <cellStyle name="Normal 6 4 2 5 3" xfId="35364"/>
    <cellStyle name="Normal 6 4 2 6" xfId="3960"/>
    <cellStyle name="Normal 6 4 2 6 2" xfId="35367"/>
    <cellStyle name="Normal 6 4 2 6 3" xfId="35366"/>
    <cellStyle name="Normal 6 4 2 7" xfId="9750"/>
    <cellStyle name="Normal 6 4 2 7 2" xfId="35369"/>
    <cellStyle name="Normal 6 4 2 7 3" xfId="35368"/>
    <cellStyle name="Normal 6 4 2 8" xfId="35370"/>
    <cellStyle name="Normal 6 4 2 9" xfId="35323"/>
    <cellStyle name="Normal 6 4 3" xfId="1479"/>
    <cellStyle name="Normal 6 4 3 2" xfId="3044"/>
    <cellStyle name="Normal 6 4 3 2 2" xfId="9329"/>
    <cellStyle name="Normal 6 4 3 2 2 2" xfId="35374"/>
    <cellStyle name="Normal 6 4 3 2 2 3" xfId="35373"/>
    <cellStyle name="Normal 6 4 3 2 3" xfId="6202"/>
    <cellStyle name="Normal 6 4 3 2 3 2" xfId="35376"/>
    <cellStyle name="Normal 6 4 3 2 3 3" xfId="35375"/>
    <cellStyle name="Normal 6 4 3 2 4" xfId="12512"/>
    <cellStyle name="Normal 6 4 3 2 4 2" xfId="35378"/>
    <cellStyle name="Normal 6 4 3 2 4 3" xfId="35377"/>
    <cellStyle name="Normal 6 4 3 2 5" xfId="35379"/>
    <cellStyle name="Normal 6 4 3 2 6" xfId="35372"/>
    <cellStyle name="Normal 6 4 3 3" xfId="7766"/>
    <cellStyle name="Normal 6 4 3 3 2" xfId="35381"/>
    <cellStyle name="Normal 6 4 3 3 3" xfId="35380"/>
    <cellStyle name="Normal 6 4 3 4" xfId="4639"/>
    <cellStyle name="Normal 6 4 3 4 2" xfId="35383"/>
    <cellStyle name="Normal 6 4 3 4 3" xfId="35382"/>
    <cellStyle name="Normal 6 4 3 5" xfId="10949"/>
    <cellStyle name="Normal 6 4 3 5 2" xfId="35385"/>
    <cellStyle name="Normal 6 4 3 5 3" xfId="35384"/>
    <cellStyle name="Normal 6 4 3 6" xfId="35386"/>
    <cellStyle name="Normal 6 4 3 7" xfId="35371"/>
    <cellStyle name="Normal 6 4 4" xfId="1681"/>
    <cellStyle name="Normal 6 4 4 2" xfId="3246"/>
    <cellStyle name="Normal 6 4 4 2 2" xfId="9531"/>
    <cellStyle name="Normal 6 4 4 2 2 2" xfId="35390"/>
    <cellStyle name="Normal 6 4 4 2 2 3" xfId="35389"/>
    <cellStyle name="Normal 6 4 4 2 3" xfId="6404"/>
    <cellStyle name="Normal 6 4 4 2 3 2" xfId="35392"/>
    <cellStyle name="Normal 6 4 4 2 3 3" xfId="35391"/>
    <cellStyle name="Normal 6 4 4 2 4" xfId="12714"/>
    <cellStyle name="Normal 6 4 4 2 4 2" xfId="35394"/>
    <cellStyle name="Normal 6 4 4 2 4 3" xfId="35393"/>
    <cellStyle name="Normal 6 4 4 2 5" xfId="35395"/>
    <cellStyle name="Normal 6 4 4 2 6" xfId="35388"/>
    <cellStyle name="Normal 6 4 4 3" xfId="7968"/>
    <cellStyle name="Normal 6 4 4 3 2" xfId="35397"/>
    <cellStyle name="Normal 6 4 4 3 3" xfId="35396"/>
    <cellStyle name="Normal 6 4 4 4" xfId="4841"/>
    <cellStyle name="Normal 6 4 4 4 2" xfId="35399"/>
    <cellStyle name="Normal 6 4 4 4 3" xfId="35398"/>
    <cellStyle name="Normal 6 4 4 5" xfId="11151"/>
    <cellStyle name="Normal 6 4 4 5 2" xfId="35401"/>
    <cellStyle name="Normal 6 4 4 5 3" xfId="35400"/>
    <cellStyle name="Normal 6 4 4 6" xfId="35402"/>
    <cellStyle name="Normal 6 4 4 7" xfId="35387"/>
    <cellStyle name="Normal 6 4 5" xfId="2364"/>
    <cellStyle name="Normal 6 4 5 2" xfId="8649"/>
    <cellStyle name="Normal 6 4 5 2 2" xfId="35405"/>
    <cellStyle name="Normal 6 4 5 2 3" xfId="35404"/>
    <cellStyle name="Normal 6 4 5 3" xfId="5522"/>
    <cellStyle name="Normal 6 4 5 3 2" xfId="35407"/>
    <cellStyle name="Normal 6 4 5 3 3" xfId="35406"/>
    <cellStyle name="Normal 6 4 5 4" xfId="11832"/>
    <cellStyle name="Normal 6 4 5 4 2" xfId="35409"/>
    <cellStyle name="Normal 6 4 5 4 3" xfId="35408"/>
    <cellStyle name="Normal 6 4 5 5" xfId="35410"/>
    <cellStyle name="Normal 6 4 5 6" xfId="35403"/>
    <cellStyle name="Normal 6 4 6" xfId="7086"/>
    <cellStyle name="Normal 6 4 6 2" xfId="35412"/>
    <cellStyle name="Normal 6 4 6 3" xfId="35411"/>
    <cellStyle name="Normal 6 4 7" xfId="3959"/>
    <cellStyle name="Normal 6 4 7 2" xfId="35414"/>
    <cellStyle name="Normal 6 4 7 3" xfId="35413"/>
    <cellStyle name="Normal 6 4 8" xfId="9749"/>
    <cellStyle name="Normal 6 4 8 2" xfId="35416"/>
    <cellStyle name="Normal 6 4 8 3" xfId="35415"/>
    <cellStyle name="Normal 6 4 9" xfId="35417"/>
    <cellStyle name="Normal 6 5" xfId="794"/>
    <cellStyle name="Normal 6 5 10" xfId="35418"/>
    <cellStyle name="Normal 6 5 2" xfId="795"/>
    <cellStyle name="Normal 6 5 2 2" xfId="1482"/>
    <cellStyle name="Normal 6 5 2 2 2" xfId="3047"/>
    <cellStyle name="Normal 6 5 2 2 2 2" xfId="9332"/>
    <cellStyle name="Normal 6 5 2 2 2 2 2" xfId="35423"/>
    <cellStyle name="Normal 6 5 2 2 2 2 3" xfId="35422"/>
    <cellStyle name="Normal 6 5 2 2 2 3" xfId="6205"/>
    <cellStyle name="Normal 6 5 2 2 2 3 2" xfId="35425"/>
    <cellStyle name="Normal 6 5 2 2 2 3 3" xfId="35424"/>
    <cellStyle name="Normal 6 5 2 2 2 4" xfId="12515"/>
    <cellStyle name="Normal 6 5 2 2 2 4 2" xfId="35427"/>
    <cellStyle name="Normal 6 5 2 2 2 4 3" xfId="35426"/>
    <cellStyle name="Normal 6 5 2 2 2 5" xfId="35428"/>
    <cellStyle name="Normal 6 5 2 2 2 6" xfId="35421"/>
    <cellStyle name="Normal 6 5 2 2 3" xfId="7769"/>
    <cellStyle name="Normal 6 5 2 2 3 2" xfId="35430"/>
    <cellStyle name="Normal 6 5 2 2 3 3" xfId="35429"/>
    <cellStyle name="Normal 6 5 2 2 4" xfId="4642"/>
    <cellStyle name="Normal 6 5 2 2 4 2" xfId="35432"/>
    <cellStyle name="Normal 6 5 2 2 4 3" xfId="35431"/>
    <cellStyle name="Normal 6 5 2 2 5" xfId="10952"/>
    <cellStyle name="Normal 6 5 2 2 5 2" xfId="35434"/>
    <cellStyle name="Normal 6 5 2 2 5 3" xfId="35433"/>
    <cellStyle name="Normal 6 5 2 2 6" xfId="35435"/>
    <cellStyle name="Normal 6 5 2 2 7" xfId="35420"/>
    <cellStyle name="Normal 6 5 2 3" xfId="1684"/>
    <cellStyle name="Normal 6 5 2 3 2" xfId="3249"/>
    <cellStyle name="Normal 6 5 2 3 2 2" xfId="9534"/>
    <cellStyle name="Normal 6 5 2 3 2 2 2" xfId="35439"/>
    <cellStyle name="Normal 6 5 2 3 2 2 3" xfId="35438"/>
    <cellStyle name="Normal 6 5 2 3 2 3" xfId="6407"/>
    <cellStyle name="Normal 6 5 2 3 2 3 2" xfId="35441"/>
    <cellStyle name="Normal 6 5 2 3 2 3 3" xfId="35440"/>
    <cellStyle name="Normal 6 5 2 3 2 4" xfId="12717"/>
    <cellStyle name="Normal 6 5 2 3 2 4 2" xfId="35443"/>
    <cellStyle name="Normal 6 5 2 3 2 4 3" xfId="35442"/>
    <cellStyle name="Normal 6 5 2 3 2 5" xfId="35444"/>
    <cellStyle name="Normal 6 5 2 3 2 6" xfId="35437"/>
    <cellStyle name="Normal 6 5 2 3 3" xfId="7971"/>
    <cellStyle name="Normal 6 5 2 3 3 2" xfId="35446"/>
    <cellStyle name="Normal 6 5 2 3 3 3" xfId="35445"/>
    <cellStyle name="Normal 6 5 2 3 4" xfId="4844"/>
    <cellStyle name="Normal 6 5 2 3 4 2" xfId="35448"/>
    <cellStyle name="Normal 6 5 2 3 4 3" xfId="35447"/>
    <cellStyle name="Normal 6 5 2 3 5" xfId="11154"/>
    <cellStyle name="Normal 6 5 2 3 5 2" xfId="35450"/>
    <cellStyle name="Normal 6 5 2 3 5 3" xfId="35449"/>
    <cellStyle name="Normal 6 5 2 3 6" xfId="35451"/>
    <cellStyle name="Normal 6 5 2 3 7" xfId="35436"/>
    <cellStyle name="Normal 6 5 2 4" xfId="2367"/>
    <cellStyle name="Normal 6 5 2 4 2" xfId="8652"/>
    <cellStyle name="Normal 6 5 2 4 2 2" xfId="35454"/>
    <cellStyle name="Normal 6 5 2 4 2 3" xfId="35453"/>
    <cellStyle name="Normal 6 5 2 4 3" xfId="5525"/>
    <cellStyle name="Normal 6 5 2 4 3 2" xfId="35456"/>
    <cellStyle name="Normal 6 5 2 4 3 3" xfId="35455"/>
    <cellStyle name="Normal 6 5 2 4 4" xfId="11835"/>
    <cellStyle name="Normal 6 5 2 4 4 2" xfId="35458"/>
    <cellStyle name="Normal 6 5 2 4 4 3" xfId="35457"/>
    <cellStyle name="Normal 6 5 2 4 5" xfId="35459"/>
    <cellStyle name="Normal 6 5 2 4 6" xfId="35452"/>
    <cellStyle name="Normal 6 5 2 5" xfId="7089"/>
    <cellStyle name="Normal 6 5 2 5 2" xfId="35461"/>
    <cellStyle name="Normal 6 5 2 5 3" xfId="35460"/>
    <cellStyle name="Normal 6 5 2 6" xfId="3962"/>
    <cellStyle name="Normal 6 5 2 6 2" xfId="35463"/>
    <cellStyle name="Normal 6 5 2 6 3" xfId="35462"/>
    <cellStyle name="Normal 6 5 2 7" xfId="9752"/>
    <cellStyle name="Normal 6 5 2 7 2" xfId="35465"/>
    <cellStyle name="Normal 6 5 2 7 3" xfId="35464"/>
    <cellStyle name="Normal 6 5 2 8" xfId="35466"/>
    <cellStyle name="Normal 6 5 2 9" xfId="35419"/>
    <cellStyle name="Normal 6 5 3" xfId="1481"/>
    <cellStyle name="Normal 6 5 3 2" xfId="3046"/>
    <cellStyle name="Normal 6 5 3 2 2" xfId="9331"/>
    <cellStyle name="Normal 6 5 3 2 2 2" xfId="35470"/>
    <cellStyle name="Normal 6 5 3 2 2 3" xfId="35469"/>
    <cellStyle name="Normal 6 5 3 2 3" xfId="6204"/>
    <cellStyle name="Normal 6 5 3 2 3 2" xfId="35472"/>
    <cellStyle name="Normal 6 5 3 2 3 3" xfId="35471"/>
    <cellStyle name="Normal 6 5 3 2 4" xfId="12514"/>
    <cellStyle name="Normal 6 5 3 2 4 2" xfId="35474"/>
    <cellStyle name="Normal 6 5 3 2 4 3" xfId="35473"/>
    <cellStyle name="Normal 6 5 3 2 5" xfId="35475"/>
    <cellStyle name="Normal 6 5 3 2 6" xfId="35468"/>
    <cellStyle name="Normal 6 5 3 3" xfId="7768"/>
    <cellStyle name="Normal 6 5 3 3 2" xfId="35477"/>
    <cellStyle name="Normal 6 5 3 3 3" xfId="35476"/>
    <cellStyle name="Normal 6 5 3 4" xfId="4641"/>
    <cellStyle name="Normal 6 5 3 4 2" xfId="35479"/>
    <cellStyle name="Normal 6 5 3 4 3" xfId="35478"/>
    <cellStyle name="Normal 6 5 3 5" xfId="10951"/>
    <cellStyle name="Normal 6 5 3 5 2" xfId="35481"/>
    <cellStyle name="Normal 6 5 3 5 3" xfId="35480"/>
    <cellStyle name="Normal 6 5 3 6" xfId="35482"/>
    <cellStyle name="Normal 6 5 3 7" xfId="35467"/>
    <cellStyle name="Normal 6 5 4" xfId="1683"/>
    <cellStyle name="Normal 6 5 4 2" xfId="3248"/>
    <cellStyle name="Normal 6 5 4 2 2" xfId="9533"/>
    <cellStyle name="Normal 6 5 4 2 2 2" xfId="35486"/>
    <cellStyle name="Normal 6 5 4 2 2 3" xfId="35485"/>
    <cellStyle name="Normal 6 5 4 2 3" xfId="6406"/>
    <cellStyle name="Normal 6 5 4 2 3 2" xfId="35488"/>
    <cellStyle name="Normal 6 5 4 2 3 3" xfId="35487"/>
    <cellStyle name="Normal 6 5 4 2 4" xfId="12716"/>
    <cellStyle name="Normal 6 5 4 2 4 2" xfId="35490"/>
    <cellStyle name="Normal 6 5 4 2 4 3" xfId="35489"/>
    <cellStyle name="Normal 6 5 4 2 5" xfId="35491"/>
    <cellStyle name="Normal 6 5 4 2 6" xfId="35484"/>
    <cellStyle name="Normal 6 5 4 3" xfId="7970"/>
    <cellStyle name="Normal 6 5 4 3 2" xfId="35493"/>
    <cellStyle name="Normal 6 5 4 3 3" xfId="35492"/>
    <cellStyle name="Normal 6 5 4 4" xfId="4843"/>
    <cellStyle name="Normal 6 5 4 4 2" xfId="35495"/>
    <cellStyle name="Normal 6 5 4 4 3" xfId="35494"/>
    <cellStyle name="Normal 6 5 4 5" xfId="11153"/>
    <cellStyle name="Normal 6 5 4 5 2" xfId="35497"/>
    <cellStyle name="Normal 6 5 4 5 3" xfId="35496"/>
    <cellStyle name="Normal 6 5 4 6" xfId="35498"/>
    <cellStyle name="Normal 6 5 4 7" xfId="35483"/>
    <cellStyle name="Normal 6 5 5" xfId="2366"/>
    <cellStyle name="Normal 6 5 5 2" xfId="8651"/>
    <cellStyle name="Normal 6 5 5 2 2" xfId="35501"/>
    <cellStyle name="Normal 6 5 5 2 3" xfId="35500"/>
    <cellStyle name="Normal 6 5 5 3" xfId="5524"/>
    <cellStyle name="Normal 6 5 5 3 2" xfId="35503"/>
    <cellStyle name="Normal 6 5 5 3 3" xfId="35502"/>
    <cellStyle name="Normal 6 5 5 4" xfId="11834"/>
    <cellStyle name="Normal 6 5 5 4 2" xfId="35505"/>
    <cellStyle name="Normal 6 5 5 4 3" xfId="35504"/>
    <cellStyle name="Normal 6 5 5 5" xfId="35506"/>
    <cellStyle name="Normal 6 5 5 6" xfId="35499"/>
    <cellStyle name="Normal 6 5 6" xfId="7088"/>
    <cellStyle name="Normal 6 5 6 2" xfId="35508"/>
    <cellStyle name="Normal 6 5 6 3" xfId="35507"/>
    <cellStyle name="Normal 6 5 7" xfId="3961"/>
    <cellStyle name="Normal 6 5 7 2" xfId="35510"/>
    <cellStyle name="Normal 6 5 7 3" xfId="35509"/>
    <cellStyle name="Normal 6 5 8" xfId="9751"/>
    <cellStyle name="Normal 6 5 8 2" xfId="35512"/>
    <cellStyle name="Normal 6 5 8 3" xfId="35511"/>
    <cellStyle name="Normal 6 5 9" xfId="35513"/>
    <cellStyle name="Normal 6 6" xfId="796"/>
    <cellStyle name="Normal 6 6 2" xfId="1483"/>
    <cellStyle name="Normal 6 6 2 2" xfId="3048"/>
    <cellStyle name="Normal 6 6 2 2 2" xfId="9333"/>
    <cellStyle name="Normal 6 6 2 2 2 2" xfId="35518"/>
    <cellStyle name="Normal 6 6 2 2 2 3" xfId="35517"/>
    <cellStyle name="Normal 6 6 2 2 3" xfId="6206"/>
    <cellStyle name="Normal 6 6 2 2 3 2" xfId="35520"/>
    <cellStyle name="Normal 6 6 2 2 3 3" xfId="35519"/>
    <cellStyle name="Normal 6 6 2 2 4" xfId="12516"/>
    <cellStyle name="Normal 6 6 2 2 4 2" xfId="35522"/>
    <cellStyle name="Normal 6 6 2 2 4 3" xfId="35521"/>
    <cellStyle name="Normal 6 6 2 2 5" xfId="35523"/>
    <cellStyle name="Normal 6 6 2 2 6" xfId="35516"/>
    <cellStyle name="Normal 6 6 2 3" xfId="7770"/>
    <cellStyle name="Normal 6 6 2 3 2" xfId="35525"/>
    <cellStyle name="Normal 6 6 2 3 3" xfId="35524"/>
    <cellStyle name="Normal 6 6 2 4" xfId="4643"/>
    <cellStyle name="Normal 6 6 2 4 2" xfId="35527"/>
    <cellStyle name="Normal 6 6 2 4 3" xfId="35526"/>
    <cellStyle name="Normal 6 6 2 5" xfId="10953"/>
    <cellStyle name="Normal 6 6 2 5 2" xfId="35529"/>
    <cellStyle name="Normal 6 6 2 5 3" xfId="35528"/>
    <cellStyle name="Normal 6 6 2 6" xfId="35530"/>
    <cellStyle name="Normal 6 6 2 7" xfId="35515"/>
    <cellStyle name="Normal 6 6 3" xfId="1685"/>
    <cellStyle name="Normal 6 6 3 2" xfId="3250"/>
    <cellStyle name="Normal 6 6 3 2 2" xfId="9535"/>
    <cellStyle name="Normal 6 6 3 2 2 2" xfId="35534"/>
    <cellStyle name="Normal 6 6 3 2 2 3" xfId="35533"/>
    <cellStyle name="Normal 6 6 3 2 3" xfId="6408"/>
    <cellStyle name="Normal 6 6 3 2 3 2" xfId="35536"/>
    <cellStyle name="Normal 6 6 3 2 3 3" xfId="35535"/>
    <cellStyle name="Normal 6 6 3 2 4" xfId="12718"/>
    <cellStyle name="Normal 6 6 3 2 4 2" xfId="35538"/>
    <cellStyle name="Normal 6 6 3 2 4 3" xfId="35537"/>
    <cellStyle name="Normal 6 6 3 2 5" xfId="35539"/>
    <cellStyle name="Normal 6 6 3 2 6" xfId="35532"/>
    <cellStyle name="Normal 6 6 3 3" xfId="7972"/>
    <cellStyle name="Normal 6 6 3 3 2" xfId="35541"/>
    <cellStyle name="Normal 6 6 3 3 3" xfId="35540"/>
    <cellStyle name="Normal 6 6 3 4" xfId="4845"/>
    <cellStyle name="Normal 6 6 3 4 2" xfId="35543"/>
    <cellStyle name="Normal 6 6 3 4 3" xfId="35542"/>
    <cellStyle name="Normal 6 6 3 5" xfId="11155"/>
    <cellStyle name="Normal 6 6 3 5 2" xfId="35545"/>
    <cellStyle name="Normal 6 6 3 5 3" xfId="35544"/>
    <cellStyle name="Normal 6 6 3 6" xfId="35546"/>
    <cellStyle name="Normal 6 6 3 7" xfId="35531"/>
    <cellStyle name="Normal 6 6 4" xfId="2368"/>
    <cellStyle name="Normal 6 6 4 2" xfId="8653"/>
    <cellStyle name="Normal 6 6 4 2 2" xfId="35549"/>
    <cellStyle name="Normal 6 6 4 2 3" xfId="35548"/>
    <cellStyle name="Normal 6 6 4 3" xfId="5526"/>
    <cellStyle name="Normal 6 6 4 3 2" xfId="35551"/>
    <cellStyle name="Normal 6 6 4 3 3" xfId="35550"/>
    <cellStyle name="Normal 6 6 4 4" xfId="11836"/>
    <cellStyle name="Normal 6 6 4 4 2" xfId="35553"/>
    <cellStyle name="Normal 6 6 4 4 3" xfId="35552"/>
    <cellStyle name="Normal 6 6 4 5" xfId="35554"/>
    <cellStyle name="Normal 6 6 4 6" xfId="35547"/>
    <cellStyle name="Normal 6 6 5" xfId="7090"/>
    <cellStyle name="Normal 6 6 5 2" xfId="35556"/>
    <cellStyle name="Normal 6 6 5 3" xfId="35555"/>
    <cellStyle name="Normal 6 6 6" xfId="3963"/>
    <cellStyle name="Normal 6 6 6 2" xfId="35558"/>
    <cellStyle name="Normal 6 6 6 3" xfId="35557"/>
    <cellStyle name="Normal 6 6 7" xfId="9753"/>
    <cellStyle name="Normal 6 6 7 2" xfId="35560"/>
    <cellStyle name="Normal 6 6 7 3" xfId="35559"/>
    <cellStyle name="Normal 6 6 8" xfId="35561"/>
    <cellStyle name="Normal 6 6 9" xfId="35514"/>
    <cellStyle name="Normal 6 7" xfId="783"/>
    <cellStyle name="Normal 6 7 2" xfId="1470"/>
    <cellStyle name="Normal 6 7 2 2" xfId="3035"/>
    <cellStyle name="Normal 6 7 2 2 2" xfId="9320"/>
    <cellStyle name="Normal 6 7 2 2 2 2" xfId="35566"/>
    <cellStyle name="Normal 6 7 2 2 2 3" xfId="35565"/>
    <cellStyle name="Normal 6 7 2 2 3" xfId="6193"/>
    <cellStyle name="Normal 6 7 2 2 3 2" xfId="35568"/>
    <cellStyle name="Normal 6 7 2 2 3 3" xfId="35567"/>
    <cellStyle name="Normal 6 7 2 2 4" xfId="12503"/>
    <cellStyle name="Normal 6 7 2 2 4 2" xfId="35570"/>
    <cellStyle name="Normal 6 7 2 2 4 3" xfId="35569"/>
    <cellStyle name="Normal 6 7 2 2 5" xfId="35571"/>
    <cellStyle name="Normal 6 7 2 2 6" xfId="35564"/>
    <cellStyle name="Normal 6 7 2 3" xfId="7757"/>
    <cellStyle name="Normal 6 7 2 3 2" xfId="35573"/>
    <cellStyle name="Normal 6 7 2 3 3" xfId="35572"/>
    <cellStyle name="Normal 6 7 2 4" xfId="4630"/>
    <cellStyle name="Normal 6 7 2 4 2" xfId="35575"/>
    <cellStyle name="Normal 6 7 2 4 3" xfId="35574"/>
    <cellStyle name="Normal 6 7 2 5" xfId="10940"/>
    <cellStyle name="Normal 6 7 2 5 2" xfId="35577"/>
    <cellStyle name="Normal 6 7 2 5 3" xfId="35576"/>
    <cellStyle name="Normal 6 7 2 6" xfId="35578"/>
    <cellStyle name="Normal 6 7 2 7" xfId="35563"/>
    <cellStyle name="Normal 6 7 3" xfId="1672"/>
    <cellStyle name="Normal 6 7 3 2" xfId="3237"/>
    <cellStyle name="Normal 6 7 3 2 2" xfId="9522"/>
    <cellStyle name="Normal 6 7 3 2 2 2" xfId="35582"/>
    <cellStyle name="Normal 6 7 3 2 2 3" xfId="35581"/>
    <cellStyle name="Normal 6 7 3 2 3" xfId="6395"/>
    <cellStyle name="Normal 6 7 3 2 3 2" xfId="35584"/>
    <cellStyle name="Normal 6 7 3 2 3 3" xfId="35583"/>
    <cellStyle name="Normal 6 7 3 2 4" xfId="12705"/>
    <cellStyle name="Normal 6 7 3 2 4 2" xfId="35586"/>
    <cellStyle name="Normal 6 7 3 2 4 3" xfId="35585"/>
    <cellStyle name="Normal 6 7 3 2 5" xfId="35587"/>
    <cellStyle name="Normal 6 7 3 2 6" xfId="35580"/>
    <cellStyle name="Normal 6 7 3 3" xfId="7959"/>
    <cellStyle name="Normal 6 7 3 3 2" xfId="35589"/>
    <cellStyle name="Normal 6 7 3 3 3" xfId="35588"/>
    <cellStyle name="Normal 6 7 3 4" xfId="4832"/>
    <cellStyle name="Normal 6 7 3 4 2" xfId="35591"/>
    <cellStyle name="Normal 6 7 3 4 3" xfId="35590"/>
    <cellStyle name="Normal 6 7 3 5" xfId="11142"/>
    <cellStyle name="Normal 6 7 3 5 2" xfId="35593"/>
    <cellStyle name="Normal 6 7 3 5 3" xfId="35592"/>
    <cellStyle name="Normal 6 7 3 6" xfId="35594"/>
    <cellStyle name="Normal 6 7 3 7" xfId="35579"/>
    <cellStyle name="Normal 6 7 4" xfId="2355"/>
    <cellStyle name="Normal 6 7 4 2" xfId="8640"/>
    <cellStyle name="Normal 6 7 4 2 2" xfId="35597"/>
    <cellStyle name="Normal 6 7 4 2 3" xfId="35596"/>
    <cellStyle name="Normal 6 7 4 3" xfId="5513"/>
    <cellStyle name="Normal 6 7 4 3 2" xfId="35599"/>
    <cellStyle name="Normal 6 7 4 3 3" xfId="35598"/>
    <cellStyle name="Normal 6 7 4 4" xfId="11823"/>
    <cellStyle name="Normal 6 7 4 4 2" xfId="35601"/>
    <cellStyle name="Normal 6 7 4 4 3" xfId="35600"/>
    <cellStyle name="Normal 6 7 4 5" xfId="35602"/>
    <cellStyle name="Normal 6 7 4 6" xfId="35595"/>
    <cellStyle name="Normal 6 7 5" xfId="7077"/>
    <cellStyle name="Normal 6 7 5 2" xfId="35604"/>
    <cellStyle name="Normal 6 7 5 3" xfId="35603"/>
    <cellStyle name="Normal 6 7 6" xfId="3950"/>
    <cellStyle name="Normal 6 7 6 2" xfId="35606"/>
    <cellStyle name="Normal 6 7 6 3" xfId="35605"/>
    <cellStyle name="Normal 6 7 7" xfId="9740"/>
    <cellStyle name="Normal 6 7 7 2" xfId="35608"/>
    <cellStyle name="Normal 6 7 7 3" xfId="35607"/>
    <cellStyle name="Normal 6 7 8" xfId="35609"/>
    <cellStyle name="Normal 6 7 9" xfId="35562"/>
    <cellStyle name="Normal 6 8" xfId="210"/>
    <cellStyle name="Normal 6 8 2" xfId="35610"/>
    <cellStyle name="Normal 7" xfId="212"/>
    <cellStyle name="Normal 7 2" xfId="213"/>
    <cellStyle name="Normal 7 2 2" xfId="35611"/>
    <cellStyle name="Normal 7 3" xfId="797"/>
    <cellStyle name="Normal 8" xfId="214"/>
    <cellStyle name="Normal 8 2" xfId="215"/>
    <cellStyle name="Normal 8 2 2" xfId="799"/>
    <cellStyle name="Normal 8 2 2 2" xfId="1485"/>
    <cellStyle name="Normal 8 2 2 2 2" xfId="3050"/>
    <cellStyle name="Normal 8 2 2 2 2 2" xfId="9335"/>
    <cellStyle name="Normal 8 2 2 2 2 2 2" xfId="35617"/>
    <cellStyle name="Normal 8 2 2 2 2 2 3" xfId="35616"/>
    <cellStyle name="Normal 8 2 2 2 2 3" xfId="6208"/>
    <cellStyle name="Normal 8 2 2 2 2 3 2" xfId="35619"/>
    <cellStyle name="Normal 8 2 2 2 2 3 3" xfId="35618"/>
    <cellStyle name="Normal 8 2 2 2 2 4" xfId="12518"/>
    <cellStyle name="Normal 8 2 2 2 2 4 2" xfId="35621"/>
    <cellStyle name="Normal 8 2 2 2 2 4 3" xfId="35620"/>
    <cellStyle name="Normal 8 2 2 2 2 5" xfId="35622"/>
    <cellStyle name="Normal 8 2 2 2 2 6" xfId="35615"/>
    <cellStyle name="Normal 8 2 2 2 3" xfId="7772"/>
    <cellStyle name="Normal 8 2 2 2 3 2" xfId="35624"/>
    <cellStyle name="Normal 8 2 2 2 3 3" xfId="35623"/>
    <cellStyle name="Normal 8 2 2 2 4" xfId="4645"/>
    <cellStyle name="Normal 8 2 2 2 4 2" xfId="35626"/>
    <cellStyle name="Normal 8 2 2 2 4 3" xfId="35625"/>
    <cellStyle name="Normal 8 2 2 2 5" xfId="10955"/>
    <cellStyle name="Normal 8 2 2 2 5 2" xfId="35628"/>
    <cellStyle name="Normal 8 2 2 2 5 3" xfId="35627"/>
    <cellStyle name="Normal 8 2 2 2 6" xfId="35629"/>
    <cellStyle name="Normal 8 2 2 2 7" xfId="35614"/>
    <cellStyle name="Normal 8 2 2 3" xfId="2370"/>
    <cellStyle name="Normal 8 2 2 3 2" xfId="8655"/>
    <cellStyle name="Normal 8 2 2 3 2 2" xfId="35632"/>
    <cellStyle name="Normal 8 2 2 3 2 3" xfId="35631"/>
    <cellStyle name="Normal 8 2 2 3 3" xfId="5528"/>
    <cellStyle name="Normal 8 2 2 3 3 2" xfId="35634"/>
    <cellStyle name="Normal 8 2 2 3 3 3" xfId="35633"/>
    <cellStyle name="Normal 8 2 2 3 4" xfId="11838"/>
    <cellStyle name="Normal 8 2 2 3 4 2" xfId="35636"/>
    <cellStyle name="Normal 8 2 2 3 4 3" xfId="35635"/>
    <cellStyle name="Normal 8 2 2 3 5" xfId="35637"/>
    <cellStyle name="Normal 8 2 2 3 6" xfId="35630"/>
    <cellStyle name="Normal 8 2 2 4" xfId="7092"/>
    <cellStyle name="Normal 8 2 2 4 2" xfId="35639"/>
    <cellStyle name="Normal 8 2 2 4 3" xfId="35638"/>
    <cellStyle name="Normal 8 2 2 5" xfId="3965"/>
    <cellStyle name="Normal 8 2 2 5 2" xfId="35641"/>
    <cellStyle name="Normal 8 2 2 5 3" xfId="35640"/>
    <cellStyle name="Normal 8 2 2 6" xfId="10304"/>
    <cellStyle name="Normal 8 2 2 6 2" xfId="35643"/>
    <cellStyle name="Normal 8 2 2 6 3" xfId="35642"/>
    <cellStyle name="Normal 8 2 2 7" xfId="35644"/>
    <cellStyle name="Normal 8 2 2 8" xfId="35613"/>
    <cellStyle name="Normal 8 2 3" xfId="1687"/>
    <cellStyle name="Normal 8 2 3 2" xfId="3252"/>
    <cellStyle name="Normal 8 2 3 2 2" xfId="9537"/>
    <cellStyle name="Normal 8 2 3 2 2 2" xfId="35648"/>
    <cellStyle name="Normal 8 2 3 2 2 3" xfId="35647"/>
    <cellStyle name="Normal 8 2 3 2 3" xfId="6410"/>
    <cellStyle name="Normal 8 2 3 2 3 2" xfId="35650"/>
    <cellStyle name="Normal 8 2 3 2 3 3" xfId="35649"/>
    <cellStyle name="Normal 8 2 3 2 4" xfId="12720"/>
    <cellStyle name="Normal 8 2 3 2 4 2" xfId="35652"/>
    <cellStyle name="Normal 8 2 3 2 4 3" xfId="35651"/>
    <cellStyle name="Normal 8 2 3 2 5" xfId="35653"/>
    <cellStyle name="Normal 8 2 3 2 6" xfId="35646"/>
    <cellStyle name="Normal 8 2 3 3" xfId="7974"/>
    <cellStyle name="Normal 8 2 3 3 2" xfId="35655"/>
    <cellStyle name="Normal 8 2 3 3 3" xfId="35654"/>
    <cellStyle name="Normal 8 2 3 4" xfId="4847"/>
    <cellStyle name="Normal 8 2 3 4 2" xfId="35657"/>
    <cellStyle name="Normal 8 2 3 4 3" xfId="35656"/>
    <cellStyle name="Normal 8 2 3 5" xfId="11157"/>
    <cellStyle name="Normal 8 2 3 5 2" xfId="35659"/>
    <cellStyle name="Normal 8 2 3 5 3" xfId="35658"/>
    <cellStyle name="Normal 8 2 3 6" xfId="35660"/>
    <cellStyle name="Normal 8 2 3 7" xfId="35645"/>
    <cellStyle name="Normal 8 2 4" xfId="9905"/>
    <cellStyle name="Normal 8 2 4 2" xfId="35661"/>
    <cellStyle name="Normal 8 2 5" xfId="9755"/>
    <cellStyle name="Normal 8 2 5 2" xfId="35663"/>
    <cellStyle name="Normal 8 2 5 3" xfId="35662"/>
    <cellStyle name="Normal 8 2 6" xfId="35612"/>
    <cellStyle name="Normal 8 3" xfId="611"/>
    <cellStyle name="Normal 8 3 2" xfId="798"/>
    <cellStyle name="Normal 8 3 2 2" xfId="1484"/>
    <cellStyle name="Normal 8 3 2 2 2" xfId="3049"/>
    <cellStyle name="Normal 8 3 2 2 2 2" xfId="9334"/>
    <cellStyle name="Normal 8 3 2 2 2 2 2" xfId="35668"/>
    <cellStyle name="Normal 8 3 2 2 2 2 3" xfId="35667"/>
    <cellStyle name="Normal 8 3 2 2 2 3" xfId="6207"/>
    <cellStyle name="Normal 8 3 2 2 2 3 2" xfId="35670"/>
    <cellStyle name="Normal 8 3 2 2 2 3 3" xfId="35669"/>
    <cellStyle name="Normal 8 3 2 2 2 4" xfId="12517"/>
    <cellStyle name="Normal 8 3 2 2 2 4 2" xfId="35672"/>
    <cellStyle name="Normal 8 3 2 2 2 4 3" xfId="35671"/>
    <cellStyle name="Normal 8 3 2 2 2 5" xfId="35673"/>
    <cellStyle name="Normal 8 3 2 2 2 6" xfId="35666"/>
    <cellStyle name="Normal 8 3 2 2 3" xfId="7771"/>
    <cellStyle name="Normal 8 3 2 2 3 2" xfId="35675"/>
    <cellStyle name="Normal 8 3 2 2 3 3" xfId="35674"/>
    <cellStyle name="Normal 8 3 2 2 4" xfId="4644"/>
    <cellStyle name="Normal 8 3 2 2 4 2" xfId="35677"/>
    <cellStyle name="Normal 8 3 2 2 4 3" xfId="35676"/>
    <cellStyle name="Normal 8 3 2 2 5" xfId="10954"/>
    <cellStyle name="Normal 8 3 2 2 5 2" xfId="35679"/>
    <cellStyle name="Normal 8 3 2 2 5 3" xfId="35678"/>
    <cellStyle name="Normal 8 3 2 2 6" xfId="35680"/>
    <cellStyle name="Normal 8 3 2 2 7" xfId="35665"/>
    <cellStyle name="Normal 8 3 2 3" xfId="2369"/>
    <cellStyle name="Normal 8 3 2 3 2" xfId="8654"/>
    <cellStyle name="Normal 8 3 2 3 2 2" xfId="35683"/>
    <cellStyle name="Normal 8 3 2 3 2 3" xfId="35682"/>
    <cellStyle name="Normal 8 3 2 3 3" xfId="5527"/>
    <cellStyle name="Normal 8 3 2 3 3 2" xfId="35685"/>
    <cellStyle name="Normal 8 3 2 3 3 3" xfId="35684"/>
    <cellStyle name="Normal 8 3 2 3 4" xfId="11837"/>
    <cellStyle name="Normal 8 3 2 3 4 2" xfId="35687"/>
    <cellStyle name="Normal 8 3 2 3 4 3" xfId="35686"/>
    <cellStyle name="Normal 8 3 2 3 5" xfId="35688"/>
    <cellStyle name="Normal 8 3 2 3 6" xfId="35681"/>
    <cellStyle name="Normal 8 3 2 4" xfId="7091"/>
    <cellStyle name="Normal 8 3 2 4 2" xfId="35690"/>
    <cellStyle name="Normal 8 3 2 4 3" xfId="35689"/>
    <cellStyle name="Normal 8 3 2 5" xfId="3964"/>
    <cellStyle name="Normal 8 3 2 5 2" xfId="35692"/>
    <cellStyle name="Normal 8 3 2 5 3" xfId="35691"/>
    <cellStyle name="Normal 8 3 2 6" xfId="10303"/>
    <cellStyle name="Normal 8 3 2 6 2" xfId="35694"/>
    <cellStyle name="Normal 8 3 2 6 3" xfId="35693"/>
    <cellStyle name="Normal 8 3 2 7" xfId="35695"/>
    <cellStyle name="Normal 8 3 2 8" xfId="35664"/>
    <cellStyle name="Normal 8 3 3" xfId="1686"/>
    <cellStyle name="Normal 8 3 3 2" xfId="3251"/>
    <cellStyle name="Normal 8 3 3 2 2" xfId="9536"/>
    <cellStyle name="Normal 8 3 3 2 2 2" xfId="35699"/>
    <cellStyle name="Normal 8 3 3 2 2 3" xfId="35698"/>
    <cellStyle name="Normal 8 3 3 2 3" xfId="6409"/>
    <cellStyle name="Normal 8 3 3 2 3 2" xfId="35701"/>
    <cellStyle name="Normal 8 3 3 2 3 3" xfId="35700"/>
    <cellStyle name="Normal 8 3 3 2 4" xfId="12719"/>
    <cellStyle name="Normal 8 3 3 2 4 2" xfId="35703"/>
    <cellStyle name="Normal 8 3 3 2 4 3" xfId="35702"/>
    <cellStyle name="Normal 8 3 3 2 5" xfId="35704"/>
    <cellStyle name="Normal 8 3 3 2 6" xfId="35697"/>
    <cellStyle name="Normal 8 3 3 3" xfId="7973"/>
    <cellStyle name="Normal 8 3 3 3 2" xfId="35706"/>
    <cellStyle name="Normal 8 3 3 3 3" xfId="35705"/>
    <cellStyle name="Normal 8 3 3 4" xfId="4846"/>
    <cellStyle name="Normal 8 3 3 4 2" xfId="35708"/>
    <cellStyle name="Normal 8 3 3 4 3" xfId="35707"/>
    <cellStyle name="Normal 8 3 3 5" xfId="11156"/>
    <cellStyle name="Normal 8 3 3 5 2" xfId="35710"/>
    <cellStyle name="Normal 8 3 3 5 3" xfId="35709"/>
    <cellStyle name="Normal 8 3 3 6" xfId="35711"/>
    <cellStyle name="Normal 8 3 3 7" xfId="35696"/>
    <cellStyle name="Normal 8 3 4" xfId="10229"/>
    <cellStyle name="Normal 8 3 5" xfId="9754"/>
    <cellStyle name="Normal 8 3 5 2" xfId="35713"/>
    <cellStyle name="Normal 8 3 5 3" xfId="35712"/>
    <cellStyle name="Normal 8 4" xfId="9906"/>
    <cellStyle name="Normal 8 4 2" xfId="35714"/>
    <cellStyle name="Normal 9" xfId="216"/>
    <cellStyle name="Normal 9 2" xfId="612"/>
    <cellStyle name="Normal 9 2 2" xfId="800"/>
    <cellStyle name="Normal 9 2 3" xfId="10230"/>
    <cellStyle name="Normal 9 2 3 2" xfId="35715"/>
    <cellStyle name="Normal 9 3" xfId="9857"/>
    <cellStyle name="Normal 9 3 2" xfId="35716"/>
    <cellStyle name="Normal 9 4" xfId="38176"/>
    <cellStyle name="Normal_2004 - 2005 revenues" xfId="4"/>
    <cellStyle name="Normal_2005 - 2006 revenues" xfId="5"/>
    <cellStyle name="Normal_DR420s Updated July 2004" xfId="10"/>
    <cellStyle name="Note 10" xfId="471"/>
    <cellStyle name="Note 10 2" xfId="1178"/>
    <cellStyle name="Note 10 2 2" xfId="2743"/>
    <cellStyle name="Note 10 2 2 2" xfId="9028"/>
    <cellStyle name="Note 10 2 2 2 2" xfId="35721"/>
    <cellStyle name="Note 10 2 2 2 3" xfId="35720"/>
    <cellStyle name="Note 10 2 2 3" xfId="5901"/>
    <cellStyle name="Note 10 2 2 3 2" xfId="35723"/>
    <cellStyle name="Note 10 2 2 3 3" xfId="35722"/>
    <cellStyle name="Note 10 2 2 4" xfId="12211"/>
    <cellStyle name="Note 10 2 2 4 2" xfId="35725"/>
    <cellStyle name="Note 10 2 2 4 3" xfId="35724"/>
    <cellStyle name="Note 10 2 2 5" xfId="35726"/>
    <cellStyle name="Note 10 2 2 6" xfId="35719"/>
    <cellStyle name="Note 10 2 3" xfId="7465"/>
    <cellStyle name="Note 10 2 3 2" xfId="35728"/>
    <cellStyle name="Note 10 2 3 3" xfId="35727"/>
    <cellStyle name="Note 10 2 4" xfId="4338"/>
    <cellStyle name="Note 10 2 4 2" xfId="35730"/>
    <cellStyle name="Note 10 2 4 3" xfId="35729"/>
    <cellStyle name="Note 10 2 5" xfId="10648"/>
    <cellStyle name="Note 10 2 5 2" xfId="35732"/>
    <cellStyle name="Note 10 2 5 3" xfId="35731"/>
    <cellStyle name="Note 10 2 6" xfId="35733"/>
    <cellStyle name="Note 10 2 7" xfId="35718"/>
    <cellStyle name="Note 10 3" xfId="2063"/>
    <cellStyle name="Note 10 3 2" xfId="8348"/>
    <cellStyle name="Note 10 3 2 2" xfId="35736"/>
    <cellStyle name="Note 10 3 2 3" xfId="35735"/>
    <cellStyle name="Note 10 3 3" xfId="5221"/>
    <cellStyle name="Note 10 3 3 2" xfId="35738"/>
    <cellStyle name="Note 10 3 3 3" xfId="35737"/>
    <cellStyle name="Note 10 3 4" xfId="11531"/>
    <cellStyle name="Note 10 3 4 2" xfId="35740"/>
    <cellStyle name="Note 10 3 4 3" xfId="35739"/>
    <cellStyle name="Note 10 3 5" xfId="35741"/>
    <cellStyle name="Note 10 3 6" xfId="35734"/>
    <cellStyle name="Note 10 4" xfId="6785"/>
    <cellStyle name="Note 10 4 2" xfId="35743"/>
    <cellStyle name="Note 10 4 3" xfId="35742"/>
    <cellStyle name="Note 10 5" xfId="3658"/>
    <cellStyle name="Note 10 5 2" xfId="35745"/>
    <cellStyle name="Note 10 5 3" xfId="35744"/>
    <cellStyle name="Note 10 6" xfId="10090"/>
    <cellStyle name="Note 10 6 2" xfId="35747"/>
    <cellStyle name="Note 10 6 3" xfId="35746"/>
    <cellStyle name="Note 10 7" xfId="35748"/>
    <cellStyle name="Note 10 8" xfId="35717"/>
    <cellStyle name="Note 11" xfId="486"/>
    <cellStyle name="Note 11 2" xfId="1193"/>
    <cellStyle name="Note 11 2 2" xfId="2758"/>
    <cellStyle name="Note 11 2 2 2" xfId="9043"/>
    <cellStyle name="Note 11 2 2 2 2" xfId="35753"/>
    <cellStyle name="Note 11 2 2 2 3" xfId="35752"/>
    <cellStyle name="Note 11 2 2 3" xfId="5916"/>
    <cellStyle name="Note 11 2 2 3 2" xfId="35755"/>
    <cellStyle name="Note 11 2 2 3 3" xfId="35754"/>
    <cellStyle name="Note 11 2 2 4" xfId="12226"/>
    <cellStyle name="Note 11 2 2 4 2" xfId="35757"/>
    <cellStyle name="Note 11 2 2 4 3" xfId="35756"/>
    <cellStyle name="Note 11 2 2 5" xfId="35758"/>
    <cellStyle name="Note 11 2 2 6" xfId="35751"/>
    <cellStyle name="Note 11 2 3" xfId="7480"/>
    <cellStyle name="Note 11 2 3 2" xfId="35760"/>
    <cellStyle name="Note 11 2 3 3" xfId="35759"/>
    <cellStyle name="Note 11 2 4" xfId="4353"/>
    <cellStyle name="Note 11 2 4 2" xfId="35762"/>
    <cellStyle name="Note 11 2 4 3" xfId="35761"/>
    <cellStyle name="Note 11 2 5" xfId="10663"/>
    <cellStyle name="Note 11 2 5 2" xfId="35764"/>
    <cellStyle name="Note 11 2 5 3" xfId="35763"/>
    <cellStyle name="Note 11 2 6" xfId="35765"/>
    <cellStyle name="Note 11 2 7" xfId="35750"/>
    <cellStyle name="Note 11 3" xfId="2078"/>
    <cellStyle name="Note 11 3 2" xfId="8363"/>
    <cellStyle name="Note 11 3 2 2" xfId="35768"/>
    <cellStyle name="Note 11 3 2 3" xfId="35767"/>
    <cellStyle name="Note 11 3 3" xfId="5236"/>
    <cellStyle name="Note 11 3 3 2" xfId="35770"/>
    <cellStyle name="Note 11 3 3 3" xfId="35769"/>
    <cellStyle name="Note 11 3 4" xfId="11546"/>
    <cellStyle name="Note 11 3 4 2" xfId="35772"/>
    <cellStyle name="Note 11 3 4 3" xfId="35771"/>
    <cellStyle name="Note 11 3 5" xfId="35773"/>
    <cellStyle name="Note 11 3 6" xfId="35766"/>
    <cellStyle name="Note 11 4" xfId="6800"/>
    <cellStyle name="Note 11 4 2" xfId="35775"/>
    <cellStyle name="Note 11 4 3" xfId="35774"/>
    <cellStyle name="Note 11 5" xfId="3673"/>
    <cellStyle name="Note 11 5 2" xfId="35777"/>
    <cellStyle name="Note 11 5 3" xfId="35776"/>
    <cellStyle name="Note 11 6" xfId="10105"/>
    <cellStyle name="Note 11 6 2" xfId="35779"/>
    <cellStyle name="Note 11 6 3" xfId="35778"/>
    <cellStyle name="Note 11 7" xfId="35780"/>
    <cellStyle name="Note 11 8" xfId="35749"/>
    <cellStyle name="Note 12" xfId="499"/>
    <cellStyle name="Note 12 2" xfId="1206"/>
    <cellStyle name="Note 12 2 2" xfId="2771"/>
    <cellStyle name="Note 12 2 2 2" xfId="9056"/>
    <cellStyle name="Note 12 2 2 2 2" xfId="35785"/>
    <cellStyle name="Note 12 2 2 2 3" xfId="35784"/>
    <cellStyle name="Note 12 2 2 3" xfId="5929"/>
    <cellStyle name="Note 12 2 2 3 2" xfId="35787"/>
    <cellStyle name="Note 12 2 2 3 3" xfId="35786"/>
    <cellStyle name="Note 12 2 2 4" xfId="12239"/>
    <cellStyle name="Note 12 2 2 4 2" xfId="35789"/>
    <cellStyle name="Note 12 2 2 4 3" xfId="35788"/>
    <cellStyle name="Note 12 2 2 5" xfId="35790"/>
    <cellStyle name="Note 12 2 2 6" xfId="35783"/>
    <cellStyle name="Note 12 2 3" xfId="7493"/>
    <cellStyle name="Note 12 2 3 2" xfId="35792"/>
    <cellStyle name="Note 12 2 3 3" xfId="35791"/>
    <cellStyle name="Note 12 2 4" xfId="4366"/>
    <cellStyle name="Note 12 2 4 2" xfId="35794"/>
    <cellStyle name="Note 12 2 4 3" xfId="35793"/>
    <cellStyle name="Note 12 2 5" xfId="10676"/>
    <cellStyle name="Note 12 2 5 2" xfId="35796"/>
    <cellStyle name="Note 12 2 5 3" xfId="35795"/>
    <cellStyle name="Note 12 2 6" xfId="35797"/>
    <cellStyle name="Note 12 2 7" xfId="35782"/>
    <cellStyle name="Note 12 3" xfId="2091"/>
    <cellStyle name="Note 12 3 2" xfId="8376"/>
    <cellStyle name="Note 12 3 2 2" xfId="35800"/>
    <cellStyle name="Note 12 3 2 3" xfId="35799"/>
    <cellStyle name="Note 12 3 3" xfId="5249"/>
    <cellStyle name="Note 12 3 3 2" xfId="35802"/>
    <cellStyle name="Note 12 3 3 3" xfId="35801"/>
    <cellStyle name="Note 12 3 4" xfId="11559"/>
    <cellStyle name="Note 12 3 4 2" xfId="35804"/>
    <cellStyle name="Note 12 3 4 3" xfId="35803"/>
    <cellStyle name="Note 12 3 5" xfId="35805"/>
    <cellStyle name="Note 12 3 6" xfId="35798"/>
    <cellStyle name="Note 12 4" xfId="6813"/>
    <cellStyle name="Note 12 4 2" xfId="35807"/>
    <cellStyle name="Note 12 4 3" xfId="35806"/>
    <cellStyle name="Note 12 5" xfId="3686"/>
    <cellStyle name="Note 12 5 2" xfId="35809"/>
    <cellStyle name="Note 12 5 3" xfId="35808"/>
    <cellStyle name="Note 12 6" xfId="10118"/>
    <cellStyle name="Note 12 6 2" xfId="35811"/>
    <cellStyle name="Note 12 6 3" xfId="35810"/>
    <cellStyle name="Note 12 7" xfId="35812"/>
    <cellStyle name="Note 12 8" xfId="35781"/>
    <cellStyle name="Note 13" xfId="513"/>
    <cellStyle name="Note 13 2" xfId="1220"/>
    <cellStyle name="Note 13 2 2" xfId="2785"/>
    <cellStyle name="Note 13 2 2 2" xfId="9070"/>
    <cellStyle name="Note 13 2 2 2 2" xfId="35817"/>
    <cellStyle name="Note 13 2 2 2 3" xfId="35816"/>
    <cellStyle name="Note 13 2 2 3" xfId="5943"/>
    <cellStyle name="Note 13 2 2 3 2" xfId="35819"/>
    <cellStyle name="Note 13 2 2 3 3" xfId="35818"/>
    <cellStyle name="Note 13 2 2 4" xfId="12253"/>
    <cellStyle name="Note 13 2 2 4 2" xfId="35821"/>
    <cellStyle name="Note 13 2 2 4 3" xfId="35820"/>
    <cellStyle name="Note 13 2 2 5" xfId="35822"/>
    <cellStyle name="Note 13 2 2 6" xfId="35815"/>
    <cellStyle name="Note 13 2 3" xfId="7507"/>
    <cellStyle name="Note 13 2 3 2" xfId="35824"/>
    <cellStyle name="Note 13 2 3 3" xfId="35823"/>
    <cellStyle name="Note 13 2 4" xfId="4380"/>
    <cellStyle name="Note 13 2 4 2" xfId="35826"/>
    <cellStyle name="Note 13 2 4 3" xfId="35825"/>
    <cellStyle name="Note 13 2 5" xfId="10690"/>
    <cellStyle name="Note 13 2 5 2" xfId="35828"/>
    <cellStyle name="Note 13 2 5 3" xfId="35827"/>
    <cellStyle name="Note 13 2 6" xfId="35829"/>
    <cellStyle name="Note 13 2 7" xfId="35814"/>
    <cellStyle name="Note 13 3" xfId="2105"/>
    <cellStyle name="Note 13 3 2" xfId="8390"/>
    <cellStyle name="Note 13 3 2 2" xfId="35832"/>
    <cellStyle name="Note 13 3 2 3" xfId="35831"/>
    <cellStyle name="Note 13 3 3" xfId="5263"/>
    <cellStyle name="Note 13 3 3 2" xfId="35834"/>
    <cellStyle name="Note 13 3 3 3" xfId="35833"/>
    <cellStyle name="Note 13 3 4" xfId="11573"/>
    <cellStyle name="Note 13 3 4 2" xfId="35836"/>
    <cellStyle name="Note 13 3 4 3" xfId="35835"/>
    <cellStyle name="Note 13 3 5" xfId="35837"/>
    <cellStyle name="Note 13 3 6" xfId="35830"/>
    <cellStyle name="Note 13 4" xfId="6827"/>
    <cellStyle name="Note 13 4 2" xfId="35839"/>
    <cellStyle name="Note 13 4 3" xfId="35838"/>
    <cellStyle name="Note 13 5" xfId="3700"/>
    <cellStyle name="Note 13 5 2" xfId="35841"/>
    <cellStyle name="Note 13 5 3" xfId="35840"/>
    <cellStyle name="Note 13 6" xfId="10132"/>
    <cellStyle name="Note 13 6 2" xfId="35843"/>
    <cellStyle name="Note 13 6 3" xfId="35842"/>
    <cellStyle name="Note 13 7" xfId="35844"/>
    <cellStyle name="Note 13 8" xfId="35813"/>
    <cellStyle name="Note 14" xfId="527"/>
    <cellStyle name="Note 14 2" xfId="1234"/>
    <cellStyle name="Note 14 2 2" xfId="2799"/>
    <cellStyle name="Note 14 2 2 2" xfId="9084"/>
    <cellStyle name="Note 14 2 2 2 2" xfId="35849"/>
    <cellStyle name="Note 14 2 2 2 3" xfId="35848"/>
    <cellStyle name="Note 14 2 2 3" xfId="5957"/>
    <cellStyle name="Note 14 2 2 3 2" xfId="35851"/>
    <cellStyle name="Note 14 2 2 3 3" xfId="35850"/>
    <cellStyle name="Note 14 2 2 4" xfId="12267"/>
    <cellStyle name="Note 14 2 2 4 2" xfId="35853"/>
    <cellStyle name="Note 14 2 2 4 3" xfId="35852"/>
    <cellStyle name="Note 14 2 2 5" xfId="35854"/>
    <cellStyle name="Note 14 2 2 6" xfId="35847"/>
    <cellStyle name="Note 14 2 3" xfId="7521"/>
    <cellStyle name="Note 14 2 3 2" xfId="35856"/>
    <cellStyle name="Note 14 2 3 3" xfId="35855"/>
    <cellStyle name="Note 14 2 4" xfId="4394"/>
    <cellStyle name="Note 14 2 4 2" xfId="35858"/>
    <cellStyle name="Note 14 2 4 3" xfId="35857"/>
    <cellStyle name="Note 14 2 5" xfId="10704"/>
    <cellStyle name="Note 14 2 5 2" xfId="35860"/>
    <cellStyle name="Note 14 2 5 3" xfId="35859"/>
    <cellStyle name="Note 14 2 6" xfId="35861"/>
    <cellStyle name="Note 14 2 7" xfId="35846"/>
    <cellStyle name="Note 14 3" xfId="2119"/>
    <cellStyle name="Note 14 3 2" xfId="8404"/>
    <cellStyle name="Note 14 3 2 2" xfId="35864"/>
    <cellStyle name="Note 14 3 2 3" xfId="35863"/>
    <cellStyle name="Note 14 3 3" xfId="5277"/>
    <cellStyle name="Note 14 3 3 2" xfId="35866"/>
    <cellStyle name="Note 14 3 3 3" xfId="35865"/>
    <cellStyle name="Note 14 3 4" xfId="11587"/>
    <cellStyle name="Note 14 3 4 2" xfId="35868"/>
    <cellStyle name="Note 14 3 4 3" xfId="35867"/>
    <cellStyle name="Note 14 3 5" xfId="35869"/>
    <cellStyle name="Note 14 3 6" xfId="35862"/>
    <cellStyle name="Note 14 4" xfId="6841"/>
    <cellStyle name="Note 14 4 2" xfId="35871"/>
    <cellStyle name="Note 14 4 3" xfId="35870"/>
    <cellStyle name="Note 14 5" xfId="3714"/>
    <cellStyle name="Note 14 5 2" xfId="35873"/>
    <cellStyle name="Note 14 5 3" xfId="35872"/>
    <cellStyle name="Note 14 6" xfId="10146"/>
    <cellStyle name="Note 14 6 2" xfId="35875"/>
    <cellStyle name="Note 14 6 3" xfId="35874"/>
    <cellStyle name="Note 14 7" xfId="35876"/>
    <cellStyle name="Note 14 8" xfId="35845"/>
    <cellStyle name="Note 15" xfId="541"/>
    <cellStyle name="Note 15 2" xfId="1248"/>
    <cellStyle name="Note 15 2 2" xfId="2813"/>
    <cellStyle name="Note 15 2 2 2" xfId="9098"/>
    <cellStyle name="Note 15 2 2 2 2" xfId="35881"/>
    <cellStyle name="Note 15 2 2 2 3" xfId="35880"/>
    <cellStyle name="Note 15 2 2 3" xfId="5971"/>
    <cellStyle name="Note 15 2 2 3 2" xfId="35883"/>
    <cellStyle name="Note 15 2 2 3 3" xfId="35882"/>
    <cellStyle name="Note 15 2 2 4" xfId="12281"/>
    <cellStyle name="Note 15 2 2 4 2" xfId="35885"/>
    <cellStyle name="Note 15 2 2 4 3" xfId="35884"/>
    <cellStyle name="Note 15 2 2 5" xfId="35886"/>
    <cellStyle name="Note 15 2 2 6" xfId="35879"/>
    <cellStyle name="Note 15 2 3" xfId="7535"/>
    <cellStyle name="Note 15 2 3 2" xfId="35888"/>
    <cellStyle name="Note 15 2 3 3" xfId="35887"/>
    <cellStyle name="Note 15 2 4" xfId="4408"/>
    <cellStyle name="Note 15 2 4 2" xfId="35890"/>
    <cellStyle name="Note 15 2 4 3" xfId="35889"/>
    <cellStyle name="Note 15 2 5" xfId="10718"/>
    <cellStyle name="Note 15 2 5 2" xfId="35892"/>
    <cellStyle name="Note 15 2 5 3" xfId="35891"/>
    <cellStyle name="Note 15 2 6" xfId="35893"/>
    <cellStyle name="Note 15 2 7" xfId="35878"/>
    <cellStyle name="Note 15 3" xfId="2133"/>
    <cellStyle name="Note 15 3 2" xfId="8418"/>
    <cellStyle name="Note 15 3 2 2" xfId="35896"/>
    <cellStyle name="Note 15 3 2 3" xfId="35895"/>
    <cellStyle name="Note 15 3 3" xfId="5291"/>
    <cellStyle name="Note 15 3 3 2" xfId="35898"/>
    <cellStyle name="Note 15 3 3 3" xfId="35897"/>
    <cellStyle name="Note 15 3 4" xfId="11601"/>
    <cellStyle name="Note 15 3 4 2" xfId="35900"/>
    <cellStyle name="Note 15 3 4 3" xfId="35899"/>
    <cellStyle name="Note 15 3 5" xfId="35901"/>
    <cellStyle name="Note 15 3 6" xfId="35894"/>
    <cellStyle name="Note 15 4" xfId="6855"/>
    <cellStyle name="Note 15 4 2" xfId="35903"/>
    <cellStyle name="Note 15 4 3" xfId="35902"/>
    <cellStyle name="Note 15 5" xfId="3728"/>
    <cellStyle name="Note 15 5 2" xfId="35905"/>
    <cellStyle name="Note 15 5 3" xfId="35904"/>
    <cellStyle name="Note 15 6" xfId="10160"/>
    <cellStyle name="Note 15 6 2" xfId="35907"/>
    <cellStyle name="Note 15 6 3" xfId="35906"/>
    <cellStyle name="Note 15 7" xfId="35908"/>
    <cellStyle name="Note 15 8" xfId="35877"/>
    <cellStyle name="Note 16" xfId="594"/>
    <cellStyle name="Note 16 2" xfId="1301"/>
    <cellStyle name="Note 16 2 2" xfId="2866"/>
    <cellStyle name="Note 16 2 2 2" xfId="9151"/>
    <cellStyle name="Note 16 2 2 2 2" xfId="35913"/>
    <cellStyle name="Note 16 2 2 2 3" xfId="35912"/>
    <cellStyle name="Note 16 2 2 3" xfId="6024"/>
    <cellStyle name="Note 16 2 2 3 2" xfId="35915"/>
    <cellStyle name="Note 16 2 2 3 3" xfId="35914"/>
    <cellStyle name="Note 16 2 2 4" xfId="12334"/>
    <cellStyle name="Note 16 2 2 4 2" xfId="35917"/>
    <cellStyle name="Note 16 2 2 4 3" xfId="35916"/>
    <cellStyle name="Note 16 2 2 5" xfId="35918"/>
    <cellStyle name="Note 16 2 2 6" xfId="35911"/>
    <cellStyle name="Note 16 2 3" xfId="7588"/>
    <cellStyle name="Note 16 2 3 2" xfId="35920"/>
    <cellStyle name="Note 16 2 3 3" xfId="35919"/>
    <cellStyle name="Note 16 2 4" xfId="4461"/>
    <cellStyle name="Note 16 2 4 2" xfId="35922"/>
    <cellStyle name="Note 16 2 4 3" xfId="35921"/>
    <cellStyle name="Note 16 2 5" xfId="10771"/>
    <cellStyle name="Note 16 2 5 2" xfId="35924"/>
    <cellStyle name="Note 16 2 5 3" xfId="35923"/>
    <cellStyle name="Note 16 2 6" xfId="35925"/>
    <cellStyle name="Note 16 2 7" xfId="35910"/>
    <cellStyle name="Note 16 3" xfId="2186"/>
    <cellStyle name="Note 16 3 2" xfId="8471"/>
    <cellStyle name="Note 16 3 2 2" xfId="35928"/>
    <cellStyle name="Note 16 3 2 3" xfId="35927"/>
    <cellStyle name="Note 16 3 3" xfId="5344"/>
    <cellStyle name="Note 16 3 3 2" xfId="35930"/>
    <cellStyle name="Note 16 3 3 3" xfId="35929"/>
    <cellStyle name="Note 16 3 4" xfId="11654"/>
    <cellStyle name="Note 16 3 4 2" xfId="35932"/>
    <cellStyle name="Note 16 3 4 3" xfId="35931"/>
    <cellStyle name="Note 16 3 5" xfId="35933"/>
    <cellStyle name="Note 16 3 6" xfId="35926"/>
    <cellStyle name="Note 16 4" xfId="6908"/>
    <cellStyle name="Note 16 4 2" xfId="35935"/>
    <cellStyle name="Note 16 4 3" xfId="35934"/>
    <cellStyle name="Note 16 5" xfId="3781"/>
    <cellStyle name="Note 16 5 2" xfId="35937"/>
    <cellStyle name="Note 16 5 3" xfId="35936"/>
    <cellStyle name="Note 16 6" xfId="10213"/>
    <cellStyle name="Note 16 6 2" xfId="35939"/>
    <cellStyle name="Note 16 6 3" xfId="35938"/>
    <cellStyle name="Note 16 7" xfId="35940"/>
    <cellStyle name="Note 16 8" xfId="35909"/>
    <cellStyle name="Note 17" xfId="653"/>
    <cellStyle name="Note 17 2" xfId="1358"/>
    <cellStyle name="Note 17 2 2" xfId="2923"/>
    <cellStyle name="Note 17 2 2 2" xfId="9208"/>
    <cellStyle name="Note 17 2 2 2 2" xfId="35945"/>
    <cellStyle name="Note 17 2 2 2 3" xfId="35944"/>
    <cellStyle name="Note 17 2 2 3" xfId="6081"/>
    <cellStyle name="Note 17 2 2 3 2" xfId="35947"/>
    <cellStyle name="Note 17 2 2 3 3" xfId="35946"/>
    <cellStyle name="Note 17 2 2 4" xfId="12391"/>
    <cellStyle name="Note 17 2 2 4 2" xfId="35949"/>
    <cellStyle name="Note 17 2 2 4 3" xfId="35948"/>
    <cellStyle name="Note 17 2 2 5" xfId="35950"/>
    <cellStyle name="Note 17 2 2 6" xfId="35943"/>
    <cellStyle name="Note 17 2 3" xfId="7645"/>
    <cellStyle name="Note 17 2 3 2" xfId="35952"/>
    <cellStyle name="Note 17 2 3 3" xfId="35951"/>
    <cellStyle name="Note 17 2 4" xfId="4518"/>
    <cellStyle name="Note 17 2 4 2" xfId="35954"/>
    <cellStyle name="Note 17 2 4 3" xfId="35953"/>
    <cellStyle name="Note 17 2 5" xfId="10828"/>
    <cellStyle name="Note 17 2 5 2" xfId="35956"/>
    <cellStyle name="Note 17 2 5 3" xfId="35955"/>
    <cellStyle name="Note 17 2 6" xfId="35957"/>
    <cellStyle name="Note 17 2 7" xfId="35942"/>
    <cellStyle name="Note 17 3" xfId="2243"/>
    <cellStyle name="Note 17 3 2" xfId="8528"/>
    <cellStyle name="Note 17 3 2 2" xfId="35960"/>
    <cellStyle name="Note 17 3 2 3" xfId="35959"/>
    <cellStyle name="Note 17 3 3" xfId="5401"/>
    <cellStyle name="Note 17 3 3 2" xfId="35962"/>
    <cellStyle name="Note 17 3 3 3" xfId="35961"/>
    <cellStyle name="Note 17 3 4" xfId="11711"/>
    <cellStyle name="Note 17 3 4 2" xfId="35964"/>
    <cellStyle name="Note 17 3 4 3" xfId="35963"/>
    <cellStyle name="Note 17 3 5" xfId="35965"/>
    <cellStyle name="Note 17 3 6" xfId="35958"/>
    <cellStyle name="Note 17 4" xfId="6965"/>
    <cellStyle name="Note 17 4 2" xfId="35967"/>
    <cellStyle name="Note 17 4 3" xfId="35966"/>
    <cellStyle name="Note 17 5" xfId="3838"/>
    <cellStyle name="Note 17 5 2" xfId="35969"/>
    <cellStyle name="Note 17 5 3" xfId="35968"/>
    <cellStyle name="Note 17 6" xfId="10271"/>
    <cellStyle name="Note 17 6 2" xfId="35971"/>
    <cellStyle name="Note 17 6 3" xfId="35970"/>
    <cellStyle name="Note 17 7" xfId="35972"/>
    <cellStyle name="Note 17 8" xfId="35941"/>
    <cellStyle name="Note 18" xfId="840"/>
    <cellStyle name="Note 18 2" xfId="2406"/>
    <cellStyle name="Note 18 2 2" xfId="8691"/>
    <cellStyle name="Note 18 2 2 2" xfId="35976"/>
    <cellStyle name="Note 18 2 2 3" xfId="35975"/>
    <cellStyle name="Note 18 2 3" xfId="5564"/>
    <cellStyle name="Note 18 2 3 2" xfId="35978"/>
    <cellStyle name="Note 18 2 3 3" xfId="35977"/>
    <cellStyle name="Note 18 2 4" xfId="11874"/>
    <cellStyle name="Note 18 2 4 2" xfId="35980"/>
    <cellStyle name="Note 18 2 4 3" xfId="35979"/>
    <cellStyle name="Note 18 2 5" xfId="35981"/>
    <cellStyle name="Note 18 2 6" xfId="35974"/>
    <cellStyle name="Note 18 3" xfId="7128"/>
    <cellStyle name="Note 18 3 2" xfId="35983"/>
    <cellStyle name="Note 18 3 3" xfId="35982"/>
    <cellStyle name="Note 18 4" xfId="4001"/>
    <cellStyle name="Note 18 4 2" xfId="35985"/>
    <cellStyle name="Note 18 4 3" xfId="35984"/>
    <cellStyle name="Note 18 5" xfId="10311"/>
    <cellStyle name="Note 18 5 2" xfId="35987"/>
    <cellStyle name="Note 18 5 3" xfId="35986"/>
    <cellStyle name="Note 18 6" xfId="35988"/>
    <cellStyle name="Note 18 7" xfId="35973"/>
    <cellStyle name="Note 19" xfId="1560"/>
    <cellStyle name="Note 19 2" xfId="3125"/>
    <cellStyle name="Note 19 2 2" xfId="9410"/>
    <cellStyle name="Note 19 2 2 2" xfId="35992"/>
    <cellStyle name="Note 19 2 2 3" xfId="35991"/>
    <cellStyle name="Note 19 2 3" xfId="6283"/>
    <cellStyle name="Note 19 2 3 2" xfId="35994"/>
    <cellStyle name="Note 19 2 3 3" xfId="35993"/>
    <cellStyle name="Note 19 2 4" xfId="12593"/>
    <cellStyle name="Note 19 2 4 2" xfId="35996"/>
    <cellStyle name="Note 19 2 4 3" xfId="35995"/>
    <cellStyle name="Note 19 2 5" xfId="35997"/>
    <cellStyle name="Note 19 2 6" xfId="35990"/>
    <cellStyle name="Note 19 3" xfId="7847"/>
    <cellStyle name="Note 19 3 2" xfId="35999"/>
    <cellStyle name="Note 19 3 3" xfId="35998"/>
    <cellStyle name="Note 19 4" xfId="4720"/>
    <cellStyle name="Note 19 4 2" xfId="36001"/>
    <cellStyle name="Note 19 4 3" xfId="36000"/>
    <cellStyle name="Note 19 5" xfId="11030"/>
    <cellStyle name="Note 19 5 2" xfId="36003"/>
    <cellStyle name="Note 19 5 3" xfId="36002"/>
    <cellStyle name="Note 19 6" xfId="36004"/>
    <cellStyle name="Note 19 7" xfId="35989"/>
    <cellStyle name="Note 2" xfId="52"/>
    <cellStyle name="Note 2 10" xfId="116"/>
    <cellStyle name="Note 2 10 2" xfId="6461"/>
    <cellStyle name="Note 2 10 2 2" xfId="36008"/>
    <cellStyle name="Note 2 10 2 3" xfId="36007"/>
    <cellStyle name="Note 2 10 3" xfId="36009"/>
    <cellStyle name="Note 2 10 4" xfId="36006"/>
    <cellStyle name="Note 2 11" xfId="3305"/>
    <cellStyle name="Note 2 11 2" xfId="36011"/>
    <cellStyle name="Note 2 11 3" xfId="36010"/>
    <cellStyle name="Note 2 12" xfId="3334"/>
    <cellStyle name="Note 2 12 2" xfId="36013"/>
    <cellStyle name="Note 2 12 3" xfId="36012"/>
    <cellStyle name="Note 2 13" xfId="36014"/>
    <cellStyle name="Note 2 14" xfId="36005"/>
    <cellStyle name="Note 2 15" xfId="38168"/>
    <cellStyle name="Note 2 2" xfId="85"/>
    <cellStyle name="Note 2 2 2" xfId="803"/>
    <cellStyle name="Note 2 2 2 10" xfId="36016"/>
    <cellStyle name="Note 2 2 2 2" xfId="804"/>
    <cellStyle name="Note 2 2 2 2 2" xfId="1489"/>
    <cellStyle name="Note 2 2 2 2 2 2" xfId="3054"/>
    <cellStyle name="Note 2 2 2 2 2 2 2" xfId="9339"/>
    <cellStyle name="Note 2 2 2 2 2 2 2 2" xfId="36021"/>
    <cellStyle name="Note 2 2 2 2 2 2 2 3" xfId="36020"/>
    <cellStyle name="Note 2 2 2 2 2 2 3" xfId="6212"/>
    <cellStyle name="Note 2 2 2 2 2 2 3 2" xfId="36023"/>
    <cellStyle name="Note 2 2 2 2 2 2 3 3" xfId="36022"/>
    <cellStyle name="Note 2 2 2 2 2 2 4" xfId="12522"/>
    <cellStyle name="Note 2 2 2 2 2 2 4 2" xfId="36025"/>
    <cellStyle name="Note 2 2 2 2 2 2 4 3" xfId="36024"/>
    <cellStyle name="Note 2 2 2 2 2 2 5" xfId="36026"/>
    <cellStyle name="Note 2 2 2 2 2 2 6" xfId="36019"/>
    <cellStyle name="Note 2 2 2 2 2 3" xfId="7776"/>
    <cellStyle name="Note 2 2 2 2 2 3 2" xfId="36028"/>
    <cellStyle name="Note 2 2 2 2 2 3 3" xfId="36027"/>
    <cellStyle name="Note 2 2 2 2 2 4" xfId="4649"/>
    <cellStyle name="Note 2 2 2 2 2 4 2" xfId="36030"/>
    <cellStyle name="Note 2 2 2 2 2 4 3" xfId="36029"/>
    <cellStyle name="Note 2 2 2 2 2 5" xfId="10959"/>
    <cellStyle name="Note 2 2 2 2 2 5 2" xfId="36032"/>
    <cellStyle name="Note 2 2 2 2 2 5 3" xfId="36031"/>
    <cellStyle name="Note 2 2 2 2 2 6" xfId="36033"/>
    <cellStyle name="Note 2 2 2 2 2 7" xfId="36018"/>
    <cellStyle name="Note 2 2 2 2 3" xfId="1691"/>
    <cellStyle name="Note 2 2 2 2 3 2" xfId="3256"/>
    <cellStyle name="Note 2 2 2 2 3 2 2" xfId="9541"/>
    <cellStyle name="Note 2 2 2 2 3 2 2 2" xfId="36037"/>
    <cellStyle name="Note 2 2 2 2 3 2 2 3" xfId="36036"/>
    <cellStyle name="Note 2 2 2 2 3 2 3" xfId="6414"/>
    <cellStyle name="Note 2 2 2 2 3 2 3 2" xfId="36039"/>
    <cellStyle name="Note 2 2 2 2 3 2 3 3" xfId="36038"/>
    <cellStyle name="Note 2 2 2 2 3 2 4" xfId="12724"/>
    <cellStyle name="Note 2 2 2 2 3 2 4 2" xfId="36041"/>
    <cellStyle name="Note 2 2 2 2 3 2 4 3" xfId="36040"/>
    <cellStyle name="Note 2 2 2 2 3 2 5" xfId="36042"/>
    <cellStyle name="Note 2 2 2 2 3 2 6" xfId="36035"/>
    <cellStyle name="Note 2 2 2 2 3 3" xfId="7978"/>
    <cellStyle name="Note 2 2 2 2 3 3 2" xfId="36044"/>
    <cellStyle name="Note 2 2 2 2 3 3 3" xfId="36043"/>
    <cellStyle name="Note 2 2 2 2 3 4" xfId="4851"/>
    <cellStyle name="Note 2 2 2 2 3 4 2" xfId="36046"/>
    <cellStyle name="Note 2 2 2 2 3 4 3" xfId="36045"/>
    <cellStyle name="Note 2 2 2 2 3 5" xfId="11161"/>
    <cellStyle name="Note 2 2 2 2 3 5 2" xfId="36048"/>
    <cellStyle name="Note 2 2 2 2 3 5 3" xfId="36047"/>
    <cellStyle name="Note 2 2 2 2 3 6" xfId="36049"/>
    <cellStyle name="Note 2 2 2 2 3 7" xfId="36034"/>
    <cellStyle name="Note 2 2 2 2 4" xfId="2374"/>
    <cellStyle name="Note 2 2 2 2 4 2" xfId="8659"/>
    <cellStyle name="Note 2 2 2 2 4 2 2" xfId="36052"/>
    <cellStyle name="Note 2 2 2 2 4 2 3" xfId="36051"/>
    <cellStyle name="Note 2 2 2 2 4 3" xfId="5532"/>
    <cellStyle name="Note 2 2 2 2 4 3 2" xfId="36054"/>
    <cellStyle name="Note 2 2 2 2 4 3 3" xfId="36053"/>
    <cellStyle name="Note 2 2 2 2 4 4" xfId="11842"/>
    <cellStyle name="Note 2 2 2 2 4 4 2" xfId="36056"/>
    <cellStyle name="Note 2 2 2 2 4 4 3" xfId="36055"/>
    <cellStyle name="Note 2 2 2 2 4 5" xfId="36057"/>
    <cellStyle name="Note 2 2 2 2 4 6" xfId="36050"/>
    <cellStyle name="Note 2 2 2 2 5" xfId="7096"/>
    <cellStyle name="Note 2 2 2 2 5 2" xfId="36059"/>
    <cellStyle name="Note 2 2 2 2 5 3" xfId="36058"/>
    <cellStyle name="Note 2 2 2 2 6" xfId="3969"/>
    <cellStyle name="Note 2 2 2 2 6 2" xfId="36061"/>
    <cellStyle name="Note 2 2 2 2 6 3" xfId="36060"/>
    <cellStyle name="Note 2 2 2 2 7" xfId="9759"/>
    <cellStyle name="Note 2 2 2 2 7 2" xfId="36063"/>
    <cellStyle name="Note 2 2 2 2 7 3" xfId="36062"/>
    <cellStyle name="Note 2 2 2 2 8" xfId="36064"/>
    <cellStyle name="Note 2 2 2 2 9" xfId="36017"/>
    <cellStyle name="Note 2 2 2 3" xfId="1488"/>
    <cellStyle name="Note 2 2 2 3 2" xfId="3053"/>
    <cellStyle name="Note 2 2 2 3 2 2" xfId="9338"/>
    <cellStyle name="Note 2 2 2 3 2 2 2" xfId="36068"/>
    <cellStyle name="Note 2 2 2 3 2 2 3" xfId="36067"/>
    <cellStyle name="Note 2 2 2 3 2 3" xfId="6211"/>
    <cellStyle name="Note 2 2 2 3 2 3 2" xfId="36070"/>
    <cellStyle name="Note 2 2 2 3 2 3 3" xfId="36069"/>
    <cellStyle name="Note 2 2 2 3 2 4" xfId="12521"/>
    <cellStyle name="Note 2 2 2 3 2 4 2" xfId="36072"/>
    <cellStyle name="Note 2 2 2 3 2 4 3" xfId="36071"/>
    <cellStyle name="Note 2 2 2 3 2 5" xfId="36073"/>
    <cellStyle name="Note 2 2 2 3 2 6" xfId="36066"/>
    <cellStyle name="Note 2 2 2 3 3" xfId="7775"/>
    <cellStyle name="Note 2 2 2 3 3 2" xfId="36075"/>
    <cellStyle name="Note 2 2 2 3 3 3" xfId="36074"/>
    <cellStyle name="Note 2 2 2 3 4" xfId="4648"/>
    <cellStyle name="Note 2 2 2 3 4 2" xfId="36077"/>
    <cellStyle name="Note 2 2 2 3 4 3" xfId="36076"/>
    <cellStyle name="Note 2 2 2 3 5" xfId="10958"/>
    <cellStyle name="Note 2 2 2 3 5 2" xfId="36079"/>
    <cellStyle name="Note 2 2 2 3 5 3" xfId="36078"/>
    <cellStyle name="Note 2 2 2 3 6" xfId="36080"/>
    <cellStyle name="Note 2 2 2 3 7" xfId="36065"/>
    <cellStyle name="Note 2 2 2 4" xfId="1690"/>
    <cellStyle name="Note 2 2 2 4 2" xfId="3255"/>
    <cellStyle name="Note 2 2 2 4 2 2" xfId="9540"/>
    <cellStyle name="Note 2 2 2 4 2 2 2" xfId="36084"/>
    <cellStyle name="Note 2 2 2 4 2 2 3" xfId="36083"/>
    <cellStyle name="Note 2 2 2 4 2 3" xfId="6413"/>
    <cellStyle name="Note 2 2 2 4 2 3 2" xfId="36086"/>
    <cellStyle name="Note 2 2 2 4 2 3 3" xfId="36085"/>
    <cellStyle name="Note 2 2 2 4 2 4" xfId="12723"/>
    <cellStyle name="Note 2 2 2 4 2 4 2" xfId="36088"/>
    <cellStyle name="Note 2 2 2 4 2 4 3" xfId="36087"/>
    <cellStyle name="Note 2 2 2 4 2 5" xfId="36089"/>
    <cellStyle name="Note 2 2 2 4 2 6" xfId="36082"/>
    <cellStyle name="Note 2 2 2 4 3" xfId="7977"/>
    <cellStyle name="Note 2 2 2 4 3 2" xfId="36091"/>
    <cellStyle name="Note 2 2 2 4 3 3" xfId="36090"/>
    <cellStyle name="Note 2 2 2 4 4" xfId="4850"/>
    <cellStyle name="Note 2 2 2 4 4 2" xfId="36093"/>
    <cellStyle name="Note 2 2 2 4 4 3" xfId="36092"/>
    <cellStyle name="Note 2 2 2 4 5" xfId="11160"/>
    <cellStyle name="Note 2 2 2 4 5 2" xfId="36095"/>
    <cellStyle name="Note 2 2 2 4 5 3" xfId="36094"/>
    <cellStyle name="Note 2 2 2 4 6" xfId="36096"/>
    <cellStyle name="Note 2 2 2 4 7" xfId="36081"/>
    <cellStyle name="Note 2 2 2 5" xfId="2373"/>
    <cellStyle name="Note 2 2 2 5 2" xfId="8658"/>
    <cellStyle name="Note 2 2 2 5 2 2" xfId="36099"/>
    <cellStyle name="Note 2 2 2 5 2 3" xfId="36098"/>
    <cellStyle name="Note 2 2 2 5 3" xfId="5531"/>
    <cellStyle name="Note 2 2 2 5 3 2" xfId="36101"/>
    <cellStyle name="Note 2 2 2 5 3 3" xfId="36100"/>
    <cellStyle name="Note 2 2 2 5 4" xfId="11841"/>
    <cellStyle name="Note 2 2 2 5 4 2" xfId="36103"/>
    <cellStyle name="Note 2 2 2 5 4 3" xfId="36102"/>
    <cellStyle name="Note 2 2 2 5 5" xfId="36104"/>
    <cellStyle name="Note 2 2 2 5 6" xfId="36097"/>
    <cellStyle name="Note 2 2 2 6" xfId="7095"/>
    <cellStyle name="Note 2 2 2 6 2" xfId="36106"/>
    <cellStyle name="Note 2 2 2 6 3" xfId="36105"/>
    <cellStyle name="Note 2 2 2 7" xfId="3968"/>
    <cellStyle name="Note 2 2 2 7 2" xfId="36108"/>
    <cellStyle name="Note 2 2 2 7 3" xfId="36107"/>
    <cellStyle name="Note 2 2 2 8" xfId="9758"/>
    <cellStyle name="Note 2 2 2 8 2" xfId="36110"/>
    <cellStyle name="Note 2 2 2 8 3" xfId="36109"/>
    <cellStyle name="Note 2 2 2 9" xfId="36111"/>
    <cellStyle name="Note 2 2 3" xfId="805"/>
    <cellStyle name="Note 2 2 3 2" xfId="1490"/>
    <cellStyle name="Note 2 2 3 2 2" xfId="3055"/>
    <cellStyle name="Note 2 2 3 2 2 2" xfId="9340"/>
    <cellStyle name="Note 2 2 3 2 2 2 2" xfId="36116"/>
    <cellStyle name="Note 2 2 3 2 2 2 3" xfId="36115"/>
    <cellStyle name="Note 2 2 3 2 2 3" xfId="6213"/>
    <cellStyle name="Note 2 2 3 2 2 3 2" xfId="36118"/>
    <cellStyle name="Note 2 2 3 2 2 3 3" xfId="36117"/>
    <cellStyle name="Note 2 2 3 2 2 4" xfId="12523"/>
    <cellStyle name="Note 2 2 3 2 2 4 2" xfId="36120"/>
    <cellStyle name="Note 2 2 3 2 2 4 3" xfId="36119"/>
    <cellStyle name="Note 2 2 3 2 2 5" xfId="36121"/>
    <cellStyle name="Note 2 2 3 2 2 6" xfId="36114"/>
    <cellStyle name="Note 2 2 3 2 3" xfId="7777"/>
    <cellStyle name="Note 2 2 3 2 3 2" xfId="36123"/>
    <cellStyle name="Note 2 2 3 2 3 3" xfId="36122"/>
    <cellStyle name="Note 2 2 3 2 4" xfId="4650"/>
    <cellStyle name="Note 2 2 3 2 4 2" xfId="36125"/>
    <cellStyle name="Note 2 2 3 2 4 3" xfId="36124"/>
    <cellStyle name="Note 2 2 3 2 5" xfId="10960"/>
    <cellStyle name="Note 2 2 3 2 5 2" xfId="36127"/>
    <cellStyle name="Note 2 2 3 2 5 3" xfId="36126"/>
    <cellStyle name="Note 2 2 3 2 6" xfId="36128"/>
    <cellStyle name="Note 2 2 3 2 7" xfId="36113"/>
    <cellStyle name="Note 2 2 3 3" xfId="1692"/>
    <cellStyle name="Note 2 2 3 3 2" xfId="3257"/>
    <cellStyle name="Note 2 2 3 3 2 2" xfId="9542"/>
    <cellStyle name="Note 2 2 3 3 2 2 2" xfId="36132"/>
    <cellStyle name="Note 2 2 3 3 2 2 3" xfId="36131"/>
    <cellStyle name="Note 2 2 3 3 2 3" xfId="6415"/>
    <cellStyle name="Note 2 2 3 3 2 3 2" xfId="36134"/>
    <cellStyle name="Note 2 2 3 3 2 3 3" xfId="36133"/>
    <cellStyle name="Note 2 2 3 3 2 4" xfId="12725"/>
    <cellStyle name="Note 2 2 3 3 2 4 2" xfId="36136"/>
    <cellStyle name="Note 2 2 3 3 2 4 3" xfId="36135"/>
    <cellStyle name="Note 2 2 3 3 2 5" xfId="36137"/>
    <cellStyle name="Note 2 2 3 3 2 6" xfId="36130"/>
    <cellStyle name="Note 2 2 3 3 3" xfId="7979"/>
    <cellStyle name="Note 2 2 3 3 3 2" xfId="36139"/>
    <cellStyle name="Note 2 2 3 3 3 3" xfId="36138"/>
    <cellStyle name="Note 2 2 3 3 4" xfId="4852"/>
    <cellStyle name="Note 2 2 3 3 4 2" xfId="36141"/>
    <cellStyle name="Note 2 2 3 3 4 3" xfId="36140"/>
    <cellStyle name="Note 2 2 3 3 5" xfId="11162"/>
    <cellStyle name="Note 2 2 3 3 5 2" xfId="36143"/>
    <cellStyle name="Note 2 2 3 3 5 3" xfId="36142"/>
    <cellStyle name="Note 2 2 3 3 6" xfId="36144"/>
    <cellStyle name="Note 2 2 3 3 7" xfId="36129"/>
    <cellStyle name="Note 2 2 3 4" xfId="2375"/>
    <cellStyle name="Note 2 2 3 4 2" xfId="8660"/>
    <cellStyle name="Note 2 2 3 4 2 2" xfId="36147"/>
    <cellStyle name="Note 2 2 3 4 2 3" xfId="36146"/>
    <cellStyle name="Note 2 2 3 4 3" xfId="5533"/>
    <cellStyle name="Note 2 2 3 4 3 2" xfId="36149"/>
    <cellStyle name="Note 2 2 3 4 3 3" xfId="36148"/>
    <cellStyle name="Note 2 2 3 4 4" xfId="11843"/>
    <cellStyle name="Note 2 2 3 4 4 2" xfId="36151"/>
    <cellStyle name="Note 2 2 3 4 4 3" xfId="36150"/>
    <cellStyle name="Note 2 2 3 4 5" xfId="36152"/>
    <cellStyle name="Note 2 2 3 4 6" xfId="36145"/>
    <cellStyle name="Note 2 2 3 5" xfId="7097"/>
    <cellStyle name="Note 2 2 3 5 2" xfId="36154"/>
    <cellStyle name="Note 2 2 3 5 3" xfId="36153"/>
    <cellStyle name="Note 2 2 3 6" xfId="3970"/>
    <cellStyle name="Note 2 2 3 6 2" xfId="36156"/>
    <cellStyle name="Note 2 2 3 6 3" xfId="36155"/>
    <cellStyle name="Note 2 2 3 7" xfId="9760"/>
    <cellStyle name="Note 2 2 3 7 2" xfId="36158"/>
    <cellStyle name="Note 2 2 3 7 3" xfId="36157"/>
    <cellStyle name="Note 2 2 3 8" xfId="36159"/>
    <cellStyle name="Note 2 2 3 9" xfId="36112"/>
    <cellStyle name="Note 2 2 4" xfId="802"/>
    <cellStyle name="Note 2 2 4 2" xfId="1487"/>
    <cellStyle name="Note 2 2 4 2 2" xfId="3052"/>
    <cellStyle name="Note 2 2 4 2 2 2" xfId="9337"/>
    <cellStyle name="Note 2 2 4 2 2 2 2" xfId="36164"/>
    <cellStyle name="Note 2 2 4 2 2 2 3" xfId="36163"/>
    <cellStyle name="Note 2 2 4 2 2 3" xfId="6210"/>
    <cellStyle name="Note 2 2 4 2 2 3 2" xfId="36166"/>
    <cellStyle name="Note 2 2 4 2 2 3 3" xfId="36165"/>
    <cellStyle name="Note 2 2 4 2 2 4" xfId="12520"/>
    <cellStyle name="Note 2 2 4 2 2 4 2" xfId="36168"/>
    <cellStyle name="Note 2 2 4 2 2 4 3" xfId="36167"/>
    <cellStyle name="Note 2 2 4 2 2 5" xfId="36169"/>
    <cellStyle name="Note 2 2 4 2 2 6" xfId="36162"/>
    <cellStyle name="Note 2 2 4 2 3" xfId="7774"/>
    <cellStyle name="Note 2 2 4 2 3 2" xfId="36171"/>
    <cellStyle name="Note 2 2 4 2 3 3" xfId="36170"/>
    <cellStyle name="Note 2 2 4 2 4" xfId="4647"/>
    <cellStyle name="Note 2 2 4 2 4 2" xfId="36173"/>
    <cellStyle name="Note 2 2 4 2 4 3" xfId="36172"/>
    <cellStyle name="Note 2 2 4 2 5" xfId="10957"/>
    <cellStyle name="Note 2 2 4 2 5 2" xfId="36175"/>
    <cellStyle name="Note 2 2 4 2 5 3" xfId="36174"/>
    <cellStyle name="Note 2 2 4 2 6" xfId="36176"/>
    <cellStyle name="Note 2 2 4 2 7" xfId="36161"/>
    <cellStyle name="Note 2 2 4 3" xfId="2372"/>
    <cellStyle name="Note 2 2 4 3 2" xfId="8657"/>
    <cellStyle name="Note 2 2 4 3 2 2" xfId="36179"/>
    <cellStyle name="Note 2 2 4 3 2 3" xfId="36178"/>
    <cellStyle name="Note 2 2 4 3 3" xfId="5530"/>
    <cellStyle name="Note 2 2 4 3 3 2" xfId="36181"/>
    <cellStyle name="Note 2 2 4 3 3 3" xfId="36180"/>
    <cellStyle name="Note 2 2 4 3 4" xfId="11840"/>
    <cellStyle name="Note 2 2 4 3 4 2" xfId="36183"/>
    <cellStyle name="Note 2 2 4 3 4 3" xfId="36182"/>
    <cellStyle name="Note 2 2 4 3 5" xfId="36184"/>
    <cellStyle name="Note 2 2 4 3 6" xfId="36177"/>
    <cellStyle name="Note 2 2 4 4" xfId="7094"/>
    <cellStyle name="Note 2 2 4 4 2" xfId="36186"/>
    <cellStyle name="Note 2 2 4 4 3" xfId="36185"/>
    <cellStyle name="Note 2 2 4 5" xfId="3967"/>
    <cellStyle name="Note 2 2 4 5 2" xfId="36188"/>
    <cellStyle name="Note 2 2 4 5 3" xfId="36187"/>
    <cellStyle name="Note 2 2 4 6" xfId="10305"/>
    <cellStyle name="Note 2 2 4 6 2" xfId="36190"/>
    <cellStyle name="Note 2 2 4 6 3" xfId="36189"/>
    <cellStyle name="Note 2 2 4 7" xfId="36191"/>
    <cellStyle name="Note 2 2 4 8" xfId="36160"/>
    <cellStyle name="Note 2 2 5" xfId="1689"/>
    <cellStyle name="Note 2 2 5 2" xfId="3254"/>
    <cellStyle name="Note 2 2 5 2 2" xfId="9539"/>
    <cellStyle name="Note 2 2 5 2 2 2" xfId="36195"/>
    <cellStyle name="Note 2 2 5 2 2 3" xfId="36194"/>
    <cellStyle name="Note 2 2 5 2 3" xfId="6412"/>
    <cellStyle name="Note 2 2 5 2 3 2" xfId="36197"/>
    <cellStyle name="Note 2 2 5 2 3 3" xfId="36196"/>
    <cellStyle name="Note 2 2 5 2 4" xfId="12722"/>
    <cellStyle name="Note 2 2 5 2 4 2" xfId="36199"/>
    <cellStyle name="Note 2 2 5 2 4 3" xfId="36198"/>
    <cellStyle name="Note 2 2 5 2 5" xfId="36200"/>
    <cellStyle name="Note 2 2 5 2 6" xfId="36193"/>
    <cellStyle name="Note 2 2 5 3" xfId="7976"/>
    <cellStyle name="Note 2 2 5 3 2" xfId="36202"/>
    <cellStyle name="Note 2 2 5 3 3" xfId="36201"/>
    <cellStyle name="Note 2 2 5 4" xfId="4849"/>
    <cellStyle name="Note 2 2 5 4 2" xfId="36204"/>
    <cellStyle name="Note 2 2 5 4 3" xfId="36203"/>
    <cellStyle name="Note 2 2 5 5" xfId="11159"/>
    <cellStyle name="Note 2 2 5 5 2" xfId="36206"/>
    <cellStyle name="Note 2 2 5 5 3" xfId="36205"/>
    <cellStyle name="Note 2 2 5 6" xfId="36207"/>
    <cellStyle name="Note 2 2 5 7" xfId="36192"/>
    <cellStyle name="Note 2 2 6" xfId="183"/>
    <cellStyle name="Note 2 2 6 2" xfId="36208"/>
    <cellStyle name="Note 2 2 7" xfId="9757"/>
    <cellStyle name="Note 2 2 7 2" xfId="36210"/>
    <cellStyle name="Note 2 2 7 3" xfId="36209"/>
    <cellStyle name="Note 2 2 8" xfId="36211"/>
    <cellStyle name="Note 2 2 9" xfId="36015"/>
    <cellStyle name="Note 2 3" xfId="217"/>
    <cellStyle name="Note 2 3 10" xfId="9761"/>
    <cellStyle name="Note 2 3 10 2" xfId="36214"/>
    <cellStyle name="Note 2 3 10 3" xfId="36213"/>
    <cellStyle name="Note 2 3 11" xfId="36215"/>
    <cellStyle name="Note 2 3 12" xfId="36212"/>
    <cellStyle name="Note 2 3 2" xfId="325"/>
    <cellStyle name="Note 2 3 2 10" xfId="36217"/>
    <cellStyle name="Note 2 3 2 11" xfId="36216"/>
    <cellStyle name="Note 2 3 2 2" xfId="808"/>
    <cellStyle name="Note 2 3 2 2 2" xfId="1493"/>
    <cellStyle name="Note 2 3 2 2 2 2" xfId="3058"/>
    <cellStyle name="Note 2 3 2 2 2 2 2" xfId="9343"/>
    <cellStyle name="Note 2 3 2 2 2 2 2 2" xfId="36222"/>
    <cellStyle name="Note 2 3 2 2 2 2 2 3" xfId="36221"/>
    <cellStyle name="Note 2 3 2 2 2 2 3" xfId="6216"/>
    <cellStyle name="Note 2 3 2 2 2 2 3 2" xfId="36224"/>
    <cellStyle name="Note 2 3 2 2 2 2 3 3" xfId="36223"/>
    <cellStyle name="Note 2 3 2 2 2 2 4" xfId="12526"/>
    <cellStyle name="Note 2 3 2 2 2 2 4 2" xfId="36226"/>
    <cellStyle name="Note 2 3 2 2 2 2 4 3" xfId="36225"/>
    <cellStyle name="Note 2 3 2 2 2 2 5" xfId="36227"/>
    <cellStyle name="Note 2 3 2 2 2 2 6" xfId="36220"/>
    <cellStyle name="Note 2 3 2 2 2 3" xfId="7780"/>
    <cellStyle name="Note 2 3 2 2 2 3 2" xfId="36229"/>
    <cellStyle name="Note 2 3 2 2 2 3 3" xfId="36228"/>
    <cellStyle name="Note 2 3 2 2 2 4" xfId="4653"/>
    <cellStyle name="Note 2 3 2 2 2 4 2" xfId="36231"/>
    <cellStyle name="Note 2 3 2 2 2 4 3" xfId="36230"/>
    <cellStyle name="Note 2 3 2 2 2 5" xfId="10963"/>
    <cellStyle name="Note 2 3 2 2 2 5 2" xfId="36233"/>
    <cellStyle name="Note 2 3 2 2 2 5 3" xfId="36232"/>
    <cellStyle name="Note 2 3 2 2 2 6" xfId="36234"/>
    <cellStyle name="Note 2 3 2 2 2 7" xfId="36219"/>
    <cellStyle name="Note 2 3 2 2 3" xfId="1695"/>
    <cellStyle name="Note 2 3 2 2 3 2" xfId="3260"/>
    <cellStyle name="Note 2 3 2 2 3 2 2" xfId="9545"/>
    <cellStyle name="Note 2 3 2 2 3 2 2 2" xfId="36238"/>
    <cellStyle name="Note 2 3 2 2 3 2 2 3" xfId="36237"/>
    <cellStyle name="Note 2 3 2 2 3 2 3" xfId="6418"/>
    <cellStyle name="Note 2 3 2 2 3 2 3 2" xfId="36240"/>
    <cellStyle name="Note 2 3 2 2 3 2 3 3" xfId="36239"/>
    <cellStyle name="Note 2 3 2 2 3 2 4" xfId="12728"/>
    <cellStyle name="Note 2 3 2 2 3 2 4 2" xfId="36242"/>
    <cellStyle name="Note 2 3 2 2 3 2 4 3" xfId="36241"/>
    <cellStyle name="Note 2 3 2 2 3 2 5" xfId="36243"/>
    <cellStyle name="Note 2 3 2 2 3 2 6" xfId="36236"/>
    <cellStyle name="Note 2 3 2 2 3 3" xfId="7982"/>
    <cellStyle name="Note 2 3 2 2 3 3 2" xfId="36245"/>
    <cellStyle name="Note 2 3 2 2 3 3 3" xfId="36244"/>
    <cellStyle name="Note 2 3 2 2 3 4" xfId="4855"/>
    <cellStyle name="Note 2 3 2 2 3 4 2" xfId="36247"/>
    <cellStyle name="Note 2 3 2 2 3 4 3" xfId="36246"/>
    <cellStyle name="Note 2 3 2 2 3 5" xfId="11165"/>
    <cellStyle name="Note 2 3 2 2 3 5 2" xfId="36249"/>
    <cellStyle name="Note 2 3 2 2 3 5 3" xfId="36248"/>
    <cellStyle name="Note 2 3 2 2 3 6" xfId="36250"/>
    <cellStyle name="Note 2 3 2 2 3 7" xfId="36235"/>
    <cellStyle name="Note 2 3 2 2 4" xfId="2378"/>
    <cellStyle name="Note 2 3 2 2 4 2" xfId="8663"/>
    <cellStyle name="Note 2 3 2 2 4 2 2" xfId="36253"/>
    <cellStyle name="Note 2 3 2 2 4 2 3" xfId="36252"/>
    <cellStyle name="Note 2 3 2 2 4 3" xfId="5536"/>
    <cellStyle name="Note 2 3 2 2 4 3 2" xfId="36255"/>
    <cellStyle name="Note 2 3 2 2 4 3 3" xfId="36254"/>
    <cellStyle name="Note 2 3 2 2 4 4" xfId="11846"/>
    <cellStyle name="Note 2 3 2 2 4 4 2" xfId="36257"/>
    <cellStyle name="Note 2 3 2 2 4 4 3" xfId="36256"/>
    <cellStyle name="Note 2 3 2 2 4 5" xfId="36258"/>
    <cellStyle name="Note 2 3 2 2 4 6" xfId="36251"/>
    <cellStyle name="Note 2 3 2 2 5" xfId="7100"/>
    <cellStyle name="Note 2 3 2 2 5 2" xfId="36260"/>
    <cellStyle name="Note 2 3 2 2 5 3" xfId="36259"/>
    <cellStyle name="Note 2 3 2 2 6" xfId="3973"/>
    <cellStyle name="Note 2 3 2 2 6 2" xfId="36262"/>
    <cellStyle name="Note 2 3 2 2 6 3" xfId="36261"/>
    <cellStyle name="Note 2 3 2 2 7" xfId="9763"/>
    <cellStyle name="Note 2 3 2 2 7 2" xfId="36264"/>
    <cellStyle name="Note 2 3 2 2 7 3" xfId="36263"/>
    <cellStyle name="Note 2 3 2 2 8" xfId="36265"/>
    <cellStyle name="Note 2 3 2 2 9" xfId="36218"/>
    <cellStyle name="Note 2 3 2 3" xfId="807"/>
    <cellStyle name="Note 2 3 2 3 2" xfId="1492"/>
    <cellStyle name="Note 2 3 2 3 2 2" xfId="3057"/>
    <cellStyle name="Note 2 3 2 3 2 2 2" xfId="9342"/>
    <cellStyle name="Note 2 3 2 3 2 2 2 2" xfId="36270"/>
    <cellStyle name="Note 2 3 2 3 2 2 2 3" xfId="36269"/>
    <cellStyle name="Note 2 3 2 3 2 2 3" xfId="6215"/>
    <cellStyle name="Note 2 3 2 3 2 2 3 2" xfId="36272"/>
    <cellStyle name="Note 2 3 2 3 2 2 3 3" xfId="36271"/>
    <cellStyle name="Note 2 3 2 3 2 2 4" xfId="12525"/>
    <cellStyle name="Note 2 3 2 3 2 2 4 2" xfId="36274"/>
    <cellStyle name="Note 2 3 2 3 2 2 4 3" xfId="36273"/>
    <cellStyle name="Note 2 3 2 3 2 2 5" xfId="36275"/>
    <cellStyle name="Note 2 3 2 3 2 2 6" xfId="36268"/>
    <cellStyle name="Note 2 3 2 3 2 3" xfId="7779"/>
    <cellStyle name="Note 2 3 2 3 2 3 2" xfId="36277"/>
    <cellStyle name="Note 2 3 2 3 2 3 3" xfId="36276"/>
    <cellStyle name="Note 2 3 2 3 2 4" xfId="4652"/>
    <cellStyle name="Note 2 3 2 3 2 4 2" xfId="36279"/>
    <cellStyle name="Note 2 3 2 3 2 4 3" xfId="36278"/>
    <cellStyle name="Note 2 3 2 3 2 5" xfId="10962"/>
    <cellStyle name="Note 2 3 2 3 2 5 2" xfId="36281"/>
    <cellStyle name="Note 2 3 2 3 2 5 3" xfId="36280"/>
    <cellStyle name="Note 2 3 2 3 2 6" xfId="36282"/>
    <cellStyle name="Note 2 3 2 3 2 7" xfId="36267"/>
    <cellStyle name="Note 2 3 2 3 3" xfId="2377"/>
    <cellStyle name="Note 2 3 2 3 3 2" xfId="8662"/>
    <cellStyle name="Note 2 3 2 3 3 2 2" xfId="36285"/>
    <cellStyle name="Note 2 3 2 3 3 2 3" xfId="36284"/>
    <cellStyle name="Note 2 3 2 3 3 3" xfId="5535"/>
    <cellStyle name="Note 2 3 2 3 3 3 2" xfId="36287"/>
    <cellStyle name="Note 2 3 2 3 3 3 3" xfId="36286"/>
    <cellStyle name="Note 2 3 2 3 3 4" xfId="11845"/>
    <cellStyle name="Note 2 3 2 3 3 4 2" xfId="36289"/>
    <cellStyle name="Note 2 3 2 3 3 4 3" xfId="36288"/>
    <cellStyle name="Note 2 3 2 3 3 5" xfId="36290"/>
    <cellStyle name="Note 2 3 2 3 3 6" xfId="36283"/>
    <cellStyle name="Note 2 3 2 3 4" xfId="7099"/>
    <cellStyle name="Note 2 3 2 3 4 2" xfId="36292"/>
    <cellStyle name="Note 2 3 2 3 4 3" xfId="36291"/>
    <cellStyle name="Note 2 3 2 3 5" xfId="3972"/>
    <cellStyle name="Note 2 3 2 3 5 2" xfId="36294"/>
    <cellStyle name="Note 2 3 2 3 5 3" xfId="36293"/>
    <cellStyle name="Note 2 3 2 3 6" xfId="10307"/>
    <cellStyle name="Note 2 3 2 3 6 2" xfId="36296"/>
    <cellStyle name="Note 2 3 2 3 6 3" xfId="36295"/>
    <cellStyle name="Note 2 3 2 3 7" xfId="36297"/>
    <cellStyle name="Note 2 3 2 3 8" xfId="36266"/>
    <cellStyle name="Note 2 3 2 4" xfId="1034"/>
    <cellStyle name="Note 2 3 2 4 2" xfId="2600"/>
    <cellStyle name="Note 2 3 2 4 2 2" xfId="8885"/>
    <cellStyle name="Note 2 3 2 4 2 2 2" xfId="36301"/>
    <cellStyle name="Note 2 3 2 4 2 2 3" xfId="36300"/>
    <cellStyle name="Note 2 3 2 4 2 3" xfId="5758"/>
    <cellStyle name="Note 2 3 2 4 2 3 2" xfId="36303"/>
    <cellStyle name="Note 2 3 2 4 2 3 3" xfId="36302"/>
    <cellStyle name="Note 2 3 2 4 2 4" xfId="12068"/>
    <cellStyle name="Note 2 3 2 4 2 4 2" xfId="36305"/>
    <cellStyle name="Note 2 3 2 4 2 4 3" xfId="36304"/>
    <cellStyle name="Note 2 3 2 4 2 5" xfId="36306"/>
    <cellStyle name="Note 2 3 2 4 2 6" xfId="36299"/>
    <cellStyle name="Note 2 3 2 4 3" xfId="7322"/>
    <cellStyle name="Note 2 3 2 4 3 2" xfId="36308"/>
    <cellStyle name="Note 2 3 2 4 3 3" xfId="36307"/>
    <cellStyle name="Note 2 3 2 4 4" xfId="4195"/>
    <cellStyle name="Note 2 3 2 4 4 2" xfId="36310"/>
    <cellStyle name="Note 2 3 2 4 4 3" xfId="36309"/>
    <cellStyle name="Note 2 3 2 4 5" xfId="10505"/>
    <cellStyle name="Note 2 3 2 4 5 2" xfId="36312"/>
    <cellStyle name="Note 2 3 2 4 5 3" xfId="36311"/>
    <cellStyle name="Note 2 3 2 4 6" xfId="36313"/>
    <cellStyle name="Note 2 3 2 4 7" xfId="36298"/>
    <cellStyle name="Note 2 3 2 5" xfId="1694"/>
    <cellStyle name="Note 2 3 2 5 2" xfId="3259"/>
    <cellStyle name="Note 2 3 2 5 2 2" xfId="9544"/>
    <cellStyle name="Note 2 3 2 5 2 2 2" xfId="36317"/>
    <cellStyle name="Note 2 3 2 5 2 2 3" xfId="36316"/>
    <cellStyle name="Note 2 3 2 5 2 3" xfId="6417"/>
    <cellStyle name="Note 2 3 2 5 2 3 2" xfId="36319"/>
    <cellStyle name="Note 2 3 2 5 2 3 3" xfId="36318"/>
    <cellStyle name="Note 2 3 2 5 2 4" xfId="12727"/>
    <cellStyle name="Note 2 3 2 5 2 4 2" xfId="36321"/>
    <cellStyle name="Note 2 3 2 5 2 4 3" xfId="36320"/>
    <cellStyle name="Note 2 3 2 5 2 5" xfId="36322"/>
    <cellStyle name="Note 2 3 2 5 2 6" xfId="36315"/>
    <cellStyle name="Note 2 3 2 5 3" xfId="7981"/>
    <cellStyle name="Note 2 3 2 5 3 2" xfId="36324"/>
    <cellStyle name="Note 2 3 2 5 3 3" xfId="36323"/>
    <cellStyle name="Note 2 3 2 5 4" xfId="4854"/>
    <cellStyle name="Note 2 3 2 5 4 2" xfId="36326"/>
    <cellStyle name="Note 2 3 2 5 4 3" xfId="36325"/>
    <cellStyle name="Note 2 3 2 5 5" xfId="11164"/>
    <cellStyle name="Note 2 3 2 5 5 2" xfId="36328"/>
    <cellStyle name="Note 2 3 2 5 5 3" xfId="36327"/>
    <cellStyle name="Note 2 3 2 5 6" xfId="36329"/>
    <cellStyle name="Note 2 3 2 5 7" xfId="36314"/>
    <cellStyle name="Note 2 3 2 6" xfId="1920"/>
    <cellStyle name="Note 2 3 2 6 2" xfId="8205"/>
    <cellStyle name="Note 2 3 2 6 2 2" xfId="36332"/>
    <cellStyle name="Note 2 3 2 6 2 3" xfId="36331"/>
    <cellStyle name="Note 2 3 2 6 3" xfId="5078"/>
    <cellStyle name="Note 2 3 2 6 3 2" xfId="36334"/>
    <cellStyle name="Note 2 3 2 6 3 3" xfId="36333"/>
    <cellStyle name="Note 2 3 2 6 4" xfId="11388"/>
    <cellStyle name="Note 2 3 2 6 4 2" xfId="36336"/>
    <cellStyle name="Note 2 3 2 6 4 3" xfId="36335"/>
    <cellStyle name="Note 2 3 2 6 5" xfId="36337"/>
    <cellStyle name="Note 2 3 2 6 6" xfId="36330"/>
    <cellStyle name="Note 2 3 2 7" xfId="6642"/>
    <cellStyle name="Note 2 3 2 7 2" xfId="36339"/>
    <cellStyle name="Note 2 3 2 7 3" xfId="36338"/>
    <cellStyle name="Note 2 3 2 8" xfId="3515"/>
    <cellStyle name="Note 2 3 2 8 2" xfId="36341"/>
    <cellStyle name="Note 2 3 2 8 3" xfId="36340"/>
    <cellStyle name="Note 2 3 2 9" xfId="9762"/>
    <cellStyle name="Note 2 3 2 9 2" xfId="36343"/>
    <cellStyle name="Note 2 3 2 9 3" xfId="36342"/>
    <cellStyle name="Note 2 3 3" xfId="809"/>
    <cellStyle name="Note 2 3 3 2" xfId="1494"/>
    <cellStyle name="Note 2 3 3 2 2" xfId="3059"/>
    <cellStyle name="Note 2 3 3 2 2 2" xfId="9344"/>
    <cellStyle name="Note 2 3 3 2 2 2 2" xfId="36348"/>
    <cellStyle name="Note 2 3 3 2 2 2 3" xfId="36347"/>
    <cellStyle name="Note 2 3 3 2 2 3" xfId="6217"/>
    <cellStyle name="Note 2 3 3 2 2 3 2" xfId="36350"/>
    <cellStyle name="Note 2 3 3 2 2 3 3" xfId="36349"/>
    <cellStyle name="Note 2 3 3 2 2 4" xfId="12527"/>
    <cellStyle name="Note 2 3 3 2 2 4 2" xfId="36352"/>
    <cellStyle name="Note 2 3 3 2 2 4 3" xfId="36351"/>
    <cellStyle name="Note 2 3 3 2 2 5" xfId="36353"/>
    <cellStyle name="Note 2 3 3 2 2 6" xfId="36346"/>
    <cellStyle name="Note 2 3 3 2 3" xfId="7781"/>
    <cellStyle name="Note 2 3 3 2 3 2" xfId="36355"/>
    <cellStyle name="Note 2 3 3 2 3 3" xfId="36354"/>
    <cellStyle name="Note 2 3 3 2 4" xfId="4654"/>
    <cellStyle name="Note 2 3 3 2 4 2" xfId="36357"/>
    <cellStyle name="Note 2 3 3 2 4 3" xfId="36356"/>
    <cellStyle name="Note 2 3 3 2 5" xfId="10964"/>
    <cellStyle name="Note 2 3 3 2 5 2" xfId="36359"/>
    <cellStyle name="Note 2 3 3 2 5 3" xfId="36358"/>
    <cellStyle name="Note 2 3 3 2 6" xfId="36360"/>
    <cellStyle name="Note 2 3 3 2 7" xfId="36345"/>
    <cellStyle name="Note 2 3 3 3" xfId="1696"/>
    <cellStyle name="Note 2 3 3 3 2" xfId="3261"/>
    <cellStyle name="Note 2 3 3 3 2 2" xfId="9546"/>
    <cellStyle name="Note 2 3 3 3 2 2 2" xfId="36364"/>
    <cellStyle name="Note 2 3 3 3 2 2 3" xfId="36363"/>
    <cellStyle name="Note 2 3 3 3 2 3" xfId="6419"/>
    <cellStyle name="Note 2 3 3 3 2 3 2" xfId="36366"/>
    <cellStyle name="Note 2 3 3 3 2 3 3" xfId="36365"/>
    <cellStyle name="Note 2 3 3 3 2 4" xfId="12729"/>
    <cellStyle name="Note 2 3 3 3 2 4 2" xfId="36368"/>
    <cellStyle name="Note 2 3 3 3 2 4 3" xfId="36367"/>
    <cellStyle name="Note 2 3 3 3 2 5" xfId="36369"/>
    <cellStyle name="Note 2 3 3 3 2 6" xfId="36362"/>
    <cellStyle name="Note 2 3 3 3 3" xfId="7983"/>
    <cellStyle name="Note 2 3 3 3 3 2" xfId="36371"/>
    <cellStyle name="Note 2 3 3 3 3 3" xfId="36370"/>
    <cellStyle name="Note 2 3 3 3 4" xfId="4856"/>
    <cellStyle name="Note 2 3 3 3 4 2" xfId="36373"/>
    <cellStyle name="Note 2 3 3 3 4 3" xfId="36372"/>
    <cellStyle name="Note 2 3 3 3 5" xfId="11166"/>
    <cellStyle name="Note 2 3 3 3 5 2" xfId="36375"/>
    <cellStyle name="Note 2 3 3 3 5 3" xfId="36374"/>
    <cellStyle name="Note 2 3 3 3 6" xfId="36376"/>
    <cellStyle name="Note 2 3 3 3 7" xfId="36361"/>
    <cellStyle name="Note 2 3 3 4" xfId="2379"/>
    <cellStyle name="Note 2 3 3 4 2" xfId="8664"/>
    <cellStyle name="Note 2 3 3 4 2 2" xfId="36379"/>
    <cellStyle name="Note 2 3 3 4 2 3" xfId="36378"/>
    <cellStyle name="Note 2 3 3 4 3" xfId="5537"/>
    <cellStyle name="Note 2 3 3 4 3 2" xfId="36381"/>
    <cellStyle name="Note 2 3 3 4 3 3" xfId="36380"/>
    <cellStyle name="Note 2 3 3 4 4" xfId="11847"/>
    <cellStyle name="Note 2 3 3 4 4 2" xfId="36383"/>
    <cellStyle name="Note 2 3 3 4 4 3" xfId="36382"/>
    <cellStyle name="Note 2 3 3 4 5" xfId="36384"/>
    <cellStyle name="Note 2 3 3 4 6" xfId="36377"/>
    <cellStyle name="Note 2 3 3 5" xfId="7101"/>
    <cellStyle name="Note 2 3 3 5 2" xfId="36386"/>
    <cellStyle name="Note 2 3 3 5 3" xfId="36385"/>
    <cellStyle name="Note 2 3 3 6" xfId="3974"/>
    <cellStyle name="Note 2 3 3 6 2" xfId="36388"/>
    <cellStyle name="Note 2 3 3 6 3" xfId="36387"/>
    <cellStyle name="Note 2 3 3 7" xfId="9764"/>
    <cellStyle name="Note 2 3 3 7 2" xfId="36390"/>
    <cellStyle name="Note 2 3 3 7 3" xfId="36389"/>
    <cellStyle name="Note 2 3 3 8" xfId="36391"/>
    <cellStyle name="Note 2 3 3 9" xfId="36344"/>
    <cellStyle name="Note 2 3 4" xfId="806"/>
    <cellStyle name="Note 2 3 4 2" xfId="1491"/>
    <cellStyle name="Note 2 3 4 2 2" xfId="3056"/>
    <cellStyle name="Note 2 3 4 2 2 2" xfId="9341"/>
    <cellStyle name="Note 2 3 4 2 2 2 2" xfId="36396"/>
    <cellStyle name="Note 2 3 4 2 2 2 3" xfId="36395"/>
    <cellStyle name="Note 2 3 4 2 2 3" xfId="6214"/>
    <cellStyle name="Note 2 3 4 2 2 3 2" xfId="36398"/>
    <cellStyle name="Note 2 3 4 2 2 3 3" xfId="36397"/>
    <cellStyle name="Note 2 3 4 2 2 4" xfId="12524"/>
    <cellStyle name="Note 2 3 4 2 2 4 2" xfId="36400"/>
    <cellStyle name="Note 2 3 4 2 2 4 3" xfId="36399"/>
    <cellStyle name="Note 2 3 4 2 2 5" xfId="36401"/>
    <cellStyle name="Note 2 3 4 2 2 6" xfId="36394"/>
    <cellStyle name="Note 2 3 4 2 3" xfId="7778"/>
    <cellStyle name="Note 2 3 4 2 3 2" xfId="36403"/>
    <cellStyle name="Note 2 3 4 2 3 3" xfId="36402"/>
    <cellStyle name="Note 2 3 4 2 4" xfId="4651"/>
    <cellStyle name="Note 2 3 4 2 4 2" xfId="36405"/>
    <cellStyle name="Note 2 3 4 2 4 3" xfId="36404"/>
    <cellStyle name="Note 2 3 4 2 5" xfId="10961"/>
    <cellStyle name="Note 2 3 4 2 5 2" xfId="36407"/>
    <cellStyle name="Note 2 3 4 2 5 3" xfId="36406"/>
    <cellStyle name="Note 2 3 4 2 6" xfId="36408"/>
    <cellStyle name="Note 2 3 4 2 7" xfId="36393"/>
    <cellStyle name="Note 2 3 4 3" xfId="2376"/>
    <cellStyle name="Note 2 3 4 3 2" xfId="8661"/>
    <cellStyle name="Note 2 3 4 3 2 2" xfId="36411"/>
    <cellStyle name="Note 2 3 4 3 2 3" xfId="36410"/>
    <cellStyle name="Note 2 3 4 3 3" xfId="5534"/>
    <cellStyle name="Note 2 3 4 3 3 2" xfId="36413"/>
    <cellStyle name="Note 2 3 4 3 3 3" xfId="36412"/>
    <cellStyle name="Note 2 3 4 3 4" xfId="11844"/>
    <cellStyle name="Note 2 3 4 3 4 2" xfId="36415"/>
    <cellStyle name="Note 2 3 4 3 4 3" xfId="36414"/>
    <cellStyle name="Note 2 3 4 3 5" xfId="36416"/>
    <cellStyle name="Note 2 3 4 3 6" xfId="36409"/>
    <cellStyle name="Note 2 3 4 4" xfId="7098"/>
    <cellStyle name="Note 2 3 4 4 2" xfId="36418"/>
    <cellStyle name="Note 2 3 4 4 3" xfId="36417"/>
    <cellStyle name="Note 2 3 4 5" xfId="3971"/>
    <cellStyle name="Note 2 3 4 5 2" xfId="36420"/>
    <cellStyle name="Note 2 3 4 5 3" xfId="36419"/>
    <cellStyle name="Note 2 3 4 6" xfId="10306"/>
    <cellStyle name="Note 2 3 4 6 2" xfId="36422"/>
    <cellStyle name="Note 2 3 4 6 3" xfId="36421"/>
    <cellStyle name="Note 2 3 4 7" xfId="36423"/>
    <cellStyle name="Note 2 3 4 8" xfId="36392"/>
    <cellStyle name="Note 2 3 5" xfId="930"/>
    <cellStyle name="Note 2 3 5 2" xfId="2496"/>
    <cellStyle name="Note 2 3 5 2 2" xfId="8781"/>
    <cellStyle name="Note 2 3 5 2 2 2" xfId="36427"/>
    <cellStyle name="Note 2 3 5 2 2 3" xfId="36426"/>
    <cellStyle name="Note 2 3 5 2 3" xfId="5654"/>
    <cellStyle name="Note 2 3 5 2 3 2" xfId="36429"/>
    <cellStyle name="Note 2 3 5 2 3 3" xfId="36428"/>
    <cellStyle name="Note 2 3 5 2 4" xfId="11964"/>
    <cellStyle name="Note 2 3 5 2 4 2" xfId="36431"/>
    <cellStyle name="Note 2 3 5 2 4 3" xfId="36430"/>
    <cellStyle name="Note 2 3 5 2 5" xfId="36432"/>
    <cellStyle name="Note 2 3 5 2 6" xfId="36425"/>
    <cellStyle name="Note 2 3 5 3" xfId="7218"/>
    <cellStyle name="Note 2 3 5 3 2" xfId="36434"/>
    <cellStyle name="Note 2 3 5 3 3" xfId="36433"/>
    <cellStyle name="Note 2 3 5 4" xfId="4091"/>
    <cellStyle name="Note 2 3 5 4 2" xfId="36436"/>
    <cellStyle name="Note 2 3 5 4 3" xfId="36435"/>
    <cellStyle name="Note 2 3 5 5" xfId="10401"/>
    <cellStyle name="Note 2 3 5 5 2" xfId="36438"/>
    <cellStyle name="Note 2 3 5 5 3" xfId="36437"/>
    <cellStyle name="Note 2 3 5 6" xfId="36439"/>
    <cellStyle name="Note 2 3 5 7" xfId="36424"/>
    <cellStyle name="Note 2 3 6" xfId="1693"/>
    <cellStyle name="Note 2 3 6 2" xfId="3258"/>
    <cellStyle name="Note 2 3 6 2 2" xfId="9543"/>
    <cellStyle name="Note 2 3 6 2 2 2" xfId="36443"/>
    <cellStyle name="Note 2 3 6 2 2 3" xfId="36442"/>
    <cellStyle name="Note 2 3 6 2 3" xfId="6416"/>
    <cellStyle name="Note 2 3 6 2 3 2" xfId="36445"/>
    <cellStyle name="Note 2 3 6 2 3 3" xfId="36444"/>
    <cellStyle name="Note 2 3 6 2 4" xfId="12726"/>
    <cellStyle name="Note 2 3 6 2 4 2" xfId="36447"/>
    <cellStyle name="Note 2 3 6 2 4 3" xfId="36446"/>
    <cellStyle name="Note 2 3 6 2 5" xfId="36448"/>
    <cellStyle name="Note 2 3 6 2 6" xfId="36441"/>
    <cellStyle name="Note 2 3 6 3" xfId="7980"/>
    <cellStyle name="Note 2 3 6 3 2" xfId="36450"/>
    <cellStyle name="Note 2 3 6 3 3" xfId="36449"/>
    <cellStyle name="Note 2 3 6 4" xfId="4853"/>
    <cellStyle name="Note 2 3 6 4 2" xfId="36452"/>
    <cellStyle name="Note 2 3 6 4 3" xfId="36451"/>
    <cellStyle name="Note 2 3 6 5" xfId="11163"/>
    <cellStyle name="Note 2 3 6 5 2" xfId="36454"/>
    <cellStyle name="Note 2 3 6 5 3" xfId="36453"/>
    <cellStyle name="Note 2 3 6 6" xfId="36455"/>
    <cellStyle name="Note 2 3 6 7" xfId="36440"/>
    <cellStyle name="Note 2 3 7" xfId="1816"/>
    <cellStyle name="Note 2 3 7 2" xfId="8101"/>
    <cellStyle name="Note 2 3 7 2 2" xfId="36458"/>
    <cellStyle name="Note 2 3 7 2 3" xfId="36457"/>
    <cellStyle name="Note 2 3 7 3" xfId="4974"/>
    <cellStyle name="Note 2 3 7 3 2" xfId="36460"/>
    <cellStyle name="Note 2 3 7 3 3" xfId="36459"/>
    <cellStyle name="Note 2 3 7 4" xfId="11284"/>
    <cellStyle name="Note 2 3 7 4 2" xfId="36462"/>
    <cellStyle name="Note 2 3 7 4 3" xfId="36461"/>
    <cellStyle name="Note 2 3 7 5" xfId="36463"/>
    <cellStyle name="Note 2 3 7 6" xfId="36456"/>
    <cellStyle name="Note 2 3 8" xfId="6538"/>
    <cellStyle name="Note 2 3 8 2" xfId="36465"/>
    <cellStyle name="Note 2 3 8 3" xfId="36464"/>
    <cellStyle name="Note 2 3 9" xfId="3411"/>
    <cellStyle name="Note 2 3 9 2" xfId="36467"/>
    <cellStyle name="Note 2 3 9 3" xfId="36466"/>
    <cellStyle name="Note 2 4" xfId="276"/>
    <cellStyle name="Note 2 4 10" xfId="36469"/>
    <cellStyle name="Note 2 4 11" xfId="36468"/>
    <cellStyle name="Note 2 4 2" xfId="811"/>
    <cellStyle name="Note 2 4 2 2" xfId="1496"/>
    <cellStyle name="Note 2 4 2 2 2" xfId="3061"/>
    <cellStyle name="Note 2 4 2 2 2 2" xfId="9346"/>
    <cellStyle name="Note 2 4 2 2 2 2 2" xfId="36474"/>
    <cellStyle name="Note 2 4 2 2 2 2 3" xfId="36473"/>
    <cellStyle name="Note 2 4 2 2 2 3" xfId="6219"/>
    <cellStyle name="Note 2 4 2 2 2 3 2" xfId="36476"/>
    <cellStyle name="Note 2 4 2 2 2 3 3" xfId="36475"/>
    <cellStyle name="Note 2 4 2 2 2 4" xfId="12529"/>
    <cellStyle name="Note 2 4 2 2 2 4 2" xfId="36478"/>
    <cellStyle name="Note 2 4 2 2 2 4 3" xfId="36477"/>
    <cellStyle name="Note 2 4 2 2 2 5" xfId="36479"/>
    <cellStyle name="Note 2 4 2 2 2 6" xfId="36472"/>
    <cellStyle name="Note 2 4 2 2 3" xfId="7783"/>
    <cellStyle name="Note 2 4 2 2 3 2" xfId="36481"/>
    <cellStyle name="Note 2 4 2 2 3 3" xfId="36480"/>
    <cellStyle name="Note 2 4 2 2 4" xfId="4656"/>
    <cellStyle name="Note 2 4 2 2 4 2" xfId="36483"/>
    <cellStyle name="Note 2 4 2 2 4 3" xfId="36482"/>
    <cellStyle name="Note 2 4 2 2 5" xfId="10966"/>
    <cellStyle name="Note 2 4 2 2 5 2" xfId="36485"/>
    <cellStyle name="Note 2 4 2 2 5 3" xfId="36484"/>
    <cellStyle name="Note 2 4 2 2 6" xfId="36486"/>
    <cellStyle name="Note 2 4 2 2 7" xfId="36471"/>
    <cellStyle name="Note 2 4 2 3" xfId="1698"/>
    <cellStyle name="Note 2 4 2 3 2" xfId="3263"/>
    <cellStyle name="Note 2 4 2 3 2 2" xfId="9548"/>
    <cellStyle name="Note 2 4 2 3 2 2 2" xfId="36490"/>
    <cellStyle name="Note 2 4 2 3 2 2 3" xfId="36489"/>
    <cellStyle name="Note 2 4 2 3 2 3" xfId="6421"/>
    <cellStyle name="Note 2 4 2 3 2 3 2" xfId="36492"/>
    <cellStyle name="Note 2 4 2 3 2 3 3" xfId="36491"/>
    <cellStyle name="Note 2 4 2 3 2 4" xfId="12731"/>
    <cellStyle name="Note 2 4 2 3 2 4 2" xfId="36494"/>
    <cellStyle name="Note 2 4 2 3 2 4 3" xfId="36493"/>
    <cellStyle name="Note 2 4 2 3 2 5" xfId="36495"/>
    <cellStyle name="Note 2 4 2 3 2 6" xfId="36488"/>
    <cellStyle name="Note 2 4 2 3 3" xfId="7985"/>
    <cellStyle name="Note 2 4 2 3 3 2" xfId="36497"/>
    <cellStyle name="Note 2 4 2 3 3 3" xfId="36496"/>
    <cellStyle name="Note 2 4 2 3 4" xfId="4858"/>
    <cellStyle name="Note 2 4 2 3 4 2" xfId="36499"/>
    <cellStyle name="Note 2 4 2 3 4 3" xfId="36498"/>
    <cellStyle name="Note 2 4 2 3 5" xfId="11168"/>
    <cellStyle name="Note 2 4 2 3 5 2" xfId="36501"/>
    <cellStyle name="Note 2 4 2 3 5 3" xfId="36500"/>
    <cellStyle name="Note 2 4 2 3 6" xfId="36502"/>
    <cellStyle name="Note 2 4 2 3 7" xfId="36487"/>
    <cellStyle name="Note 2 4 2 4" xfId="2381"/>
    <cellStyle name="Note 2 4 2 4 2" xfId="8666"/>
    <cellStyle name="Note 2 4 2 4 2 2" xfId="36505"/>
    <cellStyle name="Note 2 4 2 4 2 3" xfId="36504"/>
    <cellStyle name="Note 2 4 2 4 3" xfId="5539"/>
    <cellStyle name="Note 2 4 2 4 3 2" xfId="36507"/>
    <cellStyle name="Note 2 4 2 4 3 3" xfId="36506"/>
    <cellStyle name="Note 2 4 2 4 4" xfId="11849"/>
    <cellStyle name="Note 2 4 2 4 4 2" xfId="36509"/>
    <cellStyle name="Note 2 4 2 4 4 3" xfId="36508"/>
    <cellStyle name="Note 2 4 2 4 5" xfId="36510"/>
    <cellStyle name="Note 2 4 2 4 6" xfId="36503"/>
    <cellStyle name="Note 2 4 2 5" xfId="7103"/>
    <cellStyle name="Note 2 4 2 5 2" xfId="36512"/>
    <cellStyle name="Note 2 4 2 5 3" xfId="36511"/>
    <cellStyle name="Note 2 4 2 6" xfId="3976"/>
    <cellStyle name="Note 2 4 2 6 2" xfId="36514"/>
    <cellStyle name="Note 2 4 2 6 3" xfId="36513"/>
    <cellStyle name="Note 2 4 2 7" xfId="9766"/>
    <cellStyle name="Note 2 4 2 7 2" xfId="36516"/>
    <cellStyle name="Note 2 4 2 7 3" xfId="36515"/>
    <cellStyle name="Note 2 4 2 8" xfId="36517"/>
    <cellStyle name="Note 2 4 2 9" xfId="36470"/>
    <cellStyle name="Note 2 4 3" xfId="810"/>
    <cellStyle name="Note 2 4 3 2" xfId="1495"/>
    <cellStyle name="Note 2 4 3 2 2" xfId="3060"/>
    <cellStyle name="Note 2 4 3 2 2 2" xfId="9345"/>
    <cellStyle name="Note 2 4 3 2 2 2 2" xfId="36522"/>
    <cellStyle name="Note 2 4 3 2 2 2 3" xfId="36521"/>
    <cellStyle name="Note 2 4 3 2 2 3" xfId="6218"/>
    <cellStyle name="Note 2 4 3 2 2 3 2" xfId="36524"/>
    <cellStyle name="Note 2 4 3 2 2 3 3" xfId="36523"/>
    <cellStyle name="Note 2 4 3 2 2 4" xfId="12528"/>
    <cellStyle name="Note 2 4 3 2 2 4 2" xfId="36526"/>
    <cellStyle name="Note 2 4 3 2 2 4 3" xfId="36525"/>
    <cellStyle name="Note 2 4 3 2 2 5" xfId="36527"/>
    <cellStyle name="Note 2 4 3 2 2 6" xfId="36520"/>
    <cellStyle name="Note 2 4 3 2 3" xfId="7782"/>
    <cellStyle name="Note 2 4 3 2 3 2" xfId="36529"/>
    <cellStyle name="Note 2 4 3 2 3 3" xfId="36528"/>
    <cellStyle name="Note 2 4 3 2 4" xfId="4655"/>
    <cellStyle name="Note 2 4 3 2 4 2" xfId="36531"/>
    <cellStyle name="Note 2 4 3 2 4 3" xfId="36530"/>
    <cellStyle name="Note 2 4 3 2 5" xfId="10965"/>
    <cellStyle name="Note 2 4 3 2 5 2" xfId="36533"/>
    <cellStyle name="Note 2 4 3 2 5 3" xfId="36532"/>
    <cellStyle name="Note 2 4 3 2 6" xfId="36534"/>
    <cellStyle name="Note 2 4 3 2 7" xfId="36519"/>
    <cellStyle name="Note 2 4 3 3" xfId="2380"/>
    <cellStyle name="Note 2 4 3 3 2" xfId="8665"/>
    <cellStyle name="Note 2 4 3 3 2 2" xfId="36537"/>
    <cellStyle name="Note 2 4 3 3 2 3" xfId="36536"/>
    <cellStyle name="Note 2 4 3 3 3" xfId="5538"/>
    <cellStyle name="Note 2 4 3 3 3 2" xfId="36539"/>
    <cellStyle name="Note 2 4 3 3 3 3" xfId="36538"/>
    <cellStyle name="Note 2 4 3 3 4" xfId="11848"/>
    <cellStyle name="Note 2 4 3 3 4 2" xfId="36541"/>
    <cellStyle name="Note 2 4 3 3 4 3" xfId="36540"/>
    <cellStyle name="Note 2 4 3 3 5" xfId="36542"/>
    <cellStyle name="Note 2 4 3 3 6" xfId="36535"/>
    <cellStyle name="Note 2 4 3 4" xfId="7102"/>
    <cellStyle name="Note 2 4 3 4 2" xfId="36544"/>
    <cellStyle name="Note 2 4 3 4 3" xfId="36543"/>
    <cellStyle name="Note 2 4 3 5" xfId="3975"/>
    <cellStyle name="Note 2 4 3 5 2" xfId="36546"/>
    <cellStyle name="Note 2 4 3 5 3" xfId="36545"/>
    <cellStyle name="Note 2 4 3 6" xfId="10308"/>
    <cellStyle name="Note 2 4 3 6 2" xfId="36548"/>
    <cellStyle name="Note 2 4 3 6 3" xfId="36547"/>
    <cellStyle name="Note 2 4 3 7" xfId="36549"/>
    <cellStyle name="Note 2 4 3 8" xfId="36518"/>
    <cellStyle name="Note 2 4 4" xfId="987"/>
    <cellStyle name="Note 2 4 4 2" xfId="2553"/>
    <cellStyle name="Note 2 4 4 2 2" xfId="8838"/>
    <cellStyle name="Note 2 4 4 2 2 2" xfId="36553"/>
    <cellStyle name="Note 2 4 4 2 2 3" xfId="36552"/>
    <cellStyle name="Note 2 4 4 2 3" xfId="5711"/>
    <cellStyle name="Note 2 4 4 2 3 2" xfId="36555"/>
    <cellStyle name="Note 2 4 4 2 3 3" xfId="36554"/>
    <cellStyle name="Note 2 4 4 2 4" xfId="12021"/>
    <cellStyle name="Note 2 4 4 2 4 2" xfId="36557"/>
    <cellStyle name="Note 2 4 4 2 4 3" xfId="36556"/>
    <cellStyle name="Note 2 4 4 2 5" xfId="36558"/>
    <cellStyle name="Note 2 4 4 2 6" xfId="36551"/>
    <cellStyle name="Note 2 4 4 3" xfId="7275"/>
    <cellStyle name="Note 2 4 4 3 2" xfId="36560"/>
    <cellStyle name="Note 2 4 4 3 3" xfId="36559"/>
    <cellStyle name="Note 2 4 4 4" xfId="4148"/>
    <cellStyle name="Note 2 4 4 4 2" xfId="36562"/>
    <cellStyle name="Note 2 4 4 4 3" xfId="36561"/>
    <cellStyle name="Note 2 4 4 5" xfId="10458"/>
    <cellStyle name="Note 2 4 4 5 2" xfId="36564"/>
    <cellStyle name="Note 2 4 4 5 3" xfId="36563"/>
    <cellStyle name="Note 2 4 4 6" xfId="36565"/>
    <cellStyle name="Note 2 4 4 7" xfId="36550"/>
    <cellStyle name="Note 2 4 5" xfId="1697"/>
    <cellStyle name="Note 2 4 5 2" xfId="3262"/>
    <cellStyle name="Note 2 4 5 2 2" xfId="9547"/>
    <cellStyle name="Note 2 4 5 2 2 2" xfId="36569"/>
    <cellStyle name="Note 2 4 5 2 2 3" xfId="36568"/>
    <cellStyle name="Note 2 4 5 2 3" xfId="6420"/>
    <cellStyle name="Note 2 4 5 2 3 2" xfId="36571"/>
    <cellStyle name="Note 2 4 5 2 3 3" xfId="36570"/>
    <cellStyle name="Note 2 4 5 2 4" xfId="12730"/>
    <cellStyle name="Note 2 4 5 2 4 2" xfId="36573"/>
    <cellStyle name="Note 2 4 5 2 4 3" xfId="36572"/>
    <cellStyle name="Note 2 4 5 2 5" xfId="36574"/>
    <cellStyle name="Note 2 4 5 2 6" xfId="36567"/>
    <cellStyle name="Note 2 4 5 3" xfId="7984"/>
    <cellStyle name="Note 2 4 5 3 2" xfId="36576"/>
    <cellStyle name="Note 2 4 5 3 3" xfId="36575"/>
    <cellStyle name="Note 2 4 5 4" xfId="4857"/>
    <cellStyle name="Note 2 4 5 4 2" xfId="36578"/>
    <cellStyle name="Note 2 4 5 4 3" xfId="36577"/>
    <cellStyle name="Note 2 4 5 5" xfId="11167"/>
    <cellStyle name="Note 2 4 5 5 2" xfId="36580"/>
    <cellStyle name="Note 2 4 5 5 3" xfId="36579"/>
    <cellStyle name="Note 2 4 5 6" xfId="36581"/>
    <cellStyle name="Note 2 4 5 7" xfId="36566"/>
    <cellStyle name="Note 2 4 6" xfId="1873"/>
    <cellStyle name="Note 2 4 6 2" xfId="8158"/>
    <cellStyle name="Note 2 4 6 2 2" xfId="36584"/>
    <cellStyle name="Note 2 4 6 2 3" xfId="36583"/>
    <cellStyle name="Note 2 4 6 3" xfId="5031"/>
    <cellStyle name="Note 2 4 6 3 2" xfId="36586"/>
    <cellStyle name="Note 2 4 6 3 3" xfId="36585"/>
    <cellStyle name="Note 2 4 6 4" xfId="11341"/>
    <cellStyle name="Note 2 4 6 4 2" xfId="36588"/>
    <cellStyle name="Note 2 4 6 4 3" xfId="36587"/>
    <cellStyle name="Note 2 4 6 5" xfId="36589"/>
    <cellStyle name="Note 2 4 6 6" xfId="36582"/>
    <cellStyle name="Note 2 4 7" xfId="6595"/>
    <cellStyle name="Note 2 4 7 2" xfId="36591"/>
    <cellStyle name="Note 2 4 7 3" xfId="36590"/>
    <cellStyle name="Note 2 4 8" xfId="3468"/>
    <cellStyle name="Note 2 4 8 2" xfId="36593"/>
    <cellStyle name="Note 2 4 8 3" xfId="36592"/>
    <cellStyle name="Note 2 4 9" xfId="9765"/>
    <cellStyle name="Note 2 4 9 2" xfId="36595"/>
    <cellStyle name="Note 2 4 9 3" xfId="36594"/>
    <cellStyle name="Note 2 5" xfId="812"/>
    <cellStyle name="Note 2 5 10" xfId="36596"/>
    <cellStyle name="Note 2 5 2" xfId="813"/>
    <cellStyle name="Note 2 5 2 2" xfId="1498"/>
    <cellStyle name="Note 2 5 2 2 2" xfId="3063"/>
    <cellStyle name="Note 2 5 2 2 2 2" xfId="9348"/>
    <cellStyle name="Note 2 5 2 2 2 2 2" xfId="36601"/>
    <cellStyle name="Note 2 5 2 2 2 2 3" xfId="36600"/>
    <cellStyle name="Note 2 5 2 2 2 3" xfId="6221"/>
    <cellStyle name="Note 2 5 2 2 2 3 2" xfId="36603"/>
    <cellStyle name="Note 2 5 2 2 2 3 3" xfId="36602"/>
    <cellStyle name="Note 2 5 2 2 2 4" xfId="12531"/>
    <cellStyle name="Note 2 5 2 2 2 4 2" xfId="36605"/>
    <cellStyle name="Note 2 5 2 2 2 4 3" xfId="36604"/>
    <cellStyle name="Note 2 5 2 2 2 5" xfId="36606"/>
    <cellStyle name="Note 2 5 2 2 2 6" xfId="36599"/>
    <cellStyle name="Note 2 5 2 2 3" xfId="7785"/>
    <cellStyle name="Note 2 5 2 2 3 2" xfId="36608"/>
    <cellStyle name="Note 2 5 2 2 3 3" xfId="36607"/>
    <cellStyle name="Note 2 5 2 2 4" xfId="4658"/>
    <cellStyle name="Note 2 5 2 2 4 2" xfId="36610"/>
    <cellStyle name="Note 2 5 2 2 4 3" xfId="36609"/>
    <cellStyle name="Note 2 5 2 2 5" xfId="10968"/>
    <cellStyle name="Note 2 5 2 2 5 2" xfId="36612"/>
    <cellStyle name="Note 2 5 2 2 5 3" xfId="36611"/>
    <cellStyle name="Note 2 5 2 2 6" xfId="36613"/>
    <cellStyle name="Note 2 5 2 2 7" xfId="36598"/>
    <cellStyle name="Note 2 5 2 3" xfId="1700"/>
    <cellStyle name="Note 2 5 2 3 2" xfId="3265"/>
    <cellStyle name="Note 2 5 2 3 2 2" xfId="9550"/>
    <cellStyle name="Note 2 5 2 3 2 2 2" xfId="36617"/>
    <cellStyle name="Note 2 5 2 3 2 2 3" xfId="36616"/>
    <cellStyle name="Note 2 5 2 3 2 3" xfId="6423"/>
    <cellStyle name="Note 2 5 2 3 2 3 2" xfId="36619"/>
    <cellStyle name="Note 2 5 2 3 2 3 3" xfId="36618"/>
    <cellStyle name="Note 2 5 2 3 2 4" xfId="12733"/>
    <cellStyle name="Note 2 5 2 3 2 4 2" xfId="36621"/>
    <cellStyle name="Note 2 5 2 3 2 4 3" xfId="36620"/>
    <cellStyle name="Note 2 5 2 3 2 5" xfId="36622"/>
    <cellStyle name="Note 2 5 2 3 2 6" xfId="36615"/>
    <cellStyle name="Note 2 5 2 3 3" xfId="7987"/>
    <cellStyle name="Note 2 5 2 3 3 2" xfId="36624"/>
    <cellStyle name="Note 2 5 2 3 3 3" xfId="36623"/>
    <cellStyle name="Note 2 5 2 3 4" xfId="4860"/>
    <cellStyle name="Note 2 5 2 3 4 2" xfId="36626"/>
    <cellStyle name="Note 2 5 2 3 4 3" xfId="36625"/>
    <cellStyle name="Note 2 5 2 3 5" xfId="11170"/>
    <cellStyle name="Note 2 5 2 3 5 2" xfId="36628"/>
    <cellStyle name="Note 2 5 2 3 5 3" xfId="36627"/>
    <cellStyle name="Note 2 5 2 3 6" xfId="36629"/>
    <cellStyle name="Note 2 5 2 3 7" xfId="36614"/>
    <cellStyle name="Note 2 5 2 4" xfId="2383"/>
    <cellStyle name="Note 2 5 2 4 2" xfId="8668"/>
    <cellStyle name="Note 2 5 2 4 2 2" xfId="36632"/>
    <cellStyle name="Note 2 5 2 4 2 3" xfId="36631"/>
    <cellStyle name="Note 2 5 2 4 3" xfId="5541"/>
    <cellStyle name="Note 2 5 2 4 3 2" xfId="36634"/>
    <cellStyle name="Note 2 5 2 4 3 3" xfId="36633"/>
    <cellStyle name="Note 2 5 2 4 4" xfId="11851"/>
    <cellStyle name="Note 2 5 2 4 4 2" xfId="36636"/>
    <cellStyle name="Note 2 5 2 4 4 3" xfId="36635"/>
    <cellStyle name="Note 2 5 2 4 5" xfId="36637"/>
    <cellStyle name="Note 2 5 2 4 6" xfId="36630"/>
    <cellStyle name="Note 2 5 2 5" xfId="7105"/>
    <cellStyle name="Note 2 5 2 5 2" xfId="36639"/>
    <cellStyle name="Note 2 5 2 5 3" xfId="36638"/>
    <cellStyle name="Note 2 5 2 6" xfId="3978"/>
    <cellStyle name="Note 2 5 2 6 2" xfId="36641"/>
    <cellStyle name="Note 2 5 2 6 3" xfId="36640"/>
    <cellStyle name="Note 2 5 2 7" xfId="9768"/>
    <cellStyle name="Note 2 5 2 7 2" xfId="36643"/>
    <cellStyle name="Note 2 5 2 7 3" xfId="36642"/>
    <cellStyle name="Note 2 5 2 8" xfId="36644"/>
    <cellStyle name="Note 2 5 2 9" xfId="36597"/>
    <cellStyle name="Note 2 5 3" xfId="1497"/>
    <cellStyle name="Note 2 5 3 2" xfId="3062"/>
    <cellStyle name="Note 2 5 3 2 2" xfId="9347"/>
    <cellStyle name="Note 2 5 3 2 2 2" xfId="36648"/>
    <cellStyle name="Note 2 5 3 2 2 3" xfId="36647"/>
    <cellStyle name="Note 2 5 3 2 3" xfId="6220"/>
    <cellStyle name="Note 2 5 3 2 3 2" xfId="36650"/>
    <cellStyle name="Note 2 5 3 2 3 3" xfId="36649"/>
    <cellStyle name="Note 2 5 3 2 4" xfId="12530"/>
    <cellStyle name="Note 2 5 3 2 4 2" xfId="36652"/>
    <cellStyle name="Note 2 5 3 2 4 3" xfId="36651"/>
    <cellStyle name="Note 2 5 3 2 5" xfId="36653"/>
    <cellStyle name="Note 2 5 3 2 6" xfId="36646"/>
    <cellStyle name="Note 2 5 3 3" xfId="7784"/>
    <cellStyle name="Note 2 5 3 3 2" xfId="36655"/>
    <cellStyle name="Note 2 5 3 3 3" xfId="36654"/>
    <cellStyle name="Note 2 5 3 4" xfId="4657"/>
    <cellStyle name="Note 2 5 3 4 2" xfId="36657"/>
    <cellStyle name="Note 2 5 3 4 3" xfId="36656"/>
    <cellStyle name="Note 2 5 3 5" xfId="10967"/>
    <cellStyle name="Note 2 5 3 5 2" xfId="36659"/>
    <cellStyle name="Note 2 5 3 5 3" xfId="36658"/>
    <cellStyle name="Note 2 5 3 6" xfId="36660"/>
    <cellStyle name="Note 2 5 3 7" xfId="36645"/>
    <cellStyle name="Note 2 5 4" xfId="1699"/>
    <cellStyle name="Note 2 5 4 2" xfId="3264"/>
    <cellStyle name="Note 2 5 4 2 2" xfId="9549"/>
    <cellStyle name="Note 2 5 4 2 2 2" xfId="36664"/>
    <cellStyle name="Note 2 5 4 2 2 3" xfId="36663"/>
    <cellStyle name="Note 2 5 4 2 3" xfId="6422"/>
    <cellStyle name="Note 2 5 4 2 3 2" xfId="36666"/>
    <cellStyle name="Note 2 5 4 2 3 3" xfId="36665"/>
    <cellStyle name="Note 2 5 4 2 4" xfId="12732"/>
    <cellStyle name="Note 2 5 4 2 4 2" xfId="36668"/>
    <cellStyle name="Note 2 5 4 2 4 3" xfId="36667"/>
    <cellStyle name="Note 2 5 4 2 5" xfId="36669"/>
    <cellStyle name="Note 2 5 4 2 6" xfId="36662"/>
    <cellStyle name="Note 2 5 4 3" xfId="7986"/>
    <cellStyle name="Note 2 5 4 3 2" xfId="36671"/>
    <cellStyle name="Note 2 5 4 3 3" xfId="36670"/>
    <cellStyle name="Note 2 5 4 4" xfId="4859"/>
    <cellStyle name="Note 2 5 4 4 2" xfId="36673"/>
    <cellStyle name="Note 2 5 4 4 3" xfId="36672"/>
    <cellStyle name="Note 2 5 4 5" xfId="11169"/>
    <cellStyle name="Note 2 5 4 5 2" xfId="36675"/>
    <cellStyle name="Note 2 5 4 5 3" xfId="36674"/>
    <cellStyle name="Note 2 5 4 6" xfId="36676"/>
    <cellStyle name="Note 2 5 4 7" xfId="36661"/>
    <cellStyle name="Note 2 5 5" xfId="2382"/>
    <cellStyle name="Note 2 5 5 2" xfId="8667"/>
    <cellStyle name="Note 2 5 5 2 2" xfId="36679"/>
    <cellStyle name="Note 2 5 5 2 3" xfId="36678"/>
    <cellStyle name="Note 2 5 5 3" xfId="5540"/>
    <cellStyle name="Note 2 5 5 3 2" xfId="36681"/>
    <cellStyle name="Note 2 5 5 3 3" xfId="36680"/>
    <cellStyle name="Note 2 5 5 4" xfId="11850"/>
    <cellStyle name="Note 2 5 5 4 2" xfId="36683"/>
    <cellStyle name="Note 2 5 5 4 3" xfId="36682"/>
    <cellStyle name="Note 2 5 5 5" xfId="36684"/>
    <cellStyle name="Note 2 5 5 6" xfId="36677"/>
    <cellStyle name="Note 2 5 6" xfId="7104"/>
    <cellStyle name="Note 2 5 6 2" xfId="36686"/>
    <cellStyle name="Note 2 5 6 3" xfId="36685"/>
    <cellStyle name="Note 2 5 7" xfId="3977"/>
    <cellStyle name="Note 2 5 7 2" xfId="36688"/>
    <cellStyle name="Note 2 5 7 3" xfId="36687"/>
    <cellStyle name="Note 2 5 8" xfId="9767"/>
    <cellStyle name="Note 2 5 8 2" xfId="36690"/>
    <cellStyle name="Note 2 5 8 3" xfId="36689"/>
    <cellStyle name="Note 2 5 9" xfId="36691"/>
    <cellStyle name="Note 2 6" xfId="814"/>
    <cellStyle name="Note 2 6 2" xfId="1499"/>
    <cellStyle name="Note 2 6 2 2" xfId="3064"/>
    <cellStyle name="Note 2 6 2 2 2" xfId="9349"/>
    <cellStyle name="Note 2 6 2 2 2 2" xfId="36696"/>
    <cellStyle name="Note 2 6 2 2 2 3" xfId="36695"/>
    <cellStyle name="Note 2 6 2 2 3" xfId="6222"/>
    <cellStyle name="Note 2 6 2 2 3 2" xfId="36698"/>
    <cellStyle name="Note 2 6 2 2 3 3" xfId="36697"/>
    <cellStyle name="Note 2 6 2 2 4" xfId="12532"/>
    <cellStyle name="Note 2 6 2 2 4 2" xfId="36700"/>
    <cellStyle name="Note 2 6 2 2 4 3" xfId="36699"/>
    <cellStyle name="Note 2 6 2 2 5" xfId="36701"/>
    <cellStyle name="Note 2 6 2 2 6" xfId="36694"/>
    <cellStyle name="Note 2 6 2 3" xfId="7786"/>
    <cellStyle name="Note 2 6 2 3 2" xfId="36703"/>
    <cellStyle name="Note 2 6 2 3 3" xfId="36702"/>
    <cellStyle name="Note 2 6 2 4" xfId="4659"/>
    <cellStyle name="Note 2 6 2 4 2" xfId="36705"/>
    <cellStyle name="Note 2 6 2 4 3" xfId="36704"/>
    <cellStyle name="Note 2 6 2 5" xfId="10969"/>
    <cellStyle name="Note 2 6 2 5 2" xfId="36707"/>
    <cellStyle name="Note 2 6 2 5 3" xfId="36706"/>
    <cellStyle name="Note 2 6 2 6" xfId="36708"/>
    <cellStyle name="Note 2 6 2 7" xfId="36693"/>
    <cellStyle name="Note 2 6 3" xfId="1701"/>
    <cellStyle name="Note 2 6 3 2" xfId="3266"/>
    <cellStyle name="Note 2 6 3 2 2" xfId="9551"/>
    <cellStyle name="Note 2 6 3 2 2 2" xfId="36712"/>
    <cellStyle name="Note 2 6 3 2 2 3" xfId="36711"/>
    <cellStyle name="Note 2 6 3 2 3" xfId="6424"/>
    <cellStyle name="Note 2 6 3 2 3 2" xfId="36714"/>
    <cellStyle name="Note 2 6 3 2 3 3" xfId="36713"/>
    <cellStyle name="Note 2 6 3 2 4" xfId="12734"/>
    <cellStyle name="Note 2 6 3 2 4 2" xfId="36716"/>
    <cellStyle name="Note 2 6 3 2 4 3" xfId="36715"/>
    <cellStyle name="Note 2 6 3 2 5" xfId="36717"/>
    <cellStyle name="Note 2 6 3 2 6" xfId="36710"/>
    <cellStyle name="Note 2 6 3 3" xfId="7988"/>
    <cellStyle name="Note 2 6 3 3 2" xfId="36719"/>
    <cellStyle name="Note 2 6 3 3 3" xfId="36718"/>
    <cellStyle name="Note 2 6 3 4" xfId="4861"/>
    <cellStyle name="Note 2 6 3 4 2" xfId="36721"/>
    <cellStyle name="Note 2 6 3 4 3" xfId="36720"/>
    <cellStyle name="Note 2 6 3 5" xfId="11171"/>
    <cellStyle name="Note 2 6 3 5 2" xfId="36723"/>
    <cellStyle name="Note 2 6 3 5 3" xfId="36722"/>
    <cellStyle name="Note 2 6 3 6" xfId="36724"/>
    <cellStyle name="Note 2 6 3 7" xfId="36709"/>
    <cellStyle name="Note 2 6 4" xfId="2384"/>
    <cellStyle name="Note 2 6 4 2" xfId="8669"/>
    <cellStyle name="Note 2 6 4 2 2" xfId="36727"/>
    <cellStyle name="Note 2 6 4 2 3" xfId="36726"/>
    <cellStyle name="Note 2 6 4 3" xfId="5542"/>
    <cellStyle name="Note 2 6 4 3 2" xfId="36729"/>
    <cellStyle name="Note 2 6 4 3 3" xfId="36728"/>
    <cellStyle name="Note 2 6 4 4" xfId="11852"/>
    <cellStyle name="Note 2 6 4 4 2" xfId="36731"/>
    <cellStyle name="Note 2 6 4 4 3" xfId="36730"/>
    <cellStyle name="Note 2 6 4 5" xfId="36732"/>
    <cellStyle name="Note 2 6 4 6" xfId="36725"/>
    <cellStyle name="Note 2 6 5" xfId="7106"/>
    <cellStyle name="Note 2 6 5 2" xfId="36734"/>
    <cellStyle name="Note 2 6 5 3" xfId="36733"/>
    <cellStyle name="Note 2 6 6" xfId="3979"/>
    <cellStyle name="Note 2 6 6 2" xfId="36736"/>
    <cellStyle name="Note 2 6 6 3" xfId="36735"/>
    <cellStyle name="Note 2 6 7" xfId="9769"/>
    <cellStyle name="Note 2 6 7 2" xfId="36738"/>
    <cellStyle name="Note 2 6 7 3" xfId="36737"/>
    <cellStyle name="Note 2 6 8" xfId="36739"/>
    <cellStyle name="Note 2 6 9" xfId="36692"/>
    <cellStyle name="Note 2 7" xfId="801"/>
    <cellStyle name="Note 2 7 2" xfId="1486"/>
    <cellStyle name="Note 2 7 2 2" xfId="3051"/>
    <cellStyle name="Note 2 7 2 2 2" xfId="9336"/>
    <cellStyle name="Note 2 7 2 2 2 2" xfId="36744"/>
    <cellStyle name="Note 2 7 2 2 2 3" xfId="36743"/>
    <cellStyle name="Note 2 7 2 2 3" xfId="6209"/>
    <cellStyle name="Note 2 7 2 2 3 2" xfId="36746"/>
    <cellStyle name="Note 2 7 2 2 3 3" xfId="36745"/>
    <cellStyle name="Note 2 7 2 2 4" xfId="12519"/>
    <cellStyle name="Note 2 7 2 2 4 2" xfId="36748"/>
    <cellStyle name="Note 2 7 2 2 4 3" xfId="36747"/>
    <cellStyle name="Note 2 7 2 2 5" xfId="36749"/>
    <cellStyle name="Note 2 7 2 2 6" xfId="36742"/>
    <cellStyle name="Note 2 7 2 3" xfId="7773"/>
    <cellStyle name="Note 2 7 2 3 2" xfId="36751"/>
    <cellStyle name="Note 2 7 2 3 3" xfId="36750"/>
    <cellStyle name="Note 2 7 2 4" xfId="4646"/>
    <cellStyle name="Note 2 7 2 4 2" xfId="36753"/>
    <cellStyle name="Note 2 7 2 4 3" xfId="36752"/>
    <cellStyle name="Note 2 7 2 5" xfId="10956"/>
    <cellStyle name="Note 2 7 2 5 2" xfId="36755"/>
    <cellStyle name="Note 2 7 2 5 3" xfId="36754"/>
    <cellStyle name="Note 2 7 2 6" xfId="36756"/>
    <cellStyle name="Note 2 7 2 7" xfId="36741"/>
    <cellStyle name="Note 2 7 3" xfId="1688"/>
    <cellStyle name="Note 2 7 3 2" xfId="3253"/>
    <cellStyle name="Note 2 7 3 2 2" xfId="9538"/>
    <cellStyle name="Note 2 7 3 2 2 2" xfId="36760"/>
    <cellStyle name="Note 2 7 3 2 2 3" xfId="36759"/>
    <cellStyle name="Note 2 7 3 2 3" xfId="6411"/>
    <cellStyle name="Note 2 7 3 2 3 2" xfId="36762"/>
    <cellStyle name="Note 2 7 3 2 3 3" xfId="36761"/>
    <cellStyle name="Note 2 7 3 2 4" xfId="12721"/>
    <cellStyle name="Note 2 7 3 2 4 2" xfId="36764"/>
    <cellStyle name="Note 2 7 3 2 4 3" xfId="36763"/>
    <cellStyle name="Note 2 7 3 2 5" xfId="36765"/>
    <cellStyle name="Note 2 7 3 2 6" xfId="36758"/>
    <cellStyle name="Note 2 7 3 3" xfId="7975"/>
    <cellStyle name="Note 2 7 3 3 2" xfId="36767"/>
    <cellStyle name="Note 2 7 3 3 3" xfId="36766"/>
    <cellStyle name="Note 2 7 3 4" xfId="4848"/>
    <cellStyle name="Note 2 7 3 4 2" xfId="36769"/>
    <cellStyle name="Note 2 7 3 4 3" xfId="36768"/>
    <cellStyle name="Note 2 7 3 5" xfId="11158"/>
    <cellStyle name="Note 2 7 3 5 2" xfId="36771"/>
    <cellStyle name="Note 2 7 3 5 3" xfId="36770"/>
    <cellStyle name="Note 2 7 3 6" xfId="36772"/>
    <cellStyle name="Note 2 7 3 7" xfId="36757"/>
    <cellStyle name="Note 2 7 4" xfId="2371"/>
    <cellStyle name="Note 2 7 4 2" xfId="8656"/>
    <cellStyle name="Note 2 7 4 2 2" xfId="36775"/>
    <cellStyle name="Note 2 7 4 2 3" xfId="36774"/>
    <cellStyle name="Note 2 7 4 3" xfId="5529"/>
    <cellStyle name="Note 2 7 4 3 2" xfId="36777"/>
    <cellStyle name="Note 2 7 4 3 3" xfId="36776"/>
    <cellStyle name="Note 2 7 4 4" xfId="11839"/>
    <cellStyle name="Note 2 7 4 4 2" xfId="36779"/>
    <cellStyle name="Note 2 7 4 4 3" xfId="36778"/>
    <cellStyle name="Note 2 7 4 5" xfId="36780"/>
    <cellStyle name="Note 2 7 4 6" xfId="36773"/>
    <cellStyle name="Note 2 7 5" xfId="7093"/>
    <cellStyle name="Note 2 7 5 2" xfId="36782"/>
    <cellStyle name="Note 2 7 5 3" xfId="36781"/>
    <cellStyle name="Note 2 7 6" xfId="3966"/>
    <cellStyle name="Note 2 7 6 2" xfId="36784"/>
    <cellStyle name="Note 2 7 6 3" xfId="36783"/>
    <cellStyle name="Note 2 7 7" xfId="9756"/>
    <cellStyle name="Note 2 7 7 2" xfId="36786"/>
    <cellStyle name="Note 2 7 7 3" xfId="36785"/>
    <cellStyle name="Note 2 7 8" xfId="36787"/>
    <cellStyle name="Note 2 7 9" xfId="36740"/>
    <cellStyle name="Note 2 8" xfId="853"/>
    <cellStyle name="Note 2 8 2" xfId="2419"/>
    <cellStyle name="Note 2 8 2 2" xfId="8704"/>
    <cellStyle name="Note 2 8 2 2 2" xfId="36791"/>
    <cellStyle name="Note 2 8 2 2 3" xfId="36790"/>
    <cellStyle name="Note 2 8 2 3" xfId="5577"/>
    <cellStyle name="Note 2 8 2 3 2" xfId="36793"/>
    <cellStyle name="Note 2 8 2 3 3" xfId="36792"/>
    <cellStyle name="Note 2 8 2 4" xfId="11887"/>
    <cellStyle name="Note 2 8 2 4 2" xfId="36795"/>
    <cellStyle name="Note 2 8 2 4 3" xfId="36794"/>
    <cellStyle name="Note 2 8 2 5" xfId="36796"/>
    <cellStyle name="Note 2 8 2 6" xfId="36789"/>
    <cellStyle name="Note 2 8 3" xfId="7141"/>
    <cellStyle name="Note 2 8 3 2" xfId="36798"/>
    <cellStyle name="Note 2 8 3 3" xfId="36797"/>
    <cellStyle name="Note 2 8 4" xfId="4014"/>
    <cellStyle name="Note 2 8 4 2" xfId="36800"/>
    <cellStyle name="Note 2 8 4 3" xfId="36799"/>
    <cellStyle name="Note 2 8 5" xfId="10324"/>
    <cellStyle name="Note 2 8 5 2" xfId="36802"/>
    <cellStyle name="Note 2 8 5 3" xfId="36801"/>
    <cellStyle name="Note 2 8 6" xfId="36803"/>
    <cellStyle name="Note 2 8 7" xfId="36788"/>
    <cellStyle name="Note 2 9" xfId="1738"/>
    <cellStyle name="Note 2 9 2" xfId="8024"/>
    <cellStyle name="Note 2 9 2 2" xfId="36806"/>
    <cellStyle name="Note 2 9 2 3" xfId="36805"/>
    <cellStyle name="Note 2 9 3" xfId="4897"/>
    <cellStyle name="Note 2 9 3 2" xfId="36808"/>
    <cellStyle name="Note 2 9 3 3" xfId="36807"/>
    <cellStyle name="Note 2 9 4" xfId="11207"/>
    <cellStyle name="Note 2 9 4 2" xfId="36810"/>
    <cellStyle name="Note 2 9 4 3" xfId="36809"/>
    <cellStyle name="Note 2 9 5" xfId="36811"/>
    <cellStyle name="Note 2 9 6" xfId="36804"/>
    <cellStyle name="Note 20" xfId="1723"/>
    <cellStyle name="Note 20 2" xfId="8010"/>
    <cellStyle name="Note 20 2 2" xfId="36814"/>
    <cellStyle name="Note 20 2 3" xfId="36813"/>
    <cellStyle name="Note 20 3" xfId="4883"/>
    <cellStyle name="Note 20 3 2" xfId="36816"/>
    <cellStyle name="Note 20 3 3" xfId="36815"/>
    <cellStyle name="Note 20 4" xfId="11193"/>
    <cellStyle name="Note 20 4 2" xfId="36818"/>
    <cellStyle name="Note 20 4 3" xfId="36817"/>
    <cellStyle name="Note 20 5" xfId="36819"/>
    <cellStyle name="Note 20 6" xfId="36812"/>
    <cellStyle name="Note 21" xfId="102"/>
    <cellStyle name="Note 21 2" xfId="6448"/>
    <cellStyle name="Note 21 2 2" xfId="36822"/>
    <cellStyle name="Note 21 2 3" xfId="36821"/>
    <cellStyle name="Note 21 3" xfId="36823"/>
    <cellStyle name="Note 21 4" xfId="36820"/>
    <cellStyle name="Note 22" xfId="9575"/>
    <cellStyle name="Note 22 2" xfId="36825"/>
    <cellStyle name="Note 22 3" xfId="36824"/>
    <cellStyle name="Note 23" xfId="3321"/>
    <cellStyle name="Note 23 2" xfId="36827"/>
    <cellStyle name="Note 23 3" xfId="36826"/>
    <cellStyle name="Note 24" xfId="9628"/>
    <cellStyle name="Note 24 2" xfId="36829"/>
    <cellStyle name="Note 24 3" xfId="36828"/>
    <cellStyle name="Note 25" xfId="38167"/>
    <cellStyle name="Note 3" xfId="54"/>
    <cellStyle name="Note 3 10" xfId="36830"/>
    <cellStyle name="Note 3 11" xfId="38169"/>
    <cellStyle name="Note 3 2" xfId="87"/>
    <cellStyle name="Note 3 2 2" xfId="184"/>
    <cellStyle name="Note 3 2 2 2" xfId="36832"/>
    <cellStyle name="Note 3 2 3" xfId="36833"/>
    <cellStyle name="Note 3 2 4" xfId="36831"/>
    <cellStyle name="Note 3 3" xfId="283"/>
    <cellStyle name="Note 3 3 2" xfId="993"/>
    <cellStyle name="Note 3 3 2 2" xfId="2559"/>
    <cellStyle name="Note 3 3 2 2 2" xfId="8844"/>
    <cellStyle name="Note 3 3 2 2 2 2" xfId="36838"/>
    <cellStyle name="Note 3 3 2 2 2 3" xfId="36837"/>
    <cellStyle name="Note 3 3 2 2 3" xfId="5717"/>
    <cellStyle name="Note 3 3 2 2 3 2" xfId="36840"/>
    <cellStyle name="Note 3 3 2 2 3 3" xfId="36839"/>
    <cellStyle name="Note 3 3 2 2 4" xfId="12027"/>
    <cellStyle name="Note 3 3 2 2 4 2" xfId="36842"/>
    <cellStyle name="Note 3 3 2 2 4 3" xfId="36841"/>
    <cellStyle name="Note 3 3 2 2 5" xfId="36843"/>
    <cellStyle name="Note 3 3 2 2 6" xfId="36836"/>
    <cellStyle name="Note 3 3 2 3" xfId="7281"/>
    <cellStyle name="Note 3 3 2 3 2" xfId="36845"/>
    <cellStyle name="Note 3 3 2 3 3" xfId="36844"/>
    <cellStyle name="Note 3 3 2 4" xfId="4154"/>
    <cellStyle name="Note 3 3 2 4 2" xfId="36847"/>
    <cellStyle name="Note 3 3 2 4 3" xfId="36846"/>
    <cellStyle name="Note 3 3 2 5" xfId="10464"/>
    <cellStyle name="Note 3 3 2 5 2" xfId="36849"/>
    <cellStyle name="Note 3 3 2 5 3" xfId="36848"/>
    <cellStyle name="Note 3 3 2 6" xfId="36850"/>
    <cellStyle name="Note 3 3 2 7" xfId="36835"/>
    <cellStyle name="Note 3 3 3" xfId="1879"/>
    <cellStyle name="Note 3 3 3 2" xfId="8164"/>
    <cellStyle name="Note 3 3 3 2 2" xfId="36853"/>
    <cellStyle name="Note 3 3 3 2 3" xfId="36852"/>
    <cellStyle name="Note 3 3 3 3" xfId="5037"/>
    <cellStyle name="Note 3 3 3 3 2" xfId="36855"/>
    <cellStyle name="Note 3 3 3 3 3" xfId="36854"/>
    <cellStyle name="Note 3 3 3 4" xfId="11347"/>
    <cellStyle name="Note 3 3 3 4 2" xfId="36857"/>
    <cellStyle name="Note 3 3 3 4 3" xfId="36856"/>
    <cellStyle name="Note 3 3 3 5" xfId="36858"/>
    <cellStyle name="Note 3 3 3 6" xfId="36851"/>
    <cellStyle name="Note 3 3 4" xfId="6601"/>
    <cellStyle name="Note 3 3 4 2" xfId="36860"/>
    <cellStyle name="Note 3 3 4 3" xfId="36859"/>
    <cellStyle name="Note 3 3 5" xfId="3474"/>
    <cellStyle name="Note 3 3 5 2" xfId="36862"/>
    <cellStyle name="Note 3 3 5 3" xfId="36861"/>
    <cellStyle name="Note 3 3 6" xfId="9817"/>
    <cellStyle name="Note 3 3 6 2" xfId="36864"/>
    <cellStyle name="Note 3 3 6 3" xfId="36863"/>
    <cellStyle name="Note 3 3 7" xfId="36865"/>
    <cellStyle name="Note 3 3 8" xfId="36834"/>
    <cellStyle name="Note 3 4" xfId="867"/>
    <cellStyle name="Note 3 4 2" xfId="2433"/>
    <cellStyle name="Note 3 4 2 2" xfId="8718"/>
    <cellStyle name="Note 3 4 2 2 2" xfId="36869"/>
    <cellStyle name="Note 3 4 2 2 3" xfId="36868"/>
    <cellStyle name="Note 3 4 2 3" xfId="5591"/>
    <cellStyle name="Note 3 4 2 3 2" xfId="36871"/>
    <cellStyle name="Note 3 4 2 3 3" xfId="36870"/>
    <cellStyle name="Note 3 4 2 4" xfId="11901"/>
    <cellStyle name="Note 3 4 2 4 2" xfId="36873"/>
    <cellStyle name="Note 3 4 2 4 3" xfId="36872"/>
    <cellStyle name="Note 3 4 2 5" xfId="36874"/>
    <cellStyle name="Note 3 4 2 6" xfId="36867"/>
    <cellStyle name="Note 3 4 3" xfId="7155"/>
    <cellStyle name="Note 3 4 3 2" xfId="36876"/>
    <cellStyle name="Note 3 4 3 3" xfId="36875"/>
    <cellStyle name="Note 3 4 4" xfId="4028"/>
    <cellStyle name="Note 3 4 4 2" xfId="36878"/>
    <cellStyle name="Note 3 4 4 3" xfId="36877"/>
    <cellStyle name="Note 3 4 5" xfId="10338"/>
    <cellStyle name="Note 3 4 5 2" xfId="36880"/>
    <cellStyle name="Note 3 4 5 3" xfId="36879"/>
    <cellStyle name="Note 3 4 6" xfId="36881"/>
    <cellStyle name="Note 3 4 7" xfId="36866"/>
    <cellStyle name="Note 3 5" xfId="1753"/>
    <cellStyle name="Note 3 5 2" xfId="8038"/>
    <cellStyle name="Note 3 5 2 2" xfId="36884"/>
    <cellStyle name="Note 3 5 2 3" xfId="36883"/>
    <cellStyle name="Note 3 5 3" xfId="4911"/>
    <cellStyle name="Note 3 5 3 2" xfId="36886"/>
    <cellStyle name="Note 3 5 3 3" xfId="36885"/>
    <cellStyle name="Note 3 5 4" xfId="11221"/>
    <cellStyle name="Note 3 5 4 2" xfId="36888"/>
    <cellStyle name="Note 3 5 4 3" xfId="36887"/>
    <cellStyle name="Note 3 5 5" xfId="36889"/>
    <cellStyle name="Note 3 5 6" xfId="36882"/>
    <cellStyle name="Note 3 6" xfId="130"/>
    <cellStyle name="Note 3 6 2" xfId="6475"/>
    <cellStyle name="Note 3 6 2 2" xfId="36892"/>
    <cellStyle name="Note 3 6 2 3" xfId="36891"/>
    <cellStyle name="Note 3 6 3" xfId="9954"/>
    <cellStyle name="Note 3 6 3 2" xfId="36894"/>
    <cellStyle name="Note 3 6 3 3" xfId="36893"/>
    <cellStyle name="Note 3 6 4" xfId="36895"/>
    <cellStyle name="Note 3 6 5" xfId="36890"/>
    <cellStyle name="Note 3 7" xfId="3307"/>
    <cellStyle name="Note 3 7 2" xfId="36897"/>
    <cellStyle name="Note 3 7 3" xfId="36896"/>
    <cellStyle name="Note 3 8" xfId="3348"/>
    <cellStyle name="Note 3 8 2" xfId="36899"/>
    <cellStyle name="Note 3 8 3" xfId="36898"/>
    <cellStyle name="Note 3 9" xfId="36900"/>
    <cellStyle name="Note 4" xfId="185"/>
    <cellStyle name="Note 4 2" xfId="36901"/>
    <cellStyle name="Note 4 3" xfId="38179"/>
    <cellStyle name="Note 5" xfId="260"/>
    <cellStyle name="Note 5 2" xfId="971"/>
    <cellStyle name="Note 5 2 2" xfId="2537"/>
    <cellStyle name="Note 5 2 2 2" xfId="8822"/>
    <cellStyle name="Note 5 2 2 2 2" xfId="36906"/>
    <cellStyle name="Note 5 2 2 2 3" xfId="36905"/>
    <cellStyle name="Note 5 2 2 3" xfId="5695"/>
    <cellStyle name="Note 5 2 2 3 2" xfId="36908"/>
    <cellStyle name="Note 5 2 2 3 3" xfId="36907"/>
    <cellStyle name="Note 5 2 2 4" xfId="12005"/>
    <cellStyle name="Note 5 2 2 4 2" xfId="36910"/>
    <cellStyle name="Note 5 2 2 4 3" xfId="36909"/>
    <cellStyle name="Note 5 2 2 5" xfId="36911"/>
    <cellStyle name="Note 5 2 2 6" xfId="36904"/>
    <cellStyle name="Note 5 2 3" xfId="7259"/>
    <cellStyle name="Note 5 2 3 2" xfId="36913"/>
    <cellStyle name="Note 5 2 3 3" xfId="36912"/>
    <cellStyle name="Note 5 2 4" xfId="4132"/>
    <cellStyle name="Note 5 2 4 2" xfId="36915"/>
    <cellStyle name="Note 5 2 4 3" xfId="36914"/>
    <cellStyle name="Note 5 2 5" xfId="10442"/>
    <cellStyle name="Note 5 2 5 2" xfId="36917"/>
    <cellStyle name="Note 5 2 5 3" xfId="36916"/>
    <cellStyle name="Note 5 2 6" xfId="36918"/>
    <cellStyle name="Note 5 2 7" xfId="36903"/>
    <cellStyle name="Note 5 3" xfId="1857"/>
    <cellStyle name="Note 5 3 2" xfId="8142"/>
    <cellStyle name="Note 5 3 2 2" xfId="36921"/>
    <cellStyle name="Note 5 3 2 3" xfId="36920"/>
    <cellStyle name="Note 5 3 3" xfId="5015"/>
    <cellStyle name="Note 5 3 3 2" xfId="36923"/>
    <cellStyle name="Note 5 3 3 3" xfId="36922"/>
    <cellStyle name="Note 5 3 4" xfId="11325"/>
    <cellStyle name="Note 5 3 4 2" xfId="36925"/>
    <cellStyle name="Note 5 3 4 3" xfId="36924"/>
    <cellStyle name="Note 5 3 5" xfId="36926"/>
    <cellStyle name="Note 5 3 6" xfId="36919"/>
    <cellStyle name="Note 5 4" xfId="6579"/>
    <cellStyle name="Note 5 4 2" xfId="36928"/>
    <cellStyle name="Note 5 4 3" xfId="36927"/>
    <cellStyle name="Note 5 5" xfId="3452"/>
    <cellStyle name="Note 5 5 2" xfId="36930"/>
    <cellStyle name="Note 5 5 3" xfId="36929"/>
    <cellStyle name="Note 5 6" xfId="9881"/>
    <cellStyle name="Note 5 6 2" xfId="36932"/>
    <cellStyle name="Note 5 6 3" xfId="36931"/>
    <cellStyle name="Note 5 7" xfId="36933"/>
    <cellStyle name="Note 5 8" xfId="36902"/>
    <cellStyle name="Note 5 9" xfId="38184"/>
    <cellStyle name="Note 6" xfId="367"/>
    <cellStyle name="Note 6 2" xfId="1075"/>
    <cellStyle name="Note 6 2 2" xfId="2641"/>
    <cellStyle name="Note 6 2 2 2" xfId="8926"/>
    <cellStyle name="Note 6 2 2 2 2" xfId="36938"/>
    <cellStyle name="Note 6 2 2 2 3" xfId="36937"/>
    <cellStyle name="Note 6 2 2 3" xfId="5799"/>
    <cellStyle name="Note 6 2 2 3 2" xfId="36940"/>
    <cellStyle name="Note 6 2 2 3 3" xfId="36939"/>
    <cellStyle name="Note 6 2 2 4" xfId="12109"/>
    <cellStyle name="Note 6 2 2 4 2" xfId="36942"/>
    <cellStyle name="Note 6 2 2 4 3" xfId="36941"/>
    <cellStyle name="Note 6 2 2 5" xfId="36943"/>
    <cellStyle name="Note 6 2 2 6" xfId="36936"/>
    <cellStyle name="Note 6 2 3" xfId="7363"/>
    <cellStyle name="Note 6 2 3 2" xfId="36945"/>
    <cellStyle name="Note 6 2 3 3" xfId="36944"/>
    <cellStyle name="Note 6 2 4" xfId="4236"/>
    <cellStyle name="Note 6 2 4 2" xfId="36947"/>
    <cellStyle name="Note 6 2 4 3" xfId="36946"/>
    <cellStyle name="Note 6 2 5" xfId="10546"/>
    <cellStyle name="Note 6 2 5 2" xfId="36949"/>
    <cellStyle name="Note 6 2 5 3" xfId="36948"/>
    <cellStyle name="Note 6 2 6" xfId="36950"/>
    <cellStyle name="Note 6 2 7" xfId="36935"/>
    <cellStyle name="Note 6 3" xfId="1961"/>
    <cellStyle name="Note 6 3 2" xfId="8246"/>
    <cellStyle name="Note 6 3 2 2" xfId="36953"/>
    <cellStyle name="Note 6 3 2 3" xfId="36952"/>
    <cellStyle name="Note 6 3 3" xfId="5119"/>
    <cellStyle name="Note 6 3 3 2" xfId="36955"/>
    <cellStyle name="Note 6 3 3 3" xfId="36954"/>
    <cellStyle name="Note 6 3 4" xfId="11429"/>
    <cellStyle name="Note 6 3 4 2" xfId="36957"/>
    <cellStyle name="Note 6 3 4 3" xfId="36956"/>
    <cellStyle name="Note 6 3 5" xfId="36958"/>
    <cellStyle name="Note 6 3 6" xfId="36951"/>
    <cellStyle name="Note 6 4" xfId="6683"/>
    <cellStyle name="Note 6 4 2" xfId="36960"/>
    <cellStyle name="Note 6 4 3" xfId="36959"/>
    <cellStyle name="Note 6 5" xfId="3556"/>
    <cellStyle name="Note 6 5 2" xfId="36962"/>
    <cellStyle name="Note 6 5 3" xfId="36961"/>
    <cellStyle name="Note 6 6" xfId="9988"/>
    <cellStyle name="Note 6 6 2" xfId="36964"/>
    <cellStyle name="Note 6 6 3" xfId="36963"/>
    <cellStyle name="Note 6 7" xfId="36965"/>
    <cellStyle name="Note 6 8" xfId="36934"/>
    <cellStyle name="Note 7" xfId="395"/>
    <cellStyle name="Note 7 2" xfId="1102"/>
    <cellStyle name="Note 7 2 2" xfId="2667"/>
    <cellStyle name="Note 7 2 2 2" xfId="8952"/>
    <cellStyle name="Note 7 2 2 2 2" xfId="36970"/>
    <cellStyle name="Note 7 2 2 2 3" xfId="36969"/>
    <cellStyle name="Note 7 2 2 3" xfId="5825"/>
    <cellStyle name="Note 7 2 2 3 2" xfId="36972"/>
    <cellStyle name="Note 7 2 2 3 3" xfId="36971"/>
    <cellStyle name="Note 7 2 2 4" xfId="12135"/>
    <cellStyle name="Note 7 2 2 4 2" xfId="36974"/>
    <cellStyle name="Note 7 2 2 4 3" xfId="36973"/>
    <cellStyle name="Note 7 2 2 5" xfId="36975"/>
    <cellStyle name="Note 7 2 2 6" xfId="36968"/>
    <cellStyle name="Note 7 2 3" xfId="7389"/>
    <cellStyle name="Note 7 2 3 2" xfId="36977"/>
    <cellStyle name="Note 7 2 3 3" xfId="36976"/>
    <cellStyle name="Note 7 2 4" xfId="4262"/>
    <cellStyle name="Note 7 2 4 2" xfId="36979"/>
    <cellStyle name="Note 7 2 4 3" xfId="36978"/>
    <cellStyle name="Note 7 2 5" xfId="10572"/>
    <cellStyle name="Note 7 2 5 2" xfId="36981"/>
    <cellStyle name="Note 7 2 5 3" xfId="36980"/>
    <cellStyle name="Note 7 2 6" xfId="36982"/>
    <cellStyle name="Note 7 2 7" xfId="36967"/>
    <cellStyle name="Note 7 3" xfId="1987"/>
    <cellStyle name="Note 7 3 2" xfId="8272"/>
    <cellStyle name="Note 7 3 2 2" xfId="36985"/>
    <cellStyle name="Note 7 3 2 3" xfId="36984"/>
    <cellStyle name="Note 7 3 3" xfId="5145"/>
    <cellStyle name="Note 7 3 3 2" xfId="36987"/>
    <cellStyle name="Note 7 3 3 3" xfId="36986"/>
    <cellStyle name="Note 7 3 4" xfId="11455"/>
    <cellStyle name="Note 7 3 4 2" xfId="36989"/>
    <cellStyle name="Note 7 3 4 3" xfId="36988"/>
    <cellStyle name="Note 7 3 5" xfId="36990"/>
    <cellStyle name="Note 7 3 6" xfId="36983"/>
    <cellStyle name="Note 7 4" xfId="6709"/>
    <cellStyle name="Note 7 4 2" xfId="36992"/>
    <cellStyle name="Note 7 4 3" xfId="36991"/>
    <cellStyle name="Note 7 5" xfId="3582"/>
    <cellStyle name="Note 7 5 2" xfId="36994"/>
    <cellStyle name="Note 7 5 3" xfId="36993"/>
    <cellStyle name="Note 7 6" xfId="10015"/>
    <cellStyle name="Note 7 6 2" xfId="36996"/>
    <cellStyle name="Note 7 6 3" xfId="36995"/>
    <cellStyle name="Note 7 7" xfId="36997"/>
    <cellStyle name="Note 7 8" xfId="36966"/>
    <cellStyle name="Note 8" xfId="442"/>
    <cellStyle name="Note 8 2" xfId="1149"/>
    <cellStyle name="Note 8 2 2" xfId="2714"/>
    <cellStyle name="Note 8 2 2 2" xfId="8999"/>
    <cellStyle name="Note 8 2 2 2 2" xfId="37002"/>
    <cellStyle name="Note 8 2 2 2 3" xfId="37001"/>
    <cellStyle name="Note 8 2 2 3" xfId="5872"/>
    <cellStyle name="Note 8 2 2 3 2" xfId="37004"/>
    <cellStyle name="Note 8 2 2 3 3" xfId="37003"/>
    <cellStyle name="Note 8 2 2 4" xfId="12182"/>
    <cellStyle name="Note 8 2 2 4 2" xfId="37006"/>
    <cellStyle name="Note 8 2 2 4 3" xfId="37005"/>
    <cellStyle name="Note 8 2 2 5" xfId="37007"/>
    <cellStyle name="Note 8 2 2 6" xfId="37000"/>
    <cellStyle name="Note 8 2 3" xfId="7436"/>
    <cellStyle name="Note 8 2 3 2" xfId="37009"/>
    <cellStyle name="Note 8 2 3 3" xfId="37008"/>
    <cellStyle name="Note 8 2 4" xfId="4309"/>
    <cellStyle name="Note 8 2 4 2" xfId="37011"/>
    <cellStyle name="Note 8 2 4 3" xfId="37010"/>
    <cellStyle name="Note 8 2 5" xfId="10619"/>
    <cellStyle name="Note 8 2 5 2" xfId="37013"/>
    <cellStyle name="Note 8 2 5 3" xfId="37012"/>
    <cellStyle name="Note 8 2 6" xfId="37014"/>
    <cellStyle name="Note 8 2 7" xfId="36999"/>
    <cellStyle name="Note 8 3" xfId="2034"/>
    <cellStyle name="Note 8 3 2" xfId="8319"/>
    <cellStyle name="Note 8 3 2 2" xfId="37017"/>
    <cellStyle name="Note 8 3 2 3" xfId="37016"/>
    <cellStyle name="Note 8 3 3" xfId="5192"/>
    <cellStyle name="Note 8 3 3 2" xfId="37019"/>
    <cellStyle name="Note 8 3 3 3" xfId="37018"/>
    <cellStyle name="Note 8 3 4" xfId="11502"/>
    <cellStyle name="Note 8 3 4 2" xfId="37021"/>
    <cellStyle name="Note 8 3 4 3" xfId="37020"/>
    <cellStyle name="Note 8 3 5" xfId="37022"/>
    <cellStyle name="Note 8 3 6" xfId="37015"/>
    <cellStyle name="Note 8 4" xfId="6756"/>
    <cellStyle name="Note 8 4 2" xfId="37024"/>
    <cellStyle name="Note 8 4 3" xfId="37023"/>
    <cellStyle name="Note 8 5" xfId="3629"/>
    <cellStyle name="Note 8 5 2" xfId="37026"/>
    <cellStyle name="Note 8 5 3" xfId="37025"/>
    <cellStyle name="Note 8 6" xfId="10061"/>
    <cellStyle name="Note 8 6 2" xfId="37028"/>
    <cellStyle name="Note 8 6 3" xfId="37027"/>
    <cellStyle name="Note 8 7" xfId="37029"/>
    <cellStyle name="Note 8 8" xfId="36998"/>
    <cellStyle name="Note 9" xfId="456"/>
    <cellStyle name="Note 9 2" xfId="1163"/>
    <cellStyle name="Note 9 2 2" xfId="2728"/>
    <cellStyle name="Note 9 2 2 2" xfId="9013"/>
    <cellStyle name="Note 9 2 2 2 2" xfId="37034"/>
    <cellStyle name="Note 9 2 2 2 3" xfId="37033"/>
    <cellStyle name="Note 9 2 2 3" xfId="5886"/>
    <cellStyle name="Note 9 2 2 3 2" xfId="37036"/>
    <cellStyle name="Note 9 2 2 3 3" xfId="37035"/>
    <cellStyle name="Note 9 2 2 4" xfId="12196"/>
    <cellStyle name="Note 9 2 2 4 2" xfId="37038"/>
    <cellStyle name="Note 9 2 2 4 3" xfId="37037"/>
    <cellStyle name="Note 9 2 2 5" xfId="37039"/>
    <cellStyle name="Note 9 2 2 6" xfId="37032"/>
    <cellStyle name="Note 9 2 3" xfId="7450"/>
    <cellStyle name="Note 9 2 3 2" xfId="37041"/>
    <cellStyle name="Note 9 2 3 3" xfId="37040"/>
    <cellStyle name="Note 9 2 4" xfId="4323"/>
    <cellStyle name="Note 9 2 4 2" xfId="37043"/>
    <cellStyle name="Note 9 2 4 3" xfId="37042"/>
    <cellStyle name="Note 9 2 5" xfId="10633"/>
    <cellStyle name="Note 9 2 5 2" xfId="37045"/>
    <cellStyle name="Note 9 2 5 3" xfId="37044"/>
    <cellStyle name="Note 9 2 6" xfId="37046"/>
    <cellStyle name="Note 9 2 7" xfId="37031"/>
    <cellStyle name="Note 9 3" xfId="2048"/>
    <cellStyle name="Note 9 3 2" xfId="8333"/>
    <cellStyle name="Note 9 3 2 2" xfId="37049"/>
    <cellStyle name="Note 9 3 2 3" xfId="37048"/>
    <cellStyle name="Note 9 3 3" xfId="5206"/>
    <cellStyle name="Note 9 3 3 2" xfId="37051"/>
    <cellStyle name="Note 9 3 3 3" xfId="37050"/>
    <cellStyle name="Note 9 3 4" xfId="11516"/>
    <cellStyle name="Note 9 3 4 2" xfId="37053"/>
    <cellStyle name="Note 9 3 4 3" xfId="37052"/>
    <cellStyle name="Note 9 3 5" xfId="37054"/>
    <cellStyle name="Note 9 3 6" xfId="37047"/>
    <cellStyle name="Note 9 4" xfId="6770"/>
    <cellStyle name="Note 9 4 2" xfId="37056"/>
    <cellStyle name="Note 9 4 3" xfId="37055"/>
    <cellStyle name="Note 9 5" xfId="3643"/>
    <cellStyle name="Note 9 5 2" xfId="37058"/>
    <cellStyle name="Note 9 5 3" xfId="37057"/>
    <cellStyle name="Note 9 6" xfId="10075"/>
    <cellStyle name="Note 9 6 2" xfId="37060"/>
    <cellStyle name="Note 9 6 3" xfId="37059"/>
    <cellStyle name="Note 9 7" xfId="37061"/>
    <cellStyle name="Note 9 8" xfId="37030"/>
    <cellStyle name="Output" xfId="20" builtinId="21" customBuiltin="1"/>
    <cellStyle name="Output 2" xfId="37062"/>
    <cellStyle name="Percent" xfId="6" builtinId="5"/>
    <cellStyle name="Percent 2" xfId="219"/>
    <cellStyle name="Percent 2 2" xfId="37063"/>
    <cellStyle name="Percent 2 3" xfId="38171"/>
    <cellStyle name="Percent 3" xfId="218"/>
    <cellStyle name="Percent 3 10" xfId="1702"/>
    <cellStyle name="Percent 3 10 2" xfId="3267"/>
    <cellStyle name="Percent 3 10 2 2" xfId="9552"/>
    <cellStyle name="Percent 3 10 2 2 2" xfId="37068"/>
    <cellStyle name="Percent 3 10 2 2 3" xfId="37067"/>
    <cellStyle name="Percent 3 10 2 3" xfId="6425"/>
    <cellStyle name="Percent 3 10 2 3 2" xfId="37070"/>
    <cellStyle name="Percent 3 10 2 3 3" xfId="37069"/>
    <cellStyle name="Percent 3 10 2 4" xfId="12735"/>
    <cellStyle name="Percent 3 10 2 4 2" xfId="37072"/>
    <cellStyle name="Percent 3 10 2 4 3" xfId="37071"/>
    <cellStyle name="Percent 3 10 2 5" xfId="37073"/>
    <cellStyle name="Percent 3 10 2 6" xfId="37066"/>
    <cellStyle name="Percent 3 10 3" xfId="7989"/>
    <cellStyle name="Percent 3 10 3 2" xfId="37075"/>
    <cellStyle name="Percent 3 10 3 3" xfId="37074"/>
    <cellStyle name="Percent 3 10 4" xfId="4862"/>
    <cellStyle name="Percent 3 10 4 2" xfId="37077"/>
    <cellStyle name="Percent 3 10 4 3" xfId="37076"/>
    <cellStyle name="Percent 3 10 5" xfId="11172"/>
    <cellStyle name="Percent 3 10 5 2" xfId="37079"/>
    <cellStyle name="Percent 3 10 5 3" xfId="37078"/>
    <cellStyle name="Percent 3 10 6" xfId="37080"/>
    <cellStyle name="Percent 3 10 7" xfId="37065"/>
    <cellStyle name="Percent 3 11" xfId="9904"/>
    <cellStyle name="Percent 3 11 2" xfId="37081"/>
    <cellStyle name="Percent 3 12" xfId="9770"/>
    <cellStyle name="Percent 3 12 2" xfId="37083"/>
    <cellStyle name="Percent 3 12 3" xfId="37082"/>
    <cellStyle name="Percent 3 13" xfId="37064"/>
    <cellStyle name="Percent 3 14" xfId="38172"/>
    <cellStyle name="Percent 3 2" xfId="816"/>
    <cellStyle name="Percent 3 2 10" xfId="37085"/>
    <cellStyle name="Percent 3 2 11" xfId="37084"/>
    <cellStyle name="Percent 3 2 2" xfId="817"/>
    <cellStyle name="Percent 3 2 2 10" xfId="37086"/>
    <cellStyle name="Percent 3 2 2 2" xfId="818"/>
    <cellStyle name="Percent 3 2 2 2 2" xfId="1503"/>
    <cellStyle name="Percent 3 2 2 2 2 2" xfId="3068"/>
    <cellStyle name="Percent 3 2 2 2 2 2 2" xfId="9353"/>
    <cellStyle name="Percent 3 2 2 2 2 2 2 2" xfId="37091"/>
    <cellStyle name="Percent 3 2 2 2 2 2 2 3" xfId="37090"/>
    <cellStyle name="Percent 3 2 2 2 2 2 3" xfId="6226"/>
    <cellStyle name="Percent 3 2 2 2 2 2 3 2" xfId="37093"/>
    <cellStyle name="Percent 3 2 2 2 2 2 3 3" xfId="37092"/>
    <cellStyle name="Percent 3 2 2 2 2 2 4" xfId="12536"/>
    <cellStyle name="Percent 3 2 2 2 2 2 4 2" xfId="37095"/>
    <cellStyle name="Percent 3 2 2 2 2 2 4 3" xfId="37094"/>
    <cellStyle name="Percent 3 2 2 2 2 2 5" xfId="37096"/>
    <cellStyle name="Percent 3 2 2 2 2 2 6" xfId="37089"/>
    <cellStyle name="Percent 3 2 2 2 2 3" xfId="7790"/>
    <cellStyle name="Percent 3 2 2 2 2 3 2" xfId="37098"/>
    <cellStyle name="Percent 3 2 2 2 2 3 3" xfId="37097"/>
    <cellStyle name="Percent 3 2 2 2 2 4" xfId="4663"/>
    <cellStyle name="Percent 3 2 2 2 2 4 2" xfId="37100"/>
    <cellStyle name="Percent 3 2 2 2 2 4 3" xfId="37099"/>
    <cellStyle name="Percent 3 2 2 2 2 5" xfId="10973"/>
    <cellStyle name="Percent 3 2 2 2 2 5 2" xfId="37102"/>
    <cellStyle name="Percent 3 2 2 2 2 5 3" xfId="37101"/>
    <cellStyle name="Percent 3 2 2 2 2 6" xfId="37103"/>
    <cellStyle name="Percent 3 2 2 2 2 7" xfId="37088"/>
    <cellStyle name="Percent 3 2 2 2 3" xfId="1705"/>
    <cellStyle name="Percent 3 2 2 2 3 2" xfId="3270"/>
    <cellStyle name="Percent 3 2 2 2 3 2 2" xfId="9555"/>
    <cellStyle name="Percent 3 2 2 2 3 2 2 2" xfId="37107"/>
    <cellStyle name="Percent 3 2 2 2 3 2 2 3" xfId="37106"/>
    <cellStyle name="Percent 3 2 2 2 3 2 3" xfId="6428"/>
    <cellStyle name="Percent 3 2 2 2 3 2 3 2" xfId="37109"/>
    <cellStyle name="Percent 3 2 2 2 3 2 3 3" xfId="37108"/>
    <cellStyle name="Percent 3 2 2 2 3 2 4" xfId="12738"/>
    <cellStyle name="Percent 3 2 2 2 3 2 4 2" xfId="37111"/>
    <cellStyle name="Percent 3 2 2 2 3 2 4 3" xfId="37110"/>
    <cellStyle name="Percent 3 2 2 2 3 2 5" xfId="37112"/>
    <cellStyle name="Percent 3 2 2 2 3 2 6" xfId="37105"/>
    <cellStyle name="Percent 3 2 2 2 3 3" xfId="7992"/>
    <cellStyle name="Percent 3 2 2 2 3 3 2" xfId="37114"/>
    <cellStyle name="Percent 3 2 2 2 3 3 3" xfId="37113"/>
    <cellStyle name="Percent 3 2 2 2 3 4" xfId="4865"/>
    <cellStyle name="Percent 3 2 2 2 3 4 2" xfId="37116"/>
    <cellStyle name="Percent 3 2 2 2 3 4 3" xfId="37115"/>
    <cellStyle name="Percent 3 2 2 2 3 5" xfId="11175"/>
    <cellStyle name="Percent 3 2 2 2 3 5 2" xfId="37118"/>
    <cellStyle name="Percent 3 2 2 2 3 5 3" xfId="37117"/>
    <cellStyle name="Percent 3 2 2 2 3 6" xfId="37119"/>
    <cellStyle name="Percent 3 2 2 2 3 7" xfId="37104"/>
    <cellStyle name="Percent 3 2 2 2 4" xfId="2388"/>
    <cellStyle name="Percent 3 2 2 2 4 2" xfId="8673"/>
    <cellStyle name="Percent 3 2 2 2 4 2 2" xfId="37122"/>
    <cellStyle name="Percent 3 2 2 2 4 2 3" xfId="37121"/>
    <cellStyle name="Percent 3 2 2 2 4 3" xfId="5546"/>
    <cellStyle name="Percent 3 2 2 2 4 3 2" xfId="37124"/>
    <cellStyle name="Percent 3 2 2 2 4 3 3" xfId="37123"/>
    <cellStyle name="Percent 3 2 2 2 4 4" xfId="11856"/>
    <cellStyle name="Percent 3 2 2 2 4 4 2" xfId="37126"/>
    <cellStyle name="Percent 3 2 2 2 4 4 3" xfId="37125"/>
    <cellStyle name="Percent 3 2 2 2 4 5" xfId="37127"/>
    <cellStyle name="Percent 3 2 2 2 4 6" xfId="37120"/>
    <cellStyle name="Percent 3 2 2 2 5" xfId="7110"/>
    <cellStyle name="Percent 3 2 2 2 5 2" xfId="37129"/>
    <cellStyle name="Percent 3 2 2 2 5 3" xfId="37128"/>
    <cellStyle name="Percent 3 2 2 2 6" xfId="3983"/>
    <cellStyle name="Percent 3 2 2 2 6 2" xfId="37131"/>
    <cellStyle name="Percent 3 2 2 2 6 3" xfId="37130"/>
    <cellStyle name="Percent 3 2 2 2 7" xfId="9773"/>
    <cellStyle name="Percent 3 2 2 2 7 2" xfId="37133"/>
    <cellStyle name="Percent 3 2 2 2 7 3" xfId="37132"/>
    <cellStyle name="Percent 3 2 2 2 8" xfId="37134"/>
    <cellStyle name="Percent 3 2 2 2 9" xfId="37087"/>
    <cellStyle name="Percent 3 2 2 3" xfId="1502"/>
    <cellStyle name="Percent 3 2 2 3 2" xfId="3067"/>
    <cellStyle name="Percent 3 2 2 3 2 2" xfId="9352"/>
    <cellStyle name="Percent 3 2 2 3 2 2 2" xfId="37138"/>
    <cellStyle name="Percent 3 2 2 3 2 2 3" xfId="37137"/>
    <cellStyle name="Percent 3 2 2 3 2 3" xfId="6225"/>
    <cellStyle name="Percent 3 2 2 3 2 3 2" xfId="37140"/>
    <cellStyle name="Percent 3 2 2 3 2 3 3" xfId="37139"/>
    <cellStyle name="Percent 3 2 2 3 2 4" xfId="12535"/>
    <cellStyle name="Percent 3 2 2 3 2 4 2" xfId="37142"/>
    <cellStyle name="Percent 3 2 2 3 2 4 3" xfId="37141"/>
    <cellStyle name="Percent 3 2 2 3 2 5" xfId="37143"/>
    <cellStyle name="Percent 3 2 2 3 2 6" xfId="37136"/>
    <cellStyle name="Percent 3 2 2 3 3" xfId="7789"/>
    <cellStyle name="Percent 3 2 2 3 3 2" xfId="37145"/>
    <cellStyle name="Percent 3 2 2 3 3 3" xfId="37144"/>
    <cellStyle name="Percent 3 2 2 3 4" xfId="4662"/>
    <cellStyle name="Percent 3 2 2 3 4 2" xfId="37147"/>
    <cellStyle name="Percent 3 2 2 3 4 3" xfId="37146"/>
    <cellStyle name="Percent 3 2 2 3 5" xfId="10972"/>
    <cellStyle name="Percent 3 2 2 3 5 2" xfId="37149"/>
    <cellStyle name="Percent 3 2 2 3 5 3" xfId="37148"/>
    <cellStyle name="Percent 3 2 2 3 6" xfId="37150"/>
    <cellStyle name="Percent 3 2 2 3 7" xfId="37135"/>
    <cellStyle name="Percent 3 2 2 4" xfId="1704"/>
    <cellStyle name="Percent 3 2 2 4 2" xfId="3269"/>
    <cellStyle name="Percent 3 2 2 4 2 2" xfId="9554"/>
    <cellStyle name="Percent 3 2 2 4 2 2 2" xfId="37154"/>
    <cellStyle name="Percent 3 2 2 4 2 2 3" xfId="37153"/>
    <cellStyle name="Percent 3 2 2 4 2 3" xfId="6427"/>
    <cellStyle name="Percent 3 2 2 4 2 3 2" xfId="37156"/>
    <cellStyle name="Percent 3 2 2 4 2 3 3" xfId="37155"/>
    <cellStyle name="Percent 3 2 2 4 2 4" xfId="12737"/>
    <cellStyle name="Percent 3 2 2 4 2 4 2" xfId="37158"/>
    <cellStyle name="Percent 3 2 2 4 2 4 3" xfId="37157"/>
    <cellStyle name="Percent 3 2 2 4 2 5" xfId="37159"/>
    <cellStyle name="Percent 3 2 2 4 2 6" xfId="37152"/>
    <cellStyle name="Percent 3 2 2 4 3" xfId="7991"/>
    <cellStyle name="Percent 3 2 2 4 3 2" xfId="37161"/>
    <cellStyle name="Percent 3 2 2 4 3 3" xfId="37160"/>
    <cellStyle name="Percent 3 2 2 4 4" xfId="4864"/>
    <cellStyle name="Percent 3 2 2 4 4 2" xfId="37163"/>
    <cellStyle name="Percent 3 2 2 4 4 3" xfId="37162"/>
    <cellStyle name="Percent 3 2 2 4 5" xfId="11174"/>
    <cellStyle name="Percent 3 2 2 4 5 2" xfId="37165"/>
    <cellStyle name="Percent 3 2 2 4 5 3" xfId="37164"/>
    <cellStyle name="Percent 3 2 2 4 6" xfId="37166"/>
    <cellStyle name="Percent 3 2 2 4 7" xfId="37151"/>
    <cellStyle name="Percent 3 2 2 5" xfId="2387"/>
    <cellStyle name="Percent 3 2 2 5 2" xfId="8672"/>
    <cellStyle name="Percent 3 2 2 5 2 2" xfId="37169"/>
    <cellStyle name="Percent 3 2 2 5 2 3" xfId="37168"/>
    <cellStyle name="Percent 3 2 2 5 3" xfId="5545"/>
    <cellStyle name="Percent 3 2 2 5 3 2" xfId="37171"/>
    <cellStyle name="Percent 3 2 2 5 3 3" xfId="37170"/>
    <cellStyle name="Percent 3 2 2 5 4" xfId="11855"/>
    <cellStyle name="Percent 3 2 2 5 4 2" xfId="37173"/>
    <cellStyle name="Percent 3 2 2 5 4 3" xfId="37172"/>
    <cellStyle name="Percent 3 2 2 5 5" xfId="37174"/>
    <cellStyle name="Percent 3 2 2 5 6" xfId="37167"/>
    <cellStyle name="Percent 3 2 2 6" xfId="7109"/>
    <cellStyle name="Percent 3 2 2 6 2" xfId="37176"/>
    <cellStyle name="Percent 3 2 2 6 3" xfId="37175"/>
    <cellStyle name="Percent 3 2 2 7" xfId="3982"/>
    <cellStyle name="Percent 3 2 2 7 2" xfId="37178"/>
    <cellStyle name="Percent 3 2 2 7 3" xfId="37177"/>
    <cellStyle name="Percent 3 2 2 8" xfId="9772"/>
    <cellStyle name="Percent 3 2 2 8 2" xfId="37180"/>
    <cellStyle name="Percent 3 2 2 8 3" xfId="37179"/>
    <cellStyle name="Percent 3 2 2 9" xfId="37181"/>
    <cellStyle name="Percent 3 2 3" xfId="819"/>
    <cellStyle name="Percent 3 2 3 2" xfId="1504"/>
    <cellStyle name="Percent 3 2 3 2 2" xfId="3069"/>
    <cellStyle name="Percent 3 2 3 2 2 2" xfId="9354"/>
    <cellStyle name="Percent 3 2 3 2 2 2 2" xfId="37186"/>
    <cellStyle name="Percent 3 2 3 2 2 2 3" xfId="37185"/>
    <cellStyle name="Percent 3 2 3 2 2 3" xfId="6227"/>
    <cellStyle name="Percent 3 2 3 2 2 3 2" xfId="37188"/>
    <cellStyle name="Percent 3 2 3 2 2 3 3" xfId="37187"/>
    <cellStyle name="Percent 3 2 3 2 2 4" xfId="12537"/>
    <cellStyle name="Percent 3 2 3 2 2 4 2" xfId="37190"/>
    <cellStyle name="Percent 3 2 3 2 2 4 3" xfId="37189"/>
    <cellStyle name="Percent 3 2 3 2 2 5" xfId="37191"/>
    <cellStyle name="Percent 3 2 3 2 2 6" xfId="37184"/>
    <cellStyle name="Percent 3 2 3 2 3" xfId="7791"/>
    <cellStyle name="Percent 3 2 3 2 3 2" xfId="37193"/>
    <cellStyle name="Percent 3 2 3 2 3 3" xfId="37192"/>
    <cellStyle name="Percent 3 2 3 2 4" xfId="4664"/>
    <cellStyle name="Percent 3 2 3 2 4 2" xfId="37195"/>
    <cellStyle name="Percent 3 2 3 2 4 3" xfId="37194"/>
    <cellStyle name="Percent 3 2 3 2 5" xfId="10974"/>
    <cellStyle name="Percent 3 2 3 2 5 2" xfId="37197"/>
    <cellStyle name="Percent 3 2 3 2 5 3" xfId="37196"/>
    <cellStyle name="Percent 3 2 3 2 6" xfId="37198"/>
    <cellStyle name="Percent 3 2 3 2 7" xfId="37183"/>
    <cellStyle name="Percent 3 2 3 3" xfId="1706"/>
    <cellStyle name="Percent 3 2 3 3 2" xfId="3271"/>
    <cellStyle name="Percent 3 2 3 3 2 2" xfId="9556"/>
    <cellStyle name="Percent 3 2 3 3 2 2 2" xfId="37202"/>
    <cellStyle name="Percent 3 2 3 3 2 2 3" xfId="37201"/>
    <cellStyle name="Percent 3 2 3 3 2 3" xfId="6429"/>
    <cellStyle name="Percent 3 2 3 3 2 3 2" xfId="37204"/>
    <cellStyle name="Percent 3 2 3 3 2 3 3" xfId="37203"/>
    <cellStyle name="Percent 3 2 3 3 2 4" xfId="12739"/>
    <cellStyle name="Percent 3 2 3 3 2 4 2" xfId="37206"/>
    <cellStyle name="Percent 3 2 3 3 2 4 3" xfId="37205"/>
    <cellStyle name="Percent 3 2 3 3 2 5" xfId="37207"/>
    <cellStyle name="Percent 3 2 3 3 2 6" xfId="37200"/>
    <cellStyle name="Percent 3 2 3 3 3" xfId="7993"/>
    <cellStyle name="Percent 3 2 3 3 3 2" xfId="37209"/>
    <cellStyle name="Percent 3 2 3 3 3 3" xfId="37208"/>
    <cellStyle name="Percent 3 2 3 3 4" xfId="4866"/>
    <cellStyle name="Percent 3 2 3 3 4 2" xfId="37211"/>
    <cellStyle name="Percent 3 2 3 3 4 3" xfId="37210"/>
    <cellStyle name="Percent 3 2 3 3 5" xfId="11176"/>
    <cellStyle name="Percent 3 2 3 3 5 2" xfId="37213"/>
    <cellStyle name="Percent 3 2 3 3 5 3" xfId="37212"/>
    <cellStyle name="Percent 3 2 3 3 6" xfId="37214"/>
    <cellStyle name="Percent 3 2 3 3 7" xfId="37199"/>
    <cellStyle name="Percent 3 2 3 4" xfId="2389"/>
    <cellStyle name="Percent 3 2 3 4 2" xfId="8674"/>
    <cellStyle name="Percent 3 2 3 4 2 2" xfId="37217"/>
    <cellStyle name="Percent 3 2 3 4 2 3" xfId="37216"/>
    <cellStyle name="Percent 3 2 3 4 3" xfId="5547"/>
    <cellStyle name="Percent 3 2 3 4 3 2" xfId="37219"/>
    <cellStyle name="Percent 3 2 3 4 3 3" xfId="37218"/>
    <cellStyle name="Percent 3 2 3 4 4" xfId="11857"/>
    <cellStyle name="Percent 3 2 3 4 4 2" xfId="37221"/>
    <cellStyle name="Percent 3 2 3 4 4 3" xfId="37220"/>
    <cellStyle name="Percent 3 2 3 4 5" xfId="37222"/>
    <cellStyle name="Percent 3 2 3 4 6" xfId="37215"/>
    <cellStyle name="Percent 3 2 3 5" xfId="7111"/>
    <cellStyle name="Percent 3 2 3 5 2" xfId="37224"/>
    <cellStyle name="Percent 3 2 3 5 3" xfId="37223"/>
    <cellStyle name="Percent 3 2 3 6" xfId="3984"/>
    <cellStyle name="Percent 3 2 3 6 2" xfId="37226"/>
    <cellStyle name="Percent 3 2 3 6 3" xfId="37225"/>
    <cellStyle name="Percent 3 2 3 7" xfId="9774"/>
    <cellStyle name="Percent 3 2 3 7 2" xfId="37228"/>
    <cellStyle name="Percent 3 2 3 7 3" xfId="37227"/>
    <cellStyle name="Percent 3 2 3 8" xfId="37229"/>
    <cellStyle name="Percent 3 2 3 9" xfId="37182"/>
    <cellStyle name="Percent 3 2 4" xfId="1501"/>
    <cellStyle name="Percent 3 2 4 2" xfId="3066"/>
    <cellStyle name="Percent 3 2 4 2 2" xfId="9351"/>
    <cellStyle name="Percent 3 2 4 2 2 2" xfId="37233"/>
    <cellStyle name="Percent 3 2 4 2 2 3" xfId="37232"/>
    <cellStyle name="Percent 3 2 4 2 3" xfId="6224"/>
    <cellStyle name="Percent 3 2 4 2 3 2" xfId="37235"/>
    <cellStyle name="Percent 3 2 4 2 3 3" xfId="37234"/>
    <cellStyle name="Percent 3 2 4 2 4" xfId="12534"/>
    <cellStyle name="Percent 3 2 4 2 4 2" xfId="37237"/>
    <cellStyle name="Percent 3 2 4 2 4 3" xfId="37236"/>
    <cellStyle name="Percent 3 2 4 2 5" xfId="37238"/>
    <cellStyle name="Percent 3 2 4 2 6" xfId="37231"/>
    <cellStyle name="Percent 3 2 4 3" xfId="7788"/>
    <cellStyle name="Percent 3 2 4 3 2" xfId="37240"/>
    <cellStyle name="Percent 3 2 4 3 3" xfId="37239"/>
    <cellStyle name="Percent 3 2 4 4" xfId="4661"/>
    <cellStyle name="Percent 3 2 4 4 2" xfId="37242"/>
    <cellStyle name="Percent 3 2 4 4 3" xfId="37241"/>
    <cellStyle name="Percent 3 2 4 5" xfId="10971"/>
    <cellStyle name="Percent 3 2 4 5 2" xfId="37244"/>
    <cellStyle name="Percent 3 2 4 5 3" xfId="37243"/>
    <cellStyle name="Percent 3 2 4 6" xfId="37245"/>
    <cellStyle name="Percent 3 2 4 7" xfId="37230"/>
    <cellStyle name="Percent 3 2 5" xfId="1703"/>
    <cellStyle name="Percent 3 2 5 2" xfId="3268"/>
    <cellStyle name="Percent 3 2 5 2 2" xfId="9553"/>
    <cellStyle name="Percent 3 2 5 2 2 2" xfId="37249"/>
    <cellStyle name="Percent 3 2 5 2 2 3" xfId="37248"/>
    <cellStyle name="Percent 3 2 5 2 3" xfId="6426"/>
    <cellStyle name="Percent 3 2 5 2 3 2" xfId="37251"/>
    <cellStyle name="Percent 3 2 5 2 3 3" xfId="37250"/>
    <cellStyle name="Percent 3 2 5 2 4" xfId="12736"/>
    <cellStyle name="Percent 3 2 5 2 4 2" xfId="37253"/>
    <cellStyle name="Percent 3 2 5 2 4 3" xfId="37252"/>
    <cellStyle name="Percent 3 2 5 2 5" xfId="37254"/>
    <cellStyle name="Percent 3 2 5 2 6" xfId="37247"/>
    <cellStyle name="Percent 3 2 5 3" xfId="7990"/>
    <cellStyle name="Percent 3 2 5 3 2" xfId="37256"/>
    <cellStyle name="Percent 3 2 5 3 3" xfId="37255"/>
    <cellStyle name="Percent 3 2 5 4" xfId="4863"/>
    <cellStyle name="Percent 3 2 5 4 2" xfId="37258"/>
    <cellStyle name="Percent 3 2 5 4 3" xfId="37257"/>
    <cellStyle name="Percent 3 2 5 5" xfId="11173"/>
    <cellStyle name="Percent 3 2 5 5 2" xfId="37260"/>
    <cellStyle name="Percent 3 2 5 5 3" xfId="37259"/>
    <cellStyle name="Percent 3 2 5 6" xfId="37261"/>
    <cellStyle name="Percent 3 2 5 7" xfId="37246"/>
    <cellStyle name="Percent 3 2 6" xfId="2386"/>
    <cellStyle name="Percent 3 2 6 2" xfId="8671"/>
    <cellStyle name="Percent 3 2 6 2 2" xfId="37264"/>
    <cellStyle name="Percent 3 2 6 2 3" xfId="37263"/>
    <cellStyle name="Percent 3 2 6 3" xfId="5544"/>
    <cellStyle name="Percent 3 2 6 3 2" xfId="37266"/>
    <cellStyle name="Percent 3 2 6 3 3" xfId="37265"/>
    <cellStyle name="Percent 3 2 6 4" xfId="11854"/>
    <cellStyle name="Percent 3 2 6 4 2" xfId="37268"/>
    <cellStyle name="Percent 3 2 6 4 3" xfId="37267"/>
    <cellStyle name="Percent 3 2 6 5" xfId="37269"/>
    <cellStyle name="Percent 3 2 6 6" xfId="37262"/>
    <cellStyle name="Percent 3 2 7" xfId="7108"/>
    <cellStyle name="Percent 3 2 7 2" xfId="37271"/>
    <cellStyle name="Percent 3 2 7 3" xfId="37270"/>
    <cellStyle name="Percent 3 2 8" xfId="3981"/>
    <cellStyle name="Percent 3 2 8 2" xfId="37273"/>
    <cellStyle name="Percent 3 2 8 3" xfId="37272"/>
    <cellStyle name="Percent 3 2 9" xfId="9771"/>
    <cellStyle name="Percent 3 2 9 2" xfId="37275"/>
    <cellStyle name="Percent 3 2 9 3" xfId="37274"/>
    <cellStyle name="Percent 3 3" xfId="820"/>
    <cellStyle name="Percent 3 3 10" xfId="37277"/>
    <cellStyle name="Percent 3 3 11" xfId="37276"/>
    <cellStyle name="Percent 3 3 2" xfId="821"/>
    <cellStyle name="Percent 3 3 2 10" xfId="37278"/>
    <cellStyle name="Percent 3 3 2 2" xfId="822"/>
    <cellStyle name="Percent 3 3 2 2 2" xfId="1507"/>
    <cellStyle name="Percent 3 3 2 2 2 2" xfId="3072"/>
    <cellStyle name="Percent 3 3 2 2 2 2 2" xfId="9357"/>
    <cellStyle name="Percent 3 3 2 2 2 2 2 2" xfId="37283"/>
    <cellStyle name="Percent 3 3 2 2 2 2 2 3" xfId="37282"/>
    <cellStyle name="Percent 3 3 2 2 2 2 3" xfId="6230"/>
    <cellStyle name="Percent 3 3 2 2 2 2 3 2" xfId="37285"/>
    <cellStyle name="Percent 3 3 2 2 2 2 3 3" xfId="37284"/>
    <cellStyle name="Percent 3 3 2 2 2 2 4" xfId="12540"/>
    <cellStyle name="Percent 3 3 2 2 2 2 4 2" xfId="37287"/>
    <cellStyle name="Percent 3 3 2 2 2 2 4 3" xfId="37286"/>
    <cellStyle name="Percent 3 3 2 2 2 2 5" xfId="37288"/>
    <cellStyle name="Percent 3 3 2 2 2 2 6" xfId="37281"/>
    <cellStyle name="Percent 3 3 2 2 2 3" xfId="7794"/>
    <cellStyle name="Percent 3 3 2 2 2 3 2" xfId="37290"/>
    <cellStyle name="Percent 3 3 2 2 2 3 3" xfId="37289"/>
    <cellStyle name="Percent 3 3 2 2 2 4" xfId="4667"/>
    <cellStyle name="Percent 3 3 2 2 2 4 2" xfId="37292"/>
    <cellStyle name="Percent 3 3 2 2 2 4 3" xfId="37291"/>
    <cellStyle name="Percent 3 3 2 2 2 5" xfId="10977"/>
    <cellStyle name="Percent 3 3 2 2 2 5 2" xfId="37294"/>
    <cellStyle name="Percent 3 3 2 2 2 5 3" xfId="37293"/>
    <cellStyle name="Percent 3 3 2 2 2 6" xfId="37295"/>
    <cellStyle name="Percent 3 3 2 2 2 7" xfId="37280"/>
    <cellStyle name="Percent 3 3 2 2 3" xfId="1709"/>
    <cellStyle name="Percent 3 3 2 2 3 2" xfId="3274"/>
    <cellStyle name="Percent 3 3 2 2 3 2 2" xfId="9559"/>
    <cellStyle name="Percent 3 3 2 2 3 2 2 2" xfId="37299"/>
    <cellStyle name="Percent 3 3 2 2 3 2 2 3" xfId="37298"/>
    <cellStyle name="Percent 3 3 2 2 3 2 3" xfId="6432"/>
    <cellStyle name="Percent 3 3 2 2 3 2 3 2" xfId="37301"/>
    <cellStyle name="Percent 3 3 2 2 3 2 3 3" xfId="37300"/>
    <cellStyle name="Percent 3 3 2 2 3 2 4" xfId="12742"/>
    <cellStyle name="Percent 3 3 2 2 3 2 4 2" xfId="37303"/>
    <cellStyle name="Percent 3 3 2 2 3 2 4 3" xfId="37302"/>
    <cellStyle name="Percent 3 3 2 2 3 2 5" xfId="37304"/>
    <cellStyle name="Percent 3 3 2 2 3 2 6" xfId="37297"/>
    <cellStyle name="Percent 3 3 2 2 3 3" xfId="7996"/>
    <cellStyle name="Percent 3 3 2 2 3 3 2" xfId="37306"/>
    <cellStyle name="Percent 3 3 2 2 3 3 3" xfId="37305"/>
    <cellStyle name="Percent 3 3 2 2 3 4" xfId="4869"/>
    <cellStyle name="Percent 3 3 2 2 3 4 2" xfId="37308"/>
    <cellStyle name="Percent 3 3 2 2 3 4 3" xfId="37307"/>
    <cellStyle name="Percent 3 3 2 2 3 5" xfId="11179"/>
    <cellStyle name="Percent 3 3 2 2 3 5 2" xfId="37310"/>
    <cellStyle name="Percent 3 3 2 2 3 5 3" xfId="37309"/>
    <cellStyle name="Percent 3 3 2 2 3 6" xfId="37311"/>
    <cellStyle name="Percent 3 3 2 2 3 7" xfId="37296"/>
    <cellStyle name="Percent 3 3 2 2 4" xfId="2392"/>
    <cellStyle name="Percent 3 3 2 2 4 2" xfId="8677"/>
    <cellStyle name="Percent 3 3 2 2 4 2 2" xfId="37314"/>
    <cellStyle name="Percent 3 3 2 2 4 2 3" xfId="37313"/>
    <cellStyle name="Percent 3 3 2 2 4 3" xfId="5550"/>
    <cellStyle name="Percent 3 3 2 2 4 3 2" xfId="37316"/>
    <cellStyle name="Percent 3 3 2 2 4 3 3" xfId="37315"/>
    <cellStyle name="Percent 3 3 2 2 4 4" xfId="11860"/>
    <cellStyle name="Percent 3 3 2 2 4 4 2" xfId="37318"/>
    <cellStyle name="Percent 3 3 2 2 4 4 3" xfId="37317"/>
    <cellStyle name="Percent 3 3 2 2 4 5" xfId="37319"/>
    <cellStyle name="Percent 3 3 2 2 4 6" xfId="37312"/>
    <cellStyle name="Percent 3 3 2 2 5" xfId="7114"/>
    <cellStyle name="Percent 3 3 2 2 5 2" xfId="37321"/>
    <cellStyle name="Percent 3 3 2 2 5 3" xfId="37320"/>
    <cellStyle name="Percent 3 3 2 2 6" xfId="3987"/>
    <cellStyle name="Percent 3 3 2 2 6 2" xfId="37323"/>
    <cellStyle name="Percent 3 3 2 2 6 3" xfId="37322"/>
    <cellStyle name="Percent 3 3 2 2 7" xfId="9777"/>
    <cellStyle name="Percent 3 3 2 2 7 2" xfId="37325"/>
    <cellStyle name="Percent 3 3 2 2 7 3" xfId="37324"/>
    <cellStyle name="Percent 3 3 2 2 8" xfId="37326"/>
    <cellStyle name="Percent 3 3 2 2 9" xfId="37279"/>
    <cellStyle name="Percent 3 3 2 3" xfId="1506"/>
    <cellStyle name="Percent 3 3 2 3 2" xfId="3071"/>
    <cellStyle name="Percent 3 3 2 3 2 2" xfId="9356"/>
    <cellStyle name="Percent 3 3 2 3 2 2 2" xfId="37330"/>
    <cellStyle name="Percent 3 3 2 3 2 2 3" xfId="37329"/>
    <cellStyle name="Percent 3 3 2 3 2 3" xfId="6229"/>
    <cellStyle name="Percent 3 3 2 3 2 3 2" xfId="37332"/>
    <cellStyle name="Percent 3 3 2 3 2 3 3" xfId="37331"/>
    <cellStyle name="Percent 3 3 2 3 2 4" xfId="12539"/>
    <cellStyle name="Percent 3 3 2 3 2 4 2" xfId="37334"/>
    <cellStyle name="Percent 3 3 2 3 2 4 3" xfId="37333"/>
    <cellStyle name="Percent 3 3 2 3 2 5" xfId="37335"/>
    <cellStyle name="Percent 3 3 2 3 2 6" xfId="37328"/>
    <cellStyle name="Percent 3 3 2 3 3" xfId="7793"/>
    <cellStyle name="Percent 3 3 2 3 3 2" xfId="37337"/>
    <cellStyle name="Percent 3 3 2 3 3 3" xfId="37336"/>
    <cellStyle name="Percent 3 3 2 3 4" xfId="4666"/>
    <cellStyle name="Percent 3 3 2 3 4 2" xfId="37339"/>
    <cellStyle name="Percent 3 3 2 3 4 3" xfId="37338"/>
    <cellStyle name="Percent 3 3 2 3 5" xfId="10976"/>
    <cellStyle name="Percent 3 3 2 3 5 2" xfId="37341"/>
    <cellStyle name="Percent 3 3 2 3 5 3" xfId="37340"/>
    <cellStyle name="Percent 3 3 2 3 6" xfId="37342"/>
    <cellStyle name="Percent 3 3 2 3 7" xfId="37327"/>
    <cellStyle name="Percent 3 3 2 4" xfId="1708"/>
    <cellStyle name="Percent 3 3 2 4 2" xfId="3273"/>
    <cellStyle name="Percent 3 3 2 4 2 2" xfId="9558"/>
    <cellStyle name="Percent 3 3 2 4 2 2 2" xfId="37346"/>
    <cellStyle name="Percent 3 3 2 4 2 2 3" xfId="37345"/>
    <cellStyle name="Percent 3 3 2 4 2 3" xfId="6431"/>
    <cellStyle name="Percent 3 3 2 4 2 3 2" xfId="37348"/>
    <cellStyle name="Percent 3 3 2 4 2 3 3" xfId="37347"/>
    <cellStyle name="Percent 3 3 2 4 2 4" xfId="12741"/>
    <cellStyle name="Percent 3 3 2 4 2 4 2" xfId="37350"/>
    <cellStyle name="Percent 3 3 2 4 2 4 3" xfId="37349"/>
    <cellStyle name="Percent 3 3 2 4 2 5" xfId="37351"/>
    <cellStyle name="Percent 3 3 2 4 2 6" xfId="37344"/>
    <cellStyle name="Percent 3 3 2 4 3" xfId="7995"/>
    <cellStyle name="Percent 3 3 2 4 3 2" xfId="37353"/>
    <cellStyle name="Percent 3 3 2 4 3 3" xfId="37352"/>
    <cellStyle name="Percent 3 3 2 4 4" xfId="4868"/>
    <cellStyle name="Percent 3 3 2 4 4 2" xfId="37355"/>
    <cellStyle name="Percent 3 3 2 4 4 3" xfId="37354"/>
    <cellStyle name="Percent 3 3 2 4 5" xfId="11178"/>
    <cellStyle name="Percent 3 3 2 4 5 2" xfId="37357"/>
    <cellStyle name="Percent 3 3 2 4 5 3" xfId="37356"/>
    <cellStyle name="Percent 3 3 2 4 6" xfId="37358"/>
    <cellStyle name="Percent 3 3 2 4 7" xfId="37343"/>
    <cellStyle name="Percent 3 3 2 5" xfId="2391"/>
    <cellStyle name="Percent 3 3 2 5 2" xfId="8676"/>
    <cellStyle name="Percent 3 3 2 5 2 2" xfId="37361"/>
    <cellStyle name="Percent 3 3 2 5 2 3" xfId="37360"/>
    <cellStyle name="Percent 3 3 2 5 3" xfId="5549"/>
    <cellStyle name="Percent 3 3 2 5 3 2" xfId="37363"/>
    <cellStyle name="Percent 3 3 2 5 3 3" xfId="37362"/>
    <cellStyle name="Percent 3 3 2 5 4" xfId="11859"/>
    <cellStyle name="Percent 3 3 2 5 4 2" xfId="37365"/>
    <cellStyle name="Percent 3 3 2 5 4 3" xfId="37364"/>
    <cellStyle name="Percent 3 3 2 5 5" xfId="37366"/>
    <cellStyle name="Percent 3 3 2 5 6" xfId="37359"/>
    <cellStyle name="Percent 3 3 2 6" xfId="7113"/>
    <cellStyle name="Percent 3 3 2 6 2" xfId="37368"/>
    <cellStyle name="Percent 3 3 2 6 3" xfId="37367"/>
    <cellStyle name="Percent 3 3 2 7" xfId="3986"/>
    <cellStyle name="Percent 3 3 2 7 2" xfId="37370"/>
    <cellStyle name="Percent 3 3 2 7 3" xfId="37369"/>
    <cellStyle name="Percent 3 3 2 8" xfId="9776"/>
    <cellStyle name="Percent 3 3 2 8 2" xfId="37372"/>
    <cellStyle name="Percent 3 3 2 8 3" xfId="37371"/>
    <cellStyle name="Percent 3 3 2 9" xfId="37373"/>
    <cellStyle name="Percent 3 3 3" xfId="823"/>
    <cellStyle name="Percent 3 3 3 2" xfId="1508"/>
    <cellStyle name="Percent 3 3 3 2 2" xfId="3073"/>
    <cellStyle name="Percent 3 3 3 2 2 2" xfId="9358"/>
    <cellStyle name="Percent 3 3 3 2 2 2 2" xfId="37378"/>
    <cellStyle name="Percent 3 3 3 2 2 2 3" xfId="37377"/>
    <cellStyle name="Percent 3 3 3 2 2 3" xfId="6231"/>
    <cellStyle name="Percent 3 3 3 2 2 3 2" xfId="37380"/>
    <cellStyle name="Percent 3 3 3 2 2 3 3" xfId="37379"/>
    <cellStyle name="Percent 3 3 3 2 2 4" xfId="12541"/>
    <cellStyle name="Percent 3 3 3 2 2 4 2" xfId="37382"/>
    <cellStyle name="Percent 3 3 3 2 2 4 3" xfId="37381"/>
    <cellStyle name="Percent 3 3 3 2 2 5" xfId="37383"/>
    <cellStyle name="Percent 3 3 3 2 2 6" xfId="37376"/>
    <cellStyle name="Percent 3 3 3 2 3" xfId="7795"/>
    <cellStyle name="Percent 3 3 3 2 3 2" xfId="37385"/>
    <cellStyle name="Percent 3 3 3 2 3 3" xfId="37384"/>
    <cellStyle name="Percent 3 3 3 2 4" xfId="4668"/>
    <cellStyle name="Percent 3 3 3 2 4 2" xfId="37387"/>
    <cellStyle name="Percent 3 3 3 2 4 3" xfId="37386"/>
    <cellStyle name="Percent 3 3 3 2 5" xfId="10978"/>
    <cellStyle name="Percent 3 3 3 2 5 2" xfId="37389"/>
    <cellStyle name="Percent 3 3 3 2 5 3" xfId="37388"/>
    <cellStyle name="Percent 3 3 3 2 6" xfId="37390"/>
    <cellStyle name="Percent 3 3 3 2 7" xfId="37375"/>
    <cellStyle name="Percent 3 3 3 3" xfId="1710"/>
    <cellStyle name="Percent 3 3 3 3 2" xfId="3275"/>
    <cellStyle name="Percent 3 3 3 3 2 2" xfId="9560"/>
    <cellStyle name="Percent 3 3 3 3 2 2 2" xfId="37394"/>
    <cellStyle name="Percent 3 3 3 3 2 2 3" xfId="37393"/>
    <cellStyle name="Percent 3 3 3 3 2 3" xfId="6433"/>
    <cellStyle name="Percent 3 3 3 3 2 3 2" xfId="37396"/>
    <cellStyle name="Percent 3 3 3 3 2 3 3" xfId="37395"/>
    <cellStyle name="Percent 3 3 3 3 2 4" xfId="12743"/>
    <cellStyle name="Percent 3 3 3 3 2 4 2" xfId="37398"/>
    <cellStyle name="Percent 3 3 3 3 2 4 3" xfId="37397"/>
    <cellStyle name="Percent 3 3 3 3 2 5" xfId="37399"/>
    <cellStyle name="Percent 3 3 3 3 2 6" xfId="37392"/>
    <cellStyle name="Percent 3 3 3 3 3" xfId="7997"/>
    <cellStyle name="Percent 3 3 3 3 3 2" xfId="37401"/>
    <cellStyle name="Percent 3 3 3 3 3 3" xfId="37400"/>
    <cellStyle name="Percent 3 3 3 3 4" xfId="4870"/>
    <cellStyle name="Percent 3 3 3 3 4 2" xfId="37403"/>
    <cellStyle name="Percent 3 3 3 3 4 3" xfId="37402"/>
    <cellStyle name="Percent 3 3 3 3 5" xfId="11180"/>
    <cellStyle name="Percent 3 3 3 3 5 2" xfId="37405"/>
    <cellStyle name="Percent 3 3 3 3 5 3" xfId="37404"/>
    <cellStyle name="Percent 3 3 3 3 6" xfId="37406"/>
    <cellStyle name="Percent 3 3 3 3 7" xfId="37391"/>
    <cellStyle name="Percent 3 3 3 4" xfId="2393"/>
    <cellStyle name="Percent 3 3 3 4 2" xfId="8678"/>
    <cellStyle name="Percent 3 3 3 4 2 2" xfId="37409"/>
    <cellStyle name="Percent 3 3 3 4 2 3" xfId="37408"/>
    <cellStyle name="Percent 3 3 3 4 3" xfId="5551"/>
    <cellStyle name="Percent 3 3 3 4 3 2" xfId="37411"/>
    <cellStyle name="Percent 3 3 3 4 3 3" xfId="37410"/>
    <cellStyle name="Percent 3 3 3 4 4" xfId="11861"/>
    <cellStyle name="Percent 3 3 3 4 4 2" xfId="37413"/>
    <cellStyle name="Percent 3 3 3 4 4 3" xfId="37412"/>
    <cellStyle name="Percent 3 3 3 4 5" xfId="37414"/>
    <cellStyle name="Percent 3 3 3 4 6" xfId="37407"/>
    <cellStyle name="Percent 3 3 3 5" xfId="7115"/>
    <cellStyle name="Percent 3 3 3 5 2" xfId="37416"/>
    <cellStyle name="Percent 3 3 3 5 3" xfId="37415"/>
    <cellStyle name="Percent 3 3 3 6" xfId="3988"/>
    <cellStyle name="Percent 3 3 3 6 2" xfId="37418"/>
    <cellStyle name="Percent 3 3 3 6 3" xfId="37417"/>
    <cellStyle name="Percent 3 3 3 7" xfId="9778"/>
    <cellStyle name="Percent 3 3 3 7 2" xfId="37420"/>
    <cellStyle name="Percent 3 3 3 7 3" xfId="37419"/>
    <cellStyle name="Percent 3 3 3 8" xfId="37421"/>
    <cellStyle name="Percent 3 3 3 9" xfId="37374"/>
    <cellStyle name="Percent 3 3 4" xfId="1505"/>
    <cellStyle name="Percent 3 3 4 2" xfId="3070"/>
    <cellStyle name="Percent 3 3 4 2 2" xfId="9355"/>
    <cellStyle name="Percent 3 3 4 2 2 2" xfId="37425"/>
    <cellStyle name="Percent 3 3 4 2 2 3" xfId="37424"/>
    <cellStyle name="Percent 3 3 4 2 3" xfId="6228"/>
    <cellStyle name="Percent 3 3 4 2 3 2" xfId="37427"/>
    <cellStyle name="Percent 3 3 4 2 3 3" xfId="37426"/>
    <cellStyle name="Percent 3 3 4 2 4" xfId="12538"/>
    <cellStyle name="Percent 3 3 4 2 4 2" xfId="37429"/>
    <cellStyle name="Percent 3 3 4 2 4 3" xfId="37428"/>
    <cellStyle name="Percent 3 3 4 2 5" xfId="37430"/>
    <cellStyle name="Percent 3 3 4 2 6" xfId="37423"/>
    <cellStyle name="Percent 3 3 4 3" xfId="7792"/>
    <cellStyle name="Percent 3 3 4 3 2" xfId="37432"/>
    <cellStyle name="Percent 3 3 4 3 3" xfId="37431"/>
    <cellStyle name="Percent 3 3 4 4" xfId="4665"/>
    <cellStyle name="Percent 3 3 4 4 2" xfId="37434"/>
    <cellStyle name="Percent 3 3 4 4 3" xfId="37433"/>
    <cellStyle name="Percent 3 3 4 5" xfId="10975"/>
    <cellStyle name="Percent 3 3 4 5 2" xfId="37436"/>
    <cellStyle name="Percent 3 3 4 5 3" xfId="37435"/>
    <cellStyle name="Percent 3 3 4 6" xfId="37437"/>
    <cellStyle name="Percent 3 3 4 7" xfId="37422"/>
    <cellStyle name="Percent 3 3 5" xfId="1707"/>
    <cellStyle name="Percent 3 3 5 2" xfId="3272"/>
    <cellStyle name="Percent 3 3 5 2 2" xfId="9557"/>
    <cellStyle name="Percent 3 3 5 2 2 2" xfId="37441"/>
    <cellStyle name="Percent 3 3 5 2 2 3" xfId="37440"/>
    <cellStyle name="Percent 3 3 5 2 3" xfId="6430"/>
    <cellStyle name="Percent 3 3 5 2 3 2" xfId="37443"/>
    <cellStyle name="Percent 3 3 5 2 3 3" xfId="37442"/>
    <cellStyle name="Percent 3 3 5 2 4" xfId="12740"/>
    <cellStyle name="Percent 3 3 5 2 4 2" xfId="37445"/>
    <cellStyle name="Percent 3 3 5 2 4 3" xfId="37444"/>
    <cellStyle name="Percent 3 3 5 2 5" xfId="37446"/>
    <cellStyle name="Percent 3 3 5 2 6" xfId="37439"/>
    <cellStyle name="Percent 3 3 5 3" xfId="7994"/>
    <cellStyle name="Percent 3 3 5 3 2" xfId="37448"/>
    <cellStyle name="Percent 3 3 5 3 3" xfId="37447"/>
    <cellStyle name="Percent 3 3 5 4" xfId="4867"/>
    <cellStyle name="Percent 3 3 5 4 2" xfId="37450"/>
    <cellStyle name="Percent 3 3 5 4 3" xfId="37449"/>
    <cellStyle name="Percent 3 3 5 5" xfId="11177"/>
    <cellStyle name="Percent 3 3 5 5 2" xfId="37452"/>
    <cellStyle name="Percent 3 3 5 5 3" xfId="37451"/>
    <cellStyle name="Percent 3 3 5 6" xfId="37453"/>
    <cellStyle name="Percent 3 3 5 7" xfId="37438"/>
    <cellStyle name="Percent 3 3 6" xfId="2390"/>
    <cellStyle name="Percent 3 3 6 2" xfId="8675"/>
    <cellStyle name="Percent 3 3 6 2 2" xfId="37456"/>
    <cellStyle name="Percent 3 3 6 2 3" xfId="37455"/>
    <cellStyle name="Percent 3 3 6 3" xfId="5548"/>
    <cellStyle name="Percent 3 3 6 3 2" xfId="37458"/>
    <cellStyle name="Percent 3 3 6 3 3" xfId="37457"/>
    <cellStyle name="Percent 3 3 6 4" xfId="11858"/>
    <cellStyle name="Percent 3 3 6 4 2" xfId="37460"/>
    <cellStyle name="Percent 3 3 6 4 3" xfId="37459"/>
    <cellStyle name="Percent 3 3 6 5" xfId="37461"/>
    <cellStyle name="Percent 3 3 6 6" xfId="37454"/>
    <cellStyle name="Percent 3 3 7" xfId="7112"/>
    <cellStyle name="Percent 3 3 7 2" xfId="37463"/>
    <cellStyle name="Percent 3 3 7 3" xfId="37462"/>
    <cellStyle name="Percent 3 3 8" xfId="3985"/>
    <cellStyle name="Percent 3 3 8 2" xfId="37465"/>
    <cellStyle name="Percent 3 3 8 3" xfId="37464"/>
    <cellStyle name="Percent 3 3 9" xfId="9775"/>
    <cellStyle name="Percent 3 3 9 2" xfId="37467"/>
    <cellStyle name="Percent 3 3 9 3" xfId="37466"/>
    <cellStyle name="Percent 3 4" xfId="824"/>
    <cellStyle name="Percent 3 4 10" xfId="37469"/>
    <cellStyle name="Percent 3 4 11" xfId="37468"/>
    <cellStyle name="Percent 3 4 2" xfId="825"/>
    <cellStyle name="Percent 3 4 2 10" xfId="37470"/>
    <cellStyle name="Percent 3 4 2 2" xfId="826"/>
    <cellStyle name="Percent 3 4 2 2 2" xfId="1511"/>
    <cellStyle name="Percent 3 4 2 2 2 2" xfId="3076"/>
    <cellStyle name="Percent 3 4 2 2 2 2 2" xfId="9361"/>
    <cellStyle name="Percent 3 4 2 2 2 2 2 2" xfId="37475"/>
    <cellStyle name="Percent 3 4 2 2 2 2 2 3" xfId="37474"/>
    <cellStyle name="Percent 3 4 2 2 2 2 3" xfId="6234"/>
    <cellStyle name="Percent 3 4 2 2 2 2 3 2" xfId="37477"/>
    <cellStyle name="Percent 3 4 2 2 2 2 3 3" xfId="37476"/>
    <cellStyle name="Percent 3 4 2 2 2 2 4" xfId="12544"/>
    <cellStyle name="Percent 3 4 2 2 2 2 4 2" xfId="37479"/>
    <cellStyle name="Percent 3 4 2 2 2 2 4 3" xfId="37478"/>
    <cellStyle name="Percent 3 4 2 2 2 2 5" xfId="37480"/>
    <cellStyle name="Percent 3 4 2 2 2 2 6" xfId="37473"/>
    <cellStyle name="Percent 3 4 2 2 2 3" xfId="7798"/>
    <cellStyle name="Percent 3 4 2 2 2 3 2" xfId="37482"/>
    <cellStyle name="Percent 3 4 2 2 2 3 3" xfId="37481"/>
    <cellStyle name="Percent 3 4 2 2 2 4" xfId="4671"/>
    <cellStyle name="Percent 3 4 2 2 2 4 2" xfId="37484"/>
    <cellStyle name="Percent 3 4 2 2 2 4 3" xfId="37483"/>
    <cellStyle name="Percent 3 4 2 2 2 5" xfId="10981"/>
    <cellStyle name="Percent 3 4 2 2 2 5 2" xfId="37486"/>
    <cellStyle name="Percent 3 4 2 2 2 5 3" xfId="37485"/>
    <cellStyle name="Percent 3 4 2 2 2 6" xfId="37487"/>
    <cellStyle name="Percent 3 4 2 2 2 7" xfId="37472"/>
    <cellStyle name="Percent 3 4 2 2 3" xfId="1713"/>
    <cellStyle name="Percent 3 4 2 2 3 2" xfId="3278"/>
    <cellStyle name="Percent 3 4 2 2 3 2 2" xfId="9563"/>
    <cellStyle name="Percent 3 4 2 2 3 2 2 2" xfId="37491"/>
    <cellStyle name="Percent 3 4 2 2 3 2 2 3" xfId="37490"/>
    <cellStyle name="Percent 3 4 2 2 3 2 3" xfId="6436"/>
    <cellStyle name="Percent 3 4 2 2 3 2 3 2" xfId="37493"/>
    <cellStyle name="Percent 3 4 2 2 3 2 3 3" xfId="37492"/>
    <cellStyle name="Percent 3 4 2 2 3 2 4" xfId="12746"/>
    <cellStyle name="Percent 3 4 2 2 3 2 4 2" xfId="37495"/>
    <cellStyle name="Percent 3 4 2 2 3 2 4 3" xfId="37494"/>
    <cellStyle name="Percent 3 4 2 2 3 2 5" xfId="37496"/>
    <cellStyle name="Percent 3 4 2 2 3 2 6" xfId="37489"/>
    <cellStyle name="Percent 3 4 2 2 3 3" xfId="8000"/>
    <cellStyle name="Percent 3 4 2 2 3 3 2" xfId="37498"/>
    <cellStyle name="Percent 3 4 2 2 3 3 3" xfId="37497"/>
    <cellStyle name="Percent 3 4 2 2 3 4" xfId="4873"/>
    <cellStyle name="Percent 3 4 2 2 3 4 2" xfId="37500"/>
    <cellStyle name="Percent 3 4 2 2 3 4 3" xfId="37499"/>
    <cellStyle name="Percent 3 4 2 2 3 5" xfId="11183"/>
    <cellStyle name="Percent 3 4 2 2 3 5 2" xfId="37502"/>
    <cellStyle name="Percent 3 4 2 2 3 5 3" xfId="37501"/>
    <cellStyle name="Percent 3 4 2 2 3 6" xfId="37503"/>
    <cellStyle name="Percent 3 4 2 2 3 7" xfId="37488"/>
    <cellStyle name="Percent 3 4 2 2 4" xfId="2396"/>
    <cellStyle name="Percent 3 4 2 2 4 2" xfId="8681"/>
    <cellStyle name="Percent 3 4 2 2 4 2 2" xfId="37506"/>
    <cellStyle name="Percent 3 4 2 2 4 2 3" xfId="37505"/>
    <cellStyle name="Percent 3 4 2 2 4 3" xfId="5554"/>
    <cellStyle name="Percent 3 4 2 2 4 3 2" xfId="37508"/>
    <cellStyle name="Percent 3 4 2 2 4 3 3" xfId="37507"/>
    <cellStyle name="Percent 3 4 2 2 4 4" xfId="11864"/>
    <cellStyle name="Percent 3 4 2 2 4 4 2" xfId="37510"/>
    <cellStyle name="Percent 3 4 2 2 4 4 3" xfId="37509"/>
    <cellStyle name="Percent 3 4 2 2 4 5" xfId="37511"/>
    <cellStyle name="Percent 3 4 2 2 4 6" xfId="37504"/>
    <cellStyle name="Percent 3 4 2 2 5" xfId="7118"/>
    <cellStyle name="Percent 3 4 2 2 5 2" xfId="37513"/>
    <cellStyle name="Percent 3 4 2 2 5 3" xfId="37512"/>
    <cellStyle name="Percent 3 4 2 2 6" xfId="3991"/>
    <cellStyle name="Percent 3 4 2 2 6 2" xfId="37515"/>
    <cellStyle name="Percent 3 4 2 2 6 3" xfId="37514"/>
    <cellStyle name="Percent 3 4 2 2 7" xfId="9781"/>
    <cellStyle name="Percent 3 4 2 2 7 2" xfId="37517"/>
    <cellStyle name="Percent 3 4 2 2 7 3" xfId="37516"/>
    <cellStyle name="Percent 3 4 2 2 8" xfId="37518"/>
    <cellStyle name="Percent 3 4 2 2 9" xfId="37471"/>
    <cellStyle name="Percent 3 4 2 3" xfId="1510"/>
    <cellStyle name="Percent 3 4 2 3 2" xfId="3075"/>
    <cellStyle name="Percent 3 4 2 3 2 2" xfId="9360"/>
    <cellStyle name="Percent 3 4 2 3 2 2 2" xfId="37522"/>
    <cellStyle name="Percent 3 4 2 3 2 2 3" xfId="37521"/>
    <cellStyle name="Percent 3 4 2 3 2 3" xfId="6233"/>
    <cellStyle name="Percent 3 4 2 3 2 3 2" xfId="37524"/>
    <cellStyle name="Percent 3 4 2 3 2 3 3" xfId="37523"/>
    <cellStyle name="Percent 3 4 2 3 2 4" xfId="12543"/>
    <cellStyle name="Percent 3 4 2 3 2 4 2" xfId="37526"/>
    <cellStyle name="Percent 3 4 2 3 2 4 3" xfId="37525"/>
    <cellStyle name="Percent 3 4 2 3 2 5" xfId="37527"/>
    <cellStyle name="Percent 3 4 2 3 2 6" xfId="37520"/>
    <cellStyle name="Percent 3 4 2 3 3" xfId="7797"/>
    <cellStyle name="Percent 3 4 2 3 3 2" xfId="37529"/>
    <cellStyle name="Percent 3 4 2 3 3 3" xfId="37528"/>
    <cellStyle name="Percent 3 4 2 3 4" xfId="4670"/>
    <cellStyle name="Percent 3 4 2 3 4 2" xfId="37531"/>
    <cellStyle name="Percent 3 4 2 3 4 3" xfId="37530"/>
    <cellStyle name="Percent 3 4 2 3 5" xfId="10980"/>
    <cellStyle name="Percent 3 4 2 3 5 2" xfId="37533"/>
    <cellStyle name="Percent 3 4 2 3 5 3" xfId="37532"/>
    <cellStyle name="Percent 3 4 2 3 6" xfId="37534"/>
    <cellStyle name="Percent 3 4 2 3 7" xfId="37519"/>
    <cellStyle name="Percent 3 4 2 4" xfId="1712"/>
    <cellStyle name="Percent 3 4 2 4 2" xfId="3277"/>
    <cellStyle name="Percent 3 4 2 4 2 2" xfId="9562"/>
    <cellStyle name="Percent 3 4 2 4 2 2 2" xfId="37538"/>
    <cellStyle name="Percent 3 4 2 4 2 2 3" xfId="37537"/>
    <cellStyle name="Percent 3 4 2 4 2 3" xfId="6435"/>
    <cellStyle name="Percent 3 4 2 4 2 3 2" xfId="37540"/>
    <cellStyle name="Percent 3 4 2 4 2 3 3" xfId="37539"/>
    <cellStyle name="Percent 3 4 2 4 2 4" xfId="12745"/>
    <cellStyle name="Percent 3 4 2 4 2 4 2" xfId="37542"/>
    <cellStyle name="Percent 3 4 2 4 2 4 3" xfId="37541"/>
    <cellStyle name="Percent 3 4 2 4 2 5" xfId="37543"/>
    <cellStyle name="Percent 3 4 2 4 2 6" xfId="37536"/>
    <cellStyle name="Percent 3 4 2 4 3" xfId="7999"/>
    <cellStyle name="Percent 3 4 2 4 3 2" xfId="37545"/>
    <cellStyle name="Percent 3 4 2 4 3 3" xfId="37544"/>
    <cellStyle name="Percent 3 4 2 4 4" xfId="4872"/>
    <cellStyle name="Percent 3 4 2 4 4 2" xfId="37547"/>
    <cellStyle name="Percent 3 4 2 4 4 3" xfId="37546"/>
    <cellStyle name="Percent 3 4 2 4 5" xfId="11182"/>
    <cellStyle name="Percent 3 4 2 4 5 2" xfId="37549"/>
    <cellStyle name="Percent 3 4 2 4 5 3" xfId="37548"/>
    <cellStyle name="Percent 3 4 2 4 6" xfId="37550"/>
    <cellStyle name="Percent 3 4 2 4 7" xfId="37535"/>
    <cellStyle name="Percent 3 4 2 5" xfId="2395"/>
    <cellStyle name="Percent 3 4 2 5 2" xfId="8680"/>
    <cellStyle name="Percent 3 4 2 5 2 2" xfId="37553"/>
    <cellStyle name="Percent 3 4 2 5 2 3" xfId="37552"/>
    <cellStyle name="Percent 3 4 2 5 3" xfId="5553"/>
    <cellStyle name="Percent 3 4 2 5 3 2" xfId="37555"/>
    <cellStyle name="Percent 3 4 2 5 3 3" xfId="37554"/>
    <cellStyle name="Percent 3 4 2 5 4" xfId="11863"/>
    <cellStyle name="Percent 3 4 2 5 4 2" xfId="37557"/>
    <cellStyle name="Percent 3 4 2 5 4 3" xfId="37556"/>
    <cellStyle name="Percent 3 4 2 5 5" xfId="37558"/>
    <cellStyle name="Percent 3 4 2 5 6" xfId="37551"/>
    <cellStyle name="Percent 3 4 2 6" xfId="7117"/>
    <cellStyle name="Percent 3 4 2 6 2" xfId="37560"/>
    <cellStyle name="Percent 3 4 2 6 3" xfId="37559"/>
    <cellStyle name="Percent 3 4 2 7" xfId="3990"/>
    <cellStyle name="Percent 3 4 2 7 2" xfId="37562"/>
    <cellStyle name="Percent 3 4 2 7 3" xfId="37561"/>
    <cellStyle name="Percent 3 4 2 8" xfId="9780"/>
    <cellStyle name="Percent 3 4 2 8 2" xfId="37564"/>
    <cellStyle name="Percent 3 4 2 8 3" xfId="37563"/>
    <cellStyle name="Percent 3 4 2 9" xfId="37565"/>
    <cellStyle name="Percent 3 4 3" xfId="827"/>
    <cellStyle name="Percent 3 4 3 2" xfId="1512"/>
    <cellStyle name="Percent 3 4 3 2 2" xfId="3077"/>
    <cellStyle name="Percent 3 4 3 2 2 2" xfId="9362"/>
    <cellStyle name="Percent 3 4 3 2 2 2 2" xfId="37570"/>
    <cellStyle name="Percent 3 4 3 2 2 2 3" xfId="37569"/>
    <cellStyle name="Percent 3 4 3 2 2 3" xfId="6235"/>
    <cellStyle name="Percent 3 4 3 2 2 3 2" xfId="37572"/>
    <cellStyle name="Percent 3 4 3 2 2 3 3" xfId="37571"/>
    <cellStyle name="Percent 3 4 3 2 2 4" xfId="12545"/>
    <cellStyle name="Percent 3 4 3 2 2 4 2" xfId="37574"/>
    <cellStyle name="Percent 3 4 3 2 2 4 3" xfId="37573"/>
    <cellStyle name="Percent 3 4 3 2 2 5" xfId="37575"/>
    <cellStyle name="Percent 3 4 3 2 2 6" xfId="37568"/>
    <cellStyle name="Percent 3 4 3 2 3" xfId="7799"/>
    <cellStyle name="Percent 3 4 3 2 3 2" xfId="37577"/>
    <cellStyle name="Percent 3 4 3 2 3 3" xfId="37576"/>
    <cellStyle name="Percent 3 4 3 2 4" xfId="4672"/>
    <cellStyle name="Percent 3 4 3 2 4 2" xfId="37579"/>
    <cellStyle name="Percent 3 4 3 2 4 3" xfId="37578"/>
    <cellStyle name="Percent 3 4 3 2 5" xfId="10982"/>
    <cellStyle name="Percent 3 4 3 2 5 2" xfId="37581"/>
    <cellStyle name="Percent 3 4 3 2 5 3" xfId="37580"/>
    <cellStyle name="Percent 3 4 3 2 6" xfId="37582"/>
    <cellStyle name="Percent 3 4 3 2 7" xfId="37567"/>
    <cellStyle name="Percent 3 4 3 3" xfId="1714"/>
    <cellStyle name="Percent 3 4 3 3 2" xfId="3279"/>
    <cellStyle name="Percent 3 4 3 3 2 2" xfId="9564"/>
    <cellStyle name="Percent 3 4 3 3 2 2 2" xfId="37586"/>
    <cellStyle name="Percent 3 4 3 3 2 2 3" xfId="37585"/>
    <cellStyle name="Percent 3 4 3 3 2 3" xfId="6437"/>
    <cellStyle name="Percent 3 4 3 3 2 3 2" xfId="37588"/>
    <cellStyle name="Percent 3 4 3 3 2 3 3" xfId="37587"/>
    <cellStyle name="Percent 3 4 3 3 2 4" xfId="12747"/>
    <cellStyle name="Percent 3 4 3 3 2 4 2" xfId="37590"/>
    <cellStyle name="Percent 3 4 3 3 2 4 3" xfId="37589"/>
    <cellStyle name="Percent 3 4 3 3 2 5" xfId="37591"/>
    <cellStyle name="Percent 3 4 3 3 2 6" xfId="37584"/>
    <cellStyle name="Percent 3 4 3 3 3" xfId="8001"/>
    <cellStyle name="Percent 3 4 3 3 3 2" xfId="37593"/>
    <cellStyle name="Percent 3 4 3 3 3 3" xfId="37592"/>
    <cellStyle name="Percent 3 4 3 3 4" xfId="4874"/>
    <cellStyle name="Percent 3 4 3 3 4 2" xfId="37595"/>
    <cellStyle name="Percent 3 4 3 3 4 3" xfId="37594"/>
    <cellStyle name="Percent 3 4 3 3 5" xfId="11184"/>
    <cellStyle name="Percent 3 4 3 3 5 2" xfId="37597"/>
    <cellStyle name="Percent 3 4 3 3 5 3" xfId="37596"/>
    <cellStyle name="Percent 3 4 3 3 6" xfId="37598"/>
    <cellStyle name="Percent 3 4 3 3 7" xfId="37583"/>
    <cellStyle name="Percent 3 4 3 4" xfId="2397"/>
    <cellStyle name="Percent 3 4 3 4 2" xfId="8682"/>
    <cellStyle name="Percent 3 4 3 4 2 2" xfId="37601"/>
    <cellStyle name="Percent 3 4 3 4 2 3" xfId="37600"/>
    <cellStyle name="Percent 3 4 3 4 3" xfId="5555"/>
    <cellStyle name="Percent 3 4 3 4 3 2" xfId="37603"/>
    <cellStyle name="Percent 3 4 3 4 3 3" xfId="37602"/>
    <cellStyle name="Percent 3 4 3 4 4" xfId="11865"/>
    <cellStyle name="Percent 3 4 3 4 4 2" xfId="37605"/>
    <cellStyle name="Percent 3 4 3 4 4 3" xfId="37604"/>
    <cellStyle name="Percent 3 4 3 4 5" xfId="37606"/>
    <cellStyle name="Percent 3 4 3 4 6" xfId="37599"/>
    <cellStyle name="Percent 3 4 3 5" xfId="7119"/>
    <cellStyle name="Percent 3 4 3 5 2" xfId="37608"/>
    <cellStyle name="Percent 3 4 3 5 3" xfId="37607"/>
    <cellStyle name="Percent 3 4 3 6" xfId="3992"/>
    <cellStyle name="Percent 3 4 3 6 2" xfId="37610"/>
    <cellStyle name="Percent 3 4 3 6 3" xfId="37609"/>
    <cellStyle name="Percent 3 4 3 7" xfId="9782"/>
    <cellStyle name="Percent 3 4 3 7 2" xfId="37612"/>
    <cellStyle name="Percent 3 4 3 7 3" xfId="37611"/>
    <cellStyle name="Percent 3 4 3 8" xfId="37613"/>
    <cellStyle name="Percent 3 4 3 9" xfId="37566"/>
    <cellStyle name="Percent 3 4 4" xfId="1509"/>
    <cellStyle name="Percent 3 4 4 2" xfId="3074"/>
    <cellStyle name="Percent 3 4 4 2 2" xfId="9359"/>
    <cellStyle name="Percent 3 4 4 2 2 2" xfId="37617"/>
    <cellStyle name="Percent 3 4 4 2 2 3" xfId="37616"/>
    <cellStyle name="Percent 3 4 4 2 3" xfId="6232"/>
    <cellStyle name="Percent 3 4 4 2 3 2" xfId="37619"/>
    <cellStyle name="Percent 3 4 4 2 3 3" xfId="37618"/>
    <cellStyle name="Percent 3 4 4 2 4" xfId="12542"/>
    <cellStyle name="Percent 3 4 4 2 4 2" xfId="37621"/>
    <cellStyle name="Percent 3 4 4 2 4 3" xfId="37620"/>
    <cellStyle name="Percent 3 4 4 2 5" xfId="37622"/>
    <cellStyle name="Percent 3 4 4 2 6" xfId="37615"/>
    <cellStyle name="Percent 3 4 4 3" xfId="7796"/>
    <cellStyle name="Percent 3 4 4 3 2" xfId="37624"/>
    <cellStyle name="Percent 3 4 4 3 3" xfId="37623"/>
    <cellStyle name="Percent 3 4 4 4" xfId="4669"/>
    <cellStyle name="Percent 3 4 4 4 2" xfId="37626"/>
    <cellStyle name="Percent 3 4 4 4 3" xfId="37625"/>
    <cellStyle name="Percent 3 4 4 5" xfId="10979"/>
    <cellStyle name="Percent 3 4 4 5 2" xfId="37628"/>
    <cellStyle name="Percent 3 4 4 5 3" xfId="37627"/>
    <cellStyle name="Percent 3 4 4 6" xfId="37629"/>
    <cellStyle name="Percent 3 4 4 7" xfId="37614"/>
    <cellStyle name="Percent 3 4 5" xfId="1711"/>
    <cellStyle name="Percent 3 4 5 2" xfId="3276"/>
    <cellStyle name="Percent 3 4 5 2 2" xfId="9561"/>
    <cellStyle name="Percent 3 4 5 2 2 2" xfId="37633"/>
    <cellStyle name="Percent 3 4 5 2 2 3" xfId="37632"/>
    <cellStyle name="Percent 3 4 5 2 3" xfId="6434"/>
    <cellStyle name="Percent 3 4 5 2 3 2" xfId="37635"/>
    <cellStyle name="Percent 3 4 5 2 3 3" xfId="37634"/>
    <cellStyle name="Percent 3 4 5 2 4" xfId="12744"/>
    <cellStyle name="Percent 3 4 5 2 4 2" xfId="37637"/>
    <cellStyle name="Percent 3 4 5 2 4 3" xfId="37636"/>
    <cellStyle name="Percent 3 4 5 2 5" xfId="37638"/>
    <cellStyle name="Percent 3 4 5 2 6" xfId="37631"/>
    <cellStyle name="Percent 3 4 5 3" xfId="7998"/>
    <cellStyle name="Percent 3 4 5 3 2" xfId="37640"/>
    <cellStyle name="Percent 3 4 5 3 3" xfId="37639"/>
    <cellStyle name="Percent 3 4 5 4" xfId="4871"/>
    <cellStyle name="Percent 3 4 5 4 2" xfId="37642"/>
    <cellStyle name="Percent 3 4 5 4 3" xfId="37641"/>
    <cellStyle name="Percent 3 4 5 5" xfId="11181"/>
    <cellStyle name="Percent 3 4 5 5 2" xfId="37644"/>
    <cellStyle name="Percent 3 4 5 5 3" xfId="37643"/>
    <cellStyle name="Percent 3 4 5 6" xfId="37645"/>
    <cellStyle name="Percent 3 4 5 7" xfId="37630"/>
    <cellStyle name="Percent 3 4 6" xfId="2394"/>
    <cellStyle name="Percent 3 4 6 2" xfId="8679"/>
    <cellStyle name="Percent 3 4 6 2 2" xfId="37648"/>
    <cellStyle name="Percent 3 4 6 2 3" xfId="37647"/>
    <cellStyle name="Percent 3 4 6 3" xfId="5552"/>
    <cellStyle name="Percent 3 4 6 3 2" xfId="37650"/>
    <cellStyle name="Percent 3 4 6 3 3" xfId="37649"/>
    <cellStyle name="Percent 3 4 6 4" xfId="11862"/>
    <cellStyle name="Percent 3 4 6 4 2" xfId="37652"/>
    <cellStyle name="Percent 3 4 6 4 3" xfId="37651"/>
    <cellStyle name="Percent 3 4 6 5" xfId="37653"/>
    <cellStyle name="Percent 3 4 6 6" xfId="37646"/>
    <cellStyle name="Percent 3 4 7" xfId="7116"/>
    <cellStyle name="Percent 3 4 7 2" xfId="37655"/>
    <cellStyle name="Percent 3 4 7 3" xfId="37654"/>
    <cellStyle name="Percent 3 4 8" xfId="3989"/>
    <cellStyle name="Percent 3 4 8 2" xfId="37657"/>
    <cellStyle name="Percent 3 4 8 3" xfId="37656"/>
    <cellStyle name="Percent 3 4 9" xfId="9779"/>
    <cellStyle name="Percent 3 4 9 2" xfId="37659"/>
    <cellStyle name="Percent 3 4 9 3" xfId="37658"/>
    <cellStyle name="Percent 3 5" xfId="828"/>
    <cellStyle name="Percent 3 5 10" xfId="37660"/>
    <cellStyle name="Percent 3 5 2" xfId="829"/>
    <cellStyle name="Percent 3 5 2 2" xfId="1514"/>
    <cellStyle name="Percent 3 5 2 2 2" xfId="3079"/>
    <cellStyle name="Percent 3 5 2 2 2 2" xfId="9364"/>
    <cellStyle name="Percent 3 5 2 2 2 2 2" xfId="37665"/>
    <cellStyle name="Percent 3 5 2 2 2 2 3" xfId="37664"/>
    <cellStyle name="Percent 3 5 2 2 2 3" xfId="6237"/>
    <cellStyle name="Percent 3 5 2 2 2 3 2" xfId="37667"/>
    <cellStyle name="Percent 3 5 2 2 2 3 3" xfId="37666"/>
    <cellStyle name="Percent 3 5 2 2 2 4" xfId="12547"/>
    <cellStyle name="Percent 3 5 2 2 2 4 2" xfId="37669"/>
    <cellStyle name="Percent 3 5 2 2 2 4 3" xfId="37668"/>
    <cellStyle name="Percent 3 5 2 2 2 5" xfId="37670"/>
    <cellStyle name="Percent 3 5 2 2 2 6" xfId="37663"/>
    <cellStyle name="Percent 3 5 2 2 3" xfId="7801"/>
    <cellStyle name="Percent 3 5 2 2 3 2" xfId="37672"/>
    <cellStyle name="Percent 3 5 2 2 3 3" xfId="37671"/>
    <cellStyle name="Percent 3 5 2 2 4" xfId="4674"/>
    <cellStyle name="Percent 3 5 2 2 4 2" xfId="37674"/>
    <cellStyle name="Percent 3 5 2 2 4 3" xfId="37673"/>
    <cellStyle name="Percent 3 5 2 2 5" xfId="10984"/>
    <cellStyle name="Percent 3 5 2 2 5 2" xfId="37676"/>
    <cellStyle name="Percent 3 5 2 2 5 3" xfId="37675"/>
    <cellStyle name="Percent 3 5 2 2 6" xfId="37677"/>
    <cellStyle name="Percent 3 5 2 2 7" xfId="37662"/>
    <cellStyle name="Percent 3 5 2 3" xfId="1716"/>
    <cellStyle name="Percent 3 5 2 3 2" xfId="3281"/>
    <cellStyle name="Percent 3 5 2 3 2 2" xfId="9566"/>
    <cellStyle name="Percent 3 5 2 3 2 2 2" xfId="37681"/>
    <cellStyle name="Percent 3 5 2 3 2 2 3" xfId="37680"/>
    <cellStyle name="Percent 3 5 2 3 2 3" xfId="6439"/>
    <cellStyle name="Percent 3 5 2 3 2 3 2" xfId="37683"/>
    <cellStyle name="Percent 3 5 2 3 2 3 3" xfId="37682"/>
    <cellStyle name="Percent 3 5 2 3 2 4" xfId="12749"/>
    <cellStyle name="Percent 3 5 2 3 2 4 2" xfId="37685"/>
    <cellStyle name="Percent 3 5 2 3 2 4 3" xfId="37684"/>
    <cellStyle name="Percent 3 5 2 3 2 5" xfId="37686"/>
    <cellStyle name="Percent 3 5 2 3 2 6" xfId="37679"/>
    <cellStyle name="Percent 3 5 2 3 3" xfId="8003"/>
    <cellStyle name="Percent 3 5 2 3 3 2" xfId="37688"/>
    <cellStyle name="Percent 3 5 2 3 3 3" xfId="37687"/>
    <cellStyle name="Percent 3 5 2 3 4" xfId="4876"/>
    <cellStyle name="Percent 3 5 2 3 4 2" xfId="37690"/>
    <cellStyle name="Percent 3 5 2 3 4 3" xfId="37689"/>
    <cellStyle name="Percent 3 5 2 3 5" xfId="11186"/>
    <cellStyle name="Percent 3 5 2 3 5 2" xfId="37692"/>
    <cellStyle name="Percent 3 5 2 3 5 3" xfId="37691"/>
    <cellStyle name="Percent 3 5 2 3 6" xfId="37693"/>
    <cellStyle name="Percent 3 5 2 3 7" xfId="37678"/>
    <cellStyle name="Percent 3 5 2 4" xfId="2399"/>
    <cellStyle name="Percent 3 5 2 4 2" xfId="8684"/>
    <cellStyle name="Percent 3 5 2 4 2 2" xfId="37696"/>
    <cellStyle name="Percent 3 5 2 4 2 3" xfId="37695"/>
    <cellStyle name="Percent 3 5 2 4 3" xfId="5557"/>
    <cellStyle name="Percent 3 5 2 4 3 2" xfId="37698"/>
    <cellStyle name="Percent 3 5 2 4 3 3" xfId="37697"/>
    <cellStyle name="Percent 3 5 2 4 4" xfId="11867"/>
    <cellStyle name="Percent 3 5 2 4 4 2" xfId="37700"/>
    <cellStyle name="Percent 3 5 2 4 4 3" xfId="37699"/>
    <cellStyle name="Percent 3 5 2 4 5" xfId="37701"/>
    <cellStyle name="Percent 3 5 2 4 6" xfId="37694"/>
    <cellStyle name="Percent 3 5 2 5" xfId="7121"/>
    <cellStyle name="Percent 3 5 2 5 2" xfId="37703"/>
    <cellStyle name="Percent 3 5 2 5 3" xfId="37702"/>
    <cellStyle name="Percent 3 5 2 6" xfId="3994"/>
    <cellStyle name="Percent 3 5 2 6 2" xfId="37705"/>
    <cellStyle name="Percent 3 5 2 6 3" xfId="37704"/>
    <cellStyle name="Percent 3 5 2 7" xfId="9784"/>
    <cellStyle name="Percent 3 5 2 7 2" xfId="37707"/>
    <cellStyle name="Percent 3 5 2 7 3" xfId="37706"/>
    <cellStyle name="Percent 3 5 2 8" xfId="37708"/>
    <cellStyle name="Percent 3 5 2 9" xfId="37661"/>
    <cellStyle name="Percent 3 5 3" xfId="1513"/>
    <cellStyle name="Percent 3 5 3 2" xfId="3078"/>
    <cellStyle name="Percent 3 5 3 2 2" xfId="9363"/>
    <cellStyle name="Percent 3 5 3 2 2 2" xfId="37712"/>
    <cellStyle name="Percent 3 5 3 2 2 3" xfId="37711"/>
    <cellStyle name="Percent 3 5 3 2 3" xfId="6236"/>
    <cellStyle name="Percent 3 5 3 2 3 2" xfId="37714"/>
    <cellStyle name="Percent 3 5 3 2 3 3" xfId="37713"/>
    <cellStyle name="Percent 3 5 3 2 4" xfId="12546"/>
    <cellStyle name="Percent 3 5 3 2 4 2" xfId="37716"/>
    <cellStyle name="Percent 3 5 3 2 4 3" xfId="37715"/>
    <cellStyle name="Percent 3 5 3 2 5" xfId="37717"/>
    <cellStyle name="Percent 3 5 3 2 6" xfId="37710"/>
    <cellStyle name="Percent 3 5 3 3" xfId="7800"/>
    <cellStyle name="Percent 3 5 3 3 2" xfId="37719"/>
    <cellStyle name="Percent 3 5 3 3 3" xfId="37718"/>
    <cellStyle name="Percent 3 5 3 4" xfId="4673"/>
    <cellStyle name="Percent 3 5 3 4 2" xfId="37721"/>
    <cellStyle name="Percent 3 5 3 4 3" xfId="37720"/>
    <cellStyle name="Percent 3 5 3 5" xfId="10983"/>
    <cellStyle name="Percent 3 5 3 5 2" xfId="37723"/>
    <cellStyle name="Percent 3 5 3 5 3" xfId="37722"/>
    <cellStyle name="Percent 3 5 3 6" xfId="37724"/>
    <cellStyle name="Percent 3 5 3 7" xfId="37709"/>
    <cellStyle name="Percent 3 5 4" xfId="1715"/>
    <cellStyle name="Percent 3 5 4 2" xfId="3280"/>
    <cellStyle name="Percent 3 5 4 2 2" xfId="9565"/>
    <cellStyle name="Percent 3 5 4 2 2 2" xfId="37728"/>
    <cellStyle name="Percent 3 5 4 2 2 3" xfId="37727"/>
    <cellStyle name="Percent 3 5 4 2 3" xfId="6438"/>
    <cellStyle name="Percent 3 5 4 2 3 2" xfId="37730"/>
    <cellStyle name="Percent 3 5 4 2 3 3" xfId="37729"/>
    <cellStyle name="Percent 3 5 4 2 4" xfId="12748"/>
    <cellStyle name="Percent 3 5 4 2 4 2" xfId="37732"/>
    <cellStyle name="Percent 3 5 4 2 4 3" xfId="37731"/>
    <cellStyle name="Percent 3 5 4 2 5" xfId="37733"/>
    <cellStyle name="Percent 3 5 4 2 6" xfId="37726"/>
    <cellStyle name="Percent 3 5 4 3" xfId="8002"/>
    <cellStyle name="Percent 3 5 4 3 2" xfId="37735"/>
    <cellStyle name="Percent 3 5 4 3 3" xfId="37734"/>
    <cellStyle name="Percent 3 5 4 4" xfId="4875"/>
    <cellStyle name="Percent 3 5 4 4 2" xfId="37737"/>
    <cellStyle name="Percent 3 5 4 4 3" xfId="37736"/>
    <cellStyle name="Percent 3 5 4 5" xfId="11185"/>
    <cellStyle name="Percent 3 5 4 5 2" xfId="37739"/>
    <cellStyle name="Percent 3 5 4 5 3" xfId="37738"/>
    <cellStyle name="Percent 3 5 4 6" xfId="37740"/>
    <cellStyle name="Percent 3 5 4 7" xfId="37725"/>
    <cellStyle name="Percent 3 5 5" xfId="2398"/>
    <cellStyle name="Percent 3 5 5 2" xfId="8683"/>
    <cellStyle name="Percent 3 5 5 2 2" xfId="37743"/>
    <cellStyle name="Percent 3 5 5 2 3" xfId="37742"/>
    <cellStyle name="Percent 3 5 5 3" xfId="5556"/>
    <cellStyle name="Percent 3 5 5 3 2" xfId="37745"/>
    <cellStyle name="Percent 3 5 5 3 3" xfId="37744"/>
    <cellStyle name="Percent 3 5 5 4" xfId="11866"/>
    <cellStyle name="Percent 3 5 5 4 2" xfId="37747"/>
    <cellStyle name="Percent 3 5 5 4 3" xfId="37746"/>
    <cellStyle name="Percent 3 5 5 5" xfId="37748"/>
    <cellStyle name="Percent 3 5 5 6" xfId="37741"/>
    <cellStyle name="Percent 3 5 6" xfId="7120"/>
    <cellStyle name="Percent 3 5 6 2" xfId="37750"/>
    <cellStyle name="Percent 3 5 6 3" xfId="37749"/>
    <cellStyle name="Percent 3 5 7" xfId="3993"/>
    <cellStyle name="Percent 3 5 7 2" xfId="37752"/>
    <cellStyle name="Percent 3 5 7 3" xfId="37751"/>
    <cellStyle name="Percent 3 5 8" xfId="9783"/>
    <cellStyle name="Percent 3 5 8 2" xfId="37754"/>
    <cellStyle name="Percent 3 5 8 3" xfId="37753"/>
    <cellStyle name="Percent 3 5 9" xfId="37755"/>
    <cellStyle name="Percent 3 6" xfId="830"/>
    <cellStyle name="Percent 3 6 10" xfId="37756"/>
    <cellStyle name="Percent 3 6 2" xfId="831"/>
    <cellStyle name="Percent 3 6 2 2" xfId="1516"/>
    <cellStyle name="Percent 3 6 2 2 2" xfId="3081"/>
    <cellStyle name="Percent 3 6 2 2 2 2" xfId="9366"/>
    <cellStyle name="Percent 3 6 2 2 2 2 2" xfId="37761"/>
    <cellStyle name="Percent 3 6 2 2 2 2 3" xfId="37760"/>
    <cellStyle name="Percent 3 6 2 2 2 3" xfId="6239"/>
    <cellStyle name="Percent 3 6 2 2 2 3 2" xfId="37763"/>
    <cellStyle name="Percent 3 6 2 2 2 3 3" xfId="37762"/>
    <cellStyle name="Percent 3 6 2 2 2 4" xfId="12549"/>
    <cellStyle name="Percent 3 6 2 2 2 4 2" xfId="37765"/>
    <cellStyle name="Percent 3 6 2 2 2 4 3" xfId="37764"/>
    <cellStyle name="Percent 3 6 2 2 2 5" xfId="37766"/>
    <cellStyle name="Percent 3 6 2 2 2 6" xfId="37759"/>
    <cellStyle name="Percent 3 6 2 2 3" xfId="7803"/>
    <cellStyle name="Percent 3 6 2 2 3 2" xfId="37768"/>
    <cellStyle name="Percent 3 6 2 2 3 3" xfId="37767"/>
    <cellStyle name="Percent 3 6 2 2 4" xfId="4676"/>
    <cellStyle name="Percent 3 6 2 2 4 2" xfId="37770"/>
    <cellStyle name="Percent 3 6 2 2 4 3" xfId="37769"/>
    <cellStyle name="Percent 3 6 2 2 5" xfId="10986"/>
    <cellStyle name="Percent 3 6 2 2 5 2" xfId="37772"/>
    <cellStyle name="Percent 3 6 2 2 5 3" xfId="37771"/>
    <cellStyle name="Percent 3 6 2 2 6" xfId="37773"/>
    <cellStyle name="Percent 3 6 2 2 7" xfId="37758"/>
    <cellStyle name="Percent 3 6 2 3" xfId="1718"/>
    <cellStyle name="Percent 3 6 2 3 2" xfId="3283"/>
    <cellStyle name="Percent 3 6 2 3 2 2" xfId="9568"/>
    <cellStyle name="Percent 3 6 2 3 2 2 2" xfId="37777"/>
    <cellStyle name="Percent 3 6 2 3 2 2 3" xfId="37776"/>
    <cellStyle name="Percent 3 6 2 3 2 3" xfId="6441"/>
    <cellStyle name="Percent 3 6 2 3 2 3 2" xfId="37779"/>
    <cellStyle name="Percent 3 6 2 3 2 3 3" xfId="37778"/>
    <cellStyle name="Percent 3 6 2 3 2 4" xfId="12751"/>
    <cellStyle name="Percent 3 6 2 3 2 4 2" xfId="37781"/>
    <cellStyle name="Percent 3 6 2 3 2 4 3" xfId="37780"/>
    <cellStyle name="Percent 3 6 2 3 2 5" xfId="37782"/>
    <cellStyle name="Percent 3 6 2 3 2 6" xfId="37775"/>
    <cellStyle name="Percent 3 6 2 3 3" xfId="8005"/>
    <cellStyle name="Percent 3 6 2 3 3 2" xfId="37784"/>
    <cellStyle name="Percent 3 6 2 3 3 3" xfId="37783"/>
    <cellStyle name="Percent 3 6 2 3 4" xfId="4878"/>
    <cellStyle name="Percent 3 6 2 3 4 2" xfId="37786"/>
    <cellStyle name="Percent 3 6 2 3 4 3" xfId="37785"/>
    <cellStyle name="Percent 3 6 2 3 5" xfId="11188"/>
    <cellStyle name="Percent 3 6 2 3 5 2" xfId="37788"/>
    <cellStyle name="Percent 3 6 2 3 5 3" xfId="37787"/>
    <cellStyle name="Percent 3 6 2 3 6" xfId="37789"/>
    <cellStyle name="Percent 3 6 2 3 7" xfId="37774"/>
    <cellStyle name="Percent 3 6 2 4" xfId="2401"/>
    <cellStyle name="Percent 3 6 2 4 2" xfId="8686"/>
    <cellStyle name="Percent 3 6 2 4 2 2" xfId="37792"/>
    <cellStyle name="Percent 3 6 2 4 2 3" xfId="37791"/>
    <cellStyle name="Percent 3 6 2 4 3" xfId="5559"/>
    <cellStyle name="Percent 3 6 2 4 3 2" xfId="37794"/>
    <cellStyle name="Percent 3 6 2 4 3 3" xfId="37793"/>
    <cellStyle name="Percent 3 6 2 4 4" xfId="11869"/>
    <cellStyle name="Percent 3 6 2 4 4 2" xfId="37796"/>
    <cellStyle name="Percent 3 6 2 4 4 3" xfId="37795"/>
    <cellStyle name="Percent 3 6 2 4 5" xfId="37797"/>
    <cellStyle name="Percent 3 6 2 4 6" xfId="37790"/>
    <cellStyle name="Percent 3 6 2 5" xfId="7123"/>
    <cellStyle name="Percent 3 6 2 5 2" xfId="37799"/>
    <cellStyle name="Percent 3 6 2 5 3" xfId="37798"/>
    <cellStyle name="Percent 3 6 2 6" xfId="3996"/>
    <cellStyle name="Percent 3 6 2 6 2" xfId="37801"/>
    <cellStyle name="Percent 3 6 2 6 3" xfId="37800"/>
    <cellStyle name="Percent 3 6 2 7" xfId="9786"/>
    <cellStyle name="Percent 3 6 2 7 2" xfId="37803"/>
    <cellStyle name="Percent 3 6 2 7 3" xfId="37802"/>
    <cellStyle name="Percent 3 6 2 8" xfId="37804"/>
    <cellStyle name="Percent 3 6 2 9" xfId="37757"/>
    <cellStyle name="Percent 3 6 3" xfId="1515"/>
    <cellStyle name="Percent 3 6 3 2" xfId="3080"/>
    <cellStyle name="Percent 3 6 3 2 2" xfId="9365"/>
    <cellStyle name="Percent 3 6 3 2 2 2" xfId="37808"/>
    <cellStyle name="Percent 3 6 3 2 2 3" xfId="37807"/>
    <cellStyle name="Percent 3 6 3 2 3" xfId="6238"/>
    <cellStyle name="Percent 3 6 3 2 3 2" xfId="37810"/>
    <cellStyle name="Percent 3 6 3 2 3 3" xfId="37809"/>
    <cellStyle name="Percent 3 6 3 2 4" xfId="12548"/>
    <cellStyle name="Percent 3 6 3 2 4 2" xfId="37812"/>
    <cellStyle name="Percent 3 6 3 2 4 3" xfId="37811"/>
    <cellStyle name="Percent 3 6 3 2 5" xfId="37813"/>
    <cellStyle name="Percent 3 6 3 2 6" xfId="37806"/>
    <cellStyle name="Percent 3 6 3 3" xfId="7802"/>
    <cellStyle name="Percent 3 6 3 3 2" xfId="37815"/>
    <cellStyle name="Percent 3 6 3 3 3" xfId="37814"/>
    <cellStyle name="Percent 3 6 3 4" xfId="4675"/>
    <cellStyle name="Percent 3 6 3 4 2" xfId="37817"/>
    <cellStyle name="Percent 3 6 3 4 3" xfId="37816"/>
    <cellStyle name="Percent 3 6 3 5" xfId="10985"/>
    <cellStyle name="Percent 3 6 3 5 2" xfId="37819"/>
    <cellStyle name="Percent 3 6 3 5 3" xfId="37818"/>
    <cellStyle name="Percent 3 6 3 6" xfId="37820"/>
    <cellStyle name="Percent 3 6 3 7" xfId="37805"/>
    <cellStyle name="Percent 3 6 4" xfId="1717"/>
    <cellStyle name="Percent 3 6 4 2" xfId="3282"/>
    <cellStyle name="Percent 3 6 4 2 2" xfId="9567"/>
    <cellStyle name="Percent 3 6 4 2 2 2" xfId="37824"/>
    <cellStyle name="Percent 3 6 4 2 2 3" xfId="37823"/>
    <cellStyle name="Percent 3 6 4 2 3" xfId="6440"/>
    <cellStyle name="Percent 3 6 4 2 3 2" xfId="37826"/>
    <cellStyle name="Percent 3 6 4 2 3 3" xfId="37825"/>
    <cellStyle name="Percent 3 6 4 2 4" xfId="12750"/>
    <cellStyle name="Percent 3 6 4 2 4 2" xfId="37828"/>
    <cellStyle name="Percent 3 6 4 2 4 3" xfId="37827"/>
    <cellStyle name="Percent 3 6 4 2 5" xfId="37829"/>
    <cellStyle name="Percent 3 6 4 2 6" xfId="37822"/>
    <cellStyle name="Percent 3 6 4 3" xfId="8004"/>
    <cellStyle name="Percent 3 6 4 3 2" xfId="37831"/>
    <cellStyle name="Percent 3 6 4 3 3" xfId="37830"/>
    <cellStyle name="Percent 3 6 4 4" xfId="4877"/>
    <cellStyle name="Percent 3 6 4 4 2" xfId="37833"/>
    <cellStyle name="Percent 3 6 4 4 3" xfId="37832"/>
    <cellStyle name="Percent 3 6 4 5" xfId="11187"/>
    <cellStyle name="Percent 3 6 4 5 2" xfId="37835"/>
    <cellStyle name="Percent 3 6 4 5 3" xfId="37834"/>
    <cellStyle name="Percent 3 6 4 6" xfId="37836"/>
    <cellStyle name="Percent 3 6 4 7" xfId="37821"/>
    <cellStyle name="Percent 3 6 5" xfId="2400"/>
    <cellStyle name="Percent 3 6 5 2" xfId="8685"/>
    <cellStyle name="Percent 3 6 5 2 2" xfId="37839"/>
    <cellStyle name="Percent 3 6 5 2 3" xfId="37838"/>
    <cellStyle name="Percent 3 6 5 3" xfId="5558"/>
    <cellStyle name="Percent 3 6 5 3 2" xfId="37841"/>
    <cellStyle name="Percent 3 6 5 3 3" xfId="37840"/>
    <cellStyle name="Percent 3 6 5 4" xfId="11868"/>
    <cellStyle name="Percent 3 6 5 4 2" xfId="37843"/>
    <cellStyle name="Percent 3 6 5 4 3" xfId="37842"/>
    <cellStyle name="Percent 3 6 5 5" xfId="37844"/>
    <cellStyle name="Percent 3 6 5 6" xfId="37837"/>
    <cellStyle name="Percent 3 6 6" xfId="7122"/>
    <cellStyle name="Percent 3 6 6 2" xfId="37846"/>
    <cellStyle name="Percent 3 6 6 3" xfId="37845"/>
    <cellStyle name="Percent 3 6 7" xfId="3995"/>
    <cellStyle name="Percent 3 6 7 2" xfId="37848"/>
    <cellStyle name="Percent 3 6 7 3" xfId="37847"/>
    <cellStyle name="Percent 3 6 8" xfId="9785"/>
    <cellStyle name="Percent 3 6 8 2" xfId="37850"/>
    <cellStyle name="Percent 3 6 8 3" xfId="37849"/>
    <cellStyle name="Percent 3 6 9" xfId="37851"/>
    <cellStyle name="Percent 3 7" xfId="832"/>
    <cellStyle name="Percent 3 7 10" xfId="37852"/>
    <cellStyle name="Percent 3 7 2" xfId="833"/>
    <cellStyle name="Percent 3 7 2 2" xfId="1518"/>
    <cellStyle name="Percent 3 7 2 2 2" xfId="3083"/>
    <cellStyle name="Percent 3 7 2 2 2 2" xfId="9368"/>
    <cellStyle name="Percent 3 7 2 2 2 2 2" xfId="37857"/>
    <cellStyle name="Percent 3 7 2 2 2 2 3" xfId="37856"/>
    <cellStyle name="Percent 3 7 2 2 2 3" xfId="6241"/>
    <cellStyle name="Percent 3 7 2 2 2 3 2" xfId="37859"/>
    <cellStyle name="Percent 3 7 2 2 2 3 3" xfId="37858"/>
    <cellStyle name="Percent 3 7 2 2 2 4" xfId="12551"/>
    <cellStyle name="Percent 3 7 2 2 2 4 2" xfId="37861"/>
    <cellStyle name="Percent 3 7 2 2 2 4 3" xfId="37860"/>
    <cellStyle name="Percent 3 7 2 2 2 5" xfId="37862"/>
    <cellStyle name="Percent 3 7 2 2 2 6" xfId="37855"/>
    <cellStyle name="Percent 3 7 2 2 3" xfId="7805"/>
    <cellStyle name="Percent 3 7 2 2 3 2" xfId="37864"/>
    <cellStyle name="Percent 3 7 2 2 3 3" xfId="37863"/>
    <cellStyle name="Percent 3 7 2 2 4" xfId="4678"/>
    <cellStyle name="Percent 3 7 2 2 4 2" xfId="37866"/>
    <cellStyle name="Percent 3 7 2 2 4 3" xfId="37865"/>
    <cellStyle name="Percent 3 7 2 2 5" xfId="10988"/>
    <cellStyle name="Percent 3 7 2 2 5 2" xfId="37868"/>
    <cellStyle name="Percent 3 7 2 2 5 3" xfId="37867"/>
    <cellStyle name="Percent 3 7 2 2 6" xfId="37869"/>
    <cellStyle name="Percent 3 7 2 2 7" xfId="37854"/>
    <cellStyle name="Percent 3 7 2 3" xfId="1720"/>
    <cellStyle name="Percent 3 7 2 3 2" xfId="3285"/>
    <cellStyle name="Percent 3 7 2 3 2 2" xfId="9570"/>
    <cellStyle name="Percent 3 7 2 3 2 2 2" xfId="37873"/>
    <cellStyle name="Percent 3 7 2 3 2 2 3" xfId="37872"/>
    <cellStyle name="Percent 3 7 2 3 2 3" xfId="6443"/>
    <cellStyle name="Percent 3 7 2 3 2 3 2" xfId="37875"/>
    <cellStyle name="Percent 3 7 2 3 2 3 3" xfId="37874"/>
    <cellStyle name="Percent 3 7 2 3 2 4" xfId="12753"/>
    <cellStyle name="Percent 3 7 2 3 2 4 2" xfId="37877"/>
    <cellStyle name="Percent 3 7 2 3 2 4 3" xfId="37876"/>
    <cellStyle name="Percent 3 7 2 3 2 5" xfId="37878"/>
    <cellStyle name="Percent 3 7 2 3 2 6" xfId="37871"/>
    <cellStyle name="Percent 3 7 2 3 3" xfId="8007"/>
    <cellStyle name="Percent 3 7 2 3 3 2" xfId="37880"/>
    <cellStyle name="Percent 3 7 2 3 3 3" xfId="37879"/>
    <cellStyle name="Percent 3 7 2 3 4" xfId="4880"/>
    <cellStyle name="Percent 3 7 2 3 4 2" xfId="37882"/>
    <cellStyle name="Percent 3 7 2 3 4 3" xfId="37881"/>
    <cellStyle name="Percent 3 7 2 3 5" xfId="11190"/>
    <cellStyle name="Percent 3 7 2 3 5 2" xfId="37884"/>
    <cellStyle name="Percent 3 7 2 3 5 3" xfId="37883"/>
    <cellStyle name="Percent 3 7 2 3 6" xfId="37885"/>
    <cellStyle name="Percent 3 7 2 3 7" xfId="37870"/>
    <cellStyle name="Percent 3 7 2 4" xfId="2403"/>
    <cellStyle name="Percent 3 7 2 4 2" xfId="8688"/>
    <cellStyle name="Percent 3 7 2 4 2 2" xfId="37888"/>
    <cellStyle name="Percent 3 7 2 4 2 3" xfId="37887"/>
    <cellStyle name="Percent 3 7 2 4 3" xfId="5561"/>
    <cellStyle name="Percent 3 7 2 4 3 2" xfId="37890"/>
    <cellStyle name="Percent 3 7 2 4 3 3" xfId="37889"/>
    <cellStyle name="Percent 3 7 2 4 4" xfId="11871"/>
    <cellStyle name="Percent 3 7 2 4 4 2" xfId="37892"/>
    <cellStyle name="Percent 3 7 2 4 4 3" xfId="37891"/>
    <cellStyle name="Percent 3 7 2 4 5" xfId="37893"/>
    <cellStyle name="Percent 3 7 2 4 6" xfId="37886"/>
    <cellStyle name="Percent 3 7 2 5" xfId="7125"/>
    <cellStyle name="Percent 3 7 2 5 2" xfId="37895"/>
    <cellStyle name="Percent 3 7 2 5 3" xfId="37894"/>
    <cellStyle name="Percent 3 7 2 6" xfId="3998"/>
    <cellStyle name="Percent 3 7 2 6 2" xfId="37897"/>
    <cellStyle name="Percent 3 7 2 6 3" xfId="37896"/>
    <cellStyle name="Percent 3 7 2 7" xfId="9788"/>
    <cellStyle name="Percent 3 7 2 7 2" xfId="37899"/>
    <cellStyle name="Percent 3 7 2 7 3" xfId="37898"/>
    <cellStyle name="Percent 3 7 2 8" xfId="37900"/>
    <cellStyle name="Percent 3 7 2 9" xfId="37853"/>
    <cellStyle name="Percent 3 7 3" xfId="1517"/>
    <cellStyle name="Percent 3 7 3 2" xfId="3082"/>
    <cellStyle name="Percent 3 7 3 2 2" xfId="9367"/>
    <cellStyle name="Percent 3 7 3 2 2 2" xfId="37904"/>
    <cellStyle name="Percent 3 7 3 2 2 3" xfId="37903"/>
    <cellStyle name="Percent 3 7 3 2 3" xfId="6240"/>
    <cellStyle name="Percent 3 7 3 2 3 2" xfId="37906"/>
    <cellStyle name="Percent 3 7 3 2 3 3" xfId="37905"/>
    <cellStyle name="Percent 3 7 3 2 4" xfId="12550"/>
    <cellStyle name="Percent 3 7 3 2 4 2" xfId="37908"/>
    <cellStyle name="Percent 3 7 3 2 4 3" xfId="37907"/>
    <cellStyle name="Percent 3 7 3 2 5" xfId="37909"/>
    <cellStyle name="Percent 3 7 3 2 6" xfId="37902"/>
    <cellStyle name="Percent 3 7 3 3" xfId="7804"/>
    <cellStyle name="Percent 3 7 3 3 2" xfId="37911"/>
    <cellStyle name="Percent 3 7 3 3 3" xfId="37910"/>
    <cellStyle name="Percent 3 7 3 4" xfId="4677"/>
    <cellStyle name="Percent 3 7 3 4 2" xfId="37913"/>
    <cellStyle name="Percent 3 7 3 4 3" xfId="37912"/>
    <cellStyle name="Percent 3 7 3 5" xfId="10987"/>
    <cellStyle name="Percent 3 7 3 5 2" xfId="37915"/>
    <cellStyle name="Percent 3 7 3 5 3" xfId="37914"/>
    <cellStyle name="Percent 3 7 3 6" xfId="37916"/>
    <cellStyle name="Percent 3 7 3 7" xfId="37901"/>
    <cellStyle name="Percent 3 7 4" xfId="1719"/>
    <cellStyle name="Percent 3 7 4 2" xfId="3284"/>
    <cellStyle name="Percent 3 7 4 2 2" xfId="9569"/>
    <cellStyle name="Percent 3 7 4 2 2 2" xfId="37920"/>
    <cellStyle name="Percent 3 7 4 2 2 3" xfId="37919"/>
    <cellStyle name="Percent 3 7 4 2 3" xfId="6442"/>
    <cellStyle name="Percent 3 7 4 2 3 2" xfId="37922"/>
    <cellStyle name="Percent 3 7 4 2 3 3" xfId="37921"/>
    <cellStyle name="Percent 3 7 4 2 4" xfId="12752"/>
    <cellStyle name="Percent 3 7 4 2 4 2" xfId="37924"/>
    <cellStyle name="Percent 3 7 4 2 4 3" xfId="37923"/>
    <cellStyle name="Percent 3 7 4 2 5" xfId="37925"/>
    <cellStyle name="Percent 3 7 4 2 6" xfId="37918"/>
    <cellStyle name="Percent 3 7 4 3" xfId="8006"/>
    <cellStyle name="Percent 3 7 4 3 2" xfId="37927"/>
    <cellStyle name="Percent 3 7 4 3 3" xfId="37926"/>
    <cellStyle name="Percent 3 7 4 4" xfId="4879"/>
    <cellStyle name="Percent 3 7 4 4 2" xfId="37929"/>
    <cellStyle name="Percent 3 7 4 4 3" xfId="37928"/>
    <cellStyle name="Percent 3 7 4 5" xfId="11189"/>
    <cellStyle name="Percent 3 7 4 5 2" xfId="37931"/>
    <cellStyle name="Percent 3 7 4 5 3" xfId="37930"/>
    <cellStyle name="Percent 3 7 4 6" xfId="37932"/>
    <cellStyle name="Percent 3 7 4 7" xfId="37917"/>
    <cellStyle name="Percent 3 7 5" xfId="2402"/>
    <cellStyle name="Percent 3 7 5 2" xfId="8687"/>
    <cellStyle name="Percent 3 7 5 2 2" xfId="37935"/>
    <cellStyle name="Percent 3 7 5 2 3" xfId="37934"/>
    <cellStyle name="Percent 3 7 5 3" xfId="5560"/>
    <cellStyle name="Percent 3 7 5 3 2" xfId="37937"/>
    <cellStyle name="Percent 3 7 5 3 3" xfId="37936"/>
    <cellStyle name="Percent 3 7 5 4" xfId="11870"/>
    <cellStyle name="Percent 3 7 5 4 2" xfId="37939"/>
    <cellStyle name="Percent 3 7 5 4 3" xfId="37938"/>
    <cellStyle name="Percent 3 7 5 5" xfId="37940"/>
    <cellStyle name="Percent 3 7 5 6" xfId="37933"/>
    <cellStyle name="Percent 3 7 6" xfId="7124"/>
    <cellStyle name="Percent 3 7 6 2" xfId="37942"/>
    <cellStyle name="Percent 3 7 6 3" xfId="37941"/>
    <cellStyle name="Percent 3 7 7" xfId="3997"/>
    <cellStyle name="Percent 3 7 7 2" xfId="37944"/>
    <cellStyle name="Percent 3 7 7 3" xfId="37943"/>
    <cellStyle name="Percent 3 7 8" xfId="9787"/>
    <cellStyle name="Percent 3 7 8 2" xfId="37946"/>
    <cellStyle name="Percent 3 7 8 3" xfId="37945"/>
    <cellStyle name="Percent 3 7 9" xfId="37947"/>
    <cellStyle name="Percent 3 8" xfId="834"/>
    <cellStyle name="Percent 3 8 2" xfId="1519"/>
    <cellStyle name="Percent 3 8 2 2" xfId="3084"/>
    <cellStyle name="Percent 3 8 2 2 2" xfId="9369"/>
    <cellStyle name="Percent 3 8 2 2 2 2" xfId="37952"/>
    <cellStyle name="Percent 3 8 2 2 2 3" xfId="37951"/>
    <cellStyle name="Percent 3 8 2 2 3" xfId="6242"/>
    <cellStyle name="Percent 3 8 2 2 3 2" xfId="37954"/>
    <cellStyle name="Percent 3 8 2 2 3 3" xfId="37953"/>
    <cellStyle name="Percent 3 8 2 2 4" xfId="12552"/>
    <cellStyle name="Percent 3 8 2 2 4 2" xfId="37956"/>
    <cellStyle name="Percent 3 8 2 2 4 3" xfId="37955"/>
    <cellStyle name="Percent 3 8 2 2 5" xfId="37957"/>
    <cellStyle name="Percent 3 8 2 2 6" xfId="37950"/>
    <cellStyle name="Percent 3 8 2 3" xfId="7806"/>
    <cellStyle name="Percent 3 8 2 3 2" xfId="37959"/>
    <cellStyle name="Percent 3 8 2 3 3" xfId="37958"/>
    <cellStyle name="Percent 3 8 2 4" xfId="4679"/>
    <cellStyle name="Percent 3 8 2 4 2" xfId="37961"/>
    <cellStyle name="Percent 3 8 2 4 3" xfId="37960"/>
    <cellStyle name="Percent 3 8 2 5" xfId="10989"/>
    <cellStyle name="Percent 3 8 2 5 2" xfId="37963"/>
    <cellStyle name="Percent 3 8 2 5 3" xfId="37962"/>
    <cellStyle name="Percent 3 8 2 6" xfId="37964"/>
    <cellStyle name="Percent 3 8 2 7" xfId="37949"/>
    <cellStyle name="Percent 3 8 3" xfId="1721"/>
    <cellStyle name="Percent 3 8 3 2" xfId="3286"/>
    <cellStyle name="Percent 3 8 3 2 2" xfId="9571"/>
    <cellStyle name="Percent 3 8 3 2 2 2" xfId="37968"/>
    <cellStyle name="Percent 3 8 3 2 2 3" xfId="37967"/>
    <cellStyle name="Percent 3 8 3 2 3" xfId="6444"/>
    <cellStyle name="Percent 3 8 3 2 3 2" xfId="37970"/>
    <cellStyle name="Percent 3 8 3 2 3 3" xfId="37969"/>
    <cellStyle name="Percent 3 8 3 2 4" xfId="12754"/>
    <cellStyle name="Percent 3 8 3 2 4 2" xfId="37972"/>
    <cellStyle name="Percent 3 8 3 2 4 3" xfId="37971"/>
    <cellStyle name="Percent 3 8 3 2 5" xfId="37973"/>
    <cellStyle name="Percent 3 8 3 2 6" xfId="37966"/>
    <cellStyle name="Percent 3 8 3 3" xfId="8008"/>
    <cellStyle name="Percent 3 8 3 3 2" xfId="37975"/>
    <cellStyle name="Percent 3 8 3 3 3" xfId="37974"/>
    <cellStyle name="Percent 3 8 3 4" xfId="4881"/>
    <cellStyle name="Percent 3 8 3 4 2" xfId="37977"/>
    <cellStyle name="Percent 3 8 3 4 3" xfId="37976"/>
    <cellStyle name="Percent 3 8 3 5" xfId="11191"/>
    <cellStyle name="Percent 3 8 3 5 2" xfId="37979"/>
    <cellStyle name="Percent 3 8 3 5 3" xfId="37978"/>
    <cellStyle name="Percent 3 8 3 6" xfId="37980"/>
    <cellStyle name="Percent 3 8 3 7" xfId="37965"/>
    <cellStyle name="Percent 3 8 4" xfId="2404"/>
    <cellStyle name="Percent 3 8 4 2" xfId="8689"/>
    <cellStyle name="Percent 3 8 4 2 2" xfId="37983"/>
    <cellStyle name="Percent 3 8 4 2 3" xfId="37982"/>
    <cellStyle name="Percent 3 8 4 3" xfId="5562"/>
    <cellStyle name="Percent 3 8 4 3 2" xfId="37985"/>
    <cellStyle name="Percent 3 8 4 3 3" xfId="37984"/>
    <cellStyle name="Percent 3 8 4 4" xfId="11872"/>
    <cellStyle name="Percent 3 8 4 4 2" xfId="37987"/>
    <cellStyle name="Percent 3 8 4 4 3" xfId="37986"/>
    <cellStyle name="Percent 3 8 4 5" xfId="37988"/>
    <cellStyle name="Percent 3 8 4 6" xfId="37981"/>
    <cellStyle name="Percent 3 8 5" xfId="7126"/>
    <cellStyle name="Percent 3 8 5 2" xfId="37990"/>
    <cellStyle name="Percent 3 8 5 3" xfId="37989"/>
    <cellStyle name="Percent 3 8 6" xfId="3999"/>
    <cellStyle name="Percent 3 8 6 2" xfId="37992"/>
    <cellStyle name="Percent 3 8 6 3" xfId="37991"/>
    <cellStyle name="Percent 3 8 7" xfId="9789"/>
    <cellStyle name="Percent 3 8 7 2" xfId="37994"/>
    <cellStyle name="Percent 3 8 7 3" xfId="37993"/>
    <cellStyle name="Percent 3 8 8" xfId="37995"/>
    <cellStyle name="Percent 3 8 9" xfId="37948"/>
    <cellStyle name="Percent 3 9" xfId="815"/>
    <cellStyle name="Percent 3 9 2" xfId="1500"/>
    <cellStyle name="Percent 3 9 2 2" xfId="3065"/>
    <cellStyle name="Percent 3 9 2 2 2" xfId="9350"/>
    <cellStyle name="Percent 3 9 2 2 2 2" xfId="38000"/>
    <cellStyle name="Percent 3 9 2 2 2 3" xfId="37999"/>
    <cellStyle name="Percent 3 9 2 2 3" xfId="6223"/>
    <cellStyle name="Percent 3 9 2 2 3 2" xfId="38002"/>
    <cellStyle name="Percent 3 9 2 2 3 3" xfId="38001"/>
    <cellStyle name="Percent 3 9 2 2 4" xfId="12533"/>
    <cellStyle name="Percent 3 9 2 2 4 2" xfId="38004"/>
    <cellStyle name="Percent 3 9 2 2 4 3" xfId="38003"/>
    <cellStyle name="Percent 3 9 2 2 5" xfId="38005"/>
    <cellStyle name="Percent 3 9 2 2 6" xfId="37998"/>
    <cellStyle name="Percent 3 9 2 3" xfId="7787"/>
    <cellStyle name="Percent 3 9 2 3 2" xfId="38007"/>
    <cellStyle name="Percent 3 9 2 3 3" xfId="38006"/>
    <cellStyle name="Percent 3 9 2 4" xfId="4660"/>
    <cellStyle name="Percent 3 9 2 4 2" xfId="38009"/>
    <cellStyle name="Percent 3 9 2 4 3" xfId="38008"/>
    <cellStyle name="Percent 3 9 2 5" xfId="10970"/>
    <cellStyle name="Percent 3 9 2 5 2" xfId="38011"/>
    <cellStyle name="Percent 3 9 2 5 3" xfId="38010"/>
    <cellStyle name="Percent 3 9 2 6" xfId="38012"/>
    <cellStyle name="Percent 3 9 2 7" xfId="37997"/>
    <cellStyle name="Percent 3 9 3" xfId="2385"/>
    <cellStyle name="Percent 3 9 3 2" xfId="8670"/>
    <cellStyle name="Percent 3 9 3 2 2" xfId="38015"/>
    <cellStyle name="Percent 3 9 3 2 3" xfId="38014"/>
    <cellStyle name="Percent 3 9 3 3" xfId="5543"/>
    <cellStyle name="Percent 3 9 3 3 2" xfId="38017"/>
    <cellStyle name="Percent 3 9 3 3 3" xfId="38016"/>
    <cellStyle name="Percent 3 9 3 4" xfId="11853"/>
    <cellStyle name="Percent 3 9 3 4 2" xfId="38019"/>
    <cellStyle name="Percent 3 9 3 4 3" xfId="38018"/>
    <cellStyle name="Percent 3 9 3 5" xfId="38020"/>
    <cellStyle name="Percent 3 9 3 6" xfId="38013"/>
    <cellStyle name="Percent 3 9 4" xfId="7107"/>
    <cellStyle name="Percent 3 9 4 2" xfId="38022"/>
    <cellStyle name="Percent 3 9 4 3" xfId="38021"/>
    <cellStyle name="Percent 3 9 5" xfId="3980"/>
    <cellStyle name="Percent 3 9 5 2" xfId="38024"/>
    <cellStyle name="Percent 3 9 5 3" xfId="38023"/>
    <cellStyle name="Percent 3 9 6" xfId="10309"/>
    <cellStyle name="Percent 3 9 6 2" xfId="38026"/>
    <cellStyle name="Percent 3 9 6 3" xfId="38025"/>
    <cellStyle name="Percent 3 9 7" xfId="38027"/>
    <cellStyle name="Percent 3 9 8" xfId="37996"/>
    <cellStyle name="Percent 4" xfId="326"/>
    <cellStyle name="Percent 4 2" xfId="38028"/>
    <cellStyle name="Percent 4 3" xfId="38173"/>
    <cellStyle name="Percent 5" xfId="610"/>
    <cellStyle name="Percent 5 2" xfId="835"/>
    <cellStyle name="Percent 5 2 2" xfId="38030"/>
    <cellStyle name="Percent 5 3" xfId="1317"/>
    <cellStyle name="Percent 5 3 2" xfId="2882"/>
    <cellStyle name="Percent 5 3 2 2" xfId="9167"/>
    <cellStyle name="Percent 5 3 2 2 2" xfId="38034"/>
    <cellStyle name="Percent 5 3 2 2 3" xfId="38033"/>
    <cellStyle name="Percent 5 3 2 3" xfId="6040"/>
    <cellStyle name="Percent 5 3 2 3 2" xfId="38036"/>
    <cellStyle name="Percent 5 3 2 3 3" xfId="38035"/>
    <cellStyle name="Percent 5 3 2 4" xfId="12350"/>
    <cellStyle name="Percent 5 3 2 4 2" xfId="38038"/>
    <cellStyle name="Percent 5 3 2 4 3" xfId="38037"/>
    <cellStyle name="Percent 5 3 2 5" xfId="38039"/>
    <cellStyle name="Percent 5 3 2 6" xfId="38032"/>
    <cellStyle name="Percent 5 3 3" xfId="7604"/>
    <cellStyle name="Percent 5 3 3 2" xfId="38041"/>
    <cellStyle name="Percent 5 3 3 3" xfId="38040"/>
    <cellStyle name="Percent 5 3 4" xfId="4477"/>
    <cellStyle name="Percent 5 3 4 2" xfId="38043"/>
    <cellStyle name="Percent 5 3 4 3" xfId="38042"/>
    <cellStyle name="Percent 5 3 5" xfId="10787"/>
    <cellStyle name="Percent 5 3 5 2" xfId="38045"/>
    <cellStyle name="Percent 5 3 5 3" xfId="38044"/>
    <cellStyle name="Percent 5 3 6" xfId="38046"/>
    <cellStyle name="Percent 5 3 7" xfId="38031"/>
    <cellStyle name="Percent 5 4" xfId="2202"/>
    <cellStyle name="Percent 5 4 2" xfId="8487"/>
    <cellStyle name="Percent 5 4 2 2" xfId="38049"/>
    <cellStyle name="Percent 5 4 2 3" xfId="38048"/>
    <cellStyle name="Percent 5 4 3" xfId="5360"/>
    <cellStyle name="Percent 5 4 3 2" xfId="38051"/>
    <cellStyle name="Percent 5 4 3 3" xfId="38050"/>
    <cellStyle name="Percent 5 4 4" xfId="11670"/>
    <cellStyle name="Percent 5 4 4 2" xfId="38053"/>
    <cellStyle name="Percent 5 4 4 3" xfId="38052"/>
    <cellStyle name="Percent 5 4 5" xfId="38054"/>
    <cellStyle name="Percent 5 4 6" xfId="38047"/>
    <cellStyle name="Percent 5 5" xfId="6924"/>
    <cellStyle name="Percent 5 5 2" xfId="10228"/>
    <cellStyle name="Percent 5 5 2 2" xfId="38057"/>
    <cellStyle name="Percent 5 5 2 3" xfId="38056"/>
    <cellStyle name="Percent 5 5 3" xfId="38058"/>
    <cellStyle name="Percent 5 5 4" xfId="38055"/>
    <cellStyle name="Percent 5 6" xfId="3797"/>
    <cellStyle name="Percent 5 6 2" xfId="38060"/>
    <cellStyle name="Percent 5 6 3" xfId="38059"/>
    <cellStyle name="Percent 5 7" xfId="38061"/>
    <cellStyle name="Percent 5 8" xfId="38029"/>
    <cellStyle name="Percent 5 9" xfId="38180"/>
    <cellStyle name="Percent 6" xfId="669"/>
    <cellStyle name="Percent 6 2" xfId="1374"/>
    <cellStyle name="Percent 6 2 2" xfId="2939"/>
    <cellStyle name="Percent 6 2 2 2" xfId="9224"/>
    <cellStyle name="Percent 6 2 2 2 2" xfId="38066"/>
    <cellStyle name="Percent 6 2 2 2 3" xfId="38065"/>
    <cellStyle name="Percent 6 2 2 3" xfId="6097"/>
    <cellStyle name="Percent 6 2 2 3 2" xfId="38068"/>
    <cellStyle name="Percent 6 2 2 3 3" xfId="38067"/>
    <cellStyle name="Percent 6 2 2 4" xfId="12407"/>
    <cellStyle name="Percent 6 2 2 4 2" xfId="38070"/>
    <cellStyle name="Percent 6 2 2 4 3" xfId="38069"/>
    <cellStyle name="Percent 6 2 2 5" xfId="38071"/>
    <cellStyle name="Percent 6 2 2 6" xfId="38064"/>
    <cellStyle name="Percent 6 2 3" xfId="7661"/>
    <cellStyle name="Percent 6 2 3 2" xfId="38073"/>
    <cellStyle name="Percent 6 2 3 3" xfId="38072"/>
    <cellStyle name="Percent 6 2 4" xfId="4534"/>
    <cellStyle name="Percent 6 2 4 2" xfId="38075"/>
    <cellStyle name="Percent 6 2 4 3" xfId="38074"/>
    <cellStyle name="Percent 6 2 5" xfId="10844"/>
    <cellStyle name="Percent 6 2 5 2" xfId="38077"/>
    <cellStyle name="Percent 6 2 5 3" xfId="38076"/>
    <cellStyle name="Percent 6 2 6" xfId="38078"/>
    <cellStyle name="Percent 6 2 7" xfId="38063"/>
    <cellStyle name="Percent 6 3" xfId="2259"/>
    <cellStyle name="Percent 6 3 2" xfId="8544"/>
    <cellStyle name="Percent 6 3 2 2" xfId="38081"/>
    <cellStyle name="Percent 6 3 2 3" xfId="38080"/>
    <cellStyle name="Percent 6 3 3" xfId="5417"/>
    <cellStyle name="Percent 6 3 3 2" xfId="38083"/>
    <cellStyle name="Percent 6 3 3 3" xfId="38082"/>
    <cellStyle name="Percent 6 3 4" xfId="11727"/>
    <cellStyle name="Percent 6 3 4 2" xfId="38085"/>
    <cellStyle name="Percent 6 3 4 3" xfId="38084"/>
    <cellStyle name="Percent 6 3 5" xfId="38086"/>
    <cellStyle name="Percent 6 3 6" xfId="38079"/>
    <cellStyle name="Percent 6 4" xfId="6981"/>
    <cellStyle name="Percent 6 4 2" xfId="38088"/>
    <cellStyle name="Percent 6 4 3" xfId="38087"/>
    <cellStyle name="Percent 6 5" xfId="3854"/>
    <cellStyle name="Percent 6 5 2" xfId="38090"/>
    <cellStyle name="Percent 6 5 3" xfId="38089"/>
    <cellStyle name="Percent 6 6" xfId="10287"/>
    <cellStyle name="Percent 6 6 2" xfId="38092"/>
    <cellStyle name="Percent 6 6 3" xfId="38091"/>
    <cellStyle name="Percent 6 7" xfId="38093"/>
    <cellStyle name="Percent 6 8" xfId="38062"/>
    <cellStyle name="Percent 6 9" xfId="38185"/>
    <cellStyle name="Percent 7" xfId="1576"/>
    <cellStyle name="Percent 7 2" xfId="3141"/>
    <cellStyle name="Percent 7 2 2" xfId="9426"/>
    <cellStyle name="Percent 7 2 2 2" xfId="38097"/>
    <cellStyle name="Percent 7 2 2 3" xfId="38096"/>
    <cellStyle name="Percent 7 2 3" xfId="6299"/>
    <cellStyle name="Percent 7 2 3 2" xfId="38099"/>
    <cellStyle name="Percent 7 2 3 3" xfId="38098"/>
    <cellStyle name="Percent 7 2 4" xfId="12609"/>
    <cellStyle name="Percent 7 2 4 2" xfId="38101"/>
    <cellStyle name="Percent 7 2 4 3" xfId="38100"/>
    <cellStyle name="Percent 7 2 5" xfId="38102"/>
    <cellStyle name="Percent 7 2 6" xfId="38095"/>
    <cellStyle name="Percent 7 3" xfId="7863"/>
    <cellStyle name="Percent 7 3 2" xfId="38104"/>
    <cellStyle name="Percent 7 3 3" xfId="38103"/>
    <cellStyle name="Percent 7 4" xfId="4736"/>
    <cellStyle name="Percent 7 4 2" xfId="38106"/>
    <cellStyle name="Percent 7 4 3" xfId="38105"/>
    <cellStyle name="Percent 7 5" xfId="11046"/>
    <cellStyle name="Percent 7 5 2" xfId="38108"/>
    <cellStyle name="Percent 7 5 3" xfId="38107"/>
    <cellStyle name="Percent 7 6" xfId="38109"/>
    <cellStyle name="Percent 7 7" xfId="38094"/>
    <cellStyle name="Percent 7 8" xfId="38175"/>
    <cellStyle name="Percent 8" xfId="9644"/>
    <cellStyle name="Percent 8 2" xfId="38111"/>
    <cellStyle name="Percent 8 3" xfId="38110"/>
    <cellStyle name="Percent 9" xfId="38170"/>
    <cellStyle name="STYLE1" xfId="836"/>
    <cellStyle name="STYLE1 2" xfId="38112"/>
    <cellStyle name="Title" xfId="11" builtinId="15" customBuiltin="1"/>
    <cellStyle name="Title 2" xfId="38113"/>
    <cellStyle name="Total" xfId="26" builtinId="25" customBuiltin="1"/>
    <cellStyle name="Total 2" xfId="837"/>
    <cellStyle name="Total 2 2" xfId="38115"/>
    <cellStyle name="Total 3" xfId="838"/>
    <cellStyle name="Total 3 2" xfId="38116"/>
    <cellStyle name="Total 4" xfId="38114"/>
    <cellStyle name="Total Heading" xfId="7"/>
    <cellStyle name="Total Heading 2" xfId="38117"/>
    <cellStyle name="Warning Text" xfId="24" builtinId="11" customBuiltin="1"/>
    <cellStyle name="Warning Text 2" xfId="38118"/>
  </cellStyles>
  <dxfs count="0"/>
  <tableStyles count="0" defaultTableStyle="TableStyleMedium2" defaultPivotStyle="PivotStyleLight16"/>
  <colors>
    <mruColors>
      <color rgb="FFFFFF99"/>
      <color rgb="FFF29CD9"/>
      <color rgb="FFA2728B"/>
      <color rgb="FFED73C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2.xml"/><Relationship Id="rId89"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externalLink" Target="externalLinks/externalLink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1.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2246848050243719"/>
          <c:y val="0.19585440539444765"/>
          <c:w val="0.74847827644373233"/>
          <c:h val="0.74973148303270598"/>
        </c:manualLayout>
      </c:layout>
      <c:pie3DChart>
        <c:varyColors val="1"/>
        <c:ser>
          <c:idx val="1"/>
          <c:order val="1"/>
          <c:dLbls>
            <c:dLbl>
              <c:idx val="0"/>
              <c:layout>
                <c:manualLayout>
                  <c:x val="-6.7236332300567692E-2"/>
                  <c:y val="-6.2705459689879187E-2"/>
                </c:manualLayout>
              </c:layout>
              <c:dLblPos val="bestFit"/>
              <c:showLegendKey val="0"/>
              <c:showVal val="1"/>
              <c:showCatName val="1"/>
              <c:showSerName val="0"/>
              <c:showPercent val="0"/>
              <c:showBubbleSize val="0"/>
              <c:separator>
</c:separator>
            </c:dLbl>
            <c:dLbl>
              <c:idx val="1"/>
              <c:layout>
                <c:manualLayout>
                  <c:x val="-9.2099620359955003E-2"/>
                  <c:y val="-0.15294395365213495"/>
                </c:manualLayout>
              </c:layout>
              <c:dLblPos val="bestFit"/>
              <c:showLegendKey val="0"/>
              <c:showVal val="1"/>
              <c:showCatName val="1"/>
              <c:showSerName val="0"/>
              <c:showPercent val="0"/>
              <c:showBubbleSize val="0"/>
              <c:separator>
</c:separator>
            </c:dLbl>
            <c:dLbl>
              <c:idx val="2"/>
              <c:layout>
                <c:manualLayout>
                  <c:x val="0"/>
                  <c:y val="-8.8076147493758403E-2"/>
                </c:manualLayout>
              </c:layout>
              <c:dLblPos val="bestFit"/>
              <c:showLegendKey val="0"/>
              <c:showVal val="1"/>
              <c:showCatName val="1"/>
              <c:showSerName val="0"/>
              <c:showPercent val="0"/>
              <c:showBubbleSize val="0"/>
              <c:separator>
</c:separator>
            </c:dLbl>
            <c:dLbl>
              <c:idx val="3"/>
              <c:layout>
                <c:manualLayout>
                  <c:x val="-1.0070030308711411E-2"/>
                  <c:y val="5.08130081300813E-2"/>
                </c:manualLayout>
              </c:layout>
              <c:dLblPos val="bestFit"/>
              <c:showLegendKey val="0"/>
              <c:showVal val="1"/>
              <c:showCatName val="1"/>
              <c:showSerName val="0"/>
              <c:showPercent val="0"/>
              <c:showBubbleSize val="0"/>
              <c:separator>
</c:separator>
            </c:dLbl>
            <c:dLbl>
              <c:idx val="4"/>
              <c:layout>
                <c:manualLayout>
                  <c:x val="0.15309352778271137"/>
                  <c:y val="6.5173535488914955E-2"/>
                </c:manualLayout>
              </c:layout>
              <c:dLblPos val="bestFit"/>
              <c:showLegendKey val="0"/>
              <c:showVal val="1"/>
              <c:showCatName val="1"/>
              <c:showSerName val="0"/>
              <c:showPercent val="0"/>
              <c:showBubbleSize val="0"/>
              <c:separator>
</c:separator>
            </c:dLbl>
            <c:dLbl>
              <c:idx val="5"/>
              <c:layout>
                <c:manualLayout>
                  <c:x val="6.4644551010071133E-2"/>
                  <c:y val="0.11993308017348896"/>
                </c:manualLayout>
              </c:layout>
              <c:dLblPos val="bestFit"/>
              <c:showLegendKey val="0"/>
              <c:showVal val="1"/>
              <c:showCatName val="1"/>
              <c:showSerName val="0"/>
              <c:showPercent val="0"/>
              <c:showBubbleSize val="0"/>
              <c:separator>
</c:separator>
            </c:dLbl>
            <c:dLbl>
              <c:idx val="6"/>
              <c:layout>
                <c:manualLayout>
                  <c:x val="2.48015873015873E-3"/>
                  <c:y val="0.12195121951219512"/>
                </c:manualLayout>
              </c:layout>
              <c:dLblPos val="bestFit"/>
              <c:showLegendKey val="0"/>
              <c:showVal val="1"/>
              <c:showCatName val="1"/>
              <c:showSerName val="0"/>
              <c:showPercent val="0"/>
              <c:showBubbleSize val="0"/>
              <c:separator>
</c:separator>
            </c:dLbl>
            <c:dLbl>
              <c:idx val="7"/>
              <c:layout>
                <c:manualLayout>
                  <c:x val="5.5032183477065363E-4"/>
                  <c:y val="-0.23907693702921282"/>
                </c:manualLayout>
              </c:layout>
              <c:dLblPos val="bestFit"/>
              <c:showLegendKey val="0"/>
              <c:showVal val="1"/>
              <c:showCatName val="1"/>
              <c:showSerName val="0"/>
              <c:showPercent val="0"/>
              <c:showBubbleSize val="0"/>
              <c:separator>
</c:separator>
            </c:dLbl>
            <c:dLbl>
              <c:idx val="8"/>
              <c:layout>
                <c:manualLayout>
                  <c:x val="4.0485369016372952E-2"/>
                  <c:y val="-7.2435610182873478E-2"/>
                </c:manualLayout>
              </c:layout>
              <c:dLblPos val="bestFit"/>
              <c:showLegendKey val="0"/>
              <c:showVal val="1"/>
              <c:showCatName val="1"/>
              <c:showSerName val="0"/>
              <c:showPercent val="0"/>
              <c:showBubbleSize val="0"/>
              <c:separator>
</c:separator>
            </c:dLbl>
            <c:dLbl>
              <c:idx val="9"/>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'All Funds Summary2'!$P$5:$P$14</c:f>
              <c:strCache>
                <c:ptCount val="10"/>
                <c:pt idx="0">
                  <c:v>Taxes</c:v>
                </c:pt>
                <c:pt idx="1">
                  <c:v>Licenses &amp; Permits</c:v>
                </c:pt>
                <c:pt idx="2">
                  <c:v>Inter-
governmental</c:v>
                </c:pt>
                <c:pt idx="3">
                  <c:v>Charges for Services</c:v>
                </c:pt>
                <c:pt idx="4">
                  <c:v>Fines and Forfeits</c:v>
                </c:pt>
                <c:pt idx="5">
                  <c:v>Miscellaneous</c:v>
                </c:pt>
                <c:pt idx="6">
                  <c:v>Other Sources</c:v>
                </c:pt>
                <c:pt idx="7">
                  <c:v>Appropriated Fund Balance</c:v>
                </c:pt>
                <c:pt idx="8">
                  <c:v>Total Other Resources</c:v>
                </c:pt>
                <c:pt idx="9">
                  <c:v>Due From Health Benefits</c:v>
                </c:pt>
              </c:strCache>
            </c:strRef>
          </c:cat>
          <c:val>
            <c:numRef>
              <c:f>'All Funds Summary2'!$R$5:$R$14</c:f>
              <c:numCache>
                <c:formatCode>0.0%</c:formatCode>
                <c:ptCount val="10"/>
                <c:pt idx="0">
                  <c:v>0.19</c:v>
                </c:pt>
                <c:pt idx="1">
                  <c:v>0.02</c:v>
                </c:pt>
                <c:pt idx="2">
                  <c:v>4.2000000000000003E-2</c:v>
                </c:pt>
                <c:pt idx="3">
                  <c:v>0.29699999999999999</c:v>
                </c:pt>
                <c:pt idx="4">
                  <c:v>8.9999999999999993E-3</c:v>
                </c:pt>
                <c:pt idx="5">
                  <c:v>0.11</c:v>
                </c:pt>
                <c:pt idx="6">
                  <c:v>4.3999999999999997E-2</c:v>
                </c:pt>
                <c:pt idx="7">
                  <c:v>3.5000000000000003E-2</c:v>
                </c:pt>
                <c:pt idx="8">
                  <c:v>0.251</c:v>
                </c:pt>
                <c:pt idx="9">
                  <c:v>0</c:v>
                </c:pt>
              </c:numCache>
            </c:numRef>
          </c:val>
        </c:ser>
        <c:ser>
          <c:idx val="0"/>
          <c:order val="0"/>
          <c:cat>
            <c:strRef>
              <c:f>'All Funds Summary2'!$P$5:$P$14</c:f>
              <c:strCache>
                <c:ptCount val="10"/>
                <c:pt idx="0">
                  <c:v>Taxes</c:v>
                </c:pt>
                <c:pt idx="1">
                  <c:v>Licenses &amp; Permits</c:v>
                </c:pt>
                <c:pt idx="2">
                  <c:v>Inter-
governmental</c:v>
                </c:pt>
                <c:pt idx="3">
                  <c:v>Charges for Services</c:v>
                </c:pt>
                <c:pt idx="4">
                  <c:v>Fines and Forfeits</c:v>
                </c:pt>
                <c:pt idx="5">
                  <c:v>Miscellaneous</c:v>
                </c:pt>
                <c:pt idx="6">
                  <c:v>Other Sources</c:v>
                </c:pt>
                <c:pt idx="7">
                  <c:v>Appropriated Fund Balance</c:v>
                </c:pt>
                <c:pt idx="8">
                  <c:v>Total Other Resources</c:v>
                </c:pt>
                <c:pt idx="9">
                  <c:v>Due From Health Benefits</c:v>
                </c:pt>
              </c:strCache>
            </c:strRef>
          </c:cat>
          <c:val>
            <c:numRef>
              <c:f>'All Funds Summary2'!$R$5:$R$14</c:f>
              <c:numCache>
                <c:formatCode>0.0%</c:formatCode>
                <c:ptCount val="10"/>
                <c:pt idx="0">
                  <c:v>0.19</c:v>
                </c:pt>
                <c:pt idx="1">
                  <c:v>0.02</c:v>
                </c:pt>
                <c:pt idx="2">
                  <c:v>4.2000000000000003E-2</c:v>
                </c:pt>
                <c:pt idx="3">
                  <c:v>0.29699999999999999</c:v>
                </c:pt>
                <c:pt idx="4">
                  <c:v>8.9999999999999993E-3</c:v>
                </c:pt>
                <c:pt idx="5">
                  <c:v>0.11</c:v>
                </c:pt>
                <c:pt idx="6">
                  <c:v>4.3999999999999997E-2</c:v>
                </c:pt>
                <c:pt idx="7">
                  <c:v>3.5000000000000003E-2</c:v>
                </c:pt>
                <c:pt idx="8">
                  <c:v>0.251</c:v>
                </c:pt>
                <c:pt idx="9">
                  <c:v>0</c:v>
                </c:pt>
              </c:numCache>
            </c:numRef>
          </c:val>
        </c:ser>
        <c:ser>
          <c:idx val="2"/>
          <c:order val="2"/>
          <c:cat>
            <c:strRef>
              <c:f>'All Funds Summary2'!$P$5:$P$14</c:f>
              <c:strCache>
                <c:ptCount val="10"/>
                <c:pt idx="0">
                  <c:v>Taxes</c:v>
                </c:pt>
                <c:pt idx="1">
                  <c:v>Licenses &amp; Permits</c:v>
                </c:pt>
                <c:pt idx="2">
                  <c:v>Inter-
governmental</c:v>
                </c:pt>
                <c:pt idx="3">
                  <c:v>Charges for Services</c:v>
                </c:pt>
                <c:pt idx="4">
                  <c:v>Fines and Forfeits</c:v>
                </c:pt>
                <c:pt idx="5">
                  <c:v>Miscellaneous</c:v>
                </c:pt>
                <c:pt idx="6">
                  <c:v>Other Sources</c:v>
                </c:pt>
                <c:pt idx="7">
                  <c:v>Appropriated Fund Balance</c:v>
                </c:pt>
                <c:pt idx="8">
                  <c:v>Total Other Resources</c:v>
                </c:pt>
                <c:pt idx="9">
                  <c:v>Due From Health Benefits</c:v>
                </c:pt>
              </c:strCache>
            </c:strRef>
          </c:cat>
          <c:val>
            <c:numRef>
              <c:f>'All Funds Summary2'!$R$5:$R$14</c:f>
              <c:numCache>
                <c:formatCode>0.0%</c:formatCode>
                <c:ptCount val="10"/>
                <c:pt idx="0">
                  <c:v>0.19</c:v>
                </c:pt>
                <c:pt idx="1">
                  <c:v>0.02</c:v>
                </c:pt>
                <c:pt idx="2">
                  <c:v>4.2000000000000003E-2</c:v>
                </c:pt>
                <c:pt idx="3">
                  <c:v>0.29699999999999999</c:v>
                </c:pt>
                <c:pt idx="4">
                  <c:v>8.9999999999999993E-3</c:v>
                </c:pt>
                <c:pt idx="5">
                  <c:v>0.11</c:v>
                </c:pt>
                <c:pt idx="6">
                  <c:v>4.3999999999999997E-2</c:v>
                </c:pt>
                <c:pt idx="7">
                  <c:v>3.5000000000000003E-2</c:v>
                </c:pt>
                <c:pt idx="8">
                  <c:v>0.251</c:v>
                </c:pt>
                <c:pt idx="9">
                  <c:v>0</c:v>
                </c:pt>
              </c:numCache>
            </c:numRef>
          </c:val>
        </c:ser>
        <c:ser>
          <c:idx val="3"/>
          <c:order val="3"/>
          <c:cat>
            <c:strRef>
              <c:f>'All Funds Summary2'!$P$5:$P$14</c:f>
              <c:strCache>
                <c:ptCount val="10"/>
                <c:pt idx="0">
                  <c:v>Taxes</c:v>
                </c:pt>
                <c:pt idx="1">
                  <c:v>Licenses &amp; Permits</c:v>
                </c:pt>
                <c:pt idx="2">
                  <c:v>Inter-
governmental</c:v>
                </c:pt>
                <c:pt idx="3">
                  <c:v>Charges for Services</c:v>
                </c:pt>
                <c:pt idx="4">
                  <c:v>Fines and Forfeits</c:v>
                </c:pt>
                <c:pt idx="5">
                  <c:v>Miscellaneous</c:v>
                </c:pt>
                <c:pt idx="6">
                  <c:v>Other Sources</c:v>
                </c:pt>
                <c:pt idx="7">
                  <c:v>Appropriated Fund Balance</c:v>
                </c:pt>
                <c:pt idx="8">
                  <c:v>Total Other Resources</c:v>
                </c:pt>
                <c:pt idx="9">
                  <c:v>Due From Health Benefits</c:v>
                </c:pt>
              </c:strCache>
            </c:strRef>
          </c:cat>
          <c:val>
            <c:numRef>
              <c:f>'All Funds Summary2'!$R$5:$R$14</c:f>
              <c:numCache>
                <c:formatCode>0.0%</c:formatCode>
                <c:ptCount val="10"/>
                <c:pt idx="0">
                  <c:v>0.19</c:v>
                </c:pt>
                <c:pt idx="1">
                  <c:v>0.02</c:v>
                </c:pt>
                <c:pt idx="2">
                  <c:v>4.2000000000000003E-2</c:v>
                </c:pt>
                <c:pt idx="3">
                  <c:v>0.29699999999999999</c:v>
                </c:pt>
                <c:pt idx="4">
                  <c:v>8.9999999999999993E-3</c:v>
                </c:pt>
                <c:pt idx="5">
                  <c:v>0.11</c:v>
                </c:pt>
                <c:pt idx="6">
                  <c:v>4.3999999999999997E-2</c:v>
                </c:pt>
                <c:pt idx="7">
                  <c:v>3.5000000000000003E-2</c:v>
                </c:pt>
                <c:pt idx="8">
                  <c:v>0.251</c:v>
                </c:pt>
                <c:pt idx="9">
                  <c:v>0</c:v>
                </c:pt>
              </c:numCache>
            </c:numRef>
          </c:val>
        </c:ser>
        <c:dLbls>
          <c:showLegendKey val="0"/>
          <c:showVal val="0"/>
          <c:showCatName val="0"/>
          <c:showSerName val="0"/>
          <c:showPercent val="0"/>
          <c:showBubbleSize val="0"/>
          <c:showLeaderLines val="1"/>
        </c:dLbls>
      </c:pie3DChart>
      <c:spPr>
        <a:ln>
          <a:noFill/>
        </a:ln>
      </c:spPr>
    </c:plotArea>
    <c:plotVisOnly val="1"/>
    <c:dispBlanksAs val="zero"/>
    <c:showDLblsOverMax val="0"/>
  </c:chart>
  <c:spPr>
    <a:ln>
      <a:noFill/>
    </a:ln>
  </c:spPr>
  <c:printSettings>
    <c:headerFooter/>
    <c:pageMargins b="0.75000000000000022" l="0.70000000000000018" r="0.70000000000000018" t="0.75000000000000022" header="0.3000000000000001" footer="0.3000000000000001"/>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4331356971097176"/>
          <c:y val="0.13338788829557224"/>
          <c:w val="0.74524270531757297"/>
          <c:h val="0.74063685349051533"/>
        </c:manualLayout>
      </c:layout>
      <c:pie3DChart>
        <c:varyColors val="1"/>
        <c:ser>
          <c:idx val="0"/>
          <c:order val="0"/>
          <c:dLbls>
            <c:dLbl>
              <c:idx val="0"/>
              <c:layout>
                <c:manualLayout>
                  <c:x val="-8.4175350087227124E-2"/>
                  <c:y val="-7.7841391321411935E-2"/>
                </c:manualLayout>
              </c:layout>
              <c:dLblPos val="bestFit"/>
              <c:showLegendKey val="0"/>
              <c:showVal val="1"/>
              <c:showCatName val="1"/>
              <c:showSerName val="0"/>
              <c:showPercent val="0"/>
              <c:showBubbleSize val="0"/>
              <c:separator>
</c:separator>
            </c:dLbl>
            <c:dLbl>
              <c:idx val="1"/>
              <c:layout>
                <c:manualLayout>
                  <c:x val="-6.3220016659594198E-4"/>
                  <c:y val="-0.24287119483896288"/>
                </c:manualLayout>
              </c:layout>
              <c:dLblPos val="bestFit"/>
              <c:showLegendKey val="0"/>
              <c:showVal val="1"/>
              <c:showCatName val="1"/>
              <c:showSerName val="0"/>
              <c:showPercent val="0"/>
              <c:showBubbleSize val="0"/>
              <c:separator>
</c:separator>
            </c:dLbl>
            <c:dLbl>
              <c:idx val="2"/>
              <c:layout>
                <c:manualLayout>
                  <c:x val="-7.1844861605414076E-2"/>
                  <c:y val="0.16043831877679499"/>
                </c:manualLayout>
              </c:layout>
              <c:dLblPos val="bestFit"/>
              <c:showLegendKey val="0"/>
              <c:showVal val="1"/>
              <c:showCatName val="1"/>
              <c:showSerName val="0"/>
              <c:showPercent val="0"/>
              <c:showBubbleSize val="0"/>
              <c:separator>
</c:separator>
            </c:dLbl>
            <c:dLbl>
              <c:idx val="3"/>
              <c:layout>
                <c:manualLayout>
                  <c:x val="-6.1833026859666497E-3"/>
                  <c:y val="2.6565501151436532E-2"/>
                </c:manualLayout>
              </c:layout>
              <c:dLblPos val="bestFit"/>
              <c:showLegendKey val="0"/>
              <c:showVal val="1"/>
              <c:showCatName val="1"/>
              <c:showSerName val="0"/>
              <c:showPercent val="0"/>
              <c:showBubbleSize val="0"/>
              <c:separator>
</c:separator>
            </c:dLbl>
            <c:dLbl>
              <c:idx val="4"/>
              <c:layout>
                <c:manualLayout>
                  <c:x val="0.13704186115957062"/>
                  <c:y val="7.9409649943182392E-2"/>
                </c:manualLayout>
              </c:layout>
              <c:dLblPos val="bestFit"/>
              <c:showLegendKey val="0"/>
              <c:showVal val="1"/>
              <c:showCatName val="1"/>
              <c:showSerName val="0"/>
              <c:showPercent val="0"/>
              <c:showBubbleSize val="0"/>
              <c:separator>
</c:separator>
            </c:dLbl>
            <c:dLbl>
              <c:idx val="5"/>
              <c:layout>
                <c:manualLayout>
                  <c:x val="5.2271244911751301E-2"/>
                  <c:y val="0.13039088504741506"/>
                </c:manualLayout>
              </c:layout>
              <c:numFmt formatCode="0.0%" sourceLinked="0"/>
              <c:spPr/>
              <c:txPr>
                <a:bodyPr/>
                <a:lstStyle/>
                <a:p>
                  <a:pPr>
                    <a:defRPr b="1"/>
                  </a:pPr>
                  <a:endParaRPr lang="en-US"/>
                </a:p>
              </c:txPr>
              <c:showLegendKey val="0"/>
              <c:showVal val="1"/>
              <c:showCatName val="1"/>
              <c:showSerName val="0"/>
              <c:showPercent val="0"/>
              <c:showBubbleSize val="0"/>
            </c:dLbl>
            <c:dLbl>
              <c:idx val="6"/>
              <c:layout>
                <c:manualLayout>
                  <c:x val="1.5719545161645213E-2"/>
                  <c:y val="9.7792660974849413E-2"/>
                </c:manualLayout>
              </c:layout>
              <c:dLblPos val="bestFit"/>
              <c:showLegendKey val="0"/>
              <c:showVal val="1"/>
              <c:showCatName val="1"/>
              <c:showSerName val="0"/>
              <c:showPercent val="0"/>
              <c:showBubbleSize val="0"/>
              <c:separator>
</c:separator>
            </c:dLbl>
            <c:dLbl>
              <c:idx val="7"/>
              <c:layout>
                <c:manualLayout>
                  <c:x val="1.3930799817687459E-3"/>
                  <c:y val="7.2386892730362723E-2"/>
                </c:manualLayout>
              </c:layout>
              <c:dLblPos val="bestFit"/>
              <c:showLegendKey val="0"/>
              <c:showVal val="1"/>
              <c:showCatName val="1"/>
              <c:showSerName val="0"/>
              <c:showPercent val="0"/>
              <c:showBubbleSize val="0"/>
              <c:separator>
</c:separator>
            </c:dLbl>
            <c:dLbl>
              <c:idx val="8"/>
              <c:delete val="1"/>
            </c:dLbl>
            <c:dLbl>
              <c:idx val="9"/>
              <c:layout>
                <c:manualLayout>
                  <c:x val="-9.6170867985764068E-3"/>
                  <c:y val="-3.6133290549477795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'All Funds Summary2'!$P$38:$P$47</c:f>
              <c:strCache>
                <c:ptCount val="10"/>
                <c:pt idx="0">
                  <c:v>Salaries &amp; Wages</c:v>
                </c:pt>
                <c:pt idx="1">
                  <c:v>Fringe Benefits</c:v>
                </c:pt>
                <c:pt idx="2">
                  <c:v>Services &amp; Materials</c:v>
                </c:pt>
                <c:pt idx="3">
                  <c:v>Other Operating Expenses</c:v>
                </c:pt>
                <c:pt idx="4">
                  <c:v>Capital Outlay</c:v>
                </c:pt>
                <c:pt idx="5">
                  <c:v>Debt Service</c:v>
                </c:pt>
                <c:pt idx="6">
                  <c:v>Grant Services</c:v>
                </c:pt>
                <c:pt idx="7">
                  <c:v>Transfers Out</c:v>
                </c:pt>
                <c:pt idx="8">
                  <c:v>Due From Health Benefits</c:v>
                </c:pt>
                <c:pt idx="9">
                  <c:v>Total Other Uses</c:v>
                </c:pt>
              </c:strCache>
            </c:strRef>
          </c:cat>
          <c:val>
            <c:numRef>
              <c:f>'All Funds Summary2'!$R$38:$R$47</c:f>
              <c:numCache>
                <c:formatCode>0.0%</c:formatCode>
                <c:ptCount val="10"/>
                <c:pt idx="0">
                  <c:v>0.20799999999999999</c:v>
                </c:pt>
                <c:pt idx="1">
                  <c:v>8.2000000000000003E-2</c:v>
                </c:pt>
                <c:pt idx="2">
                  <c:v>0.12</c:v>
                </c:pt>
                <c:pt idx="3">
                  <c:v>0.14699999999999999</c:v>
                </c:pt>
                <c:pt idx="4">
                  <c:v>1.0999999999999999E-2</c:v>
                </c:pt>
                <c:pt idx="5">
                  <c:v>7.8E-2</c:v>
                </c:pt>
                <c:pt idx="6">
                  <c:v>0.01</c:v>
                </c:pt>
                <c:pt idx="7">
                  <c:v>8.3000000000000004E-2</c:v>
                </c:pt>
                <c:pt idx="8">
                  <c:v>0</c:v>
                </c:pt>
                <c:pt idx="9">
                  <c:v>0.26100000000000001</c:v>
                </c:pt>
              </c:numCache>
            </c:numRef>
          </c:val>
        </c:ser>
        <c:dLbls>
          <c:showLegendKey val="0"/>
          <c:showVal val="0"/>
          <c:showCatName val="0"/>
          <c:showSerName val="0"/>
          <c:showPercent val="0"/>
          <c:showBubbleSize val="0"/>
          <c:showLeaderLines val="1"/>
        </c:dLbls>
      </c:pie3DChart>
    </c:plotArea>
    <c:plotVisOnly val="1"/>
    <c:dispBlanksAs val="zero"/>
    <c:showDLblsOverMax val="0"/>
  </c:chart>
  <c:spPr>
    <a:noFill/>
    <a:ln>
      <a:noFill/>
    </a:ln>
  </c:spPr>
  <c:printSettings>
    <c:headerFooter/>
    <c:pageMargins b="0.75000000000000022" l="0.70000000000000018" r="0.70000000000000018" t="0.75000000000000022" header="0.3000000000000001" footer="0.3000000000000001"/>
    <c:pageSetup orientation="landscape" horizontalDpi="1200" verticalDpi="1200"/>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0341292125306042"/>
          <c:y val="9.5179689077326879E-2"/>
          <c:w val="0.82762721520275084"/>
          <c:h val="0.80964063983980616"/>
        </c:manualLayout>
      </c:layout>
      <c:pie3DChart>
        <c:varyColors val="1"/>
        <c:ser>
          <c:idx val="0"/>
          <c:order val="0"/>
          <c:dPt>
            <c:idx val="1"/>
            <c:bubble3D val="0"/>
            <c:spPr>
              <a:solidFill>
                <a:srgbClr val="C00000"/>
              </a:solidFill>
            </c:spPr>
          </c:dPt>
          <c:dPt>
            <c:idx val="7"/>
            <c:bubble3D val="0"/>
            <c:spPr>
              <a:solidFill>
                <a:srgbClr val="FFC000"/>
              </a:solidFill>
            </c:spPr>
          </c:dPt>
          <c:dLbls>
            <c:dLbl>
              <c:idx val="0"/>
              <c:layout>
                <c:manualLayout>
                  <c:x val="5.921619293712317E-3"/>
                  <c:y val="-3.0739760572805301E-2"/>
                </c:manualLayout>
              </c:layout>
              <c:dLblPos val="bestFit"/>
              <c:showLegendKey val="0"/>
              <c:showVal val="1"/>
              <c:showCatName val="1"/>
              <c:showSerName val="0"/>
              <c:showPercent val="0"/>
              <c:showBubbleSize val="0"/>
              <c:separator>
</c:separator>
            </c:dLbl>
            <c:dLbl>
              <c:idx val="1"/>
              <c:layout>
                <c:manualLayout>
                  <c:x val="1.124031007751938E-2"/>
                  <c:y val="4.2970932109422148E-2"/>
                </c:manualLayout>
              </c:layout>
              <c:dLblPos val="bestFit"/>
              <c:showLegendKey val="0"/>
              <c:showVal val="1"/>
              <c:showCatName val="1"/>
              <c:showSerName val="0"/>
              <c:showPercent val="0"/>
              <c:showBubbleSize val="0"/>
              <c:separator>
</c:separator>
            </c:dLbl>
            <c:dLbl>
              <c:idx val="2"/>
              <c:layout>
                <c:manualLayout>
                  <c:x val="3.255813953488372E-2"/>
                  <c:y val="1.1086782601372689E-2"/>
                </c:manualLayout>
              </c:layout>
              <c:dLblPos val="bestFit"/>
              <c:showLegendKey val="0"/>
              <c:showVal val="1"/>
              <c:showCatName val="1"/>
              <c:showSerName val="0"/>
              <c:showPercent val="0"/>
              <c:showBubbleSize val="0"/>
              <c:separator>
</c:separator>
            </c:dLbl>
            <c:dLbl>
              <c:idx val="3"/>
              <c:layout>
                <c:manualLayout>
                  <c:x val="-1.1111111111111117E-2"/>
                  <c:y val="8.0000000000000029E-2"/>
                </c:manualLayout>
              </c:layout>
              <c:dLblPos val="bestFit"/>
              <c:showLegendKey val="0"/>
              <c:showVal val="1"/>
              <c:showCatName val="1"/>
              <c:showSerName val="0"/>
              <c:showPercent val="0"/>
              <c:showBubbleSize val="0"/>
              <c:separator>
</c:separator>
            </c:dLbl>
            <c:dLbl>
              <c:idx val="4"/>
              <c:layout>
                <c:manualLayout>
                  <c:x val="6.0551248923341947E-2"/>
                  <c:y val="5.4317140838678585E-2"/>
                </c:manualLayout>
              </c:layout>
              <c:dLblPos val="bestFit"/>
              <c:showLegendKey val="0"/>
              <c:showVal val="1"/>
              <c:showCatName val="1"/>
              <c:showSerName val="0"/>
              <c:showPercent val="0"/>
              <c:showBubbleSize val="0"/>
              <c:separator>
</c:separator>
            </c:dLbl>
            <c:dLbl>
              <c:idx val="5"/>
              <c:layout>
                <c:manualLayout>
                  <c:x val="-1.3113695090439257E-2"/>
                  <c:y val="5.8731829644289114E-2"/>
                </c:manualLayout>
              </c:layout>
              <c:dLblPos val="bestFit"/>
              <c:showLegendKey val="0"/>
              <c:showVal val="1"/>
              <c:showCatName val="1"/>
              <c:showSerName val="0"/>
              <c:showPercent val="0"/>
              <c:showBubbleSize val="0"/>
              <c:separator>
</c:separator>
            </c:dLbl>
            <c:dLbl>
              <c:idx val="6"/>
              <c:layout>
                <c:manualLayout>
                  <c:x val="2.1533161068044791E-3"/>
                  <c:y val="5.3048081556650341E-2"/>
                </c:manualLayout>
              </c:layout>
              <c:dLblPos val="bestFit"/>
              <c:showLegendKey val="0"/>
              <c:showVal val="1"/>
              <c:showCatName val="1"/>
              <c:showSerName val="0"/>
              <c:showPercent val="0"/>
              <c:showBubbleSize val="0"/>
              <c:separator>
</c:separator>
            </c:dLbl>
            <c:dLbl>
              <c:idx val="7"/>
              <c:layout>
                <c:manualLayout>
                  <c:x val="3.3929140640365689E-3"/>
                  <c:y val="0.11339869281045752"/>
                </c:manualLayout>
              </c:layout>
              <c:dLblPos val="bestFit"/>
              <c:showLegendKey val="0"/>
              <c:showVal val="1"/>
              <c:showCatName val="1"/>
              <c:showSerName val="0"/>
              <c:showPercent val="0"/>
              <c:showBubbleSize val="0"/>
              <c:separator>
</c:separator>
            </c:dLbl>
            <c:dLbl>
              <c:idx val="8"/>
              <c:layout>
                <c:manualLayout>
                  <c:x val="4.7372954349698536E-2"/>
                  <c:y val="-2.9708853238265002E-2"/>
                </c:manualLayout>
              </c:layout>
              <c:dLblPos val="bestFit"/>
              <c:showLegendKey val="0"/>
              <c:showVal val="1"/>
              <c:showCatName val="1"/>
              <c:showSerName val="0"/>
              <c:showPercent val="0"/>
              <c:showBubbleSize val="0"/>
              <c:separator>
</c:separator>
            </c:dLbl>
            <c:txPr>
              <a:bodyPr/>
              <a:lstStyle/>
              <a:p>
                <a:pPr>
                  <a:defRPr sz="1100" b="1">
                    <a:solidFill>
                      <a:schemeClr val="tx2"/>
                    </a:solidFill>
                  </a:defRPr>
                </a:pPr>
                <a:endParaRPr lang="en-US"/>
              </a:p>
            </c:txPr>
            <c:dLblPos val="outEnd"/>
            <c:showLegendKey val="0"/>
            <c:showVal val="1"/>
            <c:showCatName val="1"/>
            <c:showSerName val="0"/>
            <c:showPercent val="0"/>
            <c:showBubbleSize val="0"/>
            <c:separator>
</c:separator>
            <c:showLeaderLines val="1"/>
          </c:dLbls>
          <c:cat>
            <c:strRef>
              <c:f>'Where Money Goes &amp; Comes Pie'!$B$3:$B$11</c:f>
              <c:strCache>
                <c:ptCount val="9"/>
                <c:pt idx="0">
                  <c:v>Property Taxes $96.6</c:v>
                </c:pt>
                <c:pt idx="1">
                  <c:v>Taxes 
$51.8</c:v>
                </c:pt>
                <c:pt idx="2">
                  <c:v>Licenses 
&amp; Permits 
$2.9</c:v>
                </c:pt>
                <c:pt idx="3">
                  <c:v>Inter-governmental 
$17.4</c:v>
                </c:pt>
                <c:pt idx="4">
                  <c:v>Charges 
&amp; Services 
$22.4</c:v>
                </c:pt>
                <c:pt idx="5">
                  <c:v>Fines 
&amp; Forfeitures 
$4.8</c:v>
                </c:pt>
                <c:pt idx="6">
                  <c:v>Fire 
Assessment Fee 
$32.3</c:v>
                </c:pt>
                <c:pt idx="7">
                  <c:v>Misc. 
Revenues 
$46.5</c:v>
                </c:pt>
                <c:pt idx="8">
                  <c:v>Balances, Reserves 
&amp; Transfers 
$61.1</c:v>
                </c:pt>
              </c:strCache>
            </c:strRef>
          </c:cat>
          <c:val>
            <c:numRef>
              <c:f>'Where Money Goes &amp; Comes Pie'!$D$3:$D$11</c:f>
              <c:numCache>
                <c:formatCode>0.0%</c:formatCode>
                <c:ptCount val="9"/>
                <c:pt idx="0">
                  <c:v>0.28299999999999997</c:v>
                </c:pt>
                <c:pt idx="1">
                  <c:v>0.15</c:v>
                </c:pt>
                <c:pt idx="2">
                  <c:v>8.0000000000000002E-3</c:v>
                </c:pt>
                <c:pt idx="3">
                  <c:v>5.0999999999999997E-2</c:v>
                </c:pt>
                <c:pt idx="4">
                  <c:v>7.4999999999999997E-2</c:v>
                </c:pt>
                <c:pt idx="5">
                  <c:v>1.4E-2</c:v>
                </c:pt>
                <c:pt idx="6">
                  <c:v>9.2999999999999999E-2</c:v>
                </c:pt>
                <c:pt idx="7">
                  <c:v>0.13400000000000001</c:v>
                </c:pt>
                <c:pt idx="8">
                  <c:v>0.191</c:v>
                </c:pt>
              </c:numCache>
            </c:numRef>
          </c:val>
        </c:ser>
        <c:dLbls>
          <c:showLegendKey val="0"/>
          <c:showVal val="0"/>
          <c:showCatName val="0"/>
          <c:showSerName val="0"/>
          <c:showPercent val="0"/>
          <c:showBubbleSize val="0"/>
          <c:showLeaderLines val="1"/>
        </c:dLbls>
      </c:pie3DChart>
    </c:plotArea>
    <c:plotVisOnly val="1"/>
    <c:dispBlanksAs val="zero"/>
    <c:showDLblsOverMax val="0"/>
  </c:chart>
  <c:spPr>
    <a:ln>
      <a:noFill/>
    </a:ln>
  </c:spPr>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pie3DChart>
        <c:varyColors val="1"/>
        <c:ser>
          <c:idx val="0"/>
          <c:order val="0"/>
          <c:dPt>
            <c:idx val="0"/>
            <c:bubble3D val="0"/>
            <c:spPr>
              <a:solidFill>
                <a:schemeClr val="accent3">
                  <a:lumMod val="75000"/>
                </a:schemeClr>
              </a:solidFill>
            </c:spPr>
          </c:dPt>
          <c:dPt>
            <c:idx val="1"/>
            <c:bubble3D val="0"/>
            <c:spPr>
              <a:solidFill>
                <a:schemeClr val="tx2"/>
              </a:solidFill>
            </c:spPr>
          </c:dPt>
          <c:dPt>
            <c:idx val="2"/>
            <c:bubble3D val="0"/>
            <c:spPr>
              <a:solidFill>
                <a:srgbClr val="C00000"/>
              </a:solidFill>
            </c:spPr>
          </c:dPt>
          <c:dPt>
            <c:idx val="4"/>
            <c:bubble3D val="0"/>
            <c:spPr>
              <a:solidFill>
                <a:schemeClr val="accent3"/>
              </a:solidFill>
            </c:spPr>
          </c:dPt>
          <c:dPt>
            <c:idx val="5"/>
            <c:bubble3D val="0"/>
            <c:spPr>
              <a:solidFill>
                <a:schemeClr val="accent5">
                  <a:lumMod val="75000"/>
                </a:schemeClr>
              </a:solidFill>
            </c:spPr>
          </c:dPt>
          <c:dPt>
            <c:idx val="6"/>
            <c:bubble3D val="0"/>
            <c:spPr>
              <a:solidFill>
                <a:srgbClr val="FFC000"/>
              </a:solidFill>
            </c:spPr>
          </c:dPt>
          <c:dLbls>
            <c:dLbl>
              <c:idx val="0"/>
              <c:layout>
                <c:manualLayout>
                  <c:x val="-2.4224806201550389E-2"/>
                  <c:y val="2.8970391858912374E-3"/>
                </c:manualLayout>
              </c:layout>
              <c:dLblPos val="bestFit"/>
              <c:showLegendKey val="0"/>
              <c:showVal val="1"/>
              <c:showCatName val="1"/>
              <c:showSerName val="0"/>
              <c:showPercent val="0"/>
              <c:showBubbleSize val="0"/>
              <c:separator>
</c:separator>
            </c:dLbl>
            <c:dLbl>
              <c:idx val="1"/>
              <c:layout>
                <c:manualLayout>
                  <c:x val="2.1533161068044791E-3"/>
                  <c:y val="-9.4846894138232718E-2"/>
                </c:manualLayout>
              </c:layout>
              <c:dLblPos val="bestFit"/>
              <c:showLegendKey val="0"/>
              <c:showVal val="1"/>
              <c:showCatName val="1"/>
              <c:showSerName val="0"/>
              <c:showPercent val="0"/>
              <c:showBubbleSize val="0"/>
              <c:separator>
</c:separator>
            </c:dLbl>
            <c:dLbl>
              <c:idx val="2"/>
              <c:layout>
                <c:manualLayout>
                  <c:x val="1.9638242894056846E-2"/>
                  <c:y val="7.0739512824054884E-2"/>
                </c:manualLayout>
              </c:layout>
              <c:dLblPos val="bestFit"/>
              <c:showLegendKey val="0"/>
              <c:showVal val="1"/>
              <c:showCatName val="1"/>
              <c:showSerName val="0"/>
              <c:showPercent val="0"/>
              <c:showBubbleSize val="0"/>
              <c:separator>
</c:separator>
            </c:dLbl>
            <c:dLbl>
              <c:idx val="3"/>
              <c:layout>
                <c:manualLayout>
                  <c:x val="3.5132963030783941E-2"/>
                  <c:y val="7.2030897453607773E-2"/>
                </c:manualLayout>
              </c:layout>
              <c:dLblPos val="bestFit"/>
              <c:showLegendKey val="0"/>
              <c:showVal val="1"/>
              <c:showCatName val="1"/>
              <c:showSerName val="0"/>
              <c:showPercent val="0"/>
              <c:showBubbleSize val="0"/>
              <c:separator>
</c:separator>
            </c:dLbl>
            <c:dLbl>
              <c:idx val="4"/>
              <c:layout>
                <c:manualLayout>
                  <c:x val="-6.6752799310938846E-2"/>
                  <c:y val="5.4391951006124234E-2"/>
                </c:manualLayout>
              </c:layout>
              <c:dLblPos val="bestFit"/>
              <c:showLegendKey val="0"/>
              <c:showVal val="1"/>
              <c:showCatName val="1"/>
              <c:showSerName val="0"/>
              <c:showPercent val="0"/>
              <c:showBubbleSize val="0"/>
              <c:separator>
</c:separator>
            </c:dLbl>
            <c:dLbl>
              <c:idx val="5"/>
              <c:layout>
                <c:manualLayout>
                  <c:x val="-3.6954295441751953E-2"/>
                  <c:y val="7.5989777593590269E-2"/>
                </c:manualLayout>
              </c:layout>
              <c:dLblPos val="bestFit"/>
              <c:showLegendKey val="0"/>
              <c:showVal val="1"/>
              <c:showCatName val="1"/>
              <c:showSerName val="0"/>
              <c:showPercent val="0"/>
              <c:showBubbleSize val="0"/>
              <c:separator>
</c:separator>
            </c:dLbl>
            <c:dLbl>
              <c:idx val="6"/>
              <c:layout>
                <c:manualLayout>
                  <c:x val="4.5219638242894059E-2"/>
                  <c:y val="-6.222222222222222E-2"/>
                </c:manualLayout>
              </c:layout>
              <c:dLblPos val="bestFit"/>
              <c:showLegendKey val="0"/>
              <c:showVal val="1"/>
              <c:showCatName val="1"/>
              <c:showSerName val="0"/>
              <c:showPercent val="0"/>
              <c:showBubbleSize val="0"/>
              <c:separator>
</c:separator>
            </c:dLbl>
            <c:dLbl>
              <c:idx val="7"/>
              <c:layout>
                <c:manualLayout>
                  <c:x val="5.0766005864593788E-2"/>
                  <c:y val="-0.05"/>
                </c:manualLayout>
              </c:layout>
              <c:dLblPos val="bestFit"/>
              <c:showLegendKey val="0"/>
              <c:showVal val="1"/>
              <c:showCatName val="1"/>
              <c:showSerName val="0"/>
              <c:showPercent val="0"/>
              <c:showBubbleSize val="0"/>
              <c:separator>
</c:separator>
            </c:dLbl>
            <c:txPr>
              <a:bodyPr/>
              <a:lstStyle/>
              <a:p>
                <a:pPr>
                  <a:defRPr sz="1100"/>
                </a:pPr>
                <a:endParaRPr lang="en-US"/>
              </a:p>
            </c:txPr>
            <c:dLblPos val="outEnd"/>
            <c:showLegendKey val="0"/>
            <c:showVal val="1"/>
            <c:showCatName val="1"/>
            <c:showSerName val="0"/>
            <c:showPercent val="0"/>
            <c:showBubbleSize val="0"/>
            <c:separator>
</c:separator>
            <c:showLeaderLines val="1"/>
          </c:dLbls>
          <c:cat>
            <c:strRef>
              <c:f>'Where Money Goes &amp; Comes Pie'!$B$15:$B$21</c:f>
              <c:strCache>
                <c:ptCount val="7"/>
                <c:pt idx="0">
                  <c:v>Parks &amp; Recreation
$39.2</c:v>
                </c:pt>
                <c:pt idx="1">
                  <c:v>Police
$92.1</c:v>
                </c:pt>
                <c:pt idx="2">
                  <c:v>Fire-Rescue 
$61.0</c:v>
                </c:pt>
                <c:pt idx="3">
                  <c:v>Public Works 
$5.1</c:v>
                </c:pt>
                <c:pt idx="4">
                  <c:v>Sustainable 
Development 
$7.6</c:v>
                </c:pt>
                <c:pt idx="5">
                  <c:v>Other 
$38.4</c:v>
                </c:pt>
                <c:pt idx="6">
                  <c:v>Balances, Reserves
&amp; Transfers 
$92.4</c:v>
                </c:pt>
              </c:strCache>
            </c:strRef>
          </c:cat>
          <c:val>
            <c:numRef>
              <c:f>'Where Money Goes &amp; Comes Pie'!$D$15:$D$21</c:f>
              <c:numCache>
                <c:formatCode>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showLeaderLines val="1"/>
        </c:dLbls>
      </c:pie3DChart>
    </c:plotArea>
    <c:plotVisOnly val="1"/>
    <c:dispBlanksAs val="zero"/>
    <c:showDLblsOverMax val="0"/>
  </c:chart>
  <c:spPr>
    <a:ln>
      <a:noFill/>
    </a:ln>
  </c:spPr>
  <c:txPr>
    <a:bodyPr/>
    <a:lstStyle/>
    <a:p>
      <a:pPr>
        <a:defRPr b="1">
          <a:solidFill>
            <a:schemeClr val="tx2"/>
          </a:solidFill>
        </a:defRPr>
      </a:pPr>
      <a:endParaRPr lang="en-US"/>
    </a:p>
  </c:txPr>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9.3798419338934153E-2"/>
          <c:y val="8.3376388739078849E-2"/>
          <c:w val="0.90620158066106582"/>
          <c:h val="0.91477025132132472"/>
        </c:manualLayout>
      </c:layout>
      <c:pie3DChart>
        <c:varyColors val="1"/>
        <c:ser>
          <c:idx val="1"/>
          <c:order val="1"/>
          <c:dLbls>
            <c:dLbl>
              <c:idx val="0"/>
              <c:layout>
                <c:manualLayout>
                  <c:x val="-5.9232808236230235E-2"/>
                  <c:y val="0.26989941753856111"/>
                </c:manualLayout>
              </c:layout>
              <c:dLblPos val="bestFit"/>
              <c:showLegendKey val="0"/>
              <c:showVal val="1"/>
              <c:showCatName val="1"/>
              <c:showSerName val="0"/>
              <c:showPercent val="0"/>
              <c:showBubbleSize val="0"/>
              <c:separator>
</c:separator>
            </c:dLbl>
            <c:dLbl>
              <c:idx val="1"/>
              <c:layout>
                <c:manualLayout>
                  <c:x val="0.13725490196078433"/>
                  <c:y val="5.2410901467505239E-2"/>
                </c:manualLayout>
              </c:layout>
              <c:dLblPos val="bestFit"/>
              <c:showLegendKey val="0"/>
              <c:showVal val="1"/>
              <c:showCatName val="1"/>
              <c:showSerName val="0"/>
              <c:showPercent val="0"/>
              <c:showBubbleSize val="0"/>
              <c:separator>
</c:separator>
            </c:dLbl>
            <c:dLbl>
              <c:idx val="2"/>
              <c:layout>
                <c:manualLayout>
                  <c:x val="4.5751633986928102E-2"/>
                  <c:y val="6.6387141858839968E-2"/>
                </c:manualLayout>
              </c:layout>
              <c:tx>
                <c:rich>
                  <a:bodyPr/>
                  <a:lstStyle/>
                  <a:p>
                    <a:r>
                      <a:rPr lang="en-US" sz="900"/>
                      <a:t>Inter-
Governmental</a:t>
                    </a:r>
                    <a:r>
                      <a:rPr lang="en-US"/>
                      <a:t>
6.3%</a:t>
                    </a:r>
                  </a:p>
                </c:rich>
              </c:tx>
              <c:dLblPos val="bestFit"/>
              <c:showLegendKey val="0"/>
              <c:showVal val="1"/>
              <c:showCatName val="1"/>
              <c:showSerName val="0"/>
              <c:showPercent val="0"/>
              <c:showBubbleSize val="0"/>
              <c:separator>
</c:separator>
            </c:dLbl>
            <c:dLbl>
              <c:idx val="3"/>
              <c:layout>
                <c:manualLayout>
                  <c:x val="0"/>
                  <c:y val="0.15723270440251572"/>
                </c:manualLayout>
              </c:layout>
              <c:dLblPos val="bestFit"/>
              <c:showLegendKey val="0"/>
              <c:showVal val="1"/>
              <c:showCatName val="1"/>
              <c:showSerName val="0"/>
              <c:showPercent val="0"/>
              <c:showBubbleSize val="0"/>
              <c:separator>
</c:separator>
            </c:dLbl>
            <c:dLbl>
              <c:idx val="4"/>
              <c:layout>
                <c:manualLayout>
                  <c:x val="0"/>
                  <c:y val="0.1013277428371768"/>
                </c:manualLayout>
              </c:layout>
              <c:dLblPos val="bestFit"/>
              <c:showLegendKey val="0"/>
              <c:showVal val="1"/>
              <c:showCatName val="1"/>
              <c:showSerName val="0"/>
              <c:showPercent val="0"/>
              <c:showBubbleSize val="0"/>
              <c:separator>
</c:separator>
            </c:dLbl>
            <c:dLbl>
              <c:idx val="5"/>
              <c:layout>
                <c:manualLayout>
                  <c:x val="4.2483660130718956E-2"/>
                  <c:y val="-8.3887000966984385E-2"/>
                </c:manualLayout>
              </c:layout>
              <c:tx>
                <c:rich>
                  <a:bodyPr/>
                  <a:lstStyle/>
                  <a:p>
                    <a:r>
                      <a:rPr lang="en-US" sz="900"/>
                      <a:t>Miscellaneous</a:t>
                    </a:r>
                    <a:r>
                      <a:rPr lang="en-US"/>
                      <a:t>
27.6%</a:t>
                    </a:r>
                  </a:p>
                </c:rich>
              </c:tx>
              <c:dLblPos val="bestFit"/>
              <c:showLegendKey val="0"/>
              <c:showVal val="1"/>
              <c:showCatName val="1"/>
              <c:showSerName val="0"/>
              <c:showPercent val="0"/>
              <c:showBubbleSize val="0"/>
              <c:separator>
</c:separator>
            </c:dLbl>
            <c:dLbl>
              <c:idx val="6"/>
              <c:delete val="1"/>
            </c:dLbl>
            <c:dLbl>
              <c:idx val="7"/>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'001 General Fund'!$O$6:$O$13</c:f>
              <c:strCache>
                <c:ptCount val="8"/>
                <c:pt idx="0">
                  <c:v>Taxes</c:v>
                </c:pt>
                <c:pt idx="1">
                  <c:v>Licenses &amp; Permits</c:v>
                </c:pt>
                <c:pt idx="2">
                  <c:v>Inter-
Governmental</c:v>
                </c:pt>
                <c:pt idx="3">
                  <c:v>Charges For Services</c:v>
                </c:pt>
                <c:pt idx="4">
                  <c:v>Fines and Forfeits</c:v>
                </c:pt>
                <c:pt idx="5">
                  <c:v>Miscellaneous</c:v>
                </c:pt>
                <c:pt idx="6">
                  <c:v>Other Sources</c:v>
                </c:pt>
                <c:pt idx="7">
                  <c:v>Appropriated Fund Balance</c:v>
                </c:pt>
              </c:strCache>
            </c:strRef>
          </c:cat>
          <c:val>
            <c:numRef>
              <c:f>'001 General Fund'!$P$6:$P$13</c:f>
              <c:numCache>
                <c:formatCode>0.0%</c:formatCode>
                <c:ptCount val="8"/>
                <c:pt idx="0">
                  <c:v>0.54800000000000004</c:v>
                </c:pt>
                <c:pt idx="1">
                  <c:v>8.0000000000000002E-3</c:v>
                </c:pt>
                <c:pt idx="2">
                  <c:v>6.3E-2</c:v>
                </c:pt>
                <c:pt idx="3">
                  <c:v>9.2999999999999999E-2</c:v>
                </c:pt>
                <c:pt idx="4">
                  <c:v>1.3000000000000001E-2</c:v>
                </c:pt>
                <c:pt idx="5">
                  <c:v>0.27500000000000002</c:v>
                </c:pt>
                <c:pt idx="6">
                  <c:v>0</c:v>
                </c:pt>
                <c:pt idx="7">
                  <c:v>0</c:v>
                </c:pt>
              </c:numCache>
            </c:numRef>
          </c:val>
        </c:ser>
        <c:ser>
          <c:idx val="0"/>
          <c:order val="0"/>
          <c:cat>
            <c:strRef>
              <c:f>'001 General Fund'!$O$6:$O$13</c:f>
              <c:strCache>
                <c:ptCount val="8"/>
                <c:pt idx="0">
                  <c:v>Taxes</c:v>
                </c:pt>
                <c:pt idx="1">
                  <c:v>Licenses &amp; Permits</c:v>
                </c:pt>
                <c:pt idx="2">
                  <c:v>Inter-
Governmental</c:v>
                </c:pt>
                <c:pt idx="3">
                  <c:v>Charges For Services</c:v>
                </c:pt>
                <c:pt idx="4">
                  <c:v>Fines and Forfeits</c:v>
                </c:pt>
                <c:pt idx="5">
                  <c:v>Miscellaneous</c:v>
                </c:pt>
                <c:pt idx="6">
                  <c:v>Other Sources</c:v>
                </c:pt>
                <c:pt idx="7">
                  <c:v>Appropriated Fund Balance</c:v>
                </c:pt>
              </c:strCache>
            </c:strRef>
          </c:cat>
          <c:val>
            <c:numRef>
              <c:f>'001 General Fund'!$P$6:$P$13</c:f>
              <c:numCache>
                <c:formatCode>0.0%</c:formatCode>
                <c:ptCount val="8"/>
                <c:pt idx="0">
                  <c:v>0.54800000000000004</c:v>
                </c:pt>
                <c:pt idx="1">
                  <c:v>8.0000000000000002E-3</c:v>
                </c:pt>
                <c:pt idx="2">
                  <c:v>6.3E-2</c:v>
                </c:pt>
                <c:pt idx="3">
                  <c:v>9.2999999999999999E-2</c:v>
                </c:pt>
                <c:pt idx="4">
                  <c:v>1.3000000000000001E-2</c:v>
                </c:pt>
                <c:pt idx="5">
                  <c:v>0.27500000000000002</c:v>
                </c:pt>
                <c:pt idx="6">
                  <c:v>0</c:v>
                </c:pt>
                <c:pt idx="7">
                  <c:v>0</c:v>
                </c:pt>
              </c:numCache>
            </c:numRef>
          </c:val>
        </c:ser>
        <c:ser>
          <c:idx val="2"/>
          <c:order val="2"/>
          <c:cat>
            <c:strRef>
              <c:f>'001 General Fund'!$O$6:$O$13</c:f>
              <c:strCache>
                <c:ptCount val="8"/>
                <c:pt idx="0">
                  <c:v>Taxes</c:v>
                </c:pt>
                <c:pt idx="1">
                  <c:v>Licenses &amp; Permits</c:v>
                </c:pt>
                <c:pt idx="2">
                  <c:v>Inter-
Governmental</c:v>
                </c:pt>
                <c:pt idx="3">
                  <c:v>Charges For Services</c:v>
                </c:pt>
                <c:pt idx="4">
                  <c:v>Fines and Forfeits</c:v>
                </c:pt>
                <c:pt idx="5">
                  <c:v>Miscellaneous</c:v>
                </c:pt>
                <c:pt idx="6">
                  <c:v>Other Sources</c:v>
                </c:pt>
                <c:pt idx="7">
                  <c:v>Appropriated Fund Balance</c:v>
                </c:pt>
              </c:strCache>
            </c:strRef>
          </c:cat>
          <c:val>
            <c:numRef>
              <c:f>'001 General Fund'!$P$6:$P$13</c:f>
              <c:numCache>
                <c:formatCode>0.0%</c:formatCode>
                <c:ptCount val="8"/>
                <c:pt idx="0">
                  <c:v>0.54800000000000004</c:v>
                </c:pt>
                <c:pt idx="1">
                  <c:v>8.0000000000000002E-3</c:v>
                </c:pt>
                <c:pt idx="2">
                  <c:v>6.3E-2</c:v>
                </c:pt>
                <c:pt idx="3">
                  <c:v>9.2999999999999999E-2</c:v>
                </c:pt>
                <c:pt idx="4">
                  <c:v>1.3000000000000001E-2</c:v>
                </c:pt>
                <c:pt idx="5">
                  <c:v>0.27500000000000002</c:v>
                </c:pt>
                <c:pt idx="6">
                  <c:v>0</c:v>
                </c:pt>
                <c:pt idx="7">
                  <c:v>0</c:v>
                </c:pt>
              </c:numCache>
            </c:numRef>
          </c:val>
        </c:ser>
        <c:ser>
          <c:idx val="3"/>
          <c:order val="3"/>
          <c:cat>
            <c:strRef>
              <c:f>'001 General Fund'!$O$6:$O$13</c:f>
              <c:strCache>
                <c:ptCount val="8"/>
                <c:pt idx="0">
                  <c:v>Taxes</c:v>
                </c:pt>
                <c:pt idx="1">
                  <c:v>Licenses &amp; Permits</c:v>
                </c:pt>
                <c:pt idx="2">
                  <c:v>Inter-
Governmental</c:v>
                </c:pt>
                <c:pt idx="3">
                  <c:v>Charges For Services</c:v>
                </c:pt>
                <c:pt idx="4">
                  <c:v>Fines and Forfeits</c:v>
                </c:pt>
                <c:pt idx="5">
                  <c:v>Miscellaneous</c:v>
                </c:pt>
                <c:pt idx="6">
                  <c:v>Other Sources</c:v>
                </c:pt>
                <c:pt idx="7">
                  <c:v>Appropriated Fund Balance</c:v>
                </c:pt>
              </c:strCache>
            </c:strRef>
          </c:cat>
          <c:val>
            <c:numRef>
              <c:f>'001 General Fund'!$P$6:$P$13</c:f>
              <c:numCache>
                <c:formatCode>0.0%</c:formatCode>
                <c:ptCount val="8"/>
                <c:pt idx="0">
                  <c:v>0.54800000000000004</c:v>
                </c:pt>
                <c:pt idx="1">
                  <c:v>8.0000000000000002E-3</c:v>
                </c:pt>
                <c:pt idx="2">
                  <c:v>6.3E-2</c:v>
                </c:pt>
                <c:pt idx="3">
                  <c:v>9.2999999999999999E-2</c:v>
                </c:pt>
                <c:pt idx="4">
                  <c:v>1.3000000000000001E-2</c:v>
                </c:pt>
                <c:pt idx="5">
                  <c:v>0.27500000000000002</c:v>
                </c:pt>
                <c:pt idx="6">
                  <c:v>0</c:v>
                </c:pt>
                <c:pt idx="7">
                  <c:v>0</c:v>
                </c:pt>
              </c:numCache>
            </c:numRef>
          </c:val>
        </c:ser>
        <c:dLbls>
          <c:showLegendKey val="0"/>
          <c:showVal val="0"/>
          <c:showCatName val="0"/>
          <c:showSerName val="0"/>
          <c:showPercent val="0"/>
          <c:showBubbleSize val="0"/>
          <c:showLeaderLines val="1"/>
        </c:dLbls>
      </c:pie3DChart>
      <c:spPr>
        <a:ln>
          <a:noFill/>
        </a:ln>
      </c:spPr>
    </c:plotArea>
    <c:plotVisOnly val="1"/>
    <c:dispBlanksAs val="zero"/>
    <c:showDLblsOverMax val="0"/>
  </c:chart>
  <c:spPr>
    <a:ln>
      <a:noFill/>
    </a:ln>
  </c:spPr>
  <c:printSettings>
    <c:headerFooter/>
    <c:pageMargins b="0.75000000000000022" l="0.70000000000000018" r="0.70000000000000018" t="0.75000000000000022" header="0.3000000000000001" footer="0.3000000000000001"/>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0516075713913973"/>
          <c:y val="0.12021858651295109"/>
          <c:w val="0.87856467069523292"/>
          <c:h val="0.87735161249497906"/>
        </c:manualLayout>
      </c:layout>
      <c:pie3DChart>
        <c:varyColors val="1"/>
        <c:ser>
          <c:idx val="0"/>
          <c:order val="0"/>
          <c:dLbls>
            <c:dLbl>
              <c:idx val="0"/>
              <c:layout>
                <c:manualLayout>
                  <c:x val="-1.1373069645364097E-2"/>
                  <c:y val="-0.24180780739387883"/>
                </c:manualLayout>
              </c:layout>
              <c:dLblPos val="bestFit"/>
              <c:showLegendKey val="0"/>
              <c:showVal val="1"/>
              <c:showCatName val="1"/>
              <c:showSerName val="0"/>
              <c:showPercent val="0"/>
              <c:showBubbleSize val="0"/>
              <c:separator>
</c:separator>
            </c:dLbl>
            <c:dLbl>
              <c:idx val="1"/>
              <c:layout>
                <c:manualLayout>
                  <c:x val="6.3080233345390133E-2"/>
                  <c:y val="3.8599419913036198E-2"/>
                </c:manualLayout>
              </c:layout>
              <c:dLblPos val="bestFit"/>
              <c:showLegendKey val="0"/>
              <c:showVal val="1"/>
              <c:showCatName val="1"/>
              <c:showSerName val="0"/>
              <c:showPercent val="0"/>
              <c:showBubbleSize val="0"/>
              <c:separator>
</c:separator>
            </c:dLbl>
            <c:dLbl>
              <c:idx val="2"/>
              <c:layout>
                <c:manualLayout>
                  <c:x val="4.6025239995685474E-2"/>
                  <c:y val="0.1657285803627267"/>
                </c:manualLayout>
              </c:layout>
              <c:dLblPos val="bestFit"/>
              <c:showLegendKey val="0"/>
              <c:showVal val="1"/>
              <c:showCatName val="1"/>
              <c:showSerName val="0"/>
              <c:showPercent val="0"/>
              <c:showBubbleSize val="0"/>
              <c:separator>
</c:separator>
            </c:dLbl>
            <c:dLbl>
              <c:idx val="3"/>
              <c:layout>
                <c:manualLayout>
                  <c:x val="0"/>
                  <c:y val="-7.1071516094317708E-2"/>
                </c:manualLayout>
              </c:layout>
              <c:dLblPos val="bestFit"/>
              <c:showLegendKey val="0"/>
              <c:showVal val="1"/>
              <c:showCatName val="1"/>
              <c:showSerName val="0"/>
              <c:showPercent val="0"/>
              <c:showBubbleSize val="0"/>
              <c:separator>
</c:separator>
            </c:dLbl>
            <c:dLbl>
              <c:idx val="4"/>
              <c:layout>
                <c:manualLayout>
                  <c:x val="7.721571140816702E-2"/>
                  <c:y val="-0.10501342525012519"/>
                </c:manualLayout>
              </c:layout>
              <c:dLblPos val="bestFit"/>
              <c:showLegendKey val="0"/>
              <c:showVal val="1"/>
              <c:showCatName val="1"/>
              <c:showSerName val="0"/>
              <c:showPercent val="0"/>
              <c:showBubbleSize val="0"/>
              <c:separator>
</c:separator>
            </c:dLbl>
            <c:dLbl>
              <c:idx val="5"/>
              <c:delete val="1"/>
            </c:dLbl>
            <c:dLbl>
              <c:idx val="6"/>
              <c:layout>
                <c:manualLayout>
                  <c:x val="0.16518520214043012"/>
                  <c:y val="-3.6093604203840425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'001 General Fund'!$O$16:$O$22</c:f>
              <c:strCache>
                <c:ptCount val="7"/>
                <c:pt idx="0">
                  <c:v>Salaries &amp; Wages</c:v>
                </c:pt>
                <c:pt idx="1">
                  <c:v>Fringe Benefits</c:v>
                </c:pt>
                <c:pt idx="2">
                  <c:v>Services &amp; Materials</c:v>
                </c:pt>
                <c:pt idx="3">
                  <c:v>Other Operating Expenses</c:v>
                </c:pt>
                <c:pt idx="4">
                  <c:v>Capital Outlay</c:v>
                </c:pt>
                <c:pt idx="5">
                  <c:v>Debt Services</c:v>
                </c:pt>
                <c:pt idx="6">
                  <c:v>Transfers Out</c:v>
                </c:pt>
              </c:strCache>
            </c:strRef>
          </c:cat>
          <c:val>
            <c:numRef>
              <c:f>'001 General Fund'!$P$16:$P$22</c:f>
              <c:numCache>
                <c:formatCode>0.0%</c:formatCode>
                <c:ptCount val="7"/>
                <c:pt idx="0">
                  <c:v>0.46300000000000002</c:v>
                </c:pt>
                <c:pt idx="1">
                  <c:v>0.17599999999999999</c:v>
                </c:pt>
                <c:pt idx="2">
                  <c:v>0.107</c:v>
                </c:pt>
                <c:pt idx="3">
                  <c:v>0.11600000000000001</c:v>
                </c:pt>
                <c:pt idx="4">
                  <c:v>2E-3</c:v>
                </c:pt>
                <c:pt idx="5">
                  <c:v>0</c:v>
                </c:pt>
                <c:pt idx="6">
                  <c:v>0.13600000000000001</c:v>
                </c:pt>
              </c:numCache>
            </c:numRef>
          </c:val>
        </c:ser>
        <c:dLbls>
          <c:showLegendKey val="0"/>
          <c:showVal val="0"/>
          <c:showCatName val="0"/>
          <c:showSerName val="0"/>
          <c:showPercent val="0"/>
          <c:showBubbleSize val="0"/>
          <c:showLeaderLines val="1"/>
        </c:dLbls>
      </c:pie3DChart>
    </c:plotArea>
    <c:plotVisOnly val="1"/>
    <c:dispBlanksAs val="zero"/>
    <c:showDLblsOverMax val="0"/>
  </c:chart>
  <c:spPr>
    <a:noFill/>
    <a:ln>
      <a:noFill/>
    </a:ln>
  </c:spPr>
  <c:printSettings>
    <c:headerFooter/>
    <c:pageMargins b="0.75000000000000022" l="0.70000000000000018" r="0.70000000000000018" t="0.75000000000000022" header="0.3000000000000001" footer="0.3000000000000001"/>
    <c:pageSetup orientation="landscape" horizontalDpi="1200" verticalDpi="120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17751677387157591"/>
          <c:y val="2.1603797720230818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6.5950698981776218E-2"/>
          <c:y val="0.12859524642295242"/>
          <c:w val="0.81148014742837982"/>
          <c:h val="0.86826552896552667"/>
        </c:manualLayout>
      </c:layout>
      <c:pie3DChart>
        <c:varyColors val="1"/>
        <c:ser>
          <c:idx val="1"/>
          <c:order val="0"/>
          <c:dLbls>
            <c:dLbl>
              <c:idx val="0"/>
              <c:layout>
                <c:manualLayout>
                  <c:x val="-0.14939292827758233"/>
                  <c:y val="-3.4996174842451711E-2"/>
                </c:manualLayout>
              </c:layout>
              <c:dLblPos val="bestFit"/>
              <c:showLegendKey val="0"/>
              <c:showVal val="1"/>
              <c:showCatName val="1"/>
              <c:showSerName val="0"/>
              <c:showPercent val="0"/>
              <c:showBubbleSize val="0"/>
              <c:separator>
</c:separator>
            </c:dLbl>
            <c:dLbl>
              <c:idx val="1"/>
              <c:layout>
                <c:manualLayout>
                  <c:x val="-3.0797081215911841E-2"/>
                  <c:y val="-3.0079951354377674E-2"/>
                </c:manualLayout>
              </c:layout>
              <c:dLblPos val="bestFit"/>
              <c:showLegendKey val="0"/>
              <c:showVal val="1"/>
              <c:showCatName val="1"/>
              <c:showSerName val="0"/>
              <c:showPercent val="0"/>
              <c:showBubbleSize val="0"/>
              <c:separator>
</c:separator>
            </c:dLbl>
            <c:dLbl>
              <c:idx val="2"/>
              <c:layout>
                <c:manualLayout>
                  <c:x val="8.3582304871465535E-3"/>
                  <c:y val="-3.5122979742113931E-2"/>
                </c:manualLayout>
              </c:layout>
              <c:dLblPos val="bestFit"/>
              <c:showLegendKey val="0"/>
              <c:showVal val="1"/>
              <c:showCatName val="1"/>
              <c:showSerName val="0"/>
              <c:showPercent val="0"/>
              <c:showBubbleSize val="0"/>
              <c:separator>
</c:separator>
            </c:dLbl>
            <c:dLbl>
              <c:idx val="3"/>
              <c:layout>
                <c:manualLayout>
                  <c:x val="0"/>
                  <c:y val="6.5750688713745967E-2"/>
                </c:manualLayout>
              </c:layout>
              <c:dLblPos val="bestFit"/>
              <c:showLegendKey val="0"/>
              <c:showVal val="1"/>
              <c:showCatName val="1"/>
              <c:showSerName val="0"/>
              <c:showPercent val="0"/>
              <c:showBubbleSize val="0"/>
              <c:separator>
</c:separator>
            </c:dLbl>
            <c:dLbl>
              <c:idx val="4"/>
              <c:layout>
                <c:manualLayout>
                  <c:x val="2.6595511997170567E-2"/>
                  <c:y val="0.10673363679171245"/>
                </c:manualLayout>
              </c:layout>
              <c:dLblPos val="bestFit"/>
              <c:showLegendKey val="0"/>
              <c:showVal val="1"/>
              <c:showCatName val="1"/>
              <c:showSerName val="0"/>
              <c:showPercent val="0"/>
              <c:showBubbleSize val="0"/>
              <c:separator>
</c:separator>
            </c:dLbl>
            <c:dLbl>
              <c:idx val="5"/>
              <c:layout>
                <c:manualLayout>
                  <c:x val="-0.14598411235829564"/>
                  <c:y val="0.11220874113385344"/>
                </c:manualLayout>
              </c:layout>
              <c:dLblPos val="bestFit"/>
              <c:showLegendKey val="0"/>
              <c:showVal val="1"/>
              <c:showCatName val="1"/>
              <c:showSerName val="0"/>
              <c:showPercent val="0"/>
              <c:showBubbleSize val="0"/>
              <c:separator>
</c:separator>
            </c:dLbl>
            <c:dLbl>
              <c:idx val="6"/>
              <c:layout>
                <c:manualLayout>
                  <c:x val="0.16274687738500773"/>
                  <c:y val="0.19895367419050644"/>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Airport!$O$14:$O$20</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Airport!$Q$14:$Q$20</c:f>
              <c:numCache>
                <c:formatCode>0.0%</c:formatCode>
                <c:ptCount val="7"/>
                <c:pt idx="0">
                  <c:v>6.7000000000000004E-2</c:v>
                </c:pt>
                <c:pt idx="1">
                  <c:v>2.1000000000000001E-2</c:v>
                </c:pt>
                <c:pt idx="2">
                  <c:v>0.13100000000000001</c:v>
                </c:pt>
                <c:pt idx="3">
                  <c:v>0.13800000000000001</c:v>
                </c:pt>
                <c:pt idx="4">
                  <c:v>5.0000000000000001E-3</c:v>
                </c:pt>
                <c:pt idx="5">
                  <c:v>3.4000000000000002E-2</c:v>
                </c:pt>
                <c:pt idx="6">
                  <c:v>0.60399999999999998</c:v>
                </c:pt>
              </c:numCache>
            </c:numRef>
          </c:val>
        </c:ser>
        <c:ser>
          <c:idx val="0"/>
          <c:order val="1"/>
          <c:dLbls>
            <c:dLbl>
              <c:idx val="0"/>
              <c:layout>
                <c:manualLayout>
                  <c:x val="-0.13796393848656241"/>
                  <c:y val="-8.419301534883088E-3"/>
                </c:manualLayout>
              </c:layout>
              <c:dLblPos val="bestFit"/>
              <c:showLegendKey val="0"/>
              <c:showVal val="0"/>
              <c:showCatName val="1"/>
              <c:showSerName val="0"/>
              <c:showPercent val="1"/>
              <c:showBubbleSize val="0"/>
            </c:dLbl>
            <c:dLbl>
              <c:idx val="1"/>
              <c:layout>
                <c:manualLayout>
                  <c:x val="-5.9547706184614246E-2"/>
                  <c:y val="-3.8875959842643262E-2"/>
                </c:manualLayout>
              </c:layout>
              <c:dLblPos val="bestFit"/>
              <c:showLegendKey val="0"/>
              <c:showVal val="0"/>
              <c:showCatName val="1"/>
              <c:showSerName val="0"/>
              <c:showPercent val="1"/>
              <c:showBubbleSize val="0"/>
            </c:dLbl>
            <c:dLbl>
              <c:idx val="2"/>
              <c:layout>
                <c:manualLayout>
                  <c:x val="4.171865180584821E-2"/>
                  <c:y val="-5.6579456370339516E-2"/>
                </c:manualLayout>
              </c:layout>
              <c:dLblPos val="bestFit"/>
              <c:showLegendKey val="0"/>
              <c:showVal val="0"/>
              <c:showCatName val="1"/>
              <c:showSerName val="0"/>
              <c:showPercent val="1"/>
              <c:showBubbleSize val="0"/>
            </c:dLbl>
            <c:dLbl>
              <c:idx val="3"/>
              <c:layout>
                <c:manualLayout>
                  <c:x val="0"/>
                  <c:y val="-8.9148068735713848E-2"/>
                </c:manualLayout>
              </c:layout>
              <c:dLblPos val="bestFit"/>
              <c:showLegendKey val="0"/>
              <c:showVal val="0"/>
              <c:showCatName val="1"/>
              <c:showSerName val="0"/>
              <c:showPercent val="1"/>
              <c:showBubbleSize val="0"/>
            </c:dLbl>
            <c:dLbl>
              <c:idx val="4"/>
              <c:layout>
                <c:manualLayout>
                  <c:x val="4.728109119338806E-2"/>
                  <c:y val="8.9910359070443455E-3"/>
                </c:manualLayout>
              </c:layout>
              <c:dLblPos val="bestFit"/>
              <c:showLegendKey val="0"/>
              <c:showVal val="0"/>
              <c:showCatName val="1"/>
              <c:showSerName val="0"/>
              <c:showPercent val="1"/>
              <c:showBubbleSize val="0"/>
              <c:separator>
</c:separator>
            </c:dLbl>
            <c:dLbl>
              <c:idx val="5"/>
              <c:layout>
                <c:manualLayout>
                  <c:x val="-6.2563057277414791E-2"/>
                  <c:y val="0.1410060596922324"/>
                </c:manualLayout>
              </c:layout>
              <c:showLegendKey val="0"/>
              <c:showVal val="0"/>
              <c:showCatName val="1"/>
              <c:showSerName val="0"/>
              <c:showPercent val="1"/>
              <c:showBubbleSize val="0"/>
            </c:dLbl>
            <c:dLbl>
              <c:idx val="6"/>
              <c:layout>
                <c:manualLayout>
                  <c:x val="3.9078730915677796E-2"/>
                  <c:y val="0.16148171401663788"/>
                </c:manualLayout>
              </c:layout>
              <c:dLblPos val="bestFit"/>
              <c:showLegendKey val="0"/>
              <c:showVal val="0"/>
              <c:showCatName val="1"/>
              <c:showSerName val="0"/>
              <c:showPercent val="1"/>
              <c:showBubbleSize val="0"/>
            </c:dLbl>
            <c:dLbl>
              <c:idx val="7"/>
              <c:layout>
                <c:manualLayout>
                  <c:x val="0.25830754126060285"/>
                  <c:y val="-0.11358144929959398"/>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Airport!$O$14:$O$20</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Airport!$P$14:$P$20</c:f>
              <c:numCache>
                <c:formatCode>_(* #,##0_);_(* \(#,##0\);_(* "-"??_);_(@_)</c:formatCode>
                <c:ptCount val="7"/>
                <c:pt idx="0">
                  <c:v>1436940.6</c:v>
                </c:pt>
                <c:pt idx="1">
                  <c:v>456536</c:v>
                </c:pt>
                <c:pt idx="2">
                  <c:v>2836871</c:v>
                </c:pt>
                <c:pt idx="3">
                  <c:v>2971198</c:v>
                </c:pt>
                <c:pt idx="4">
                  <c:v>110557</c:v>
                </c:pt>
                <c:pt idx="5">
                  <c:v>739876</c:v>
                </c:pt>
                <c:pt idx="6">
                  <c:v>13024398</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a:solidFill>
                  <a:schemeClr val="bg1"/>
                </a:solidFill>
              </a:rPr>
              <a:t>FY</a:t>
            </a:r>
            <a:r>
              <a:rPr lang="en-US" sz="1400" baseline="0">
                <a:solidFill>
                  <a:schemeClr val="bg1"/>
                </a:solidFill>
              </a:rPr>
              <a:t> 2015 Proposed Revenues</a:t>
            </a:r>
            <a:endParaRPr lang="en-US" sz="1400">
              <a:solidFill>
                <a:schemeClr val="bg1"/>
              </a:solidFill>
            </a:endParaRPr>
          </a:p>
        </c:rich>
      </c:tx>
      <c:layout>
        <c:manualLayout>
          <c:xMode val="edge"/>
          <c:yMode val="edge"/>
          <c:x val="0.18190063918216973"/>
          <c:y val="1.3435249295848988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3.0165227637873757E-2"/>
          <c:y val="6.0372492286727419E-2"/>
          <c:w val="0.75885734274672312"/>
          <c:h val="0.92167345626586439"/>
        </c:manualLayout>
      </c:layout>
      <c:pie3DChart>
        <c:varyColors val="1"/>
        <c:ser>
          <c:idx val="1"/>
          <c:order val="0"/>
          <c:dLbls>
            <c:dLbl>
              <c:idx val="0"/>
              <c:layout>
                <c:manualLayout>
                  <c:x val="-5.9803502776591203E-2"/>
                  <c:y val="-5.7891529555149299E-2"/>
                </c:manualLayout>
              </c:layout>
              <c:dLblPos val="bestFit"/>
              <c:showLegendKey val="0"/>
              <c:showVal val="1"/>
              <c:showCatName val="1"/>
              <c:showSerName val="0"/>
              <c:showPercent val="0"/>
              <c:showBubbleSize val="0"/>
              <c:separator> </c:separator>
            </c:dLbl>
            <c:dLbl>
              <c:idx val="1"/>
              <c:layout>
                <c:manualLayout>
                  <c:x val="-4.5564573544069488E-2"/>
                  <c:y val="-0.24680073126142593"/>
                </c:manualLayout>
              </c:layout>
              <c:dLblPos val="bestFit"/>
              <c:showLegendKey val="0"/>
              <c:showVal val="1"/>
              <c:showCatName val="1"/>
              <c:showSerName val="0"/>
              <c:showPercent val="0"/>
              <c:showBubbleSize val="0"/>
              <c:separator> </c:separator>
            </c:dLbl>
            <c:dLbl>
              <c:idx val="2"/>
              <c:delete val="1"/>
            </c:dLbl>
            <c:dLbl>
              <c:idx val="3"/>
              <c:layout>
                <c:manualLayout>
                  <c:x val="-0.10071317975470921"/>
                  <c:y val="9.0015210621524233E-2"/>
                </c:manualLayout>
              </c:layout>
              <c:showLegendKey val="0"/>
              <c:showVal val="1"/>
              <c:showCatName val="1"/>
              <c:showSerName val="0"/>
              <c:showPercent val="0"/>
              <c:showBubbleSize val="0"/>
            </c:dLbl>
            <c:dLbl>
              <c:idx val="4"/>
              <c:layout>
                <c:manualLayout>
                  <c:x val="3.1325644311547773E-2"/>
                  <c:y val="0.21023765996343693"/>
                </c:manualLayout>
              </c:layout>
              <c:dLblPos val="bestFit"/>
              <c:showLegendKey val="0"/>
              <c:showVal val="1"/>
              <c:showCatName val="1"/>
              <c:showSerName val="0"/>
              <c:showPercent val="0"/>
              <c:showBubbleSize val="0"/>
              <c:separator> </c:separator>
            </c:dLbl>
            <c:txPr>
              <a:bodyPr/>
              <a:lstStyle/>
              <a:p>
                <a:pPr>
                  <a:defRPr sz="1000" b="1"/>
                </a:pPr>
                <a:endParaRPr lang="en-US"/>
              </a:p>
            </c:txPr>
            <c:dLblPos val="outEnd"/>
            <c:showLegendKey val="0"/>
            <c:showVal val="1"/>
            <c:showCatName val="1"/>
            <c:showSerName val="0"/>
            <c:showPercent val="0"/>
            <c:showBubbleSize val="0"/>
            <c:separator> </c:separator>
            <c:showLeaderLines val="1"/>
          </c:dLbls>
          <c:cat>
            <c:strRef>
              <c:f>Airport!$O$25:$O$29</c:f>
              <c:strCache>
                <c:ptCount val="5"/>
                <c:pt idx="0">
                  <c:v>Charges For Services</c:v>
                </c:pt>
                <c:pt idx="1">
                  <c:v>Miscellaneous</c:v>
                </c:pt>
                <c:pt idx="2">
                  <c:v>Other Sources</c:v>
                </c:pt>
                <c:pt idx="3">
                  <c:v>Appropriated Fund Balance</c:v>
                </c:pt>
                <c:pt idx="4">
                  <c:v>Other Resources</c:v>
                </c:pt>
              </c:strCache>
            </c:strRef>
          </c:cat>
          <c:val>
            <c:numRef>
              <c:f>Airport!$Q$25:$Q$29</c:f>
              <c:numCache>
                <c:formatCode>0.0%</c:formatCode>
                <c:ptCount val="5"/>
                <c:pt idx="0">
                  <c:v>0.17599999999999999</c:v>
                </c:pt>
                <c:pt idx="1">
                  <c:v>0.18099999999999999</c:v>
                </c:pt>
                <c:pt idx="2">
                  <c:v>0</c:v>
                </c:pt>
                <c:pt idx="3">
                  <c:v>0.04</c:v>
                </c:pt>
                <c:pt idx="4">
                  <c:v>0.60299999999999998</c:v>
                </c:pt>
              </c:numCache>
            </c:numRef>
          </c:val>
        </c:ser>
        <c:ser>
          <c:idx val="0"/>
          <c:order val="1"/>
          <c:dLbls>
            <c:dLbl>
              <c:idx val="0"/>
              <c:layout>
                <c:manualLayout>
                  <c:x val="-7.9312813171080881E-3"/>
                  <c:y val="-8.4192750284799479E-3"/>
                </c:manualLayout>
              </c:layout>
              <c:showLegendKey val="0"/>
              <c:showVal val="0"/>
              <c:showCatName val="1"/>
              <c:showSerName val="0"/>
              <c:showPercent val="1"/>
              <c:showBubbleSize val="0"/>
            </c:dLbl>
            <c:dLbl>
              <c:idx val="1"/>
              <c:layout>
                <c:manualLayout>
                  <c:x val="-9.2400111669082796E-2"/>
                  <c:y val="0.17946062272380486"/>
                </c:manualLayout>
              </c:layout>
              <c:numFmt formatCode="0.0%" sourceLinked="0"/>
              <c:spPr/>
              <c:txPr>
                <a:bodyPr/>
                <a:lstStyle/>
                <a:p>
                  <a:pPr>
                    <a:defRPr sz="990" b="1"/>
                  </a:pPr>
                  <a:endParaRPr lang="en-US"/>
                </a:p>
              </c:txPr>
              <c:dLblPos val="bestFit"/>
              <c:showLegendKey val="0"/>
              <c:showVal val="0"/>
              <c:showCatName val="1"/>
              <c:showSerName val="0"/>
              <c:showPercent val="1"/>
              <c:showBubbleSize val="0"/>
            </c:dLbl>
            <c:dLbl>
              <c:idx val="2"/>
              <c:delete val="1"/>
            </c:dLbl>
            <c:dLbl>
              <c:idx val="3"/>
              <c:layout>
                <c:manualLayout>
                  <c:x val="-0.17441208358139343"/>
                  <c:y val="0.13849894677242139"/>
                </c:manualLayout>
              </c:layout>
              <c:showLegendKey val="0"/>
              <c:showVal val="0"/>
              <c:showCatName val="1"/>
              <c:showSerName val="0"/>
              <c:showPercent val="1"/>
              <c:showBubbleSize val="0"/>
            </c:dLbl>
            <c:dLbl>
              <c:idx val="4"/>
              <c:layout>
                <c:manualLayout>
                  <c:x val="2.0756771059320278E-2"/>
                  <c:y val="0.17765526109967517"/>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Airport!$O$25:$O$29</c:f>
              <c:strCache>
                <c:ptCount val="5"/>
                <c:pt idx="0">
                  <c:v>Charges For Services</c:v>
                </c:pt>
                <c:pt idx="1">
                  <c:v>Miscellaneous</c:v>
                </c:pt>
                <c:pt idx="2">
                  <c:v>Other Sources</c:v>
                </c:pt>
                <c:pt idx="3">
                  <c:v>Appropriated Fund Balance</c:v>
                </c:pt>
                <c:pt idx="4">
                  <c:v>Other Resources</c:v>
                </c:pt>
              </c:strCache>
            </c:strRef>
          </c:cat>
          <c:val>
            <c:numRef>
              <c:f>Airport!$P$25:$P$29</c:f>
              <c:numCache>
                <c:formatCode>_(* #,##0_);_(* \(#,##0\);_(* "-"??_);_(@_)</c:formatCode>
                <c:ptCount val="5"/>
                <c:pt idx="0">
                  <c:v>3796401.65</c:v>
                </c:pt>
                <c:pt idx="1">
                  <c:v>3899193.27</c:v>
                </c:pt>
                <c:pt idx="2">
                  <c:v>0</c:v>
                </c:pt>
                <c:pt idx="3">
                  <c:v>856384</c:v>
                </c:pt>
                <c:pt idx="4" formatCode="#,##0_);[Red]\(#,##0\)">
                  <c:v>13024398</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464050799366119"/>
          <c:y val="1.2775222224041111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2524002216580538"/>
          <c:y val="6.6271964096091041E-2"/>
          <c:w val="0.75528742114877534"/>
          <c:h val="0.92072601847715685"/>
        </c:manualLayout>
      </c:layout>
      <c:pie3DChart>
        <c:varyColors val="1"/>
        <c:ser>
          <c:idx val="1"/>
          <c:order val="0"/>
          <c:dLbls>
            <c:dLbl>
              <c:idx val="0"/>
              <c:layout>
                <c:manualLayout>
                  <c:x val="1.313797312927055E-2"/>
                  <c:y val="-6.6510823361217067E-2"/>
                </c:manualLayout>
              </c:layout>
              <c:dLblPos val="bestFit"/>
              <c:showLegendKey val="0"/>
              <c:showVal val="1"/>
              <c:showCatName val="1"/>
              <c:showSerName val="0"/>
              <c:showPercent val="0"/>
              <c:showBubbleSize val="0"/>
              <c:separator>
</c:separator>
            </c:dLbl>
            <c:dLbl>
              <c:idx val="1"/>
              <c:layout>
                <c:manualLayout>
                  <c:x val="1.4395962744263359E-2"/>
                  <c:y val="-3.8063963418294162E-2"/>
                </c:manualLayout>
              </c:layout>
              <c:dLblPos val="bestFit"/>
              <c:showLegendKey val="0"/>
              <c:showVal val="1"/>
              <c:showCatName val="1"/>
              <c:showSerName val="0"/>
              <c:showPercent val="0"/>
              <c:showBubbleSize val="0"/>
              <c:separator>
</c:separator>
            </c:dLbl>
            <c:dLbl>
              <c:idx val="2"/>
              <c:layout>
                <c:manualLayout>
                  <c:x val="1.0934518092947394E-2"/>
                  <c:y val="4.1071038959636215E-2"/>
                </c:manualLayout>
              </c:layout>
              <c:showLegendKey val="0"/>
              <c:showVal val="1"/>
              <c:showCatName val="1"/>
              <c:showSerName val="0"/>
              <c:showPercent val="0"/>
              <c:showBubbleSize val="0"/>
            </c:dLbl>
            <c:dLbl>
              <c:idx val="3"/>
              <c:layout>
                <c:manualLayout>
                  <c:x val="-4.2701543244767555E-2"/>
                  <c:y val="-1.2911785688092968E-2"/>
                </c:manualLayout>
              </c:layout>
              <c:dLblPos val="bestFit"/>
              <c:showLegendKey val="0"/>
              <c:showVal val="1"/>
              <c:showCatName val="1"/>
              <c:showSerName val="0"/>
              <c:showPercent val="0"/>
              <c:showBubbleSize val="0"/>
              <c:separator>
</c:separator>
            </c:dLbl>
            <c:dLbl>
              <c:idx val="4"/>
              <c:delete val="1"/>
            </c:dLbl>
            <c:dLbl>
              <c:idx val="5"/>
              <c:delete val="1"/>
            </c:dLbl>
            <c:dLbl>
              <c:idx val="6"/>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'Arts Science District Garage'!$O$8:$O$15</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'Arts Science District Garage'!$Q$8:$Q$15</c:f>
              <c:numCache>
                <c:formatCode>0.0%</c:formatCode>
                <c:ptCount val="7"/>
                <c:pt idx="0">
                  <c:v>0.112</c:v>
                </c:pt>
                <c:pt idx="1">
                  <c:v>5.0000000000000001E-3</c:v>
                </c:pt>
                <c:pt idx="2">
                  <c:v>0.75700000000000001</c:v>
                </c:pt>
                <c:pt idx="3">
                  <c:v>0.126</c:v>
                </c:pt>
                <c:pt idx="4">
                  <c:v>0</c:v>
                </c:pt>
                <c:pt idx="5">
                  <c:v>0</c:v>
                </c:pt>
                <c:pt idx="6">
                  <c:v>0</c:v>
                </c:pt>
              </c:numCache>
            </c:numRef>
          </c:val>
        </c:ser>
        <c:ser>
          <c:idx val="0"/>
          <c:order val="1"/>
          <c:dLbls>
            <c:dLbl>
              <c:idx val="0"/>
              <c:layout>
                <c:manualLayout>
                  <c:x val="-2.7548407864111352E-2"/>
                  <c:y val="-4.4793008828442199E-2"/>
                </c:manualLayout>
              </c:layout>
              <c:dLblPos val="bestFit"/>
              <c:showLegendKey val="0"/>
              <c:showVal val="0"/>
              <c:showCatName val="1"/>
              <c:showSerName val="0"/>
              <c:showPercent val="1"/>
              <c:showBubbleSize val="0"/>
            </c:dLbl>
            <c:dLbl>
              <c:idx val="1"/>
              <c:delete val="1"/>
            </c:dLbl>
            <c:dLbl>
              <c:idx val="2"/>
              <c:layout>
                <c:manualLayout>
                  <c:x val="-0.21667203778483773"/>
                  <c:y val="-0.18881834739211112"/>
                </c:manualLayout>
              </c:layout>
              <c:tx>
                <c:rich>
                  <a:bodyPr/>
                  <a:lstStyle/>
                  <a:p>
                    <a:r>
                      <a:rPr lang="en-US" sz="1000"/>
                      <a:t> </a:t>
                    </a:r>
                    <a:r>
                      <a:rPr lang="en-US"/>
                      <a:t>Services/</a:t>
                    </a:r>
                  </a:p>
                  <a:p>
                    <a:r>
                      <a:rPr lang="en-US"/>
                      <a:t>Materials 
76%</a:t>
                    </a:r>
                  </a:p>
                </c:rich>
              </c:tx>
              <c:dLblPos val="bestFit"/>
              <c:showLegendKey val="0"/>
              <c:showVal val="0"/>
              <c:showCatName val="1"/>
              <c:showSerName val="0"/>
              <c:showPercent val="1"/>
              <c:showBubbleSize val="0"/>
            </c:dLbl>
            <c:dLbl>
              <c:idx val="3"/>
              <c:layout>
                <c:manualLayout>
                  <c:x val="-4.1676274840645046E-2"/>
                  <c:y val="-6.8556166470570487E-2"/>
                </c:manualLayout>
              </c:layout>
              <c:dLblPos val="bestFit"/>
              <c:showLegendKey val="0"/>
              <c:showVal val="0"/>
              <c:showCatName val="1"/>
              <c:showSerName val="0"/>
              <c:showPercent val="1"/>
              <c:showBubbleSize val="0"/>
            </c:dLbl>
            <c:dLbl>
              <c:idx val="4"/>
              <c:layout>
                <c:manualLayout>
                  <c:x val="-1.0410222159730033E-2"/>
                  <c:y val="-3.892773101638157E-2"/>
                </c:manualLayout>
              </c:layout>
              <c:dLblPos val="bestFit"/>
              <c:showLegendKey val="0"/>
              <c:showVal val="0"/>
              <c:showCatName val="1"/>
              <c:showSerName val="0"/>
              <c:showPercent val="1"/>
              <c:showBubbleSize val="0"/>
            </c:dLbl>
            <c:dLbl>
              <c:idx val="5"/>
              <c:delete val="1"/>
            </c:dLbl>
            <c:dLbl>
              <c:idx val="6"/>
              <c:delete val="1"/>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'Arts Science District Garage'!$O$8:$O$15</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'Arts Science District Garage'!$P$8:$P$15</c:f>
              <c:numCache>
                <c:formatCode>_(* #,##0.00_);_(* \(#,##0.00\);_(* "-"??_);_(@_)</c:formatCode>
                <c:ptCount val="7"/>
                <c:pt idx="0">
                  <c:v>130367.84</c:v>
                </c:pt>
                <c:pt idx="1">
                  <c:v>5613</c:v>
                </c:pt>
                <c:pt idx="2">
                  <c:v>878796</c:v>
                </c:pt>
                <c:pt idx="3">
                  <c:v>145778</c:v>
                </c:pt>
                <c:pt idx="4">
                  <c:v>0</c:v>
                </c:pt>
                <c:pt idx="5">
                  <c:v>0</c:v>
                </c:pt>
                <c:pt idx="6">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1525996865918562"/>
          <c:y val="1.5081133726208751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4828668597571325E-3"/>
          <c:y val="6.0122704787687706E-2"/>
          <c:w val="0.87155020594699217"/>
          <c:h val="0.93592922065152073"/>
        </c:manualLayout>
      </c:layout>
      <c:pie3DChart>
        <c:varyColors val="1"/>
        <c:ser>
          <c:idx val="1"/>
          <c:order val="0"/>
          <c:dLbls>
            <c:dLbl>
              <c:idx val="0"/>
              <c:layout>
                <c:manualLayout>
                  <c:x val="0"/>
                  <c:y val="4.1858518208455521E-2"/>
                </c:manualLayout>
              </c:layout>
              <c:dLblPos val="bestFit"/>
              <c:showLegendKey val="0"/>
              <c:showVal val="1"/>
              <c:showCatName val="1"/>
              <c:showSerName val="0"/>
              <c:showPercent val="0"/>
              <c:showBubbleSize val="0"/>
              <c:separator>
</c:separator>
            </c:dLbl>
            <c:dLbl>
              <c:idx val="1"/>
              <c:layout>
                <c:manualLayout>
                  <c:x val="-6.4695009242144177E-2"/>
                  <c:y val="-2.7905678805636946E-2"/>
                </c:manualLayout>
              </c:layout>
              <c:tx>
                <c:rich>
                  <a:bodyPr/>
                  <a:lstStyle/>
                  <a:p>
                    <a:r>
                      <a:rPr lang="en-US"/>
                      <a:t> </a:t>
                    </a:r>
                    <a:r>
                      <a:rPr lang="en-US" sz="950"/>
                      <a:t>Miscellaneous</a:t>
                    </a:r>
                    <a:r>
                      <a:rPr lang="en-US"/>
                      <a:t> 
0.4%</a:t>
                    </a:r>
                  </a:p>
                </c:rich>
              </c:tx>
              <c:dLblPos val="bestFit"/>
              <c:showLegendKey val="0"/>
              <c:showVal val="1"/>
              <c:showCatName val="1"/>
              <c:showSerName val="0"/>
              <c:showPercent val="0"/>
              <c:showBubbleSize val="0"/>
              <c:separator>
</c:separator>
            </c:dLbl>
            <c:dLbl>
              <c:idx val="2"/>
              <c:delete val="1"/>
            </c:dLbl>
            <c:dLbl>
              <c:idx val="3"/>
              <c:delete val="1"/>
            </c:dLbl>
            <c:dLbl>
              <c:idx val="4"/>
              <c:dLblPos val="outEnd"/>
              <c:showLegendKey val="0"/>
              <c:showVal val="0"/>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'Arts Science District Garage'!$O$19:$O$22</c:f>
              <c:strCache>
                <c:ptCount val="4"/>
                <c:pt idx="0">
                  <c:v>Charges For Services</c:v>
                </c:pt>
                <c:pt idx="1">
                  <c:v>Miscellaneous</c:v>
                </c:pt>
                <c:pt idx="2">
                  <c:v>Appropriated Fund Balance</c:v>
                </c:pt>
                <c:pt idx="3">
                  <c:v>Other Resources</c:v>
                </c:pt>
              </c:strCache>
            </c:strRef>
          </c:cat>
          <c:val>
            <c:numRef>
              <c:f>'Arts Science District Garage'!$Q$19:$Q$22</c:f>
              <c:numCache>
                <c:formatCode>0.0%</c:formatCode>
                <c:ptCount val="4"/>
                <c:pt idx="0">
                  <c:v>0.996</c:v>
                </c:pt>
                <c:pt idx="1">
                  <c:v>4.0000000000000001E-3</c:v>
                </c:pt>
                <c:pt idx="2">
                  <c:v>0</c:v>
                </c:pt>
                <c:pt idx="3">
                  <c:v>0</c:v>
                </c:pt>
              </c:numCache>
            </c:numRef>
          </c:val>
        </c:ser>
        <c:ser>
          <c:idx val="0"/>
          <c:order val="1"/>
          <c:dLbls>
            <c:dLblPos val="outEnd"/>
            <c:showLegendKey val="0"/>
            <c:showVal val="0"/>
            <c:showCatName val="1"/>
            <c:showSerName val="0"/>
            <c:showPercent val="1"/>
            <c:showBubbleSize val="0"/>
            <c:showLeaderLines val="1"/>
          </c:dLbls>
          <c:cat>
            <c:strRef>
              <c:f>'Arts Science District Garage'!$O$19:$O$22</c:f>
              <c:strCache>
                <c:ptCount val="4"/>
                <c:pt idx="0">
                  <c:v>Charges For Services</c:v>
                </c:pt>
                <c:pt idx="1">
                  <c:v>Miscellaneous</c:v>
                </c:pt>
                <c:pt idx="2">
                  <c:v>Appropriated Fund Balance</c:v>
                </c:pt>
                <c:pt idx="3">
                  <c:v>Other Resources</c:v>
                </c:pt>
              </c:strCache>
            </c:strRef>
          </c:cat>
          <c:val>
            <c:numRef>
              <c:f>'Arts Science District Garage'!$P$19:$P$22</c:f>
              <c:numCache>
                <c:formatCode>_(* #,##0.00_);_(* \(#,##0.00\);_(* "-"??_);_(@_)</c:formatCode>
                <c:ptCount val="4"/>
                <c:pt idx="0">
                  <c:v>1155994.8400000001</c:v>
                </c:pt>
                <c:pt idx="1">
                  <c:v>4560</c:v>
                </c:pt>
                <c:pt idx="2">
                  <c:v>0</c:v>
                </c:pt>
                <c:pt idx="3">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5665552193787422"/>
          <c:y val="1.0404465481840455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0837869508735651"/>
          <c:y val="6.9897834253350513E-2"/>
          <c:w val="0.76753042233357183"/>
          <c:h val="0.89260035425696682"/>
        </c:manualLayout>
      </c:layout>
      <c:pie3DChart>
        <c:varyColors val="1"/>
        <c:ser>
          <c:idx val="1"/>
          <c:order val="0"/>
          <c:dLbls>
            <c:dLbl>
              <c:idx val="0"/>
              <c:layout>
                <c:manualLayout>
                  <c:x val="-0.12010201755083645"/>
                  <c:y val="-0.15560730447155158"/>
                </c:manualLayout>
              </c:layout>
              <c:dLblPos val="bestFit"/>
              <c:showLegendKey val="0"/>
              <c:showVal val="1"/>
              <c:showCatName val="1"/>
              <c:showSerName val="0"/>
              <c:showPercent val="0"/>
              <c:showBubbleSize val="0"/>
              <c:separator>
</c:separator>
            </c:dLbl>
            <c:dLbl>
              <c:idx val="1"/>
              <c:layout>
                <c:manualLayout>
                  <c:x val="-9.5075691296163736E-3"/>
                  <c:y val="2.4089292017588373E-2"/>
                </c:manualLayout>
              </c:layout>
              <c:dLblPos val="bestFit"/>
              <c:showLegendKey val="0"/>
              <c:showVal val="1"/>
              <c:showCatName val="1"/>
              <c:showSerName val="0"/>
              <c:showPercent val="0"/>
              <c:showBubbleSize val="0"/>
              <c:separator>
</c:separator>
            </c:dLbl>
            <c:dLbl>
              <c:idx val="2"/>
              <c:delete val="1"/>
            </c:dLbl>
            <c:dLbl>
              <c:idx val="3"/>
              <c:layout>
                <c:manualLayout>
                  <c:x val="6.189920199369018E-2"/>
                  <c:y val="-0.12505207323006667"/>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'Beach Bus Improv District'!$O$8:$O$11</c:f>
              <c:strCache>
                <c:ptCount val="4"/>
                <c:pt idx="0">
                  <c:v>Services &amp; Materials</c:v>
                </c:pt>
                <c:pt idx="1">
                  <c:v>Other Operating Expenses</c:v>
                </c:pt>
                <c:pt idx="2">
                  <c:v>Transfers Out</c:v>
                </c:pt>
                <c:pt idx="3">
                  <c:v>Other Uses</c:v>
                </c:pt>
              </c:strCache>
            </c:strRef>
          </c:cat>
          <c:val>
            <c:numRef>
              <c:f>'Beach Bus Improv District'!$Q$8:$Q$11</c:f>
              <c:numCache>
                <c:formatCode>0.0%</c:formatCode>
                <c:ptCount val="4"/>
                <c:pt idx="0">
                  <c:v>0.41</c:v>
                </c:pt>
                <c:pt idx="1">
                  <c:v>0.223</c:v>
                </c:pt>
                <c:pt idx="2">
                  <c:v>0</c:v>
                </c:pt>
                <c:pt idx="3">
                  <c:v>0.36699999999999999</c:v>
                </c:pt>
              </c:numCache>
            </c:numRef>
          </c:val>
        </c:ser>
        <c:ser>
          <c:idx val="0"/>
          <c:order val="1"/>
          <c:dPt>
            <c:idx val="0"/>
            <c:bubble3D val="0"/>
            <c:spPr>
              <a:solidFill>
                <a:schemeClr val="accent5">
                  <a:lumMod val="60000"/>
                  <a:lumOff val="40000"/>
                </a:schemeClr>
              </a:solidFill>
            </c:spPr>
          </c:dPt>
          <c:dLbls>
            <c:dLbl>
              <c:idx val="0"/>
              <c:layout>
                <c:manualLayout>
                  <c:x val="1.8090492419790809E-2"/>
                  <c:y val="2.6908444846033587E-2"/>
                </c:manualLayout>
              </c:layout>
              <c:tx>
                <c:rich>
                  <a:bodyPr/>
                  <a:lstStyle/>
                  <a:p>
                    <a:r>
                      <a:rPr lang="en-US"/>
                      <a:t> Services/</a:t>
                    </a:r>
                  </a:p>
                  <a:p>
                    <a:r>
                      <a:rPr lang="en-US"/>
                      <a:t>Materials 
80%</a:t>
                    </a:r>
                  </a:p>
                </c:rich>
              </c:tx>
              <c:dLblPos val="bestFit"/>
              <c:showLegendKey val="0"/>
              <c:showVal val="0"/>
              <c:showCatName val="1"/>
              <c:showSerName val="0"/>
              <c:showPercent val="1"/>
              <c:showBubbleSize val="0"/>
            </c:dLbl>
            <c:dLbl>
              <c:idx val="2"/>
              <c:layout>
                <c:manualLayout>
                  <c:x val="-3.281801160205295E-2"/>
                  <c:y val="-3.6877000994137002E-2"/>
                </c:manualLayout>
              </c:layout>
              <c:dLblPos val="bestFit"/>
              <c:showLegendKey val="0"/>
              <c:showVal val="0"/>
              <c:showCatName val="1"/>
              <c:showSerName val="0"/>
              <c:showPercent val="1"/>
              <c:showBubbleSize val="0"/>
            </c:dLbl>
            <c:dLbl>
              <c:idx val="3"/>
              <c:layout>
                <c:manualLayout>
                  <c:x val="0.18659557483658493"/>
                  <c:y val="-4.3553178498461777E-2"/>
                </c:manualLayout>
              </c:layout>
              <c:dLblPos val="bestFit"/>
              <c:showLegendKey val="0"/>
              <c:showVal val="0"/>
              <c:showCatName val="1"/>
              <c:showSerName val="0"/>
              <c:showPercent val="1"/>
              <c:showBubbleSize val="0"/>
            </c:dLbl>
            <c:dLbl>
              <c:idx val="4"/>
              <c:layout>
                <c:manualLayout>
                  <c:x val="0.21992380780168674"/>
                  <c:y val="-0.26098051648153803"/>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'Beach Bus Improv District'!$O$8:$O$11</c:f>
              <c:strCache>
                <c:ptCount val="4"/>
                <c:pt idx="0">
                  <c:v>Services &amp; Materials</c:v>
                </c:pt>
                <c:pt idx="1">
                  <c:v>Other Operating Expenses</c:v>
                </c:pt>
                <c:pt idx="2">
                  <c:v>Transfers Out</c:v>
                </c:pt>
                <c:pt idx="3">
                  <c:v>Other Uses</c:v>
                </c:pt>
              </c:strCache>
            </c:strRef>
          </c:cat>
          <c:val>
            <c:numRef>
              <c:f>'Beach Bus Improv District'!$P$8:$P$11</c:f>
              <c:numCache>
                <c:formatCode>_(* #,##0.00_);_(* \(#,##0.00\);_(* "-"??_);_(@_)</c:formatCode>
                <c:ptCount val="4"/>
                <c:pt idx="0">
                  <c:v>453075</c:v>
                </c:pt>
                <c:pt idx="1">
                  <c:v>246032</c:v>
                </c:pt>
                <c:pt idx="2">
                  <c:v>0</c:v>
                </c:pt>
                <c:pt idx="3">
                  <c:v>404874</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7951963375803601"/>
          <c:y val="2.3214543924914227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5.321603893651836E-3"/>
          <c:y val="3.2175220798130164E-2"/>
          <c:w val="0.86777644135513254"/>
          <c:h val="0.9427830285821952"/>
        </c:manualLayout>
      </c:layout>
      <c:pie3DChart>
        <c:varyColors val="1"/>
        <c:ser>
          <c:idx val="1"/>
          <c:order val="0"/>
          <c:dLbls>
            <c:dLbl>
              <c:idx val="0"/>
              <c:layout>
                <c:manualLayout>
                  <c:x val="-4.2142767234024589E-2"/>
                  <c:y val="0.13245544849464769"/>
                </c:manualLayout>
              </c:layout>
              <c:dLblPos val="bestFit"/>
              <c:showLegendKey val="0"/>
              <c:showVal val="1"/>
              <c:showCatName val="1"/>
              <c:showSerName val="0"/>
              <c:showPercent val="0"/>
              <c:showBubbleSize val="0"/>
              <c:separator>
</c:separator>
            </c:dLbl>
            <c:dLbl>
              <c:idx val="1"/>
              <c:delete val="1"/>
            </c:dLbl>
            <c:dLbl>
              <c:idx val="2"/>
              <c:layout>
                <c:manualLayout>
                  <c:x val="4.5076525736236786E-2"/>
                  <c:y val="-0.17614002339857771"/>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'Beach Bus Improv District'!$O$14:$O$16</c:f>
              <c:strCache>
                <c:ptCount val="3"/>
                <c:pt idx="0">
                  <c:v>Miscellaneous</c:v>
                </c:pt>
                <c:pt idx="1">
                  <c:v>Appropriated Fund Balance</c:v>
                </c:pt>
                <c:pt idx="2">
                  <c:v>Other Resources</c:v>
                </c:pt>
              </c:strCache>
            </c:strRef>
          </c:cat>
          <c:val>
            <c:numRef>
              <c:f>'Beach Bus Improv District'!$Q$14:$Q$16</c:f>
              <c:numCache>
                <c:formatCode>0.0%</c:formatCode>
                <c:ptCount val="3"/>
                <c:pt idx="0">
                  <c:v>0.63800000000000001</c:v>
                </c:pt>
                <c:pt idx="1">
                  <c:v>0</c:v>
                </c:pt>
                <c:pt idx="2">
                  <c:v>0.36199999999999999</c:v>
                </c:pt>
              </c:numCache>
            </c:numRef>
          </c:val>
        </c:ser>
        <c:ser>
          <c:idx val="0"/>
          <c:order val="1"/>
          <c:dLbls>
            <c:dLbl>
              <c:idx val="0"/>
              <c:layout>
                <c:manualLayout>
                  <c:x val="5.4590979474846172E-3"/>
                  <c:y val="3.3141272486924729E-2"/>
                </c:manualLayout>
              </c:layout>
              <c:dLblPos val="bestFit"/>
              <c:showLegendKey val="0"/>
              <c:showVal val="0"/>
              <c:showCatName val="1"/>
              <c:showSerName val="0"/>
              <c:showPercent val="1"/>
              <c:showBubbleSize val="0"/>
            </c:dLbl>
            <c:dLbl>
              <c:idx val="1"/>
              <c:layout>
                <c:manualLayout>
                  <c:x val="-0.13622345502266794"/>
                  <c:y val="1.4273434262329061E-2"/>
                </c:manualLayout>
              </c:layout>
              <c:dLblPos val="bestFit"/>
              <c:showLegendKey val="0"/>
              <c:showVal val="0"/>
              <c:showCatName val="1"/>
              <c:showSerName val="0"/>
              <c:showPercent val="1"/>
              <c:showBubbleSize val="0"/>
            </c:dLbl>
            <c:dLbl>
              <c:idx val="2"/>
              <c:layout>
                <c:manualLayout>
                  <c:x val="-4.4229392654589455E-3"/>
                  <c:y val="-4.1057552838789889E-2"/>
                </c:manualLayout>
              </c:layout>
              <c:dLblPos val="bestFit"/>
              <c:showLegendKey val="0"/>
              <c:showVal val="0"/>
              <c:showCatName val="1"/>
              <c:showSerName val="0"/>
              <c:showPercent val="1"/>
              <c:showBubbleSize val="0"/>
            </c:dLbl>
            <c:dLbl>
              <c:idx val="3"/>
              <c:layout>
                <c:manualLayout>
                  <c:x val="5.9207039804738001E-2"/>
                  <c:y val="-7.7421349677883958E-2"/>
                </c:manualLayout>
              </c:layout>
              <c:dLblPos val="bestFit"/>
              <c:showLegendKey val="0"/>
              <c:showVal val="0"/>
              <c:showCatName val="1"/>
              <c:showSerName val="0"/>
              <c:showPercent val="1"/>
              <c:showBubbleSize val="0"/>
            </c:dLbl>
            <c:dLbl>
              <c:idx val="4"/>
              <c:layout>
                <c:manualLayout>
                  <c:x val="0.21992380780168674"/>
                  <c:y val="-0.26098051648153803"/>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'Beach Bus Improv District'!$O$14:$O$16</c:f>
              <c:strCache>
                <c:ptCount val="3"/>
                <c:pt idx="0">
                  <c:v>Miscellaneous</c:v>
                </c:pt>
                <c:pt idx="1">
                  <c:v>Appropriated Fund Balance</c:v>
                </c:pt>
                <c:pt idx="2">
                  <c:v>Other Resources</c:v>
                </c:pt>
              </c:strCache>
            </c:strRef>
          </c:cat>
          <c:val>
            <c:numRef>
              <c:f>'Beach Bus Improv District'!$P$14:$P$16</c:f>
              <c:numCache>
                <c:formatCode>_(* #,##0.00_);_(* \(#,##0.00\);_(* "-"??_);_(@_)</c:formatCode>
                <c:ptCount val="3"/>
                <c:pt idx="0">
                  <c:v>704082</c:v>
                </c:pt>
                <c:pt idx="1">
                  <c:v>0</c:v>
                </c:pt>
                <c:pt idx="2">
                  <c:v>399899</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18981211286351551"/>
          <c:y val="8.8494581440887448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9.1589578400602029E-2"/>
          <c:y val="2.1856770235408978E-2"/>
          <c:w val="0.81138841473487144"/>
          <c:h val="0.97626839981497626"/>
        </c:manualLayout>
      </c:layout>
      <c:pie3DChart>
        <c:varyColors val="1"/>
        <c:ser>
          <c:idx val="1"/>
          <c:order val="0"/>
          <c:dLbls>
            <c:dLbl>
              <c:idx val="0"/>
              <c:layout>
                <c:manualLayout>
                  <c:x val="-5.960584274791738E-2"/>
                  <c:y val="-4.2032095675796161E-2"/>
                </c:manualLayout>
              </c:layout>
              <c:dLblPos val="bestFit"/>
              <c:showLegendKey val="0"/>
              <c:showVal val="1"/>
              <c:showCatName val="1"/>
              <c:showSerName val="0"/>
              <c:showPercent val="0"/>
              <c:showBubbleSize val="0"/>
              <c:separator>
</c:separator>
            </c:dLbl>
            <c:dLbl>
              <c:idx val="1"/>
              <c:layout>
                <c:manualLayout>
                  <c:x val="-1.1937439201218729E-2"/>
                  <c:y val="-8.3678315309017176E-2"/>
                </c:manualLayout>
              </c:layout>
              <c:dLblPos val="bestFit"/>
              <c:showLegendKey val="0"/>
              <c:showVal val="1"/>
              <c:showCatName val="1"/>
              <c:showSerName val="0"/>
              <c:showPercent val="0"/>
              <c:showBubbleSize val="0"/>
              <c:separator>
</c:separator>
            </c:dLbl>
            <c:dLbl>
              <c:idx val="2"/>
              <c:layout>
                <c:manualLayout>
                  <c:x val="-8.7469944753409325E-3"/>
                  <c:y val="-7.817119795284487E-2"/>
                </c:manualLayout>
              </c:layout>
              <c:dLblPos val="bestFit"/>
              <c:showLegendKey val="0"/>
              <c:showVal val="1"/>
              <c:showCatName val="1"/>
              <c:showSerName val="0"/>
              <c:showPercent val="0"/>
              <c:showBubbleSize val="0"/>
              <c:separator>
</c:separator>
            </c:dLbl>
            <c:dLbl>
              <c:idx val="3"/>
              <c:layout>
                <c:manualLayout>
                  <c:x val="1.1521024906851678E-2"/>
                  <c:y val="9.2897980500069421E-2"/>
                </c:manualLayout>
              </c:layout>
              <c:dLblPos val="bestFit"/>
              <c:showLegendKey val="0"/>
              <c:showVal val="1"/>
              <c:showCatName val="1"/>
              <c:showSerName val="0"/>
              <c:showPercent val="0"/>
              <c:showBubbleSize val="0"/>
              <c:separator>
</c:separator>
            </c:dLbl>
            <c:dLbl>
              <c:idx val="4"/>
              <c:delete val="1"/>
            </c:dLbl>
            <c:dLbl>
              <c:idx val="5"/>
              <c:layout>
                <c:manualLayout>
                  <c:x val="-0.18392342565570913"/>
                  <c:y val="0.10823822994232651"/>
                </c:manualLayout>
              </c:layout>
              <c:showLegendKey val="0"/>
              <c:showVal val="1"/>
              <c:showCatName val="1"/>
              <c:showSerName val="0"/>
              <c:showPercent val="0"/>
              <c:showBubbleSize val="0"/>
            </c:dLbl>
            <c:dLbl>
              <c:idx val="6"/>
              <c:layout>
                <c:manualLayout>
                  <c:x val="7.575757575757576E-2"/>
                  <c:y val="0.15853849113524687"/>
                </c:manualLayout>
              </c:layout>
              <c:dLblPos val="bestFit"/>
              <c:showLegendKey val="0"/>
              <c:showVal val="1"/>
              <c:showCatName val="1"/>
              <c:showSerName val="0"/>
              <c:showPercent val="0"/>
              <c:showBubbleSize val="0"/>
              <c:separator>
</c:separator>
            </c:dLbl>
            <c:dLbl>
              <c:idx val="7"/>
              <c:layout>
                <c:manualLayout>
                  <c:x val="2.0289855072463767E-2"/>
                  <c:y val="0.13912552798059621"/>
                </c:manualLayout>
              </c:layout>
              <c:dLblPos val="bestFit"/>
              <c:showLegendKey val="0"/>
              <c:showVal val="1"/>
              <c:showCatName val="1"/>
              <c:showSerName val="0"/>
              <c:showPercent val="0"/>
              <c:showBubbleSize val="0"/>
              <c:separator>
</c:separator>
            </c:dLbl>
            <c:numFmt formatCode="0.0%" sourceLinked="0"/>
            <c:txPr>
              <a:bodyPr/>
              <a:lstStyle/>
              <a:p>
                <a:pPr>
                  <a:defRPr b="1"/>
                </a:pPr>
                <a:endParaRPr lang="en-US"/>
              </a:p>
            </c:txPr>
            <c:dLblPos val="outEnd"/>
            <c:showLegendKey val="0"/>
            <c:showVal val="1"/>
            <c:showCatName val="1"/>
            <c:showSerName val="0"/>
            <c:showPercent val="0"/>
            <c:showBubbleSize val="0"/>
            <c:separator>
</c:separator>
            <c:showLeaderLines val="1"/>
          </c:dLbls>
          <c:cat>
            <c:strRef>
              <c:f>'Building Funds'!$O$6:$O$13</c:f>
              <c:strCache>
                <c:ptCount val="7"/>
                <c:pt idx="0">
                  <c:v> Salaries &amp; Wages </c:v>
                </c:pt>
                <c:pt idx="1">
                  <c:v> Fringe Benefits </c:v>
                </c:pt>
                <c:pt idx="2">
                  <c:v> Services &amp; Materials </c:v>
                </c:pt>
                <c:pt idx="3">
                  <c:v> Other Operating Expenses </c:v>
                </c:pt>
                <c:pt idx="4">
                  <c:v> Capital Outlay </c:v>
                </c:pt>
                <c:pt idx="5">
                  <c:v>Transfers Out</c:v>
                </c:pt>
                <c:pt idx="6">
                  <c:v> Other Uses </c:v>
                </c:pt>
              </c:strCache>
            </c:strRef>
          </c:cat>
          <c:val>
            <c:numRef>
              <c:f>'Building Funds'!$Q$6:$Q$13</c:f>
              <c:numCache>
                <c:formatCode>0.0%</c:formatCode>
                <c:ptCount val="7"/>
                <c:pt idx="0">
                  <c:v>0</c:v>
                </c:pt>
                <c:pt idx="1">
                  <c:v>0</c:v>
                </c:pt>
                <c:pt idx="2">
                  <c:v>0</c:v>
                </c:pt>
                <c:pt idx="3">
                  <c:v>0</c:v>
                </c:pt>
                <c:pt idx="4">
                  <c:v>0</c:v>
                </c:pt>
                <c:pt idx="5">
                  <c:v>0</c:v>
                </c:pt>
                <c:pt idx="6">
                  <c:v>0</c:v>
                </c:pt>
              </c:numCache>
            </c:numRef>
          </c:val>
        </c:ser>
        <c:ser>
          <c:idx val="0"/>
          <c:order val="1"/>
          <c:dLbls>
            <c:dLbl>
              <c:idx val="0"/>
              <c:layout>
                <c:manualLayout>
                  <c:x val="-0.19821539027366841"/>
                  <c:y val="6.6280036112480983E-2"/>
                </c:manualLayout>
              </c:layout>
              <c:dLblPos val="bestFit"/>
              <c:showLegendKey val="0"/>
              <c:showVal val="0"/>
              <c:showCatName val="1"/>
              <c:showSerName val="0"/>
              <c:showPercent val="1"/>
              <c:showBubbleSize val="0"/>
            </c:dLbl>
            <c:dLbl>
              <c:idx val="2"/>
              <c:layout>
                <c:manualLayout>
                  <c:x val="4.8305597438618134E-2"/>
                  <c:y val="-8.407880227989311E-3"/>
                </c:manualLayout>
              </c:layout>
              <c:tx>
                <c:rich>
                  <a:bodyPr/>
                  <a:lstStyle/>
                  <a:p>
                    <a:r>
                      <a:rPr lang="en-US"/>
                      <a:t> Services/</a:t>
                    </a:r>
                  </a:p>
                  <a:p>
                    <a:r>
                      <a:rPr lang="en-US"/>
                      <a:t>Materials 
3%</a:t>
                    </a:r>
                  </a:p>
                </c:rich>
              </c:tx>
              <c:dLblPos val="bestFit"/>
              <c:showLegendKey val="0"/>
              <c:showVal val="0"/>
              <c:showCatName val="1"/>
              <c:showSerName val="0"/>
              <c:showPercent val="1"/>
              <c:showBubbleSize val="0"/>
            </c:dLbl>
            <c:dLbl>
              <c:idx val="3"/>
              <c:layout>
                <c:manualLayout>
                  <c:x val="8.7824113546316265E-3"/>
                  <c:y val="2.6134581614467953E-2"/>
                </c:manualLayout>
              </c:layout>
              <c:dLblPos val="bestFit"/>
              <c:showLegendKey val="0"/>
              <c:showVal val="0"/>
              <c:showCatName val="1"/>
              <c:showSerName val="0"/>
              <c:showPercent val="1"/>
              <c:showBubbleSize val="0"/>
            </c:dLbl>
            <c:dLbl>
              <c:idx val="4"/>
              <c:layout>
                <c:manualLayout>
                  <c:x val="-0.37020834496751731"/>
                  <c:y val="3.7938739536256191E-2"/>
                </c:manualLayout>
              </c:layout>
              <c:dLblPos val="bestFit"/>
              <c:showLegendKey val="0"/>
              <c:showVal val="0"/>
              <c:showCatName val="1"/>
              <c:showSerName val="0"/>
              <c:showPercent val="1"/>
              <c:showBubbleSize val="0"/>
            </c:dLbl>
            <c:dLbl>
              <c:idx val="5"/>
              <c:layout>
                <c:manualLayout>
                  <c:x val="-0.11940465553507969"/>
                  <c:y val="6.2264517231204103E-2"/>
                </c:manualLayout>
              </c:layout>
              <c:dLblPos val="bestFit"/>
              <c:showLegendKey val="0"/>
              <c:showVal val="0"/>
              <c:showCatName val="1"/>
              <c:showSerName val="0"/>
              <c:showPercent val="1"/>
              <c:showBubbleSize val="0"/>
            </c:dLbl>
            <c:dLbl>
              <c:idx val="6"/>
              <c:layout>
                <c:manualLayout>
                  <c:x val="0.30673572718303826"/>
                  <c:y val="-4.4870241811489513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'Building Funds'!$O$6:$O$13</c:f>
              <c:strCache>
                <c:ptCount val="7"/>
                <c:pt idx="0">
                  <c:v> Salaries &amp; Wages </c:v>
                </c:pt>
                <c:pt idx="1">
                  <c:v> Fringe Benefits </c:v>
                </c:pt>
                <c:pt idx="2">
                  <c:v> Services &amp; Materials </c:v>
                </c:pt>
                <c:pt idx="3">
                  <c:v> Other Operating Expenses </c:v>
                </c:pt>
                <c:pt idx="4">
                  <c:v> Capital Outlay </c:v>
                </c:pt>
                <c:pt idx="5">
                  <c:v>Transfers Out</c:v>
                </c:pt>
                <c:pt idx="6">
                  <c:v> Other Uses </c:v>
                </c:pt>
              </c:strCache>
            </c:strRef>
          </c:cat>
          <c:val>
            <c:numRef>
              <c:f>'Building Funds'!$P$6:$P$13</c:f>
              <c:numCache>
                <c:formatCode>_(* #,##0_);_(* \(#,##0\);_(* "-"??_);_(@_)</c:formatCode>
                <c:ptCount val="7"/>
                <c:pt idx="0">
                  <c:v>0</c:v>
                </c:pt>
                <c:pt idx="1">
                  <c:v>0</c:v>
                </c:pt>
                <c:pt idx="2">
                  <c:v>0</c:v>
                </c:pt>
                <c:pt idx="3">
                  <c:v>0</c:v>
                </c:pt>
                <c:pt idx="4">
                  <c:v>0</c:v>
                </c:pt>
                <c:pt idx="5">
                  <c:v>0</c:v>
                </c:pt>
                <c:pt idx="6">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9504359013946787"/>
          <c:y val="2.3469054184833403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2.2913224521210526E-2"/>
          <c:y val="1.1091503883459371E-2"/>
          <c:w val="0.79981726384289753"/>
          <c:h val="0.96427794893697527"/>
        </c:manualLayout>
      </c:layout>
      <c:pie3DChart>
        <c:varyColors val="1"/>
        <c:ser>
          <c:idx val="1"/>
          <c:order val="0"/>
          <c:dLbls>
            <c:dLbl>
              <c:idx val="0"/>
              <c:layout>
                <c:manualLayout>
                  <c:x val="-3.753787800229965E-2"/>
                  <c:y val="-0.10499357946497624"/>
                </c:manualLayout>
              </c:layout>
              <c:dLblPos val="bestFit"/>
              <c:showLegendKey val="0"/>
              <c:showVal val="1"/>
              <c:showCatName val="1"/>
              <c:showSerName val="0"/>
              <c:showPercent val="0"/>
              <c:showBubbleSize val="0"/>
              <c:separator>
</c:separator>
            </c:dLbl>
            <c:dLbl>
              <c:idx val="1"/>
              <c:layout>
                <c:manualLayout>
                  <c:x val="-8.8632797107560859E-3"/>
                  <c:y val="7.8090471038204504E-2"/>
                </c:manualLayout>
              </c:layout>
              <c:dLblPos val="bestFit"/>
              <c:showLegendKey val="0"/>
              <c:showVal val="1"/>
              <c:showCatName val="1"/>
              <c:showSerName val="0"/>
              <c:showPercent val="0"/>
              <c:showBubbleSize val="0"/>
              <c:separator>
</c:separator>
            </c:dLbl>
            <c:dLbl>
              <c:idx val="2"/>
              <c:layout>
                <c:manualLayout>
                  <c:x val="-0.22557430540673198"/>
                  <c:y val="9.4899149438033487E-2"/>
                </c:manualLayout>
              </c:layout>
              <c:dLblPos val="bestFit"/>
              <c:showLegendKey val="0"/>
              <c:showVal val="1"/>
              <c:showCatName val="1"/>
              <c:showSerName val="0"/>
              <c:showPercent val="0"/>
              <c:showBubbleSize val="0"/>
              <c:separator>
</c:separator>
            </c:dLbl>
            <c:dLbl>
              <c:idx val="3"/>
              <c:delete val="1"/>
            </c:dLbl>
            <c:dLbl>
              <c:idx val="4"/>
              <c:layout>
                <c:manualLayout>
                  <c:x val="2.833355224802343E-2"/>
                  <c:y val="0.19074085367364718"/>
                </c:manualLayout>
              </c:layout>
              <c:dLblPos val="bestFit"/>
              <c:showLegendKey val="0"/>
              <c:showVal val="1"/>
              <c:showCatName val="1"/>
              <c:showSerName val="0"/>
              <c:showPercent val="0"/>
              <c:showBubbleSize val="0"/>
              <c:separator>
</c:separator>
            </c:dLbl>
            <c:numFmt formatCode="0.0%" sourceLinked="0"/>
            <c:txPr>
              <a:bodyPr/>
              <a:lstStyle/>
              <a:p>
                <a:pPr>
                  <a:defRPr b="1"/>
                </a:pPr>
                <a:endParaRPr lang="en-US"/>
              </a:p>
            </c:txPr>
            <c:dLblPos val="outEnd"/>
            <c:showLegendKey val="0"/>
            <c:showVal val="1"/>
            <c:showCatName val="1"/>
            <c:showSerName val="0"/>
            <c:showPercent val="0"/>
            <c:showBubbleSize val="0"/>
            <c:separator>
</c:separator>
            <c:showLeaderLines val="1"/>
          </c:dLbls>
          <c:cat>
            <c:strRef>
              <c:f>'Building Funds'!$O$20:$O$24</c:f>
              <c:strCache>
                <c:ptCount val="5"/>
                <c:pt idx="0">
                  <c:v> Licenses &amp; Permits </c:v>
                </c:pt>
                <c:pt idx="1">
                  <c:v> Charges For Services </c:v>
                </c:pt>
                <c:pt idx="2">
                  <c:v> Miscellaneous </c:v>
                </c:pt>
                <c:pt idx="3">
                  <c:v> Appropriated Fund Balance </c:v>
                </c:pt>
                <c:pt idx="4">
                  <c:v> Other Resources </c:v>
                </c:pt>
              </c:strCache>
            </c:strRef>
          </c:cat>
          <c:val>
            <c:numRef>
              <c:f>'Building Funds'!$Q$20:$Q$24</c:f>
              <c:numCache>
                <c:formatCode>0.0%</c:formatCode>
                <c:ptCount val="5"/>
                <c:pt idx="0">
                  <c:v>0</c:v>
                </c:pt>
                <c:pt idx="1">
                  <c:v>0</c:v>
                </c:pt>
                <c:pt idx="2">
                  <c:v>0</c:v>
                </c:pt>
                <c:pt idx="3">
                  <c:v>0</c:v>
                </c:pt>
                <c:pt idx="4">
                  <c:v>0</c:v>
                </c:pt>
              </c:numCache>
            </c:numRef>
          </c:val>
        </c:ser>
        <c:ser>
          <c:idx val="0"/>
          <c:order val="1"/>
          <c:dLbls>
            <c:txPr>
              <a:bodyPr/>
              <a:lstStyle/>
              <a:p>
                <a:pPr>
                  <a:defRPr sz="900" b="0">
                    <a:latin typeface="+mn-lt"/>
                  </a:defRPr>
                </a:pPr>
                <a:endParaRPr lang="en-US"/>
              </a:p>
            </c:txPr>
            <c:dLblPos val="outEnd"/>
            <c:showLegendKey val="0"/>
            <c:showVal val="1"/>
            <c:showCatName val="1"/>
            <c:showSerName val="0"/>
            <c:showPercent val="0"/>
            <c:showBubbleSize val="0"/>
            <c:showLeaderLines val="1"/>
          </c:dLbls>
          <c:cat>
            <c:strRef>
              <c:f>'Building Funds'!$O$20:$O$24</c:f>
              <c:strCache>
                <c:ptCount val="5"/>
                <c:pt idx="0">
                  <c:v> Licenses &amp; Permits </c:v>
                </c:pt>
                <c:pt idx="1">
                  <c:v> Charges For Services </c:v>
                </c:pt>
                <c:pt idx="2">
                  <c:v> Miscellaneous </c:v>
                </c:pt>
                <c:pt idx="3">
                  <c:v> Appropriated Fund Balance </c:v>
                </c:pt>
                <c:pt idx="4">
                  <c:v> Other Resources </c:v>
                </c:pt>
              </c:strCache>
            </c:strRef>
          </c:cat>
          <c:val>
            <c:numRef>
              <c:f>'Building Funds'!$P$20:$P$24</c:f>
              <c:numCache>
                <c:formatCode>_(* #,##0_);_(* \(#,##0\);_(* "-"??_);_(@_)</c:formatCode>
                <c:ptCount val="5"/>
                <c:pt idx="0">
                  <c:v>0</c:v>
                </c:pt>
                <c:pt idx="1">
                  <c:v>0</c:v>
                </c:pt>
                <c:pt idx="2">
                  <c:v>0</c:v>
                </c:pt>
                <c:pt idx="3">
                  <c:v>0</c:v>
                </c:pt>
                <c:pt idx="4">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5696072283000032"/>
          <c:y val="1.0662419560504201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1831832352089103"/>
          <c:y val="0.16415258179900613"/>
          <c:w val="0.6871189108918927"/>
          <c:h val="0.83435225273156755"/>
        </c:manualLayout>
      </c:layout>
      <c:pie3DChart>
        <c:varyColors val="1"/>
        <c:ser>
          <c:idx val="1"/>
          <c:order val="0"/>
          <c:spPr>
            <a:solidFill>
              <a:srgbClr val="A2728B"/>
            </a:solidFill>
          </c:spPr>
          <c:dPt>
            <c:idx val="0"/>
            <c:bubble3D val="0"/>
            <c:spPr>
              <a:solidFill>
                <a:schemeClr val="accent5"/>
              </a:solidFill>
            </c:spPr>
          </c:dPt>
          <c:dPt>
            <c:idx val="1"/>
            <c:bubble3D val="0"/>
            <c:spPr/>
          </c:dPt>
          <c:dPt>
            <c:idx val="2"/>
            <c:bubble3D val="0"/>
            <c:spPr/>
          </c:dPt>
          <c:dPt>
            <c:idx val="3"/>
            <c:bubble3D val="0"/>
            <c:spPr>
              <a:solidFill>
                <a:schemeClr val="accent3"/>
              </a:solidFill>
            </c:spPr>
          </c:dPt>
          <c:dLbls>
            <c:dLbl>
              <c:idx val="0"/>
              <c:layout>
                <c:manualLayout>
                  <c:x val="-1.9557511306686225E-2"/>
                  <c:y val="-5.2580600525806008E-2"/>
                </c:manualLayout>
              </c:layout>
              <c:dLblPos val="bestFit"/>
              <c:showLegendKey val="0"/>
              <c:showVal val="1"/>
              <c:showCatName val="1"/>
              <c:showSerName val="0"/>
              <c:showPercent val="0"/>
              <c:showBubbleSize val="0"/>
              <c:separator>
</c:separator>
            </c:dLbl>
            <c:dLbl>
              <c:idx val="1"/>
              <c:layout>
                <c:manualLayout>
                  <c:x val="6.1117222833394449E-2"/>
                  <c:y val="-2.7674000276740004E-3"/>
                </c:manualLayout>
              </c:layout>
              <c:dLblPos val="bestFit"/>
              <c:showLegendKey val="0"/>
              <c:showVal val="1"/>
              <c:showCatName val="1"/>
              <c:showSerName val="0"/>
              <c:showPercent val="0"/>
              <c:showBubbleSize val="0"/>
              <c:separator>
</c:separator>
            </c:dLbl>
            <c:dLbl>
              <c:idx val="2"/>
              <c:delete val="1"/>
            </c:dLbl>
            <c:dLbl>
              <c:idx val="3"/>
              <c:layout>
                <c:manualLayout>
                  <c:x val="-7.3340667400073343E-3"/>
                  <c:y val="3.5976200359762005E-2"/>
                </c:manualLayout>
              </c:layout>
              <c:dLblPos val="bestFit"/>
              <c:showLegendKey val="0"/>
              <c:showVal val="1"/>
              <c:showCatName val="1"/>
              <c:showSerName val="0"/>
              <c:showPercent val="0"/>
              <c:showBubbleSize val="0"/>
              <c:separator>
</c:separator>
            </c:dLbl>
            <c:dLbl>
              <c:idx val="4"/>
              <c:layout>
                <c:manualLayout>
                  <c:x val="-8.5564111966752232E-2"/>
                  <c:y val="-1.660461807155799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Cemtery!$O$10:$O$14</c:f>
              <c:strCache>
                <c:ptCount val="5"/>
                <c:pt idx="0">
                  <c:v>Services &amp; Materials</c:v>
                </c:pt>
                <c:pt idx="1">
                  <c:v>Other Operating Expenses</c:v>
                </c:pt>
                <c:pt idx="2">
                  <c:v>Capital Outlay</c:v>
                </c:pt>
                <c:pt idx="3">
                  <c:v>Other Uses</c:v>
                </c:pt>
                <c:pt idx="4">
                  <c:v>Transfers Out</c:v>
                </c:pt>
              </c:strCache>
            </c:strRef>
          </c:cat>
          <c:val>
            <c:numRef>
              <c:f>Cemtery!$Q$10:$Q$14</c:f>
              <c:numCache>
                <c:formatCode>0.0%</c:formatCode>
                <c:ptCount val="5"/>
                <c:pt idx="0">
                  <c:v>3.4000000000000002E-2</c:v>
                </c:pt>
                <c:pt idx="1">
                  <c:v>1E-3</c:v>
                </c:pt>
                <c:pt idx="2">
                  <c:v>0</c:v>
                </c:pt>
                <c:pt idx="3">
                  <c:v>0.95199999999999996</c:v>
                </c:pt>
                <c:pt idx="4">
                  <c:v>1.2999999999999999E-2</c:v>
                </c:pt>
              </c:numCache>
            </c:numRef>
          </c:val>
        </c:ser>
        <c:ser>
          <c:idx val="0"/>
          <c:order val="1"/>
          <c:dLbls>
            <c:dLbl>
              <c:idx val="0"/>
              <c:layout>
                <c:manualLayout>
                  <c:x val="7.5912944510254807E-2"/>
                  <c:y val="-4.0887443417398903E-2"/>
                </c:manualLayout>
              </c:layout>
              <c:tx>
                <c:rich>
                  <a:bodyPr/>
                  <a:lstStyle/>
                  <a:p>
                    <a:r>
                      <a:rPr lang="en-US" sz="1000"/>
                      <a:t> </a:t>
                    </a:r>
                    <a:r>
                      <a:rPr lang="en-US"/>
                      <a:t>Services/</a:t>
                    </a:r>
                  </a:p>
                  <a:p>
                    <a:r>
                      <a:rPr lang="en-US"/>
                      <a:t>Materials 
4%</a:t>
                    </a:r>
                  </a:p>
                </c:rich>
              </c:tx>
              <c:dLblPos val="bestFit"/>
              <c:showLegendKey val="0"/>
              <c:showVal val="0"/>
              <c:showCatName val="1"/>
              <c:showSerName val="0"/>
              <c:showPercent val="1"/>
              <c:showBubbleSize val="0"/>
            </c:dLbl>
            <c:dLbl>
              <c:idx val="1"/>
              <c:layout>
                <c:manualLayout>
                  <c:x val="-9.3152914709190751E-2"/>
                  <c:y val="5.8318808279806143E-2"/>
                </c:manualLayout>
              </c:layout>
              <c:dLblPos val="bestFit"/>
              <c:showLegendKey val="0"/>
              <c:showVal val="0"/>
              <c:showCatName val="1"/>
              <c:showSerName val="0"/>
              <c:showPercent val="1"/>
              <c:showBubbleSize val="0"/>
            </c:dLbl>
            <c:dLbl>
              <c:idx val="2"/>
              <c:layout>
                <c:manualLayout>
                  <c:x val="0.21007237681035973"/>
                  <c:y val="2.1477198162729898E-2"/>
                </c:manualLayout>
              </c:layout>
              <c:dLblPos val="bestFit"/>
              <c:showLegendKey val="0"/>
              <c:showVal val="0"/>
              <c:showCatName val="1"/>
              <c:showSerName val="0"/>
              <c:showPercent val="1"/>
              <c:showBubbleSize val="0"/>
            </c:dLbl>
            <c:dLbl>
              <c:idx val="3"/>
              <c:layout>
                <c:manualLayout>
                  <c:x val="3.8228516521827943E-3"/>
                  <c:y val="7.1257716049382719E-2"/>
                </c:manualLayout>
              </c:layout>
              <c:dLblPos val="bestFit"/>
              <c:showLegendKey val="0"/>
              <c:showVal val="0"/>
              <c:showCatName val="1"/>
              <c:showSerName val="0"/>
              <c:showPercent val="1"/>
              <c:showBubbleSize val="0"/>
            </c:dLbl>
            <c:dLbl>
              <c:idx val="4"/>
              <c:layout>
                <c:manualLayout>
                  <c:x val="-5.0548034897365722E-2"/>
                  <c:y val="0.15998681588412636"/>
                </c:manualLayout>
              </c:layout>
              <c:dLblPos val="bestFit"/>
              <c:showLegendKey val="0"/>
              <c:showVal val="0"/>
              <c:showCatName val="1"/>
              <c:showSerName val="0"/>
              <c:showPercent val="1"/>
              <c:showBubbleSize val="0"/>
            </c:dLbl>
            <c:dLbl>
              <c:idx val="7"/>
              <c:layout>
                <c:manualLayout>
                  <c:x val="4.0652564972464611E-2"/>
                  <c:y val="-0.11801515261981142"/>
                </c:manualLayout>
              </c:layout>
              <c:dLblPos val="bestFit"/>
              <c:showLegendKey val="0"/>
              <c:showVal val="0"/>
              <c:showCatName val="1"/>
              <c:showSerName val="0"/>
              <c:showPercent val="1"/>
              <c:showBubbleSize val="0"/>
            </c:dLbl>
            <c:dLbl>
              <c:idx val="8"/>
              <c:layout>
                <c:manualLayout>
                  <c:x val="0.16914316933385487"/>
                  <c:y val="-1.7670968212306799E-2"/>
                </c:manualLayout>
              </c:layout>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Cemtery!$O$10:$O$14</c:f>
              <c:strCache>
                <c:ptCount val="5"/>
                <c:pt idx="0">
                  <c:v>Services &amp; Materials</c:v>
                </c:pt>
                <c:pt idx="1">
                  <c:v>Other Operating Expenses</c:v>
                </c:pt>
                <c:pt idx="2">
                  <c:v>Capital Outlay</c:v>
                </c:pt>
                <c:pt idx="3">
                  <c:v>Other Uses</c:v>
                </c:pt>
                <c:pt idx="4">
                  <c:v>Transfers Out</c:v>
                </c:pt>
              </c:strCache>
            </c:strRef>
          </c:cat>
          <c:val>
            <c:numRef>
              <c:f>Cemtery!$P$10:$P$13</c:f>
              <c:numCache>
                <c:formatCode>_(* #,##0_);_(* \(#,##0\);_(* "-"??_);_(@_)</c:formatCode>
                <c:ptCount val="4"/>
                <c:pt idx="0">
                  <c:v>870000</c:v>
                </c:pt>
                <c:pt idx="1">
                  <c:v>30259</c:v>
                </c:pt>
                <c:pt idx="2">
                  <c:v>0</c:v>
                </c:pt>
                <c:pt idx="3">
                  <c:v>24879487.120000001</c:v>
                </c:pt>
              </c:numCache>
            </c:numRef>
          </c:val>
        </c:ser>
        <c:ser>
          <c:idx val="2"/>
          <c:order val="2"/>
          <c:dLbls>
            <c:showLegendKey val="0"/>
            <c:showVal val="1"/>
            <c:showCatName val="0"/>
            <c:showSerName val="0"/>
            <c:showPercent val="0"/>
            <c:showBubbleSize val="0"/>
            <c:showLeaderLines val="1"/>
          </c:dLbls>
          <c:cat>
            <c:strRef>
              <c:f>Cemtery!$O$10:$O$14</c:f>
              <c:strCache>
                <c:ptCount val="5"/>
                <c:pt idx="0">
                  <c:v>Services &amp; Materials</c:v>
                </c:pt>
                <c:pt idx="1">
                  <c:v>Other Operating Expenses</c:v>
                </c:pt>
                <c:pt idx="2">
                  <c:v>Capital Outlay</c:v>
                </c:pt>
                <c:pt idx="3">
                  <c:v>Other Uses</c:v>
                </c:pt>
                <c:pt idx="4">
                  <c:v>Transfers Out</c:v>
                </c:pt>
              </c:strCache>
            </c:strRef>
          </c:cat>
          <c:val>
            <c:numRef>
              <c:f>Cemtery!$T$27</c:f>
              <c:numCache>
                <c:formatCode>General</c:formatCode>
                <c:ptCount val="1"/>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200985651717349"/>
          <c:y val="9.6613594141521447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8716666725807539E-2"/>
          <c:y val="0.15085205427350074"/>
          <c:w val="0.83239098267290712"/>
          <c:h val="0.84914794572649921"/>
        </c:manualLayout>
      </c:layout>
      <c:pie3DChart>
        <c:varyColors val="1"/>
        <c:ser>
          <c:idx val="0"/>
          <c:order val="0"/>
          <c:dPt>
            <c:idx val="2"/>
            <c:bubble3D val="0"/>
            <c:spPr>
              <a:solidFill>
                <a:schemeClr val="accent2"/>
              </a:solidFill>
            </c:spPr>
          </c:dPt>
          <c:dLbls>
            <c:dLbl>
              <c:idx val="0"/>
              <c:layout>
                <c:manualLayout>
                  <c:x val="-4.4613268326261647E-2"/>
                  <c:y val="-4.766512454540351E-2"/>
                </c:manualLayout>
              </c:layout>
              <c:dLblPos val="bestFit"/>
              <c:showLegendKey val="0"/>
              <c:showVal val="0"/>
              <c:showCatName val="1"/>
              <c:showSerName val="0"/>
              <c:showPercent val="1"/>
              <c:showBubbleSize val="0"/>
            </c:dLbl>
            <c:dLbl>
              <c:idx val="1"/>
              <c:delete val="1"/>
            </c:dLbl>
            <c:dLbl>
              <c:idx val="2"/>
              <c:layout>
                <c:manualLayout>
                  <c:x val="0.1303685823466596"/>
                  <c:y val="4.2777437131106127E-2"/>
                </c:manualLayout>
              </c:layout>
              <c:dLblPos val="bestFit"/>
              <c:showLegendKey val="0"/>
              <c:showVal val="0"/>
              <c:showCatName val="1"/>
              <c:showSerName val="0"/>
              <c:showPercent val="1"/>
              <c:showBubbleSize val="0"/>
            </c:dLbl>
            <c:dLbl>
              <c:idx val="3"/>
              <c:layout>
                <c:manualLayout>
                  <c:x val="3.8228516521827943E-3"/>
                  <c:y val="7.1257716049382719E-2"/>
                </c:manualLayout>
              </c:layout>
              <c:dLblPos val="bestFit"/>
              <c:showLegendKey val="0"/>
              <c:showVal val="0"/>
              <c:showCatName val="1"/>
              <c:showSerName val="0"/>
              <c:showPercent val="1"/>
              <c:showBubbleSize val="0"/>
            </c:dLbl>
            <c:dLbl>
              <c:idx val="4"/>
              <c:layout>
                <c:manualLayout>
                  <c:x val="-5.0548034897365722E-2"/>
                  <c:y val="0.15998681588412636"/>
                </c:manualLayout>
              </c:layout>
              <c:dLblPos val="bestFit"/>
              <c:showLegendKey val="0"/>
              <c:showVal val="0"/>
              <c:showCatName val="1"/>
              <c:showSerName val="0"/>
              <c:showPercent val="1"/>
              <c:showBubbleSize val="0"/>
            </c:dLbl>
            <c:dLbl>
              <c:idx val="7"/>
              <c:layout>
                <c:manualLayout>
                  <c:x val="4.0652564972464611E-2"/>
                  <c:y val="-0.11801515261981142"/>
                </c:manualLayout>
              </c:layout>
              <c:dLblPos val="bestFit"/>
              <c:showLegendKey val="0"/>
              <c:showVal val="0"/>
              <c:showCatName val="1"/>
              <c:showSerName val="0"/>
              <c:showPercent val="1"/>
              <c:showBubbleSize val="0"/>
            </c:dLbl>
            <c:dLbl>
              <c:idx val="8"/>
              <c:layout>
                <c:manualLayout>
                  <c:x val="0.16914316933385487"/>
                  <c:y val="-1.7670968212306799E-2"/>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Cemtery!$O$18:$O$20</c:f>
              <c:strCache>
                <c:ptCount val="3"/>
                <c:pt idx="0">
                  <c:v>Miscellaneous</c:v>
                </c:pt>
                <c:pt idx="1">
                  <c:v>Appropriated Fund Balance</c:v>
                </c:pt>
                <c:pt idx="2">
                  <c:v>Other Resources</c:v>
                </c:pt>
              </c:strCache>
            </c:strRef>
          </c:cat>
          <c:val>
            <c:numRef>
              <c:f>Cemtery!$P$18:$P$20</c:f>
              <c:numCache>
                <c:formatCode>_(* #,##0_);_(* \(#,##0\);_(* "-"??_);_(@_)</c:formatCode>
                <c:ptCount val="3"/>
                <c:pt idx="0">
                  <c:v>2200000</c:v>
                </c:pt>
                <c:pt idx="1">
                  <c:v>0</c:v>
                </c:pt>
                <c:pt idx="2">
                  <c:v>23929746.120000001</c:v>
                </c:pt>
              </c:numCache>
            </c:numRef>
          </c:val>
        </c:ser>
        <c:ser>
          <c:idx val="1"/>
          <c:order val="1"/>
          <c:spPr>
            <a:solidFill>
              <a:srgbClr val="4F81BD"/>
            </a:solidFill>
          </c:spPr>
          <c:dPt>
            <c:idx val="0"/>
            <c:bubble3D val="0"/>
            <c:spPr>
              <a:solidFill>
                <a:srgbClr val="7030A0"/>
              </a:solidFill>
            </c:spPr>
          </c:dPt>
          <c:dLbls>
            <c:dLbl>
              <c:idx val="0"/>
              <c:layout>
                <c:manualLayout>
                  <c:x val="-2.0530869628977856E-2"/>
                  <c:y val="-0.139424675501615"/>
                </c:manualLayout>
              </c:layout>
              <c:tx>
                <c:rich>
                  <a:bodyPr/>
                  <a:lstStyle/>
                  <a:p>
                    <a:r>
                      <a:rPr lang="en-US"/>
                      <a:t> </a:t>
                    </a:r>
                    <a:r>
                      <a:rPr lang="en-US" sz="950"/>
                      <a:t>Miscellaneous</a:t>
                    </a:r>
                    <a:r>
                      <a:rPr lang="en-US"/>
                      <a:t> 
9.1%</a:t>
                    </a:r>
                  </a:p>
                </c:rich>
              </c:tx>
              <c:dLblPos val="bestFit"/>
              <c:showLegendKey val="0"/>
              <c:showVal val="1"/>
              <c:showCatName val="1"/>
              <c:showSerName val="0"/>
              <c:showPercent val="0"/>
              <c:showBubbleSize val="0"/>
              <c:separator>
</c:separator>
            </c:dLbl>
            <c:dLbl>
              <c:idx val="1"/>
              <c:delete val="1"/>
            </c:dLbl>
            <c:dLbl>
              <c:idx val="2"/>
              <c:layout>
                <c:manualLayout>
                  <c:x val="2.055950661248734E-2"/>
                  <c:y val="0.12742122516676704"/>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Cemtery!$O$18:$O$20</c:f>
              <c:strCache>
                <c:ptCount val="3"/>
                <c:pt idx="0">
                  <c:v>Miscellaneous</c:v>
                </c:pt>
                <c:pt idx="1">
                  <c:v>Appropriated Fund Balance</c:v>
                </c:pt>
                <c:pt idx="2">
                  <c:v>Other Resources</c:v>
                </c:pt>
              </c:strCache>
            </c:strRef>
          </c:cat>
          <c:val>
            <c:numRef>
              <c:f>Cemtery!$Q$18:$Q$20</c:f>
              <c:numCache>
                <c:formatCode>0.0%</c:formatCode>
                <c:ptCount val="3"/>
                <c:pt idx="0">
                  <c:v>8.4195230596446374E-2</c:v>
                </c:pt>
                <c:pt idx="1">
                  <c:v>0</c:v>
                </c:pt>
                <c:pt idx="2">
                  <c:v>0.9158047694035536</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296299780173926"/>
          <c:y val="5.0861289397648828E-3"/>
        </c:manualLayout>
      </c:layout>
      <c:overlay val="0"/>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0385833724021214"/>
          <c:y val="7.0142456639257403E-2"/>
          <c:w val="0.84714036427526562"/>
          <c:h val="0.89037456348620814"/>
        </c:manualLayout>
      </c:layout>
      <c:pie3DChart>
        <c:varyColors val="1"/>
        <c:ser>
          <c:idx val="1"/>
          <c:order val="0"/>
          <c:dLbls>
            <c:dLbl>
              <c:idx val="0"/>
              <c:layout>
                <c:manualLayout>
                  <c:x val="-0.14820612637721875"/>
                  <c:y val="-2.870125689144053E-2"/>
                </c:manualLayout>
              </c:layout>
              <c:dLblPos val="bestFit"/>
              <c:showLegendKey val="0"/>
              <c:showVal val="1"/>
              <c:showCatName val="1"/>
              <c:showSerName val="0"/>
              <c:showPercent val="0"/>
              <c:showBubbleSize val="0"/>
              <c:separator>
</c:separator>
            </c:dLbl>
            <c:dLbl>
              <c:idx val="1"/>
              <c:layout>
                <c:manualLayout>
                  <c:x val="-5.2984084584845319E-2"/>
                  <c:y val="-2.8740381046917687E-2"/>
                </c:manualLayout>
              </c:layout>
              <c:dLblPos val="bestFit"/>
              <c:showLegendKey val="0"/>
              <c:showVal val="1"/>
              <c:showCatName val="1"/>
              <c:showSerName val="0"/>
              <c:showPercent val="0"/>
              <c:showBubbleSize val="0"/>
              <c:separator>
</c:separator>
            </c:dLbl>
            <c:dLbl>
              <c:idx val="2"/>
              <c:layout>
                <c:manualLayout>
                  <c:x val="-1.4737834542880987E-2"/>
                  <c:y val="-0.16428769444705274"/>
                </c:manualLayout>
              </c:layout>
              <c:dLblPos val="bestFit"/>
              <c:showLegendKey val="0"/>
              <c:showVal val="1"/>
              <c:showCatName val="1"/>
              <c:showSerName val="0"/>
              <c:showPercent val="0"/>
              <c:showBubbleSize val="0"/>
              <c:separator>
</c:separator>
            </c:dLbl>
            <c:dLbl>
              <c:idx val="3"/>
              <c:delete val="1"/>
            </c:dLbl>
            <c:dLbl>
              <c:idx val="4"/>
              <c:layout>
                <c:manualLayout>
                  <c:x val="0.18255199278990117"/>
                  <c:y val="1.1492888346367266E-2"/>
                </c:manualLayout>
              </c:layout>
              <c:showLegendKey val="0"/>
              <c:showVal val="1"/>
              <c:showCatName val="1"/>
              <c:showSerName val="0"/>
              <c:showPercent val="0"/>
              <c:showBubbleSize val="0"/>
              <c:separator>
</c:separator>
            </c:dLbl>
            <c:dLbl>
              <c:idx val="5"/>
              <c:layout>
                <c:manualLayout>
                  <c:x val="0.161352489834094"/>
                  <c:y val="9.3651155615769491E-2"/>
                </c:manualLayout>
              </c:layout>
              <c:dLblPos val="bestFit"/>
              <c:showLegendKey val="0"/>
              <c:showVal val="1"/>
              <c:showCatName val="1"/>
              <c:showSerName val="0"/>
              <c:showPercent val="0"/>
              <c:showBubbleSize val="0"/>
              <c:separator>
</c:separator>
            </c:dLbl>
            <c:dLbl>
              <c:idx val="6"/>
              <c:layout>
                <c:manualLayout>
                  <c:x val="1.1988515115501122E-2"/>
                  <c:y val="0.10206732037541304"/>
                </c:manualLayout>
              </c:layout>
              <c:dLblPos val="bestFit"/>
              <c:showLegendKey val="0"/>
              <c:showVal val="1"/>
              <c:showCatName val="1"/>
              <c:showSerName val="0"/>
              <c:showPercent val="0"/>
              <c:showBubbleSize val="0"/>
              <c:separator>
</c:separator>
            </c:dLbl>
            <c:dLbl>
              <c:idx val="7"/>
              <c:layout>
                <c:manualLayout>
                  <c:x val="3.8840674704859468E-2"/>
                  <c:y val="9.4087781190894573E-2"/>
                </c:manualLayout>
              </c:layout>
              <c:dLblPos val="bestFit"/>
              <c:showLegendKey val="0"/>
              <c:showVal val="1"/>
              <c:showCatName val="1"/>
              <c:showSerName val="0"/>
              <c:showPercent val="0"/>
              <c:showBubbleSize val="0"/>
              <c:separator>
</c:separator>
            </c:dLbl>
            <c:dLbl>
              <c:idx val="8"/>
              <c:layout>
                <c:manualLayout>
                  <c:x val="-1.0113670804710604E-2"/>
                  <c:y val="-3.1232254400908575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'Central Region'!$O$8:$O$16</c:f>
              <c:strCache>
                <c:ptCount val="9"/>
                <c:pt idx="0">
                  <c:v>Salaries &amp; Wages                       </c:v>
                </c:pt>
                <c:pt idx="1">
                  <c:v>Fringe Benefits            </c:v>
                </c:pt>
                <c:pt idx="2">
                  <c:v>Services &amp; Materials</c:v>
                </c:pt>
                <c:pt idx="4">
                  <c:v>Other Operating Expenses</c:v>
                </c:pt>
                <c:pt idx="5">
                  <c:v>Capital Outlay</c:v>
                </c:pt>
                <c:pt idx="6">
                  <c:v>Debt Services</c:v>
                </c:pt>
                <c:pt idx="7">
                  <c:v>Transfers Out</c:v>
                </c:pt>
                <c:pt idx="8">
                  <c:v>Other Uses</c:v>
                </c:pt>
              </c:strCache>
            </c:strRef>
          </c:cat>
          <c:val>
            <c:numRef>
              <c:f>'Central Region'!$Q$8:$Q$16</c:f>
              <c:numCache>
                <c:formatCode>0.0%</c:formatCode>
                <c:ptCount val="9"/>
                <c:pt idx="0">
                  <c:v>6.4000000000000001E-2</c:v>
                </c:pt>
                <c:pt idx="1">
                  <c:v>2.5000000000000001E-2</c:v>
                </c:pt>
                <c:pt idx="2">
                  <c:v>0.24399999999999999</c:v>
                </c:pt>
                <c:pt idx="4">
                  <c:v>0.155</c:v>
                </c:pt>
                <c:pt idx="5">
                  <c:v>7.0000000000000001E-3</c:v>
                </c:pt>
                <c:pt idx="6">
                  <c:v>6.0999999999999999E-2</c:v>
                </c:pt>
                <c:pt idx="7">
                  <c:v>0.20399999999999999</c:v>
                </c:pt>
                <c:pt idx="8">
                  <c:v>0.24</c:v>
                </c:pt>
              </c:numCache>
            </c:numRef>
          </c:val>
        </c:ser>
        <c:ser>
          <c:idx val="0"/>
          <c:order val="1"/>
          <c:dLbls>
            <c:dLbl>
              <c:idx val="0"/>
              <c:layout>
                <c:manualLayout>
                  <c:x val="-0.12320907947256071"/>
                  <c:y val="-3.4087956699641542E-2"/>
                </c:manualLayout>
              </c:layout>
              <c:dLblPos val="bestFit"/>
              <c:showLegendKey val="0"/>
              <c:showVal val="0"/>
              <c:showCatName val="1"/>
              <c:showSerName val="0"/>
              <c:showPercent val="1"/>
              <c:showBubbleSize val="0"/>
            </c:dLbl>
            <c:dLbl>
              <c:idx val="1"/>
              <c:layout>
                <c:manualLayout>
                  <c:x val="-2.8867874806760706E-3"/>
                  <c:y val="-4.6964864686031886E-2"/>
                </c:manualLayout>
              </c:layout>
              <c:dLblPos val="bestFit"/>
              <c:showLegendKey val="0"/>
              <c:showVal val="0"/>
              <c:showCatName val="1"/>
              <c:showSerName val="0"/>
              <c:showPercent val="1"/>
              <c:showBubbleSize val="0"/>
            </c:dLbl>
            <c:dLbl>
              <c:idx val="2"/>
              <c:layout>
                <c:manualLayout>
                  <c:x val="-1.4734805905759811E-2"/>
                  <c:y val="-0.10984450473102629"/>
                </c:manualLayout>
              </c:layout>
              <c:tx>
                <c:rich>
                  <a:bodyPr/>
                  <a:lstStyle/>
                  <a:p>
                    <a:r>
                      <a:rPr lang="en-US" sz="1000" b="1"/>
                      <a:t> </a:t>
                    </a:r>
                    <a:r>
                      <a:rPr lang="en-US" sz="1000"/>
                      <a:t>Services/</a:t>
                    </a:r>
                  </a:p>
                  <a:p>
                    <a:r>
                      <a:rPr lang="en-US" sz="1000"/>
                      <a:t>Materials 
24%</a:t>
                    </a:r>
                  </a:p>
                </c:rich>
              </c:tx>
              <c:dLblPos val="bestFit"/>
              <c:showLegendKey val="0"/>
              <c:showVal val="0"/>
              <c:showCatName val="1"/>
              <c:showSerName val="0"/>
              <c:showPercent val="1"/>
              <c:showBubbleSize val="0"/>
            </c:dLbl>
            <c:dLbl>
              <c:idx val="3"/>
              <c:layout>
                <c:manualLayout>
                  <c:x val="1.5787156092154003E-2"/>
                  <c:y val="7.0321678437493873E-2"/>
                </c:manualLayout>
              </c:layout>
              <c:dLblPos val="bestFit"/>
              <c:showLegendKey val="0"/>
              <c:showVal val="0"/>
              <c:showCatName val="1"/>
              <c:showSerName val="0"/>
              <c:showPercent val="1"/>
              <c:showBubbleSize val="0"/>
            </c:dLbl>
            <c:dLbl>
              <c:idx val="4"/>
              <c:delete val="1"/>
            </c:dLbl>
            <c:dLbl>
              <c:idx val="5"/>
              <c:delete val="1"/>
            </c:dLbl>
            <c:dLbl>
              <c:idx val="6"/>
              <c:layout>
                <c:manualLayout>
                  <c:x val="-0.16632673145008284"/>
                  <c:y val="-5.6242969628796683E-3"/>
                </c:manualLayout>
              </c:layout>
              <c:dLblPos val="bestFit"/>
              <c:showLegendKey val="0"/>
              <c:showVal val="0"/>
              <c:showCatName val="1"/>
              <c:showSerName val="0"/>
              <c:showPercent val="1"/>
              <c:showBubbleSize val="0"/>
            </c:dLbl>
            <c:dLbl>
              <c:idx val="7"/>
              <c:layout>
                <c:manualLayout>
                  <c:x val="-7.2652903578943164E-3"/>
                  <c:y val="-5.50522777922118E-2"/>
                </c:manualLayout>
              </c:layout>
              <c:dLblPos val="bestFit"/>
              <c:showLegendKey val="0"/>
              <c:showVal val="0"/>
              <c:showCatName val="1"/>
              <c:showSerName val="0"/>
              <c:showPercent val="1"/>
              <c:showBubbleSize val="0"/>
            </c:dLbl>
            <c:dLbl>
              <c:idx val="8"/>
              <c:layout>
                <c:manualLayout>
                  <c:x val="0.24628444489550275"/>
                  <c:y val="4.9962063536589399E-2"/>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'Central Region'!$O$8:$O$16</c:f>
              <c:strCache>
                <c:ptCount val="9"/>
                <c:pt idx="0">
                  <c:v>Salaries &amp; Wages                       </c:v>
                </c:pt>
                <c:pt idx="1">
                  <c:v>Fringe Benefits            </c:v>
                </c:pt>
                <c:pt idx="2">
                  <c:v>Services &amp; Materials</c:v>
                </c:pt>
                <c:pt idx="4">
                  <c:v>Other Operating Expenses</c:v>
                </c:pt>
                <c:pt idx="5">
                  <c:v>Capital Outlay</c:v>
                </c:pt>
                <c:pt idx="6">
                  <c:v>Debt Services</c:v>
                </c:pt>
                <c:pt idx="7">
                  <c:v>Transfers Out</c:v>
                </c:pt>
                <c:pt idx="8">
                  <c:v>Other Uses</c:v>
                </c:pt>
              </c:strCache>
            </c:strRef>
          </c:cat>
          <c:val>
            <c:numRef>
              <c:f>'Central Region'!$P$8:$P$16</c:f>
              <c:numCache>
                <c:formatCode>_(* #,##0_);_(* \(#,##0\);_(* "-"??_);_(@_)</c:formatCode>
                <c:ptCount val="9"/>
                <c:pt idx="0">
                  <c:v>2009069</c:v>
                </c:pt>
                <c:pt idx="1">
                  <c:v>788984</c:v>
                </c:pt>
                <c:pt idx="2">
                  <c:v>7627655</c:v>
                </c:pt>
                <c:pt idx="4">
                  <c:v>4858413</c:v>
                </c:pt>
                <c:pt idx="5">
                  <c:v>200000</c:v>
                </c:pt>
                <c:pt idx="6">
                  <c:v>1921966</c:v>
                </c:pt>
                <c:pt idx="7">
                  <c:v>6390931</c:v>
                </c:pt>
                <c:pt idx="8">
                  <c:v>7496449.9953424651</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a:solidFill>
                  <a:schemeClr val="bg1"/>
                </a:solidFill>
              </a:rPr>
              <a:t>Revenues</a:t>
            </a:r>
          </a:p>
        </c:rich>
      </c:tx>
      <c:layout>
        <c:manualLayout>
          <c:xMode val="edge"/>
          <c:yMode val="edge"/>
          <c:x val="0.21213489745706671"/>
          <c:y val="9.2033533882348896E-3"/>
        </c:manualLayout>
      </c:layout>
      <c:overlay val="0"/>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5.5189287779705505E-2"/>
          <c:y val="8.3751097326756063E-3"/>
          <c:w val="0.87397724658299647"/>
          <c:h val="0.99162479246081847"/>
        </c:manualLayout>
      </c:layout>
      <c:pie3DChart>
        <c:varyColors val="1"/>
        <c:ser>
          <c:idx val="1"/>
          <c:order val="0"/>
          <c:dLbls>
            <c:dLbl>
              <c:idx val="0"/>
              <c:layout>
                <c:manualLayout>
                  <c:x val="-0.14787608167941441"/>
                  <c:y val="0.14374406069189766"/>
                </c:manualLayout>
              </c:layout>
              <c:dLblPos val="bestFit"/>
              <c:showLegendKey val="0"/>
              <c:showVal val="1"/>
              <c:showCatName val="1"/>
              <c:showSerName val="0"/>
              <c:showPercent val="0"/>
              <c:showBubbleSize val="0"/>
              <c:separator>
</c:separator>
            </c:dLbl>
            <c:dLbl>
              <c:idx val="1"/>
              <c:layout>
                <c:manualLayout>
                  <c:x val="0.19489647127442403"/>
                  <c:y val="0.12657068121153786"/>
                </c:manualLayout>
              </c:layout>
              <c:spPr/>
              <c:txPr>
                <a:bodyPr/>
                <a:lstStyle/>
                <a:p>
                  <a:pPr>
                    <a:defRPr sz="950" b="1"/>
                  </a:pPr>
                  <a:endParaRPr lang="en-US"/>
                </a:p>
              </c:txPr>
              <c:dLblPos val="bestFit"/>
              <c:showLegendKey val="0"/>
              <c:showVal val="1"/>
              <c:showCatName val="1"/>
              <c:showSerName val="0"/>
              <c:showPercent val="0"/>
              <c:showBubbleSize val="0"/>
              <c:separator>
</c:separator>
            </c:dLbl>
            <c:dLbl>
              <c:idx val="2"/>
              <c:delete val="1"/>
            </c:dLbl>
            <c:dLbl>
              <c:idx val="3"/>
              <c:layout>
                <c:manualLayout>
                  <c:x val="1.6471107480080195E-3"/>
                  <c:y val="0.15551133719530785"/>
                </c:manualLayout>
              </c:layout>
              <c:showLegendKey val="0"/>
              <c:showVal val="1"/>
              <c:showCatName val="1"/>
              <c:showSerName val="0"/>
              <c:showPercent val="0"/>
              <c:showBubbleSize val="0"/>
            </c:dLbl>
            <c:dLbl>
              <c:idx val="4"/>
              <c:layout>
                <c:manualLayout>
                  <c:x val="0.1059308664234502"/>
                  <c:y val="-8.0473654256924543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'Central Region'!$O$20:$O$24</c:f>
              <c:strCache>
                <c:ptCount val="5"/>
                <c:pt idx="0">
                  <c:v>Charges For Services</c:v>
                </c:pt>
                <c:pt idx="1">
                  <c:v>Miscellaneous</c:v>
                </c:pt>
                <c:pt idx="2">
                  <c:v>Other Sources</c:v>
                </c:pt>
                <c:pt idx="3">
                  <c:v>Appropriated Fund Balance</c:v>
                </c:pt>
                <c:pt idx="4">
                  <c:v>Other Resources</c:v>
                </c:pt>
              </c:strCache>
            </c:strRef>
          </c:cat>
          <c:val>
            <c:numRef>
              <c:f>'Central Region'!$Q$20:$Q$24</c:f>
              <c:numCache>
                <c:formatCode>0.0%</c:formatCode>
                <c:ptCount val="5"/>
                <c:pt idx="0">
                  <c:v>0.64900000000000002</c:v>
                </c:pt>
                <c:pt idx="1">
                  <c:v>1E-3</c:v>
                </c:pt>
                <c:pt idx="2">
                  <c:v>0</c:v>
                </c:pt>
                <c:pt idx="3">
                  <c:v>0.11</c:v>
                </c:pt>
                <c:pt idx="4">
                  <c:v>0.24</c:v>
                </c:pt>
              </c:numCache>
            </c:numRef>
          </c:val>
        </c:ser>
        <c:ser>
          <c:idx val="0"/>
          <c:order val="1"/>
          <c:dLbls>
            <c:dLbl>
              <c:idx val="0"/>
              <c:layout>
                <c:manualLayout>
                  <c:x val="-0.13225914582046203"/>
                  <c:y val="0.10695295930604039"/>
                </c:manualLayout>
              </c:layout>
              <c:tx>
                <c:rich>
                  <a:bodyPr/>
                  <a:lstStyle/>
                  <a:p>
                    <a:r>
                      <a:rPr lang="en-US"/>
                      <a:t>Charges For Services
77.4%</a:t>
                    </a:r>
                  </a:p>
                </c:rich>
              </c:tx>
              <c:showLegendKey val="0"/>
              <c:showVal val="0"/>
              <c:showCatName val="1"/>
              <c:showSerName val="0"/>
              <c:showPercent val="1"/>
              <c:showBubbleSize val="0"/>
            </c:dLbl>
            <c:dLbl>
              <c:idx val="1"/>
              <c:layout>
                <c:manualLayout>
                  <c:x val="1.9060564656609338E-3"/>
                  <c:y val="0.16194551894522505"/>
                </c:manualLayout>
              </c:layout>
              <c:tx>
                <c:rich>
                  <a:bodyPr/>
                  <a:lstStyle/>
                  <a:p>
                    <a:r>
                      <a:rPr lang="en-US"/>
                      <a:t>Miscellaneous
0.1%</a:t>
                    </a:r>
                  </a:p>
                </c:rich>
              </c:tx>
              <c:showLegendKey val="0"/>
              <c:showVal val="0"/>
              <c:showCatName val="1"/>
              <c:showSerName val="0"/>
              <c:showPercent val="1"/>
              <c:showBubbleSize val="0"/>
            </c:dLbl>
            <c:dLbl>
              <c:idx val="2"/>
              <c:delete val="1"/>
            </c:dLbl>
            <c:dLbl>
              <c:idx val="3"/>
              <c:delete val="1"/>
            </c:dLbl>
            <c:dLbl>
              <c:idx val="4"/>
              <c:layout>
                <c:manualLayout>
                  <c:x val="8.0915261218391127E-2"/>
                  <c:y val="-6.4412355923745918E-2"/>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'Central Region'!$O$20:$O$24</c:f>
              <c:strCache>
                <c:ptCount val="5"/>
                <c:pt idx="0">
                  <c:v>Charges For Services</c:v>
                </c:pt>
                <c:pt idx="1">
                  <c:v>Miscellaneous</c:v>
                </c:pt>
                <c:pt idx="2">
                  <c:v>Other Sources</c:v>
                </c:pt>
                <c:pt idx="3">
                  <c:v>Appropriated Fund Balance</c:v>
                </c:pt>
                <c:pt idx="4">
                  <c:v>Other Resources</c:v>
                </c:pt>
              </c:strCache>
            </c:strRef>
          </c:cat>
          <c:val>
            <c:numRef>
              <c:f>'Central Region'!$P$20:$P$24</c:f>
              <c:numCache>
                <c:formatCode>_(* #,##0_);_(* \(#,##0\);_(* "-"??_);_(@_)</c:formatCode>
                <c:ptCount val="5"/>
                <c:pt idx="0">
                  <c:v>20306491</c:v>
                </c:pt>
                <c:pt idx="1">
                  <c:v>46051</c:v>
                </c:pt>
                <c:pt idx="2">
                  <c:v>0</c:v>
                </c:pt>
                <c:pt idx="3">
                  <c:v>3444476</c:v>
                </c:pt>
                <c:pt idx="4">
                  <c:v>7496450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txPr>
    <a:bodyPr/>
    <a:lstStyle/>
    <a:p>
      <a:pPr>
        <a:defRPr sz="1000"/>
      </a:pPr>
      <a:endParaRPr lang="en-US"/>
    </a:p>
  </c:txPr>
  <c:printSettings>
    <c:headerFooter/>
    <c:pageMargins b="0.75000000000000167" l="0.70000000000000062" r="0.70000000000000062" t="0.7500000000000016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5694847035575558"/>
          <c:y val="5.1524392129692121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8644668778879098"/>
          <c:y val="9.379101092113748E-2"/>
          <c:w val="0.79464348296210963"/>
          <c:h val="0.88658555303066189"/>
        </c:manualLayout>
      </c:layout>
      <c:pie3DChart>
        <c:varyColors val="1"/>
        <c:ser>
          <c:idx val="1"/>
          <c:order val="0"/>
          <c:dLbls>
            <c:dLbl>
              <c:idx val="0"/>
              <c:layout>
                <c:manualLayout>
                  <c:x val="-2.583611316277316E-2"/>
                  <c:y val="-7.9868929868620833E-2"/>
                </c:manualLayout>
              </c:layout>
              <c:dLblPos val="bestFit"/>
              <c:showLegendKey val="0"/>
              <c:showVal val="1"/>
              <c:showCatName val="1"/>
              <c:showSerName val="0"/>
              <c:showPercent val="0"/>
              <c:showBubbleSize val="0"/>
              <c:separator>
</c:separator>
            </c:dLbl>
            <c:dLbl>
              <c:idx val="1"/>
              <c:layout>
                <c:manualLayout>
                  <c:x val="-5.783026543527691E-2"/>
                  <c:y val="0.10536111242735208"/>
                </c:manualLayout>
              </c:layout>
              <c:dLblPos val="bestFit"/>
              <c:showLegendKey val="0"/>
              <c:showVal val="1"/>
              <c:showCatName val="1"/>
              <c:showSerName val="0"/>
              <c:showPercent val="0"/>
              <c:showBubbleSize val="0"/>
              <c:separator>
</c:separator>
            </c:dLbl>
            <c:dLbl>
              <c:idx val="2"/>
              <c:layout>
                <c:manualLayout>
                  <c:x val="1.5600096164976372E-2"/>
                  <c:y val="6.2813279658171073E-2"/>
                </c:manualLayout>
              </c:layout>
              <c:dLblPos val="bestFit"/>
              <c:showLegendKey val="0"/>
              <c:showVal val="1"/>
              <c:showCatName val="1"/>
              <c:showSerName val="0"/>
              <c:showPercent val="0"/>
              <c:showBubbleSize val="0"/>
              <c:separator>
</c:separator>
            </c:dLbl>
            <c:dLbl>
              <c:idx val="3"/>
              <c:layout>
                <c:manualLayout>
                  <c:x val="2.4795053680856171E-2"/>
                  <c:y val="0.18321258825395714"/>
                </c:manualLayout>
              </c:layout>
              <c:dLblPos val="bestFit"/>
              <c:showLegendKey val="0"/>
              <c:showVal val="1"/>
              <c:showCatName val="1"/>
              <c:showSerName val="0"/>
              <c:showPercent val="0"/>
              <c:showBubbleSize val="0"/>
              <c:separator>
</c:separator>
            </c:dLbl>
            <c:dLbl>
              <c:idx val="4"/>
              <c:layout>
                <c:manualLayout>
                  <c:x val="4.1542067722075061E-2"/>
                  <c:y val="-9.060928451200996E-2"/>
                </c:manualLayout>
              </c:layout>
              <c:dLblPos val="bestFit"/>
              <c:showLegendKey val="0"/>
              <c:showVal val="1"/>
              <c:showCatName val="1"/>
              <c:showSerName val="0"/>
              <c:showPercent val="0"/>
              <c:showBubbleSize val="0"/>
              <c:separator>
</c:separator>
            </c:dLbl>
            <c:dLbl>
              <c:idx val="5"/>
              <c:layout>
                <c:manualLayout>
                  <c:x val="4.483904683960812E-2"/>
                  <c:y val="-5.99660787533298E-2"/>
                </c:manualLayout>
              </c:layout>
              <c:numFmt formatCode="0.0%" sourceLinked="0"/>
              <c:spPr/>
              <c:txPr>
                <a:bodyPr/>
                <a:lstStyle/>
                <a:p>
                  <a:pPr>
                    <a:defRPr b="1"/>
                  </a:pPr>
                  <a:endParaRPr lang="en-US"/>
                </a:p>
              </c:txPr>
              <c:showLegendKey val="0"/>
              <c:showVal val="1"/>
              <c:showCatName val="1"/>
              <c:showSerName val="0"/>
              <c:showPercent val="0"/>
              <c:showBubbleSize val="0"/>
            </c:dLbl>
            <c:dLbl>
              <c:idx val="6"/>
              <c:layout>
                <c:manualLayout>
                  <c:x val="7.2616842789769001E-2"/>
                  <c:y val="-5.3547000447064105E-2"/>
                </c:manualLayout>
              </c:layout>
              <c:dLblPos val="bestFit"/>
              <c:showLegendKey val="0"/>
              <c:showVal val="1"/>
              <c:showCatName val="1"/>
              <c:showSerName val="0"/>
              <c:showPercent val="0"/>
              <c:showBubbleSize val="0"/>
              <c:separator>
</c:separator>
            </c:dLbl>
            <c:dLbl>
              <c:idx val="7"/>
              <c:layout>
                <c:manualLayout>
                  <c:x val="9.5231999778586568E-2"/>
                  <c:y val="-7.9888001387238811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'Central Service'!$O$8:$O$14</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'Central Service'!$Q$8:$Q$14</c:f>
              <c:numCache>
                <c:formatCode>0.0%</c:formatCode>
                <c:ptCount val="7"/>
                <c:pt idx="0">
                  <c:v>0.32600000000000001</c:v>
                </c:pt>
                <c:pt idx="1">
                  <c:v>0.121</c:v>
                </c:pt>
                <c:pt idx="2">
                  <c:v>0.25700000000000001</c:v>
                </c:pt>
                <c:pt idx="3">
                  <c:v>9.8000000000000004E-2</c:v>
                </c:pt>
                <c:pt idx="4">
                  <c:v>8.4000000000000005E-2</c:v>
                </c:pt>
                <c:pt idx="5">
                  <c:v>9.4E-2</c:v>
                </c:pt>
                <c:pt idx="6">
                  <c:v>0.02</c:v>
                </c:pt>
              </c:numCache>
            </c:numRef>
          </c:val>
        </c:ser>
        <c:ser>
          <c:idx val="0"/>
          <c:order val="1"/>
          <c:dLbls>
            <c:dLbl>
              <c:idx val="0"/>
              <c:layout>
                <c:manualLayout>
                  <c:x val="-2.6362143603522806E-2"/>
                  <c:y val="-5.9476032065759223E-2"/>
                </c:manualLayout>
              </c:layout>
              <c:dLblPos val="bestFit"/>
              <c:showLegendKey val="0"/>
              <c:showVal val="0"/>
              <c:showCatName val="1"/>
              <c:showSerName val="0"/>
              <c:showPercent val="1"/>
              <c:showBubbleSize val="0"/>
            </c:dLbl>
            <c:dLbl>
              <c:idx val="1"/>
              <c:layout>
                <c:manualLayout>
                  <c:x val="-6.1402982934342142E-3"/>
                  <c:y val="5.0699403853588072E-2"/>
                </c:manualLayout>
              </c:layout>
              <c:dLblPos val="bestFit"/>
              <c:showLegendKey val="0"/>
              <c:showVal val="0"/>
              <c:showCatName val="1"/>
              <c:showSerName val="0"/>
              <c:showPercent val="1"/>
              <c:showBubbleSize val="0"/>
            </c:dLbl>
            <c:dLbl>
              <c:idx val="2"/>
              <c:layout>
                <c:manualLayout>
                  <c:x val="8.1958877397378616E-2"/>
                  <c:y val="2.9942877779812409E-2"/>
                </c:manualLayout>
              </c:layout>
              <c:dLblPos val="bestFit"/>
              <c:showLegendKey val="0"/>
              <c:showVal val="0"/>
              <c:showCatName val="1"/>
              <c:showSerName val="0"/>
              <c:showPercent val="1"/>
              <c:showBubbleSize val="0"/>
            </c:dLbl>
            <c:dLbl>
              <c:idx val="3"/>
              <c:layout>
                <c:manualLayout>
                  <c:x val="5.8582308142940834E-3"/>
                  <c:y val="0.17429800449371241"/>
                </c:manualLayout>
              </c:layout>
              <c:dLblPos val="bestFit"/>
              <c:showLegendKey val="0"/>
              <c:showVal val="0"/>
              <c:showCatName val="1"/>
              <c:showSerName val="0"/>
              <c:showPercent val="1"/>
              <c:showBubbleSize val="0"/>
            </c:dLbl>
            <c:dLbl>
              <c:idx val="4"/>
              <c:layout>
                <c:manualLayout>
                  <c:x val="2.3196490024025261E-2"/>
                  <c:y val="-9.4267175399524922E-2"/>
                </c:manualLayout>
              </c:layout>
              <c:showLegendKey val="0"/>
              <c:showVal val="0"/>
              <c:showCatName val="1"/>
              <c:showSerName val="0"/>
              <c:showPercent val="1"/>
              <c:showBubbleSize val="0"/>
            </c:dLbl>
            <c:dLbl>
              <c:idx val="5"/>
              <c:layout>
                <c:manualLayout>
                  <c:x val="0.12366948380732028"/>
                  <c:y val="-0.2091554402757376"/>
                </c:manualLayout>
              </c:layout>
              <c:showLegendKey val="0"/>
              <c:showVal val="0"/>
              <c:showCatName val="1"/>
              <c:showSerName val="0"/>
              <c:showPercent val="1"/>
              <c:showBubbleSize val="0"/>
            </c:dLbl>
            <c:dLbl>
              <c:idx val="6"/>
              <c:layout>
                <c:manualLayout>
                  <c:x val="0.17663990166149426"/>
                  <c:y val="-6.0454089400460251E-2"/>
                </c:manualLayout>
              </c:layout>
              <c:dLblPos val="bestFit"/>
              <c:showLegendKey val="0"/>
              <c:showVal val="0"/>
              <c:showCatName val="1"/>
              <c:showSerName val="0"/>
              <c:showPercent val="1"/>
              <c:showBubbleSize val="0"/>
            </c:dLbl>
            <c:dLbl>
              <c:idx val="7"/>
              <c:layout>
                <c:manualLayout>
                  <c:x val="0.17867603983596964"/>
                  <c:y val="-9.4065589726765472E-2"/>
                </c:manualLayout>
              </c:layout>
              <c:dLblPos val="bestFit"/>
              <c:showLegendKey val="0"/>
              <c:showVal val="0"/>
              <c:showCatName val="1"/>
              <c:showSerName val="0"/>
              <c:showPercent val="1"/>
              <c:showBubbleSize val="0"/>
            </c:dLbl>
            <c:numFmt formatCode="0.0%" sourceLinked="0"/>
            <c:txPr>
              <a:bodyPr/>
              <a:lstStyle/>
              <a:p>
                <a:pPr>
                  <a:defRPr b="1"/>
                </a:pPr>
                <a:endParaRPr lang="en-US"/>
              </a:p>
            </c:txPr>
            <c:dLblPos val="outEnd"/>
            <c:showLegendKey val="0"/>
            <c:showVal val="0"/>
            <c:showCatName val="1"/>
            <c:showSerName val="0"/>
            <c:showPercent val="1"/>
            <c:showBubbleSize val="0"/>
            <c:showLeaderLines val="1"/>
          </c:dLbls>
          <c:cat>
            <c:strRef>
              <c:f>'Central Service'!$O$8:$O$14</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'Central Service'!$P$8:$P$14</c:f>
              <c:numCache>
                <c:formatCode>_(* #,##0_);_(* \(#,##0\);_(* "-"??_);_(@_)</c:formatCode>
                <c:ptCount val="7"/>
                <c:pt idx="0">
                  <c:v>5620086.4199999999</c:v>
                </c:pt>
                <c:pt idx="1">
                  <c:v>2097952.83</c:v>
                </c:pt>
                <c:pt idx="2">
                  <c:v>4417263.7</c:v>
                </c:pt>
                <c:pt idx="3">
                  <c:v>1680873</c:v>
                </c:pt>
                <c:pt idx="4">
                  <c:v>1445748</c:v>
                </c:pt>
                <c:pt idx="5">
                  <c:v>1620921</c:v>
                </c:pt>
                <c:pt idx="6">
                  <c:v>337892</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solidFill>
                  <a:schemeClr val="bg1"/>
                </a:solidFill>
              </a:defRPr>
            </a:pPr>
            <a:r>
              <a:rPr lang="en-US" sz="1400" b="1" i="0" u="none" strike="noStrike" baseline="0">
                <a:effectLst/>
              </a:rPr>
              <a:t>FY 2015 Proposed </a:t>
            </a:r>
            <a:r>
              <a:rPr lang="en-US" sz="1400" b="1" baseline="0">
                <a:solidFill>
                  <a:schemeClr val="bg1"/>
                </a:solidFill>
              </a:rPr>
              <a:t>Revenues</a:t>
            </a:r>
            <a:endParaRPr lang="en-US" sz="1400" b="1">
              <a:solidFill>
                <a:schemeClr val="bg1"/>
              </a:solidFill>
            </a:endParaRPr>
          </a:p>
        </c:rich>
      </c:tx>
      <c:layout>
        <c:manualLayout>
          <c:xMode val="edge"/>
          <c:yMode val="edge"/>
          <c:x val="0.18447106568870672"/>
          <c:y val="1.8940825344921993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6673408118505734E-2"/>
          <c:y val="9.9505913866545337E-2"/>
          <c:w val="0.80633696472872396"/>
          <c:h val="0.86841370587736277"/>
        </c:manualLayout>
      </c:layout>
      <c:pie3DChart>
        <c:varyColors val="1"/>
        <c:ser>
          <c:idx val="1"/>
          <c:order val="0"/>
          <c:dLbls>
            <c:dLbl>
              <c:idx val="0"/>
              <c:layout>
                <c:manualLayout>
                  <c:x val="-0.12363126056160788"/>
                  <c:y val="5.54736363145596E-2"/>
                </c:manualLayout>
              </c:layout>
              <c:dLblPos val="bestFit"/>
              <c:showLegendKey val="0"/>
              <c:showVal val="0"/>
              <c:showCatName val="1"/>
              <c:showSerName val="0"/>
              <c:showPercent val="1"/>
              <c:showBubbleSize val="0"/>
              <c:separator>
</c:separator>
            </c:dLbl>
            <c:dLbl>
              <c:idx val="1"/>
              <c:layout>
                <c:manualLayout>
                  <c:x val="-8.2762557077625573E-2"/>
                  <c:y val="5.4802429813805079E-2"/>
                </c:manualLayout>
              </c:layout>
              <c:dLblPos val="bestFit"/>
              <c:showLegendKey val="0"/>
              <c:showVal val="0"/>
              <c:showCatName val="1"/>
              <c:showSerName val="0"/>
              <c:showPercent val="1"/>
              <c:showBubbleSize val="0"/>
              <c:separator>
</c:separator>
            </c:dLbl>
            <c:dLbl>
              <c:idx val="2"/>
              <c:delete val="1"/>
            </c:dLbl>
            <c:dLbl>
              <c:idx val="3"/>
              <c:layout>
                <c:manualLayout>
                  <c:x val="4.19471110631719E-2"/>
                  <c:y val="-1.3035184999524423E-2"/>
                </c:manualLayout>
              </c:layout>
              <c:showLegendKey val="0"/>
              <c:showVal val="0"/>
              <c:showCatName val="1"/>
              <c:showSerName val="0"/>
              <c:showPercent val="1"/>
              <c:showBubbleSize val="0"/>
            </c:dLbl>
            <c:dLbl>
              <c:idx val="4"/>
              <c:layout>
                <c:manualLayout>
                  <c:x val="9.5718279221946576E-2"/>
                  <c:y val="-1.908272729376017E-2"/>
                </c:manualLayout>
              </c:layout>
              <c:dLblPos val="bestFit"/>
              <c:showLegendKey val="0"/>
              <c:showVal val="0"/>
              <c:showCatName val="1"/>
              <c:showSerName val="0"/>
              <c:showPercent val="1"/>
              <c:showBubbleSize val="0"/>
              <c:separator>
</c:separator>
            </c:dLbl>
            <c:numFmt formatCode="0.0%" sourceLinked="0"/>
            <c:txPr>
              <a:bodyPr/>
              <a:lstStyle/>
              <a:p>
                <a:pPr>
                  <a:defRPr b="1"/>
                </a:pPr>
                <a:endParaRPr lang="en-US"/>
              </a:p>
            </c:txPr>
            <c:dLblPos val="outEnd"/>
            <c:showLegendKey val="0"/>
            <c:showVal val="0"/>
            <c:showCatName val="1"/>
            <c:showSerName val="0"/>
            <c:showPercent val="1"/>
            <c:showBubbleSize val="0"/>
            <c:separator>
</c:separator>
            <c:showLeaderLines val="1"/>
          </c:dLbls>
          <c:cat>
            <c:strRef>
              <c:f>'Central Service'!$O$17:$O$21</c:f>
              <c:strCache>
                <c:ptCount val="5"/>
                <c:pt idx="0">
                  <c:v>Charges For Services</c:v>
                </c:pt>
                <c:pt idx="1">
                  <c:v>Miscellaneous</c:v>
                </c:pt>
                <c:pt idx="2">
                  <c:v>Other Sources</c:v>
                </c:pt>
                <c:pt idx="3">
                  <c:v>Appropriated Fund Balance</c:v>
                </c:pt>
                <c:pt idx="4">
                  <c:v>Other Resources</c:v>
                </c:pt>
              </c:strCache>
            </c:strRef>
          </c:cat>
          <c:val>
            <c:numRef>
              <c:f>'Central Service'!$Q$17:$Q$21</c:f>
              <c:numCache>
                <c:formatCode>0.0%</c:formatCode>
                <c:ptCount val="5"/>
                <c:pt idx="0">
                  <c:v>0.93100000000000005</c:v>
                </c:pt>
                <c:pt idx="1">
                  <c:v>0.01</c:v>
                </c:pt>
                <c:pt idx="2">
                  <c:v>0</c:v>
                </c:pt>
                <c:pt idx="3">
                  <c:v>3.9E-2</c:v>
                </c:pt>
                <c:pt idx="4" formatCode="General">
                  <c:v>0.02</c:v>
                </c:pt>
              </c:numCache>
            </c:numRef>
          </c:val>
        </c:ser>
        <c:ser>
          <c:idx val="0"/>
          <c:order val="1"/>
          <c:dLbls>
            <c:showLegendKey val="0"/>
            <c:showVal val="1"/>
            <c:showCatName val="0"/>
            <c:showSerName val="0"/>
            <c:showPercent val="0"/>
            <c:showBubbleSize val="0"/>
            <c:showLeaderLines val="1"/>
          </c:dLbls>
          <c:cat>
            <c:strRef>
              <c:f>'Central Service'!$O$17:$O$21</c:f>
              <c:strCache>
                <c:ptCount val="5"/>
                <c:pt idx="0">
                  <c:v>Charges For Services</c:v>
                </c:pt>
                <c:pt idx="1">
                  <c:v>Miscellaneous</c:v>
                </c:pt>
                <c:pt idx="2">
                  <c:v>Other Sources</c:v>
                </c:pt>
                <c:pt idx="3">
                  <c:v>Appropriated Fund Balance</c:v>
                </c:pt>
                <c:pt idx="4">
                  <c:v>Other Resources</c:v>
                </c:pt>
              </c:strCache>
            </c:strRef>
          </c:cat>
          <c:val>
            <c:numRef>
              <c:f>'Central Service'!$P$17:$P$21</c:f>
              <c:numCache>
                <c:formatCode>_(* #,##0_);_(* \(#,##0\);_(* "-"??_);_(@_)</c:formatCode>
                <c:ptCount val="5"/>
                <c:pt idx="0">
                  <c:v>16039800</c:v>
                </c:pt>
                <c:pt idx="1">
                  <c:v>172753.38</c:v>
                </c:pt>
                <c:pt idx="2">
                  <c:v>0</c:v>
                </c:pt>
                <c:pt idx="3">
                  <c:v>670291.56999999925</c:v>
                </c:pt>
                <c:pt idx="4" formatCode="General">
                  <c:v>337892</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8960064811074393"/>
          <c:y val="1.83285912790313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6420225646731079"/>
          <c:y val="7.7451421513487287E-2"/>
          <c:w val="0.77134383643592064"/>
          <c:h val="0.87906746950748815"/>
        </c:manualLayout>
      </c:layout>
      <c:pie3DChart>
        <c:varyColors val="1"/>
        <c:ser>
          <c:idx val="1"/>
          <c:order val="0"/>
          <c:dLbls>
            <c:dLbl>
              <c:idx val="0"/>
              <c:layout>
                <c:manualLayout>
                  <c:x val="-0.10783295696111993"/>
                  <c:y val="-5.5926023952888239E-2"/>
                </c:manualLayout>
              </c:layout>
              <c:showLegendKey val="0"/>
              <c:showVal val="1"/>
              <c:showCatName val="1"/>
              <c:showSerName val="0"/>
              <c:showPercent val="0"/>
              <c:showBubbleSize val="0"/>
              <c:separator>
</c:separator>
            </c:dLbl>
            <c:dLbl>
              <c:idx val="1"/>
              <c:layout>
                <c:manualLayout>
                  <c:x val="-4.066144381237459E-2"/>
                  <c:y val="-7.4856966408610684E-2"/>
                </c:manualLayout>
              </c:layout>
              <c:showLegendKey val="0"/>
              <c:showVal val="1"/>
              <c:showCatName val="1"/>
              <c:showSerName val="0"/>
              <c:showPercent val="0"/>
              <c:showBubbleSize val="0"/>
              <c:separator>
</c:separator>
            </c:dLbl>
            <c:dLbl>
              <c:idx val="2"/>
              <c:layout>
                <c:manualLayout>
                  <c:x val="9.193371434121618E-2"/>
                  <c:y val="2.218178610026688E-2"/>
                </c:manualLayout>
              </c:layout>
              <c:showLegendKey val="0"/>
              <c:showVal val="1"/>
              <c:showCatName val="1"/>
              <c:showSerName val="0"/>
              <c:showPercent val="0"/>
              <c:showBubbleSize val="0"/>
              <c:separator>
</c:separator>
            </c:dLbl>
            <c:dLbl>
              <c:idx val="3"/>
              <c:layout>
                <c:manualLayout>
                  <c:x val="6.4060537428616213E-3"/>
                  <c:y val="4.2875449392355366E-2"/>
                </c:manualLayout>
              </c:layout>
              <c:showLegendKey val="0"/>
              <c:showVal val="1"/>
              <c:showCatName val="1"/>
              <c:showSerName val="0"/>
              <c:showPercent val="0"/>
              <c:showBubbleSize val="0"/>
              <c:separator>
</c:separator>
            </c:dLbl>
            <c:dLbl>
              <c:idx val="4"/>
              <c:layout>
                <c:manualLayout>
                  <c:x val="-3.8903642090995984E-2"/>
                  <c:y val="-2.3711594874170142E-2"/>
                </c:manualLayout>
              </c:layout>
              <c:showLegendKey val="0"/>
              <c:showVal val="1"/>
              <c:showCatName val="1"/>
              <c:showSerName val="0"/>
              <c:showPercent val="0"/>
              <c:showBubbleSize val="0"/>
              <c:separator>
</c:separator>
            </c:dLbl>
            <c:dLbl>
              <c:idx val="5"/>
              <c:layout>
                <c:manualLayout>
                  <c:x val="-7.4864737786666496E-2"/>
                  <c:y val="-7.7985178323297821E-2"/>
                </c:manualLayout>
              </c:layout>
              <c:showLegendKey val="0"/>
              <c:showVal val="1"/>
              <c:showCatName val="1"/>
              <c:showSerName val="0"/>
              <c:showPercent val="0"/>
              <c:showBubbleSize val="0"/>
              <c:separator>
</c:separator>
            </c:dLbl>
            <c:txPr>
              <a:bodyPr/>
              <a:lstStyle/>
              <a:p>
                <a:pPr>
                  <a:defRPr b="1"/>
                </a:pPr>
                <a:endParaRPr lang="en-US"/>
              </a:p>
            </c:txPr>
            <c:showLegendKey val="0"/>
            <c:showVal val="1"/>
            <c:showCatName val="1"/>
            <c:showSerName val="0"/>
            <c:showPercent val="0"/>
            <c:showBubbleSize val="0"/>
            <c:separator>
</c:separator>
            <c:showLeaderLines val="1"/>
          </c:dLbls>
          <c:cat>
            <c:strRef>
              <c:f>'City Insurance'!$O$8:$O$13</c:f>
              <c:strCache>
                <c:ptCount val="6"/>
                <c:pt idx="0">
                  <c:v>Salaries &amp; Wages</c:v>
                </c:pt>
                <c:pt idx="1">
                  <c:v>Fringe Benefits</c:v>
                </c:pt>
                <c:pt idx="2">
                  <c:v>Services &amp; Materials</c:v>
                </c:pt>
                <c:pt idx="3">
                  <c:v>Other Operating Expenses</c:v>
                </c:pt>
                <c:pt idx="4">
                  <c:v>Transfers Out</c:v>
                </c:pt>
                <c:pt idx="5">
                  <c:v>Other Uses</c:v>
                </c:pt>
              </c:strCache>
            </c:strRef>
          </c:cat>
          <c:val>
            <c:numRef>
              <c:f>'City Insurance'!$Q$8:$Q$13</c:f>
              <c:numCache>
                <c:formatCode>0.0%</c:formatCode>
                <c:ptCount val="6"/>
                <c:pt idx="0">
                  <c:v>3.9E-2</c:v>
                </c:pt>
                <c:pt idx="1">
                  <c:v>1.4999999999999999E-2</c:v>
                </c:pt>
                <c:pt idx="2">
                  <c:v>1.7000000000000001E-2</c:v>
                </c:pt>
                <c:pt idx="3">
                  <c:v>0.77100000000000002</c:v>
                </c:pt>
                <c:pt idx="4">
                  <c:v>3.0000000000000001E-3</c:v>
                </c:pt>
                <c:pt idx="5">
                  <c:v>0.155</c:v>
                </c:pt>
              </c:numCache>
            </c:numRef>
          </c:val>
        </c:ser>
        <c:ser>
          <c:idx val="0"/>
          <c:order val="1"/>
          <c:dLbls>
            <c:dLbl>
              <c:idx val="0"/>
              <c:layout>
                <c:manualLayout>
                  <c:x val="-5.0894068079577949E-2"/>
                  <c:y val="-6.3163616559545846E-2"/>
                </c:manualLayout>
              </c:layout>
              <c:showLegendKey val="0"/>
              <c:showVal val="0"/>
              <c:showCatName val="1"/>
              <c:showSerName val="0"/>
              <c:showPercent val="1"/>
              <c:showBubbleSize val="0"/>
            </c:dLbl>
            <c:dLbl>
              <c:idx val="1"/>
              <c:layout>
                <c:manualLayout>
                  <c:x val="4.703015438413298E-2"/>
                  <c:y val="-8.7958659338649228E-2"/>
                </c:manualLayout>
              </c:layout>
              <c:showLegendKey val="0"/>
              <c:showVal val="0"/>
              <c:showCatName val="1"/>
              <c:showSerName val="0"/>
              <c:showPercent val="1"/>
              <c:showBubbleSize val="0"/>
            </c:dLbl>
            <c:dLbl>
              <c:idx val="2"/>
              <c:layout>
                <c:manualLayout>
                  <c:x val="0.14963131150626258"/>
                  <c:y val="-1.6297840673822846E-2"/>
                </c:manualLayout>
              </c:layout>
              <c:showLegendKey val="0"/>
              <c:showVal val="0"/>
              <c:showCatName val="1"/>
              <c:showSerName val="0"/>
              <c:showPercent val="1"/>
              <c:showBubbleSize val="0"/>
            </c:dLbl>
            <c:dLbl>
              <c:idx val="3"/>
              <c:layout>
                <c:manualLayout>
                  <c:x val="0.34349698577577636"/>
                  <c:y val="3.710432447264058E-4"/>
                </c:manualLayout>
              </c:layout>
              <c:showLegendKey val="0"/>
              <c:showVal val="0"/>
              <c:showCatName val="1"/>
              <c:showSerName val="0"/>
              <c:showPercent val="1"/>
              <c:showBubbleSize val="0"/>
            </c:dLbl>
            <c:dLbl>
              <c:idx val="4"/>
              <c:layout>
                <c:manualLayout>
                  <c:x val="-0.10483016531183409"/>
                  <c:y val="6.486085358654357E-3"/>
                </c:manualLayout>
              </c:layout>
              <c:showLegendKey val="0"/>
              <c:showVal val="0"/>
              <c:showCatName val="1"/>
              <c:showSerName val="0"/>
              <c:showPercent val="1"/>
              <c:showBubbleSize val="0"/>
            </c:dLbl>
            <c:dLbl>
              <c:idx val="5"/>
              <c:layout>
                <c:manualLayout>
                  <c:x val="1.8554265142454725E-2"/>
                  <c:y val="-3.8128279107666981E-2"/>
                </c:manualLayout>
              </c:layout>
              <c:showLegendKey val="0"/>
              <c:showVal val="0"/>
              <c:showCatName val="1"/>
              <c:showSerName val="0"/>
              <c:showPercent val="1"/>
              <c:showBubbleSize val="0"/>
            </c:dLbl>
            <c:numFmt formatCode="0.00%" sourceLinked="0"/>
            <c:txPr>
              <a:bodyPr/>
              <a:lstStyle/>
              <a:p>
                <a:pPr>
                  <a:defRPr b="1"/>
                </a:pPr>
                <a:endParaRPr lang="en-US"/>
              </a:p>
            </c:txPr>
            <c:showLegendKey val="0"/>
            <c:showVal val="0"/>
            <c:showCatName val="1"/>
            <c:showSerName val="0"/>
            <c:showPercent val="1"/>
            <c:showBubbleSize val="0"/>
            <c:showLeaderLines val="1"/>
          </c:dLbls>
          <c:cat>
            <c:strRef>
              <c:f>'City Insurance'!$O$8:$O$13</c:f>
              <c:strCache>
                <c:ptCount val="6"/>
                <c:pt idx="0">
                  <c:v>Salaries &amp; Wages</c:v>
                </c:pt>
                <c:pt idx="1">
                  <c:v>Fringe Benefits</c:v>
                </c:pt>
                <c:pt idx="2">
                  <c:v>Services &amp; Materials</c:v>
                </c:pt>
                <c:pt idx="3">
                  <c:v>Other Operating Expenses</c:v>
                </c:pt>
                <c:pt idx="4">
                  <c:v>Transfers Out</c:v>
                </c:pt>
                <c:pt idx="5">
                  <c:v>Other Uses</c:v>
                </c:pt>
              </c:strCache>
            </c:strRef>
          </c:cat>
          <c:val>
            <c:numRef>
              <c:f>'City Insurance'!$P$8:$P$13</c:f>
              <c:numCache>
                <c:formatCode>_(* #,##0.00_);_(* \(#,##0.00\);_(* "-"??_);_(@_)</c:formatCode>
                <c:ptCount val="6"/>
                <c:pt idx="0">
                  <c:v>955848</c:v>
                </c:pt>
                <c:pt idx="1">
                  <c:v>358445</c:v>
                </c:pt>
                <c:pt idx="2">
                  <c:v>419463</c:v>
                </c:pt>
                <c:pt idx="3">
                  <c:v>18910002</c:v>
                </c:pt>
                <c:pt idx="4">
                  <c:v>78026</c:v>
                </c:pt>
                <c:pt idx="5">
                  <c:v>3793595.8099999987</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8438738657884182"/>
          <c:y val="1.8453237822804785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7.9210485357920635E-3"/>
          <c:y val="2.3054962978784625E-2"/>
          <c:w val="0.81790722271388272"/>
          <c:h val="0.97694503702121538"/>
        </c:manualLayout>
      </c:layout>
      <c:pie3DChart>
        <c:varyColors val="1"/>
        <c:ser>
          <c:idx val="1"/>
          <c:order val="0"/>
          <c:dLbls>
            <c:dLbl>
              <c:idx val="0"/>
              <c:layout>
                <c:manualLayout>
                  <c:x val="2.2402632637647288E-2"/>
                  <c:y val="3.0881757177190799E-2"/>
                </c:manualLayout>
              </c:layout>
              <c:dLblPos val="bestFit"/>
              <c:showLegendKey val="0"/>
              <c:showVal val="1"/>
              <c:showCatName val="1"/>
              <c:showSerName val="0"/>
              <c:showPercent val="0"/>
              <c:showBubbleSize val="0"/>
              <c:separator>
</c:separator>
            </c:dLbl>
            <c:dLbl>
              <c:idx val="1"/>
              <c:layout>
                <c:manualLayout>
                  <c:x val="0"/>
                  <c:y val="-0.10209607422424907"/>
                </c:manualLayout>
              </c:layout>
              <c:dLblPos val="bestFit"/>
              <c:showLegendKey val="0"/>
              <c:showVal val="1"/>
              <c:showCatName val="1"/>
              <c:showSerName val="0"/>
              <c:showPercent val="0"/>
              <c:showBubbleSize val="0"/>
              <c:separator>
</c:separator>
            </c:dLbl>
            <c:dLbl>
              <c:idx val="2"/>
              <c:delete val="1"/>
            </c:dLbl>
            <c:dLbl>
              <c:idx val="3"/>
              <c:delete val="1"/>
            </c:dLbl>
            <c:dLbl>
              <c:idx val="4"/>
              <c:layout>
                <c:manualLayout>
                  <c:x val="6.4039875427655629E-2"/>
                  <c:y val="-4.4836756254859889E-2"/>
                </c:manualLayout>
              </c:layout>
              <c:numFmt formatCode="0.0%" sourceLinked="0"/>
              <c:spPr/>
              <c:txPr>
                <a:bodyPr/>
                <a:lstStyle/>
                <a:p>
                  <a:pPr>
                    <a:defRPr b="1"/>
                  </a:pPr>
                  <a:endParaRPr lang="en-US"/>
                </a:p>
              </c:txPr>
              <c:dLblPos val="bestFit"/>
              <c:showLegendKey val="0"/>
              <c:showVal val="0"/>
              <c:showCatName val="1"/>
              <c:showSerName val="0"/>
              <c:showPercent val="1"/>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'City Insurance'!$O$17:$O$21</c:f>
              <c:strCache>
                <c:ptCount val="5"/>
                <c:pt idx="0">
                  <c:v>Charges For Services</c:v>
                </c:pt>
                <c:pt idx="1">
                  <c:v>Miscellaneous</c:v>
                </c:pt>
                <c:pt idx="2">
                  <c:v>Other Sources</c:v>
                </c:pt>
                <c:pt idx="3">
                  <c:v>Appropriated Fund Balance</c:v>
                </c:pt>
                <c:pt idx="4">
                  <c:v>Other Resources</c:v>
                </c:pt>
              </c:strCache>
            </c:strRef>
          </c:cat>
          <c:val>
            <c:numRef>
              <c:f>'City Insurance'!$Q$17:$Q$21</c:f>
              <c:numCache>
                <c:formatCode>0.0%</c:formatCode>
                <c:ptCount val="5"/>
                <c:pt idx="0">
                  <c:v>0.86799999999999999</c:v>
                </c:pt>
                <c:pt idx="1">
                  <c:v>4.0000000000000001E-3</c:v>
                </c:pt>
                <c:pt idx="2">
                  <c:v>0</c:v>
                </c:pt>
                <c:pt idx="3">
                  <c:v>0</c:v>
                </c:pt>
                <c:pt idx="4" formatCode="General">
                  <c:v>0.128</c:v>
                </c:pt>
              </c:numCache>
            </c:numRef>
          </c:val>
        </c:ser>
        <c:ser>
          <c:idx val="0"/>
          <c:order val="1"/>
          <c:dLbls>
            <c:dLbl>
              <c:idx val="0"/>
              <c:layout>
                <c:manualLayout>
                  <c:x val="-1.2385658460908005E-2"/>
                  <c:y val="-0.26195437289864354"/>
                </c:manualLayout>
              </c:layout>
              <c:showLegendKey val="0"/>
              <c:showVal val="0"/>
              <c:showCatName val="1"/>
              <c:showSerName val="0"/>
              <c:showPercent val="1"/>
              <c:showBubbleSize val="0"/>
            </c:dLbl>
            <c:dLbl>
              <c:idx val="2"/>
              <c:layout>
                <c:manualLayout>
                  <c:x val="-5.9273739132980133E-2"/>
                  <c:y val="-1.2168834654340353E-4"/>
                </c:manualLayout>
              </c:layout>
              <c:showLegendKey val="0"/>
              <c:showVal val="0"/>
              <c:showCatName val="1"/>
              <c:showSerName val="0"/>
              <c:showPercent val="1"/>
              <c:showBubbleSize val="0"/>
            </c:dLbl>
            <c:dLbl>
              <c:idx val="3"/>
              <c:layout>
                <c:manualLayout>
                  <c:x val="4.4726751163539618E-3"/>
                  <c:y val="-0.17438319637998381"/>
                </c:manualLayout>
              </c:layout>
              <c:showLegendKey val="0"/>
              <c:showVal val="0"/>
              <c:showCatName val="1"/>
              <c:showSerName val="0"/>
              <c:showPercent val="1"/>
              <c:showBubbleSize val="0"/>
            </c:dLbl>
            <c:numFmt formatCode="0.0%" sourceLinked="0"/>
            <c:showLegendKey val="0"/>
            <c:showVal val="0"/>
            <c:showCatName val="1"/>
            <c:showSerName val="0"/>
            <c:showPercent val="1"/>
            <c:showBubbleSize val="0"/>
            <c:showLeaderLines val="1"/>
          </c:dLbls>
          <c:cat>
            <c:strRef>
              <c:f>'City Insurance'!$O$17:$O$21</c:f>
              <c:strCache>
                <c:ptCount val="5"/>
                <c:pt idx="0">
                  <c:v>Charges For Services</c:v>
                </c:pt>
                <c:pt idx="1">
                  <c:v>Miscellaneous</c:v>
                </c:pt>
                <c:pt idx="2">
                  <c:v>Other Sources</c:v>
                </c:pt>
                <c:pt idx="3">
                  <c:v>Appropriated Fund Balance</c:v>
                </c:pt>
                <c:pt idx="4">
                  <c:v>Other Resources</c:v>
                </c:pt>
              </c:strCache>
            </c:strRef>
          </c:cat>
          <c:val>
            <c:numRef>
              <c:f>'City Insurance'!$P$17:$P$21</c:f>
              <c:numCache>
                <c:formatCode>_(* #,##0.00_);_(* \(#,##0.00\);_(* "-"??_);_(@_)</c:formatCode>
                <c:ptCount val="5"/>
                <c:pt idx="0">
                  <c:v>21301291</c:v>
                </c:pt>
                <c:pt idx="1">
                  <c:v>86198</c:v>
                </c:pt>
                <c:pt idx="2">
                  <c:v>0</c:v>
                </c:pt>
                <c:pt idx="3">
                  <c:v>0</c:v>
                </c:pt>
                <c:pt idx="4">
                  <c:v>3127890.8099999987</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9641347166634746"/>
          <c:y val="4.6914539270035186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5637339419157145"/>
          <c:y val="0.10006802961289031"/>
          <c:w val="0.73586627225598567"/>
          <c:h val="0.89805209326412672"/>
        </c:manualLayout>
      </c:layout>
      <c:pie3DChart>
        <c:varyColors val="1"/>
        <c:ser>
          <c:idx val="1"/>
          <c:order val="0"/>
          <c:dLbls>
            <c:dLbl>
              <c:idx val="0"/>
              <c:layout>
                <c:manualLayout>
                  <c:x val="-0.21271576860334096"/>
                  <c:y val="-3.6612172357379097E-2"/>
                </c:manualLayout>
              </c:layout>
              <c:dLblPos val="bestFit"/>
              <c:showLegendKey val="0"/>
              <c:showVal val="1"/>
              <c:showCatName val="1"/>
              <c:showSerName val="0"/>
              <c:showPercent val="0"/>
              <c:showBubbleSize val="0"/>
              <c:separator>
</c:separator>
            </c:dLbl>
            <c:dLbl>
              <c:idx val="1"/>
              <c:layout>
                <c:manualLayout>
                  <c:x val="-0.10251078578127563"/>
                  <c:y val="-6.0683827077669103E-2"/>
                </c:manualLayout>
              </c:layout>
              <c:dLblPos val="bestFit"/>
              <c:showLegendKey val="0"/>
              <c:showVal val="1"/>
              <c:showCatName val="1"/>
              <c:showSerName val="0"/>
              <c:showPercent val="0"/>
              <c:showBubbleSize val="0"/>
              <c:separator>
</c:separator>
            </c:dLbl>
            <c:dLbl>
              <c:idx val="2"/>
              <c:layout>
                <c:manualLayout>
                  <c:x val="-2.1527565726311898E-2"/>
                  <c:y val="-4.8705201087532221E-2"/>
                </c:manualLayout>
              </c:layout>
              <c:dLblPos val="bestFit"/>
              <c:showLegendKey val="0"/>
              <c:showVal val="1"/>
              <c:showCatName val="1"/>
              <c:showSerName val="0"/>
              <c:showPercent val="0"/>
              <c:showBubbleSize val="0"/>
              <c:separator>
</c:separator>
            </c:dLbl>
            <c:dLbl>
              <c:idx val="3"/>
              <c:layout>
                <c:manualLayout>
                  <c:x val="1.1701742698091164E-2"/>
                  <c:y val="-3.7213375233925358E-2"/>
                </c:manualLayout>
              </c:layout>
              <c:dLblPos val="bestFit"/>
              <c:showLegendKey val="0"/>
              <c:showVal val="1"/>
              <c:showCatName val="1"/>
              <c:showSerName val="0"/>
              <c:showPercent val="0"/>
              <c:showBubbleSize val="0"/>
              <c:separator>
</c:separator>
            </c:dLbl>
            <c:dLbl>
              <c:idx val="4"/>
              <c:delete val="1"/>
            </c:dLbl>
            <c:dLbl>
              <c:idx val="5"/>
              <c:layout>
                <c:manualLayout>
                  <c:x val="7.6021669849036494E-2"/>
                  <c:y val="6.9091016089356486E-2"/>
                </c:manualLayout>
              </c:layout>
              <c:dLblPos val="bestFit"/>
              <c:showLegendKey val="0"/>
              <c:showVal val="1"/>
              <c:showCatName val="1"/>
              <c:showSerName val="0"/>
              <c:showPercent val="0"/>
              <c:showBubbleSize val="0"/>
            </c:dLbl>
            <c:dLbl>
              <c:idx val="6"/>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'CRA-Beach'!$O$8:$O$14</c:f>
              <c:strCache>
                <c:ptCount val="7"/>
                <c:pt idx="0">
                  <c:v>Salaries &amp; Wages</c:v>
                </c:pt>
                <c:pt idx="1">
                  <c:v>Fringe 
Benefits</c:v>
                </c:pt>
                <c:pt idx="2">
                  <c:v>Services &amp; Materials</c:v>
                </c:pt>
                <c:pt idx="3">
                  <c:v>Other 
Operating
Expenses</c:v>
                </c:pt>
                <c:pt idx="4">
                  <c:v>Capital 
Outlay</c:v>
                </c:pt>
                <c:pt idx="5">
                  <c:v>Transfers Out </c:v>
                </c:pt>
                <c:pt idx="6">
                  <c:v>Other Uses</c:v>
                </c:pt>
              </c:strCache>
            </c:strRef>
          </c:cat>
          <c:val>
            <c:numRef>
              <c:f>'CRA-Beach'!$Q$8:$Q$14</c:f>
              <c:numCache>
                <c:formatCode>0.0%</c:formatCode>
                <c:ptCount val="7"/>
                <c:pt idx="0">
                  <c:v>3.6999999999999998E-2</c:v>
                </c:pt>
                <c:pt idx="1">
                  <c:v>0.01</c:v>
                </c:pt>
                <c:pt idx="2">
                  <c:v>0.03</c:v>
                </c:pt>
                <c:pt idx="3">
                  <c:v>7.3999999999999996E-2</c:v>
                </c:pt>
                <c:pt idx="4">
                  <c:v>0</c:v>
                </c:pt>
                <c:pt idx="5">
                  <c:v>0.84899999999999998</c:v>
                </c:pt>
                <c:pt idx="6">
                  <c:v>0</c:v>
                </c:pt>
              </c:numCache>
            </c:numRef>
          </c:val>
        </c:ser>
        <c:ser>
          <c:idx val="0"/>
          <c:order val="1"/>
          <c:dLbls>
            <c:dLbl>
              <c:idx val="0"/>
              <c:layout>
                <c:manualLayout>
                  <c:x val="-0.15387452974620153"/>
                  <c:y val="-3.7318062514912938E-2"/>
                </c:manualLayout>
              </c:layout>
              <c:dLblPos val="bestFit"/>
              <c:showLegendKey val="0"/>
              <c:showVal val="0"/>
              <c:showCatName val="1"/>
              <c:showSerName val="0"/>
              <c:showPercent val="1"/>
              <c:showBubbleSize val="0"/>
            </c:dLbl>
            <c:dLbl>
              <c:idx val="1"/>
              <c:layout>
                <c:manualLayout>
                  <c:x val="-3.9059943552380016E-2"/>
                  <c:y val="-5.9904230721159864E-2"/>
                </c:manualLayout>
              </c:layout>
              <c:dLblPos val="bestFit"/>
              <c:showLegendKey val="0"/>
              <c:showVal val="0"/>
              <c:showCatName val="1"/>
              <c:showSerName val="0"/>
              <c:showPercent val="1"/>
              <c:showBubbleSize val="0"/>
            </c:dLbl>
            <c:dLbl>
              <c:idx val="2"/>
              <c:layout>
                <c:manualLayout>
                  <c:x val="7.9908567943626496E-2"/>
                  <c:y val="-8.3555168252190018E-2"/>
                </c:manualLayout>
              </c:layout>
              <c:dLblPos val="bestFit"/>
              <c:showLegendKey val="0"/>
              <c:showVal val="0"/>
              <c:showCatName val="1"/>
              <c:showSerName val="0"/>
              <c:showPercent val="1"/>
              <c:showBubbleSize val="0"/>
            </c:dLbl>
            <c:dLbl>
              <c:idx val="3"/>
              <c:layout>
                <c:manualLayout>
                  <c:x val="3.7975893018591993E-2"/>
                  <c:y val="-4.0141214412637294E-2"/>
                </c:manualLayout>
              </c:layout>
              <c:dLblPos val="bestFit"/>
              <c:showLegendKey val="0"/>
              <c:showVal val="0"/>
              <c:showCatName val="1"/>
              <c:showSerName val="0"/>
              <c:showPercent val="1"/>
              <c:showBubbleSize val="0"/>
            </c:dLbl>
            <c:dLbl>
              <c:idx val="4"/>
              <c:layout>
                <c:manualLayout>
                  <c:x val="3.49350883904039E-2"/>
                  <c:y val="3.3073632594344704E-2"/>
                </c:manualLayout>
              </c:layout>
              <c:dLblPos val="bestFit"/>
              <c:showLegendKey val="0"/>
              <c:showVal val="0"/>
              <c:showCatName val="1"/>
              <c:showSerName val="0"/>
              <c:showPercent val="1"/>
              <c:showBubbleSize val="0"/>
            </c:dLbl>
            <c:dLbl>
              <c:idx val="5"/>
              <c:layout>
                <c:manualLayout>
                  <c:x val="3.0518339535734847E-2"/>
                  <c:y val="4.444006422780819E-2"/>
                </c:manualLayout>
              </c:layout>
              <c:showLegendKey val="0"/>
              <c:showVal val="0"/>
              <c:showCatName val="1"/>
              <c:showSerName val="0"/>
              <c:showPercent val="1"/>
              <c:showBubbleSize val="0"/>
            </c:dLbl>
            <c:numFmt formatCode="0.0%" sourceLinked="0"/>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'CRA-Beach'!$O$8:$O$14</c:f>
              <c:strCache>
                <c:ptCount val="7"/>
                <c:pt idx="0">
                  <c:v>Salaries &amp; Wages</c:v>
                </c:pt>
                <c:pt idx="1">
                  <c:v>Fringe 
Benefits</c:v>
                </c:pt>
                <c:pt idx="2">
                  <c:v>Services &amp; Materials</c:v>
                </c:pt>
                <c:pt idx="3">
                  <c:v>Other 
Operating
Expenses</c:v>
                </c:pt>
                <c:pt idx="4">
                  <c:v>Capital 
Outlay</c:v>
                </c:pt>
                <c:pt idx="5">
                  <c:v>Transfers Out </c:v>
                </c:pt>
                <c:pt idx="6">
                  <c:v>Other Uses</c:v>
                </c:pt>
              </c:strCache>
            </c:strRef>
          </c:cat>
          <c:val>
            <c:numRef>
              <c:f>'CRA-Beach'!$P$8:$P$14</c:f>
              <c:numCache>
                <c:formatCode>_(* #,##0.00_);_(* \(#,##0.00\);_(* "-"??_);_(@_)</c:formatCode>
                <c:ptCount val="7"/>
                <c:pt idx="0">
                  <c:v>319682</c:v>
                </c:pt>
                <c:pt idx="1">
                  <c:v>81231</c:v>
                </c:pt>
                <c:pt idx="2">
                  <c:v>255027</c:v>
                </c:pt>
                <c:pt idx="3">
                  <c:v>626553</c:v>
                </c:pt>
                <c:pt idx="4">
                  <c:v>0</c:v>
                </c:pt>
                <c:pt idx="5">
                  <c:v>7194460</c:v>
                </c:pt>
                <c:pt idx="6">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5462200037495353"/>
          <c:y val="2.0608877634789857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5.9762703842347588E-2"/>
          <c:y val="6.5654360289042576E-2"/>
          <c:w val="0.7805004087603804"/>
          <c:h val="0.8933206229466073"/>
        </c:manualLayout>
      </c:layout>
      <c:pie3DChart>
        <c:varyColors val="1"/>
        <c:ser>
          <c:idx val="1"/>
          <c:order val="0"/>
          <c:dLbls>
            <c:dLbl>
              <c:idx val="0"/>
              <c:layout>
                <c:manualLayout>
                  <c:x val="-8.6252958134331564E-2"/>
                  <c:y val="0.26341376379830878"/>
                </c:manualLayout>
              </c:layout>
              <c:dLblPos val="bestFit"/>
              <c:showLegendKey val="0"/>
              <c:showVal val="1"/>
              <c:showCatName val="1"/>
              <c:showSerName val="0"/>
              <c:showPercent val="0"/>
              <c:showBubbleSize val="0"/>
              <c:separator> </c:separator>
            </c:dLbl>
            <c:dLbl>
              <c:idx val="1"/>
              <c:layout>
                <c:manualLayout>
                  <c:x val="2.3861360828726003E-2"/>
                  <c:y val="4.1095025882181391E-2"/>
                </c:manualLayout>
              </c:layout>
              <c:dLblPos val="bestFit"/>
              <c:showLegendKey val="0"/>
              <c:showVal val="1"/>
              <c:showCatName val="1"/>
              <c:showSerName val="0"/>
              <c:showPercent val="0"/>
              <c:showBubbleSize val="0"/>
              <c:separator> </c:separator>
            </c:dLbl>
            <c:dLbl>
              <c:idx val="2"/>
              <c:layout>
                <c:manualLayout>
                  <c:x val="4.0458672174174953E-3"/>
                  <c:y val="0.135687556050127"/>
                </c:manualLayout>
              </c:layout>
              <c:dLblPos val="bestFit"/>
              <c:showLegendKey val="0"/>
              <c:showVal val="1"/>
              <c:showCatName val="1"/>
              <c:showSerName val="0"/>
              <c:showPercent val="0"/>
              <c:showBubbleSize val="0"/>
              <c:separator> </c:separator>
            </c:dLbl>
            <c:dLbl>
              <c:idx val="3"/>
              <c:layout>
                <c:manualLayout>
                  <c:x val="-1.912568306010929E-2"/>
                  <c:y val="-4.7704233750745381E-2"/>
                </c:manualLayout>
              </c:layout>
              <c:dLblPos val="bestFit"/>
              <c:showLegendKey val="0"/>
              <c:showVal val="1"/>
              <c:showCatName val="1"/>
              <c:showSerName val="0"/>
              <c:showPercent val="0"/>
              <c:showBubbleSize val="0"/>
              <c:separator>
</c:separator>
            </c:dLbl>
            <c:dLbl>
              <c:idx val="4"/>
              <c:delete val="1"/>
            </c:dLbl>
            <c:numFmt formatCode="0.0%" sourceLinked="0"/>
            <c:txPr>
              <a:bodyPr/>
              <a:lstStyle/>
              <a:p>
                <a:pPr>
                  <a:defRPr b="1"/>
                </a:pPr>
                <a:endParaRPr lang="en-US"/>
              </a:p>
            </c:txPr>
            <c:dLblPos val="outEnd"/>
            <c:showLegendKey val="0"/>
            <c:showVal val="1"/>
            <c:showCatName val="1"/>
            <c:showSerName val="0"/>
            <c:showPercent val="0"/>
            <c:showBubbleSize val="0"/>
            <c:separator> </c:separator>
            <c:showLeaderLines val="1"/>
          </c:dLbls>
          <c:cat>
            <c:strRef>
              <c:f>'CRA-Beach'!$O$18:$O$22</c:f>
              <c:strCache>
                <c:ptCount val="5"/>
                <c:pt idx="0">
                  <c:v>Inter-
Governmental</c:v>
                </c:pt>
                <c:pt idx="1">
                  <c:v>Miscellaneous</c:v>
                </c:pt>
                <c:pt idx="2">
                  <c:v>Other Sources</c:v>
                </c:pt>
                <c:pt idx="3">
                  <c:v>Appropriated Fund Balance</c:v>
                </c:pt>
                <c:pt idx="4">
                  <c:v>Other Resources</c:v>
                </c:pt>
              </c:strCache>
            </c:strRef>
          </c:cat>
          <c:val>
            <c:numRef>
              <c:f>'CRA-Beach'!$Q$18:$Q$22</c:f>
              <c:numCache>
                <c:formatCode>0.0%</c:formatCode>
                <c:ptCount val="5"/>
                <c:pt idx="0">
                  <c:v>0.53100000000000003</c:v>
                </c:pt>
                <c:pt idx="1">
                  <c:v>3.0000000000000001E-3</c:v>
                </c:pt>
                <c:pt idx="2">
                  <c:v>0.28499999999999998</c:v>
                </c:pt>
                <c:pt idx="3" formatCode="0%">
                  <c:v>0.18099999999999999</c:v>
                </c:pt>
                <c:pt idx="4" formatCode="0%">
                  <c:v>0</c:v>
                </c:pt>
              </c:numCache>
            </c:numRef>
          </c:val>
        </c:ser>
        <c:ser>
          <c:idx val="0"/>
          <c:order val="1"/>
          <c:dLbls>
            <c:dLbl>
              <c:idx val="0"/>
              <c:layout>
                <c:manualLayout>
                  <c:x val="-8.0345456963482775E-2"/>
                  <c:y val="0.12150765615760482"/>
                </c:manualLayout>
              </c:layout>
              <c:dLblPos val="bestFit"/>
              <c:showLegendKey val="0"/>
              <c:showVal val="0"/>
              <c:showCatName val="1"/>
              <c:showSerName val="0"/>
              <c:showPercent val="1"/>
              <c:showBubbleSize val="0"/>
            </c:dLbl>
            <c:dLbl>
              <c:idx val="1"/>
              <c:layout>
                <c:manualLayout>
                  <c:x val="6.6179927135973841E-4"/>
                  <c:y val="4.3154610473141404E-2"/>
                </c:manualLayout>
              </c:layout>
              <c:dLblPos val="bestFit"/>
              <c:showLegendKey val="0"/>
              <c:showVal val="0"/>
              <c:showCatName val="1"/>
              <c:showSerName val="0"/>
              <c:showPercent val="1"/>
              <c:showBubbleSize val="0"/>
            </c:dLbl>
            <c:dLbl>
              <c:idx val="2"/>
              <c:layout>
                <c:manualLayout>
                  <c:x val="4.9850158655541328E-2"/>
                  <c:y val="-0.14618803278303549"/>
                </c:manualLayout>
              </c:layout>
              <c:dLblPos val="bestFit"/>
              <c:showLegendKey val="0"/>
              <c:showVal val="0"/>
              <c:showCatName val="1"/>
              <c:showSerName val="0"/>
              <c:showPercent val="1"/>
              <c:showBubbleSize val="0"/>
            </c:dLbl>
            <c:dLbl>
              <c:idx val="3"/>
              <c:delete val="1"/>
            </c:dLbl>
            <c:dLbl>
              <c:idx val="4"/>
              <c:delete val="1"/>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'CRA-Beach'!$O$18:$O$22</c:f>
              <c:strCache>
                <c:ptCount val="5"/>
                <c:pt idx="0">
                  <c:v>Inter-
Governmental</c:v>
                </c:pt>
                <c:pt idx="1">
                  <c:v>Miscellaneous</c:v>
                </c:pt>
                <c:pt idx="2">
                  <c:v>Other Sources</c:v>
                </c:pt>
                <c:pt idx="3">
                  <c:v>Appropriated Fund Balance</c:v>
                </c:pt>
                <c:pt idx="4">
                  <c:v>Other Resources</c:v>
                </c:pt>
              </c:strCache>
            </c:strRef>
          </c:cat>
          <c:val>
            <c:numRef>
              <c:f>'CRA-Beach'!$P$18:$P$22</c:f>
              <c:numCache>
                <c:formatCode>_(* #,##0.00_);_(* \(#,##0.00\);_(* "-"??_);_(@_)</c:formatCode>
                <c:ptCount val="5"/>
                <c:pt idx="0">
                  <c:v>4503620</c:v>
                </c:pt>
                <c:pt idx="1">
                  <c:v>23080</c:v>
                </c:pt>
                <c:pt idx="2">
                  <c:v>2413183</c:v>
                </c:pt>
                <c:pt idx="3">
                  <c:v>1537070</c:v>
                </c:pt>
                <c:pt idx="4">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33422376479255878"/>
          <c:y val="1.5070987536090637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20120700372979694"/>
          <c:y val="0.13700924080707622"/>
          <c:w val="0.68225142361590763"/>
          <c:h val="0.79866612740429799"/>
        </c:manualLayout>
      </c:layout>
      <c:pie3DChart>
        <c:varyColors val="1"/>
        <c:ser>
          <c:idx val="1"/>
          <c:order val="0"/>
          <c:dLbls>
            <c:dLbl>
              <c:idx val="0"/>
              <c:layout>
                <c:manualLayout>
                  <c:x val="-0.16133463032033277"/>
                  <c:y val="-7.4921760929194198E-2"/>
                </c:manualLayout>
              </c:layout>
              <c:dLblPos val="bestFit"/>
              <c:showLegendKey val="0"/>
              <c:showVal val="1"/>
              <c:showCatName val="1"/>
              <c:showSerName val="0"/>
              <c:showPercent val="0"/>
              <c:showBubbleSize val="0"/>
              <c:separator>
</c:separator>
            </c:dLbl>
            <c:dLbl>
              <c:idx val="1"/>
              <c:layout>
                <c:manualLayout>
                  <c:x val="-1.614441835121487E-2"/>
                  <c:y val="-5.1274764570106039E-2"/>
                </c:manualLayout>
              </c:layout>
              <c:dLblPos val="bestFit"/>
              <c:showLegendKey val="0"/>
              <c:showVal val="1"/>
              <c:showCatName val="1"/>
              <c:showSerName val="0"/>
              <c:showPercent val="0"/>
              <c:showBubbleSize val="0"/>
              <c:separator>
</c:separator>
            </c:dLbl>
            <c:dLbl>
              <c:idx val="2"/>
              <c:layout>
                <c:manualLayout>
                  <c:x val="1.0264616045801292E-2"/>
                  <c:y val="-2.7249601566474008E-2"/>
                </c:manualLayout>
              </c:layout>
              <c:dLblPos val="bestFit"/>
              <c:showLegendKey val="0"/>
              <c:showVal val="1"/>
              <c:showCatName val="1"/>
              <c:showSerName val="0"/>
              <c:showPercent val="0"/>
              <c:showBubbleSize val="0"/>
              <c:separator>
</c:separator>
            </c:dLbl>
            <c:dLbl>
              <c:idx val="3"/>
              <c:layout>
                <c:manualLayout>
                  <c:x val="-5.3763372780156866E-2"/>
                  <c:y val="0.17480452481512596"/>
                </c:manualLayout>
              </c:layout>
              <c:dLblPos val="bestFit"/>
              <c:showLegendKey val="0"/>
              <c:showVal val="1"/>
              <c:showCatName val="1"/>
              <c:showSerName val="0"/>
              <c:showPercent val="0"/>
              <c:showBubbleSize val="0"/>
              <c:separator>
</c:separator>
            </c:dLbl>
            <c:dLbl>
              <c:idx val="4"/>
              <c:layout>
                <c:manualLayout>
                  <c:x val="4.9650043744531934E-2"/>
                  <c:y val="0.11417536954765212"/>
                </c:manualLayout>
              </c:layout>
              <c:dLblPos val="bestFit"/>
              <c:showLegendKey val="0"/>
              <c:showVal val="1"/>
              <c:showCatName val="1"/>
              <c:showSerName val="0"/>
              <c:showPercent val="0"/>
              <c:showBubbleSize val="0"/>
              <c:separator>
</c:separator>
            </c:dLbl>
            <c:dLbl>
              <c:idx val="5"/>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'CRA-NW Progresso'!$O$7:$O$13</c:f>
              <c:strCache>
                <c:ptCount val="6"/>
                <c:pt idx="0">
                  <c:v>Salaries &amp; Wages</c:v>
                </c:pt>
                <c:pt idx="1">
                  <c:v>Fringe Benefits</c:v>
                </c:pt>
                <c:pt idx="2">
                  <c:v>Services &amp; Materials</c:v>
                </c:pt>
                <c:pt idx="3">
                  <c:v>Other Operating Expenses</c:v>
                </c:pt>
                <c:pt idx="4">
                  <c:v>Transfers 
Out</c:v>
                </c:pt>
                <c:pt idx="5">
                  <c:v>Other Uses</c:v>
                </c:pt>
              </c:strCache>
            </c:strRef>
          </c:cat>
          <c:val>
            <c:numRef>
              <c:f>'CRA-NW Progresso'!$Q$7:$Q$13</c:f>
              <c:numCache>
                <c:formatCode>0.0%</c:formatCode>
                <c:ptCount val="6"/>
                <c:pt idx="0">
                  <c:v>0.06</c:v>
                </c:pt>
                <c:pt idx="1">
                  <c:v>2.1000000000000001E-2</c:v>
                </c:pt>
                <c:pt idx="2">
                  <c:v>0.18</c:v>
                </c:pt>
                <c:pt idx="3">
                  <c:v>9.8000000000000004E-2</c:v>
                </c:pt>
                <c:pt idx="4">
                  <c:v>0.64100000000000001</c:v>
                </c:pt>
                <c:pt idx="5">
                  <c:v>0</c:v>
                </c:pt>
              </c:numCache>
            </c:numRef>
          </c:val>
        </c:ser>
        <c:ser>
          <c:idx val="0"/>
          <c:order val="1"/>
          <c:dLbls>
            <c:dLbl>
              <c:idx val="0"/>
              <c:layout>
                <c:manualLayout>
                  <c:x val="-0.13402285819697318"/>
                  <c:y val="-5.9958781823680363E-2"/>
                </c:manualLayout>
              </c:layout>
              <c:dLblPos val="bestFit"/>
              <c:showLegendKey val="0"/>
              <c:showVal val="0"/>
              <c:showCatName val="1"/>
              <c:showSerName val="0"/>
              <c:showPercent val="1"/>
              <c:showBubbleSize val="0"/>
            </c:dLbl>
            <c:dLbl>
              <c:idx val="1"/>
              <c:layout>
                <c:manualLayout>
                  <c:x val="-1.3036804658112119E-2"/>
                  <c:y val="-0.10894753254853062"/>
                </c:manualLayout>
              </c:layout>
              <c:dLblPos val="bestFit"/>
              <c:showLegendKey val="0"/>
              <c:showVal val="0"/>
              <c:showCatName val="1"/>
              <c:showSerName val="0"/>
              <c:showPercent val="1"/>
              <c:showBubbleSize val="0"/>
            </c:dLbl>
            <c:dLbl>
              <c:idx val="2"/>
              <c:layout>
                <c:manualLayout>
                  <c:x val="3.0953672358651212E-3"/>
                  <c:y val="-0.12095100368040587"/>
                </c:manualLayout>
              </c:layout>
              <c:tx>
                <c:rich>
                  <a:bodyPr/>
                  <a:lstStyle/>
                  <a:p>
                    <a:r>
                      <a:rPr lang="en-US"/>
                      <a:t> Services/</a:t>
                    </a:r>
                  </a:p>
                  <a:p>
                    <a:r>
                      <a:rPr lang="en-US"/>
                      <a:t>Materials 
19%</a:t>
                    </a:r>
                  </a:p>
                </c:rich>
              </c:tx>
              <c:dLblPos val="bestFit"/>
              <c:showLegendKey val="0"/>
              <c:showVal val="0"/>
              <c:showCatName val="1"/>
              <c:showSerName val="0"/>
              <c:showPercent val="1"/>
              <c:showBubbleSize val="0"/>
            </c:dLbl>
            <c:dLbl>
              <c:idx val="3"/>
              <c:layout>
                <c:manualLayout>
                  <c:x val="-7.4486595009810148E-4"/>
                  <c:y val="-0.22557811852465798"/>
                </c:manualLayout>
              </c:layout>
              <c:dLblPos val="bestFit"/>
              <c:showLegendKey val="0"/>
              <c:showVal val="0"/>
              <c:showCatName val="1"/>
              <c:showSerName val="0"/>
              <c:showPercent val="1"/>
              <c:showBubbleSize val="0"/>
            </c:dLbl>
            <c:dLbl>
              <c:idx val="4"/>
              <c:layout>
                <c:manualLayout>
                  <c:x val="-0.12544248243278719"/>
                  <c:y val="0.1967885664363079"/>
                </c:manualLayout>
              </c:layout>
              <c:tx>
                <c:rich>
                  <a:bodyPr/>
                  <a:lstStyle/>
                  <a:p>
                    <a:r>
                      <a:rPr lang="en-US"/>
                      <a:t> Transfers </a:t>
                    </a:r>
                  </a:p>
                  <a:p>
                    <a:r>
                      <a:rPr lang="en-US"/>
                      <a:t>Out 
61%</a:t>
                    </a:r>
                  </a:p>
                </c:rich>
              </c:tx>
              <c:dLblPos val="bestFit"/>
              <c:showLegendKey val="0"/>
              <c:showVal val="0"/>
              <c:showCatName val="1"/>
              <c:showSerName val="0"/>
              <c:showPercent val="1"/>
              <c:showBubbleSize val="0"/>
            </c:dLbl>
            <c:dLbl>
              <c:idx val="5"/>
              <c:layout>
                <c:manualLayout>
                  <c:x val="-4.4373369588715995E-2"/>
                  <c:y val="-4.6348717548920233E-2"/>
                </c:manualLayout>
              </c:layout>
              <c:dLblPos val="bestFit"/>
              <c:showLegendKey val="0"/>
              <c:showVal val="0"/>
              <c:showCatName val="1"/>
              <c:showSerName val="0"/>
              <c:showPercent val="1"/>
              <c:showBubbleSize val="0"/>
            </c:dLbl>
            <c:numFmt formatCode="0.0%" sourceLinked="0"/>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'CRA-NW Progresso'!$O$7:$O$13</c:f>
              <c:strCache>
                <c:ptCount val="6"/>
                <c:pt idx="0">
                  <c:v>Salaries &amp; Wages</c:v>
                </c:pt>
                <c:pt idx="1">
                  <c:v>Fringe Benefits</c:v>
                </c:pt>
                <c:pt idx="2">
                  <c:v>Services &amp; Materials</c:v>
                </c:pt>
                <c:pt idx="3">
                  <c:v>Other Operating Expenses</c:v>
                </c:pt>
                <c:pt idx="4">
                  <c:v>Transfers 
Out</c:v>
                </c:pt>
                <c:pt idx="5">
                  <c:v>Other Uses</c:v>
                </c:pt>
              </c:strCache>
            </c:strRef>
          </c:cat>
          <c:val>
            <c:numRef>
              <c:f>'CRA-NW Progresso'!$P$7:$P$13</c:f>
              <c:numCache>
                <c:formatCode>_(* #,##0_);_(* \(#,##0\);_(* "-"??_);_(@_)</c:formatCode>
                <c:ptCount val="6"/>
                <c:pt idx="0">
                  <c:v>554091</c:v>
                </c:pt>
                <c:pt idx="1">
                  <c:v>194410</c:v>
                </c:pt>
                <c:pt idx="2">
                  <c:v>1659179</c:v>
                </c:pt>
                <c:pt idx="3">
                  <c:v>902835</c:v>
                </c:pt>
                <c:pt idx="4">
                  <c:v>5907234</c:v>
                </c:pt>
                <c:pt idx="5">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solidFill>
                  <a:schemeClr val="bg1"/>
                </a:solidFill>
              </a:rPr>
              <a:t>FY</a:t>
            </a:r>
            <a:r>
              <a:rPr lang="en-US" sz="1400" baseline="0">
                <a:solidFill>
                  <a:schemeClr val="bg1"/>
                </a:solidFill>
              </a:rPr>
              <a:t> 2015 Proposed Revenues</a:t>
            </a:r>
            <a:endParaRPr lang="en-US" sz="1400">
              <a:solidFill>
                <a:schemeClr val="bg1"/>
              </a:solidFill>
            </a:endParaRPr>
          </a:p>
        </c:rich>
      </c:tx>
      <c:layout>
        <c:manualLayout>
          <c:xMode val="edge"/>
          <c:yMode val="edge"/>
          <c:x val="0.19058407619772327"/>
          <c:y val="1.8200814670995494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2.98620090382247E-2"/>
          <c:y val="8.3120146888799554E-2"/>
          <c:w val="0.70993816619865169"/>
          <c:h val="0.86692610384882907"/>
        </c:manualLayout>
      </c:layout>
      <c:pie3DChart>
        <c:varyColors val="1"/>
        <c:ser>
          <c:idx val="1"/>
          <c:order val="0"/>
          <c:dLbls>
            <c:dLbl>
              <c:idx val="0"/>
              <c:layout>
                <c:manualLayout>
                  <c:x val="-7.328928164840097E-2"/>
                  <c:y val="-0.1203881603173311"/>
                </c:manualLayout>
              </c:layout>
              <c:dLblPos val="bestFit"/>
              <c:showLegendKey val="0"/>
              <c:showVal val="0"/>
              <c:showCatName val="1"/>
              <c:showSerName val="0"/>
              <c:showPercent val="1"/>
              <c:showBubbleSize val="0"/>
              <c:separator>
</c:separator>
            </c:dLbl>
            <c:dLbl>
              <c:idx val="1"/>
              <c:delete val="1"/>
            </c:dLbl>
            <c:dLbl>
              <c:idx val="2"/>
              <c:layout>
                <c:manualLayout>
                  <c:x val="-4.5300113250283124E-2"/>
                  <c:y val="6.4428774918560319E-2"/>
                </c:manualLayout>
              </c:layout>
              <c:dLblPos val="bestFit"/>
              <c:showLegendKey val="0"/>
              <c:showVal val="0"/>
              <c:showCatName val="1"/>
              <c:showSerName val="0"/>
              <c:showPercent val="1"/>
              <c:showBubbleSize val="0"/>
              <c:separator>
</c:separator>
            </c:dLbl>
            <c:dLbl>
              <c:idx val="3"/>
              <c:layout>
                <c:manualLayout>
                  <c:x val="-4.7973136993209917E-2"/>
                  <c:y val="3.7141261521031324E-2"/>
                </c:manualLayout>
              </c:layout>
              <c:showLegendKey val="0"/>
              <c:showVal val="0"/>
              <c:showCatName val="1"/>
              <c:showSerName val="0"/>
              <c:showPercent val="1"/>
              <c:showBubbleSize val="0"/>
            </c:dLbl>
            <c:dLbl>
              <c:idx val="4"/>
              <c:layout>
                <c:manualLayout>
                  <c:x val="0"/>
                  <c:y val="-0.13653479266045293"/>
                </c:manualLayout>
              </c:layout>
              <c:dLblPos val="bestFit"/>
              <c:showLegendKey val="0"/>
              <c:showVal val="0"/>
              <c:showCatName val="1"/>
              <c:showSerName val="0"/>
              <c:showPercent val="1"/>
              <c:showBubbleSize val="0"/>
              <c:separator> </c:separator>
            </c:dLbl>
            <c:dLbl>
              <c:idx val="5"/>
              <c:delete val="1"/>
            </c:dLbl>
            <c:numFmt formatCode="0.0%" sourceLinked="0"/>
            <c:txPr>
              <a:bodyPr/>
              <a:lstStyle/>
              <a:p>
                <a:pPr>
                  <a:defRPr b="1"/>
                </a:pPr>
                <a:endParaRPr lang="en-US"/>
              </a:p>
            </c:txPr>
            <c:dLblPos val="outEnd"/>
            <c:showLegendKey val="0"/>
            <c:showVal val="0"/>
            <c:showCatName val="1"/>
            <c:showSerName val="0"/>
            <c:showPercent val="1"/>
            <c:showBubbleSize val="0"/>
            <c:separator>
</c:separator>
            <c:showLeaderLines val="1"/>
          </c:dLbls>
          <c:cat>
            <c:strRef>
              <c:f>'CRA-NW Progresso'!$O$18:$O$23</c:f>
              <c:strCache>
                <c:ptCount val="6"/>
                <c:pt idx="0">
                  <c:v>Inter-
Governmental</c:v>
                </c:pt>
                <c:pt idx="1">
                  <c:v>Charges for Services</c:v>
                </c:pt>
                <c:pt idx="2">
                  <c:v>Miscellaneous</c:v>
                </c:pt>
                <c:pt idx="3">
                  <c:v>Other 
Sources</c:v>
                </c:pt>
                <c:pt idx="4">
                  <c:v>Appropriated Fund Balance</c:v>
                </c:pt>
                <c:pt idx="5">
                  <c:v>Other Resources</c:v>
                </c:pt>
              </c:strCache>
            </c:strRef>
          </c:cat>
          <c:val>
            <c:numRef>
              <c:f>'CRA-NW Progresso'!$Q$18:$Q$23</c:f>
              <c:numCache>
                <c:formatCode>0.0%</c:formatCode>
                <c:ptCount val="6"/>
                <c:pt idx="0">
                  <c:v>0.4</c:v>
                </c:pt>
                <c:pt idx="1">
                  <c:v>0</c:v>
                </c:pt>
                <c:pt idx="2">
                  <c:v>1.7999999999999999E-2</c:v>
                </c:pt>
                <c:pt idx="3">
                  <c:v>0.22600000000000001</c:v>
                </c:pt>
                <c:pt idx="4">
                  <c:v>0.35599999999999998</c:v>
                </c:pt>
                <c:pt idx="5">
                  <c:v>0</c:v>
                </c:pt>
              </c:numCache>
            </c:numRef>
          </c:val>
        </c:ser>
        <c:ser>
          <c:idx val="0"/>
          <c:order val="1"/>
          <c:dLbls>
            <c:dLbl>
              <c:idx val="0"/>
              <c:layout>
                <c:manualLayout>
                  <c:x val="-5.2850132125330317E-2"/>
                  <c:y val="-5.3569025798758461E-2"/>
                </c:manualLayout>
              </c:layout>
              <c:tx>
                <c:rich>
                  <a:bodyPr/>
                  <a:lstStyle/>
                  <a:p>
                    <a:r>
                      <a:rPr lang="en-US"/>
                      <a:t>Inter
government
57.4%</a:t>
                    </a:r>
                  </a:p>
                </c:rich>
              </c:tx>
              <c:dLblPos val="bestFit"/>
              <c:showLegendKey val="0"/>
              <c:showVal val="0"/>
              <c:showCatName val="1"/>
              <c:showSerName val="0"/>
              <c:showPercent val="1"/>
              <c:showBubbleSize val="0"/>
            </c:dLbl>
            <c:dLbl>
              <c:idx val="1"/>
              <c:delete val="1"/>
            </c:dLbl>
            <c:dLbl>
              <c:idx val="2"/>
              <c:layout>
                <c:manualLayout>
                  <c:x val="-2.2650056625141472E-2"/>
                  <c:y val="0.12320875933714447"/>
                </c:manualLayout>
              </c:layout>
              <c:dLblPos val="bestFit"/>
              <c:showLegendKey val="0"/>
              <c:showVal val="0"/>
              <c:showCatName val="1"/>
              <c:showSerName val="0"/>
              <c:showPercent val="1"/>
              <c:showBubbleSize val="0"/>
            </c:dLbl>
            <c:dLbl>
              <c:idx val="3"/>
              <c:layout>
                <c:manualLayout>
                  <c:x val="-5.5366805083679284E-2"/>
                  <c:y val="9.1067343857889296E-2"/>
                </c:manualLayout>
              </c:layout>
              <c:dLblPos val="bestFit"/>
              <c:showLegendKey val="0"/>
              <c:showVal val="0"/>
              <c:showCatName val="1"/>
              <c:showSerName val="0"/>
              <c:showPercent val="1"/>
              <c:showBubbleSize val="0"/>
              <c:separator>
</c:separator>
            </c:dLbl>
            <c:dLbl>
              <c:idx val="4"/>
              <c:layout>
                <c:manualLayout>
                  <c:x val="3.0200075500188751E-2"/>
                  <c:y val="4.0176769349068851E-2"/>
                </c:manualLayout>
              </c:layout>
              <c:dLblPos val="bestFit"/>
              <c:showLegendKey val="0"/>
              <c:showVal val="0"/>
              <c:showCatName val="1"/>
              <c:showSerName val="0"/>
              <c:showPercent val="1"/>
              <c:showBubbleSize val="0"/>
            </c:dLbl>
            <c:dLbl>
              <c:idx val="5"/>
              <c:layout>
                <c:manualLayout>
                  <c:x val="1.006669183339625E-2"/>
                  <c:y val="-0.16070707739627541"/>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outEnd"/>
            <c:showLegendKey val="0"/>
            <c:showVal val="0"/>
            <c:showCatName val="1"/>
            <c:showSerName val="0"/>
            <c:showPercent val="1"/>
            <c:showBubbleSize val="0"/>
            <c:showLeaderLines val="1"/>
          </c:dLbls>
          <c:cat>
            <c:strRef>
              <c:f>'CRA-NW Progresso'!$O$18:$O$23</c:f>
              <c:strCache>
                <c:ptCount val="6"/>
                <c:pt idx="0">
                  <c:v>Inter-
Governmental</c:v>
                </c:pt>
                <c:pt idx="1">
                  <c:v>Charges for Services</c:v>
                </c:pt>
                <c:pt idx="2">
                  <c:v>Miscellaneous</c:v>
                </c:pt>
                <c:pt idx="3">
                  <c:v>Other 
Sources</c:v>
                </c:pt>
                <c:pt idx="4">
                  <c:v>Appropriated Fund Balance</c:v>
                </c:pt>
                <c:pt idx="5">
                  <c:v>Other Resources</c:v>
                </c:pt>
              </c:strCache>
            </c:strRef>
          </c:cat>
          <c:val>
            <c:numRef>
              <c:f>'CRA-NW Progresso'!$P$18:$P$23</c:f>
              <c:numCache>
                <c:formatCode>_(* #,##0_);_(* \(#,##0\);_(* "-"??_);_(@_)</c:formatCode>
                <c:ptCount val="6"/>
                <c:pt idx="0">
                  <c:v>3684301</c:v>
                </c:pt>
                <c:pt idx="1">
                  <c:v>0</c:v>
                </c:pt>
                <c:pt idx="2">
                  <c:v>168388</c:v>
                </c:pt>
                <c:pt idx="3">
                  <c:v>2083346</c:v>
                </c:pt>
                <c:pt idx="4">
                  <c:v>3281714</c:v>
                </c:pt>
                <c:pt idx="5">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7950211945577647"/>
          <c:y val="2.1189900009016978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33535808023997"/>
          <c:y val="3.4015211886814986E-2"/>
          <c:w val="0.80767418778535038"/>
          <c:h val="0.965984788113185"/>
        </c:manualLayout>
      </c:layout>
      <c:pie3DChart>
        <c:varyColors val="1"/>
        <c:ser>
          <c:idx val="1"/>
          <c:order val="0"/>
          <c:dLbls>
            <c:dLbl>
              <c:idx val="0"/>
              <c:layout>
                <c:manualLayout>
                  <c:x val="-7.4441650676018434E-2"/>
                  <c:y val="-0.16872936147605502"/>
                </c:manualLayout>
              </c:layout>
              <c:dLblPos val="bestFit"/>
              <c:showLegendKey val="0"/>
              <c:showVal val="1"/>
              <c:showCatName val="1"/>
              <c:showSerName val="0"/>
              <c:showPercent val="0"/>
              <c:showBubbleSize val="0"/>
              <c:separator>
</c:separator>
            </c:dLbl>
            <c:dLbl>
              <c:idx val="1"/>
              <c:layout>
                <c:manualLayout>
                  <c:x val="0"/>
                  <c:y val="0.1243326826486522"/>
                </c:manualLayout>
              </c:layout>
              <c:dLblPos val="bestFit"/>
              <c:showLegendKey val="0"/>
              <c:showVal val="1"/>
              <c:showCatName val="1"/>
              <c:showSerName val="0"/>
              <c:showPercent val="0"/>
              <c:showBubbleSize val="0"/>
              <c:separator>
</c:separator>
            </c:dLbl>
            <c:dLbl>
              <c:idx val="2"/>
              <c:layout>
                <c:manualLayout>
                  <c:x val="-1.7212554313063809E-3"/>
                  <c:y val="7.2580098796842601E-2"/>
                </c:manualLayout>
              </c:layout>
              <c:dLblPos val="bestFit"/>
              <c:showLegendKey val="0"/>
              <c:showVal val="1"/>
              <c:showCatName val="1"/>
              <c:showSerName val="0"/>
              <c:showPercent val="0"/>
              <c:showBubbleSize val="0"/>
              <c:separator>
</c:separator>
            </c:dLbl>
            <c:dLbl>
              <c:idx val="3"/>
              <c:layout>
                <c:manualLayout>
                  <c:x val="-3.6776946999272149E-2"/>
                  <c:y val="4.2008397975322721E-2"/>
                </c:manualLayout>
              </c:layout>
              <c:dLblPos val="bestFit"/>
              <c:showLegendKey val="0"/>
              <c:showVal val="1"/>
              <c:showCatName val="1"/>
              <c:showSerName val="0"/>
              <c:showPercent val="0"/>
              <c:showBubbleSize val="0"/>
              <c:separator>
</c:separator>
            </c:dLbl>
            <c:dLbl>
              <c:idx val="4"/>
              <c:delete val="1"/>
            </c:dLbl>
            <c:dLbl>
              <c:idx val="5"/>
              <c:layout>
                <c:manualLayout>
                  <c:x val="7.7338494452899267E-2"/>
                  <c:y val="-0.1707438032641463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'Drug Enforcement Agency'!$O$8:$O$13</c:f>
              <c:strCache>
                <c:ptCount val="6"/>
                <c:pt idx="0">
                  <c:v>Salaries &amp; Wages</c:v>
                </c:pt>
                <c:pt idx="1">
                  <c:v>Fringe Benefits</c:v>
                </c:pt>
                <c:pt idx="2">
                  <c:v>Services &amp; Materials</c:v>
                </c:pt>
                <c:pt idx="3">
                  <c:v>Other Operating Expenses</c:v>
                </c:pt>
                <c:pt idx="4">
                  <c:v>Transfers Out</c:v>
                </c:pt>
                <c:pt idx="5">
                  <c:v>Other Uses</c:v>
                </c:pt>
              </c:strCache>
            </c:strRef>
          </c:cat>
          <c:val>
            <c:numRef>
              <c:f>'Drug Enforcement Agency'!$Q$8:$Q$13</c:f>
              <c:numCache>
                <c:formatCode>0.0%</c:formatCode>
                <c:ptCount val="6"/>
                <c:pt idx="0">
                  <c:v>0.32900000000000001</c:v>
                </c:pt>
                <c:pt idx="1">
                  <c:v>7.3999999999999996E-2</c:v>
                </c:pt>
                <c:pt idx="2">
                  <c:v>0.14899999999999999</c:v>
                </c:pt>
                <c:pt idx="3">
                  <c:v>1.4E-2</c:v>
                </c:pt>
                <c:pt idx="4">
                  <c:v>0</c:v>
                </c:pt>
                <c:pt idx="5">
                  <c:v>0.434</c:v>
                </c:pt>
              </c:numCache>
            </c:numRef>
          </c:val>
        </c:ser>
        <c:ser>
          <c:idx val="0"/>
          <c:order val="1"/>
          <c:dLbls>
            <c:dLbl>
              <c:idx val="0"/>
              <c:layout>
                <c:manualLayout>
                  <c:x val="-3.6217830153781112E-2"/>
                  <c:y val="-4.0044047711857746E-2"/>
                </c:manualLayout>
              </c:layout>
              <c:dLblPos val="bestFit"/>
              <c:showLegendKey val="0"/>
              <c:showVal val="0"/>
              <c:showCatName val="1"/>
              <c:showSerName val="0"/>
              <c:showPercent val="1"/>
              <c:showBubbleSize val="0"/>
            </c:dLbl>
            <c:dLbl>
              <c:idx val="1"/>
              <c:layout>
                <c:manualLayout>
                  <c:x val="-1.3036804658112119E-2"/>
                  <c:y val="-0.10894753254853062"/>
                </c:manualLayout>
              </c:layout>
              <c:dLblPos val="bestFit"/>
              <c:showLegendKey val="0"/>
              <c:showVal val="0"/>
              <c:showCatName val="1"/>
              <c:showSerName val="0"/>
              <c:showPercent val="1"/>
              <c:showBubbleSize val="0"/>
            </c:dLbl>
            <c:dLbl>
              <c:idx val="2"/>
              <c:layout>
                <c:manualLayout>
                  <c:x val="3.0953672358651212E-3"/>
                  <c:y val="-0.12095100368040587"/>
                </c:manualLayout>
              </c:layout>
              <c:tx>
                <c:rich>
                  <a:bodyPr/>
                  <a:lstStyle/>
                  <a:p>
                    <a:r>
                      <a:rPr lang="en-US"/>
                      <a:t> Services/</a:t>
                    </a:r>
                  </a:p>
                  <a:p>
                    <a:r>
                      <a:rPr lang="en-US"/>
                      <a:t>Materials 
19%</a:t>
                    </a:r>
                  </a:p>
                </c:rich>
              </c:tx>
              <c:dLblPos val="bestFit"/>
              <c:showLegendKey val="0"/>
              <c:showVal val="0"/>
              <c:showCatName val="1"/>
              <c:showSerName val="0"/>
              <c:showPercent val="1"/>
              <c:showBubbleSize val="0"/>
            </c:dLbl>
            <c:dLbl>
              <c:idx val="3"/>
              <c:layout>
                <c:manualLayout>
                  <c:x val="-3.0313791684590495E-2"/>
                  <c:y val="3.900222144019707E-2"/>
                </c:manualLayout>
              </c:layout>
              <c:dLblPos val="bestFit"/>
              <c:showLegendKey val="0"/>
              <c:showVal val="0"/>
              <c:showCatName val="1"/>
              <c:showSerName val="0"/>
              <c:showPercent val="1"/>
              <c:showBubbleSize val="0"/>
            </c:dLbl>
            <c:dLbl>
              <c:idx val="4"/>
              <c:delete val="1"/>
            </c:dLbl>
            <c:dLbl>
              <c:idx val="5"/>
              <c:layout>
                <c:manualLayout>
                  <c:x val="-4.4373369588715995E-2"/>
                  <c:y val="-4.6348717548920233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'Drug Enforcement Agency'!$O$8:$O$13</c:f>
              <c:strCache>
                <c:ptCount val="6"/>
                <c:pt idx="0">
                  <c:v>Salaries &amp; Wages</c:v>
                </c:pt>
                <c:pt idx="1">
                  <c:v>Fringe Benefits</c:v>
                </c:pt>
                <c:pt idx="2">
                  <c:v>Services &amp; Materials</c:v>
                </c:pt>
                <c:pt idx="3">
                  <c:v>Other Operating Expenses</c:v>
                </c:pt>
                <c:pt idx="4">
                  <c:v>Transfers Out</c:v>
                </c:pt>
                <c:pt idx="5">
                  <c:v>Other Uses</c:v>
                </c:pt>
              </c:strCache>
            </c:strRef>
          </c:cat>
          <c:val>
            <c:numRef>
              <c:f>'Drug Enforcement Agency'!$P$8:$P$13</c:f>
              <c:numCache>
                <c:formatCode>_(* #,##0_);_(* \(#,##0\);_(* "-"??_);_(@_)</c:formatCode>
                <c:ptCount val="6"/>
                <c:pt idx="0">
                  <c:v>462429</c:v>
                </c:pt>
                <c:pt idx="1">
                  <c:v>104036</c:v>
                </c:pt>
                <c:pt idx="2">
                  <c:v>210000</c:v>
                </c:pt>
                <c:pt idx="3">
                  <c:v>20000</c:v>
                </c:pt>
                <c:pt idx="4">
                  <c:v>0</c:v>
                </c:pt>
                <c:pt idx="5">
                  <c:v>610487</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5420949010932725"/>
          <c:y val="8.4821874064464748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8347970201166852E-2"/>
          <c:y val="0"/>
          <c:w val="0.89456950127083545"/>
          <c:h val="1"/>
        </c:manualLayout>
      </c:layout>
      <c:pie3DChart>
        <c:varyColors val="1"/>
        <c:ser>
          <c:idx val="1"/>
          <c:order val="0"/>
          <c:dLbls>
            <c:dLbl>
              <c:idx val="0"/>
              <c:delete val="1"/>
            </c:dLbl>
            <c:dLbl>
              <c:idx val="1"/>
              <c:delete val="1"/>
            </c:dLbl>
            <c:dLbl>
              <c:idx val="2"/>
              <c:delete val="1"/>
            </c:dLbl>
            <c:dLbl>
              <c:idx val="3"/>
              <c:layout>
                <c:manualLayout>
                  <c:x val="-0.18345766652523149"/>
                  <c:y val="0.3115841431436065"/>
                </c:manualLayout>
              </c:layout>
              <c:dLblPos val="bestFit"/>
              <c:showLegendKey val="0"/>
              <c:showVal val="1"/>
              <c:showCatName val="1"/>
              <c:showSerName val="0"/>
              <c:showPercent val="0"/>
              <c:showBubbleSize val="0"/>
              <c:separator>
</c:separator>
            </c:dLbl>
            <c:dLbl>
              <c:idx val="4"/>
              <c:layout>
                <c:manualLayout>
                  <c:x val="3.7313423700047081E-2"/>
                  <c:y val="-0.2005246914704843"/>
                </c:manualLayout>
              </c:layout>
              <c:dLblPos val="bestFit"/>
              <c:showLegendKey val="0"/>
              <c:showVal val="1"/>
              <c:showCatName val="1"/>
              <c:showSerName val="0"/>
              <c:showPercent val="0"/>
              <c:showBubbleSize val="0"/>
              <c:separator>
</c:separator>
            </c:dLbl>
            <c:numFmt formatCode="0.0%" sourceLinked="0"/>
            <c:txPr>
              <a:bodyPr/>
              <a:lstStyle/>
              <a:p>
                <a:pPr>
                  <a:defRPr b="1"/>
                </a:pPr>
                <a:endParaRPr lang="en-US"/>
              </a:p>
            </c:txPr>
            <c:dLblPos val="outEnd"/>
            <c:showLegendKey val="0"/>
            <c:showVal val="1"/>
            <c:showCatName val="1"/>
            <c:showSerName val="0"/>
            <c:showPercent val="0"/>
            <c:showBubbleSize val="0"/>
            <c:separator>
</c:separator>
            <c:showLeaderLines val="1"/>
          </c:dLbls>
          <c:cat>
            <c:strRef>
              <c:f>'Drug Enforcement Agency'!$O$18:$O$22</c:f>
              <c:strCache>
                <c:ptCount val="5"/>
                <c:pt idx="0">
                  <c:v>Charges For Services</c:v>
                </c:pt>
                <c:pt idx="1">
                  <c:v>Fines and Forfeits</c:v>
                </c:pt>
                <c:pt idx="2">
                  <c:v>Miscellaneous</c:v>
                </c:pt>
                <c:pt idx="3">
                  <c:v>Appropriated Fund Balance</c:v>
                </c:pt>
                <c:pt idx="4">
                  <c:v>Other Resources</c:v>
                </c:pt>
              </c:strCache>
            </c:strRef>
          </c:cat>
          <c:val>
            <c:numRef>
              <c:f>'Drug Enforcement Agency'!$Q$18:$Q$22</c:f>
              <c:numCache>
                <c:formatCode>0.0%</c:formatCode>
                <c:ptCount val="5"/>
                <c:pt idx="0">
                  <c:v>0</c:v>
                </c:pt>
                <c:pt idx="1">
                  <c:v>0</c:v>
                </c:pt>
                <c:pt idx="2">
                  <c:v>0</c:v>
                </c:pt>
                <c:pt idx="3" formatCode="0%">
                  <c:v>0.56599999999999995</c:v>
                </c:pt>
                <c:pt idx="4" formatCode="0%">
                  <c:v>0.434</c:v>
                </c:pt>
              </c:numCache>
            </c:numRef>
          </c:val>
        </c:ser>
        <c:ser>
          <c:idx val="0"/>
          <c:order val="1"/>
          <c:dLbls>
            <c:dLbl>
              <c:idx val="0"/>
              <c:layout>
                <c:manualLayout>
                  <c:x val="-0.11931751009633793"/>
                  <c:y val="0.13881616901847671"/>
                </c:manualLayout>
              </c:layout>
              <c:dLblPos val="bestFit"/>
              <c:showLegendKey val="0"/>
              <c:showVal val="0"/>
              <c:showCatName val="1"/>
              <c:showSerName val="0"/>
              <c:showPercent val="1"/>
              <c:showBubbleSize val="0"/>
            </c:dLbl>
            <c:dLbl>
              <c:idx val="1"/>
              <c:layout>
                <c:manualLayout>
                  <c:x val="1.379609745751478E-2"/>
                  <c:y val="4.7196733452873015E-2"/>
                </c:manualLayout>
              </c:layout>
              <c:dLblPos val="bestFit"/>
              <c:showLegendKey val="0"/>
              <c:showVal val="0"/>
              <c:showCatName val="1"/>
              <c:showSerName val="0"/>
              <c:showPercent val="1"/>
              <c:showBubbleSize val="0"/>
            </c:dLbl>
            <c:dLbl>
              <c:idx val="2"/>
              <c:layout>
                <c:manualLayout>
                  <c:x val="-2.220209137870505E-2"/>
                  <c:y val="-3.0205063575187856E-2"/>
                </c:manualLayout>
              </c:layout>
              <c:dLblPos val="bestFit"/>
              <c:showLegendKey val="0"/>
              <c:showVal val="0"/>
              <c:showCatName val="1"/>
              <c:showSerName val="0"/>
              <c:showPercent val="1"/>
              <c:showBubbleSize val="0"/>
            </c:dLbl>
            <c:dLbl>
              <c:idx val="3"/>
              <c:delete val="1"/>
            </c:dLbl>
            <c:dLbl>
              <c:idx val="4"/>
              <c:delete val="1"/>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'Drug Enforcement Agency'!$O$18:$O$22</c:f>
              <c:strCache>
                <c:ptCount val="5"/>
                <c:pt idx="0">
                  <c:v>Charges For Services</c:v>
                </c:pt>
                <c:pt idx="1">
                  <c:v>Fines and Forfeits</c:v>
                </c:pt>
                <c:pt idx="2">
                  <c:v>Miscellaneous</c:v>
                </c:pt>
                <c:pt idx="3">
                  <c:v>Appropriated Fund Balance</c:v>
                </c:pt>
                <c:pt idx="4">
                  <c:v>Other Resources</c:v>
                </c:pt>
              </c:strCache>
            </c:strRef>
          </c:cat>
          <c:val>
            <c:numRef>
              <c:f>'Drug Enforcement Agency'!$P$18:$P$22</c:f>
              <c:numCache>
                <c:formatCode>_(* #,##0_);_(* \(#,##0\);_(* "-"??_);_(@_)</c:formatCode>
                <c:ptCount val="5"/>
                <c:pt idx="0">
                  <c:v>0</c:v>
                </c:pt>
                <c:pt idx="1">
                  <c:v>0</c:v>
                </c:pt>
                <c:pt idx="2">
                  <c:v>0</c:v>
                </c:pt>
                <c:pt idx="3">
                  <c:v>796465</c:v>
                </c:pt>
                <c:pt idx="4">
                  <c:v>610487</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4364513935956339"/>
          <c:y val="6.8569961701326915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8.6308911258378779E-2"/>
          <c:y val="9.483355726157465E-2"/>
          <c:w val="0.79985317927213118"/>
          <c:h val="0.90516644273842539"/>
        </c:manualLayout>
      </c:layout>
      <c:pie3DChart>
        <c:varyColors val="1"/>
        <c:ser>
          <c:idx val="1"/>
          <c:order val="0"/>
          <c:dPt>
            <c:idx val="5"/>
            <c:bubble3D val="0"/>
            <c:spPr>
              <a:solidFill>
                <a:schemeClr val="accent4"/>
              </a:solidFill>
            </c:spPr>
          </c:dPt>
          <c:dLbls>
            <c:dLbl>
              <c:idx val="0"/>
              <c:layout>
                <c:manualLayout>
                  <c:x val="-9.5414478043373566E-2"/>
                  <c:y val="-6.1421134379178802E-2"/>
                </c:manualLayout>
              </c:layout>
              <c:dLblPos val="bestFit"/>
              <c:showLegendKey val="0"/>
              <c:showVal val="1"/>
              <c:showCatName val="1"/>
              <c:showSerName val="0"/>
              <c:showPercent val="0"/>
              <c:showBubbleSize val="0"/>
              <c:separator>
</c:separator>
            </c:dLbl>
            <c:dLbl>
              <c:idx val="1"/>
              <c:layout>
                <c:manualLayout>
                  <c:x val="-7.8330310882276363E-2"/>
                  <c:y val="-7.7287323755768925E-2"/>
                </c:manualLayout>
              </c:layout>
              <c:dLblPos val="bestFit"/>
              <c:showLegendKey val="0"/>
              <c:showVal val="1"/>
              <c:showCatName val="1"/>
              <c:showSerName val="0"/>
              <c:showPercent val="0"/>
              <c:showBubbleSize val="0"/>
              <c:separator>
</c:separator>
            </c:dLbl>
            <c:dLbl>
              <c:idx val="2"/>
              <c:delete val="1"/>
            </c:dLbl>
            <c:dLbl>
              <c:idx val="3"/>
              <c:layout>
                <c:manualLayout>
                  <c:x val="8.6597636342711309E-2"/>
                  <c:y val="-9.98550554315039E-2"/>
                </c:manualLayout>
              </c:layout>
              <c:dLblPos val="bestFit"/>
              <c:showLegendKey val="0"/>
              <c:showVal val="1"/>
              <c:showCatName val="1"/>
              <c:showSerName val="0"/>
              <c:showPercent val="0"/>
              <c:showBubbleSize val="0"/>
              <c:separator>
</c:separator>
            </c:dLbl>
            <c:dLbl>
              <c:idx val="4"/>
              <c:layout>
                <c:manualLayout>
                  <c:x val="9.2048104459484067E-2"/>
                  <c:y val="3.9635616342632442E-2"/>
                </c:manualLayout>
              </c:layout>
              <c:dLblPos val="bestFit"/>
              <c:showLegendKey val="0"/>
              <c:showVal val="1"/>
              <c:showCatName val="1"/>
              <c:showSerName val="0"/>
              <c:showPercent val="0"/>
              <c:showBubbleSize val="0"/>
              <c:separator>
</c:separator>
            </c:dLbl>
            <c:dLbl>
              <c:idx val="5"/>
              <c:layout>
                <c:manualLayout>
                  <c:x val="0.2356877165577802"/>
                  <c:y val="4.3908146011801062E-2"/>
                </c:manualLayout>
              </c:layout>
              <c:dLblPos val="bestFit"/>
              <c:showLegendKey val="0"/>
              <c:showVal val="1"/>
              <c:showCatName val="1"/>
              <c:showSerName val="0"/>
              <c:showPercent val="0"/>
              <c:showBubbleSize val="0"/>
              <c:separator>
</c:separator>
            </c:dLbl>
            <c:dLbl>
              <c:idx val="6"/>
              <c:delete val="1"/>
            </c:dLbl>
            <c:dLbl>
              <c:idx val="7"/>
              <c:delete val="1"/>
            </c:dLbl>
            <c:dLbl>
              <c:idx val="8"/>
              <c:layout>
                <c:manualLayout>
                  <c:x val="-0.12303375871119558"/>
                  <c:y val="-4.2178128298706513E-2"/>
                </c:manualLayout>
              </c:layout>
              <c:dLblPos val="bestFit"/>
              <c:showLegendKey val="0"/>
              <c:showVal val="1"/>
              <c:showCatName val="1"/>
              <c:showSerName val="0"/>
              <c:showPercent val="0"/>
              <c:showBubbleSize val="0"/>
              <c:separator>
</c:separator>
            </c:dLbl>
            <c:txPr>
              <a:bodyPr/>
              <a:lstStyle/>
              <a:p>
                <a:pPr>
                  <a:defRPr sz="1000" b="1"/>
                </a:pPr>
                <a:endParaRPr lang="en-US"/>
              </a:p>
            </c:txPr>
            <c:dLblPos val="outEnd"/>
            <c:showLegendKey val="0"/>
            <c:showVal val="1"/>
            <c:showCatName val="1"/>
            <c:showSerName val="0"/>
            <c:showPercent val="0"/>
            <c:showBubbleSize val="0"/>
            <c:separator>
</c:separator>
            <c:showLeaderLines val="1"/>
          </c:dLbls>
          <c:cat>
            <c:strRef>
              <c:f>'Housing and Community Dev'!$O$8:$O$17</c:f>
              <c:strCache>
                <c:ptCount val="9"/>
                <c:pt idx="0">
                  <c:v>Salaries &amp; Wages</c:v>
                </c:pt>
                <c:pt idx="1">
                  <c:v>Fringe Benefits</c:v>
                </c:pt>
                <c:pt idx="3">
                  <c:v>Services &amp; Materials</c:v>
                </c:pt>
                <c:pt idx="4">
                  <c:v>Other Operating Expenses</c:v>
                </c:pt>
                <c:pt idx="5">
                  <c:v>Grant Services</c:v>
                </c:pt>
                <c:pt idx="7">
                  <c:v>Transfers Out</c:v>
                </c:pt>
                <c:pt idx="8">
                  <c:v>Total Other Uses</c:v>
                </c:pt>
              </c:strCache>
            </c:strRef>
          </c:cat>
          <c:val>
            <c:numRef>
              <c:f>'Housing and Community Dev'!$Q$8:$Q$17</c:f>
              <c:numCache>
                <c:formatCode>0.0%</c:formatCode>
                <c:ptCount val="9"/>
                <c:pt idx="0">
                  <c:v>7.1999999999999995E-2</c:v>
                </c:pt>
                <c:pt idx="1">
                  <c:v>3.3000000000000002E-2</c:v>
                </c:pt>
                <c:pt idx="3">
                  <c:v>0.01</c:v>
                </c:pt>
                <c:pt idx="4">
                  <c:v>1E-3</c:v>
                </c:pt>
                <c:pt idx="5">
                  <c:v>0.88</c:v>
                </c:pt>
                <c:pt idx="7">
                  <c:v>0</c:v>
                </c:pt>
                <c:pt idx="8">
                  <c:v>4.0000000000000001E-3</c:v>
                </c:pt>
              </c:numCache>
            </c:numRef>
          </c:val>
        </c:ser>
        <c:ser>
          <c:idx val="0"/>
          <c:order val="1"/>
          <c:dLbls>
            <c:dLbl>
              <c:idx val="0"/>
              <c:layout>
                <c:manualLayout>
                  <c:x val="-8.2291861029219704E-2"/>
                  <c:y val="-3.880733128697908E-2"/>
                </c:manualLayout>
              </c:layout>
              <c:dLblPos val="bestFit"/>
              <c:showLegendKey val="0"/>
              <c:showVal val="0"/>
              <c:showCatName val="1"/>
              <c:showSerName val="0"/>
              <c:showPercent val="1"/>
              <c:showBubbleSize val="0"/>
            </c:dLbl>
            <c:dLbl>
              <c:idx val="1"/>
              <c:layout>
                <c:manualLayout>
                  <c:x val="-7.4991720155241665E-2"/>
                  <c:y val="-2.2931402642466406E-2"/>
                </c:manualLayout>
              </c:layout>
              <c:dLblPos val="bestFit"/>
              <c:showLegendKey val="0"/>
              <c:showVal val="0"/>
              <c:showCatName val="1"/>
              <c:showSerName val="0"/>
              <c:showPercent val="1"/>
              <c:showBubbleSize val="0"/>
            </c:dLbl>
            <c:dLbl>
              <c:idx val="2"/>
              <c:layout>
                <c:manualLayout>
                  <c:x val="0.10807926260402284"/>
                  <c:y val="-4.6026847279683258E-2"/>
                </c:manualLayout>
              </c:layout>
              <c:tx>
                <c:rich>
                  <a:bodyPr/>
                  <a:lstStyle/>
                  <a:p>
                    <a:r>
                      <a:rPr lang="en-US"/>
                      <a:t> Services/</a:t>
                    </a:r>
                  </a:p>
                  <a:p>
                    <a:r>
                      <a:rPr lang="en-US"/>
                      <a:t>Materials 
1%</a:t>
                    </a:r>
                  </a:p>
                </c:rich>
              </c:tx>
              <c:dLblPos val="bestFit"/>
              <c:showLegendKey val="0"/>
              <c:showVal val="0"/>
              <c:showCatName val="1"/>
              <c:showSerName val="0"/>
              <c:showPercent val="1"/>
              <c:showBubbleSize val="0"/>
            </c:dLbl>
            <c:dLbl>
              <c:idx val="3"/>
              <c:layout>
                <c:manualLayout>
                  <c:x val="0.12141074560585149"/>
                  <c:y val="7.9983725551255394E-2"/>
                </c:manualLayout>
              </c:layout>
              <c:dLblPos val="bestFit"/>
              <c:showLegendKey val="0"/>
              <c:showVal val="0"/>
              <c:showCatName val="1"/>
              <c:showSerName val="0"/>
              <c:showPercent val="1"/>
              <c:showBubbleSize val="0"/>
            </c:dLbl>
            <c:dLbl>
              <c:idx val="4"/>
              <c:layout>
                <c:manualLayout>
                  <c:x val="-3.977585170439428E-2"/>
                  <c:y val="4.5836651740097545E-2"/>
                </c:manualLayout>
              </c:layout>
              <c:dLblPos val="bestFit"/>
              <c:showLegendKey val="0"/>
              <c:showVal val="0"/>
              <c:showCatName val="1"/>
              <c:showSerName val="0"/>
              <c:showPercent val="1"/>
              <c:showBubbleSize val="0"/>
            </c:dLbl>
            <c:dLbl>
              <c:idx val="5"/>
              <c:layout>
                <c:manualLayout>
                  <c:x val="-0.27118917229540707"/>
                  <c:y val="-2.2048356243605152E-3"/>
                </c:manualLayout>
              </c:layout>
              <c:dLblPos val="bestFit"/>
              <c:showLegendKey val="0"/>
              <c:showVal val="0"/>
              <c:showCatName val="1"/>
              <c:showSerName val="0"/>
              <c:showPercent val="1"/>
              <c:showBubbleSize val="0"/>
            </c:dLbl>
            <c:dLbl>
              <c:idx val="6"/>
              <c:layout>
                <c:manualLayout>
                  <c:x val="-0.19380201141918868"/>
                  <c:y val="-9.7579036730578175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'Housing and Community Dev'!$O$8:$O$17</c:f>
              <c:strCache>
                <c:ptCount val="9"/>
                <c:pt idx="0">
                  <c:v>Salaries &amp; Wages</c:v>
                </c:pt>
                <c:pt idx="1">
                  <c:v>Fringe Benefits</c:v>
                </c:pt>
                <c:pt idx="3">
                  <c:v>Services &amp; Materials</c:v>
                </c:pt>
                <c:pt idx="4">
                  <c:v>Other Operating Expenses</c:v>
                </c:pt>
                <c:pt idx="5">
                  <c:v>Grant Services</c:v>
                </c:pt>
                <c:pt idx="7">
                  <c:v>Transfers Out</c:v>
                </c:pt>
                <c:pt idx="8">
                  <c:v>Total Other Uses</c:v>
                </c:pt>
              </c:strCache>
            </c:strRef>
          </c:cat>
          <c:val>
            <c:numRef>
              <c:f>'Housing and Community Dev'!$P$8:$P$17</c:f>
              <c:numCache>
                <c:formatCode>_(* #,##0_);_(* \(#,##0\);_(* "-"??_);_(@_)</c:formatCode>
                <c:ptCount val="9"/>
                <c:pt idx="0">
                  <c:v>676555</c:v>
                </c:pt>
                <c:pt idx="1">
                  <c:v>307270</c:v>
                </c:pt>
                <c:pt idx="3">
                  <c:v>95154</c:v>
                </c:pt>
                <c:pt idx="4">
                  <c:v>7387</c:v>
                </c:pt>
                <c:pt idx="5">
                  <c:v>8285407</c:v>
                </c:pt>
                <c:pt idx="7" formatCode="#,##0_);[Red]\(#,##0\)">
                  <c:v>0</c:v>
                </c:pt>
                <c:pt idx="8">
                  <c:v>38123</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solidFill>
                  <a:schemeClr val="bg1"/>
                </a:solidFill>
              </a:rPr>
              <a:t>FY</a:t>
            </a:r>
            <a:r>
              <a:rPr lang="en-US" sz="1400" baseline="0">
                <a:solidFill>
                  <a:schemeClr val="bg1"/>
                </a:solidFill>
              </a:rPr>
              <a:t> 2015 Proposed Revenues</a:t>
            </a:r>
            <a:endParaRPr lang="en-US" sz="1400">
              <a:solidFill>
                <a:schemeClr val="bg1"/>
              </a:solidFill>
            </a:endParaRPr>
          </a:p>
        </c:rich>
      </c:tx>
      <c:layout>
        <c:manualLayout>
          <c:xMode val="edge"/>
          <c:yMode val="edge"/>
          <c:x val="0.17621880669719028"/>
          <c:y val="5.0994220724392796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6416580002971322E-3"/>
          <c:y val="4.4736028385186484E-2"/>
          <c:w val="0.82699135163850657"/>
          <c:h val="0.93675279879979301"/>
        </c:manualLayout>
      </c:layout>
      <c:pie3DChart>
        <c:varyColors val="1"/>
        <c:ser>
          <c:idx val="0"/>
          <c:order val="0"/>
          <c:dLbls>
            <c:dLbl>
              <c:idx val="0"/>
              <c:layout>
                <c:manualLayout>
                  <c:x val="1.3800461906241136E-2"/>
                  <c:y val="8.9234680651035236E-3"/>
                </c:manualLayout>
              </c:layout>
              <c:dLblPos val="bestFit"/>
              <c:showLegendKey val="0"/>
              <c:showVal val="0"/>
              <c:showCatName val="1"/>
              <c:showSerName val="0"/>
              <c:showPercent val="1"/>
              <c:showBubbleSize val="0"/>
            </c:dLbl>
            <c:dLbl>
              <c:idx val="1"/>
              <c:delete val="1"/>
            </c:dLbl>
            <c:dLbl>
              <c:idx val="2"/>
              <c:delete val="1"/>
            </c:dLbl>
            <c:dLbl>
              <c:idx val="3"/>
              <c:layout>
                <c:manualLayout>
                  <c:x val="1.3020071809592795E-2"/>
                  <c:y val="-4.0683768158492284E-2"/>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outEnd"/>
            <c:showLegendKey val="0"/>
            <c:showVal val="0"/>
            <c:showCatName val="1"/>
            <c:showSerName val="0"/>
            <c:showPercent val="1"/>
            <c:showBubbleSize val="0"/>
            <c:showLeaderLines val="1"/>
          </c:dLbls>
          <c:cat>
            <c:strRef>
              <c:f>'Housing and Community Dev'!$O$19:$O$22</c:f>
              <c:strCache>
                <c:ptCount val="4"/>
                <c:pt idx="0">
                  <c:v>Inter-
Governmental</c:v>
                </c:pt>
                <c:pt idx="1">
                  <c:v>Miscellaneous</c:v>
                </c:pt>
                <c:pt idx="2">
                  <c:v>Appropriated Fund Balance</c:v>
                </c:pt>
                <c:pt idx="3">
                  <c:v>Total Other Resources</c:v>
                </c:pt>
              </c:strCache>
            </c:strRef>
          </c:cat>
          <c:val>
            <c:numRef>
              <c:f>'Housing and Community Dev'!$P$19:$P$22</c:f>
              <c:numCache>
                <c:formatCode>_(* #,##0_);_(* \(#,##0\);_(* "-"??_);_(@_)</c:formatCode>
                <c:ptCount val="4"/>
                <c:pt idx="0">
                  <c:v>9371773</c:v>
                </c:pt>
                <c:pt idx="1">
                  <c:v>0</c:v>
                </c:pt>
                <c:pt idx="2">
                  <c:v>0</c:v>
                </c:pt>
                <c:pt idx="3">
                  <c:v>38123</c:v>
                </c:pt>
              </c:numCache>
            </c:numRef>
          </c:val>
        </c:ser>
        <c:ser>
          <c:idx val="1"/>
          <c:order val="1"/>
          <c:dLbls>
            <c:delete val="1"/>
          </c:dLbls>
          <c:cat>
            <c:strRef>
              <c:f>'Housing and Community Dev'!$O$19:$O$22</c:f>
              <c:strCache>
                <c:ptCount val="4"/>
                <c:pt idx="0">
                  <c:v>Inter-
Governmental</c:v>
                </c:pt>
                <c:pt idx="1">
                  <c:v>Miscellaneous</c:v>
                </c:pt>
                <c:pt idx="2">
                  <c:v>Appropriated Fund Balance</c:v>
                </c:pt>
                <c:pt idx="3">
                  <c:v>Total Other Resources</c:v>
                </c:pt>
              </c:strCache>
            </c:strRef>
          </c:cat>
          <c:val>
            <c:numRef>
              <c:f>'Housing and Community Dev'!$Q$19:$Q$22</c:f>
              <c:numCache>
                <c:formatCode>0.0%</c:formatCode>
                <c:ptCount val="4"/>
                <c:pt idx="0">
                  <c:v>0.996</c:v>
                </c:pt>
                <c:pt idx="1">
                  <c:v>0</c:v>
                </c:pt>
                <c:pt idx="2" formatCode="0%">
                  <c:v>0</c:v>
                </c:pt>
                <c:pt idx="3" formatCode="0%">
                  <c:v>4.0000000000000001E-3</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5949391896735163"/>
          <c:y val="3.4752228059868563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1279248477440917"/>
          <c:y val="5.2828912274996095E-4"/>
          <c:w val="0.7883147502045923"/>
          <c:h val="0.95473645635023452"/>
        </c:manualLayout>
      </c:layout>
      <c:pie3DChart>
        <c:varyColors val="1"/>
        <c:ser>
          <c:idx val="1"/>
          <c:order val="0"/>
          <c:spPr>
            <a:solidFill>
              <a:schemeClr val="accent3"/>
            </a:solidFill>
          </c:spPr>
          <c:dLbls>
            <c:dLbl>
              <c:idx val="0"/>
              <c:layout>
                <c:manualLayout>
                  <c:x val="9.0759095562116268E-2"/>
                  <c:y val="5.9522613714875036E-2"/>
                </c:manualLayout>
              </c:layout>
              <c:dLblPos val="bestFit"/>
              <c:showLegendKey val="0"/>
              <c:showVal val="1"/>
              <c:showCatName val="1"/>
              <c:showSerName val="0"/>
              <c:showPercent val="0"/>
              <c:showBubbleSize val="0"/>
              <c:separator>
</c:separator>
            </c:dLbl>
            <c:dLbl>
              <c:idx val="1"/>
              <c:delete val="1"/>
            </c:dLbl>
            <c:dLbl>
              <c:idx val="2"/>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'Nuisance Abatement'!$O$8:$O$9</c:f>
              <c:strCache>
                <c:ptCount val="2"/>
                <c:pt idx="0">
                  <c:v>Services &amp; Materials</c:v>
                </c:pt>
                <c:pt idx="1">
                  <c:v>Total Other Uses</c:v>
                </c:pt>
              </c:strCache>
            </c:strRef>
          </c:cat>
          <c:val>
            <c:numRef>
              <c:f>'Nuisance Abatement'!$Q$8:$Q$9</c:f>
              <c:numCache>
                <c:formatCode>0.0%</c:formatCode>
                <c:ptCount val="2"/>
                <c:pt idx="0">
                  <c:v>1</c:v>
                </c:pt>
                <c:pt idx="1">
                  <c:v>0</c:v>
                </c:pt>
              </c:numCache>
            </c:numRef>
          </c:val>
        </c:ser>
        <c:ser>
          <c:idx val="0"/>
          <c:order val="1"/>
          <c:dLbls>
            <c:dLbl>
              <c:idx val="0"/>
              <c:layout>
                <c:manualLayout>
                  <c:x val="-7.1014151411174301E-2"/>
                  <c:y val="-6.3260061242344734E-2"/>
                </c:manualLayout>
              </c:layout>
              <c:tx>
                <c:rich>
                  <a:bodyPr/>
                  <a:lstStyle/>
                  <a:p>
                    <a:r>
                      <a:rPr lang="en-US"/>
                      <a:t> Services/</a:t>
                    </a:r>
                  </a:p>
                  <a:p>
                    <a:r>
                      <a:rPr lang="en-US"/>
                      <a:t>Materials 
6%</a:t>
                    </a:r>
                  </a:p>
                </c:rich>
              </c:tx>
              <c:dLblPos val="bestFit"/>
              <c:showLegendKey val="0"/>
              <c:showVal val="0"/>
              <c:showCatName val="1"/>
              <c:showSerName val="0"/>
              <c:showPercent val="1"/>
              <c:showBubbleSize val="0"/>
            </c:dLbl>
            <c:dLbl>
              <c:idx val="1"/>
              <c:delete val="1"/>
            </c:dLbl>
            <c:dLbl>
              <c:idx val="2"/>
              <c:layout>
                <c:manualLayout>
                  <c:x val="0.18215014126418902"/>
                  <c:y val="6.0923503641254859E-2"/>
                </c:manualLayout>
              </c:layout>
              <c:dLblPos val="bestFit"/>
              <c:showLegendKey val="0"/>
              <c:showVal val="0"/>
              <c:showCatName val="1"/>
              <c:showSerName val="0"/>
              <c:showPercent val="1"/>
              <c:showBubbleSize val="0"/>
            </c:dLbl>
            <c:dLbl>
              <c:idx val="3"/>
              <c:layout>
                <c:manualLayout>
                  <c:x val="0.24737640946735734"/>
                  <c:y val="2.241667187678149E-2"/>
                </c:manualLayout>
              </c:layout>
              <c:dLblPos val="bestFit"/>
              <c:showLegendKey val="0"/>
              <c:showVal val="0"/>
              <c:showCatName val="1"/>
              <c:showSerName val="0"/>
              <c:showPercent val="1"/>
              <c:showBubbleSize val="0"/>
            </c:dLbl>
            <c:dLbl>
              <c:idx val="4"/>
              <c:layout>
                <c:manualLayout>
                  <c:x val="0.49858631325543079"/>
                  <c:y val="-0.18642024595104509"/>
                </c:manualLayout>
              </c:layout>
              <c:dLblPos val="bestFit"/>
              <c:showLegendKey val="0"/>
              <c:showVal val="0"/>
              <c:showCatName val="1"/>
              <c:showSerName val="0"/>
              <c:showPercent val="1"/>
              <c:showBubbleSize val="0"/>
            </c:dLbl>
            <c:dLbl>
              <c:idx val="5"/>
              <c:layout>
                <c:manualLayout>
                  <c:x val="-7.1114816858083999E-3"/>
                  <c:y val="2.7747771019734087E-2"/>
                </c:manualLayout>
              </c:layout>
              <c:dLblPos val="bestFit"/>
              <c:showLegendKey val="0"/>
              <c:showVal val="0"/>
              <c:showCatName val="1"/>
              <c:showSerName val="0"/>
              <c:showPercent val="1"/>
              <c:showBubbleSize val="0"/>
            </c:dLbl>
            <c:dLbl>
              <c:idx val="6"/>
              <c:layout>
                <c:manualLayout>
                  <c:x val="0.24467887473460717"/>
                  <c:y val="-1.5284529298337736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'Nuisance Abatement'!$O$8:$O$9</c:f>
              <c:strCache>
                <c:ptCount val="2"/>
                <c:pt idx="0">
                  <c:v>Services &amp; Materials</c:v>
                </c:pt>
                <c:pt idx="1">
                  <c:v>Total Other Uses</c:v>
                </c:pt>
              </c:strCache>
            </c:strRef>
          </c:cat>
          <c:val>
            <c:numRef>
              <c:f>'Nuisance Abatement'!$P$8:$P$9</c:f>
              <c:numCache>
                <c:formatCode>_(* #,##0_);_(* \(#,##0\);_(* "-"??_);_(@_)</c:formatCode>
                <c:ptCount val="2"/>
                <c:pt idx="0">
                  <c:v>400000</c:v>
                </c:pt>
                <c:pt idx="1">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9985981996313132"/>
          <c:y val="1.2176834280963112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7270707865242603E-2"/>
          <c:y val="1.6332157001259685E-4"/>
          <c:w val="0.7942049396984151"/>
          <c:h val="0.96013937815898298"/>
        </c:manualLayout>
      </c:layout>
      <c:pie3DChart>
        <c:varyColors val="1"/>
        <c:ser>
          <c:idx val="0"/>
          <c:order val="0"/>
          <c:dLbls>
            <c:dLbl>
              <c:idx val="0"/>
              <c:delete val="1"/>
            </c:dLbl>
            <c:dLbl>
              <c:idx val="1"/>
              <c:layout>
                <c:manualLayout>
                  <c:x val="7.3948704652966518E-2"/>
                  <c:y val="4.948467746724973E-2"/>
                </c:manualLayout>
              </c:layout>
              <c:showLegendKey val="0"/>
              <c:showVal val="0"/>
              <c:showCatName val="1"/>
              <c:showSerName val="0"/>
              <c:showPercent val="1"/>
              <c:showBubbleSize val="0"/>
            </c:dLbl>
            <c:dLbl>
              <c:idx val="2"/>
              <c:showLegendKey val="0"/>
              <c:showVal val="0"/>
              <c:showCatName val="1"/>
              <c:showSerName val="0"/>
              <c:showPercent val="1"/>
              <c:showBubbleSize val="0"/>
            </c:dLbl>
            <c:dLbl>
              <c:idx val="3"/>
              <c:showLegendKey val="0"/>
              <c:showVal val="0"/>
              <c:showCatName val="1"/>
              <c:showSerName val="0"/>
              <c:showPercent val="1"/>
              <c:showBubbleSize val="0"/>
            </c:dLbl>
            <c:dLbl>
              <c:idx val="4"/>
              <c:layout>
                <c:manualLayout>
                  <c:x val="0.49858631325543079"/>
                  <c:y val="-0.18642024595104509"/>
                </c:manualLayout>
              </c:layout>
              <c:dLblPos val="bestFit"/>
              <c:showLegendKey val="0"/>
              <c:showVal val="0"/>
              <c:showCatName val="1"/>
              <c:showSerName val="0"/>
              <c:showPercent val="1"/>
              <c:showBubbleSize val="0"/>
            </c:dLbl>
            <c:dLbl>
              <c:idx val="5"/>
              <c:layout>
                <c:manualLayout>
                  <c:x val="-7.1114816858083999E-3"/>
                  <c:y val="2.7747771019734087E-2"/>
                </c:manualLayout>
              </c:layout>
              <c:dLblPos val="bestFit"/>
              <c:showLegendKey val="0"/>
              <c:showVal val="0"/>
              <c:showCatName val="1"/>
              <c:showSerName val="0"/>
              <c:showPercent val="1"/>
              <c:showBubbleSize val="0"/>
            </c:dLbl>
            <c:dLbl>
              <c:idx val="6"/>
              <c:layout>
                <c:manualLayout>
                  <c:x val="0.24467887473460717"/>
                  <c:y val="-1.5284529298337736E-2"/>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'Nuisance Abatement'!$O$14:$O$15</c:f>
              <c:strCache>
                <c:ptCount val="2"/>
                <c:pt idx="0">
                  <c:v>Other Sources</c:v>
                </c:pt>
                <c:pt idx="1">
                  <c:v>Total Other Resources</c:v>
                </c:pt>
              </c:strCache>
            </c:strRef>
          </c:cat>
          <c:val>
            <c:numRef>
              <c:f>'Nuisance Abatement'!$P$14:$P$15</c:f>
              <c:numCache>
                <c:formatCode>_(* #,##0_);_(* \(#,##0\);_(* "-"??_);_(@_)</c:formatCode>
                <c:ptCount val="2"/>
                <c:pt idx="0">
                  <c:v>0</c:v>
                </c:pt>
                <c:pt idx="1">
                  <c:v>400000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32265662444368365"/>
          <c:y val="8.3036694204573029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0577111241179005"/>
          <c:y val="0.10086999303204147"/>
          <c:w val="0.75998188865942951"/>
          <c:h val="0.89913000696795864"/>
        </c:manualLayout>
      </c:layout>
      <c:pie3DChart>
        <c:varyColors val="1"/>
        <c:ser>
          <c:idx val="1"/>
          <c:order val="0"/>
          <c:dLbls>
            <c:dLbl>
              <c:idx val="0"/>
              <c:layout>
                <c:manualLayout>
                  <c:x val="-8.134642356241234E-2"/>
                  <c:y val="-3.6754311563471871E-2"/>
                </c:manualLayout>
              </c:layout>
              <c:dLblPos val="bestFit"/>
              <c:showLegendKey val="0"/>
              <c:showVal val="1"/>
              <c:showCatName val="1"/>
              <c:showSerName val="0"/>
              <c:showPercent val="0"/>
              <c:showBubbleSize val="0"/>
              <c:separator>
</c:separator>
            </c:dLbl>
            <c:dLbl>
              <c:idx val="1"/>
              <c:layout>
                <c:manualLayout>
                  <c:x val="-5.8906251725546928E-2"/>
                  <c:y val="-0.10178117048346055"/>
                </c:manualLayout>
              </c:layout>
              <c:dLblPos val="bestFit"/>
              <c:showLegendKey val="0"/>
              <c:showVal val="1"/>
              <c:showCatName val="1"/>
              <c:showSerName val="0"/>
              <c:showPercent val="0"/>
              <c:showBubbleSize val="0"/>
              <c:separator>
</c:separator>
            </c:dLbl>
            <c:dLbl>
              <c:idx val="2"/>
              <c:layout>
                <c:manualLayout>
                  <c:x val="0"/>
                  <c:y val="8.1148889467696939E-2"/>
                </c:manualLayout>
              </c:layout>
              <c:showLegendKey val="0"/>
              <c:showVal val="1"/>
              <c:showCatName val="1"/>
              <c:showSerName val="0"/>
              <c:showPercent val="0"/>
              <c:showBubbleSize val="0"/>
              <c:separator> </c:separator>
            </c:dLbl>
            <c:dLbl>
              <c:idx val="3"/>
              <c:layout>
                <c:manualLayout>
                  <c:x val="3.329173614868969E-3"/>
                  <c:y val="7.492603500898265E-2"/>
                </c:manualLayout>
              </c:layout>
              <c:showLegendKey val="0"/>
              <c:showVal val="1"/>
              <c:showCatName val="1"/>
              <c:showSerName val="0"/>
              <c:showPercent val="0"/>
              <c:showBubbleSize val="0"/>
              <c:separator> </c:separator>
            </c:dLbl>
            <c:dLbl>
              <c:idx val="4"/>
              <c:layout>
                <c:manualLayout>
                  <c:x val="3.1201201532837848E-2"/>
                  <c:y val="9.4630219568609897E-2"/>
                </c:manualLayout>
              </c:layout>
              <c:showLegendKey val="0"/>
              <c:showVal val="1"/>
              <c:showCatName val="1"/>
              <c:showSerName val="0"/>
              <c:showPercent val="0"/>
              <c:showBubbleSize val="0"/>
              <c:separator> </c:separator>
            </c:dLbl>
            <c:dLbl>
              <c:idx val="5"/>
              <c:layout>
                <c:manualLayout>
                  <c:x val="0.10045609656436705"/>
                  <c:y val="0.11026271207193258"/>
                </c:manualLayout>
              </c:layout>
              <c:dLblPos val="bestFit"/>
              <c:showLegendKey val="0"/>
              <c:showVal val="1"/>
              <c:showCatName val="1"/>
              <c:showSerName val="0"/>
              <c:showPercent val="0"/>
              <c:showBubbleSize val="0"/>
              <c:separator>
</c:separator>
            </c:dLbl>
            <c:dLbl>
              <c:idx val="6"/>
              <c:layout>
                <c:manualLayout>
                  <c:x val="8.6890481607050166E-2"/>
                  <c:y val="-0.1206832606483986"/>
                </c:manualLayout>
              </c:layout>
              <c:showLegendKey val="0"/>
              <c:showVal val="1"/>
              <c:showCatName val="1"/>
              <c:showSerName val="0"/>
              <c:showPercent val="0"/>
              <c:showBubbleSize val="0"/>
              <c:separator> </c:separator>
            </c:dLbl>
            <c:numFmt formatCode="0.0%" sourceLinked="0"/>
            <c:txPr>
              <a:bodyPr/>
              <a:lstStyle/>
              <a:p>
                <a:pPr>
                  <a:defRPr b="1"/>
                </a:pPr>
                <a:endParaRPr lang="en-US"/>
              </a:p>
            </c:txPr>
            <c:showLegendKey val="0"/>
            <c:showVal val="1"/>
            <c:showCatName val="1"/>
            <c:showSerName val="0"/>
            <c:showPercent val="0"/>
            <c:showBubbleSize val="0"/>
            <c:separator> </c:separator>
            <c:showLeaderLines val="1"/>
          </c:dLbls>
          <c:cat>
            <c:strRef>
              <c:f>'Parking System'!$O$7:$O$13</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'Parking System'!$Q$7:$Q$13</c:f>
              <c:numCache>
                <c:formatCode>0.0%</c:formatCode>
                <c:ptCount val="7"/>
                <c:pt idx="0">
                  <c:v>0.13400000000000001</c:v>
                </c:pt>
                <c:pt idx="1">
                  <c:v>5.1999999999999998E-2</c:v>
                </c:pt>
                <c:pt idx="2">
                  <c:v>0.127</c:v>
                </c:pt>
                <c:pt idx="3">
                  <c:v>0.19800000000000001</c:v>
                </c:pt>
                <c:pt idx="4">
                  <c:v>1.7000000000000001E-2</c:v>
                </c:pt>
                <c:pt idx="5">
                  <c:v>0.22</c:v>
                </c:pt>
                <c:pt idx="6">
                  <c:v>0.252</c:v>
                </c:pt>
              </c:numCache>
            </c:numRef>
          </c:val>
        </c:ser>
        <c:ser>
          <c:idx val="0"/>
          <c:order val="1"/>
          <c:dLbls>
            <c:dLbl>
              <c:idx val="0"/>
              <c:layout>
                <c:manualLayout>
                  <c:x val="-7.9565629323716941E-3"/>
                  <c:y val="-4.9434256788146801E-2"/>
                </c:manualLayout>
              </c:layout>
              <c:dLblPos val="bestFit"/>
              <c:showLegendKey val="0"/>
              <c:showVal val="0"/>
              <c:showCatName val="1"/>
              <c:showSerName val="0"/>
              <c:showPercent val="1"/>
              <c:showBubbleSize val="0"/>
            </c:dLbl>
            <c:dLbl>
              <c:idx val="1"/>
              <c:layout>
                <c:manualLayout>
                  <c:x val="-1.5574336938561223E-2"/>
                  <c:y val="-0.10472930705544758"/>
                </c:manualLayout>
              </c:layout>
              <c:dLblPos val="bestFit"/>
              <c:showLegendKey val="0"/>
              <c:showVal val="0"/>
              <c:showCatName val="1"/>
              <c:showSerName val="0"/>
              <c:showPercent val="1"/>
              <c:showBubbleSize val="0"/>
            </c:dLbl>
            <c:dLbl>
              <c:idx val="2"/>
              <c:layout>
                <c:manualLayout>
                  <c:x val="-1.837086282868218E-2"/>
                  <c:y val="8.9507990890451666E-2"/>
                </c:manualLayout>
              </c:layout>
              <c:dLblPos val="bestFit"/>
              <c:showLegendKey val="0"/>
              <c:showVal val="0"/>
              <c:showCatName val="1"/>
              <c:showSerName val="0"/>
              <c:showPercent val="1"/>
              <c:showBubbleSize val="0"/>
            </c:dLbl>
            <c:dLbl>
              <c:idx val="3"/>
              <c:layout>
                <c:manualLayout>
                  <c:x val="7.7939326587462441E-3"/>
                  <c:y val="2.4295376974296783E-2"/>
                </c:manualLayout>
              </c:layout>
              <c:dLblPos val="bestFit"/>
              <c:showLegendKey val="0"/>
              <c:showVal val="0"/>
              <c:showCatName val="1"/>
              <c:showSerName val="0"/>
              <c:showPercent val="1"/>
              <c:showBubbleSize val="0"/>
            </c:dLbl>
            <c:dLbl>
              <c:idx val="4"/>
              <c:layout>
                <c:manualLayout>
                  <c:x val="0.16938919708481184"/>
                  <c:y val="6.6319743858656174E-2"/>
                </c:manualLayout>
              </c:layout>
              <c:showLegendKey val="0"/>
              <c:showVal val="0"/>
              <c:showCatName val="1"/>
              <c:showSerName val="0"/>
              <c:showPercent val="1"/>
              <c:showBubbleSize val="0"/>
            </c:dLbl>
            <c:dLbl>
              <c:idx val="5"/>
              <c:layout>
                <c:manualLayout>
                  <c:x val="-1.2260844174324858E-2"/>
                  <c:y val="7.372413587479533E-2"/>
                </c:manualLayout>
              </c:layout>
              <c:dLblPos val="bestFit"/>
              <c:showLegendKey val="0"/>
              <c:showVal val="0"/>
              <c:showCatName val="1"/>
              <c:showSerName val="0"/>
              <c:showPercent val="1"/>
              <c:showBubbleSize val="0"/>
            </c:dLbl>
            <c:dLbl>
              <c:idx val="6"/>
              <c:layout>
                <c:manualLayout>
                  <c:x val="1.2822965840564532E-2"/>
                  <c:y val="-0.12161837758445875"/>
                </c:manualLayout>
              </c:layout>
              <c:showLegendKey val="0"/>
              <c:showVal val="0"/>
              <c:showCatName val="1"/>
              <c:showSerName val="0"/>
              <c:showPercent val="1"/>
              <c:showBubbleSize val="0"/>
            </c:dLbl>
            <c:dLbl>
              <c:idx val="7"/>
              <c:layout>
                <c:manualLayout>
                  <c:x val="0.27093020820371166"/>
                  <c:y val="1.2405560563567347E-2"/>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'Parking System'!$O$7:$O$13</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'Parking System'!$P$7:$P$13</c:f>
              <c:numCache>
                <c:formatCode>_(* #,##0.00_);_(* \(#,##0.00\);_(* "-"??_);_(@_)</c:formatCode>
                <c:ptCount val="7"/>
                <c:pt idx="0">
                  <c:v>3904486</c:v>
                </c:pt>
                <c:pt idx="1">
                  <c:v>1532497</c:v>
                </c:pt>
                <c:pt idx="2">
                  <c:v>3678473.92</c:v>
                </c:pt>
                <c:pt idx="3">
                  <c:v>5751865.7999999998</c:v>
                </c:pt>
                <c:pt idx="4">
                  <c:v>493200</c:v>
                </c:pt>
                <c:pt idx="5">
                  <c:v>6389595</c:v>
                </c:pt>
                <c:pt idx="6">
                  <c:v>7311997.9400000013</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solidFill>
                  <a:schemeClr val="bg1"/>
                </a:solidFill>
              </a:defRPr>
            </a:pPr>
            <a:r>
              <a:rPr lang="en-US" sz="1400" b="1" i="0" u="none" strike="noStrike" baseline="0">
                <a:effectLst/>
              </a:rPr>
              <a:t>FY 2015 Proposed </a:t>
            </a:r>
            <a:r>
              <a:rPr lang="en-US" sz="1400" b="1" baseline="0">
                <a:solidFill>
                  <a:schemeClr val="bg1"/>
                </a:solidFill>
              </a:rPr>
              <a:t>Revenues</a:t>
            </a:r>
            <a:endParaRPr lang="en-US" sz="1400" b="1">
              <a:solidFill>
                <a:schemeClr val="bg1"/>
              </a:solidFill>
            </a:endParaRPr>
          </a:p>
        </c:rich>
      </c:tx>
      <c:layout>
        <c:manualLayout>
          <c:xMode val="edge"/>
          <c:yMode val="edge"/>
          <c:x val="0.21476555447743786"/>
          <c:y val="2.1500802593136508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2.885020437280033E-2"/>
          <c:y val="6.8702992636723595E-2"/>
          <c:w val="0.77554603656509447"/>
          <c:h val="0.91439797530967148"/>
        </c:manualLayout>
      </c:layout>
      <c:pie3DChart>
        <c:varyColors val="1"/>
        <c:ser>
          <c:idx val="1"/>
          <c:order val="0"/>
          <c:dLbls>
            <c:dLbl>
              <c:idx val="0"/>
              <c:delete val="1"/>
            </c:dLbl>
            <c:dLbl>
              <c:idx val="1"/>
              <c:layout>
                <c:manualLayout>
                  <c:x val="-8.301130671246601E-2"/>
                  <c:y val="-0.14082548888544896"/>
                </c:manualLayout>
              </c:layout>
              <c:dLblPos val="bestFit"/>
              <c:showLegendKey val="0"/>
              <c:showVal val="1"/>
              <c:showCatName val="1"/>
              <c:showSerName val="0"/>
              <c:showPercent val="0"/>
              <c:showBubbleSize val="0"/>
              <c:separator>
</c:separator>
            </c:dLbl>
            <c:dLbl>
              <c:idx val="2"/>
              <c:layout>
                <c:manualLayout>
                  <c:x val="2.8624588521540002E-2"/>
                  <c:y val="1.9715315623798274E-2"/>
                </c:manualLayout>
              </c:layout>
              <c:dLblPos val="bestFit"/>
              <c:showLegendKey val="0"/>
              <c:showVal val="1"/>
              <c:showCatName val="1"/>
              <c:showSerName val="0"/>
              <c:showPercent val="0"/>
              <c:showBubbleSize val="0"/>
              <c:separator>
</c:separator>
            </c:dLbl>
            <c:dLbl>
              <c:idx val="3"/>
              <c:layout>
                <c:manualLayout>
                  <c:x val="-6.0111635895234009E-2"/>
                  <c:y val="9.0128170952559955E-2"/>
                </c:manualLayout>
              </c:layout>
              <c:dLblPos val="bestFit"/>
              <c:showLegendKey val="0"/>
              <c:showVal val="1"/>
              <c:showCatName val="1"/>
              <c:showSerName val="0"/>
              <c:showPercent val="0"/>
              <c:showBubbleSize val="0"/>
              <c:separator>
</c:separator>
            </c:dLbl>
            <c:dLbl>
              <c:idx val="4"/>
              <c:delete val="1"/>
            </c:dLbl>
            <c:dLbl>
              <c:idx val="5"/>
              <c:layout>
                <c:manualLayout>
                  <c:x val="-0.11736081293831402"/>
                  <c:y val="5.9146612187617506E-2"/>
                </c:manualLayout>
              </c:layout>
              <c:dLblPos val="bestFit"/>
              <c:showLegendKey val="0"/>
              <c:showVal val="1"/>
              <c:showCatName val="1"/>
              <c:showSerName val="0"/>
              <c:showPercent val="0"/>
              <c:showBubbleSize val="0"/>
              <c:separator>
</c:separator>
            </c:dLbl>
            <c:dLbl>
              <c:idx val="6"/>
              <c:layout>
                <c:manualLayout>
                  <c:x val="1.1449835408616001E-2"/>
                  <c:y val="-0.11547671903296733"/>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'Parking System'!$O$17:$O$23</c:f>
              <c:strCache>
                <c:ptCount val="7"/>
                <c:pt idx="0">
                  <c:v> </c:v>
                </c:pt>
                <c:pt idx="1">
                  <c:v>Charges For Services</c:v>
                </c:pt>
                <c:pt idx="2">
                  <c:v>Fines and Forfeits</c:v>
                </c:pt>
                <c:pt idx="3">
                  <c:v>Miscellaneous</c:v>
                </c:pt>
                <c:pt idx="4">
                  <c:v>Other Sources</c:v>
                </c:pt>
                <c:pt idx="5">
                  <c:v>Appropriated Fund Balance</c:v>
                </c:pt>
                <c:pt idx="6">
                  <c:v>Other Resources</c:v>
                </c:pt>
              </c:strCache>
            </c:strRef>
          </c:cat>
          <c:val>
            <c:numRef>
              <c:f>'Parking System'!$Q$17:$Q$23</c:f>
              <c:numCache>
                <c:formatCode>0.0%</c:formatCode>
                <c:ptCount val="7"/>
                <c:pt idx="0">
                  <c:v>0</c:v>
                </c:pt>
                <c:pt idx="1">
                  <c:v>0.40899999999999997</c:v>
                </c:pt>
                <c:pt idx="2">
                  <c:v>0.105</c:v>
                </c:pt>
                <c:pt idx="3">
                  <c:v>1.2999999999999999E-2</c:v>
                </c:pt>
                <c:pt idx="4">
                  <c:v>0</c:v>
                </c:pt>
                <c:pt idx="5">
                  <c:v>0.221</c:v>
                </c:pt>
                <c:pt idx="6">
                  <c:v>0.252</c:v>
                </c:pt>
              </c:numCache>
            </c:numRef>
          </c:val>
        </c:ser>
        <c:ser>
          <c:idx val="0"/>
          <c:order val="1"/>
          <c:dLbls>
            <c:dLbl>
              <c:idx val="0"/>
              <c:delete val="1"/>
            </c:dLbl>
            <c:dLbl>
              <c:idx val="1"/>
              <c:layout>
                <c:manualLayout>
                  <c:x val="-1.92691374104553E-2"/>
                  <c:y val="-0.12199026964372217"/>
                </c:manualLayout>
              </c:layout>
              <c:dLblPos val="bestFit"/>
              <c:showLegendKey val="0"/>
              <c:showVal val="0"/>
              <c:showCatName val="1"/>
              <c:showSerName val="0"/>
              <c:showPercent val="1"/>
              <c:showBubbleSize val="0"/>
            </c:dLbl>
            <c:dLbl>
              <c:idx val="2"/>
              <c:layout>
                <c:manualLayout>
                  <c:x val="0.10951193212649661"/>
                  <c:y val="7.0054770281114079E-2"/>
                </c:manualLayout>
              </c:layout>
              <c:dLblPos val="bestFit"/>
              <c:showLegendKey val="0"/>
              <c:showVal val="0"/>
              <c:showCatName val="1"/>
              <c:showSerName val="0"/>
              <c:showPercent val="1"/>
              <c:showBubbleSize val="0"/>
            </c:dLbl>
            <c:dLbl>
              <c:idx val="3"/>
              <c:layout>
                <c:manualLayout>
                  <c:x val="0.13360465035038319"/>
                  <c:y val="9.3365636623017695E-2"/>
                </c:manualLayout>
              </c:layout>
              <c:dLblPos val="bestFit"/>
              <c:showLegendKey val="0"/>
              <c:showVal val="0"/>
              <c:showCatName val="1"/>
              <c:showSerName val="0"/>
              <c:showPercent val="1"/>
              <c:showBubbleSize val="0"/>
            </c:dLbl>
            <c:dLbl>
              <c:idx val="4"/>
              <c:layout>
                <c:manualLayout>
                  <c:x val="-5.7226697594477724E-2"/>
                  <c:y val="0.10867671228078565"/>
                </c:manualLayout>
              </c:layout>
              <c:dLblPos val="bestFit"/>
              <c:showLegendKey val="0"/>
              <c:showVal val="0"/>
              <c:showCatName val="1"/>
              <c:showSerName val="0"/>
              <c:showPercent val="1"/>
              <c:showBubbleSize val="0"/>
            </c:dLbl>
            <c:dLbl>
              <c:idx val="5"/>
              <c:layout>
                <c:manualLayout>
                  <c:x val="-1.4253808336069805E-2"/>
                  <c:y val="-9.933071674436178E-2"/>
                </c:manualLayout>
              </c:layout>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'Parking System'!$O$17:$O$23</c:f>
              <c:strCache>
                <c:ptCount val="7"/>
                <c:pt idx="0">
                  <c:v> </c:v>
                </c:pt>
                <c:pt idx="1">
                  <c:v>Charges For Services</c:v>
                </c:pt>
                <c:pt idx="2">
                  <c:v>Fines and Forfeits</c:v>
                </c:pt>
                <c:pt idx="3">
                  <c:v>Miscellaneous</c:v>
                </c:pt>
                <c:pt idx="4">
                  <c:v>Other Sources</c:v>
                </c:pt>
                <c:pt idx="5">
                  <c:v>Appropriated Fund Balance</c:v>
                </c:pt>
                <c:pt idx="6">
                  <c:v>Other Resources</c:v>
                </c:pt>
              </c:strCache>
            </c:strRef>
          </c:cat>
          <c:val>
            <c:numRef>
              <c:f>'Parking System'!$P$17:$P$23</c:f>
              <c:numCache>
                <c:formatCode>_(* #,##0.00_);_(* \(#,##0.00\);_(* "-"??_);_(@_)</c:formatCode>
                <c:ptCount val="7"/>
                <c:pt idx="0">
                  <c:v>0</c:v>
                </c:pt>
                <c:pt idx="1">
                  <c:v>11903785</c:v>
                </c:pt>
                <c:pt idx="2">
                  <c:v>3038435</c:v>
                </c:pt>
                <c:pt idx="3">
                  <c:v>382891.66</c:v>
                </c:pt>
                <c:pt idx="4">
                  <c:v>0</c:v>
                </c:pt>
                <c:pt idx="5">
                  <c:v>6425006.0599999987</c:v>
                </c:pt>
                <c:pt idx="6">
                  <c:v>7311997.9400000013</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3314226431887392"/>
          <c:y val="1.9534168630381053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340065241859075"/>
          <c:y val="5.2901268272122916E-2"/>
          <c:w val="0.7751773956276069"/>
          <c:h val="0.94114101385137072"/>
        </c:manualLayout>
      </c:layout>
      <c:pie3DChart>
        <c:varyColors val="1"/>
        <c:ser>
          <c:idx val="1"/>
          <c:order val="0"/>
          <c:dLbls>
            <c:dLbl>
              <c:idx val="0"/>
              <c:layout>
                <c:manualLayout>
                  <c:x val="-1.9437881614241818E-2"/>
                  <c:y val="-5.5918371096001424E-2"/>
                </c:manualLayout>
              </c:layout>
              <c:dLblPos val="bestFit"/>
              <c:showLegendKey val="0"/>
              <c:showVal val="1"/>
              <c:showCatName val="1"/>
              <c:showSerName val="0"/>
              <c:showPercent val="0"/>
              <c:showBubbleSize val="0"/>
              <c:separator>
</c:separator>
            </c:dLbl>
            <c:dLbl>
              <c:idx val="1"/>
              <c:layout>
                <c:manualLayout>
                  <c:x val="2.8479121793793714E-2"/>
                  <c:y val="5.6977891449700176E-2"/>
                </c:manualLayout>
              </c:layout>
              <c:dLblPos val="bestFit"/>
              <c:showLegendKey val="0"/>
              <c:showVal val="1"/>
              <c:showCatName val="1"/>
              <c:showSerName val="0"/>
              <c:showPercent val="0"/>
              <c:showBubbleSize val="0"/>
              <c:separator>
</c:separator>
            </c:dLbl>
            <c:dLbl>
              <c:idx val="2"/>
              <c:layout>
                <c:manualLayout>
                  <c:x val="7.1297243830758833E-2"/>
                  <c:y val="0.15494233385060444"/>
                </c:manualLayout>
              </c:layout>
              <c:dLblPos val="bestFit"/>
              <c:showLegendKey val="0"/>
              <c:showVal val="1"/>
              <c:showCatName val="1"/>
              <c:showSerName val="0"/>
              <c:showPercent val="0"/>
              <c:showBubbleSize val="0"/>
              <c:separator>
</c:separator>
            </c:dLbl>
            <c:dLbl>
              <c:idx val="3"/>
              <c:layout>
                <c:manualLayout>
                  <c:x val="-6.7196878284266723E-2"/>
                  <c:y val="-2.1967258654711956E-3"/>
                </c:manualLayout>
              </c:layout>
              <c:dLblPos val="bestFit"/>
              <c:showLegendKey val="0"/>
              <c:showVal val="1"/>
              <c:showCatName val="1"/>
              <c:showSerName val="0"/>
              <c:showPercent val="0"/>
              <c:showBubbleSize val="0"/>
              <c:separator>
</c:separator>
            </c:dLbl>
            <c:dLbl>
              <c:idx val="4"/>
              <c:delete val="1"/>
            </c:dLbl>
            <c:dLbl>
              <c:idx val="5"/>
              <c:layout>
                <c:manualLayout>
                  <c:x val="2.1253707596574023E-2"/>
                  <c:y val="-4.7959413376247692E-2"/>
                </c:manualLayout>
              </c:layout>
              <c:dLblPos val="bestFit"/>
              <c:showLegendKey val="0"/>
              <c:showVal val="1"/>
              <c:showCatName val="1"/>
              <c:showSerName val="0"/>
              <c:showPercent val="0"/>
              <c:showBubbleSize val="0"/>
              <c:separator>
</c:separator>
            </c:dLbl>
            <c:dLbl>
              <c:idx val="6"/>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Police!$O$8:$O$14</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Police!$Q$8:$Q$14</c:f>
              <c:numCache>
                <c:formatCode>0.0%</c:formatCode>
                <c:ptCount val="7"/>
                <c:pt idx="0">
                  <c:v>0.33100000000000002</c:v>
                </c:pt>
                <c:pt idx="1">
                  <c:v>0.13800000000000001</c:v>
                </c:pt>
                <c:pt idx="2">
                  <c:v>0.36499999999999999</c:v>
                </c:pt>
                <c:pt idx="3">
                  <c:v>0.115</c:v>
                </c:pt>
                <c:pt idx="4">
                  <c:v>0</c:v>
                </c:pt>
                <c:pt idx="5">
                  <c:v>5.0999999999999997E-2</c:v>
                </c:pt>
                <c:pt idx="6">
                  <c:v>0</c:v>
                </c:pt>
              </c:numCache>
            </c:numRef>
          </c:val>
        </c:ser>
        <c:ser>
          <c:idx val="0"/>
          <c:order val="1"/>
          <c:dLbls>
            <c:dLbl>
              <c:idx val="0"/>
              <c:layout>
                <c:manualLayout>
                  <c:x val="-8.9635874111884964E-2"/>
                  <c:y val="-5.7057057057057034E-2"/>
                </c:manualLayout>
              </c:layout>
              <c:dLblPos val="bestFit"/>
              <c:showLegendKey val="0"/>
              <c:showVal val="0"/>
              <c:showCatName val="1"/>
              <c:showSerName val="0"/>
              <c:showPercent val="1"/>
              <c:showBubbleSize val="0"/>
            </c:dLbl>
            <c:dLbl>
              <c:idx val="1"/>
              <c:layout>
                <c:manualLayout>
                  <c:x val="0"/>
                  <c:y val="0.12912912912912913"/>
                </c:manualLayout>
              </c:layout>
              <c:dLblPos val="bestFit"/>
              <c:showLegendKey val="0"/>
              <c:showVal val="0"/>
              <c:showCatName val="1"/>
              <c:showSerName val="0"/>
              <c:showPercent val="1"/>
              <c:showBubbleSize val="0"/>
            </c:dLbl>
            <c:dLbl>
              <c:idx val="2"/>
              <c:layout>
                <c:manualLayout>
                  <c:x val="-3.6414573857953193E-2"/>
                  <c:y val="7.8078078078078081E-2"/>
                </c:manualLayout>
              </c:layout>
              <c:tx>
                <c:rich>
                  <a:bodyPr/>
                  <a:lstStyle/>
                  <a:p>
                    <a:r>
                      <a:rPr lang="en-US"/>
                      <a:t> Services/ Materials 
25%</a:t>
                    </a:r>
                  </a:p>
                </c:rich>
              </c:tx>
              <c:dLblPos val="bestFit"/>
              <c:showLegendKey val="0"/>
              <c:showVal val="0"/>
              <c:showCatName val="1"/>
              <c:showSerName val="0"/>
              <c:showPercent val="1"/>
              <c:showBubbleSize val="0"/>
            </c:dLbl>
            <c:dLbl>
              <c:idx val="3"/>
              <c:layout>
                <c:manualLayout>
                  <c:x val="6.1624663451920775E-2"/>
                  <c:y val="4.2042042042042073E-2"/>
                </c:manualLayout>
              </c:layout>
              <c:dLblPos val="bestFit"/>
              <c:showLegendKey val="0"/>
              <c:showVal val="0"/>
              <c:showCatName val="1"/>
              <c:showSerName val="0"/>
              <c:showPercent val="1"/>
              <c:showBubbleSize val="0"/>
            </c:dLbl>
            <c:dLbl>
              <c:idx val="4"/>
              <c:layout>
                <c:manualLayout>
                  <c:x val="0"/>
                  <c:y val="8.1081081081081086E-2"/>
                </c:manualLayout>
              </c:layout>
              <c:dLblPos val="bestFit"/>
              <c:showLegendKey val="0"/>
              <c:showVal val="0"/>
              <c:showCatName val="1"/>
              <c:showSerName val="0"/>
              <c:showPercent val="1"/>
              <c:showBubbleSize val="0"/>
            </c:dLbl>
            <c:dLbl>
              <c:idx val="5"/>
              <c:layout>
                <c:manualLayout>
                  <c:x val="1.6806726395978397E-2"/>
                  <c:y val="-7.5075075075075076E-2"/>
                </c:manualLayout>
              </c:layout>
              <c:dLblPos val="bestFit"/>
              <c:showLegendKey val="0"/>
              <c:showVal val="0"/>
              <c:showCatName val="1"/>
              <c:showSerName val="0"/>
              <c:showPercent val="1"/>
              <c:showBubbleSize val="0"/>
            </c:dLbl>
            <c:numFmt formatCode="0.0%" sourceLinked="0"/>
            <c:txPr>
              <a:bodyPr/>
              <a:lstStyle/>
              <a:p>
                <a:pPr>
                  <a:defRPr b="1"/>
                </a:pPr>
                <a:endParaRPr lang="en-US"/>
              </a:p>
            </c:txPr>
            <c:dLblPos val="outEnd"/>
            <c:showLegendKey val="0"/>
            <c:showVal val="0"/>
            <c:showCatName val="1"/>
            <c:showSerName val="0"/>
            <c:showPercent val="1"/>
            <c:showBubbleSize val="0"/>
            <c:showLeaderLines val="1"/>
          </c:dLbls>
          <c:cat>
            <c:strRef>
              <c:f>Police!$O$8:$O$14</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Police!$P$8:$P$14</c:f>
              <c:numCache>
                <c:formatCode>_(* #,##0_);_(* \(#,##0\);_(* "-"??_);_(@_)</c:formatCode>
                <c:ptCount val="7"/>
                <c:pt idx="0">
                  <c:v>196713</c:v>
                </c:pt>
                <c:pt idx="1">
                  <c:v>81781</c:v>
                </c:pt>
                <c:pt idx="2">
                  <c:v>216297</c:v>
                </c:pt>
                <c:pt idx="3">
                  <c:v>68000</c:v>
                </c:pt>
                <c:pt idx="4">
                  <c:v>0</c:v>
                </c:pt>
                <c:pt idx="5">
                  <c:v>30229</c:v>
                </c:pt>
                <c:pt idx="6">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solidFill>
                  <a:schemeClr val="bg1"/>
                </a:solidFill>
              </a:rPr>
              <a:t>FY</a:t>
            </a:r>
            <a:r>
              <a:rPr lang="en-US" sz="1400" baseline="0">
                <a:solidFill>
                  <a:schemeClr val="bg1"/>
                </a:solidFill>
              </a:rPr>
              <a:t> 2015 Proposed Revenues</a:t>
            </a:r>
            <a:endParaRPr lang="en-US" sz="1400">
              <a:solidFill>
                <a:schemeClr val="bg1"/>
              </a:solidFill>
            </a:endParaRPr>
          </a:p>
        </c:rich>
      </c:tx>
      <c:layout>
        <c:manualLayout>
          <c:xMode val="edge"/>
          <c:yMode val="edge"/>
          <c:x val="0.19243053519323416"/>
          <c:y val="9.6441433192943904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3.8117781397327535E-2"/>
          <c:y val="0"/>
          <c:w val="0.85954715703790818"/>
          <c:h val="1"/>
        </c:manualLayout>
      </c:layout>
      <c:pie3DChart>
        <c:varyColors val="1"/>
        <c:ser>
          <c:idx val="1"/>
          <c:order val="0"/>
          <c:dLbls>
            <c:dLbl>
              <c:idx val="0"/>
              <c:layout>
                <c:manualLayout>
                  <c:x val="-2.6052767999155457E-2"/>
                  <c:y val="-4.6964033736549005E-3"/>
                </c:manualLayout>
              </c:layout>
              <c:showLegendKey val="0"/>
              <c:showVal val="1"/>
              <c:showCatName val="1"/>
              <c:showSerName val="0"/>
              <c:showPercent val="0"/>
              <c:showBubbleSize val="0"/>
            </c:dLbl>
            <c:dLbl>
              <c:idx val="1"/>
              <c:layout>
                <c:manualLayout>
                  <c:x val="-7.1293238977530621E-2"/>
                  <c:y val="0.17448981667989175"/>
                </c:manualLayout>
              </c:layout>
              <c:showLegendKey val="0"/>
              <c:showVal val="1"/>
              <c:showCatName val="1"/>
              <c:showSerName val="0"/>
              <c:showPercent val="0"/>
              <c:showBubbleSize val="0"/>
            </c:dLbl>
            <c:dLbl>
              <c:idx val="2"/>
              <c:layout>
                <c:manualLayout>
                  <c:x val="6.098946717478107E-2"/>
                  <c:y val="7.4454509875732017E-2"/>
                </c:manualLayout>
              </c:layout>
              <c:tx>
                <c:rich>
                  <a:bodyPr/>
                  <a:lstStyle/>
                  <a:p>
                    <a:r>
                      <a:rPr lang="en-US"/>
                      <a:t> </a:t>
                    </a:r>
                    <a:r>
                      <a:rPr lang="en-US" sz="900"/>
                      <a:t>Miscellaneous </a:t>
                    </a:r>
                    <a:r>
                      <a:rPr lang="en-US"/>
                      <a:t>
3.2%</a:t>
                    </a:r>
                  </a:p>
                </c:rich>
              </c:tx>
              <c:showLegendKey val="0"/>
              <c:showVal val="1"/>
              <c:showCatName val="1"/>
              <c:showSerName val="0"/>
              <c:showPercent val="0"/>
              <c:showBubbleSize val="0"/>
            </c:dLbl>
            <c:dLbl>
              <c:idx val="3"/>
              <c:layout>
                <c:manualLayout>
                  <c:x val="0"/>
                  <c:y val="-0.20448025392174815"/>
                </c:manualLayout>
              </c:layout>
              <c:dLblPos val="bestFit"/>
              <c:showLegendKey val="0"/>
              <c:showVal val="1"/>
              <c:showCatName val="1"/>
              <c:showSerName val="0"/>
              <c:showPercent val="0"/>
              <c:showBubbleSize val="0"/>
              <c:separator>
</c:separator>
            </c:dLbl>
            <c:dLbl>
              <c:idx val="4"/>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Police!$O$18:$O$22</c:f>
              <c:strCache>
                <c:ptCount val="5"/>
                <c:pt idx="0">
                  <c:v>Charges For Services</c:v>
                </c:pt>
                <c:pt idx="1">
                  <c:v>Fines and Forfeits</c:v>
                </c:pt>
                <c:pt idx="2">
                  <c:v>Miscellaneous</c:v>
                </c:pt>
                <c:pt idx="3">
                  <c:v>Appropriated Fund Balance</c:v>
                </c:pt>
                <c:pt idx="4">
                  <c:v>Other Resources</c:v>
                </c:pt>
              </c:strCache>
            </c:strRef>
          </c:cat>
          <c:val>
            <c:numRef>
              <c:f>Police!$Q$18:$Q$22</c:f>
              <c:numCache>
                <c:formatCode>0.0%</c:formatCode>
                <c:ptCount val="5"/>
                <c:pt idx="0">
                  <c:v>7.8E-2</c:v>
                </c:pt>
                <c:pt idx="1">
                  <c:v>0.43</c:v>
                </c:pt>
                <c:pt idx="2">
                  <c:v>3.2000000000000001E-2</c:v>
                </c:pt>
                <c:pt idx="3">
                  <c:v>0.46</c:v>
                </c:pt>
                <c:pt idx="4">
                  <c:v>0</c:v>
                </c:pt>
              </c:numCache>
            </c:numRef>
          </c:val>
        </c:ser>
        <c:ser>
          <c:idx val="0"/>
          <c:order val="1"/>
          <c:dLbls>
            <c:dLbl>
              <c:idx val="0"/>
              <c:delete val="1"/>
            </c:dLbl>
            <c:dLbl>
              <c:idx val="1"/>
              <c:delete val="1"/>
            </c:dLbl>
            <c:dLbl>
              <c:idx val="2"/>
              <c:delete val="1"/>
            </c:dLbl>
            <c:dLbl>
              <c:idx val="3"/>
              <c:layout>
                <c:manualLayout>
                  <c:x val="-0.26932271092376148"/>
                  <c:y val="-0.13729193125052921"/>
                </c:manualLayout>
              </c:layout>
              <c:showLegendKey val="0"/>
              <c:showVal val="0"/>
              <c:showCatName val="1"/>
              <c:showSerName val="0"/>
              <c:showPercent val="1"/>
              <c:showBubbleSize val="0"/>
            </c:dLbl>
            <c:dLbl>
              <c:idx val="4"/>
              <c:layout>
                <c:manualLayout>
                  <c:x val="0.25708959675495174"/>
                  <c:y val="4.9265303530607062E-2"/>
                </c:manualLayout>
              </c:layout>
              <c:showLegendKey val="0"/>
              <c:showVal val="0"/>
              <c:showCatName val="1"/>
              <c:showSerName val="0"/>
              <c:showPercent val="1"/>
              <c:showBubbleSize val="0"/>
            </c:dLbl>
            <c:txPr>
              <a:bodyPr/>
              <a:lstStyle/>
              <a:p>
                <a:pPr>
                  <a:defRPr b="1"/>
                </a:pPr>
                <a:endParaRPr lang="en-US"/>
              </a:p>
            </c:txPr>
            <c:showLegendKey val="0"/>
            <c:showVal val="0"/>
            <c:showCatName val="1"/>
            <c:showSerName val="0"/>
            <c:showPercent val="1"/>
            <c:showBubbleSize val="0"/>
            <c:showLeaderLines val="1"/>
          </c:dLbls>
          <c:cat>
            <c:strRef>
              <c:f>Police!$O$18:$O$22</c:f>
              <c:strCache>
                <c:ptCount val="5"/>
                <c:pt idx="0">
                  <c:v>Charges For Services</c:v>
                </c:pt>
                <c:pt idx="1">
                  <c:v>Fines and Forfeits</c:v>
                </c:pt>
                <c:pt idx="2">
                  <c:v>Miscellaneous</c:v>
                </c:pt>
                <c:pt idx="3">
                  <c:v>Appropriated Fund Balance</c:v>
                </c:pt>
                <c:pt idx="4">
                  <c:v>Other Resources</c:v>
                </c:pt>
              </c:strCache>
            </c:strRef>
          </c:cat>
          <c:val>
            <c:numRef>
              <c:f>Police!$P$18:$P$22</c:f>
              <c:numCache>
                <c:formatCode>_(* #,##0_);_(* \(#,##0\);_(* "-"??_);_(@_)</c:formatCode>
                <c:ptCount val="5"/>
                <c:pt idx="0">
                  <c:v>46252</c:v>
                </c:pt>
                <c:pt idx="1">
                  <c:v>255000</c:v>
                </c:pt>
                <c:pt idx="2">
                  <c:v>19000</c:v>
                </c:pt>
                <c:pt idx="3">
                  <c:v>272768</c:v>
                </c:pt>
                <c:pt idx="4">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b" anchorCtr="1"/>
          <a:lstStyle/>
          <a:p>
            <a:pPr>
              <a:defRPr sz="1400" baseline="0">
                <a:solidFill>
                  <a:schemeClr val="bg1"/>
                </a:solidFill>
              </a:defRPr>
            </a:pPr>
            <a:r>
              <a:rPr lang="en-US" sz="1400" b="1" i="0" u="none" strike="noStrike" baseline="0">
                <a:effectLst/>
              </a:rPr>
              <a:t>FY 2015 Proposed </a:t>
            </a:r>
            <a:r>
              <a:rPr lang="en-US" sz="1400" baseline="0">
                <a:solidFill>
                  <a:schemeClr val="bg1"/>
                </a:solidFill>
              </a:rPr>
              <a:t>Expenses</a:t>
            </a:r>
          </a:p>
        </c:rich>
      </c:tx>
      <c:layout>
        <c:manualLayout>
          <c:xMode val="edge"/>
          <c:yMode val="edge"/>
          <c:x val="0.23988874760039139"/>
          <c:y val="2.671362365341102E-3"/>
        </c:manualLayout>
      </c:layout>
      <c:overlay val="0"/>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542466812969126"/>
          <c:y val="6.3491207237746497E-2"/>
          <c:w val="0.77636642769893471"/>
          <c:h val="0.89333090962993711"/>
        </c:manualLayout>
      </c:layout>
      <c:pie3DChart>
        <c:varyColors val="1"/>
        <c:ser>
          <c:idx val="1"/>
          <c:order val="0"/>
          <c:dLbls>
            <c:dLbl>
              <c:idx val="0"/>
              <c:layout>
                <c:manualLayout>
                  <c:x val="-0.11073810862306573"/>
                  <c:y val="-5.401677840407744E-2"/>
                </c:manualLayout>
              </c:layout>
              <c:showLegendKey val="0"/>
              <c:showVal val="0"/>
              <c:showCatName val="1"/>
              <c:showSerName val="0"/>
              <c:showPercent val="1"/>
              <c:showBubbleSize val="0"/>
            </c:dLbl>
            <c:dLbl>
              <c:idx val="1"/>
              <c:layout>
                <c:manualLayout>
                  <c:x val="-5.2909194782909431E-3"/>
                  <c:y val="-0.12150165651212007"/>
                </c:manualLayout>
              </c:layout>
              <c:showLegendKey val="0"/>
              <c:showVal val="0"/>
              <c:showCatName val="1"/>
              <c:showSerName val="0"/>
              <c:showPercent val="1"/>
              <c:showBubbleSize val="0"/>
            </c:dLbl>
            <c:dLbl>
              <c:idx val="2"/>
              <c:layout>
                <c:manualLayout>
                  <c:x val="-2.0383585951400385E-2"/>
                  <c:y val="1.4847525408654298E-2"/>
                </c:manualLayout>
              </c:layout>
              <c:showLegendKey val="0"/>
              <c:showVal val="0"/>
              <c:showCatName val="1"/>
              <c:showSerName val="0"/>
              <c:showPercent val="1"/>
              <c:showBubbleSize val="0"/>
            </c:dLbl>
            <c:dLbl>
              <c:idx val="3"/>
              <c:layout>
                <c:manualLayout>
                  <c:x val="3.141611932688684E-3"/>
                  <c:y val="-0.1371531291725871"/>
                </c:manualLayout>
              </c:layout>
              <c:showLegendKey val="0"/>
              <c:showVal val="0"/>
              <c:showCatName val="1"/>
              <c:showSerName val="0"/>
              <c:showPercent val="1"/>
              <c:showBubbleSize val="0"/>
            </c:dLbl>
            <c:dLbl>
              <c:idx val="4"/>
              <c:layout>
                <c:manualLayout>
                  <c:x val="1.8448546710376181E-2"/>
                  <c:y val="-5.5475760208396181E-2"/>
                </c:manualLayout>
              </c:layout>
              <c:showLegendKey val="0"/>
              <c:showVal val="0"/>
              <c:showCatName val="1"/>
              <c:showSerName val="0"/>
              <c:showPercent val="1"/>
              <c:showBubbleSize val="0"/>
            </c:dLbl>
            <c:dLbl>
              <c:idx val="5"/>
              <c:layout>
                <c:manualLayout>
                  <c:x val="8.3154376658552062E-2"/>
                  <c:y val="-0.11491187292057695"/>
                </c:manualLayout>
              </c:layout>
              <c:showLegendKey val="0"/>
              <c:showVal val="0"/>
              <c:showCatName val="1"/>
              <c:showSerName val="0"/>
              <c:showPercent val="1"/>
              <c:showBubbleSize val="0"/>
            </c:dLbl>
            <c:dLbl>
              <c:idx val="6"/>
              <c:layout>
                <c:manualLayout>
                  <c:x val="0.14187782640566746"/>
                  <c:y val="-4.8034658354149759E-2"/>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Sanitation!$O$7:$O$13</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Sanitation!$Q$7:$Q$13</c:f>
              <c:numCache>
                <c:formatCode>0.0%</c:formatCode>
                <c:ptCount val="7"/>
                <c:pt idx="0">
                  <c:v>0.17</c:v>
                </c:pt>
                <c:pt idx="1">
                  <c:v>0.09</c:v>
                </c:pt>
                <c:pt idx="2">
                  <c:v>0.43</c:v>
                </c:pt>
                <c:pt idx="3">
                  <c:v>0.14000000000000001</c:v>
                </c:pt>
                <c:pt idx="4">
                  <c:v>0.06</c:v>
                </c:pt>
                <c:pt idx="5">
                  <c:v>0.02</c:v>
                </c:pt>
                <c:pt idx="6">
                  <c:v>0.09</c:v>
                </c:pt>
              </c:numCache>
            </c:numRef>
          </c:val>
        </c:ser>
        <c:ser>
          <c:idx val="0"/>
          <c:order val="1"/>
          <c:dLbls>
            <c:dLbl>
              <c:idx val="0"/>
              <c:layout>
                <c:manualLayout>
                  <c:x val="4.6931502184630785E-3"/>
                  <c:y val="-4.2668311132527809E-2"/>
                </c:manualLayout>
              </c:layout>
              <c:tx>
                <c:rich>
                  <a:bodyPr/>
                  <a:lstStyle/>
                  <a:p>
                    <a:r>
                      <a:rPr lang="en-US"/>
                      <a:t> Salaries &amp; Wages 
16.0%</a:t>
                    </a:r>
                  </a:p>
                </c:rich>
              </c:tx>
              <c:showLegendKey val="0"/>
              <c:showVal val="0"/>
              <c:showCatName val="1"/>
              <c:showSerName val="0"/>
              <c:showPercent val="1"/>
              <c:showBubbleSize val="0"/>
            </c:dLbl>
            <c:dLbl>
              <c:idx val="1"/>
              <c:layout>
                <c:manualLayout>
                  <c:x val="3.7432695513080601E-2"/>
                  <c:y val="-5.6803796732863704E-2"/>
                </c:manualLayout>
              </c:layout>
              <c:tx>
                <c:rich>
                  <a:bodyPr/>
                  <a:lstStyle/>
                  <a:p>
                    <a:r>
                      <a:rPr lang="en-US"/>
                      <a:t> Fringe Benefits 
7.0%</a:t>
                    </a:r>
                  </a:p>
                </c:rich>
              </c:tx>
              <c:showLegendKey val="0"/>
              <c:showVal val="0"/>
              <c:showCatName val="1"/>
              <c:showSerName val="0"/>
              <c:showPercent val="1"/>
              <c:showBubbleSize val="0"/>
            </c:dLbl>
            <c:dLbl>
              <c:idx val="2"/>
              <c:layout>
                <c:manualLayout>
                  <c:x val="-0.18168015437499191"/>
                  <c:y val="4.9670424339039329E-2"/>
                </c:manualLayout>
              </c:layout>
              <c:showLegendKey val="0"/>
              <c:showVal val="0"/>
              <c:showCatName val="1"/>
              <c:showSerName val="0"/>
              <c:showPercent val="1"/>
              <c:showBubbleSize val="0"/>
            </c:dLbl>
            <c:dLbl>
              <c:idx val="3"/>
              <c:layout>
                <c:manualLayout>
                  <c:x val="1.830534321437504E-2"/>
                  <c:y val="0.15375315944233425"/>
                </c:manualLayout>
              </c:layout>
              <c:showLegendKey val="0"/>
              <c:showVal val="0"/>
              <c:showCatName val="1"/>
              <c:showSerName val="0"/>
              <c:showPercent val="1"/>
              <c:showBubbleSize val="0"/>
            </c:dLbl>
            <c:dLbl>
              <c:idx val="4"/>
              <c:delete val="1"/>
            </c:dLbl>
            <c:dLbl>
              <c:idx val="5"/>
              <c:layout>
                <c:manualLayout>
                  <c:x val="1.2047173974510409E-2"/>
                  <c:y val="-5.6236230327563239E-2"/>
                </c:manualLayout>
              </c:layout>
              <c:showLegendKey val="0"/>
              <c:showVal val="0"/>
              <c:showCatName val="1"/>
              <c:showSerName val="0"/>
              <c:showPercent val="1"/>
              <c:showBubbleSize val="0"/>
            </c:dLbl>
            <c:dLbl>
              <c:idx val="6"/>
              <c:layout>
                <c:manualLayout>
                  <c:x val="3.2967154400765482E-2"/>
                  <c:y val="-6.2008740649022571E-2"/>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Sanitation!$O$7:$O$13</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Sanitation!$P$7:$P$13</c:f>
              <c:numCache>
                <c:formatCode>_(* #,##0_);_(* \(#,##0\);_(* "-"??_);_(@_)</c:formatCode>
                <c:ptCount val="7"/>
                <c:pt idx="0">
                  <c:v>4433403</c:v>
                </c:pt>
                <c:pt idx="1">
                  <c:v>2227739</c:v>
                </c:pt>
                <c:pt idx="2">
                  <c:v>11202894.4</c:v>
                </c:pt>
                <c:pt idx="3">
                  <c:v>3780022.1</c:v>
                </c:pt>
                <c:pt idx="4">
                  <c:v>1680500</c:v>
                </c:pt>
                <c:pt idx="5">
                  <c:v>534730</c:v>
                </c:pt>
                <c:pt idx="6">
                  <c:v>2310762.31</c:v>
                </c:pt>
              </c:numCache>
            </c:numRef>
          </c:val>
        </c:ser>
        <c:dLbls>
          <c:showLegendKey val="0"/>
          <c:showVal val="0"/>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4342324951316568"/>
          <c:y val="1.2724465387546182E-3"/>
        </c:manualLayout>
      </c:layout>
      <c:overlay val="0"/>
      <c:spPr>
        <a:solidFill>
          <a:sysClr val="windowText" lastClr="000000"/>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5.4006801050765704E-2"/>
          <c:y val="6.8386110499332797E-2"/>
          <c:w val="0.75901363461562188"/>
          <c:h val="0.92263939614143908"/>
        </c:manualLayout>
      </c:layout>
      <c:pie3DChart>
        <c:varyColors val="1"/>
        <c:ser>
          <c:idx val="1"/>
          <c:order val="0"/>
          <c:dLbls>
            <c:dLbl>
              <c:idx val="0"/>
              <c:layout>
                <c:manualLayout>
                  <c:x val="-0.11675944394178409"/>
                  <c:y val="0.23333682733993424"/>
                </c:manualLayout>
              </c:layout>
              <c:dLblPos val="bestFit"/>
              <c:showLegendKey val="0"/>
              <c:showVal val="1"/>
              <c:showCatName val="1"/>
              <c:showSerName val="0"/>
              <c:showPercent val="0"/>
              <c:showBubbleSize val="0"/>
              <c:separator>
</c:separator>
            </c:dLbl>
            <c:dLbl>
              <c:idx val="1"/>
              <c:layout>
                <c:manualLayout>
                  <c:x val="0.1395415064787128"/>
                  <c:y val="8.6753200254866186E-2"/>
                </c:manualLayout>
              </c:layout>
              <c:dLblPos val="bestFit"/>
              <c:showLegendKey val="0"/>
              <c:showVal val="1"/>
              <c:showCatName val="1"/>
              <c:showSerName val="0"/>
              <c:showPercent val="0"/>
              <c:showBubbleSize val="0"/>
              <c:separator>
</c:separator>
            </c:dLbl>
            <c:dLbl>
              <c:idx val="2"/>
              <c:layout>
                <c:manualLayout>
                  <c:x val="2.5630072618539085E-2"/>
                  <c:y val="9.5727929165101339E-2"/>
                </c:manualLayout>
              </c:layout>
              <c:dLblPos val="bestFit"/>
              <c:showLegendKey val="0"/>
              <c:showVal val="1"/>
              <c:showCatName val="1"/>
              <c:showSerName val="0"/>
              <c:showPercent val="0"/>
              <c:showBubbleSize val="0"/>
              <c:separator>
</c:separator>
            </c:dLbl>
            <c:dLbl>
              <c:idx val="3"/>
              <c:layout>
                <c:manualLayout>
                  <c:x val="0"/>
                  <c:y val="-0.13162590260201421"/>
                </c:manualLayout>
              </c:layout>
              <c:dLblPos val="bestFit"/>
              <c:showLegendKey val="0"/>
              <c:showVal val="1"/>
              <c:showCatName val="1"/>
              <c:showSerName val="0"/>
              <c:showPercent val="0"/>
              <c:showBubbleSize val="0"/>
              <c:separator>
</c:separator>
            </c:dLbl>
            <c:dLbl>
              <c:idx val="4"/>
              <c:layout>
                <c:manualLayout>
                  <c:x val="0.10252029047415634"/>
                  <c:y val="-6.8804449087416508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Sanitation!$O$16:$O$20</c:f>
              <c:strCache>
                <c:ptCount val="5"/>
                <c:pt idx="0">
                  <c:v>Charges For Services</c:v>
                </c:pt>
                <c:pt idx="1">
                  <c:v>Miscellaneous</c:v>
                </c:pt>
                <c:pt idx="2">
                  <c:v>Other Sources</c:v>
                </c:pt>
                <c:pt idx="3">
                  <c:v>Appropriated Fund Balance</c:v>
                </c:pt>
                <c:pt idx="4">
                  <c:v>Other Resources</c:v>
                </c:pt>
              </c:strCache>
            </c:strRef>
          </c:cat>
          <c:val>
            <c:numRef>
              <c:f>Sanitation!$Q$16:$Q$20</c:f>
              <c:numCache>
                <c:formatCode>0.0%</c:formatCode>
                <c:ptCount val="5"/>
                <c:pt idx="0">
                  <c:v>0.57899999999999996</c:v>
                </c:pt>
                <c:pt idx="1">
                  <c:v>4.0000000000000001E-3</c:v>
                </c:pt>
                <c:pt idx="2">
                  <c:v>0.115</c:v>
                </c:pt>
                <c:pt idx="3">
                  <c:v>0.214</c:v>
                </c:pt>
                <c:pt idx="4">
                  <c:v>8.7999999999999995E-2</c:v>
                </c:pt>
              </c:numCache>
            </c:numRef>
          </c:val>
        </c:ser>
        <c:dLbls>
          <c:showLegendKey val="0"/>
          <c:showVal val="0"/>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7599557270591824"/>
          <c:y val="3.4752228059868563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4304551662844794"/>
          <c:y val="5.2828912274996095E-4"/>
          <c:w val="0.77456346733636661"/>
          <c:h val="0.93719256167009302"/>
        </c:manualLayout>
      </c:layout>
      <c:pie3DChart>
        <c:varyColors val="1"/>
        <c:ser>
          <c:idx val="1"/>
          <c:order val="0"/>
          <c:spPr>
            <a:solidFill>
              <a:schemeClr val="accent3"/>
            </a:solidFill>
          </c:spPr>
          <c:dPt>
            <c:idx val="1"/>
            <c:bubble3D val="0"/>
            <c:spPr>
              <a:solidFill>
                <a:schemeClr val="accent1"/>
              </a:solidFill>
            </c:spPr>
          </c:dPt>
          <c:dLbls>
            <c:dLbl>
              <c:idx val="0"/>
              <c:layout>
                <c:manualLayout>
                  <c:x val="0"/>
                  <c:y val="2.2556386526081634E-2"/>
                </c:manualLayout>
              </c:layout>
              <c:dLblPos val="bestFit"/>
              <c:showLegendKey val="0"/>
              <c:showVal val="1"/>
              <c:showCatName val="1"/>
              <c:showSerName val="0"/>
              <c:showPercent val="0"/>
              <c:showBubbleSize val="0"/>
              <c:separator>
</c:separator>
            </c:dLbl>
            <c:dLbl>
              <c:idx val="1"/>
              <c:layout>
                <c:manualLayout>
                  <c:x val="-1.1001102492377731E-2"/>
                  <c:y val="-3.0075182034775515E-2"/>
                </c:manualLayout>
              </c:layout>
              <c:dLblPos val="bestFit"/>
              <c:showLegendKey val="0"/>
              <c:showVal val="1"/>
              <c:showCatName val="1"/>
              <c:showSerName val="0"/>
              <c:showPercent val="0"/>
              <c:showBubbleSize val="0"/>
            </c:dLbl>
            <c:dLbl>
              <c:idx val="2"/>
              <c:layout>
                <c:manualLayout>
                  <c:x val="1.1001102492377731E-2"/>
                  <c:y val="-3.2581447204340162E-2"/>
                </c:manualLayout>
              </c:layout>
              <c:dLblPos val="bestFit"/>
              <c:showLegendKey val="0"/>
              <c:showVal val="1"/>
              <c:showCatName val="1"/>
              <c:showSerName val="0"/>
              <c:showPercent val="0"/>
              <c:showBubbleSize val="0"/>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'School Crossing Guard'!$O$8:$O$9</c:f>
              <c:strCache>
                <c:ptCount val="2"/>
                <c:pt idx="0">
                  <c:v>Services &amp; Materials</c:v>
                </c:pt>
                <c:pt idx="1">
                  <c:v>Total Other Uses</c:v>
                </c:pt>
              </c:strCache>
            </c:strRef>
          </c:cat>
          <c:val>
            <c:numRef>
              <c:f>'School Crossing Guard'!$Q$8:$Q$9</c:f>
              <c:numCache>
                <c:formatCode>0.0%</c:formatCode>
                <c:ptCount val="2"/>
                <c:pt idx="0">
                  <c:v>0.86699999999999999</c:v>
                </c:pt>
                <c:pt idx="1">
                  <c:v>0.13300000000000001</c:v>
                </c:pt>
              </c:numCache>
            </c:numRef>
          </c:val>
        </c:ser>
        <c:ser>
          <c:idx val="0"/>
          <c:order val="1"/>
          <c:dLbls>
            <c:dLbl>
              <c:idx val="0"/>
              <c:delete val="1"/>
            </c:dLbl>
            <c:dLbl>
              <c:idx val="1"/>
              <c:delete val="1"/>
            </c:dLbl>
            <c:dLbl>
              <c:idx val="2"/>
              <c:layout>
                <c:manualLayout>
                  <c:x val="0.18215014126418902"/>
                  <c:y val="6.0923503641254859E-2"/>
                </c:manualLayout>
              </c:layout>
              <c:dLblPos val="bestFit"/>
              <c:showLegendKey val="0"/>
              <c:showVal val="0"/>
              <c:showCatName val="1"/>
              <c:showSerName val="0"/>
              <c:showPercent val="1"/>
              <c:showBubbleSize val="0"/>
            </c:dLbl>
            <c:dLbl>
              <c:idx val="3"/>
              <c:layout>
                <c:manualLayout>
                  <c:x val="0.24737640946735734"/>
                  <c:y val="2.241667187678149E-2"/>
                </c:manualLayout>
              </c:layout>
              <c:dLblPos val="bestFit"/>
              <c:showLegendKey val="0"/>
              <c:showVal val="0"/>
              <c:showCatName val="1"/>
              <c:showSerName val="0"/>
              <c:showPercent val="1"/>
              <c:showBubbleSize val="0"/>
            </c:dLbl>
            <c:dLbl>
              <c:idx val="4"/>
              <c:layout>
                <c:manualLayout>
                  <c:x val="0.49858631325543079"/>
                  <c:y val="-0.18642024595104509"/>
                </c:manualLayout>
              </c:layout>
              <c:dLblPos val="bestFit"/>
              <c:showLegendKey val="0"/>
              <c:showVal val="0"/>
              <c:showCatName val="1"/>
              <c:showSerName val="0"/>
              <c:showPercent val="1"/>
              <c:showBubbleSize val="0"/>
            </c:dLbl>
            <c:dLbl>
              <c:idx val="5"/>
              <c:layout>
                <c:manualLayout>
                  <c:x val="-7.1114816858083999E-3"/>
                  <c:y val="2.7747771019734087E-2"/>
                </c:manualLayout>
              </c:layout>
              <c:dLblPos val="bestFit"/>
              <c:showLegendKey val="0"/>
              <c:showVal val="0"/>
              <c:showCatName val="1"/>
              <c:showSerName val="0"/>
              <c:showPercent val="1"/>
              <c:showBubbleSize val="0"/>
            </c:dLbl>
            <c:dLbl>
              <c:idx val="6"/>
              <c:layout>
                <c:manualLayout>
                  <c:x val="0.24467887473460717"/>
                  <c:y val="-1.5284529298337736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'School Crossing Guard'!$O$8:$O$9</c:f>
              <c:strCache>
                <c:ptCount val="2"/>
                <c:pt idx="0">
                  <c:v>Services &amp; Materials</c:v>
                </c:pt>
                <c:pt idx="1">
                  <c:v>Total Other Uses</c:v>
                </c:pt>
              </c:strCache>
            </c:strRef>
          </c:cat>
          <c:val>
            <c:numRef>
              <c:f>'School Crossing Guard'!$Q$8:$Q$9</c:f>
              <c:numCache>
                <c:formatCode>0.0%</c:formatCode>
                <c:ptCount val="2"/>
                <c:pt idx="0">
                  <c:v>0.86699999999999999</c:v>
                </c:pt>
                <c:pt idx="1">
                  <c:v>0.13300000000000001</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9148856697771402"/>
          <c:y val="1.2176834280963112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7270707865242603E-2"/>
          <c:y val="1.6332157001259685E-4"/>
          <c:w val="0.77467201606577463"/>
          <c:h val="0.93780964675654299"/>
        </c:manualLayout>
      </c:layout>
      <c:pie3DChart>
        <c:varyColors val="1"/>
        <c:ser>
          <c:idx val="0"/>
          <c:order val="0"/>
          <c:dLbls>
            <c:dLbl>
              <c:idx val="0"/>
              <c:layout>
                <c:manualLayout>
                  <c:x val="-4.2616708669410211E-2"/>
                  <c:y val="5.523336229881752E-2"/>
                </c:manualLayout>
              </c:layout>
              <c:numFmt formatCode="0.0%" sourceLinked="0"/>
              <c:spPr/>
              <c:txPr>
                <a:bodyPr/>
                <a:lstStyle/>
                <a:p>
                  <a:pPr>
                    <a:defRPr sz="1000" b="1">
                      <a:latin typeface="+mn-lt"/>
                    </a:defRPr>
                  </a:pPr>
                  <a:endParaRPr lang="en-US"/>
                </a:p>
              </c:txPr>
              <c:dLblPos val="bestFit"/>
              <c:showLegendKey val="0"/>
              <c:showVal val="0"/>
              <c:showCatName val="1"/>
              <c:showSerName val="0"/>
              <c:showPercent val="1"/>
              <c:showBubbleSize val="0"/>
            </c:dLbl>
            <c:dLbl>
              <c:idx val="1"/>
              <c:layout>
                <c:manualLayout>
                  <c:x val="0.11320460792434672"/>
                  <c:y val="-3.6643421344644461E-2"/>
                </c:manualLayout>
              </c:layout>
              <c:numFmt formatCode="0.0%" sourceLinked="0"/>
              <c:spPr/>
              <c:txPr>
                <a:bodyPr/>
                <a:lstStyle/>
                <a:p>
                  <a:pPr>
                    <a:defRPr sz="1000" b="1">
                      <a:latin typeface="+mn-lt"/>
                    </a:defRPr>
                  </a:pPr>
                  <a:endParaRPr lang="en-US"/>
                </a:p>
              </c:txPr>
              <c:showLegendKey val="0"/>
              <c:showVal val="0"/>
              <c:showCatName val="1"/>
              <c:showSerName val="0"/>
              <c:showPercent val="1"/>
              <c:showBubbleSize val="0"/>
            </c:dLbl>
            <c:dLbl>
              <c:idx val="2"/>
              <c:layout>
                <c:manualLayout>
                  <c:x val="0.14202775752788541"/>
                  <c:y val="-1.9854510957392605E-2"/>
                </c:manualLayout>
              </c:layout>
              <c:numFmt formatCode="0.0%" sourceLinked="0"/>
              <c:spPr/>
              <c:txPr>
                <a:bodyPr/>
                <a:lstStyle/>
                <a:p>
                  <a:pPr>
                    <a:defRPr sz="1000" b="1">
                      <a:latin typeface="+mn-lt"/>
                    </a:defRPr>
                  </a:pPr>
                  <a:endParaRPr lang="en-US"/>
                </a:p>
              </c:txPr>
              <c:showLegendKey val="0"/>
              <c:showVal val="0"/>
              <c:showCatName val="1"/>
              <c:showSerName val="0"/>
              <c:showPercent val="1"/>
              <c:showBubbleSize val="0"/>
            </c:dLbl>
            <c:dLbl>
              <c:idx val="3"/>
              <c:showLegendKey val="0"/>
              <c:showVal val="0"/>
              <c:showCatName val="1"/>
              <c:showSerName val="0"/>
              <c:showPercent val="1"/>
              <c:showBubbleSize val="0"/>
            </c:dLbl>
            <c:dLbl>
              <c:idx val="4"/>
              <c:layout>
                <c:manualLayout>
                  <c:x val="0.49858631325543079"/>
                  <c:y val="-0.18642024595104509"/>
                </c:manualLayout>
              </c:layout>
              <c:dLblPos val="bestFit"/>
              <c:showLegendKey val="0"/>
              <c:showVal val="0"/>
              <c:showCatName val="1"/>
              <c:showSerName val="0"/>
              <c:showPercent val="1"/>
              <c:showBubbleSize val="0"/>
            </c:dLbl>
            <c:dLbl>
              <c:idx val="5"/>
              <c:layout>
                <c:manualLayout>
                  <c:x val="-7.1114816858083999E-3"/>
                  <c:y val="2.7747771019734087E-2"/>
                </c:manualLayout>
              </c:layout>
              <c:dLblPos val="bestFit"/>
              <c:showLegendKey val="0"/>
              <c:showVal val="0"/>
              <c:showCatName val="1"/>
              <c:showSerName val="0"/>
              <c:showPercent val="1"/>
              <c:showBubbleSize val="0"/>
            </c:dLbl>
            <c:dLbl>
              <c:idx val="6"/>
              <c:layout>
                <c:manualLayout>
                  <c:x val="0.24467887473460717"/>
                  <c:y val="-1.5284529298337736E-2"/>
                </c:manualLayout>
              </c:layout>
              <c:dLblPos val="bestFit"/>
              <c:showLegendKey val="0"/>
              <c:showVal val="0"/>
              <c:showCatName val="1"/>
              <c:showSerName val="0"/>
              <c:showPercent val="1"/>
              <c:showBubbleSize val="0"/>
            </c:dLbl>
            <c:numFmt formatCode="0.0%" sourceLinked="0"/>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'School Crossing Guard'!$O$15:$O$17</c:f>
              <c:strCache>
                <c:ptCount val="3"/>
                <c:pt idx="0">
                  <c:v>Fines and Forfeits</c:v>
                </c:pt>
                <c:pt idx="1">
                  <c:v>Total Other Resources</c:v>
                </c:pt>
                <c:pt idx="2">
                  <c:v>Appropriated Fund Balance</c:v>
                </c:pt>
              </c:strCache>
            </c:strRef>
          </c:cat>
          <c:val>
            <c:numRef>
              <c:f>'School Crossing Guard'!$P$15:$P$17</c:f>
              <c:numCache>
                <c:formatCode>_(* #,##0_);_(* \(#,##0\);_(* "-"??_);_(@_)</c:formatCode>
                <c:ptCount val="3"/>
                <c:pt idx="0">
                  <c:v>872600</c:v>
                </c:pt>
                <c:pt idx="1">
                  <c:v>137125.75</c:v>
                </c:pt>
                <c:pt idx="2">
                  <c:v>20412</c:v>
                </c:pt>
              </c:numCache>
            </c:numRef>
          </c:val>
        </c:ser>
        <c:ser>
          <c:idx val="1"/>
          <c:order val="1"/>
          <c:dLbls>
            <c:dLbl>
              <c:idx val="0"/>
              <c:layout>
                <c:manualLayout>
                  <c:x val="-9.4182597555093339E-2"/>
                  <c:y val="3.8541936915676152E-2"/>
                </c:manualLayout>
              </c:layout>
              <c:tx>
                <c:rich>
                  <a:bodyPr/>
                  <a:lstStyle/>
                  <a:p>
                    <a:r>
                      <a:rPr lang="en-US"/>
                      <a:t> Fines &amp; Forfeits 
100.0%</a:t>
                    </a:r>
                  </a:p>
                </c:rich>
              </c:tx>
              <c:dLblPos val="bestFit"/>
              <c:showLegendKey val="0"/>
              <c:showVal val="1"/>
              <c:showCatName val="1"/>
              <c:showSerName val="0"/>
              <c:showPercent val="0"/>
              <c:showBubbleSize val="0"/>
              <c:separator>
</c:separator>
            </c:dLbl>
            <c:dLbl>
              <c:idx val="1"/>
              <c:delete val="1"/>
            </c:dLbl>
            <c:dLbl>
              <c:idx val="2"/>
              <c:delete val="1"/>
            </c:dLbl>
            <c:dLbl>
              <c:idx val="3"/>
              <c:delete val="1"/>
            </c:dLbl>
            <c:txPr>
              <a:bodyPr/>
              <a:lstStyle/>
              <a:p>
                <a:pPr>
                  <a:defRPr b="1"/>
                </a:pPr>
                <a:endParaRPr lang="en-US"/>
              </a:p>
            </c:txPr>
            <c:showLegendKey val="0"/>
            <c:showVal val="1"/>
            <c:showCatName val="0"/>
            <c:showSerName val="0"/>
            <c:showPercent val="0"/>
            <c:showBubbleSize val="0"/>
            <c:showLeaderLines val="1"/>
          </c:dLbls>
          <c:cat>
            <c:strRef>
              <c:f>'School Crossing Guard'!$O$15:$O$17</c:f>
              <c:strCache>
                <c:ptCount val="3"/>
                <c:pt idx="0">
                  <c:v>Fines and Forfeits</c:v>
                </c:pt>
                <c:pt idx="1">
                  <c:v>Total Other Resources</c:v>
                </c:pt>
                <c:pt idx="2">
                  <c:v>Appropriated Fund Balance</c:v>
                </c:pt>
              </c:strCache>
            </c:strRef>
          </c:cat>
          <c:val>
            <c:numRef>
              <c:f>'School Crossing Guard'!$Q$15:$Q$16</c:f>
              <c:numCache>
                <c:formatCode>0.0%</c:formatCode>
                <c:ptCount val="2"/>
                <c:pt idx="0">
                  <c:v>0.84699999999999998</c:v>
                </c:pt>
                <c:pt idx="1">
                  <c:v>0.13300000000000001</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4554973256020099"/>
          <c:y val="1.7546397961994236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1159612050141179"/>
          <c:y val="7.8207935318824223E-2"/>
          <c:w val="0.76467113768933748"/>
          <c:h val="0.91090326653227149"/>
        </c:manualLayout>
      </c:layout>
      <c:pie3DChart>
        <c:varyColors val="1"/>
        <c:ser>
          <c:idx val="1"/>
          <c:order val="0"/>
          <c:dLbls>
            <c:dLbl>
              <c:idx val="0"/>
              <c:layout>
                <c:manualLayout>
                  <c:x val="0.10314852529759974"/>
                  <c:y val="-4.0785622499515041E-2"/>
                </c:manualLayout>
              </c:layout>
              <c:dLblPos val="bestFit"/>
              <c:showLegendKey val="0"/>
              <c:showVal val="1"/>
              <c:showCatName val="1"/>
              <c:showSerName val="0"/>
              <c:showPercent val="0"/>
              <c:showBubbleSize val="0"/>
              <c:separator>
</c:separator>
            </c:dLbl>
            <c:dLbl>
              <c:idx val="1"/>
              <c:layout>
                <c:manualLayout>
                  <c:x val="4.7469807624952974E-2"/>
                  <c:y val="4.0178807783775902E-2"/>
                </c:manualLayout>
              </c:layout>
              <c:dLblPos val="bestFit"/>
              <c:showLegendKey val="0"/>
              <c:showVal val="1"/>
              <c:showCatName val="1"/>
              <c:showSerName val="0"/>
              <c:showPercent val="0"/>
              <c:showBubbleSize val="0"/>
              <c:separator>
</c:separator>
            </c:dLbl>
            <c:dLbl>
              <c:idx val="2"/>
              <c:layout>
                <c:manualLayout>
                  <c:x val="-0.13835890983149346"/>
                  <c:y val="-6.3110445208232183E-2"/>
                </c:manualLayout>
              </c:layout>
              <c:showLegendKey val="0"/>
              <c:showVal val="1"/>
              <c:showCatName val="1"/>
              <c:showSerName val="0"/>
              <c:showPercent val="0"/>
              <c:showBubbleSize val="0"/>
            </c:dLbl>
            <c:dLbl>
              <c:idx val="3"/>
              <c:delete val="1"/>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'Self-Insured Health'!$O$8:$O$11</c:f>
              <c:strCache>
                <c:ptCount val="4"/>
                <c:pt idx="0">
                  <c:v>Services &amp; Materials</c:v>
                </c:pt>
                <c:pt idx="1">
                  <c:v>Other Operating Expenses</c:v>
                </c:pt>
                <c:pt idx="2">
                  <c:v>Capital Outlay</c:v>
                </c:pt>
                <c:pt idx="3">
                  <c:v>Other Uses</c:v>
                </c:pt>
              </c:strCache>
            </c:strRef>
          </c:cat>
          <c:val>
            <c:numRef>
              <c:f>'Self-Insured Health'!$Q$8:$Q$11</c:f>
              <c:numCache>
                <c:formatCode>0.0%</c:formatCode>
                <c:ptCount val="4"/>
                <c:pt idx="0">
                  <c:v>1.4999999999999999E-2</c:v>
                </c:pt>
                <c:pt idx="1">
                  <c:v>0.98199999999999998</c:v>
                </c:pt>
                <c:pt idx="2">
                  <c:v>3.0000000000000001E-3</c:v>
                </c:pt>
                <c:pt idx="3">
                  <c:v>0</c:v>
                </c:pt>
              </c:numCache>
            </c:numRef>
          </c:val>
        </c:ser>
        <c:ser>
          <c:idx val="0"/>
          <c:order val="1"/>
          <c:dLbls>
            <c:dLbl>
              <c:idx val="0"/>
              <c:layout>
                <c:manualLayout>
                  <c:x val="0.10475107468058537"/>
                  <c:y val="-4.5089354981069842E-2"/>
                </c:manualLayout>
              </c:layout>
              <c:tx>
                <c:rich>
                  <a:bodyPr/>
                  <a:lstStyle/>
                  <a:p>
                    <a:r>
                      <a:rPr lang="en-US" sz="1000"/>
                      <a:t> </a:t>
                    </a:r>
                    <a:r>
                      <a:rPr lang="en-US"/>
                      <a:t>Services/</a:t>
                    </a:r>
                  </a:p>
                  <a:p>
                    <a:r>
                      <a:rPr lang="en-US"/>
                      <a:t>Materials 
1%</a:t>
                    </a:r>
                  </a:p>
                </c:rich>
              </c:tx>
              <c:dLblPos val="bestFit"/>
              <c:showLegendKey val="0"/>
              <c:showVal val="0"/>
              <c:showCatName val="1"/>
              <c:showSerName val="0"/>
              <c:showPercent val="1"/>
              <c:showBubbleSize val="0"/>
            </c:dLbl>
            <c:dLbl>
              <c:idx val="1"/>
              <c:layout>
                <c:manualLayout>
                  <c:x val="0.15408814638910903"/>
                  <c:y val="3.3054344601774637E-3"/>
                </c:manualLayout>
              </c:layout>
              <c:dLblPos val="bestFit"/>
              <c:showLegendKey val="0"/>
              <c:showVal val="0"/>
              <c:showCatName val="1"/>
              <c:showSerName val="0"/>
              <c:showPercent val="1"/>
              <c:showBubbleSize val="0"/>
            </c:dLbl>
            <c:dLbl>
              <c:idx val="2"/>
              <c:delete val="1"/>
            </c:dLbl>
            <c:dLbl>
              <c:idx val="3"/>
              <c:layout>
                <c:manualLayout>
                  <c:x val="1.0809582742931649E-3"/>
                  <c:y val="-3.9101200845469614E-2"/>
                </c:manualLayout>
              </c:layout>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'Self-Insured Health'!$O$8:$O$11</c:f>
              <c:strCache>
                <c:ptCount val="4"/>
                <c:pt idx="0">
                  <c:v>Services &amp; Materials</c:v>
                </c:pt>
                <c:pt idx="1">
                  <c:v>Other Operating Expenses</c:v>
                </c:pt>
                <c:pt idx="2">
                  <c:v>Capital Outlay</c:v>
                </c:pt>
                <c:pt idx="3">
                  <c:v>Other Uses</c:v>
                </c:pt>
              </c:strCache>
            </c:strRef>
          </c:cat>
          <c:val>
            <c:numRef>
              <c:f>'Self-Insured Health'!$P$8:$P$11</c:f>
              <c:numCache>
                <c:formatCode>_(* #,##0_);_(* \(#,##0\);_(* "-"??_);_(@_)</c:formatCode>
                <c:ptCount val="4"/>
                <c:pt idx="0">
                  <c:v>269000</c:v>
                </c:pt>
                <c:pt idx="1">
                  <c:v>17912232</c:v>
                </c:pt>
                <c:pt idx="2">
                  <c:v>50000</c:v>
                </c:pt>
                <c:pt idx="3">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423302284093077"/>
          <c:y val="1.9471077408958377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4.1563811050434208E-3"/>
          <c:y val="8.2935536548691166E-2"/>
          <c:w val="0.75892773033612482"/>
          <c:h val="0.9143266126641767"/>
        </c:manualLayout>
      </c:layout>
      <c:pie3DChart>
        <c:varyColors val="1"/>
        <c:ser>
          <c:idx val="1"/>
          <c:order val="0"/>
          <c:dLbls>
            <c:dLbl>
              <c:idx val="0"/>
              <c:layout>
                <c:manualLayout>
                  <c:x val="1.7580108274236696E-2"/>
                  <c:y val="4.3457237249861218E-2"/>
                </c:manualLayout>
              </c:layout>
              <c:dLblPos val="bestFit"/>
              <c:showLegendKey val="0"/>
              <c:showVal val="1"/>
              <c:showCatName val="1"/>
              <c:showSerName val="0"/>
              <c:showPercent val="0"/>
              <c:showBubbleSize val="0"/>
              <c:separator>
</c:separator>
            </c:dLbl>
            <c:dLbl>
              <c:idx val="1"/>
              <c:layout>
                <c:manualLayout>
                  <c:x val="-4.5724306741055487E-2"/>
                  <c:y val="1.0254868038825742E-2"/>
                </c:manualLayout>
              </c:layout>
              <c:dLblPos val="bestFit"/>
              <c:showLegendKey val="0"/>
              <c:showVal val="1"/>
              <c:showCatName val="1"/>
              <c:showSerName val="0"/>
              <c:showPercent val="0"/>
              <c:showBubbleSize val="0"/>
              <c:separator>
</c:separator>
            </c:dLbl>
            <c:dLbl>
              <c:idx val="2"/>
              <c:layout>
                <c:manualLayout>
                  <c:x val="2.7209321312102359E-3"/>
                  <c:y val="-4.1776800487208096E-2"/>
                </c:manualLayout>
              </c:layout>
              <c:showLegendKey val="0"/>
              <c:showVal val="1"/>
              <c:showCatName val="1"/>
              <c:showSerName val="0"/>
              <c:showPercent val="0"/>
              <c:showBubbleSize val="0"/>
            </c:dLbl>
            <c:dLbl>
              <c:idx val="3"/>
              <c:layout>
                <c:manualLayout>
                  <c:x val="6.6453007050216437E-2"/>
                  <c:y val="-7.1891003357639843E-2"/>
                </c:manualLayout>
              </c:layout>
              <c:dLblPos val="bestFit"/>
              <c:showLegendKey val="0"/>
              <c:showVal val="1"/>
              <c:showCatName val="1"/>
              <c:showSerName val="0"/>
              <c:showPercent val="0"/>
              <c:showBubbleSize val="0"/>
              <c:separator>
</c:separator>
            </c:dLbl>
            <c:dLbl>
              <c:idx val="4"/>
              <c:layout>
                <c:manualLayout>
                  <c:x val="0.16241882256092874"/>
                  <c:y val="-7.3921971252566762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'Self-Insured Health'!$O$14:$O$18</c:f>
              <c:strCache>
                <c:ptCount val="5"/>
                <c:pt idx="0">
                  <c:v>Charges For Services</c:v>
                </c:pt>
                <c:pt idx="1">
                  <c:v>Miscellaneous</c:v>
                </c:pt>
                <c:pt idx="2">
                  <c:v>Appropriated Fund Balance</c:v>
                </c:pt>
                <c:pt idx="3">
                  <c:v>Other Resources</c:v>
                </c:pt>
                <c:pt idx="4">
                  <c:v>Due To General Fund</c:v>
                </c:pt>
              </c:strCache>
            </c:strRef>
          </c:cat>
          <c:val>
            <c:numRef>
              <c:f>'Self-Insured Health'!$Q$14:$Q$18</c:f>
              <c:numCache>
                <c:formatCode>0.0%</c:formatCode>
                <c:ptCount val="5"/>
                <c:pt idx="0">
                  <c:v>0.93799999999999994</c:v>
                </c:pt>
                <c:pt idx="1">
                  <c:v>1.4E-2</c:v>
                </c:pt>
                <c:pt idx="2">
                  <c:v>4.8000000000000001E-2</c:v>
                </c:pt>
                <c:pt idx="3">
                  <c:v>-1.7999999999999999E-2</c:v>
                </c:pt>
                <c:pt idx="4">
                  <c:v>1.7999999999999999E-2</c:v>
                </c:pt>
              </c:numCache>
            </c:numRef>
          </c:val>
        </c:ser>
        <c:ser>
          <c:idx val="0"/>
          <c:order val="1"/>
          <c:dLbls>
            <c:dLbl>
              <c:idx val="0"/>
              <c:layout>
                <c:manualLayout>
                  <c:x val="-2.8866926824762742E-2"/>
                  <c:y val="3.0026298977436274E-2"/>
                </c:manualLayout>
              </c:layout>
              <c:numFmt formatCode="0.0%" sourceLinked="0"/>
              <c:spPr/>
              <c:txPr>
                <a:bodyPr/>
                <a:lstStyle/>
                <a:p>
                  <a:pPr>
                    <a:defRPr sz="1000" b="1">
                      <a:latin typeface="+mn-lt"/>
                    </a:defRPr>
                  </a:pPr>
                  <a:endParaRPr lang="en-US"/>
                </a:p>
              </c:txPr>
              <c:dLblPos val="bestFit"/>
              <c:showLegendKey val="0"/>
              <c:showVal val="0"/>
              <c:showCatName val="1"/>
              <c:showSerName val="0"/>
              <c:showPercent val="1"/>
              <c:showBubbleSize val="0"/>
            </c:dLbl>
            <c:dLbl>
              <c:idx val="1"/>
              <c:delete val="1"/>
            </c:dLbl>
            <c:dLbl>
              <c:idx val="2"/>
              <c:layout>
                <c:manualLayout>
                  <c:x val="-4.3049990403321164E-3"/>
                  <c:y val="-3.2454875012004648E-2"/>
                </c:manualLayout>
              </c:layout>
              <c:numFmt formatCode="0.0%" sourceLinked="0"/>
              <c:spPr/>
              <c:txPr>
                <a:bodyPr/>
                <a:lstStyle/>
                <a:p>
                  <a:pPr>
                    <a:defRPr sz="1000" b="1">
                      <a:latin typeface="+mn-lt"/>
                    </a:defRPr>
                  </a:pPr>
                  <a:endParaRPr lang="en-US"/>
                </a:p>
              </c:txPr>
              <c:dLblPos val="bestFit"/>
              <c:showLegendKey val="0"/>
              <c:showVal val="0"/>
              <c:showCatName val="1"/>
              <c:showSerName val="0"/>
              <c:showPercent val="1"/>
              <c:showBubbleSize val="0"/>
            </c:dLbl>
            <c:dLbl>
              <c:idx val="3"/>
              <c:layout>
                <c:manualLayout>
                  <c:x val="4.0798443679342974E-2"/>
                  <c:y val="-4.5650278069066672E-2"/>
                </c:manualLayout>
              </c:layout>
              <c:numFmt formatCode="0.0%" sourceLinked="0"/>
              <c:spPr/>
              <c:txPr>
                <a:bodyPr/>
                <a:lstStyle/>
                <a:p>
                  <a:pPr>
                    <a:defRPr sz="1000" b="1">
                      <a:latin typeface="+mn-lt"/>
                    </a:defRPr>
                  </a:pPr>
                  <a:endParaRPr lang="en-US"/>
                </a:p>
              </c:txPr>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'Self-Insured Health'!$O$14:$O$18</c:f>
              <c:strCache>
                <c:ptCount val="5"/>
                <c:pt idx="0">
                  <c:v>Charges For Services</c:v>
                </c:pt>
                <c:pt idx="1">
                  <c:v>Miscellaneous</c:v>
                </c:pt>
                <c:pt idx="2">
                  <c:v>Appropriated Fund Balance</c:v>
                </c:pt>
                <c:pt idx="3">
                  <c:v>Other Resources</c:v>
                </c:pt>
                <c:pt idx="4">
                  <c:v>Due To General Fund</c:v>
                </c:pt>
              </c:strCache>
            </c:strRef>
          </c:cat>
          <c:val>
            <c:numRef>
              <c:f>'Self-Insured Health'!$P$14:$P$17</c:f>
              <c:numCache>
                <c:formatCode>_(* #,##0_);_(* \(#,##0\);_(* "-"??_);_(@_)</c:formatCode>
                <c:ptCount val="4"/>
                <c:pt idx="0">
                  <c:v>17101447</c:v>
                </c:pt>
                <c:pt idx="1">
                  <c:v>251113</c:v>
                </c:pt>
                <c:pt idx="2">
                  <c:v>878672</c:v>
                </c:pt>
                <c:pt idx="3">
                  <c:v>-328449</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6351169705319399"/>
          <c:y val="6.8565451101589307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3739447958532641"/>
          <c:y val="6.5251736634977908E-2"/>
          <c:w val="0.82255787630633015"/>
          <c:h val="0.93205900694442234"/>
        </c:manualLayout>
      </c:layout>
      <c:pie3DChart>
        <c:varyColors val="1"/>
        <c:ser>
          <c:idx val="1"/>
          <c:order val="0"/>
          <c:dPt>
            <c:idx val="5"/>
            <c:bubble3D val="0"/>
            <c:spPr>
              <a:solidFill>
                <a:schemeClr val="accent4"/>
              </a:solidFill>
            </c:spPr>
          </c:dPt>
          <c:dLbls>
            <c:dLbl>
              <c:idx val="0"/>
              <c:layout>
                <c:manualLayout>
                  <c:x val="-9.5414478043373566E-2"/>
                  <c:y val="-6.1421134379178802E-2"/>
                </c:manualLayout>
              </c:layout>
              <c:dLblPos val="bestFit"/>
              <c:showLegendKey val="0"/>
              <c:showVal val="1"/>
              <c:showCatName val="1"/>
              <c:showSerName val="0"/>
              <c:showPercent val="0"/>
              <c:showBubbleSize val="0"/>
              <c:separator>
</c:separator>
            </c:dLbl>
            <c:dLbl>
              <c:idx val="1"/>
              <c:delete val="1"/>
            </c:dLbl>
            <c:dLbl>
              <c:idx val="2"/>
              <c:delete val="1"/>
            </c:dLbl>
            <c:dLbl>
              <c:idx val="3"/>
              <c:delete val="1"/>
            </c:dLbl>
            <c:dLbl>
              <c:idx val="4"/>
              <c:delete val="1"/>
            </c:dLbl>
            <c:dLbl>
              <c:idx val="5"/>
              <c:layout>
                <c:manualLayout>
                  <c:x val="0.2356877165577802"/>
                  <c:y val="4.3908146011801062E-2"/>
                </c:manualLayout>
              </c:layout>
              <c:dLblPos val="bestFit"/>
              <c:showLegendKey val="0"/>
              <c:showVal val="1"/>
              <c:showCatName val="1"/>
              <c:showSerName val="0"/>
              <c:showPercent val="0"/>
              <c:showBubbleSize val="0"/>
              <c:separator>
</c:separator>
            </c:dLbl>
            <c:dLbl>
              <c:idx val="6"/>
              <c:delete val="1"/>
            </c:dLbl>
            <c:dLbl>
              <c:idx val="7"/>
              <c:delete val="1"/>
            </c:dLbl>
            <c:dLbl>
              <c:idx val="8"/>
              <c:layout>
                <c:manualLayout>
                  <c:x val="1.3194633469650113E-2"/>
                  <c:y val="-4.4867423068179473E-2"/>
                </c:manualLayout>
              </c:layout>
              <c:dLblPos val="bestFit"/>
              <c:showLegendKey val="0"/>
              <c:showVal val="1"/>
              <c:showCatName val="1"/>
              <c:showSerName val="0"/>
              <c:showPercent val="0"/>
              <c:showBubbleSize val="0"/>
              <c:separator>
</c:separator>
            </c:dLbl>
            <c:txPr>
              <a:bodyPr/>
              <a:lstStyle/>
              <a:p>
                <a:pPr>
                  <a:defRPr sz="1000" b="1"/>
                </a:pPr>
                <a:endParaRPr lang="en-US"/>
              </a:p>
            </c:txPr>
            <c:dLblPos val="outEnd"/>
            <c:showLegendKey val="0"/>
            <c:showVal val="1"/>
            <c:showCatName val="1"/>
            <c:showSerName val="0"/>
            <c:showPercent val="0"/>
            <c:showBubbleSize val="0"/>
            <c:separator>
</c:separator>
            <c:showLeaderLines val="1"/>
          </c:dLbls>
          <c:cat>
            <c:strRef>
              <c:f>'State Housing Imp Program'!$O$8:$O$16</c:f>
              <c:strCache>
                <c:ptCount val="8"/>
                <c:pt idx="0">
                  <c:v>Salaries &amp; Wages</c:v>
                </c:pt>
                <c:pt idx="1">
                  <c:v>Fringe Benefits</c:v>
                </c:pt>
                <c:pt idx="3">
                  <c:v>Services &amp; Materials</c:v>
                </c:pt>
                <c:pt idx="4">
                  <c:v>Other Operating Expenses</c:v>
                </c:pt>
                <c:pt idx="5">
                  <c:v>Grant Services</c:v>
                </c:pt>
                <c:pt idx="7">
                  <c:v>Total Other Uses</c:v>
                </c:pt>
              </c:strCache>
            </c:strRef>
          </c:cat>
          <c:val>
            <c:numRef>
              <c:f>'State Housing Imp Program'!$Q$8:$Q$16</c:f>
              <c:numCache>
                <c:formatCode>0.0%</c:formatCode>
                <c:ptCount val="8"/>
                <c:pt idx="0">
                  <c:v>9.9000000000000005E-2</c:v>
                </c:pt>
                <c:pt idx="1">
                  <c:v>0</c:v>
                </c:pt>
                <c:pt idx="3">
                  <c:v>0</c:v>
                </c:pt>
                <c:pt idx="4">
                  <c:v>0</c:v>
                </c:pt>
                <c:pt idx="5">
                  <c:v>0.90100000000000002</c:v>
                </c:pt>
                <c:pt idx="7">
                  <c:v>0</c:v>
                </c:pt>
              </c:numCache>
            </c:numRef>
          </c:val>
        </c:ser>
        <c:ser>
          <c:idx val="0"/>
          <c:order val="1"/>
          <c:dLbls>
            <c:dLbl>
              <c:idx val="0"/>
              <c:layout>
                <c:manualLayout>
                  <c:x val="-8.2291861029219704E-2"/>
                  <c:y val="-3.880733128697908E-2"/>
                </c:manualLayout>
              </c:layout>
              <c:dLblPos val="bestFit"/>
              <c:showLegendKey val="0"/>
              <c:showVal val="0"/>
              <c:showCatName val="1"/>
              <c:showSerName val="0"/>
              <c:showPercent val="1"/>
              <c:showBubbleSize val="0"/>
            </c:dLbl>
            <c:dLbl>
              <c:idx val="1"/>
              <c:layout>
                <c:manualLayout>
                  <c:x val="-7.4991720155241665E-2"/>
                  <c:y val="-2.2931402642466406E-2"/>
                </c:manualLayout>
              </c:layout>
              <c:dLblPos val="bestFit"/>
              <c:showLegendKey val="0"/>
              <c:showVal val="0"/>
              <c:showCatName val="1"/>
              <c:showSerName val="0"/>
              <c:showPercent val="1"/>
              <c:showBubbleSize val="0"/>
            </c:dLbl>
            <c:dLbl>
              <c:idx val="2"/>
              <c:layout>
                <c:manualLayout>
                  <c:x val="0.10807926260402284"/>
                  <c:y val="-4.6026847279683258E-2"/>
                </c:manualLayout>
              </c:layout>
              <c:tx>
                <c:rich>
                  <a:bodyPr/>
                  <a:lstStyle/>
                  <a:p>
                    <a:r>
                      <a:rPr lang="en-US"/>
                      <a:t> Services/</a:t>
                    </a:r>
                  </a:p>
                  <a:p>
                    <a:r>
                      <a:rPr lang="en-US"/>
                      <a:t>Materials 
1%</a:t>
                    </a:r>
                  </a:p>
                </c:rich>
              </c:tx>
              <c:dLblPos val="bestFit"/>
              <c:showLegendKey val="0"/>
              <c:showVal val="0"/>
              <c:showCatName val="1"/>
              <c:showSerName val="0"/>
              <c:showPercent val="1"/>
              <c:showBubbleSize val="0"/>
            </c:dLbl>
            <c:dLbl>
              <c:idx val="3"/>
              <c:layout>
                <c:manualLayout>
                  <c:x val="0.12141074560585149"/>
                  <c:y val="7.9983725551255394E-2"/>
                </c:manualLayout>
              </c:layout>
              <c:dLblPos val="bestFit"/>
              <c:showLegendKey val="0"/>
              <c:showVal val="0"/>
              <c:showCatName val="1"/>
              <c:showSerName val="0"/>
              <c:showPercent val="1"/>
              <c:showBubbleSize val="0"/>
            </c:dLbl>
            <c:dLbl>
              <c:idx val="4"/>
              <c:layout>
                <c:manualLayout>
                  <c:x val="-3.977585170439428E-2"/>
                  <c:y val="4.5836651740097545E-2"/>
                </c:manualLayout>
              </c:layout>
              <c:dLblPos val="bestFit"/>
              <c:showLegendKey val="0"/>
              <c:showVal val="0"/>
              <c:showCatName val="1"/>
              <c:showSerName val="0"/>
              <c:showPercent val="1"/>
              <c:showBubbleSize val="0"/>
            </c:dLbl>
            <c:dLbl>
              <c:idx val="5"/>
              <c:layout>
                <c:manualLayout>
                  <c:x val="-0.27118917229540707"/>
                  <c:y val="-2.2048356243605152E-3"/>
                </c:manualLayout>
              </c:layout>
              <c:dLblPos val="bestFit"/>
              <c:showLegendKey val="0"/>
              <c:showVal val="0"/>
              <c:showCatName val="1"/>
              <c:showSerName val="0"/>
              <c:showPercent val="1"/>
              <c:showBubbleSize val="0"/>
            </c:dLbl>
            <c:dLbl>
              <c:idx val="6"/>
              <c:layout>
                <c:manualLayout>
                  <c:x val="-0.19380201141918868"/>
                  <c:y val="-9.7579036730578175E-2"/>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'State Housing Imp Program'!$O$8:$O$16</c:f>
              <c:strCache>
                <c:ptCount val="8"/>
                <c:pt idx="0">
                  <c:v>Salaries &amp; Wages</c:v>
                </c:pt>
                <c:pt idx="1">
                  <c:v>Fringe Benefits</c:v>
                </c:pt>
                <c:pt idx="3">
                  <c:v>Services &amp; Materials</c:v>
                </c:pt>
                <c:pt idx="4">
                  <c:v>Other Operating Expenses</c:v>
                </c:pt>
                <c:pt idx="5">
                  <c:v>Grant Services</c:v>
                </c:pt>
                <c:pt idx="7">
                  <c:v>Total Other Uses</c:v>
                </c:pt>
              </c:strCache>
            </c:strRef>
          </c:cat>
          <c:val>
            <c:numRef>
              <c:f>'State Housing Imp Program'!$P$8:$P$16</c:f>
              <c:numCache>
                <c:formatCode>_(* #,##0_);_(* \(#,##0\);_(* "-"??_);_(@_)</c:formatCode>
                <c:ptCount val="8"/>
                <c:pt idx="0">
                  <c:v>78746</c:v>
                </c:pt>
                <c:pt idx="1">
                  <c:v>0</c:v>
                </c:pt>
                <c:pt idx="3">
                  <c:v>0</c:v>
                </c:pt>
                <c:pt idx="4">
                  <c:v>0</c:v>
                </c:pt>
                <c:pt idx="5">
                  <c:v>720207</c:v>
                </c:pt>
                <c:pt idx="7">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solidFill>
                  <a:schemeClr val="bg1"/>
                </a:solidFill>
              </a:rPr>
              <a:t>FY</a:t>
            </a:r>
            <a:r>
              <a:rPr lang="en-US" sz="1400" baseline="0">
                <a:solidFill>
                  <a:schemeClr val="bg1"/>
                </a:solidFill>
              </a:rPr>
              <a:t> 2015 Proposed Revenues</a:t>
            </a:r>
            <a:endParaRPr lang="en-US" sz="1400">
              <a:solidFill>
                <a:schemeClr val="bg1"/>
              </a:solidFill>
            </a:endParaRPr>
          </a:p>
        </c:rich>
      </c:tx>
      <c:layout>
        <c:manualLayout>
          <c:xMode val="edge"/>
          <c:yMode val="edge"/>
          <c:x val="0.17621880669719028"/>
          <c:y val="5.0994220724392796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6416580002971322E-3"/>
          <c:y val="5.7958294681629691E-2"/>
          <c:w val="0.82985012808218872"/>
          <c:h val="0.94204170531837028"/>
        </c:manualLayout>
      </c:layout>
      <c:pie3DChart>
        <c:varyColors val="1"/>
        <c:ser>
          <c:idx val="0"/>
          <c:order val="0"/>
          <c:dLbls>
            <c:dLbl>
              <c:idx val="0"/>
              <c:layout>
                <c:manualLayout>
                  <c:x val="1.3800461906241136E-2"/>
                  <c:y val="8.9234680651035236E-3"/>
                </c:manualLayout>
              </c:layout>
              <c:dLblPos val="bestFit"/>
              <c:showLegendKey val="0"/>
              <c:showVal val="0"/>
              <c:showCatName val="1"/>
              <c:showSerName val="0"/>
              <c:showPercent val="1"/>
              <c:showBubbleSize val="0"/>
            </c:dLbl>
            <c:dLbl>
              <c:idx val="1"/>
              <c:layout>
                <c:manualLayout>
                  <c:x val="-1.1622727047626765E-2"/>
                  <c:y val="-8.3863941838686271E-2"/>
                </c:manualLayout>
              </c:layout>
              <c:showLegendKey val="0"/>
              <c:showVal val="0"/>
              <c:showCatName val="1"/>
              <c:showSerName val="0"/>
              <c:showPercent val="1"/>
              <c:showBubbleSize val="0"/>
            </c:dLbl>
            <c:dLbl>
              <c:idx val="2"/>
              <c:delete val="1"/>
            </c:dLbl>
            <c:dLbl>
              <c:idx val="3"/>
              <c:delete val="1"/>
            </c:dLbl>
            <c:numFmt formatCode="0.0%" sourceLinked="0"/>
            <c:txPr>
              <a:bodyPr/>
              <a:lstStyle/>
              <a:p>
                <a:pPr>
                  <a:defRPr sz="1000" b="1">
                    <a:latin typeface="+mn-lt"/>
                  </a:defRPr>
                </a:pPr>
                <a:endParaRPr lang="en-US"/>
              </a:p>
            </c:txPr>
            <c:dLblPos val="outEnd"/>
            <c:showLegendKey val="0"/>
            <c:showVal val="0"/>
            <c:showCatName val="1"/>
            <c:showSerName val="0"/>
            <c:showPercent val="1"/>
            <c:showBubbleSize val="0"/>
            <c:showLeaderLines val="1"/>
          </c:dLbls>
          <c:cat>
            <c:strRef>
              <c:f>'State Housing Imp Program'!$O$18:$O$21</c:f>
              <c:strCache>
                <c:ptCount val="4"/>
                <c:pt idx="0">
                  <c:v>Inter-
Governmental</c:v>
                </c:pt>
                <c:pt idx="1">
                  <c:v>Miscellaneous</c:v>
                </c:pt>
                <c:pt idx="2">
                  <c:v>Appropriated Fund Balance</c:v>
                </c:pt>
                <c:pt idx="3">
                  <c:v>Total Other Resources</c:v>
                </c:pt>
              </c:strCache>
            </c:strRef>
          </c:cat>
          <c:val>
            <c:numRef>
              <c:f>'State Housing Imp Program'!$P$18:$P$21</c:f>
              <c:numCache>
                <c:formatCode>_(* #,##0_);_(* \(#,##0\);_(* "-"??_);_(@_)</c:formatCode>
                <c:ptCount val="4"/>
                <c:pt idx="0">
                  <c:v>776453</c:v>
                </c:pt>
                <c:pt idx="1">
                  <c:v>22500</c:v>
                </c:pt>
                <c:pt idx="2">
                  <c:v>0</c:v>
                </c:pt>
                <c:pt idx="3">
                  <c:v>0</c:v>
                </c:pt>
              </c:numCache>
            </c:numRef>
          </c:val>
        </c:ser>
        <c:ser>
          <c:idx val="1"/>
          <c:order val="1"/>
          <c:dLbls>
            <c:delete val="1"/>
          </c:dLbls>
          <c:cat>
            <c:strRef>
              <c:f>'State Housing Imp Program'!$O$18:$O$21</c:f>
              <c:strCache>
                <c:ptCount val="4"/>
                <c:pt idx="0">
                  <c:v>Inter-
Governmental</c:v>
                </c:pt>
                <c:pt idx="1">
                  <c:v>Miscellaneous</c:v>
                </c:pt>
                <c:pt idx="2">
                  <c:v>Appropriated Fund Balance</c:v>
                </c:pt>
                <c:pt idx="3">
                  <c:v>Total Other Resources</c:v>
                </c:pt>
              </c:strCache>
            </c:strRef>
          </c:cat>
          <c:val>
            <c:numRef>
              <c:f>'State Housing Imp Program'!$Q$18:$Q$21</c:f>
              <c:numCache>
                <c:formatCode>0.0%</c:formatCode>
                <c:ptCount val="4"/>
                <c:pt idx="0">
                  <c:v>0.97199999999999998</c:v>
                </c:pt>
                <c:pt idx="1">
                  <c:v>2.8000000000000001E-2</c:v>
                </c:pt>
                <c:pt idx="2">
                  <c:v>0</c:v>
                </c:pt>
                <c:pt idx="3">
                  <c:v>0</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2196344357950043"/>
          <c:y val="1.6671282923805377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4.5624773093839457E-2"/>
          <c:y val="7.5376884422110546E-2"/>
          <c:w val="0.81040060468631914"/>
          <c:h val="0.92183137911781132"/>
        </c:manualLayout>
      </c:layout>
      <c:pie3DChart>
        <c:varyColors val="1"/>
        <c:ser>
          <c:idx val="1"/>
          <c:order val="0"/>
          <c:dLbls>
            <c:dLbl>
              <c:idx val="0"/>
              <c:layout>
                <c:manualLayout>
                  <c:x val="-6.1430654501520646E-2"/>
                  <c:y val="-4.5261521957996459E-2"/>
                </c:manualLayout>
              </c:layout>
              <c:showLegendKey val="0"/>
              <c:showVal val="0"/>
              <c:showCatName val="1"/>
              <c:showSerName val="0"/>
              <c:showPercent val="1"/>
              <c:showBubbleSize val="0"/>
            </c:dLbl>
            <c:dLbl>
              <c:idx val="1"/>
              <c:layout>
                <c:manualLayout>
                  <c:x val="-1.8286605587295682E-2"/>
                  <c:y val="-5.4597792110157084E-2"/>
                </c:manualLayout>
              </c:layout>
              <c:showLegendKey val="0"/>
              <c:showVal val="0"/>
              <c:showCatName val="1"/>
              <c:showSerName val="0"/>
              <c:showPercent val="1"/>
              <c:showBubbleSize val="0"/>
            </c:dLbl>
            <c:dLbl>
              <c:idx val="2"/>
              <c:layout>
                <c:manualLayout>
                  <c:x val="1.9072201479315206E-2"/>
                  <c:y val="-4.9051029425341931E-2"/>
                </c:manualLayout>
              </c:layout>
              <c:showLegendKey val="0"/>
              <c:showVal val="0"/>
              <c:showCatName val="1"/>
              <c:showSerName val="0"/>
              <c:showPercent val="1"/>
              <c:showBubbleSize val="0"/>
            </c:dLbl>
            <c:dLbl>
              <c:idx val="3"/>
              <c:layout>
                <c:manualLayout>
                  <c:x val="1.4604841061533974E-2"/>
                  <c:y val="-5.2668416447944004E-2"/>
                </c:manualLayout>
              </c:layout>
              <c:showLegendKey val="0"/>
              <c:showVal val="0"/>
              <c:showCatName val="1"/>
              <c:showSerName val="0"/>
              <c:showPercent val="1"/>
              <c:showBubbleSize val="0"/>
            </c:dLbl>
            <c:dLbl>
              <c:idx val="4"/>
              <c:layout>
                <c:manualLayout>
                  <c:x val="5.139833711262283E-2"/>
                  <c:y val="-2.6293541196797637E-2"/>
                </c:manualLayout>
              </c:layout>
              <c:showLegendKey val="0"/>
              <c:showVal val="1"/>
              <c:showCatName val="1"/>
              <c:showSerName val="0"/>
              <c:showPercent val="0"/>
              <c:showBubbleSize val="0"/>
            </c:dLbl>
            <c:dLbl>
              <c:idx val="5"/>
              <c:layout>
                <c:manualLayout>
                  <c:x val="-1.8672308818540539E-2"/>
                  <c:y val="0.10180099974940318"/>
                </c:manualLayout>
              </c:layout>
              <c:showLegendKey val="0"/>
              <c:showVal val="1"/>
              <c:showCatName val="1"/>
              <c:showSerName val="0"/>
              <c:showPercent val="0"/>
              <c:showBubbleSize val="0"/>
            </c:dLbl>
            <c:dLbl>
              <c:idx val="6"/>
              <c:layout>
                <c:manualLayout>
                  <c:x val="0.15419501133786848"/>
                  <c:y val="0.12476621954918951"/>
                </c:manualLayout>
              </c:layout>
              <c:showLegendKey val="0"/>
              <c:showVal val="1"/>
              <c:showCatName val="1"/>
              <c:showSerName val="0"/>
              <c:showPercent val="0"/>
              <c:showBubbleSize val="0"/>
            </c:dLbl>
            <c:dLbl>
              <c:idx val="7"/>
              <c:layout>
                <c:manualLayout>
                  <c:x val="1.9757185054276212E-2"/>
                  <c:y val="0.14232646170484972"/>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Stormwater!$O$8:$O$14</c:f>
              <c:strCache>
                <c:ptCount val="7"/>
                <c:pt idx="0">
                  <c:v>Salaries &amp; Wages</c:v>
                </c:pt>
                <c:pt idx="1">
                  <c:v>Fringe Benefits</c:v>
                </c:pt>
                <c:pt idx="2">
                  <c:v>Services &amp; Materials</c:v>
                </c:pt>
                <c:pt idx="3">
                  <c:v>Other Operating Expenses</c:v>
                </c:pt>
                <c:pt idx="4">
                  <c:v>Capital 
Outlay</c:v>
                </c:pt>
                <c:pt idx="5">
                  <c:v>Transfers Out</c:v>
                </c:pt>
                <c:pt idx="6">
                  <c:v>Other Uses</c:v>
                </c:pt>
              </c:strCache>
            </c:strRef>
          </c:cat>
          <c:val>
            <c:numRef>
              <c:f>Stormwater!$Q$8:$Q$14</c:f>
              <c:numCache>
                <c:formatCode>0.0%</c:formatCode>
                <c:ptCount val="7"/>
                <c:pt idx="0">
                  <c:v>6.5000000000000002E-2</c:v>
                </c:pt>
                <c:pt idx="1">
                  <c:v>0.04</c:v>
                </c:pt>
                <c:pt idx="2">
                  <c:v>5.0999999999999997E-2</c:v>
                </c:pt>
                <c:pt idx="3">
                  <c:v>0.126</c:v>
                </c:pt>
                <c:pt idx="4">
                  <c:v>6.0000000000000001E-3</c:v>
                </c:pt>
                <c:pt idx="5">
                  <c:v>1.0999999999999999E-2</c:v>
                </c:pt>
                <c:pt idx="6">
                  <c:v>0.70099999999999996</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1731163785873916"/>
          <c:y val="2.1772299313294764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1.9666906921608886E-3"/>
          <c:y val="7.2062457997587662E-2"/>
          <c:w val="0.76783847614903056"/>
          <c:h val="0.9249842935604693"/>
        </c:manualLayout>
      </c:layout>
      <c:pie3DChart>
        <c:varyColors val="1"/>
        <c:ser>
          <c:idx val="1"/>
          <c:order val="0"/>
          <c:dLbls>
            <c:dLbl>
              <c:idx val="0"/>
              <c:layout>
                <c:manualLayout>
                  <c:x val="-9.7869890616004609E-2"/>
                  <c:y val="-0.16402557686961355"/>
                </c:manualLayout>
              </c:layout>
              <c:dLblPos val="bestFit"/>
              <c:showLegendKey val="0"/>
              <c:showVal val="1"/>
              <c:showCatName val="1"/>
              <c:showSerName val="0"/>
              <c:showPercent val="0"/>
              <c:showBubbleSize val="0"/>
              <c:separator>
</c:separator>
            </c:dLbl>
            <c:dLbl>
              <c:idx val="1"/>
              <c:layout>
                <c:manualLayout>
                  <c:x val="-5.8829595782392483E-2"/>
                  <c:y val="0.12644307701737451"/>
                </c:manualLayout>
              </c:layout>
              <c:spPr/>
              <c:txPr>
                <a:bodyPr/>
                <a:lstStyle/>
                <a:p>
                  <a:pPr>
                    <a:defRPr sz="1000" b="1"/>
                  </a:pPr>
                  <a:endParaRPr lang="en-US"/>
                </a:p>
              </c:txPr>
              <c:dLblPos val="bestFit"/>
              <c:showLegendKey val="0"/>
              <c:showVal val="1"/>
              <c:showCatName val="1"/>
              <c:showSerName val="0"/>
              <c:showPercent val="0"/>
              <c:showBubbleSize val="0"/>
              <c:separator> </c:separator>
            </c:dLbl>
            <c:dLbl>
              <c:idx val="2"/>
              <c:layout>
                <c:manualLayout>
                  <c:x val="-0.2274035693724813"/>
                  <c:y val="0.1028634973589103"/>
                </c:manualLayout>
              </c:layout>
              <c:dLblPos val="bestFit"/>
              <c:showLegendKey val="0"/>
              <c:showVal val="1"/>
              <c:showCatName val="1"/>
              <c:showSerName val="0"/>
              <c:showPercent val="0"/>
              <c:showBubbleSize val="0"/>
              <c:separator>
</c:separator>
            </c:dLbl>
            <c:dLbl>
              <c:idx val="3"/>
              <c:delete val="1"/>
            </c:dLbl>
            <c:dLbl>
              <c:idx val="4"/>
              <c:layout>
                <c:manualLayout>
                  <c:x val="1.4392630972941854E-2"/>
                  <c:y val="0.15997561397402471"/>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Stormwater!$O$18:$O$22</c:f>
              <c:strCache>
                <c:ptCount val="5"/>
                <c:pt idx="0">
                  <c:v>Charges For Services</c:v>
                </c:pt>
                <c:pt idx="1">
                  <c:v>Miscellaneous</c:v>
                </c:pt>
                <c:pt idx="2">
                  <c:v>Other Sources</c:v>
                </c:pt>
                <c:pt idx="3">
                  <c:v>Appropriated Fund Balance</c:v>
                </c:pt>
                <c:pt idx="4">
                  <c:v>Other Resources</c:v>
                </c:pt>
              </c:strCache>
            </c:strRef>
          </c:cat>
          <c:val>
            <c:numRef>
              <c:f>Stormwater!$Q$18:$Q$22</c:f>
              <c:numCache>
                <c:formatCode>0.0%</c:formatCode>
                <c:ptCount val="5"/>
                <c:pt idx="0">
                  <c:v>0.31900000000000001</c:v>
                </c:pt>
                <c:pt idx="1">
                  <c:v>8.0000000000000002E-3</c:v>
                </c:pt>
                <c:pt idx="2">
                  <c:v>6.7000000000000004E-2</c:v>
                </c:pt>
                <c:pt idx="3">
                  <c:v>0</c:v>
                </c:pt>
                <c:pt idx="4">
                  <c:v>0.60599999999999998</c:v>
                </c:pt>
              </c:numCache>
            </c:numRef>
          </c:val>
        </c:ser>
        <c:ser>
          <c:idx val="0"/>
          <c:order val="1"/>
          <c:dLbls>
            <c:dLbl>
              <c:idx val="0"/>
              <c:delete val="1"/>
            </c:dLbl>
            <c:dLbl>
              <c:idx val="1"/>
              <c:layout>
                <c:manualLayout>
                  <c:x val="-9.7869890616004609E-2"/>
                  <c:y val="-6.1957580573487533E-2"/>
                </c:manualLayout>
              </c:layout>
              <c:dLblPos val="bestFit"/>
              <c:showLegendKey val="0"/>
              <c:showVal val="0"/>
              <c:showCatName val="1"/>
              <c:showSerName val="0"/>
              <c:showPercent val="1"/>
              <c:showBubbleSize val="0"/>
            </c:dLbl>
            <c:dLbl>
              <c:idx val="2"/>
              <c:layout>
                <c:manualLayout>
                  <c:x val="5.6432486094678581E-2"/>
                  <c:y val="-8.5043529275270979E-2"/>
                </c:manualLayout>
              </c:layout>
              <c:dLblPos val="bestFit"/>
              <c:showLegendKey val="0"/>
              <c:showVal val="0"/>
              <c:showCatName val="1"/>
              <c:showSerName val="0"/>
              <c:showPercent val="1"/>
              <c:showBubbleSize val="0"/>
            </c:dLbl>
            <c:dLbl>
              <c:idx val="3"/>
              <c:layout>
                <c:manualLayout>
                  <c:x val="0.14696304153690634"/>
                  <c:y val="3.969186920859246E-3"/>
                </c:manualLayout>
              </c:layout>
              <c:dLblPos val="bestFit"/>
              <c:showLegendKey val="0"/>
              <c:showVal val="0"/>
              <c:showCatName val="1"/>
              <c:showSerName val="0"/>
              <c:showPercent val="1"/>
              <c:showBubbleSize val="0"/>
            </c:dLbl>
            <c:numFmt formatCode="0.0%" sourceLinked="0"/>
            <c:txPr>
              <a:bodyPr/>
              <a:lstStyle/>
              <a:p>
                <a:pPr>
                  <a:defRPr sz="1000" b="1">
                    <a:latin typeface="+mn-lt"/>
                  </a:defRPr>
                </a:pPr>
                <a:endParaRPr lang="en-US"/>
              </a:p>
            </c:txPr>
            <c:dLblPos val="outEnd"/>
            <c:showLegendKey val="0"/>
            <c:showVal val="0"/>
            <c:showCatName val="1"/>
            <c:showSerName val="0"/>
            <c:showPercent val="1"/>
            <c:showBubbleSize val="0"/>
            <c:showLeaderLines val="1"/>
          </c:dLbls>
          <c:cat>
            <c:strRef>
              <c:f>Stormwater!$O$18:$O$22</c:f>
              <c:strCache>
                <c:ptCount val="5"/>
                <c:pt idx="0">
                  <c:v>Charges For Services</c:v>
                </c:pt>
                <c:pt idx="1">
                  <c:v>Miscellaneous</c:v>
                </c:pt>
                <c:pt idx="2">
                  <c:v>Other Sources</c:v>
                </c:pt>
                <c:pt idx="3">
                  <c:v>Appropriated Fund Balance</c:v>
                </c:pt>
                <c:pt idx="4">
                  <c:v>Other Resources</c:v>
                </c:pt>
              </c:strCache>
            </c:strRef>
          </c:cat>
          <c:val>
            <c:numRef>
              <c:f>Stormwater!$P$18:$P$22</c:f>
              <c:numCache>
                <c:formatCode>_(* #,##0_);_(* \(#,##0\);_(* "-"??_);_(@_)</c:formatCode>
                <c:ptCount val="5"/>
                <c:pt idx="0">
                  <c:v>6416943</c:v>
                </c:pt>
                <c:pt idx="1">
                  <c:v>170400</c:v>
                </c:pt>
                <c:pt idx="2">
                  <c:v>1352273</c:v>
                </c:pt>
                <c:pt idx="3">
                  <c:v>0</c:v>
                </c:pt>
                <c:pt idx="4">
                  <c:v>12213219</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2271581042992816"/>
          <c:y val="3.0407277807475231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5246883202099737"/>
          <c:y val="6.9848503801773598E-4"/>
          <c:w val="0.82318782967663018"/>
          <c:h val="0.99836839845427217"/>
        </c:manualLayout>
      </c:layout>
      <c:pie3DChart>
        <c:varyColors val="1"/>
        <c:ser>
          <c:idx val="1"/>
          <c:order val="0"/>
          <c:dLbls>
            <c:dLbl>
              <c:idx val="0"/>
              <c:layout>
                <c:manualLayout>
                  <c:x val="-3.3813638644434152E-2"/>
                  <c:y val="-0.14139848019212284"/>
                </c:manualLayout>
              </c:layout>
              <c:dLblPos val="bestFit"/>
              <c:showLegendKey val="0"/>
              <c:showVal val="1"/>
              <c:showCatName val="1"/>
              <c:showSerName val="0"/>
              <c:showPercent val="0"/>
              <c:showBubbleSize val="0"/>
              <c:separator>
</c:separator>
            </c:dLbl>
            <c:dLbl>
              <c:idx val="1"/>
              <c:layout>
                <c:manualLayout>
                  <c:x val="-0.15464624826308476"/>
                  <c:y val="3.867226987352225E-2"/>
                </c:manualLayout>
              </c:layout>
              <c:showLegendKey val="0"/>
              <c:showVal val="1"/>
              <c:showCatName val="1"/>
              <c:showSerName val="0"/>
              <c:showPercent val="0"/>
              <c:showBubbleSize val="0"/>
            </c:dLbl>
            <c:dLbl>
              <c:idx val="2"/>
              <c:layout>
                <c:manualLayout>
                  <c:x val="5.2588727420101899E-2"/>
                  <c:y val="0.18575554826793067"/>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'Sunrise Key'!$O$8:$O$10</c:f>
              <c:strCache>
                <c:ptCount val="3"/>
                <c:pt idx="0">
                  <c:v>Services &amp; Materials</c:v>
                </c:pt>
                <c:pt idx="1">
                  <c:v>Other Operating Expenses</c:v>
                </c:pt>
                <c:pt idx="2">
                  <c:v>Other Uses</c:v>
                </c:pt>
              </c:strCache>
            </c:strRef>
          </c:cat>
          <c:val>
            <c:numRef>
              <c:f>'Sunrise Key'!$Q$8:$Q$10</c:f>
              <c:numCache>
                <c:formatCode>0.0%</c:formatCode>
                <c:ptCount val="3"/>
                <c:pt idx="0">
                  <c:v>0.442</c:v>
                </c:pt>
                <c:pt idx="1">
                  <c:v>4.0000000000000001E-3</c:v>
                </c:pt>
                <c:pt idx="2">
                  <c:v>0.55400000000000005</c:v>
                </c:pt>
              </c:numCache>
            </c:numRef>
          </c:val>
        </c:ser>
        <c:ser>
          <c:idx val="0"/>
          <c:order val="1"/>
          <c:dLbls>
            <c:dLbl>
              <c:idx val="0"/>
              <c:layout>
                <c:manualLayout>
                  <c:x val="-5.0512643623474573E-2"/>
                  <c:y val="-0.19639717587196956"/>
                </c:manualLayout>
              </c:layout>
              <c:tx>
                <c:rich>
                  <a:bodyPr/>
                  <a:lstStyle/>
                  <a:p>
                    <a:r>
                      <a:rPr lang="en-US" sz="900"/>
                      <a:t> Services/</a:t>
                    </a:r>
                  </a:p>
                  <a:p>
                    <a:r>
                      <a:rPr lang="en-US" sz="900"/>
                      <a:t>Materials 
53%</a:t>
                    </a:r>
                    <a:endParaRPr lang="en-US"/>
                  </a:p>
                </c:rich>
              </c:tx>
              <c:dLblPos val="bestFit"/>
              <c:showLegendKey val="0"/>
              <c:showVal val="0"/>
              <c:showCatName val="1"/>
              <c:showSerName val="0"/>
              <c:showPercent val="1"/>
              <c:showBubbleSize val="0"/>
            </c:dLbl>
            <c:dLbl>
              <c:idx val="1"/>
              <c:delete val="1"/>
            </c:dLbl>
            <c:dLbl>
              <c:idx val="2"/>
              <c:layout>
                <c:manualLayout>
                  <c:x val="0.17086542807526744"/>
                  <c:y val="-0.15042621308166851"/>
                </c:manualLayout>
              </c:layout>
              <c:dLblPos val="bestFit"/>
              <c:showLegendKey val="0"/>
              <c:showVal val="0"/>
              <c:showCatName val="1"/>
              <c:showSerName val="0"/>
              <c:showPercent val="1"/>
              <c:showBubbleSize val="0"/>
            </c:dLbl>
            <c:dLbl>
              <c:idx val="3"/>
              <c:layout>
                <c:manualLayout>
                  <c:x val="5.9207039804738001E-2"/>
                  <c:y val="7.9983665886491168E-2"/>
                </c:manualLayout>
              </c:layout>
              <c:dLblPos val="bestFit"/>
              <c:showLegendKey val="0"/>
              <c:showVal val="0"/>
              <c:showCatName val="1"/>
              <c:showSerName val="0"/>
              <c:showPercent val="1"/>
              <c:showBubbleSize val="0"/>
            </c:dLbl>
            <c:dLbl>
              <c:idx val="4"/>
              <c:layout>
                <c:manualLayout>
                  <c:x val="0.21992380780168674"/>
                  <c:y val="-0.26098051648153803"/>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'Sunrise Key'!$O$8:$O$10</c:f>
              <c:strCache>
                <c:ptCount val="3"/>
                <c:pt idx="0">
                  <c:v>Services &amp; Materials</c:v>
                </c:pt>
                <c:pt idx="1">
                  <c:v>Other Operating Expenses</c:v>
                </c:pt>
                <c:pt idx="2">
                  <c:v>Other Uses</c:v>
                </c:pt>
              </c:strCache>
            </c:strRef>
          </c:cat>
          <c:val>
            <c:numRef>
              <c:f>'Sunrise Key'!$P$8:$P$10</c:f>
              <c:numCache>
                <c:formatCode>_(* #,##0_);_(* \(#,##0\);_(* "-"??_);_(@_)</c:formatCode>
                <c:ptCount val="3"/>
                <c:pt idx="0">
                  <c:v>79508.3</c:v>
                </c:pt>
                <c:pt idx="1">
                  <c:v>800</c:v>
                </c:pt>
                <c:pt idx="2">
                  <c:v>99940.169999999969</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0291266112031381"/>
          <c:y val="1.7010835072409809E-3"/>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2.541134369369543E-2"/>
          <c:y val="1.1060417530761786E-2"/>
          <c:w val="0.7670203712959609"/>
          <c:h val="0.94181741384359308"/>
        </c:manualLayout>
      </c:layout>
      <c:pie3DChart>
        <c:varyColors val="1"/>
        <c:ser>
          <c:idx val="1"/>
          <c:order val="0"/>
          <c:dLbls>
            <c:dLbl>
              <c:idx val="0"/>
              <c:layout>
                <c:manualLayout>
                  <c:x val="3.1397630691096322E-2"/>
                  <c:y val="0.15539146366554865"/>
                </c:manualLayout>
              </c:layout>
              <c:dLblPos val="bestFit"/>
              <c:showLegendKey val="0"/>
              <c:showVal val="1"/>
              <c:showCatName val="1"/>
              <c:showSerName val="0"/>
              <c:showPercent val="0"/>
              <c:showBubbleSize val="0"/>
              <c:separator>
</c:separator>
            </c:dLbl>
            <c:dLbl>
              <c:idx val="1"/>
              <c:layout>
                <c:manualLayout>
                  <c:x val="-3.285613339303696E-2"/>
                  <c:y val="4.0409061268834555E-2"/>
                </c:manualLayout>
              </c:layout>
              <c:tx>
                <c:rich>
                  <a:bodyPr/>
                  <a:lstStyle/>
                  <a:p>
                    <a:r>
                      <a:rPr lang="en-US"/>
                      <a:t> </a:t>
                    </a:r>
                    <a:r>
                      <a:rPr lang="en-US" sz="950"/>
                      <a:t>Miscellaneous</a:t>
                    </a:r>
                    <a:r>
                      <a:rPr lang="en-US"/>
                      <a:t> 
0.1%</a:t>
                    </a:r>
                  </a:p>
                </c:rich>
              </c:tx>
              <c:dLblPos val="bestFit"/>
              <c:showLegendKey val="0"/>
              <c:showVal val="1"/>
              <c:showCatName val="1"/>
              <c:showSerName val="0"/>
              <c:showPercent val="0"/>
              <c:showBubbleSize val="0"/>
              <c:separator>
</c:separator>
            </c:dLbl>
            <c:dLbl>
              <c:idx val="2"/>
              <c:delete val="1"/>
            </c:dLbl>
            <c:dLbl>
              <c:idx val="3"/>
              <c:layout>
                <c:manualLayout>
                  <c:x val="1.7241375409228116E-2"/>
                  <c:y val="0.22397084230087166"/>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'Sunrise Key'!$O$14:$O$17</c:f>
              <c:strCache>
                <c:ptCount val="4"/>
                <c:pt idx="0">
                  <c:v>Taxes</c:v>
                </c:pt>
                <c:pt idx="1">
                  <c:v>Miscellaneous</c:v>
                </c:pt>
                <c:pt idx="2">
                  <c:v>Appropriated Fund Balance</c:v>
                </c:pt>
                <c:pt idx="3">
                  <c:v>Other Resources</c:v>
                </c:pt>
              </c:strCache>
            </c:strRef>
          </c:cat>
          <c:val>
            <c:numRef>
              <c:f>'Sunrise Key'!$Q$14:$Q$17</c:f>
              <c:numCache>
                <c:formatCode>0.0%</c:formatCode>
                <c:ptCount val="4"/>
                <c:pt idx="0">
                  <c:v>0.44500000000000001</c:v>
                </c:pt>
                <c:pt idx="1">
                  <c:v>1E-3</c:v>
                </c:pt>
                <c:pt idx="2">
                  <c:v>0</c:v>
                </c:pt>
                <c:pt idx="3">
                  <c:v>0.55400000000000005</c:v>
                </c:pt>
              </c:numCache>
            </c:numRef>
          </c:val>
        </c:ser>
        <c:ser>
          <c:idx val="0"/>
          <c:order val="1"/>
          <c:dLbls>
            <c:dLbl>
              <c:idx val="0"/>
              <c:layout>
                <c:manualLayout>
                  <c:x val="-0.13324830212123151"/>
                  <c:y val="-0.13725137477204941"/>
                </c:manualLayout>
              </c:layout>
              <c:dLblPos val="bestFit"/>
              <c:showLegendKey val="0"/>
              <c:showVal val="0"/>
              <c:showCatName val="1"/>
              <c:showSerName val="0"/>
              <c:showPercent val="1"/>
              <c:showBubbleSize val="0"/>
            </c:dLbl>
            <c:dLbl>
              <c:idx val="1"/>
              <c:layout>
                <c:manualLayout>
                  <c:x val="8.9440972413413367E-2"/>
                  <c:y val="2.9173260250896515E-2"/>
                </c:manualLayout>
              </c:layout>
              <c:dLblPos val="bestFit"/>
              <c:showLegendKey val="0"/>
              <c:showVal val="0"/>
              <c:showCatName val="1"/>
              <c:showSerName val="0"/>
              <c:showPercent val="1"/>
              <c:showBubbleSize val="0"/>
            </c:dLbl>
            <c:dLbl>
              <c:idx val="2"/>
              <c:layout>
                <c:manualLayout>
                  <c:x val="3.1655745828974353E-2"/>
                  <c:y val="6.6199957886139429E-2"/>
                </c:manualLayout>
              </c:layout>
              <c:dLblPos val="bestFit"/>
              <c:showLegendKey val="0"/>
              <c:showVal val="0"/>
              <c:showCatName val="1"/>
              <c:showSerName val="0"/>
              <c:showPercent val="1"/>
              <c:showBubbleSize val="0"/>
            </c:dLbl>
            <c:dLbl>
              <c:idx val="3"/>
              <c:layout>
                <c:manualLayout>
                  <c:x val="0.1342173755477227"/>
                  <c:y val="-0.15178932413520188"/>
                </c:manualLayout>
              </c:layout>
              <c:dLblPos val="bestFit"/>
              <c:showLegendKey val="0"/>
              <c:showVal val="0"/>
              <c:showCatName val="1"/>
              <c:showSerName val="0"/>
              <c:showPercent val="1"/>
              <c:showBubbleSize val="0"/>
            </c:dLbl>
            <c:dLbl>
              <c:idx val="4"/>
              <c:layout>
                <c:manualLayout>
                  <c:x val="0.21992380780168674"/>
                  <c:y val="-0.26098051648153803"/>
                </c:manualLayout>
              </c:layout>
              <c:dLblPos val="bestFit"/>
              <c:showLegendKey val="0"/>
              <c:showVal val="0"/>
              <c:showCatName val="1"/>
              <c:showSerName val="0"/>
              <c:showPercent val="1"/>
              <c:showBubbleSize val="0"/>
            </c:dLbl>
            <c:txPr>
              <a:bodyPr/>
              <a:lstStyle/>
              <a:p>
                <a:pPr>
                  <a:defRPr sz="900" b="1">
                    <a:latin typeface="+mn-lt"/>
                  </a:defRPr>
                </a:pPr>
                <a:endParaRPr lang="en-US"/>
              </a:p>
            </c:txPr>
            <c:dLblPos val="bestFit"/>
            <c:showLegendKey val="0"/>
            <c:showVal val="0"/>
            <c:showCatName val="1"/>
            <c:showSerName val="0"/>
            <c:showPercent val="1"/>
            <c:showBubbleSize val="0"/>
            <c:showLeaderLines val="1"/>
          </c:dLbls>
          <c:cat>
            <c:strRef>
              <c:f>'Sunrise Key'!$O$14:$O$17</c:f>
              <c:strCache>
                <c:ptCount val="4"/>
                <c:pt idx="0">
                  <c:v>Taxes</c:v>
                </c:pt>
                <c:pt idx="1">
                  <c:v>Miscellaneous</c:v>
                </c:pt>
                <c:pt idx="2">
                  <c:v>Appropriated Fund Balance</c:v>
                </c:pt>
                <c:pt idx="3">
                  <c:v>Other Resources</c:v>
                </c:pt>
              </c:strCache>
            </c:strRef>
          </c:cat>
          <c:val>
            <c:numRef>
              <c:f>'Sunrise Key'!$P$14:$P$17</c:f>
              <c:numCache>
                <c:formatCode>_(* #,##0_);_(* \(#,##0\);_(* "-"??_);_(@_)</c:formatCode>
                <c:ptCount val="4"/>
                <c:pt idx="0">
                  <c:v>80098.3</c:v>
                </c:pt>
                <c:pt idx="1">
                  <c:v>210</c:v>
                </c:pt>
                <c:pt idx="2">
                  <c:v>0</c:v>
                </c:pt>
                <c:pt idx="3">
                  <c:v>99940.169999999984</c:v>
                </c:pt>
              </c:numCache>
            </c:numRef>
          </c:val>
        </c:ser>
        <c:dLbls>
          <c:showLegendKey val="0"/>
          <c:showVal val="1"/>
          <c:showCatName val="0"/>
          <c:showSerName val="0"/>
          <c:showPercent val="0"/>
          <c:showBubbleSize val="0"/>
          <c:showLeaderLines val="1"/>
        </c:dLbls>
      </c:pie3DChart>
      <c:spPr>
        <a:noFill/>
        <a:ln>
          <a:noFill/>
        </a:ln>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Expenses</a:t>
            </a:r>
            <a:endParaRPr lang="en-US" sz="1400">
              <a:solidFill>
                <a:schemeClr val="bg1"/>
              </a:solidFill>
            </a:endParaRPr>
          </a:p>
        </c:rich>
      </c:tx>
      <c:layout>
        <c:manualLayout>
          <c:xMode val="edge"/>
          <c:yMode val="edge"/>
          <c:x val="0.27310616402415938"/>
          <c:y val="1.8652022059247869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5042545911269289"/>
          <c:y val="6.2386166109183579E-2"/>
          <c:w val="0.74356975869819542"/>
          <c:h val="0.90546933612190283"/>
        </c:manualLayout>
      </c:layout>
      <c:pie3DChart>
        <c:varyColors val="1"/>
        <c:ser>
          <c:idx val="1"/>
          <c:order val="0"/>
          <c:dLbls>
            <c:dLbl>
              <c:idx val="0"/>
              <c:layout>
                <c:manualLayout>
                  <c:x val="-7.4050784635527112E-2"/>
                  <c:y val="-1.0163736129289907E-2"/>
                </c:manualLayout>
              </c:layout>
              <c:dLblPos val="bestFit"/>
              <c:showLegendKey val="0"/>
              <c:showVal val="1"/>
              <c:showCatName val="1"/>
              <c:showSerName val="0"/>
              <c:showPercent val="0"/>
              <c:showBubbleSize val="0"/>
              <c:separator>
</c:separator>
            </c:dLbl>
            <c:dLbl>
              <c:idx val="1"/>
              <c:layout>
                <c:manualLayout>
                  <c:x val="7.2831674729183449E-2"/>
                  <c:y val="1.2823265165732912E-3"/>
                </c:manualLayout>
              </c:layout>
              <c:dLblPos val="bestFit"/>
              <c:showLegendKey val="0"/>
              <c:showVal val="1"/>
              <c:showCatName val="1"/>
              <c:showSerName val="0"/>
              <c:showPercent val="0"/>
              <c:showBubbleSize val="0"/>
              <c:separator>
</c:separator>
            </c:dLbl>
            <c:dLbl>
              <c:idx val="2"/>
              <c:layout>
                <c:manualLayout>
                  <c:x val="-9.0998051473074063E-2"/>
                  <c:y val="-0.14378054326322667"/>
                </c:manualLayout>
              </c:layout>
              <c:dLblPos val="bestFit"/>
              <c:showLegendKey val="0"/>
              <c:showVal val="1"/>
              <c:showCatName val="1"/>
              <c:showSerName val="0"/>
              <c:showPercent val="0"/>
              <c:showBubbleSize val="0"/>
              <c:separator>
</c:separator>
            </c:dLbl>
            <c:dLbl>
              <c:idx val="3"/>
              <c:layout>
                <c:manualLayout>
                  <c:x val="-2.8279799076024601E-2"/>
                  <c:y val="2.9470887379183144E-2"/>
                </c:manualLayout>
              </c:layout>
              <c:dLblPos val="bestFit"/>
              <c:showLegendKey val="0"/>
              <c:showVal val="1"/>
              <c:showCatName val="1"/>
              <c:showSerName val="0"/>
              <c:showPercent val="0"/>
              <c:showBubbleSize val="0"/>
              <c:separator>
</c:separator>
            </c:dLbl>
            <c:dLbl>
              <c:idx val="4"/>
              <c:layout>
                <c:manualLayout>
                  <c:x val="3.6301192217642386E-2"/>
                  <c:y val="6.0628997892413841E-2"/>
                </c:manualLayout>
              </c:layout>
              <c:dLblPos val="bestFit"/>
              <c:showLegendKey val="0"/>
              <c:showVal val="1"/>
              <c:showCatName val="1"/>
              <c:showSerName val="0"/>
              <c:showPercent val="0"/>
              <c:showBubbleSize val="0"/>
              <c:separator>
</c:separator>
            </c:dLbl>
            <c:dLbl>
              <c:idx val="5"/>
              <c:delete val="1"/>
            </c:dLbl>
            <c:dLbl>
              <c:idx val="6"/>
              <c:layout>
                <c:manualLayout>
                  <c:x val="3.4604690807091734E-2"/>
                  <c:y val="5.8856594113070961E-2"/>
                </c:manualLayout>
              </c:layout>
              <c:dLblPos val="bestFit"/>
              <c:showLegendKey val="0"/>
              <c:showVal val="1"/>
              <c:showCatName val="1"/>
              <c:showSerName val="0"/>
              <c:showPercent val="0"/>
              <c:showBubbleSize val="0"/>
              <c:separator>
</c:separator>
            </c:dLbl>
            <c:dLbl>
              <c:idx val="7"/>
              <c:layout>
                <c:manualLayout>
                  <c:x val="8.8445911474180475E-2"/>
                  <c:y val="-0.11382419545841731"/>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'Vehicle Rental'!$O$8:$O$15</c:f>
              <c:strCache>
                <c:ptCount val="8"/>
                <c:pt idx="0">
                  <c:v>Salaries &amp; Wages</c:v>
                </c:pt>
                <c:pt idx="1">
                  <c:v>Fringe Benefits</c:v>
                </c:pt>
                <c:pt idx="2">
                  <c:v>Services &amp; Materials</c:v>
                </c:pt>
                <c:pt idx="3">
                  <c:v>Other Operating Expenses</c:v>
                </c:pt>
                <c:pt idx="4">
                  <c:v>Capital Outlay</c:v>
                </c:pt>
                <c:pt idx="5">
                  <c:v>Debt Service</c:v>
                </c:pt>
                <c:pt idx="6">
                  <c:v>Transfers Out</c:v>
                </c:pt>
                <c:pt idx="7">
                  <c:v>Other Uses</c:v>
                </c:pt>
              </c:strCache>
            </c:strRef>
          </c:cat>
          <c:val>
            <c:numRef>
              <c:f>'Vehicle Rental'!$Q$8:$Q$15</c:f>
              <c:numCache>
                <c:formatCode>0.0%</c:formatCode>
                <c:ptCount val="8"/>
                <c:pt idx="0">
                  <c:v>0.01</c:v>
                </c:pt>
                <c:pt idx="1">
                  <c:v>2E-3</c:v>
                </c:pt>
                <c:pt idx="2">
                  <c:v>0.436</c:v>
                </c:pt>
                <c:pt idx="3">
                  <c:v>2.5999999999999999E-2</c:v>
                </c:pt>
                <c:pt idx="4">
                  <c:v>0.13800000000000001</c:v>
                </c:pt>
                <c:pt idx="5">
                  <c:v>0</c:v>
                </c:pt>
                <c:pt idx="6">
                  <c:v>4.0000000000000001E-3</c:v>
                </c:pt>
                <c:pt idx="7">
                  <c:v>0.38400000000000001</c:v>
                </c:pt>
              </c:numCache>
            </c:numRef>
          </c:val>
        </c:ser>
        <c:ser>
          <c:idx val="0"/>
          <c:order val="1"/>
          <c:dLbls>
            <c:dLbl>
              <c:idx val="0"/>
              <c:layout>
                <c:manualLayout>
                  <c:x val="4.8842036385480125E-2"/>
                  <c:y val="-2.3855692103907582E-2"/>
                </c:manualLayout>
              </c:layout>
              <c:dLblPos val="bestFit"/>
              <c:showLegendKey val="0"/>
              <c:showVal val="0"/>
              <c:showCatName val="1"/>
              <c:showSerName val="0"/>
              <c:showPercent val="1"/>
              <c:showBubbleSize val="0"/>
            </c:dLbl>
            <c:dLbl>
              <c:idx val="1"/>
              <c:delete val="1"/>
            </c:dLbl>
            <c:dLbl>
              <c:idx val="2"/>
              <c:layout>
                <c:manualLayout>
                  <c:x val="-1.6627446872948125E-3"/>
                  <c:y val="-0.12837536461023882"/>
                </c:manualLayout>
              </c:layout>
              <c:tx>
                <c:rich>
                  <a:bodyPr/>
                  <a:lstStyle/>
                  <a:p>
                    <a:r>
                      <a:rPr lang="en-US" sz="1000"/>
                      <a:t> </a:t>
                    </a:r>
                    <a:r>
                      <a:rPr lang="en-US"/>
                      <a:t>Services/</a:t>
                    </a:r>
                  </a:p>
                  <a:p>
                    <a:r>
                      <a:rPr lang="en-US"/>
                      <a:t>Materials 
30%</a:t>
                    </a:r>
                  </a:p>
                </c:rich>
              </c:tx>
              <c:dLblPos val="bestFit"/>
              <c:showLegendKey val="0"/>
              <c:showVal val="0"/>
              <c:showCatName val="1"/>
              <c:showSerName val="0"/>
              <c:showPercent val="1"/>
              <c:showBubbleSize val="0"/>
            </c:dLbl>
            <c:dLbl>
              <c:idx val="3"/>
              <c:layout>
                <c:manualLayout>
                  <c:x val="1.8391516619863144E-2"/>
                  <c:y val="-2.307048836200987E-2"/>
                </c:manualLayout>
              </c:layout>
              <c:dLblPos val="bestFit"/>
              <c:showLegendKey val="0"/>
              <c:showVal val="0"/>
              <c:showCatName val="1"/>
              <c:showSerName val="0"/>
              <c:showPercent val="1"/>
              <c:showBubbleSize val="0"/>
            </c:dLbl>
            <c:dLbl>
              <c:idx val="4"/>
              <c:delete val="1"/>
            </c:dLbl>
            <c:dLbl>
              <c:idx val="5"/>
              <c:layout>
                <c:manualLayout>
                  <c:x val="0.10485277883962771"/>
                  <c:y val="2.1473863664238285E-2"/>
                </c:manualLayout>
              </c:layout>
              <c:dLblPos val="bestFit"/>
              <c:showLegendKey val="0"/>
              <c:showVal val="0"/>
              <c:showCatName val="1"/>
              <c:showSerName val="0"/>
              <c:showPercent val="1"/>
              <c:showBubbleSize val="0"/>
            </c:dLbl>
            <c:dLbl>
              <c:idx val="6"/>
              <c:delete val="1"/>
            </c:dLbl>
            <c:dLbl>
              <c:idx val="7"/>
              <c:delete val="1"/>
            </c:dLbl>
            <c:dLbl>
              <c:idx val="8"/>
              <c:layout>
                <c:manualLayout>
                  <c:x val="0.25671354625808379"/>
                  <c:y val="5.7667149083000142E-3"/>
                </c:manualLayout>
              </c:layout>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'Vehicle Rental'!$O$8:$O$15</c:f>
              <c:strCache>
                <c:ptCount val="8"/>
                <c:pt idx="0">
                  <c:v>Salaries &amp; Wages</c:v>
                </c:pt>
                <c:pt idx="1">
                  <c:v>Fringe Benefits</c:v>
                </c:pt>
                <c:pt idx="2">
                  <c:v>Services &amp; Materials</c:v>
                </c:pt>
                <c:pt idx="3">
                  <c:v>Other Operating Expenses</c:v>
                </c:pt>
                <c:pt idx="4">
                  <c:v>Capital Outlay</c:v>
                </c:pt>
                <c:pt idx="5">
                  <c:v>Debt Service</c:v>
                </c:pt>
                <c:pt idx="6">
                  <c:v>Transfers Out</c:v>
                </c:pt>
                <c:pt idx="7">
                  <c:v>Other Uses</c:v>
                </c:pt>
              </c:strCache>
            </c:strRef>
          </c:cat>
          <c:val>
            <c:numRef>
              <c:f>'Vehicle Rental'!$P$8:$P$15</c:f>
              <c:numCache>
                <c:formatCode>_(* #,##0_);_(* \(#,##0\);_(* "-"??_);_(@_)</c:formatCode>
                <c:ptCount val="8"/>
                <c:pt idx="0">
                  <c:v>253567</c:v>
                </c:pt>
                <c:pt idx="1">
                  <c:v>60738</c:v>
                </c:pt>
                <c:pt idx="2">
                  <c:v>10891786.01</c:v>
                </c:pt>
                <c:pt idx="3">
                  <c:v>640546</c:v>
                </c:pt>
                <c:pt idx="4">
                  <c:v>3439295</c:v>
                </c:pt>
                <c:pt idx="5">
                  <c:v>0</c:v>
                </c:pt>
                <c:pt idx="6">
                  <c:v>94460</c:v>
                </c:pt>
                <c:pt idx="7">
                  <c:v>9552106.8899999987</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baseline="0">
                <a:solidFill>
                  <a:schemeClr val="bg1"/>
                </a:solidFill>
              </a:rPr>
              <a:t>Revenues</a:t>
            </a:r>
            <a:endParaRPr lang="en-US" sz="1400">
              <a:solidFill>
                <a:schemeClr val="bg1"/>
              </a:solidFill>
            </a:endParaRPr>
          </a:p>
        </c:rich>
      </c:tx>
      <c:layout>
        <c:manualLayout>
          <c:xMode val="edge"/>
          <c:yMode val="edge"/>
          <c:x val="0.25230032411428999"/>
          <c:y val="6.7240366727272093E-4"/>
        </c:manualLayout>
      </c:layout>
      <c:overlay val="1"/>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5.8585759520273471E-3"/>
          <c:y val="6.7686291335065915E-2"/>
          <c:w val="0.85325632116270178"/>
          <c:h val="0.91054241265844449"/>
        </c:manualLayout>
      </c:layout>
      <c:pie3DChart>
        <c:varyColors val="1"/>
        <c:ser>
          <c:idx val="1"/>
          <c:order val="0"/>
          <c:dLbls>
            <c:dLbl>
              <c:idx val="0"/>
              <c:layout>
                <c:manualLayout>
                  <c:x val="-9.1063505851804116E-2"/>
                  <c:y val="0.21362109772008736"/>
                </c:manualLayout>
              </c:layout>
              <c:dLblPos val="bestFit"/>
              <c:showLegendKey val="0"/>
              <c:showVal val="1"/>
              <c:showCatName val="1"/>
              <c:showSerName val="0"/>
              <c:showPercent val="0"/>
              <c:showBubbleSize val="0"/>
              <c:separator>
</c:separator>
            </c:dLbl>
            <c:dLbl>
              <c:idx val="1"/>
              <c:layout>
                <c:manualLayout>
                  <c:x val="0.10606173116260824"/>
                  <c:y val="0.15021165007344159"/>
                </c:manualLayout>
              </c:layout>
              <c:dLblPos val="bestFit"/>
              <c:showLegendKey val="0"/>
              <c:showVal val="1"/>
              <c:showCatName val="1"/>
              <c:showSerName val="0"/>
              <c:showPercent val="0"/>
              <c:showBubbleSize val="0"/>
              <c:separator>
</c:separator>
            </c:dLbl>
            <c:dLbl>
              <c:idx val="2"/>
              <c:delete val="1"/>
            </c:dLbl>
            <c:dLbl>
              <c:idx val="3"/>
              <c:layout>
                <c:manualLayout>
                  <c:x val="2.5546884486414283E-2"/>
                  <c:y val="-0.12588296940774316"/>
                </c:manualLayout>
              </c:layout>
              <c:showLegendKey val="0"/>
              <c:showVal val="1"/>
              <c:showCatName val="1"/>
              <c:showSerName val="0"/>
              <c:showPercent val="0"/>
              <c:showBubbleSize val="0"/>
            </c:dLbl>
            <c:dLbl>
              <c:idx val="4"/>
              <c:layout>
                <c:manualLayout>
                  <c:x val="3.1565656565656574E-3"/>
                  <c:y val="-0.12195839250195961"/>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'Vehicle Rental'!$O$18:$O$21</c:f>
              <c:strCache>
                <c:ptCount val="4"/>
                <c:pt idx="0">
                  <c:v>Charges For Services</c:v>
                </c:pt>
                <c:pt idx="1">
                  <c:v>Miscellaneous</c:v>
                </c:pt>
                <c:pt idx="2">
                  <c:v>Appropriated Fund Balance</c:v>
                </c:pt>
                <c:pt idx="3">
                  <c:v>Other Resources</c:v>
                </c:pt>
              </c:strCache>
            </c:strRef>
          </c:cat>
          <c:val>
            <c:numRef>
              <c:f>'Vehicle Rental'!$Q$18:$Q$21</c:f>
              <c:numCache>
                <c:formatCode>0.0%</c:formatCode>
                <c:ptCount val="4"/>
                <c:pt idx="0">
                  <c:v>0.65700000000000003</c:v>
                </c:pt>
                <c:pt idx="1">
                  <c:v>5.0000000000000001E-3</c:v>
                </c:pt>
                <c:pt idx="2">
                  <c:v>0</c:v>
                </c:pt>
                <c:pt idx="3">
                  <c:v>0.33800000000000002</c:v>
                </c:pt>
              </c:numCache>
            </c:numRef>
          </c:val>
        </c:ser>
        <c:ser>
          <c:idx val="0"/>
          <c:order val="1"/>
          <c:dLbls>
            <c:dLbl>
              <c:idx val="0"/>
              <c:layout>
                <c:manualLayout>
                  <c:x val="-0.27798033044922282"/>
                  <c:y val="-8.9446160630521104E-2"/>
                </c:manualLayout>
              </c:layout>
              <c:dLblPos val="bestFit"/>
              <c:showLegendKey val="0"/>
              <c:showVal val="0"/>
              <c:showCatName val="1"/>
              <c:showSerName val="0"/>
              <c:showPercent val="1"/>
              <c:showBubbleSize val="0"/>
            </c:dLbl>
            <c:dLbl>
              <c:idx val="1"/>
              <c:delete val="1"/>
            </c:dLbl>
            <c:dLbl>
              <c:idx val="2"/>
              <c:delete val="1"/>
            </c:dLbl>
            <c:dLbl>
              <c:idx val="3"/>
              <c:layout>
                <c:manualLayout>
                  <c:x val="0.23422582653195725"/>
                  <c:y val="1.4954216760125398E-3"/>
                </c:manualLayout>
              </c:layout>
              <c:dLblPos val="bestFit"/>
              <c:showLegendKey val="0"/>
              <c:showVal val="0"/>
              <c:showCatName val="1"/>
              <c:showSerName val="0"/>
              <c:showPercent val="1"/>
              <c:showBubbleSize val="0"/>
            </c:dLbl>
            <c:dLbl>
              <c:idx val="4"/>
              <c:layout>
                <c:manualLayout>
                  <c:x val="-5.0548034897365722E-2"/>
                  <c:y val="0.15998681588412636"/>
                </c:manualLayout>
              </c:layout>
              <c:dLblPos val="bestFit"/>
              <c:showLegendKey val="0"/>
              <c:showVal val="0"/>
              <c:showCatName val="1"/>
              <c:showSerName val="0"/>
              <c:showPercent val="1"/>
              <c:showBubbleSize val="0"/>
            </c:dLbl>
            <c:dLbl>
              <c:idx val="7"/>
              <c:layout>
                <c:manualLayout>
                  <c:x val="4.0652564972464611E-2"/>
                  <c:y val="-0.11801515261981142"/>
                </c:manualLayout>
              </c:layout>
              <c:dLblPos val="bestFit"/>
              <c:showLegendKey val="0"/>
              <c:showVal val="0"/>
              <c:showCatName val="1"/>
              <c:showSerName val="0"/>
              <c:showPercent val="1"/>
              <c:showBubbleSize val="0"/>
            </c:dLbl>
            <c:dLbl>
              <c:idx val="8"/>
              <c:layout>
                <c:manualLayout>
                  <c:x val="0.16914316933385487"/>
                  <c:y val="-1.7670968212306799E-2"/>
                </c:manualLayout>
              </c:layout>
              <c:dLblPos val="bestFit"/>
              <c:showLegendKey val="0"/>
              <c:showVal val="0"/>
              <c:showCatName val="1"/>
              <c:showSerName val="0"/>
              <c:showPercent val="1"/>
              <c:showBubbleSize val="0"/>
            </c:dLbl>
            <c:txPr>
              <a:bodyPr/>
              <a:lstStyle/>
              <a:p>
                <a:pPr>
                  <a:defRPr sz="1000" b="1">
                    <a:latin typeface="+mn-lt"/>
                  </a:defRPr>
                </a:pPr>
                <a:endParaRPr lang="en-US"/>
              </a:p>
            </c:txPr>
            <c:dLblPos val="bestFit"/>
            <c:showLegendKey val="0"/>
            <c:showVal val="0"/>
            <c:showCatName val="1"/>
            <c:showSerName val="0"/>
            <c:showPercent val="1"/>
            <c:showBubbleSize val="0"/>
            <c:showLeaderLines val="1"/>
          </c:dLbls>
          <c:cat>
            <c:strRef>
              <c:f>'Vehicle Rental'!$O$18:$O$21</c:f>
              <c:strCache>
                <c:ptCount val="4"/>
                <c:pt idx="0">
                  <c:v>Charges For Services</c:v>
                </c:pt>
                <c:pt idx="1">
                  <c:v>Miscellaneous</c:v>
                </c:pt>
                <c:pt idx="2">
                  <c:v>Appropriated Fund Balance</c:v>
                </c:pt>
                <c:pt idx="3">
                  <c:v>Other Resources</c:v>
                </c:pt>
              </c:strCache>
            </c:strRef>
          </c:cat>
          <c:val>
            <c:numRef>
              <c:f>'Vehicle Rental'!$P$18:$P$21</c:f>
              <c:numCache>
                <c:formatCode>_(* #,##0_);_(* \(#,##0\);_(* "-"??_);_(@_)</c:formatCode>
                <c:ptCount val="4"/>
                <c:pt idx="0">
                  <c:v>16379420</c:v>
                </c:pt>
                <c:pt idx="1">
                  <c:v>114335</c:v>
                </c:pt>
                <c:pt idx="2">
                  <c:v>0</c:v>
                </c:pt>
                <c:pt idx="3">
                  <c:v>8438743.8999999985</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printSettings>
    <c:headerFooter/>
    <c:pageMargins b="0.75000000000000167" l="0.70000000000000062" r="0.70000000000000062" t="0.75000000000000167" header="0.30000000000000032" footer="0.30000000000000032"/>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a:solidFill>
                  <a:schemeClr val="bg1"/>
                </a:solidFill>
              </a:rPr>
              <a:t>Expenses </a:t>
            </a:r>
          </a:p>
        </c:rich>
      </c:tx>
      <c:layout>
        <c:manualLayout>
          <c:xMode val="edge"/>
          <c:yMode val="edge"/>
          <c:x val="0.28318998107759075"/>
          <c:y val="1.1226297406580373E-3"/>
        </c:manualLayout>
      </c:layout>
      <c:overlay val="0"/>
      <c:spPr>
        <a:solidFill>
          <a:sysClr val="windowText" lastClr="000000"/>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0.15244661841017254"/>
          <c:y val="6.193014277576056E-2"/>
          <c:w val="0.74174317994693595"/>
          <c:h val="0.90126187150293036"/>
        </c:manualLayout>
      </c:layout>
      <c:pie3DChart>
        <c:varyColors val="1"/>
        <c:ser>
          <c:idx val="0"/>
          <c:order val="0"/>
          <c:dLbls>
            <c:dLbl>
              <c:idx val="0"/>
              <c:layout>
                <c:manualLayout>
                  <c:x val="-3.9331358064454758E-2"/>
                  <c:y val="-6.7959790457312763E-2"/>
                </c:manualLayout>
              </c:layout>
              <c:dLblPos val="bestFit"/>
              <c:showLegendKey val="0"/>
              <c:showVal val="1"/>
              <c:showCatName val="1"/>
              <c:showSerName val="0"/>
              <c:showPercent val="0"/>
              <c:showBubbleSize val="0"/>
              <c:separator>
</c:separator>
            </c:dLbl>
            <c:dLbl>
              <c:idx val="1"/>
              <c:layout>
                <c:manualLayout>
                  <c:x val="-2.2475061751117006E-2"/>
                  <c:y val="-9.6276369814526405E-2"/>
                </c:manualLayout>
              </c:layout>
              <c:dLblPos val="bestFit"/>
              <c:showLegendKey val="0"/>
              <c:showVal val="1"/>
              <c:showCatName val="1"/>
              <c:showSerName val="0"/>
              <c:showPercent val="0"/>
              <c:showBubbleSize val="0"/>
              <c:separator>
</c:separator>
            </c:dLbl>
            <c:dLbl>
              <c:idx val="2"/>
              <c:layout>
                <c:manualLayout>
                  <c:x val="0"/>
                  <c:y val="0.14724621265751098"/>
                </c:manualLayout>
              </c:layout>
              <c:dLblPos val="bestFit"/>
              <c:showLegendKey val="0"/>
              <c:showVal val="1"/>
              <c:showCatName val="1"/>
              <c:showSerName val="0"/>
              <c:showPercent val="0"/>
              <c:showBubbleSize val="0"/>
              <c:separator>
</c:separator>
            </c:dLbl>
            <c:dLbl>
              <c:idx val="3"/>
              <c:layout>
                <c:manualLayout>
                  <c:x val="-8.9900247004468026E-2"/>
                  <c:y val="8.7781396007362206E-2"/>
                </c:manualLayout>
              </c:layout>
              <c:dLblPos val="bestFit"/>
              <c:showLegendKey val="0"/>
              <c:showVal val="1"/>
              <c:showCatName val="1"/>
              <c:showSerName val="0"/>
              <c:showPercent val="0"/>
              <c:showBubbleSize val="0"/>
              <c:separator>
</c:separator>
            </c:dLbl>
            <c:dLbl>
              <c:idx val="4"/>
              <c:layout>
                <c:manualLayout>
                  <c:x val="2.8093827188896258E-2"/>
                  <c:y val="7.6454764264476949E-2"/>
                </c:manualLayout>
              </c:layout>
              <c:dLblPos val="bestFit"/>
              <c:showLegendKey val="0"/>
              <c:showVal val="1"/>
              <c:showCatName val="1"/>
              <c:showSerName val="0"/>
              <c:showPercent val="0"/>
              <c:showBubbleSize val="0"/>
              <c:separator>
</c:separator>
            </c:dLbl>
            <c:dLbl>
              <c:idx val="5"/>
              <c:layout>
                <c:manualLayout>
                  <c:x val="5.0568888940013254E-2"/>
                  <c:y val="0.11043465949313323"/>
                </c:manualLayout>
              </c:layout>
              <c:dLblPos val="bestFit"/>
              <c:showLegendKey val="0"/>
              <c:showVal val="1"/>
              <c:showCatName val="1"/>
              <c:showSerName val="0"/>
              <c:showPercent val="0"/>
              <c:showBubbleSize val="0"/>
              <c:separator>
</c:separator>
            </c:dLbl>
            <c:dLbl>
              <c:idx val="6"/>
              <c:layout>
                <c:manualLayout>
                  <c:x val="1.9665679032227379E-2"/>
                  <c:y val="-0.22086931898626647"/>
                </c:manualLayout>
              </c:layout>
              <c:dLblPos val="bestFit"/>
              <c:showLegendKey val="0"/>
              <c:showVal val="1"/>
              <c:showCatName val="1"/>
              <c:showSerName val="0"/>
              <c:showPercent val="0"/>
              <c:showBubbleSize val="0"/>
              <c:separator>
</c:separator>
            </c:dLbl>
            <c:dLbl>
              <c:idx val="7"/>
              <c:layout>
                <c:manualLayout>
                  <c:x val="8.4281481566688798E-2"/>
                  <c:y val="-0.10760300155741187"/>
                </c:manualLayout>
              </c:layout>
              <c:dLblPos val="bestFit"/>
              <c:showLegendKey val="0"/>
              <c:showVal val="1"/>
              <c:showCatName val="1"/>
              <c:showSerName val="0"/>
              <c:showPercent val="0"/>
              <c:showBubbleSize val="0"/>
              <c:separator>
</c:separator>
            </c:dLbl>
            <c:txPr>
              <a:bodyPr/>
              <a:lstStyle/>
              <a:p>
                <a:pPr>
                  <a:defRPr b="1" i="0"/>
                </a:pPr>
                <a:endParaRPr lang="en-US"/>
              </a:p>
            </c:txPr>
            <c:dLblPos val="outEnd"/>
            <c:showLegendKey val="0"/>
            <c:showVal val="1"/>
            <c:showCatName val="1"/>
            <c:showSerName val="0"/>
            <c:showPercent val="0"/>
            <c:showBubbleSize val="0"/>
            <c:separator>
</c:separator>
            <c:showLeaderLines val="1"/>
          </c:dLbls>
          <c:cat>
            <c:strRef>
              <c:f>'Water and Sewer'!$O$7:$O$14</c:f>
              <c:strCache>
                <c:ptCount val="8"/>
                <c:pt idx="0">
                  <c:v>Salaries &amp; Wages</c:v>
                </c:pt>
                <c:pt idx="1">
                  <c:v>Fringe Benefits</c:v>
                </c:pt>
                <c:pt idx="2">
                  <c:v>Services &amp; Materials</c:v>
                </c:pt>
                <c:pt idx="3">
                  <c:v>Other Operating Expenses</c:v>
                </c:pt>
                <c:pt idx="4">
                  <c:v>Capital Outlay</c:v>
                </c:pt>
                <c:pt idx="5">
                  <c:v>Debt Services</c:v>
                </c:pt>
                <c:pt idx="6">
                  <c:v>Transfers 
Out</c:v>
                </c:pt>
                <c:pt idx="7">
                  <c:v>Other Uses</c:v>
                </c:pt>
              </c:strCache>
            </c:strRef>
          </c:cat>
          <c:val>
            <c:numRef>
              <c:f>'Water and Sewer'!$Q$7:$Q$14</c:f>
              <c:numCache>
                <c:formatCode>0.0%</c:formatCode>
                <c:ptCount val="8"/>
                <c:pt idx="0">
                  <c:v>0.126</c:v>
                </c:pt>
                <c:pt idx="1">
                  <c:v>5.8000000000000003E-2</c:v>
                </c:pt>
                <c:pt idx="2">
                  <c:v>0.13300000000000001</c:v>
                </c:pt>
                <c:pt idx="3">
                  <c:v>0.19800000000000001</c:v>
                </c:pt>
                <c:pt idx="4">
                  <c:v>8.0000000000000002E-3</c:v>
                </c:pt>
                <c:pt idx="5">
                  <c:v>0.20200000000000001</c:v>
                </c:pt>
                <c:pt idx="6">
                  <c:v>1.6E-2</c:v>
                </c:pt>
                <c:pt idx="7">
                  <c:v>0.25900000000000001</c:v>
                </c:pt>
              </c:numCache>
            </c:numRef>
          </c:val>
        </c:ser>
        <c:ser>
          <c:idx val="1"/>
          <c:order val="1"/>
          <c:dLbls>
            <c:dLbl>
              <c:idx val="0"/>
              <c:layout>
                <c:manualLayout>
                  <c:x val="-0.13234469994039591"/>
                  <c:y val="-4.6731511791254156E-2"/>
                </c:manualLayout>
              </c:layout>
              <c:tx>
                <c:rich>
                  <a:bodyPr/>
                  <a:lstStyle/>
                  <a:p>
                    <a:r>
                      <a:rPr lang="en-US"/>
                      <a:t>Salaries &amp; Wages             9.8%</a:t>
                    </a:r>
                  </a:p>
                </c:rich>
              </c:tx>
              <c:showLegendKey val="0"/>
              <c:showVal val="1"/>
              <c:showCatName val="1"/>
              <c:showSerName val="0"/>
              <c:showPercent val="0"/>
              <c:showBubbleSize val="0"/>
              <c:separator> </c:separator>
            </c:dLbl>
            <c:dLbl>
              <c:idx val="1"/>
              <c:layout>
                <c:manualLayout>
                  <c:x val="2.0441070364212471E-2"/>
                  <c:y val="-0.11202656203432078"/>
                </c:manualLayout>
              </c:layout>
              <c:tx>
                <c:rich>
                  <a:bodyPr/>
                  <a:lstStyle/>
                  <a:p>
                    <a:r>
                      <a:rPr lang="en-US"/>
                      <a:t>Fringe Benefits  </a:t>
                    </a:r>
                  </a:p>
                  <a:p>
                    <a:r>
                      <a:rPr lang="en-US"/>
                      <a:t>4.0%</a:t>
                    </a:r>
                  </a:p>
                </c:rich>
              </c:tx>
              <c:showLegendKey val="0"/>
              <c:showVal val="1"/>
              <c:showCatName val="1"/>
              <c:showSerName val="0"/>
              <c:showPercent val="0"/>
              <c:showBubbleSize val="0"/>
              <c:separator> </c:separator>
            </c:dLbl>
            <c:dLbl>
              <c:idx val="2"/>
              <c:layout>
                <c:manualLayout>
                  <c:x val="-8.0338802271230237E-3"/>
                  <c:y val="-4.6083922629207894E-2"/>
                </c:manualLayout>
              </c:layout>
              <c:showLegendKey val="0"/>
              <c:showVal val="1"/>
              <c:showCatName val="1"/>
              <c:showSerName val="0"/>
              <c:showPercent val="0"/>
              <c:showBubbleSize val="0"/>
              <c:separator> </c:separator>
            </c:dLbl>
            <c:dLbl>
              <c:idx val="3"/>
              <c:layout>
                <c:manualLayout>
                  <c:x val="-5.100039695940952E-4"/>
                  <c:y val="0.1089088974440445"/>
                </c:manualLayout>
              </c:layout>
              <c:showLegendKey val="0"/>
              <c:showVal val="1"/>
              <c:showCatName val="1"/>
              <c:showSerName val="0"/>
              <c:showPercent val="0"/>
              <c:showBubbleSize val="0"/>
              <c:separator> </c:separator>
            </c:dLbl>
            <c:dLbl>
              <c:idx val="4"/>
              <c:layout>
                <c:manualLayout>
                  <c:x val="-0.1348510838535622"/>
                  <c:y val="7.6646846948921127E-2"/>
                </c:manualLayout>
              </c:layout>
              <c:tx>
                <c:rich>
                  <a:bodyPr/>
                  <a:lstStyle/>
                  <a:p>
                    <a:r>
                      <a:rPr lang="en-US"/>
                      <a:t>Capital Outlay    0.3%</a:t>
                    </a:r>
                  </a:p>
                </c:rich>
              </c:tx>
              <c:showLegendKey val="0"/>
              <c:showVal val="1"/>
              <c:showCatName val="1"/>
              <c:showSerName val="0"/>
              <c:showPercent val="0"/>
              <c:showBubbleSize val="0"/>
              <c:separator> </c:separator>
            </c:dLbl>
            <c:dLbl>
              <c:idx val="5"/>
              <c:layout>
                <c:manualLayout>
                  <c:x val="-9.9388273676945679E-2"/>
                  <c:y val="5.0721933629397573E-2"/>
                </c:manualLayout>
              </c:layout>
              <c:showLegendKey val="0"/>
              <c:showVal val="1"/>
              <c:showCatName val="1"/>
              <c:showSerName val="0"/>
              <c:showPercent val="0"/>
              <c:showBubbleSize val="0"/>
              <c:separator> </c:separator>
            </c:dLbl>
            <c:dLbl>
              <c:idx val="6"/>
              <c:layout>
                <c:manualLayout>
                  <c:x val="7.3782099946670135E-2"/>
                  <c:y val="6.6214401069312381E-2"/>
                </c:manualLayout>
              </c:layout>
              <c:showLegendKey val="0"/>
              <c:showVal val="1"/>
              <c:showCatName val="1"/>
              <c:showSerName val="0"/>
              <c:showPercent val="0"/>
              <c:showBubbleSize val="0"/>
              <c:separator> </c:separator>
            </c:dLbl>
            <c:dLbl>
              <c:idx val="7"/>
              <c:layout>
                <c:manualLayout>
                  <c:x val="1.21115537848606E-3"/>
                  <c:y val="-9.216332958121623E-2"/>
                </c:manualLayout>
              </c:layout>
              <c:showLegendKey val="0"/>
              <c:showVal val="1"/>
              <c:showCatName val="1"/>
              <c:showSerName val="0"/>
              <c:showPercent val="0"/>
              <c:showBubbleSize val="0"/>
              <c:separator> </c:separator>
            </c:dLbl>
            <c:txPr>
              <a:bodyPr/>
              <a:lstStyle/>
              <a:p>
                <a:pPr>
                  <a:defRPr b="1"/>
                </a:pPr>
                <a:endParaRPr lang="en-US"/>
              </a:p>
            </c:txPr>
            <c:showLegendKey val="0"/>
            <c:showVal val="1"/>
            <c:showCatName val="1"/>
            <c:showSerName val="0"/>
            <c:showPercent val="0"/>
            <c:showBubbleSize val="0"/>
            <c:separator> </c:separator>
            <c:showLeaderLines val="1"/>
          </c:dLbls>
          <c:cat>
            <c:strRef>
              <c:f>'Water and Sewer'!$O$7:$O$14</c:f>
              <c:strCache>
                <c:ptCount val="8"/>
                <c:pt idx="0">
                  <c:v>Salaries &amp; Wages</c:v>
                </c:pt>
                <c:pt idx="1">
                  <c:v>Fringe Benefits</c:v>
                </c:pt>
                <c:pt idx="2">
                  <c:v>Services &amp; Materials</c:v>
                </c:pt>
                <c:pt idx="3">
                  <c:v>Other Operating Expenses</c:v>
                </c:pt>
                <c:pt idx="4">
                  <c:v>Capital Outlay</c:v>
                </c:pt>
                <c:pt idx="5">
                  <c:v>Debt Services</c:v>
                </c:pt>
                <c:pt idx="6">
                  <c:v>Transfers 
Out</c:v>
                </c:pt>
                <c:pt idx="7">
                  <c:v>Other Uses</c:v>
                </c:pt>
              </c:strCache>
            </c:strRef>
          </c:cat>
          <c:val>
            <c:numRef>
              <c:f>'Water and Sewer'!$Q$7:$Q$14</c:f>
              <c:numCache>
                <c:formatCode>0.0%</c:formatCode>
                <c:ptCount val="8"/>
                <c:pt idx="0">
                  <c:v>0.126</c:v>
                </c:pt>
                <c:pt idx="1">
                  <c:v>5.8000000000000003E-2</c:v>
                </c:pt>
                <c:pt idx="2">
                  <c:v>0.13300000000000001</c:v>
                </c:pt>
                <c:pt idx="3">
                  <c:v>0.19800000000000001</c:v>
                </c:pt>
                <c:pt idx="4">
                  <c:v>8.0000000000000002E-3</c:v>
                </c:pt>
                <c:pt idx="5">
                  <c:v>0.20200000000000001</c:v>
                </c:pt>
                <c:pt idx="6">
                  <c:v>1.6E-2</c:v>
                </c:pt>
                <c:pt idx="7">
                  <c:v>0.25900000000000001</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txPr>
    <a:bodyPr/>
    <a:lstStyle/>
    <a:p>
      <a:pPr>
        <a:defRPr sz="1000"/>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solidFill>
                  <a:schemeClr val="bg1"/>
                </a:solidFill>
              </a:defRPr>
            </a:pPr>
            <a:r>
              <a:rPr lang="en-US" sz="1400" b="1" i="0" u="none" strike="noStrike" baseline="0">
                <a:effectLst/>
              </a:rPr>
              <a:t>FY 2015 Proposed </a:t>
            </a:r>
            <a:r>
              <a:rPr lang="en-US" sz="1400">
                <a:solidFill>
                  <a:schemeClr val="bg1"/>
                </a:solidFill>
              </a:rPr>
              <a:t>Revenues</a:t>
            </a:r>
          </a:p>
        </c:rich>
      </c:tx>
      <c:layout>
        <c:manualLayout>
          <c:xMode val="edge"/>
          <c:yMode val="edge"/>
          <c:x val="0.26234746395114156"/>
          <c:y val="4.1179972536545513E-3"/>
        </c:manualLayout>
      </c:layout>
      <c:overlay val="0"/>
      <c:spPr>
        <a:solidFill>
          <a:schemeClr val="tx1"/>
        </a:solidFill>
        <a:ln>
          <a:solidFill>
            <a:schemeClr val="tx1"/>
          </a:solidFill>
        </a:ln>
      </c:spPr>
    </c:title>
    <c:autoTitleDeleted val="0"/>
    <c:view3D>
      <c:rotX val="30"/>
      <c:rotY val="0"/>
      <c:rAngAx val="0"/>
      <c:perspective val="30"/>
    </c:view3D>
    <c:floor>
      <c:thickness val="0"/>
    </c:floor>
    <c:sideWall>
      <c:thickness val="0"/>
    </c:sideWall>
    <c:backWall>
      <c:thickness val="0"/>
    </c:backWall>
    <c:plotArea>
      <c:layout>
        <c:manualLayout>
          <c:layoutTarget val="inner"/>
          <c:xMode val="edge"/>
          <c:yMode val="edge"/>
          <c:x val="4.9854434984008253E-2"/>
          <c:y val="4.8469086231770694E-2"/>
          <c:w val="0.79009323008934651"/>
          <c:h val="0.92286788861657199"/>
        </c:manualLayout>
      </c:layout>
      <c:pie3DChart>
        <c:varyColors val="1"/>
        <c:ser>
          <c:idx val="1"/>
          <c:order val="0"/>
          <c:dLbls>
            <c:dLbl>
              <c:idx val="0"/>
              <c:layout>
                <c:manualLayout>
                  <c:x val="-9.2329542123330874E-2"/>
                  <c:y val="0.14624724061810154"/>
                </c:manualLayout>
              </c:layout>
              <c:dLblPos val="bestFit"/>
              <c:showLegendKey val="0"/>
              <c:showVal val="1"/>
              <c:showCatName val="1"/>
              <c:showSerName val="0"/>
              <c:showPercent val="0"/>
              <c:showBubbleSize val="0"/>
              <c:separator>
</c:separator>
            </c:dLbl>
            <c:dLbl>
              <c:idx val="1"/>
              <c:layout>
                <c:manualLayout>
                  <c:x val="0.18465908424666175"/>
                  <c:y val="0.19591568024195652"/>
                </c:manualLayout>
              </c:layout>
              <c:dLblPos val="bestFit"/>
              <c:showLegendKey val="0"/>
              <c:showVal val="1"/>
              <c:showCatName val="1"/>
              <c:showSerName val="0"/>
              <c:showPercent val="0"/>
              <c:showBubbleSize val="0"/>
              <c:separator>
</c:separator>
            </c:dLbl>
            <c:dLbl>
              <c:idx val="2"/>
              <c:delete val="1"/>
            </c:dLbl>
            <c:dLbl>
              <c:idx val="3"/>
              <c:layout>
                <c:manualLayout>
                  <c:x val="0"/>
                  <c:y val="0.22902869757174404"/>
                </c:manualLayout>
              </c:layout>
              <c:dLblPos val="bestFit"/>
              <c:showLegendKey val="0"/>
              <c:showVal val="1"/>
              <c:showCatName val="1"/>
              <c:showSerName val="0"/>
              <c:showPercent val="0"/>
              <c:showBubbleSize val="0"/>
              <c:separator>
</c:separator>
            </c:dLbl>
            <c:dLbl>
              <c:idx val="4"/>
              <c:layout>
                <c:manualLayout>
                  <c:x val="0.1370051270217168"/>
                  <c:y val="-9.9337748344370855E-2"/>
                </c:manualLayout>
              </c:layout>
              <c:dLblPos val="bestFit"/>
              <c:showLegendKey val="0"/>
              <c:showVal val="1"/>
              <c:showCatName val="1"/>
              <c:showSerName val="0"/>
              <c:showPercent val="0"/>
              <c:showBubbleSize val="0"/>
              <c:separator>
</c:separator>
            </c:dLbl>
            <c:txPr>
              <a:bodyPr/>
              <a:lstStyle/>
              <a:p>
                <a:pPr>
                  <a:defRPr b="1"/>
                </a:pPr>
                <a:endParaRPr lang="en-US"/>
              </a:p>
            </c:txPr>
            <c:dLblPos val="outEnd"/>
            <c:showLegendKey val="0"/>
            <c:showVal val="1"/>
            <c:showCatName val="1"/>
            <c:showSerName val="0"/>
            <c:showPercent val="0"/>
            <c:showBubbleSize val="0"/>
            <c:separator>
</c:separator>
            <c:showLeaderLines val="1"/>
          </c:dLbls>
          <c:cat>
            <c:strRef>
              <c:f>'Water and Sewer'!$O$17:$O$21</c:f>
              <c:strCache>
                <c:ptCount val="5"/>
                <c:pt idx="0">
                  <c:v>Charges For Services</c:v>
                </c:pt>
                <c:pt idx="1">
                  <c:v>Miscellaneous</c:v>
                </c:pt>
                <c:pt idx="2">
                  <c:v>Other Sources</c:v>
                </c:pt>
                <c:pt idx="3">
                  <c:v>Appropriated
Fund
Balance</c:v>
                </c:pt>
                <c:pt idx="4">
                  <c:v>Other Resources</c:v>
                </c:pt>
              </c:strCache>
            </c:strRef>
          </c:cat>
          <c:val>
            <c:numRef>
              <c:f>'Water and Sewer'!$Q$17:$Q$21</c:f>
              <c:numCache>
                <c:formatCode>0.0%</c:formatCode>
                <c:ptCount val="5"/>
                <c:pt idx="0">
                  <c:v>0.66200000000000003</c:v>
                </c:pt>
                <c:pt idx="1">
                  <c:v>4.2000000000000003E-2</c:v>
                </c:pt>
                <c:pt idx="2">
                  <c:v>0</c:v>
                </c:pt>
                <c:pt idx="3">
                  <c:v>3.6999999999999998E-2</c:v>
                </c:pt>
                <c:pt idx="4">
                  <c:v>0.25900000000000001</c:v>
                </c:pt>
              </c:numCache>
            </c:numRef>
          </c:val>
        </c:ser>
        <c:ser>
          <c:idx val="0"/>
          <c:order val="1"/>
          <c:dLbls>
            <c:dLbl>
              <c:idx val="0"/>
              <c:layout>
                <c:manualLayout>
                  <c:x val="-0.16461463848891927"/>
                  <c:y val="0.16073464740748455"/>
                </c:manualLayout>
              </c:layout>
              <c:showLegendKey val="0"/>
              <c:showVal val="0"/>
              <c:showCatName val="1"/>
              <c:showSerName val="0"/>
              <c:showPercent val="1"/>
              <c:showBubbleSize val="0"/>
            </c:dLbl>
            <c:dLbl>
              <c:idx val="1"/>
              <c:layout>
                <c:manualLayout>
                  <c:x val="0.18763745657322081"/>
                  <c:y val="0.19620791399419443"/>
                </c:manualLayout>
              </c:layout>
              <c:showLegendKey val="0"/>
              <c:showVal val="0"/>
              <c:showCatName val="1"/>
              <c:showSerName val="0"/>
              <c:showPercent val="1"/>
              <c:showBubbleSize val="0"/>
            </c:dLbl>
            <c:dLbl>
              <c:idx val="2"/>
              <c:delete val="1"/>
            </c:dLbl>
            <c:dLbl>
              <c:idx val="3"/>
              <c:layout>
                <c:manualLayout>
                  <c:x val="4.6106141685158371E-4"/>
                  <c:y val="0.22397403139177138"/>
                </c:manualLayout>
              </c:layout>
              <c:showLegendKey val="0"/>
              <c:showVal val="0"/>
              <c:showCatName val="1"/>
              <c:showSerName val="0"/>
              <c:showPercent val="1"/>
              <c:showBubbleSize val="0"/>
            </c:dLbl>
            <c:dLbl>
              <c:idx val="4"/>
              <c:layout>
                <c:manualLayout>
                  <c:x val="0.12029950699729883"/>
                  <c:y val="-8.2928768837670128E-2"/>
                </c:manualLayout>
              </c:layout>
              <c:showLegendKey val="0"/>
              <c:showVal val="0"/>
              <c:showCatName val="1"/>
              <c:showSerName val="0"/>
              <c:showPercent val="1"/>
              <c:showBubbleSize val="0"/>
            </c:dLbl>
            <c:numFmt formatCode="0.0%" sourceLinked="0"/>
            <c:txPr>
              <a:bodyPr/>
              <a:lstStyle/>
              <a:p>
                <a:pPr>
                  <a:defRPr b="1"/>
                </a:pPr>
                <a:endParaRPr lang="en-US"/>
              </a:p>
            </c:txPr>
            <c:showLegendKey val="0"/>
            <c:showVal val="0"/>
            <c:showCatName val="1"/>
            <c:showSerName val="0"/>
            <c:showPercent val="1"/>
            <c:showBubbleSize val="0"/>
            <c:showLeaderLines val="1"/>
          </c:dLbls>
          <c:cat>
            <c:strRef>
              <c:f>'Water and Sewer'!$O$17:$O$21</c:f>
              <c:strCache>
                <c:ptCount val="5"/>
                <c:pt idx="0">
                  <c:v>Charges For Services</c:v>
                </c:pt>
                <c:pt idx="1">
                  <c:v>Miscellaneous</c:v>
                </c:pt>
                <c:pt idx="2">
                  <c:v>Other Sources</c:v>
                </c:pt>
                <c:pt idx="3">
                  <c:v>Appropriated
Fund
Balance</c:v>
                </c:pt>
                <c:pt idx="4">
                  <c:v>Other Resources</c:v>
                </c:pt>
              </c:strCache>
            </c:strRef>
          </c:cat>
          <c:val>
            <c:numRef>
              <c:f>'Water and Sewer'!$P$17:$P$21</c:f>
              <c:numCache>
                <c:formatCode>_(* #,##0_);_(* \(#,##0\);_(* "-"??_);_(@_)</c:formatCode>
                <c:ptCount val="5"/>
                <c:pt idx="0">
                  <c:v>101913700</c:v>
                </c:pt>
                <c:pt idx="1">
                  <c:v>6454264</c:v>
                </c:pt>
                <c:pt idx="2">
                  <c:v>0</c:v>
                </c:pt>
                <c:pt idx="3">
                  <c:v>5820428.849999994</c:v>
                </c:pt>
                <c:pt idx="4">
                  <c:v>39877988.150000006</c:v>
                </c:pt>
              </c:numCache>
            </c:numRef>
          </c:val>
        </c:ser>
        <c:dLbls>
          <c:showLegendKey val="0"/>
          <c:showVal val="1"/>
          <c:showCatName val="0"/>
          <c:showSerName val="0"/>
          <c:showPercent val="0"/>
          <c:showBubbleSize val="0"/>
          <c:showLeaderLines val="1"/>
        </c:dLbls>
      </c:pie3DChart>
      <c:spPr>
        <a:noFill/>
      </c:spPr>
    </c:plotArea>
    <c:plotVisOnly val="1"/>
    <c:dispBlanksAs val="zero"/>
    <c:showDLblsOverMax val="0"/>
  </c:chart>
  <c:spPr>
    <a:noFill/>
    <a:ln>
      <a:noFill/>
    </a:ln>
  </c:spPr>
  <c:txPr>
    <a:bodyPr/>
    <a:lstStyle/>
    <a:p>
      <a:pPr>
        <a:defRPr sz="1000"/>
      </a:pPr>
      <a:endParaRPr lang="en-US"/>
    </a:p>
  </c:txPr>
  <c:printSettings>
    <c:headerFooter/>
    <c:pageMargins b="0.75000000000000167" l="0.70000000000000062" r="0.70000000000000062" t="0.75000000000000167"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0</xdr:col>
      <xdr:colOff>373380</xdr:colOff>
      <xdr:row>3</xdr:row>
      <xdr:rowOff>76200</xdr:rowOff>
    </xdr:from>
    <xdr:to>
      <xdr:col>9</xdr:col>
      <xdr:colOff>7620</xdr:colOff>
      <xdr:row>25</xdr:row>
      <xdr:rowOff>137160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29</xdr:row>
      <xdr:rowOff>144780</xdr:rowOff>
    </xdr:from>
    <xdr:to>
      <xdr:col>8</xdr:col>
      <xdr:colOff>579120</xdr:colOff>
      <xdr:row>53</xdr:row>
      <xdr:rowOff>99060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0.16725</cdr:x>
      <cdr:y>0</cdr:y>
    </cdr:from>
    <cdr:to>
      <cdr:x>0.87054</cdr:x>
      <cdr:y>0.06911</cdr:y>
    </cdr:to>
    <cdr:sp macro="" textlink="">
      <cdr:nvSpPr>
        <cdr:cNvPr id="4" name="TextBox 1"/>
        <cdr:cNvSpPr txBox="1"/>
      </cdr:nvSpPr>
      <cdr:spPr>
        <a:xfrm xmlns:a="http://schemas.openxmlformats.org/drawingml/2006/main">
          <a:off x="823291" y="0"/>
          <a:ext cx="3461960" cy="262782"/>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2015 Proposed Revenues</a:t>
          </a:r>
          <a:endParaRPr lang="en-US" sz="1400" b="1">
            <a:solidFill>
              <a:schemeClr val="bg1"/>
            </a:solidFill>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0.17315</cdr:x>
      <cdr:y>0</cdr:y>
    </cdr:from>
    <cdr:to>
      <cdr:x>0.88093</cdr:x>
      <cdr:y>0.06437</cdr:y>
    </cdr:to>
    <cdr:sp macro="" textlink="">
      <cdr:nvSpPr>
        <cdr:cNvPr id="3" name="TextBox 1"/>
        <cdr:cNvSpPr txBox="1"/>
      </cdr:nvSpPr>
      <cdr:spPr>
        <a:xfrm xmlns:a="http://schemas.openxmlformats.org/drawingml/2006/main">
          <a:off x="881364" y="0"/>
          <a:ext cx="3602736" cy="256032"/>
        </a:xfrm>
        <a:prstGeom xmlns:a="http://schemas.openxmlformats.org/drawingml/2006/main" prst="rect">
          <a:avLst/>
        </a:prstGeom>
        <a:solidFill xmlns:a="http://schemas.openxmlformats.org/drawingml/2006/main">
          <a:schemeClr val="tx1"/>
        </a:solidFill>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2015 Proposed Expenses</a:t>
          </a:r>
          <a:endParaRPr lang="en-US" sz="1400" b="1">
            <a:solidFill>
              <a:schemeClr val="bg1"/>
            </a:solidFill>
            <a:effectLst/>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99060</xdr:colOff>
      <xdr:row>6</xdr:row>
      <xdr:rowOff>53340</xdr:rowOff>
    </xdr:from>
    <xdr:to>
      <xdr:col>14</xdr:col>
      <xdr:colOff>510540</xdr:colOff>
      <xdr:row>31</xdr:row>
      <xdr:rowOff>137160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13</xdr:row>
      <xdr:rowOff>15240</xdr:rowOff>
    </xdr:from>
    <xdr:to>
      <xdr:col>12</xdr:col>
      <xdr:colOff>335280</xdr:colOff>
      <xdr:row>18</xdr:row>
      <xdr:rowOff>91440</xdr:rowOff>
    </xdr:to>
    <xdr:sp macro="" textlink="">
      <xdr:nvSpPr>
        <xdr:cNvPr id="5" name="TextBox 4"/>
        <xdr:cNvSpPr txBox="1"/>
      </xdr:nvSpPr>
      <xdr:spPr>
        <a:xfrm>
          <a:off x="7002780" y="2194560"/>
          <a:ext cx="264414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Leelawadee" pitchFamily="34" charset="-34"/>
              <a:cs typeface="Leelawadee" pitchFamily="34" charset="-34"/>
            </a:rPr>
            <a:t>GENERAL FUND</a:t>
          </a:r>
          <a:endParaRPr lang="en-US" sz="2000" b="1" i="0" u="none" strike="noStrike">
            <a:solidFill>
              <a:schemeClr val="bg1"/>
            </a:solidFill>
            <a:effectLst/>
            <a:latin typeface="Leelawadee" pitchFamily="34" charset="-34"/>
            <a:ea typeface="+mn-ea"/>
            <a:cs typeface="Leelawadee" pitchFamily="34" charset="-34"/>
          </a:endParaRPr>
        </a:p>
        <a:p>
          <a:pPr algn="ctr"/>
          <a:r>
            <a:rPr lang="en-US" sz="2000" b="1" i="0" u="none" strike="noStrike">
              <a:solidFill>
                <a:schemeClr val="bg1"/>
              </a:solidFill>
              <a:effectLst/>
              <a:latin typeface="Leelawadee" pitchFamily="34" charset="-34"/>
              <a:ea typeface="+mn-ea"/>
              <a:cs typeface="Leelawadee" pitchFamily="34" charset="-34"/>
            </a:rPr>
            <a:t>$335.7</a:t>
          </a:r>
          <a:r>
            <a:rPr lang="en-US" sz="2000" b="1" i="0" u="none" strike="noStrike" baseline="0">
              <a:solidFill>
                <a:schemeClr val="bg1"/>
              </a:solidFill>
              <a:effectLst/>
              <a:latin typeface="Leelawadee" pitchFamily="34" charset="-34"/>
              <a:ea typeface="+mn-ea"/>
              <a:cs typeface="Leelawadee" pitchFamily="34" charset="-34"/>
            </a:rPr>
            <a:t> MILLION</a:t>
          </a:r>
          <a:endParaRPr lang="en-US" sz="2000" b="1">
            <a:solidFill>
              <a:schemeClr val="bg1"/>
            </a:solidFill>
            <a:latin typeface="Leelawadee" pitchFamily="34" charset="-34"/>
            <a:cs typeface="Leelawadee" pitchFamily="34" charset="-34"/>
          </a:endParaRPr>
        </a:p>
      </xdr:txBody>
    </xdr:sp>
    <xdr:clientData/>
  </xdr:twoCellAnchor>
  <xdr:twoCellAnchor>
    <xdr:from>
      <xdr:col>5</xdr:col>
      <xdr:colOff>22860</xdr:colOff>
      <xdr:row>0</xdr:row>
      <xdr:rowOff>22860</xdr:rowOff>
    </xdr:from>
    <xdr:to>
      <xdr:col>14</xdr:col>
      <xdr:colOff>571500</xdr:colOff>
      <xdr:row>6</xdr:row>
      <xdr:rowOff>121920</xdr:rowOff>
    </xdr:to>
    <xdr:sp macro="" textlink="">
      <xdr:nvSpPr>
        <xdr:cNvPr id="6" name="TextBox 5"/>
        <xdr:cNvSpPr txBox="1"/>
      </xdr:nvSpPr>
      <xdr:spPr>
        <a:xfrm>
          <a:off x="5059680" y="22860"/>
          <a:ext cx="6035040" cy="1104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latin typeface="Leelawadee" pitchFamily="34" charset="-34"/>
              <a:cs typeface="Leelawadee" pitchFamily="34" charset="-34"/>
            </a:rPr>
            <a:t>Where</a:t>
          </a:r>
          <a:r>
            <a:rPr lang="en-US" sz="2800" b="1" baseline="0">
              <a:solidFill>
                <a:sysClr val="windowText" lastClr="000000"/>
              </a:solidFill>
              <a:latin typeface="Leelawadee" pitchFamily="34" charset="-34"/>
              <a:cs typeface="Leelawadee" pitchFamily="34" charset="-34"/>
            </a:rPr>
            <a:t> the Money Comes From</a:t>
          </a:r>
          <a:endParaRPr lang="en-US" sz="2800" b="1">
            <a:solidFill>
              <a:sysClr val="windowText" lastClr="000000"/>
            </a:solidFill>
            <a:latin typeface="Leelawadee" pitchFamily="34" charset="-34"/>
            <a:cs typeface="Leelawadee" pitchFamily="34" charset="-34"/>
          </a:endParaRPr>
        </a:p>
      </xdr:txBody>
    </xdr:sp>
    <xdr:clientData/>
  </xdr:twoCellAnchor>
  <xdr:twoCellAnchor>
    <xdr:from>
      <xdr:col>5</xdr:col>
      <xdr:colOff>114300</xdr:colOff>
      <xdr:row>40</xdr:row>
      <xdr:rowOff>30480</xdr:rowOff>
    </xdr:from>
    <xdr:to>
      <xdr:col>14</xdr:col>
      <xdr:colOff>525780</xdr:colOff>
      <xdr:row>66</xdr:row>
      <xdr:rowOff>15240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30480</xdr:colOff>
      <xdr:row>33</xdr:row>
      <xdr:rowOff>60960</xdr:rowOff>
    </xdr:from>
    <xdr:to>
      <xdr:col>14</xdr:col>
      <xdr:colOff>472440</xdr:colOff>
      <xdr:row>39</xdr:row>
      <xdr:rowOff>160020</xdr:rowOff>
    </xdr:to>
    <xdr:sp macro="" textlink="">
      <xdr:nvSpPr>
        <xdr:cNvPr id="9" name="TextBox 8"/>
        <xdr:cNvSpPr txBox="1"/>
      </xdr:nvSpPr>
      <xdr:spPr>
        <a:xfrm>
          <a:off x="5074920" y="5593080"/>
          <a:ext cx="5928360" cy="1104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latin typeface="Leelawadee" pitchFamily="34" charset="-34"/>
              <a:cs typeface="Leelawadee" pitchFamily="34" charset="-34"/>
            </a:rPr>
            <a:t>Where</a:t>
          </a:r>
          <a:r>
            <a:rPr lang="en-US" sz="2800" b="1" baseline="0">
              <a:solidFill>
                <a:sysClr val="windowText" lastClr="000000"/>
              </a:solidFill>
              <a:latin typeface="Leelawadee" pitchFamily="34" charset="-34"/>
              <a:cs typeface="Leelawadee" pitchFamily="34" charset="-34"/>
            </a:rPr>
            <a:t> the Money Goes</a:t>
          </a:r>
          <a:endParaRPr lang="en-US" sz="2800" b="1">
            <a:solidFill>
              <a:sysClr val="windowText" lastClr="000000"/>
            </a:solidFill>
            <a:latin typeface="Leelawadee" pitchFamily="34" charset="-34"/>
            <a:cs typeface="Leelawadee" pitchFamily="34" charset="-34"/>
          </a:endParaRPr>
        </a:p>
      </xdr:txBody>
    </xdr:sp>
    <xdr:clientData/>
  </xdr:twoCellAnchor>
  <xdr:twoCellAnchor>
    <xdr:from>
      <xdr:col>7</xdr:col>
      <xdr:colOff>525780</xdr:colOff>
      <xdr:row>47</xdr:row>
      <xdr:rowOff>45720</xdr:rowOff>
    </xdr:from>
    <xdr:to>
      <xdr:col>12</xdr:col>
      <xdr:colOff>121920</xdr:colOff>
      <xdr:row>52</xdr:row>
      <xdr:rowOff>121920</xdr:rowOff>
    </xdr:to>
    <xdr:sp macro="" textlink="">
      <xdr:nvSpPr>
        <xdr:cNvPr id="10" name="TextBox 9"/>
        <xdr:cNvSpPr txBox="1"/>
      </xdr:nvSpPr>
      <xdr:spPr>
        <a:xfrm>
          <a:off x="6781800" y="7924800"/>
          <a:ext cx="264414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Leelawadee" pitchFamily="34" charset="-34"/>
              <a:cs typeface="Leelawadee" pitchFamily="34" charset="-34"/>
            </a:rPr>
            <a:t>GENERAL FUND</a:t>
          </a:r>
          <a:endParaRPr lang="en-US" sz="2000" b="1" i="0" u="none" strike="noStrike">
            <a:solidFill>
              <a:schemeClr val="bg1"/>
            </a:solidFill>
            <a:effectLst/>
            <a:latin typeface="Leelawadee" pitchFamily="34" charset="-34"/>
            <a:ea typeface="+mn-ea"/>
            <a:cs typeface="Leelawadee" pitchFamily="34" charset="-34"/>
          </a:endParaRPr>
        </a:p>
        <a:p>
          <a:pPr algn="ctr"/>
          <a:r>
            <a:rPr lang="en-US" sz="2000" b="1" i="0" u="none" strike="noStrike">
              <a:solidFill>
                <a:schemeClr val="bg1"/>
              </a:solidFill>
              <a:effectLst/>
              <a:latin typeface="Leelawadee" pitchFamily="34" charset="-34"/>
              <a:ea typeface="+mn-ea"/>
              <a:cs typeface="Leelawadee" pitchFamily="34" charset="-34"/>
            </a:rPr>
            <a:t>$335.7</a:t>
          </a:r>
          <a:r>
            <a:rPr lang="en-US" sz="2000" b="1" i="0" u="none" strike="noStrike" baseline="0">
              <a:solidFill>
                <a:schemeClr val="bg1"/>
              </a:solidFill>
              <a:effectLst/>
              <a:latin typeface="Leelawadee" pitchFamily="34" charset="-34"/>
              <a:ea typeface="+mn-ea"/>
              <a:cs typeface="Leelawadee" pitchFamily="34" charset="-34"/>
            </a:rPr>
            <a:t> MILLION</a:t>
          </a:r>
          <a:endParaRPr lang="en-US" sz="2000" b="1">
            <a:solidFill>
              <a:schemeClr val="bg1"/>
            </a:solidFill>
            <a:latin typeface="Leelawadee" pitchFamily="34" charset="-34"/>
            <a:cs typeface="Leelawadee" pitchFamily="34" charset="-34"/>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22860</xdr:colOff>
      <xdr:row>57</xdr:row>
      <xdr:rowOff>152400</xdr:rowOff>
    </xdr:from>
    <xdr:to>
      <xdr:col>5</xdr:col>
      <xdr:colOff>320040</xdr:colOff>
      <xdr:row>76</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335280</xdr:colOff>
      <xdr:row>57</xdr:row>
      <xdr:rowOff>106680</xdr:rowOff>
    </xdr:from>
    <xdr:to>
      <xdr:col>12</xdr:col>
      <xdr:colOff>1021080</xdr:colOff>
      <xdr:row>76</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1013460</xdr:colOff>
      <xdr:row>57</xdr:row>
      <xdr:rowOff>137160</xdr:rowOff>
    </xdr:from>
    <xdr:to>
      <xdr:col>12</xdr:col>
      <xdr:colOff>413492</xdr:colOff>
      <xdr:row>59</xdr:row>
      <xdr:rowOff>22860</xdr:rowOff>
    </xdr:to>
    <xdr:sp macro="" textlink="">
      <xdr:nvSpPr>
        <xdr:cNvPr id="15" name="TextBox 1"/>
        <xdr:cNvSpPr txBox="1"/>
      </xdr:nvSpPr>
      <xdr:spPr>
        <a:xfrm>
          <a:off x="4602480" y="10340340"/>
          <a:ext cx="2646152" cy="289560"/>
        </a:xfrm>
        <a:prstGeom prst="rect">
          <a:avLst/>
        </a:prstGeom>
        <a:solidFill>
          <a:schemeClr val="tx1"/>
        </a:solidFill>
      </xdr:spPr>
      <xdr:txBody>
        <a:bodyPr wrap="square" rtlCol="0" anchor="ct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2015 Proposed Expenses</a:t>
          </a:r>
          <a:endParaRPr lang="en-US" sz="1400" b="1">
            <a:solidFill>
              <a:schemeClr val="bg1"/>
            </a:solidFill>
            <a:effectLst/>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0.156</cdr:x>
      <cdr:y>0.00962</cdr:y>
    </cdr:from>
    <cdr:to>
      <cdr:x>0.844</cdr:x>
      <cdr:y>0.09452</cdr:y>
    </cdr:to>
    <cdr:sp macro="" textlink="">
      <cdr:nvSpPr>
        <cdr:cNvPr id="2" name="TextBox 1"/>
        <cdr:cNvSpPr txBox="1"/>
      </cdr:nvSpPr>
      <cdr:spPr>
        <a:xfrm xmlns:a="http://schemas.openxmlformats.org/drawingml/2006/main">
          <a:off x="594360" y="38100"/>
          <a:ext cx="2621280" cy="336431"/>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2014 Preliminary Revenues</a:t>
          </a:r>
          <a:endParaRPr lang="en-US" sz="1400" b="1">
            <a:solidFill>
              <a:schemeClr val="bg1"/>
            </a:solidFill>
            <a:effectLst/>
          </a:endParaRPr>
        </a:p>
      </cdr:txBody>
    </cdr:sp>
  </cdr:relSizeAnchor>
  <cdr:relSizeAnchor xmlns:cdr="http://schemas.openxmlformats.org/drawingml/2006/chartDrawing">
    <cdr:from>
      <cdr:x>0.156</cdr:x>
      <cdr:y>0.00962</cdr:y>
    </cdr:from>
    <cdr:to>
      <cdr:x>0.844</cdr:x>
      <cdr:y>0.09452</cdr:y>
    </cdr:to>
    <cdr:sp macro="" textlink="">
      <cdr:nvSpPr>
        <cdr:cNvPr id="3" name="TextBox 1"/>
        <cdr:cNvSpPr txBox="1"/>
      </cdr:nvSpPr>
      <cdr:spPr>
        <a:xfrm xmlns:a="http://schemas.openxmlformats.org/drawingml/2006/main">
          <a:off x="594360" y="38100"/>
          <a:ext cx="2621280" cy="336431"/>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2014 Preliminary Revenues</a:t>
          </a:r>
          <a:endParaRPr lang="en-US" sz="1400" b="1">
            <a:solidFill>
              <a:schemeClr val="bg1"/>
            </a:solidFill>
            <a:effectLst/>
          </a:endParaRPr>
        </a:p>
      </cdr:txBody>
    </cdr:sp>
  </cdr:relSizeAnchor>
  <cdr:relSizeAnchor xmlns:cdr="http://schemas.openxmlformats.org/drawingml/2006/chartDrawing">
    <cdr:from>
      <cdr:x>0.156</cdr:x>
      <cdr:y>0.00962</cdr:y>
    </cdr:from>
    <cdr:to>
      <cdr:x>0.844</cdr:x>
      <cdr:y>0.09452</cdr:y>
    </cdr:to>
    <cdr:sp macro="" textlink="">
      <cdr:nvSpPr>
        <cdr:cNvPr id="4" name="TextBox 1"/>
        <cdr:cNvSpPr txBox="1"/>
      </cdr:nvSpPr>
      <cdr:spPr>
        <a:xfrm xmlns:a="http://schemas.openxmlformats.org/drawingml/2006/main">
          <a:off x="594360" y="38100"/>
          <a:ext cx="2621280" cy="336431"/>
        </a:xfrm>
        <a:prstGeom xmlns:a="http://schemas.openxmlformats.org/drawingml/2006/main" prst="rect">
          <a:avLst/>
        </a:prstGeom>
        <a:solidFill xmlns:a="http://schemas.openxmlformats.org/drawingml/2006/main">
          <a:schemeClr val="tx1"/>
        </a:solidFill>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bg1"/>
              </a:solidFill>
              <a:effectLst/>
              <a:latin typeface="+mn-lt"/>
              <a:ea typeface="+mn-ea"/>
              <a:cs typeface="+mn-cs"/>
            </a:rPr>
            <a:t>FY 2015 Proposed Revenues</a:t>
          </a:r>
          <a:endParaRPr lang="en-US" sz="1400" b="1">
            <a:solidFill>
              <a:schemeClr val="bg1"/>
            </a:solidFill>
            <a:effectLst/>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2</xdr:col>
      <xdr:colOff>1043940</xdr:colOff>
      <xdr:row>36</xdr:row>
      <xdr:rowOff>8255</xdr:rowOff>
    </xdr:from>
    <xdr:to>
      <xdr:col>13</xdr:col>
      <xdr:colOff>1013460</xdr:colOff>
      <xdr:row>56</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xdr:colOff>
      <xdr:row>36</xdr:row>
      <xdr:rowOff>30480</xdr:rowOff>
    </xdr:from>
    <xdr:to>
      <xdr:col>4</xdr:col>
      <xdr:colOff>906780</xdr:colOff>
      <xdr:row>57</xdr:row>
      <xdr:rowOff>22860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1059180</xdr:colOff>
      <xdr:row>33</xdr:row>
      <xdr:rowOff>182880</xdr:rowOff>
    </xdr:from>
    <xdr:to>
      <xdr:col>14</xdr:col>
      <xdr:colOff>304800</xdr:colOff>
      <xdr:row>56</xdr:row>
      <xdr:rowOff>102870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11429</xdr:colOff>
      <xdr:row>33</xdr:row>
      <xdr:rowOff>188595</xdr:rowOff>
    </xdr:from>
    <xdr:to>
      <xdr:col>5</xdr:col>
      <xdr:colOff>544829</xdr:colOff>
      <xdr:row>56</xdr:row>
      <xdr:rowOff>160020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55245</xdr:colOff>
      <xdr:row>33</xdr:row>
      <xdr:rowOff>0</xdr:rowOff>
    </xdr:from>
    <xdr:to>
      <xdr:col>14</xdr:col>
      <xdr:colOff>441960</xdr:colOff>
      <xdr:row>54</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33</xdr:row>
      <xdr:rowOff>0</xdr:rowOff>
    </xdr:from>
    <xdr:to>
      <xdr:col>5</xdr:col>
      <xdr:colOff>739140</xdr:colOff>
      <xdr:row>54</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960120</xdr:colOff>
      <xdr:row>35</xdr:row>
      <xdr:rowOff>186689</xdr:rowOff>
    </xdr:from>
    <xdr:to>
      <xdr:col>13</xdr:col>
      <xdr:colOff>990600</xdr:colOff>
      <xdr:row>58</xdr:row>
      <xdr:rowOff>87628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87631</xdr:colOff>
      <xdr:row>35</xdr:row>
      <xdr:rowOff>182880</xdr:rowOff>
    </xdr:from>
    <xdr:to>
      <xdr:col>5</xdr:col>
      <xdr:colOff>838201</xdr:colOff>
      <xdr:row>59</xdr:row>
      <xdr:rowOff>53339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948690</xdr:colOff>
      <xdr:row>31</xdr:row>
      <xdr:rowOff>13336</xdr:rowOff>
    </xdr:from>
    <xdr:to>
      <xdr:col>14</xdr:col>
      <xdr:colOff>733425</xdr:colOff>
      <xdr:row>54</xdr:row>
      <xdr:rowOff>38101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32385</xdr:colOff>
      <xdr:row>31</xdr:row>
      <xdr:rowOff>3810</xdr:rowOff>
    </xdr:from>
    <xdr:to>
      <xdr:col>5</xdr:col>
      <xdr:colOff>670560</xdr:colOff>
      <xdr:row>54</xdr:row>
      <xdr:rowOff>35264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36</xdr:row>
      <xdr:rowOff>76200</xdr:rowOff>
    </xdr:from>
    <xdr:to>
      <xdr:col>13</xdr:col>
      <xdr:colOff>1013461</xdr:colOff>
      <xdr:row>58</xdr:row>
      <xdr:rowOff>175260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36</xdr:row>
      <xdr:rowOff>60961</xdr:rowOff>
    </xdr:from>
    <xdr:to>
      <xdr:col>4</xdr:col>
      <xdr:colOff>487680</xdr:colOff>
      <xdr:row>58</xdr:row>
      <xdr:rowOff>175261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1005840</xdr:colOff>
      <xdr:row>36</xdr:row>
      <xdr:rowOff>27854</xdr:rowOff>
    </xdr:from>
    <xdr:to>
      <xdr:col>13</xdr:col>
      <xdr:colOff>1057653</xdr:colOff>
      <xdr:row>55</xdr:row>
      <xdr:rowOff>131446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xdr:colOff>
      <xdr:row>36</xdr:row>
      <xdr:rowOff>7620</xdr:rowOff>
    </xdr:from>
    <xdr:to>
      <xdr:col>4</xdr:col>
      <xdr:colOff>876300</xdr:colOff>
      <xdr:row>55</xdr:row>
      <xdr:rowOff>118110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1074420</xdr:colOff>
      <xdr:row>34</xdr:row>
      <xdr:rowOff>190501</xdr:rowOff>
    </xdr:from>
    <xdr:to>
      <xdr:col>14</xdr:col>
      <xdr:colOff>194310</xdr:colOff>
      <xdr:row>57</xdr:row>
      <xdr:rowOff>152401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26035</xdr:colOff>
      <xdr:row>35</xdr:row>
      <xdr:rowOff>9524</xdr:rowOff>
    </xdr:from>
    <xdr:to>
      <xdr:col>4</xdr:col>
      <xdr:colOff>838200</xdr:colOff>
      <xdr:row>57</xdr:row>
      <xdr:rowOff>167640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874396</xdr:colOff>
      <xdr:row>36</xdr:row>
      <xdr:rowOff>182880</xdr:rowOff>
    </xdr:from>
    <xdr:to>
      <xdr:col>14</xdr:col>
      <xdr:colOff>419099</xdr:colOff>
      <xdr:row>58</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xdr:colOff>
      <xdr:row>37</xdr:row>
      <xdr:rowOff>7620</xdr:rowOff>
    </xdr:from>
    <xdr:to>
      <xdr:col>5</xdr:col>
      <xdr:colOff>594360</xdr:colOff>
      <xdr:row>58</xdr:row>
      <xdr:rowOff>91440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342900</xdr:colOff>
      <xdr:row>37</xdr:row>
      <xdr:rowOff>190500</xdr:rowOff>
    </xdr:from>
    <xdr:to>
      <xdr:col>14</xdr:col>
      <xdr:colOff>144780</xdr:colOff>
      <xdr:row>60</xdr:row>
      <xdr:rowOff>108584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38</xdr:row>
      <xdr:rowOff>19050</xdr:rowOff>
    </xdr:from>
    <xdr:to>
      <xdr:col>5</xdr:col>
      <xdr:colOff>1015365</xdr:colOff>
      <xdr:row>61</xdr:row>
      <xdr:rowOff>188596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762000</xdr:colOff>
      <xdr:row>37</xdr:row>
      <xdr:rowOff>186691</xdr:rowOff>
    </xdr:from>
    <xdr:to>
      <xdr:col>13</xdr:col>
      <xdr:colOff>967740</xdr:colOff>
      <xdr:row>58</xdr:row>
      <xdr:rowOff>114301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38</xdr:row>
      <xdr:rowOff>15240</xdr:rowOff>
    </xdr:from>
    <xdr:to>
      <xdr:col>5</xdr:col>
      <xdr:colOff>495301</xdr:colOff>
      <xdr:row>58</xdr:row>
      <xdr:rowOff>154305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13334</xdr:colOff>
      <xdr:row>35</xdr:row>
      <xdr:rowOff>40005</xdr:rowOff>
    </xdr:from>
    <xdr:to>
      <xdr:col>14</xdr:col>
      <xdr:colOff>160019</xdr:colOff>
      <xdr:row>58</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35</xdr:row>
      <xdr:rowOff>34289</xdr:rowOff>
    </xdr:from>
    <xdr:to>
      <xdr:col>5</xdr:col>
      <xdr:colOff>883920</xdr:colOff>
      <xdr:row>59</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1074420</xdr:colOff>
      <xdr:row>29</xdr:row>
      <xdr:rowOff>15240</xdr:rowOff>
    </xdr:from>
    <xdr:to>
      <xdr:col>14</xdr:col>
      <xdr:colOff>281939</xdr:colOff>
      <xdr:row>54</xdr:row>
      <xdr:rowOff>114301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186690</xdr:rowOff>
    </xdr:from>
    <xdr:to>
      <xdr:col>5</xdr:col>
      <xdr:colOff>962270</xdr:colOff>
      <xdr:row>54</xdr:row>
      <xdr:rowOff>139066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883920</xdr:colOff>
      <xdr:row>37</xdr:row>
      <xdr:rowOff>161926</xdr:rowOff>
    </xdr:from>
    <xdr:to>
      <xdr:col>14</xdr:col>
      <xdr:colOff>1270</xdr:colOff>
      <xdr:row>60</xdr:row>
      <xdr:rowOff>97156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xdr:colOff>
      <xdr:row>37</xdr:row>
      <xdr:rowOff>184786</xdr:rowOff>
    </xdr:from>
    <xdr:to>
      <xdr:col>4</xdr:col>
      <xdr:colOff>883920</xdr:colOff>
      <xdr:row>60</xdr:row>
      <xdr:rowOff>137160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1017271</xdr:colOff>
      <xdr:row>39</xdr:row>
      <xdr:rowOff>15240</xdr:rowOff>
    </xdr:from>
    <xdr:to>
      <xdr:col>14</xdr:col>
      <xdr:colOff>167640</xdr:colOff>
      <xdr:row>60</xdr:row>
      <xdr:rowOff>15240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39</xdr:row>
      <xdr:rowOff>0</xdr:rowOff>
    </xdr:from>
    <xdr:to>
      <xdr:col>5</xdr:col>
      <xdr:colOff>541021</xdr:colOff>
      <xdr:row>60</xdr:row>
      <xdr:rowOff>1905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1034415</xdr:colOff>
      <xdr:row>35</xdr:row>
      <xdr:rowOff>192405</xdr:rowOff>
    </xdr:from>
    <xdr:to>
      <xdr:col>14</xdr:col>
      <xdr:colOff>1904</xdr:colOff>
      <xdr:row>58</xdr:row>
      <xdr:rowOff>47626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xdr:colOff>
      <xdr:row>36</xdr:row>
      <xdr:rowOff>0</xdr:rowOff>
    </xdr:from>
    <xdr:to>
      <xdr:col>4</xdr:col>
      <xdr:colOff>883920</xdr:colOff>
      <xdr:row>57</xdr:row>
      <xdr:rowOff>84845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1051560</xdr:colOff>
      <xdr:row>32</xdr:row>
      <xdr:rowOff>45720</xdr:rowOff>
    </xdr:from>
    <xdr:to>
      <xdr:col>14</xdr:col>
      <xdr:colOff>259079</xdr:colOff>
      <xdr:row>57</xdr:row>
      <xdr:rowOff>144781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34290</xdr:rowOff>
    </xdr:from>
    <xdr:to>
      <xdr:col>5</xdr:col>
      <xdr:colOff>962270</xdr:colOff>
      <xdr:row>57</xdr:row>
      <xdr:rowOff>184786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180975</xdr:colOff>
      <xdr:row>34</xdr:row>
      <xdr:rowOff>38100</xdr:rowOff>
    </xdr:from>
    <xdr:to>
      <xdr:col>14</xdr:col>
      <xdr:colOff>478155</xdr:colOff>
      <xdr:row>57</xdr:row>
      <xdr:rowOff>131445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19051</xdr:colOff>
      <xdr:row>34</xdr:row>
      <xdr:rowOff>19050</xdr:rowOff>
    </xdr:from>
    <xdr:to>
      <xdr:col>4</xdr:col>
      <xdr:colOff>1047750</xdr:colOff>
      <xdr:row>57</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13334</xdr:colOff>
      <xdr:row>33</xdr:row>
      <xdr:rowOff>40005</xdr:rowOff>
    </xdr:from>
    <xdr:to>
      <xdr:col>14</xdr:col>
      <xdr:colOff>160019</xdr:colOff>
      <xdr:row>56</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33</xdr:row>
      <xdr:rowOff>34289</xdr:rowOff>
    </xdr:from>
    <xdr:to>
      <xdr:col>5</xdr:col>
      <xdr:colOff>883920</xdr:colOff>
      <xdr:row>57</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129540</xdr:colOff>
      <xdr:row>37</xdr:row>
      <xdr:rowOff>68581</xdr:rowOff>
    </xdr:from>
    <xdr:to>
      <xdr:col>14</xdr:col>
      <xdr:colOff>1905</xdr:colOff>
      <xdr:row>60</xdr:row>
      <xdr:rowOff>45721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37</xdr:row>
      <xdr:rowOff>72390</xdr:rowOff>
    </xdr:from>
    <xdr:to>
      <xdr:col>4</xdr:col>
      <xdr:colOff>822960</xdr:colOff>
      <xdr:row>60</xdr:row>
      <xdr:rowOff>68580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182880</xdr:colOff>
      <xdr:row>29</xdr:row>
      <xdr:rowOff>22860</xdr:rowOff>
    </xdr:from>
    <xdr:to>
      <xdr:col>14</xdr:col>
      <xdr:colOff>0</xdr:colOff>
      <xdr:row>51</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22859</xdr:colOff>
      <xdr:row>29</xdr:row>
      <xdr:rowOff>22859</xdr:rowOff>
    </xdr:from>
    <xdr:to>
      <xdr:col>5</xdr:col>
      <xdr:colOff>792480</xdr:colOff>
      <xdr:row>52</xdr:row>
      <xdr:rowOff>43814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944880</xdr:colOff>
      <xdr:row>38</xdr:row>
      <xdr:rowOff>17146</xdr:rowOff>
    </xdr:from>
    <xdr:to>
      <xdr:col>14</xdr:col>
      <xdr:colOff>415290</xdr:colOff>
      <xdr:row>59</xdr:row>
      <xdr:rowOff>173356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xdr:colOff>
      <xdr:row>38</xdr:row>
      <xdr:rowOff>9525</xdr:rowOff>
    </xdr:from>
    <xdr:to>
      <xdr:col>5</xdr:col>
      <xdr:colOff>721995</xdr:colOff>
      <xdr:row>59</xdr:row>
      <xdr:rowOff>99060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xdr:col>
      <xdr:colOff>838200</xdr:colOff>
      <xdr:row>37</xdr:row>
      <xdr:rowOff>170815</xdr:rowOff>
    </xdr:from>
    <xdr:to>
      <xdr:col>13</xdr:col>
      <xdr:colOff>1030606</xdr:colOff>
      <xdr:row>60</xdr:row>
      <xdr:rowOff>53340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xdr:colOff>
      <xdr:row>37</xdr:row>
      <xdr:rowOff>158115</xdr:rowOff>
    </xdr:from>
    <xdr:to>
      <xdr:col>4</xdr:col>
      <xdr:colOff>682674</xdr:colOff>
      <xdr:row>60</xdr:row>
      <xdr:rowOff>158115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Y%202014/_Public%20Hearing%201/Revenue%20&amp;%20Expenditure%20by%20Subobject/GF_by%20Object_Linked%20Adopted%20Budg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ianeL\AppData\Local\Microsoft\Windows\Temporary%20Internet%20Files\Content.Outlook\4EF66X9Z\Budget%20Summary%20Ad%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Y%202014/_Public%20Hearing%201/Revenue%20&amp;%20Expenditure%20by%20Subobject/GF%20Expenditures%20by%20Subobject%20FY%202014%20Tentative%20Budget%20Comparis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Y%202014/_Preliminary%20Budget%20Book/3%20Financials/GF%20Expenditures%20by%20Subobject%20as%20of%20June%2019%20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Y%202014/_Proposed%20Budget%20Book/4-Financials/GF%20Revenues%20by%20Subobject%20as%20of%20June%2019%20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F Resources"/>
      <sheetName val="GF Chart"/>
      <sheetName val="GF Expend"/>
      <sheetName val="GF Expend Chart"/>
      <sheetName val="Sheet1"/>
    </sheetNames>
    <sheetDataSet>
      <sheetData sheetId="0">
        <row r="7">
          <cell r="G7">
            <v>1107945</v>
          </cell>
          <cell r="J7">
            <v>97569296</v>
          </cell>
        </row>
        <row r="14">
          <cell r="G14">
            <v>4882276</v>
          </cell>
          <cell r="J14">
            <v>4882276</v>
          </cell>
        </row>
        <row r="15">
          <cell r="G15">
            <v>-1600000</v>
          </cell>
          <cell r="J15">
            <v>15228206</v>
          </cell>
        </row>
        <row r="16">
          <cell r="G16">
            <v>551832</v>
          </cell>
          <cell r="J16">
            <v>36592965</v>
          </cell>
        </row>
        <row r="22">
          <cell r="G22">
            <v>0</v>
          </cell>
          <cell r="J22">
            <v>2924286</v>
          </cell>
        </row>
        <row r="28">
          <cell r="G28">
            <v>481915</v>
          </cell>
          <cell r="J28">
            <v>17749691</v>
          </cell>
        </row>
        <row r="40">
          <cell r="G40">
            <v>0</v>
          </cell>
          <cell r="J40">
            <v>26036670</v>
          </cell>
        </row>
        <row r="45">
          <cell r="G45">
            <v>0</v>
          </cell>
          <cell r="J45">
            <v>4799918</v>
          </cell>
        </row>
        <row r="54">
          <cell r="G54">
            <v>0</v>
          </cell>
          <cell r="J54">
            <v>78384413</v>
          </cell>
        </row>
        <row r="57">
          <cell r="J57">
            <v>982883.5</v>
          </cell>
        </row>
        <row r="59">
          <cell r="G59">
            <v>0</v>
          </cell>
        </row>
        <row r="63">
          <cell r="G63">
            <v>0</v>
          </cell>
        </row>
        <row r="64">
          <cell r="G64">
            <v>0</v>
          </cell>
        </row>
      </sheetData>
      <sheetData sheetId="1"/>
      <sheetData sheetId="2">
        <row r="54">
          <cell r="G54">
            <v>2661304</v>
          </cell>
        </row>
        <row r="55">
          <cell r="G55">
            <v>0</v>
          </cell>
        </row>
        <row r="56">
          <cell r="G56">
            <v>0</v>
          </cell>
        </row>
        <row r="60">
          <cell r="G60">
            <v>0</v>
          </cell>
        </row>
        <row r="64">
          <cell r="G64">
            <v>3914956</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ummary Ad-Fort Lauderda"/>
      <sheetName val="Program by Fund Type"/>
      <sheetName val="All Funds Sch A Left"/>
      <sheetName val="All Funds Sch A Right"/>
      <sheetName val="All Funds Sch A"/>
      <sheetName val="All Funds Sch A Page"/>
      <sheetName val="All Funds Sch A Comparison"/>
      <sheetName val="GF Comparison"/>
      <sheetName val="Departments"/>
      <sheetName val="Internal Service"/>
      <sheetName val="Transfers"/>
      <sheetName val="Fund Balance"/>
      <sheetName val="001"/>
      <sheetName val="409-bal"/>
      <sheetName val="450-bal"/>
      <sheetName val="451.01-bal"/>
      <sheetName val="461.01-bal"/>
      <sheetName val="468.01-bal"/>
      <sheetName val="470.01-bal"/>
      <sheetName val="543-bal"/>
      <sheetName val="545-bal"/>
      <sheetName val="581-bal"/>
      <sheetName val="583-bal"/>
      <sheetName val="627-bal"/>
      <sheetName val="643-bal"/>
      <sheetName val="Budget Balancing Cognos Data"/>
      <sheetName val="Budget Balancing I&amp;O"/>
      <sheetName val="Dept"/>
      <sheetName val="106.01-bal"/>
      <sheetName val="106.02-bal"/>
      <sheetName val="106.01 old"/>
      <sheetName val="106.02 old"/>
      <sheetName val="108 old"/>
      <sheetName val="135 OLD"/>
      <sheetName val="141 old"/>
      <sheetName val="142 OLD"/>
      <sheetName val="Special Revenue Funds"/>
      <sheetName val="Total Debt Service"/>
      <sheetName val="106.03-bal"/>
      <sheetName val="108-bal"/>
      <sheetName val="112-bal"/>
      <sheetName val="112 old"/>
      <sheetName val="130 old"/>
      <sheetName val="135-bal"/>
      <sheetName val="140-bal"/>
      <sheetName val="140 OLD"/>
      <sheetName val="141-bal"/>
      <sheetName val="142-bal"/>
      <sheetName val="236.04-2002-bal"/>
      <sheetName val="236.05-2005-bal"/>
      <sheetName val="236.06-2010-bal"/>
      <sheetName val="236.07-2011A-bal"/>
      <sheetName val="236.08-2011B-bal"/>
      <sheetName val="243-2010A-bal"/>
      <sheetName val="288-TAX INC-bal"/>
      <sheetName val="Budget Balancing Cognos SpDbt"/>
      <sheetName val="SPDbt I&amp;O"/>
      <sheetName val="130 No Data"/>
      <sheetName val="236.04 OLD"/>
      <sheetName val="236.05 old"/>
      <sheetName val="236.06 old"/>
      <sheetName val="236.07 old"/>
      <sheetName val="236.08 old"/>
      <sheetName val="243 OLD"/>
      <sheetName val="288 old"/>
      <sheetName val="List of all debt Types"/>
      <sheetName val="Sheet1"/>
    </sheetNames>
    <sheetDataSet>
      <sheetData sheetId="0"/>
      <sheetData sheetId="1">
        <row r="4">
          <cell r="D4">
            <v>0</v>
          </cell>
          <cell r="F4">
            <v>0</v>
          </cell>
          <cell r="H4">
            <v>0</v>
          </cell>
          <cell r="J4">
            <v>0</v>
          </cell>
        </row>
        <row r="5">
          <cell r="F5">
            <v>0</v>
          </cell>
          <cell r="H5">
            <v>0</v>
          </cell>
          <cell r="J5">
            <v>0</v>
          </cell>
        </row>
        <row r="6">
          <cell r="D6">
            <v>0</v>
          </cell>
          <cell r="H6">
            <v>0</v>
          </cell>
          <cell r="J6">
            <v>0</v>
          </cell>
        </row>
        <row r="7">
          <cell r="B7">
            <v>0</v>
          </cell>
          <cell r="D7">
            <v>0</v>
          </cell>
          <cell r="F7">
            <v>0</v>
          </cell>
          <cell r="J7">
            <v>0</v>
          </cell>
        </row>
        <row r="9">
          <cell r="D9">
            <v>0</v>
          </cell>
          <cell r="F9">
            <v>0</v>
          </cell>
        </row>
        <row r="10">
          <cell r="F10">
            <v>0</v>
          </cell>
          <cell r="H10">
            <v>0</v>
          </cell>
          <cell r="J10">
            <v>0</v>
          </cell>
        </row>
        <row r="11">
          <cell r="D11">
            <v>0</v>
          </cell>
          <cell r="F11">
            <v>0</v>
          </cell>
        </row>
      </sheetData>
      <sheetData sheetId="2">
        <row r="15">
          <cell r="E15">
            <v>0</v>
          </cell>
          <cell r="F15">
            <v>0</v>
          </cell>
          <cell r="G15">
            <v>0</v>
          </cell>
          <cell r="H15">
            <v>0</v>
          </cell>
          <cell r="I15">
            <v>0</v>
          </cell>
        </row>
        <row r="16">
          <cell r="E16">
            <v>0</v>
          </cell>
          <cell r="F16">
            <v>0</v>
          </cell>
          <cell r="G16">
            <v>0</v>
          </cell>
          <cell r="H16">
            <v>0</v>
          </cell>
          <cell r="I16">
            <v>0</v>
          </cell>
        </row>
        <row r="19">
          <cell r="J19">
            <v>0</v>
          </cell>
        </row>
        <row r="20">
          <cell r="E20">
            <v>0</v>
          </cell>
          <cell r="F20">
            <v>0</v>
          </cell>
          <cell r="G20">
            <v>0</v>
          </cell>
          <cell r="H20">
            <v>0</v>
          </cell>
          <cell r="I20">
            <v>0</v>
          </cell>
          <cell r="J20">
            <v>0</v>
          </cell>
        </row>
        <row r="21">
          <cell r="E21">
            <v>0</v>
          </cell>
          <cell r="F21">
            <v>0</v>
          </cell>
          <cell r="G21">
            <v>0</v>
          </cell>
          <cell r="H21">
            <v>0</v>
          </cell>
          <cell r="I21">
            <v>0</v>
          </cell>
          <cell r="J21">
            <v>0</v>
          </cell>
        </row>
        <row r="22">
          <cell r="E22">
            <v>0</v>
          </cell>
          <cell r="F22">
            <v>0</v>
          </cell>
          <cell r="G22">
            <v>0</v>
          </cell>
          <cell r="H22">
            <v>0</v>
          </cell>
          <cell r="I22">
            <v>0</v>
          </cell>
          <cell r="J22">
            <v>0</v>
          </cell>
        </row>
        <row r="23">
          <cell r="J23">
            <v>0</v>
          </cell>
        </row>
        <row r="24">
          <cell r="J24">
            <v>0</v>
          </cell>
        </row>
        <row r="25">
          <cell r="J25">
            <v>0</v>
          </cell>
        </row>
        <row r="26">
          <cell r="J26">
            <v>0</v>
          </cell>
        </row>
        <row r="27">
          <cell r="J27">
            <v>0</v>
          </cell>
        </row>
      </sheetData>
      <sheetData sheetId="3">
        <row r="15">
          <cell r="D15">
            <v>0</v>
          </cell>
          <cell r="E15">
            <v>0</v>
          </cell>
          <cell r="G15">
            <v>0</v>
          </cell>
          <cell r="I15">
            <v>0</v>
          </cell>
          <cell r="K15">
            <v>0</v>
          </cell>
          <cell r="M15">
            <v>0</v>
          </cell>
          <cell r="O15">
            <v>0</v>
          </cell>
        </row>
        <row r="16">
          <cell r="D16">
            <v>0</v>
          </cell>
          <cell r="E16">
            <v>0</v>
          </cell>
          <cell r="G16">
            <v>0</v>
          </cell>
          <cell r="I16">
            <v>0</v>
          </cell>
          <cell r="K16">
            <v>0</v>
          </cell>
          <cell r="M16">
            <v>0</v>
          </cell>
          <cell r="O16">
            <v>0</v>
          </cell>
        </row>
        <row r="19">
          <cell r="D19">
            <v>0</v>
          </cell>
          <cell r="E19">
            <v>0</v>
          </cell>
          <cell r="G19">
            <v>0</v>
          </cell>
          <cell r="I19">
            <v>0</v>
          </cell>
          <cell r="K19">
            <v>0</v>
          </cell>
          <cell r="M19">
            <v>0</v>
          </cell>
          <cell r="O19">
            <v>0</v>
          </cell>
        </row>
        <row r="20">
          <cell r="B20">
            <v>0</v>
          </cell>
          <cell r="D20">
            <v>0</v>
          </cell>
          <cell r="E20">
            <v>0</v>
          </cell>
          <cell r="G20">
            <v>0</v>
          </cell>
          <cell r="I20">
            <v>0</v>
          </cell>
          <cell r="K20">
            <v>0</v>
          </cell>
          <cell r="M20">
            <v>0</v>
          </cell>
          <cell r="O20">
            <v>0</v>
          </cell>
        </row>
        <row r="21">
          <cell r="B21">
            <v>0</v>
          </cell>
          <cell r="D21">
            <v>0</v>
          </cell>
          <cell r="E21">
            <v>0</v>
          </cell>
          <cell r="G21">
            <v>0</v>
          </cell>
          <cell r="I21">
            <v>0</v>
          </cell>
          <cell r="K21">
            <v>0</v>
          </cell>
          <cell r="M21">
            <v>0</v>
          </cell>
          <cell r="O21">
            <v>0</v>
          </cell>
        </row>
        <row r="22">
          <cell r="B22">
            <v>0</v>
          </cell>
          <cell r="D22">
            <v>0</v>
          </cell>
          <cell r="E22">
            <v>0</v>
          </cell>
          <cell r="G22">
            <v>0</v>
          </cell>
          <cell r="I22">
            <v>0</v>
          </cell>
          <cell r="K22">
            <v>0</v>
          </cell>
          <cell r="M22">
            <v>0</v>
          </cell>
          <cell r="O22">
            <v>0</v>
          </cell>
        </row>
        <row r="23">
          <cell r="B23">
            <v>0</v>
          </cell>
          <cell r="D23">
            <v>0</v>
          </cell>
          <cell r="E23">
            <v>0</v>
          </cell>
          <cell r="G23">
            <v>0</v>
          </cell>
          <cell r="I23">
            <v>0</v>
          </cell>
          <cell r="K23">
            <v>0</v>
          </cell>
          <cell r="M23">
            <v>0</v>
          </cell>
          <cell r="O23">
            <v>0</v>
          </cell>
        </row>
        <row r="24">
          <cell r="B24">
            <v>0</v>
          </cell>
          <cell r="D24">
            <v>0</v>
          </cell>
          <cell r="E24">
            <v>0</v>
          </cell>
          <cell r="G24">
            <v>0</v>
          </cell>
          <cell r="I24">
            <v>0</v>
          </cell>
          <cell r="K24">
            <v>0</v>
          </cell>
          <cell r="M24">
            <v>0</v>
          </cell>
          <cell r="O24">
            <v>0</v>
          </cell>
        </row>
        <row r="26">
          <cell r="D26">
            <v>0</v>
          </cell>
          <cell r="E26">
            <v>0</v>
          </cell>
        </row>
        <row r="30">
          <cell r="D30">
            <v>0</v>
          </cell>
          <cell r="E3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enue"/>
      <sheetName val="Expense Adjustments"/>
      <sheetName val="Adjustment Comments"/>
      <sheetName val="As of August 20, 2013"/>
      <sheetName val="COGNOS"/>
      <sheetName val="FAMIS"/>
      <sheetName val="Expense by Object"/>
      <sheetName val="DATA1"/>
      <sheetName val="DATA2"/>
      <sheetName val="Sheet1"/>
      <sheetName val="Sheet2"/>
      <sheetName val="Sheet3"/>
      <sheetName val="Sheet4"/>
      <sheetName val="DATA2 (2)"/>
      <sheetName val="Sheet5"/>
      <sheetName val="Cognos Data"/>
      <sheetName val="Dataph1"/>
      <sheetName val="Sheet6"/>
      <sheetName val="Sheet2a"/>
      <sheetName val="Sheet7"/>
      <sheetName val="Sheet8"/>
      <sheetName val="Sheet9"/>
      <sheetName val="Sheet10"/>
      <sheetName val="DATAPH2"/>
      <sheetName val="Sheet11"/>
      <sheetName val="GF"/>
      <sheetName val="GF 3312012"/>
      <sheetName val="GF 3312013"/>
      <sheetName val="FY 2012 Period 13"/>
      <sheetName val="Sheet12"/>
      <sheetName val="Sheet13"/>
      <sheetName val="Sheet14"/>
      <sheetName val="BPREP13"/>
      <sheetName val="BPREP"/>
      <sheetName val="FAMIS13"/>
      <sheetName val="Sheet17"/>
      <sheetName val="PKR062301"/>
      <sheetName val="FAMIS BPREP"/>
      <sheetName val="052913"/>
      <sheetName val="Summary"/>
      <sheetName val="Budget Cognos"/>
      <sheetName val="Sheet16"/>
      <sheetName val="FY2007"/>
      <sheetName val="PH1"/>
      <sheetName val="PH1A"/>
      <sheetName val="Sheet15"/>
      <sheetName val="ACT"/>
    </sheetNames>
    <sheetDataSet>
      <sheetData sheetId="0"/>
      <sheetData sheetId="1"/>
      <sheetData sheetId="2"/>
      <sheetData sheetId="3">
        <row r="240">
          <cell r="T240">
            <v>4809475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enue"/>
      <sheetName val="Expense Adjustments"/>
      <sheetName val="Adjustment Comments"/>
      <sheetName val="As of June 19, 2013"/>
      <sheetName val="COGNOS"/>
      <sheetName val="FAMIS"/>
      <sheetName val="Expense by Object"/>
      <sheetName val="DATA1"/>
      <sheetName val="DATA2"/>
      <sheetName val="Sheet1"/>
      <sheetName val="Sheet2"/>
      <sheetName val="Sheet3"/>
      <sheetName val="Sheet4"/>
      <sheetName val="DATA2 (2)"/>
      <sheetName val="Sheet5"/>
      <sheetName val="Cognos Data"/>
      <sheetName val="Dataph1"/>
      <sheetName val="Sheet6"/>
      <sheetName val="Sheet2a"/>
      <sheetName val="Sheet7"/>
      <sheetName val="Sheet8"/>
      <sheetName val="Sheet9"/>
      <sheetName val="Sheet10"/>
      <sheetName val="DATAPH2"/>
      <sheetName val="Sheet11"/>
      <sheetName val="GF"/>
      <sheetName val="GF 3312012"/>
      <sheetName val="GF 3312013"/>
      <sheetName val="FY 2012 Period 13"/>
      <sheetName val="Sheet12"/>
      <sheetName val="Sheet13"/>
      <sheetName val="Sheet14"/>
      <sheetName val="BPREP13"/>
      <sheetName val="BPREP"/>
      <sheetName val="FAMIS13"/>
      <sheetName val="Sheet17"/>
      <sheetName val="PKR062301"/>
      <sheetName val="FAMIS BPREP"/>
      <sheetName val="052913"/>
      <sheetName val="Summary"/>
      <sheetName val="Changes"/>
    </sheetNames>
    <sheetDataSet>
      <sheetData sheetId="0" refreshError="1"/>
      <sheetData sheetId="1" refreshError="1"/>
      <sheetData sheetId="2" refreshError="1"/>
      <sheetData sheetId="3" refreshError="1">
        <row r="242">
          <cell r="L242">
            <v>450000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Y2012 GAP"/>
      <sheetName val="Revenue Adjustments"/>
      <sheetName val="Comments on Adjustments"/>
      <sheetName val="As of June 28, 2013"/>
      <sheetName val="Sheet1"/>
      <sheetName val="Sheet2"/>
      <sheetName val="Sheet3"/>
      <sheetName val="Sheet4"/>
      <sheetName val="Cognos Data"/>
      <sheetName val="Famis Data"/>
      <sheetName val="Sheet5"/>
      <sheetName val="Sheet6"/>
      <sheetName val="data"/>
      <sheetName val="dataph1"/>
      <sheetName val="Sheet3a"/>
      <sheetName val="Sheet7"/>
      <sheetName val="Differences"/>
      <sheetName val="Sheet8"/>
      <sheetName val="Sheet9"/>
      <sheetName val="DATAPH2"/>
      <sheetName val="Famis FY 2012"/>
      <sheetName val="Famis FY 2013 YTD"/>
      <sheetName val="GF Cognos"/>
      <sheetName val="FAMIS 3312012"/>
      <sheetName val="FAMIS 3312013"/>
      <sheetName val="Sheet13"/>
      <sheetName val="Burton"/>
      <sheetName val="Sheet10"/>
      <sheetName val="Burton Update"/>
      <sheetName val="Sheet11"/>
      <sheetName val="FAMIS BPREP"/>
      <sheetName val="FAMIS"/>
      <sheetName val="Sheet14"/>
      <sheetName val="BPREP"/>
      <sheetName val="entries"/>
      <sheetName val="May 29th"/>
    </sheetNames>
    <sheetDataSet>
      <sheetData sheetId="0"/>
      <sheetData sheetId="1"/>
      <sheetData sheetId="2"/>
      <sheetData sheetId="3">
        <row r="248">
          <cell r="S248">
            <v>32274253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8" Type="http://schemas.openxmlformats.org/officeDocument/2006/relationships/printerSettings" Target="../printerSettings/printerSettings61.bin"/><Relationship Id="rId3" Type="http://schemas.openxmlformats.org/officeDocument/2006/relationships/printerSettings" Target="../printerSettings/printerSettings56.bin"/><Relationship Id="rId7" Type="http://schemas.openxmlformats.org/officeDocument/2006/relationships/printerSettings" Target="../printerSettings/printerSettings60.bin"/><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printerSettings" Target="../printerSettings/printerSettings59.bin"/><Relationship Id="rId5" Type="http://schemas.openxmlformats.org/officeDocument/2006/relationships/printerSettings" Target="../printerSettings/printerSettings58.bin"/><Relationship Id="rId4" Type="http://schemas.openxmlformats.org/officeDocument/2006/relationships/printerSettings" Target="../printerSettings/printerSettings57.bin"/><Relationship Id="rId9" Type="http://schemas.openxmlformats.org/officeDocument/2006/relationships/drawing" Target="../drawings/drawing28.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62.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6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63.xml.rels><?xml version="1.0" encoding="UTF-8" standalone="yes"?>
<Relationships xmlns="http://schemas.openxmlformats.org/package/2006/relationships"><Relationship Id="rId8" Type="http://schemas.openxmlformats.org/officeDocument/2006/relationships/printerSettings" Target="../printerSettings/printerSettings77.bin"/><Relationship Id="rId3" Type="http://schemas.openxmlformats.org/officeDocument/2006/relationships/printerSettings" Target="../printerSettings/printerSettings72.bin"/><Relationship Id="rId7" Type="http://schemas.openxmlformats.org/officeDocument/2006/relationships/printerSettings" Target="../printerSettings/printerSettings76.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6" Type="http://schemas.openxmlformats.org/officeDocument/2006/relationships/printerSettings" Target="../printerSettings/printerSettings75.bin"/><Relationship Id="rId5" Type="http://schemas.openxmlformats.org/officeDocument/2006/relationships/printerSettings" Target="../printerSettings/printerSettings74.bin"/><Relationship Id="rId10" Type="http://schemas.openxmlformats.org/officeDocument/2006/relationships/comments" Target="../comments12.xml"/><Relationship Id="rId4" Type="http://schemas.openxmlformats.org/officeDocument/2006/relationships/printerSettings" Target="../printerSettings/printerSettings73.bin"/><Relationship Id="rId9" Type="http://schemas.openxmlformats.org/officeDocument/2006/relationships/vmlDrawing" Target="../drawings/vmlDrawing12.vml"/></Relationships>
</file>

<file path=xl/worksheets/_rels/sheet64.xml.rels><?xml version="1.0" encoding="UTF-8" standalone="yes"?>
<Relationships xmlns="http://schemas.openxmlformats.org/package/2006/relationships"><Relationship Id="rId8" Type="http://schemas.openxmlformats.org/officeDocument/2006/relationships/printerSettings" Target="../printerSettings/printerSettings85.bin"/><Relationship Id="rId3" Type="http://schemas.openxmlformats.org/officeDocument/2006/relationships/printerSettings" Target="../printerSettings/printerSettings80.bin"/><Relationship Id="rId7" Type="http://schemas.openxmlformats.org/officeDocument/2006/relationships/printerSettings" Target="../printerSettings/printerSettings84.bin"/><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printerSettings" Target="../printerSettings/printerSettings83.bin"/><Relationship Id="rId5" Type="http://schemas.openxmlformats.org/officeDocument/2006/relationships/printerSettings" Target="../printerSettings/printerSettings82.bin"/><Relationship Id="rId10" Type="http://schemas.openxmlformats.org/officeDocument/2006/relationships/comments" Target="../comments13.xml"/><Relationship Id="rId4" Type="http://schemas.openxmlformats.org/officeDocument/2006/relationships/printerSettings" Target="../printerSettings/printerSettings81.bin"/><Relationship Id="rId9" Type="http://schemas.openxmlformats.org/officeDocument/2006/relationships/vmlDrawing" Target="../drawings/vmlDrawing13.vml"/></Relationships>
</file>

<file path=xl/worksheets/_rels/sheet65.xml.rels><?xml version="1.0" encoding="UTF-8" standalone="yes"?>
<Relationships xmlns="http://schemas.openxmlformats.org/package/2006/relationships"><Relationship Id="rId8" Type="http://schemas.openxmlformats.org/officeDocument/2006/relationships/printerSettings" Target="../printerSettings/printerSettings93.bin"/><Relationship Id="rId3" Type="http://schemas.openxmlformats.org/officeDocument/2006/relationships/printerSettings" Target="../printerSettings/printerSettings88.bin"/><Relationship Id="rId7" Type="http://schemas.openxmlformats.org/officeDocument/2006/relationships/printerSettings" Target="../printerSettings/printerSettings92.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6" Type="http://schemas.openxmlformats.org/officeDocument/2006/relationships/printerSettings" Target="../printerSettings/printerSettings91.bin"/><Relationship Id="rId5" Type="http://schemas.openxmlformats.org/officeDocument/2006/relationships/printerSettings" Target="../printerSettings/printerSettings90.bin"/><Relationship Id="rId10" Type="http://schemas.openxmlformats.org/officeDocument/2006/relationships/comments" Target="../comments14.xml"/><Relationship Id="rId4" Type="http://schemas.openxmlformats.org/officeDocument/2006/relationships/printerSettings" Target="../printerSettings/printerSettings89.bin"/><Relationship Id="rId9" Type="http://schemas.openxmlformats.org/officeDocument/2006/relationships/vmlDrawing" Target="../drawings/vmlDrawing14.vml"/></Relationships>
</file>

<file path=xl/worksheets/_rels/sheet66.xml.rels><?xml version="1.0" encoding="UTF-8" standalone="yes"?>
<Relationships xmlns="http://schemas.openxmlformats.org/package/2006/relationships"><Relationship Id="rId8" Type="http://schemas.openxmlformats.org/officeDocument/2006/relationships/printerSettings" Target="../printerSettings/printerSettings101.bin"/><Relationship Id="rId3" Type="http://schemas.openxmlformats.org/officeDocument/2006/relationships/printerSettings" Target="../printerSettings/printerSettings96.bin"/><Relationship Id="rId7" Type="http://schemas.openxmlformats.org/officeDocument/2006/relationships/printerSettings" Target="../printerSettings/printerSettings100.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 Id="rId6" Type="http://schemas.openxmlformats.org/officeDocument/2006/relationships/printerSettings" Target="../printerSettings/printerSettings99.bin"/><Relationship Id="rId5" Type="http://schemas.openxmlformats.org/officeDocument/2006/relationships/printerSettings" Target="../printerSettings/printerSettings98.bin"/><Relationship Id="rId4" Type="http://schemas.openxmlformats.org/officeDocument/2006/relationships/printerSettings" Target="../printerSettings/printerSettings97.bin"/></Relationships>
</file>

<file path=xl/worksheets/_rels/sheet67.xml.rels><?xml version="1.0" encoding="UTF-8" standalone="yes"?>
<Relationships xmlns="http://schemas.openxmlformats.org/package/2006/relationships"><Relationship Id="rId3" Type="http://schemas.openxmlformats.org/officeDocument/2006/relationships/printerSettings" Target="../printerSettings/printerSettings104.bin"/><Relationship Id="rId2" Type="http://schemas.openxmlformats.org/officeDocument/2006/relationships/printerSettings" Target="../printerSettings/printerSettings103.bin"/><Relationship Id="rId1" Type="http://schemas.openxmlformats.org/officeDocument/2006/relationships/printerSettings" Target="../printerSettings/printerSettings102.bin"/><Relationship Id="rId5" Type="http://schemas.openxmlformats.org/officeDocument/2006/relationships/printerSettings" Target="../printerSettings/printerSettings106.bin"/><Relationship Id="rId4" Type="http://schemas.openxmlformats.org/officeDocument/2006/relationships/printerSettings" Target="../printerSettings/printerSettings105.bin"/></Relationships>
</file>

<file path=xl/worksheets/_rels/sheet68.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s>
</file>

<file path=xl/worksheets/_rels/sheet69.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printerSettings" Target="../printerSettings/printerSettings115.bin"/></Relationships>
</file>

<file path=xl/worksheets/_rels/sheet70.xml.rels><?xml version="1.0" encoding="UTF-8" standalone="yes"?>
<Relationships xmlns="http://schemas.openxmlformats.org/package/2006/relationships"><Relationship Id="rId8" Type="http://schemas.openxmlformats.org/officeDocument/2006/relationships/printerSettings" Target="../printerSettings/printerSettings123.bin"/><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5" Type="http://schemas.openxmlformats.org/officeDocument/2006/relationships/printerSettings" Target="../printerSettings/printerSettings120.bin"/><Relationship Id="rId4" Type="http://schemas.openxmlformats.org/officeDocument/2006/relationships/printerSettings" Target="../printerSettings/printerSettings119.bin"/></Relationships>
</file>

<file path=xl/worksheets/_rels/sheet71.xml.rels><?xml version="1.0" encoding="UTF-8" standalone="yes"?>
<Relationships xmlns="http://schemas.openxmlformats.org/package/2006/relationships"><Relationship Id="rId8" Type="http://schemas.openxmlformats.org/officeDocument/2006/relationships/printerSettings" Target="../printerSettings/printerSettings131.bin"/><Relationship Id="rId3" Type="http://schemas.openxmlformats.org/officeDocument/2006/relationships/printerSettings" Target="../printerSettings/printerSettings126.bin"/><Relationship Id="rId7" Type="http://schemas.openxmlformats.org/officeDocument/2006/relationships/printerSettings" Target="../printerSettings/printerSettings130.bin"/><Relationship Id="rId2" Type="http://schemas.openxmlformats.org/officeDocument/2006/relationships/printerSettings" Target="../printerSettings/printerSettings125.bin"/><Relationship Id="rId1" Type="http://schemas.openxmlformats.org/officeDocument/2006/relationships/printerSettings" Target="../printerSettings/printerSettings124.bin"/><Relationship Id="rId6" Type="http://schemas.openxmlformats.org/officeDocument/2006/relationships/printerSettings" Target="../printerSettings/printerSettings129.bin"/><Relationship Id="rId5" Type="http://schemas.openxmlformats.org/officeDocument/2006/relationships/printerSettings" Target="../printerSettings/printerSettings128.bin"/><Relationship Id="rId10" Type="http://schemas.openxmlformats.org/officeDocument/2006/relationships/comments" Target="../comments16.xml"/><Relationship Id="rId4" Type="http://schemas.openxmlformats.org/officeDocument/2006/relationships/printerSettings" Target="../printerSettings/printerSettings127.bin"/><Relationship Id="rId9" Type="http://schemas.openxmlformats.org/officeDocument/2006/relationships/vmlDrawing" Target="../drawings/vmlDrawing16.vml"/></Relationships>
</file>

<file path=xl/worksheets/_rels/sheet72.xml.rels><?xml version="1.0" encoding="UTF-8" standalone="yes"?>
<Relationships xmlns="http://schemas.openxmlformats.org/package/2006/relationships"><Relationship Id="rId8" Type="http://schemas.openxmlformats.org/officeDocument/2006/relationships/printerSettings" Target="../printerSettings/printerSettings139.bin"/><Relationship Id="rId3" Type="http://schemas.openxmlformats.org/officeDocument/2006/relationships/printerSettings" Target="../printerSettings/printerSettings134.bin"/><Relationship Id="rId7" Type="http://schemas.openxmlformats.org/officeDocument/2006/relationships/printerSettings" Target="../printerSettings/printerSettings138.bin"/><Relationship Id="rId2" Type="http://schemas.openxmlformats.org/officeDocument/2006/relationships/printerSettings" Target="../printerSettings/printerSettings133.bin"/><Relationship Id="rId1" Type="http://schemas.openxmlformats.org/officeDocument/2006/relationships/printerSettings" Target="../printerSettings/printerSettings132.bin"/><Relationship Id="rId6" Type="http://schemas.openxmlformats.org/officeDocument/2006/relationships/printerSettings" Target="../printerSettings/printerSettings137.bin"/><Relationship Id="rId5" Type="http://schemas.openxmlformats.org/officeDocument/2006/relationships/printerSettings" Target="../printerSettings/printerSettings136.bin"/><Relationship Id="rId10" Type="http://schemas.openxmlformats.org/officeDocument/2006/relationships/comments" Target="../comments17.xml"/><Relationship Id="rId4" Type="http://schemas.openxmlformats.org/officeDocument/2006/relationships/printerSettings" Target="../printerSettings/printerSettings135.bin"/><Relationship Id="rId9" Type="http://schemas.openxmlformats.org/officeDocument/2006/relationships/vmlDrawing" Target="../drawings/vmlDrawing17.vml"/></Relationships>
</file>

<file path=xl/worksheets/_rels/sheet73.xml.rels><?xml version="1.0" encoding="UTF-8" standalone="yes"?>
<Relationships xmlns="http://schemas.openxmlformats.org/package/2006/relationships"><Relationship Id="rId3" Type="http://schemas.openxmlformats.org/officeDocument/2006/relationships/printerSettings" Target="../printerSettings/printerSettings142.bin"/><Relationship Id="rId2" Type="http://schemas.openxmlformats.org/officeDocument/2006/relationships/printerSettings" Target="../printerSettings/printerSettings141.bin"/><Relationship Id="rId1" Type="http://schemas.openxmlformats.org/officeDocument/2006/relationships/printerSettings" Target="../printerSettings/printerSettings140.bin"/><Relationship Id="rId5" Type="http://schemas.openxmlformats.org/officeDocument/2006/relationships/printerSettings" Target="../printerSettings/printerSettings144.bin"/><Relationship Id="rId4" Type="http://schemas.openxmlformats.org/officeDocument/2006/relationships/printerSettings" Target="../printerSettings/printerSettings14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75.xml.rels><?xml version="1.0" encoding="UTF-8" standalone="yes"?>
<Relationships xmlns="http://schemas.openxmlformats.org/package/2006/relationships"><Relationship Id="rId8" Type="http://schemas.openxmlformats.org/officeDocument/2006/relationships/printerSettings" Target="../printerSettings/printerSettings153.bin"/><Relationship Id="rId3" Type="http://schemas.openxmlformats.org/officeDocument/2006/relationships/printerSettings" Target="../printerSettings/printerSettings148.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47.bin"/><Relationship Id="rId1" Type="http://schemas.openxmlformats.org/officeDocument/2006/relationships/printerSettings" Target="../printerSettings/printerSettings146.bin"/><Relationship Id="rId6" Type="http://schemas.openxmlformats.org/officeDocument/2006/relationships/printerSettings" Target="../printerSettings/printerSettings151.bin"/><Relationship Id="rId5" Type="http://schemas.openxmlformats.org/officeDocument/2006/relationships/printerSettings" Target="../printerSettings/printerSettings150.bin"/><Relationship Id="rId4" Type="http://schemas.openxmlformats.org/officeDocument/2006/relationships/printerSettings" Target="../printerSettings/printerSettings149.bin"/></Relationships>
</file>

<file path=xl/worksheets/_rels/sheet76.xml.rels><?xml version="1.0" encoding="UTF-8" standalone="yes"?>
<Relationships xmlns="http://schemas.openxmlformats.org/package/2006/relationships"><Relationship Id="rId8" Type="http://schemas.openxmlformats.org/officeDocument/2006/relationships/printerSettings" Target="../printerSettings/printerSettings161.bin"/><Relationship Id="rId3" Type="http://schemas.openxmlformats.org/officeDocument/2006/relationships/printerSettings" Target="../printerSettings/printerSettings156.bin"/><Relationship Id="rId7" Type="http://schemas.openxmlformats.org/officeDocument/2006/relationships/printerSettings" Target="../printerSettings/printerSettings160.bin"/><Relationship Id="rId2" Type="http://schemas.openxmlformats.org/officeDocument/2006/relationships/printerSettings" Target="../printerSettings/printerSettings155.bin"/><Relationship Id="rId1" Type="http://schemas.openxmlformats.org/officeDocument/2006/relationships/printerSettings" Target="../printerSettings/printerSettings154.bin"/><Relationship Id="rId6" Type="http://schemas.openxmlformats.org/officeDocument/2006/relationships/printerSettings" Target="../printerSettings/printerSettings159.bin"/><Relationship Id="rId5" Type="http://schemas.openxmlformats.org/officeDocument/2006/relationships/printerSettings" Target="../printerSettings/printerSettings158.bin"/><Relationship Id="rId4" Type="http://schemas.openxmlformats.org/officeDocument/2006/relationships/printerSettings" Target="../printerSettings/printerSettings157.bin"/></Relationships>
</file>

<file path=xl/worksheets/_rels/sheet77.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7.bin"/><Relationship Id="rId5" Type="http://schemas.openxmlformats.org/officeDocument/2006/relationships/printerSettings" Target="../printerSettings/printerSettings166.bin"/><Relationship Id="rId4" Type="http://schemas.openxmlformats.org/officeDocument/2006/relationships/printerSettings" Target="../printerSettings/printerSettings165.bin"/></Relationships>
</file>

<file path=xl/worksheets/_rels/sheet78.xml.rels><?xml version="1.0" encoding="UTF-8" standalone="yes"?>
<Relationships xmlns="http://schemas.openxmlformats.org/package/2006/relationships"><Relationship Id="rId3" Type="http://schemas.openxmlformats.org/officeDocument/2006/relationships/printerSettings" Target="../printerSettings/printerSettings170.bin"/><Relationship Id="rId2" Type="http://schemas.openxmlformats.org/officeDocument/2006/relationships/printerSettings" Target="../printerSettings/printerSettings169.bin"/><Relationship Id="rId1" Type="http://schemas.openxmlformats.org/officeDocument/2006/relationships/printerSettings" Target="../printerSettings/printerSettings168.bin"/><Relationship Id="rId4" Type="http://schemas.openxmlformats.org/officeDocument/2006/relationships/printerSettings" Target="../printerSettings/printerSettings171.bin"/></Relationships>
</file>

<file path=xl/worksheets/_rels/sheet79.xml.rels><?xml version="1.0" encoding="UTF-8" standalone="yes"?>
<Relationships xmlns="http://schemas.openxmlformats.org/package/2006/relationships"><Relationship Id="rId3" Type="http://schemas.openxmlformats.org/officeDocument/2006/relationships/printerSettings" Target="../printerSettings/printerSettings174.bin"/><Relationship Id="rId2" Type="http://schemas.openxmlformats.org/officeDocument/2006/relationships/printerSettings" Target="../printerSettings/printerSettings173.bin"/><Relationship Id="rId1" Type="http://schemas.openxmlformats.org/officeDocument/2006/relationships/printerSettings" Target="../printerSettings/printerSettings172.bin"/><Relationship Id="rId4" Type="http://schemas.openxmlformats.org/officeDocument/2006/relationships/printerSettings" Target="../printerSettings/printerSettings175.bin"/></Relationships>
</file>

<file path=xl/worksheets/_rels/sheet80.xml.rels><?xml version="1.0" encoding="UTF-8" standalone="yes"?>
<Relationships xmlns="http://schemas.openxmlformats.org/package/2006/relationships"><Relationship Id="rId8" Type="http://schemas.openxmlformats.org/officeDocument/2006/relationships/printerSettings" Target="../printerSettings/printerSettings183.bin"/><Relationship Id="rId3" Type="http://schemas.openxmlformats.org/officeDocument/2006/relationships/printerSettings" Target="../printerSettings/printerSettings178.bin"/><Relationship Id="rId7" Type="http://schemas.openxmlformats.org/officeDocument/2006/relationships/printerSettings" Target="../printerSettings/printerSettings182.bin"/><Relationship Id="rId2" Type="http://schemas.openxmlformats.org/officeDocument/2006/relationships/printerSettings" Target="../printerSettings/printerSettings177.bin"/><Relationship Id="rId1" Type="http://schemas.openxmlformats.org/officeDocument/2006/relationships/printerSettings" Target="../printerSettings/printerSettings176.bin"/><Relationship Id="rId6" Type="http://schemas.openxmlformats.org/officeDocument/2006/relationships/printerSettings" Target="../printerSettings/printerSettings181.bin"/><Relationship Id="rId5" Type="http://schemas.openxmlformats.org/officeDocument/2006/relationships/printerSettings" Target="../printerSettings/printerSettings180.bin"/><Relationship Id="rId10" Type="http://schemas.openxmlformats.org/officeDocument/2006/relationships/comments" Target="../comments18.xml"/><Relationship Id="rId4" Type="http://schemas.openxmlformats.org/officeDocument/2006/relationships/printerSettings" Target="../printerSettings/printerSettings179.bin"/><Relationship Id="rId9" Type="http://schemas.openxmlformats.org/officeDocument/2006/relationships/vmlDrawing" Target="../drawings/vmlDrawing18.vml"/></Relationships>
</file>

<file path=xl/worksheets/_rels/sheet81.xml.rels><?xml version="1.0" encoding="UTF-8" standalone="yes"?>
<Relationships xmlns="http://schemas.openxmlformats.org/package/2006/relationships"><Relationship Id="rId8" Type="http://schemas.openxmlformats.org/officeDocument/2006/relationships/printerSettings" Target="../printerSettings/printerSettings191.bin"/><Relationship Id="rId3" Type="http://schemas.openxmlformats.org/officeDocument/2006/relationships/printerSettings" Target="../printerSettings/printerSettings186.bin"/><Relationship Id="rId7" Type="http://schemas.openxmlformats.org/officeDocument/2006/relationships/printerSettings" Target="../printerSettings/printerSettings190.bin"/><Relationship Id="rId2" Type="http://schemas.openxmlformats.org/officeDocument/2006/relationships/printerSettings" Target="../printerSettings/printerSettings185.bin"/><Relationship Id="rId1" Type="http://schemas.openxmlformats.org/officeDocument/2006/relationships/printerSettings" Target="../printerSettings/printerSettings184.bin"/><Relationship Id="rId6" Type="http://schemas.openxmlformats.org/officeDocument/2006/relationships/printerSettings" Target="../printerSettings/printerSettings189.bin"/><Relationship Id="rId5" Type="http://schemas.openxmlformats.org/officeDocument/2006/relationships/printerSettings" Target="../printerSettings/printerSettings188.bin"/><Relationship Id="rId4" Type="http://schemas.openxmlformats.org/officeDocument/2006/relationships/printerSettings" Target="../printerSettings/printerSettings187.bin"/></Relationships>
</file>

<file path=xl/worksheets/_rels/sheet82.xml.rels><?xml version="1.0" encoding="UTF-8" standalone="yes"?>
<Relationships xmlns="http://schemas.openxmlformats.org/package/2006/relationships"><Relationship Id="rId8" Type="http://schemas.openxmlformats.org/officeDocument/2006/relationships/printerSettings" Target="../printerSettings/printerSettings199.bin"/><Relationship Id="rId3" Type="http://schemas.openxmlformats.org/officeDocument/2006/relationships/printerSettings" Target="../printerSettings/printerSettings194.bin"/><Relationship Id="rId7" Type="http://schemas.openxmlformats.org/officeDocument/2006/relationships/printerSettings" Target="../printerSettings/printerSettings198.bin"/><Relationship Id="rId2" Type="http://schemas.openxmlformats.org/officeDocument/2006/relationships/printerSettings" Target="../printerSettings/printerSettings193.bin"/><Relationship Id="rId1" Type="http://schemas.openxmlformats.org/officeDocument/2006/relationships/printerSettings" Target="../printerSettings/printerSettings192.bin"/><Relationship Id="rId6" Type="http://schemas.openxmlformats.org/officeDocument/2006/relationships/printerSettings" Target="../printerSettings/printerSettings197.bin"/><Relationship Id="rId5" Type="http://schemas.openxmlformats.org/officeDocument/2006/relationships/printerSettings" Target="../printerSettings/printerSettings196.bin"/><Relationship Id="rId4" Type="http://schemas.openxmlformats.org/officeDocument/2006/relationships/printerSettings" Target="../printerSettings/printerSettings19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0000"/>
    <pageSetUpPr fitToPage="1"/>
  </sheetPr>
  <dimension ref="A1:AP74"/>
  <sheetViews>
    <sheetView showGridLines="0" topLeftCell="A2" zoomScale="70" zoomScaleNormal="70" workbookViewId="0">
      <selection activeCell="D12" sqref="D12"/>
    </sheetView>
  </sheetViews>
  <sheetFormatPr defaultRowHeight="12.75"/>
  <cols>
    <col min="1" max="1" width="58" style="365" customWidth="1"/>
    <col min="2" max="2" width="10" style="365" customWidth="1"/>
    <col min="3" max="3" width="2.28515625" style="365" bestFit="1" customWidth="1"/>
    <col min="4" max="4" width="17.7109375" style="377" bestFit="1" customWidth="1"/>
    <col min="5" max="5" width="1.28515625" style="428" customWidth="1"/>
    <col min="6" max="6" width="19.28515625" style="363" customWidth="1"/>
    <col min="7" max="7" width="1.28515625" style="386" customWidth="1"/>
    <col min="8" max="8" width="16.140625" style="363" bestFit="1" customWidth="1"/>
    <col min="9" max="9" width="1.28515625" style="386" customWidth="1"/>
    <col min="10" max="10" width="16.85546875" style="363" customWidth="1"/>
    <col min="11" max="11" width="1.28515625" style="386" customWidth="1"/>
    <col min="12" max="12" width="18.85546875" style="363" bestFit="1" customWidth="1"/>
    <col min="13" max="13" width="1.28515625" style="386" customWidth="1"/>
    <col min="14" max="14" width="18.28515625" style="363" bestFit="1" customWidth="1"/>
    <col min="15" max="15" width="16" style="363" bestFit="1" customWidth="1"/>
    <col min="16" max="16" width="19.5703125" style="364" bestFit="1" customWidth="1"/>
    <col min="17" max="17" width="16" style="363" bestFit="1" customWidth="1"/>
    <col min="18" max="18" width="20.7109375" style="363" customWidth="1"/>
    <col min="19" max="42" width="9.140625" style="363" customWidth="1"/>
    <col min="43" max="237" width="8.85546875" style="365"/>
    <col min="238" max="238" width="44.5703125" style="365" customWidth="1"/>
    <col min="239" max="239" width="14.28515625" style="365" bestFit="1" customWidth="1"/>
    <col min="240" max="240" width="1.7109375" style="365" customWidth="1"/>
    <col min="241" max="241" width="14.85546875" style="365" customWidth="1"/>
    <col min="242" max="242" width="0" style="365" hidden="1" customWidth="1"/>
    <col min="243" max="243" width="17.42578125" style="365" customWidth="1"/>
    <col min="244" max="244" width="0" style="365" hidden="1" customWidth="1"/>
    <col min="245" max="245" width="12.85546875" style="365" customWidth="1"/>
    <col min="246" max="246" width="0" style="365" hidden="1" customWidth="1"/>
    <col min="247" max="247" width="14.42578125" style="365" customWidth="1"/>
    <col min="248" max="248" width="0" style="365" hidden="1" customWidth="1"/>
    <col min="249" max="249" width="17.42578125" style="365" customWidth="1"/>
    <col min="250" max="250" width="0" style="365" hidden="1" customWidth="1"/>
    <col min="251" max="251" width="14" style="365" customWidth="1"/>
    <col min="252" max="252" width="14.28515625" style="365" bestFit="1" customWidth="1"/>
    <col min="253" max="253" width="0" style="365" hidden="1" customWidth="1"/>
    <col min="254" max="254" width="15.5703125" style="365" customWidth="1"/>
    <col min="255" max="255" width="44.5703125" style="365" customWidth="1"/>
    <col min="256" max="256" width="14.28515625" style="365" bestFit="1" customWidth="1"/>
    <col min="257" max="257" width="0" style="365" hidden="1" customWidth="1"/>
    <col min="258" max="258" width="18.140625" style="365" customWidth="1"/>
    <col min="259" max="259" width="0" style="365" hidden="1" customWidth="1"/>
    <col min="260" max="260" width="14" style="365" customWidth="1"/>
    <col min="261" max="261" width="0" style="365" hidden="1" customWidth="1"/>
    <col min="262" max="262" width="20.85546875" style="365" customWidth="1"/>
    <col min="263" max="263" width="0" style="365" hidden="1" customWidth="1"/>
    <col min="264" max="264" width="13.28515625" style="365" customWidth="1"/>
    <col min="265" max="265" width="0" style="365" hidden="1" customWidth="1"/>
    <col min="266" max="266" width="15" style="365" customWidth="1"/>
    <col min="267" max="267" width="0" style="365" hidden="1" customWidth="1"/>
    <col min="268" max="268" width="13.28515625" style="365" customWidth="1"/>
    <col min="269" max="269" width="0" style="365" hidden="1" customWidth="1"/>
    <col min="270" max="270" width="20.140625" style="365" customWidth="1"/>
    <col min="271" max="271" width="14.42578125" style="365" bestFit="1" customWidth="1"/>
    <col min="272" max="272" width="14" style="365" bestFit="1" customWidth="1"/>
    <col min="273" max="273" width="12.28515625" style="365" bestFit="1" customWidth="1"/>
    <col min="274" max="298" width="9.140625" style="365" customWidth="1"/>
    <col min="299" max="493" width="8.85546875" style="365"/>
    <col min="494" max="494" width="44.5703125" style="365" customWidth="1"/>
    <col min="495" max="495" width="14.28515625" style="365" bestFit="1" customWidth="1"/>
    <col min="496" max="496" width="1.7109375" style="365" customWidth="1"/>
    <col min="497" max="497" width="14.85546875" style="365" customWidth="1"/>
    <col min="498" max="498" width="0" style="365" hidden="1" customWidth="1"/>
    <col min="499" max="499" width="17.42578125" style="365" customWidth="1"/>
    <col min="500" max="500" width="0" style="365" hidden="1" customWidth="1"/>
    <col min="501" max="501" width="12.85546875" style="365" customWidth="1"/>
    <col min="502" max="502" width="0" style="365" hidden="1" customWidth="1"/>
    <col min="503" max="503" width="14.42578125" style="365" customWidth="1"/>
    <col min="504" max="504" width="0" style="365" hidden="1" customWidth="1"/>
    <col min="505" max="505" width="17.42578125" style="365" customWidth="1"/>
    <col min="506" max="506" width="0" style="365" hidden="1" customWidth="1"/>
    <col min="507" max="507" width="14" style="365" customWidth="1"/>
    <col min="508" max="508" width="14.28515625" style="365" bestFit="1" customWidth="1"/>
    <col min="509" max="509" width="0" style="365" hidden="1" customWidth="1"/>
    <col min="510" max="510" width="15.5703125" style="365" customWidth="1"/>
    <col min="511" max="511" width="44.5703125" style="365" customWidth="1"/>
    <col min="512" max="512" width="14.28515625" style="365" bestFit="1" customWidth="1"/>
    <col min="513" max="513" width="0" style="365" hidden="1" customWidth="1"/>
    <col min="514" max="514" width="18.140625" style="365" customWidth="1"/>
    <col min="515" max="515" width="0" style="365" hidden="1" customWidth="1"/>
    <col min="516" max="516" width="14" style="365" customWidth="1"/>
    <col min="517" max="517" width="0" style="365" hidden="1" customWidth="1"/>
    <col min="518" max="518" width="20.85546875" style="365" customWidth="1"/>
    <col min="519" max="519" width="0" style="365" hidden="1" customWidth="1"/>
    <col min="520" max="520" width="13.28515625" style="365" customWidth="1"/>
    <col min="521" max="521" width="0" style="365" hidden="1" customWidth="1"/>
    <col min="522" max="522" width="15" style="365" customWidth="1"/>
    <col min="523" max="523" width="0" style="365" hidden="1" customWidth="1"/>
    <col min="524" max="524" width="13.28515625" style="365" customWidth="1"/>
    <col min="525" max="525" width="0" style="365" hidden="1" customWidth="1"/>
    <col min="526" max="526" width="20.140625" style="365" customWidth="1"/>
    <col min="527" max="527" width="14.42578125" style="365" bestFit="1" customWidth="1"/>
    <col min="528" max="528" width="14" style="365" bestFit="1" customWidth="1"/>
    <col min="529" max="529" width="12.28515625" style="365" bestFit="1" customWidth="1"/>
    <col min="530" max="554" width="9.140625" style="365" customWidth="1"/>
    <col min="555" max="749" width="8.85546875" style="365"/>
    <col min="750" max="750" width="44.5703125" style="365" customWidth="1"/>
    <col min="751" max="751" width="14.28515625" style="365" bestFit="1" customWidth="1"/>
    <col min="752" max="752" width="1.7109375" style="365" customWidth="1"/>
    <col min="753" max="753" width="14.85546875" style="365" customWidth="1"/>
    <col min="754" max="754" width="0" style="365" hidden="1" customWidth="1"/>
    <col min="755" max="755" width="17.42578125" style="365" customWidth="1"/>
    <col min="756" max="756" width="0" style="365" hidden="1" customWidth="1"/>
    <col min="757" max="757" width="12.85546875" style="365" customWidth="1"/>
    <col min="758" max="758" width="0" style="365" hidden="1" customWidth="1"/>
    <col min="759" max="759" width="14.42578125" style="365" customWidth="1"/>
    <col min="760" max="760" width="0" style="365" hidden="1" customWidth="1"/>
    <col min="761" max="761" width="17.42578125" style="365" customWidth="1"/>
    <col min="762" max="762" width="0" style="365" hidden="1" customWidth="1"/>
    <col min="763" max="763" width="14" style="365" customWidth="1"/>
    <col min="764" max="764" width="14.28515625" style="365" bestFit="1" customWidth="1"/>
    <col min="765" max="765" width="0" style="365" hidden="1" customWidth="1"/>
    <col min="766" max="766" width="15.5703125" style="365" customWidth="1"/>
    <col min="767" max="767" width="44.5703125" style="365" customWidth="1"/>
    <col min="768" max="768" width="14.28515625" style="365" bestFit="1" customWidth="1"/>
    <col min="769" max="769" width="0" style="365" hidden="1" customWidth="1"/>
    <col min="770" max="770" width="18.140625" style="365" customWidth="1"/>
    <col min="771" max="771" width="0" style="365" hidden="1" customWidth="1"/>
    <col min="772" max="772" width="14" style="365" customWidth="1"/>
    <col min="773" max="773" width="0" style="365" hidden="1" customWidth="1"/>
    <col min="774" max="774" width="20.85546875" style="365" customWidth="1"/>
    <col min="775" max="775" width="0" style="365" hidden="1" customWidth="1"/>
    <col min="776" max="776" width="13.28515625" style="365" customWidth="1"/>
    <col min="777" max="777" width="0" style="365" hidden="1" customWidth="1"/>
    <col min="778" max="778" width="15" style="365" customWidth="1"/>
    <col min="779" max="779" width="0" style="365" hidden="1" customWidth="1"/>
    <col min="780" max="780" width="13.28515625" style="365" customWidth="1"/>
    <col min="781" max="781" width="0" style="365" hidden="1" customWidth="1"/>
    <col min="782" max="782" width="20.140625" style="365" customWidth="1"/>
    <col min="783" max="783" width="14.42578125" style="365" bestFit="1" customWidth="1"/>
    <col min="784" max="784" width="14" style="365" bestFit="1" customWidth="1"/>
    <col min="785" max="785" width="12.28515625" style="365" bestFit="1" customWidth="1"/>
    <col min="786" max="810" width="9.140625" style="365" customWidth="1"/>
    <col min="811" max="1005" width="8.85546875" style="365"/>
    <col min="1006" max="1006" width="44.5703125" style="365" customWidth="1"/>
    <col min="1007" max="1007" width="14.28515625" style="365" bestFit="1" customWidth="1"/>
    <col min="1008" max="1008" width="1.7109375" style="365" customWidth="1"/>
    <col min="1009" max="1009" width="14.85546875" style="365" customWidth="1"/>
    <col min="1010" max="1010" width="0" style="365" hidden="1" customWidth="1"/>
    <col min="1011" max="1011" width="17.42578125" style="365" customWidth="1"/>
    <col min="1012" max="1012" width="0" style="365" hidden="1" customWidth="1"/>
    <col min="1013" max="1013" width="12.85546875" style="365" customWidth="1"/>
    <col min="1014" max="1014" width="0" style="365" hidden="1" customWidth="1"/>
    <col min="1015" max="1015" width="14.42578125" style="365" customWidth="1"/>
    <col min="1016" max="1016" width="0" style="365" hidden="1" customWidth="1"/>
    <col min="1017" max="1017" width="17.42578125" style="365" customWidth="1"/>
    <col min="1018" max="1018" width="0" style="365" hidden="1" customWidth="1"/>
    <col min="1019" max="1019" width="14" style="365" customWidth="1"/>
    <col min="1020" max="1020" width="14.28515625" style="365" bestFit="1" customWidth="1"/>
    <col min="1021" max="1021" width="0" style="365" hidden="1" customWidth="1"/>
    <col min="1022" max="1022" width="15.5703125" style="365" customWidth="1"/>
    <col min="1023" max="1023" width="44.5703125" style="365" customWidth="1"/>
    <col min="1024" max="1024" width="14.28515625" style="365" bestFit="1" customWidth="1"/>
    <col min="1025" max="1025" width="0" style="365" hidden="1" customWidth="1"/>
    <col min="1026" max="1026" width="18.140625" style="365" customWidth="1"/>
    <col min="1027" max="1027" width="0" style="365" hidden="1" customWidth="1"/>
    <col min="1028" max="1028" width="14" style="365" customWidth="1"/>
    <col min="1029" max="1029" width="0" style="365" hidden="1" customWidth="1"/>
    <col min="1030" max="1030" width="20.85546875" style="365" customWidth="1"/>
    <col min="1031" max="1031" width="0" style="365" hidden="1" customWidth="1"/>
    <col min="1032" max="1032" width="13.28515625" style="365" customWidth="1"/>
    <col min="1033" max="1033" width="0" style="365" hidden="1" customWidth="1"/>
    <col min="1034" max="1034" width="15" style="365" customWidth="1"/>
    <col min="1035" max="1035" width="0" style="365" hidden="1" customWidth="1"/>
    <col min="1036" max="1036" width="13.28515625" style="365" customWidth="1"/>
    <col min="1037" max="1037" width="0" style="365" hidden="1" customWidth="1"/>
    <col min="1038" max="1038" width="20.140625" style="365" customWidth="1"/>
    <col min="1039" max="1039" width="14.42578125" style="365" bestFit="1" customWidth="1"/>
    <col min="1040" max="1040" width="14" style="365" bestFit="1" customWidth="1"/>
    <col min="1041" max="1041" width="12.28515625" style="365" bestFit="1" customWidth="1"/>
    <col min="1042" max="1066" width="9.140625" style="365" customWidth="1"/>
    <col min="1067" max="1261" width="8.85546875" style="365"/>
    <col min="1262" max="1262" width="44.5703125" style="365" customWidth="1"/>
    <col min="1263" max="1263" width="14.28515625" style="365" bestFit="1" customWidth="1"/>
    <col min="1264" max="1264" width="1.7109375" style="365" customWidth="1"/>
    <col min="1265" max="1265" width="14.85546875" style="365" customWidth="1"/>
    <col min="1266" max="1266" width="0" style="365" hidden="1" customWidth="1"/>
    <col min="1267" max="1267" width="17.42578125" style="365" customWidth="1"/>
    <col min="1268" max="1268" width="0" style="365" hidden="1" customWidth="1"/>
    <col min="1269" max="1269" width="12.85546875" style="365" customWidth="1"/>
    <col min="1270" max="1270" width="0" style="365" hidden="1" customWidth="1"/>
    <col min="1271" max="1271" width="14.42578125" style="365" customWidth="1"/>
    <col min="1272" max="1272" width="0" style="365" hidden="1" customWidth="1"/>
    <col min="1273" max="1273" width="17.42578125" style="365" customWidth="1"/>
    <col min="1274" max="1274" width="0" style="365" hidden="1" customWidth="1"/>
    <col min="1275" max="1275" width="14" style="365" customWidth="1"/>
    <col min="1276" max="1276" width="14.28515625" style="365" bestFit="1" customWidth="1"/>
    <col min="1277" max="1277" width="0" style="365" hidden="1" customWidth="1"/>
    <col min="1278" max="1278" width="15.5703125" style="365" customWidth="1"/>
    <col min="1279" max="1279" width="44.5703125" style="365" customWidth="1"/>
    <col min="1280" max="1280" width="14.28515625" style="365" bestFit="1" customWidth="1"/>
    <col min="1281" max="1281" width="0" style="365" hidden="1" customWidth="1"/>
    <col min="1282" max="1282" width="18.140625" style="365" customWidth="1"/>
    <col min="1283" max="1283" width="0" style="365" hidden="1" customWidth="1"/>
    <col min="1284" max="1284" width="14" style="365" customWidth="1"/>
    <col min="1285" max="1285" width="0" style="365" hidden="1" customWidth="1"/>
    <col min="1286" max="1286" width="20.85546875" style="365" customWidth="1"/>
    <col min="1287" max="1287" width="0" style="365" hidden="1" customWidth="1"/>
    <col min="1288" max="1288" width="13.28515625" style="365" customWidth="1"/>
    <col min="1289" max="1289" width="0" style="365" hidden="1" customWidth="1"/>
    <col min="1290" max="1290" width="15" style="365" customWidth="1"/>
    <col min="1291" max="1291" width="0" style="365" hidden="1" customWidth="1"/>
    <col min="1292" max="1292" width="13.28515625" style="365" customWidth="1"/>
    <col min="1293" max="1293" width="0" style="365" hidden="1" customWidth="1"/>
    <col min="1294" max="1294" width="20.140625" style="365" customWidth="1"/>
    <col min="1295" max="1295" width="14.42578125" style="365" bestFit="1" customWidth="1"/>
    <col min="1296" max="1296" width="14" style="365" bestFit="1" customWidth="1"/>
    <col min="1297" max="1297" width="12.28515625" style="365" bestFit="1" customWidth="1"/>
    <col min="1298" max="1322" width="9.140625" style="365" customWidth="1"/>
    <col min="1323" max="1517" width="8.85546875" style="365"/>
    <col min="1518" max="1518" width="44.5703125" style="365" customWidth="1"/>
    <col min="1519" max="1519" width="14.28515625" style="365" bestFit="1" customWidth="1"/>
    <col min="1520" max="1520" width="1.7109375" style="365" customWidth="1"/>
    <col min="1521" max="1521" width="14.85546875" style="365" customWidth="1"/>
    <col min="1522" max="1522" width="0" style="365" hidden="1" customWidth="1"/>
    <col min="1523" max="1523" width="17.42578125" style="365" customWidth="1"/>
    <col min="1524" max="1524" width="0" style="365" hidden="1" customWidth="1"/>
    <col min="1525" max="1525" width="12.85546875" style="365" customWidth="1"/>
    <col min="1526" max="1526" width="0" style="365" hidden="1" customWidth="1"/>
    <col min="1527" max="1527" width="14.42578125" style="365" customWidth="1"/>
    <col min="1528" max="1528" width="0" style="365" hidden="1" customWidth="1"/>
    <col min="1529" max="1529" width="17.42578125" style="365" customWidth="1"/>
    <col min="1530" max="1530" width="0" style="365" hidden="1" customWidth="1"/>
    <col min="1531" max="1531" width="14" style="365" customWidth="1"/>
    <col min="1532" max="1532" width="14.28515625" style="365" bestFit="1" customWidth="1"/>
    <col min="1533" max="1533" width="0" style="365" hidden="1" customWidth="1"/>
    <col min="1534" max="1534" width="15.5703125" style="365" customWidth="1"/>
    <col min="1535" max="1535" width="44.5703125" style="365" customWidth="1"/>
    <col min="1536" max="1536" width="14.28515625" style="365" bestFit="1" customWidth="1"/>
    <col min="1537" max="1537" width="0" style="365" hidden="1" customWidth="1"/>
    <col min="1538" max="1538" width="18.140625" style="365" customWidth="1"/>
    <col min="1539" max="1539" width="0" style="365" hidden="1" customWidth="1"/>
    <col min="1540" max="1540" width="14" style="365" customWidth="1"/>
    <col min="1541" max="1541" width="0" style="365" hidden="1" customWidth="1"/>
    <col min="1542" max="1542" width="20.85546875" style="365" customWidth="1"/>
    <col min="1543" max="1543" width="0" style="365" hidden="1" customWidth="1"/>
    <col min="1544" max="1544" width="13.28515625" style="365" customWidth="1"/>
    <col min="1545" max="1545" width="0" style="365" hidden="1" customWidth="1"/>
    <col min="1546" max="1546" width="15" style="365" customWidth="1"/>
    <col min="1547" max="1547" width="0" style="365" hidden="1" customWidth="1"/>
    <col min="1548" max="1548" width="13.28515625" style="365" customWidth="1"/>
    <col min="1549" max="1549" width="0" style="365" hidden="1" customWidth="1"/>
    <col min="1550" max="1550" width="20.140625" style="365" customWidth="1"/>
    <col min="1551" max="1551" width="14.42578125" style="365" bestFit="1" customWidth="1"/>
    <col min="1552" max="1552" width="14" style="365" bestFit="1" customWidth="1"/>
    <col min="1553" max="1553" width="12.28515625" style="365" bestFit="1" customWidth="1"/>
    <col min="1554" max="1578" width="9.140625" style="365" customWidth="1"/>
    <col min="1579" max="1773" width="8.85546875" style="365"/>
    <col min="1774" max="1774" width="44.5703125" style="365" customWidth="1"/>
    <col min="1775" max="1775" width="14.28515625" style="365" bestFit="1" customWidth="1"/>
    <col min="1776" max="1776" width="1.7109375" style="365" customWidth="1"/>
    <col min="1777" max="1777" width="14.85546875" style="365" customWidth="1"/>
    <col min="1778" max="1778" width="0" style="365" hidden="1" customWidth="1"/>
    <col min="1779" max="1779" width="17.42578125" style="365" customWidth="1"/>
    <col min="1780" max="1780" width="0" style="365" hidden="1" customWidth="1"/>
    <col min="1781" max="1781" width="12.85546875" style="365" customWidth="1"/>
    <col min="1782" max="1782" width="0" style="365" hidden="1" customWidth="1"/>
    <col min="1783" max="1783" width="14.42578125" style="365" customWidth="1"/>
    <col min="1784" max="1784" width="0" style="365" hidden="1" customWidth="1"/>
    <col min="1785" max="1785" width="17.42578125" style="365" customWidth="1"/>
    <col min="1786" max="1786" width="0" style="365" hidden="1" customWidth="1"/>
    <col min="1787" max="1787" width="14" style="365" customWidth="1"/>
    <col min="1788" max="1788" width="14.28515625" style="365" bestFit="1" customWidth="1"/>
    <col min="1789" max="1789" width="0" style="365" hidden="1" customWidth="1"/>
    <col min="1790" max="1790" width="15.5703125" style="365" customWidth="1"/>
    <col min="1791" max="1791" width="44.5703125" style="365" customWidth="1"/>
    <col min="1792" max="1792" width="14.28515625" style="365" bestFit="1" customWidth="1"/>
    <col min="1793" max="1793" width="0" style="365" hidden="1" customWidth="1"/>
    <col min="1794" max="1794" width="18.140625" style="365" customWidth="1"/>
    <col min="1795" max="1795" width="0" style="365" hidden="1" customWidth="1"/>
    <col min="1796" max="1796" width="14" style="365" customWidth="1"/>
    <col min="1797" max="1797" width="0" style="365" hidden="1" customWidth="1"/>
    <col min="1798" max="1798" width="20.85546875" style="365" customWidth="1"/>
    <col min="1799" max="1799" width="0" style="365" hidden="1" customWidth="1"/>
    <col min="1800" max="1800" width="13.28515625" style="365" customWidth="1"/>
    <col min="1801" max="1801" width="0" style="365" hidden="1" customWidth="1"/>
    <col min="1802" max="1802" width="15" style="365" customWidth="1"/>
    <col min="1803" max="1803" width="0" style="365" hidden="1" customWidth="1"/>
    <col min="1804" max="1804" width="13.28515625" style="365" customWidth="1"/>
    <col min="1805" max="1805" width="0" style="365" hidden="1" customWidth="1"/>
    <col min="1806" max="1806" width="20.140625" style="365" customWidth="1"/>
    <col min="1807" max="1807" width="14.42578125" style="365" bestFit="1" customWidth="1"/>
    <col min="1808" max="1808" width="14" style="365" bestFit="1" customWidth="1"/>
    <col min="1809" max="1809" width="12.28515625" style="365" bestFit="1" customWidth="1"/>
    <col min="1810" max="1834" width="9.140625" style="365" customWidth="1"/>
    <col min="1835" max="2029" width="8.85546875" style="365"/>
    <col min="2030" max="2030" width="44.5703125" style="365" customWidth="1"/>
    <col min="2031" max="2031" width="14.28515625" style="365" bestFit="1" customWidth="1"/>
    <col min="2032" max="2032" width="1.7109375" style="365" customWidth="1"/>
    <col min="2033" max="2033" width="14.85546875" style="365" customWidth="1"/>
    <col min="2034" max="2034" width="0" style="365" hidden="1" customWidth="1"/>
    <col min="2035" max="2035" width="17.42578125" style="365" customWidth="1"/>
    <col min="2036" max="2036" width="0" style="365" hidden="1" customWidth="1"/>
    <col min="2037" max="2037" width="12.85546875" style="365" customWidth="1"/>
    <col min="2038" max="2038" width="0" style="365" hidden="1" customWidth="1"/>
    <col min="2039" max="2039" width="14.42578125" style="365" customWidth="1"/>
    <col min="2040" max="2040" width="0" style="365" hidden="1" customWidth="1"/>
    <col min="2041" max="2041" width="17.42578125" style="365" customWidth="1"/>
    <col min="2042" max="2042" width="0" style="365" hidden="1" customWidth="1"/>
    <col min="2043" max="2043" width="14" style="365" customWidth="1"/>
    <col min="2044" max="2044" width="14.28515625" style="365" bestFit="1" customWidth="1"/>
    <col min="2045" max="2045" width="0" style="365" hidden="1" customWidth="1"/>
    <col min="2046" max="2046" width="15.5703125" style="365" customWidth="1"/>
    <col min="2047" max="2047" width="44.5703125" style="365" customWidth="1"/>
    <col min="2048" max="2048" width="14.28515625" style="365" bestFit="1" customWidth="1"/>
    <col min="2049" max="2049" width="0" style="365" hidden="1" customWidth="1"/>
    <col min="2050" max="2050" width="18.140625" style="365" customWidth="1"/>
    <col min="2051" max="2051" width="0" style="365" hidden="1" customWidth="1"/>
    <col min="2052" max="2052" width="14" style="365" customWidth="1"/>
    <col min="2053" max="2053" width="0" style="365" hidden="1" customWidth="1"/>
    <col min="2054" max="2054" width="20.85546875" style="365" customWidth="1"/>
    <col min="2055" max="2055" width="0" style="365" hidden="1" customWidth="1"/>
    <col min="2056" max="2056" width="13.28515625" style="365" customWidth="1"/>
    <col min="2057" max="2057" width="0" style="365" hidden="1" customWidth="1"/>
    <col min="2058" max="2058" width="15" style="365" customWidth="1"/>
    <col min="2059" max="2059" width="0" style="365" hidden="1" customWidth="1"/>
    <col min="2060" max="2060" width="13.28515625" style="365" customWidth="1"/>
    <col min="2061" max="2061" width="0" style="365" hidden="1" customWidth="1"/>
    <col min="2062" max="2062" width="20.140625" style="365" customWidth="1"/>
    <col min="2063" max="2063" width="14.42578125" style="365" bestFit="1" customWidth="1"/>
    <col min="2064" max="2064" width="14" style="365" bestFit="1" customWidth="1"/>
    <col min="2065" max="2065" width="12.28515625" style="365" bestFit="1" customWidth="1"/>
    <col min="2066" max="2090" width="9.140625" style="365" customWidth="1"/>
    <col min="2091" max="2285" width="8.85546875" style="365"/>
    <col min="2286" max="2286" width="44.5703125" style="365" customWidth="1"/>
    <col min="2287" max="2287" width="14.28515625" style="365" bestFit="1" customWidth="1"/>
    <col min="2288" max="2288" width="1.7109375" style="365" customWidth="1"/>
    <col min="2289" max="2289" width="14.85546875" style="365" customWidth="1"/>
    <col min="2290" max="2290" width="0" style="365" hidden="1" customWidth="1"/>
    <col min="2291" max="2291" width="17.42578125" style="365" customWidth="1"/>
    <col min="2292" max="2292" width="0" style="365" hidden="1" customWidth="1"/>
    <col min="2293" max="2293" width="12.85546875" style="365" customWidth="1"/>
    <col min="2294" max="2294" width="0" style="365" hidden="1" customWidth="1"/>
    <col min="2295" max="2295" width="14.42578125" style="365" customWidth="1"/>
    <col min="2296" max="2296" width="0" style="365" hidden="1" customWidth="1"/>
    <col min="2297" max="2297" width="17.42578125" style="365" customWidth="1"/>
    <col min="2298" max="2298" width="0" style="365" hidden="1" customWidth="1"/>
    <col min="2299" max="2299" width="14" style="365" customWidth="1"/>
    <col min="2300" max="2300" width="14.28515625" style="365" bestFit="1" customWidth="1"/>
    <col min="2301" max="2301" width="0" style="365" hidden="1" customWidth="1"/>
    <col min="2302" max="2302" width="15.5703125" style="365" customWidth="1"/>
    <col min="2303" max="2303" width="44.5703125" style="365" customWidth="1"/>
    <col min="2304" max="2304" width="14.28515625" style="365" bestFit="1" customWidth="1"/>
    <col min="2305" max="2305" width="0" style="365" hidden="1" customWidth="1"/>
    <col min="2306" max="2306" width="18.140625" style="365" customWidth="1"/>
    <col min="2307" max="2307" width="0" style="365" hidden="1" customWidth="1"/>
    <col min="2308" max="2308" width="14" style="365" customWidth="1"/>
    <col min="2309" max="2309" width="0" style="365" hidden="1" customWidth="1"/>
    <col min="2310" max="2310" width="20.85546875" style="365" customWidth="1"/>
    <col min="2311" max="2311" width="0" style="365" hidden="1" customWidth="1"/>
    <col min="2312" max="2312" width="13.28515625" style="365" customWidth="1"/>
    <col min="2313" max="2313" width="0" style="365" hidden="1" customWidth="1"/>
    <col min="2314" max="2314" width="15" style="365" customWidth="1"/>
    <col min="2315" max="2315" width="0" style="365" hidden="1" customWidth="1"/>
    <col min="2316" max="2316" width="13.28515625" style="365" customWidth="1"/>
    <col min="2317" max="2317" width="0" style="365" hidden="1" customWidth="1"/>
    <col min="2318" max="2318" width="20.140625" style="365" customWidth="1"/>
    <col min="2319" max="2319" width="14.42578125" style="365" bestFit="1" customWidth="1"/>
    <col min="2320" max="2320" width="14" style="365" bestFit="1" customWidth="1"/>
    <col min="2321" max="2321" width="12.28515625" style="365" bestFit="1" customWidth="1"/>
    <col min="2322" max="2346" width="9.140625" style="365" customWidth="1"/>
    <col min="2347" max="2541" width="8.85546875" style="365"/>
    <col min="2542" max="2542" width="44.5703125" style="365" customWidth="1"/>
    <col min="2543" max="2543" width="14.28515625" style="365" bestFit="1" customWidth="1"/>
    <col min="2544" max="2544" width="1.7109375" style="365" customWidth="1"/>
    <col min="2545" max="2545" width="14.85546875" style="365" customWidth="1"/>
    <col min="2546" max="2546" width="0" style="365" hidden="1" customWidth="1"/>
    <col min="2547" max="2547" width="17.42578125" style="365" customWidth="1"/>
    <col min="2548" max="2548" width="0" style="365" hidden="1" customWidth="1"/>
    <col min="2549" max="2549" width="12.85546875" style="365" customWidth="1"/>
    <col min="2550" max="2550" width="0" style="365" hidden="1" customWidth="1"/>
    <col min="2551" max="2551" width="14.42578125" style="365" customWidth="1"/>
    <col min="2552" max="2552" width="0" style="365" hidden="1" customWidth="1"/>
    <col min="2553" max="2553" width="17.42578125" style="365" customWidth="1"/>
    <col min="2554" max="2554" width="0" style="365" hidden="1" customWidth="1"/>
    <col min="2555" max="2555" width="14" style="365" customWidth="1"/>
    <col min="2556" max="2556" width="14.28515625" style="365" bestFit="1" customWidth="1"/>
    <col min="2557" max="2557" width="0" style="365" hidden="1" customWidth="1"/>
    <col min="2558" max="2558" width="15.5703125" style="365" customWidth="1"/>
    <col min="2559" max="2559" width="44.5703125" style="365" customWidth="1"/>
    <col min="2560" max="2560" width="14.28515625" style="365" bestFit="1" customWidth="1"/>
    <col min="2561" max="2561" width="0" style="365" hidden="1" customWidth="1"/>
    <col min="2562" max="2562" width="18.140625" style="365" customWidth="1"/>
    <col min="2563" max="2563" width="0" style="365" hidden="1" customWidth="1"/>
    <col min="2564" max="2564" width="14" style="365" customWidth="1"/>
    <col min="2565" max="2565" width="0" style="365" hidden="1" customWidth="1"/>
    <col min="2566" max="2566" width="20.85546875" style="365" customWidth="1"/>
    <col min="2567" max="2567" width="0" style="365" hidden="1" customWidth="1"/>
    <col min="2568" max="2568" width="13.28515625" style="365" customWidth="1"/>
    <col min="2569" max="2569" width="0" style="365" hidden="1" customWidth="1"/>
    <col min="2570" max="2570" width="15" style="365" customWidth="1"/>
    <col min="2571" max="2571" width="0" style="365" hidden="1" customWidth="1"/>
    <col min="2572" max="2572" width="13.28515625" style="365" customWidth="1"/>
    <col min="2573" max="2573" width="0" style="365" hidden="1" customWidth="1"/>
    <col min="2574" max="2574" width="20.140625" style="365" customWidth="1"/>
    <col min="2575" max="2575" width="14.42578125" style="365" bestFit="1" customWidth="1"/>
    <col min="2576" max="2576" width="14" style="365" bestFit="1" customWidth="1"/>
    <col min="2577" max="2577" width="12.28515625" style="365" bestFit="1" customWidth="1"/>
    <col min="2578" max="2602" width="9.140625" style="365" customWidth="1"/>
    <col min="2603" max="2797" width="8.85546875" style="365"/>
    <col min="2798" max="2798" width="44.5703125" style="365" customWidth="1"/>
    <col min="2799" max="2799" width="14.28515625" style="365" bestFit="1" customWidth="1"/>
    <col min="2800" max="2800" width="1.7109375" style="365" customWidth="1"/>
    <col min="2801" max="2801" width="14.85546875" style="365" customWidth="1"/>
    <col min="2802" max="2802" width="0" style="365" hidden="1" customWidth="1"/>
    <col min="2803" max="2803" width="17.42578125" style="365" customWidth="1"/>
    <col min="2804" max="2804" width="0" style="365" hidden="1" customWidth="1"/>
    <col min="2805" max="2805" width="12.85546875" style="365" customWidth="1"/>
    <col min="2806" max="2806" width="0" style="365" hidden="1" customWidth="1"/>
    <col min="2807" max="2807" width="14.42578125" style="365" customWidth="1"/>
    <col min="2808" max="2808" width="0" style="365" hidden="1" customWidth="1"/>
    <col min="2809" max="2809" width="17.42578125" style="365" customWidth="1"/>
    <col min="2810" max="2810" width="0" style="365" hidden="1" customWidth="1"/>
    <col min="2811" max="2811" width="14" style="365" customWidth="1"/>
    <col min="2812" max="2812" width="14.28515625" style="365" bestFit="1" customWidth="1"/>
    <col min="2813" max="2813" width="0" style="365" hidden="1" customWidth="1"/>
    <col min="2814" max="2814" width="15.5703125" style="365" customWidth="1"/>
    <col min="2815" max="2815" width="44.5703125" style="365" customWidth="1"/>
    <col min="2816" max="2816" width="14.28515625" style="365" bestFit="1" customWidth="1"/>
    <col min="2817" max="2817" width="0" style="365" hidden="1" customWidth="1"/>
    <col min="2818" max="2818" width="18.140625" style="365" customWidth="1"/>
    <col min="2819" max="2819" width="0" style="365" hidden="1" customWidth="1"/>
    <col min="2820" max="2820" width="14" style="365" customWidth="1"/>
    <col min="2821" max="2821" width="0" style="365" hidden="1" customWidth="1"/>
    <col min="2822" max="2822" width="20.85546875" style="365" customWidth="1"/>
    <col min="2823" max="2823" width="0" style="365" hidden="1" customWidth="1"/>
    <col min="2824" max="2824" width="13.28515625" style="365" customWidth="1"/>
    <col min="2825" max="2825" width="0" style="365" hidden="1" customWidth="1"/>
    <col min="2826" max="2826" width="15" style="365" customWidth="1"/>
    <col min="2827" max="2827" width="0" style="365" hidden="1" customWidth="1"/>
    <col min="2828" max="2828" width="13.28515625" style="365" customWidth="1"/>
    <col min="2829" max="2829" width="0" style="365" hidden="1" customWidth="1"/>
    <col min="2830" max="2830" width="20.140625" style="365" customWidth="1"/>
    <col min="2831" max="2831" width="14.42578125" style="365" bestFit="1" customWidth="1"/>
    <col min="2832" max="2832" width="14" style="365" bestFit="1" customWidth="1"/>
    <col min="2833" max="2833" width="12.28515625" style="365" bestFit="1" customWidth="1"/>
    <col min="2834" max="2858" width="9.140625" style="365" customWidth="1"/>
    <col min="2859" max="3053" width="8.85546875" style="365"/>
    <col min="3054" max="3054" width="44.5703125" style="365" customWidth="1"/>
    <col min="3055" max="3055" width="14.28515625" style="365" bestFit="1" customWidth="1"/>
    <col min="3056" max="3056" width="1.7109375" style="365" customWidth="1"/>
    <col min="3057" max="3057" width="14.85546875" style="365" customWidth="1"/>
    <col min="3058" max="3058" width="0" style="365" hidden="1" customWidth="1"/>
    <col min="3059" max="3059" width="17.42578125" style="365" customWidth="1"/>
    <col min="3060" max="3060" width="0" style="365" hidden="1" customWidth="1"/>
    <col min="3061" max="3061" width="12.85546875" style="365" customWidth="1"/>
    <col min="3062" max="3062" width="0" style="365" hidden="1" customWidth="1"/>
    <col min="3063" max="3063" width="14.42578125" style="365" customWidth="1"/>
    <col min="3064" max="3064" width="0" style="365" hidden="1" customWidth="1"/>
    <col min="3065" max="3065" width="17.42578125" style="365" customWidth="1"/>
    <col min="3066" max="3066" width="0" style="365" hidden="1" customWidth="1"/>
    <col min="3067" max="3067" width="14" style="365" customWidth="1"/>
    <col min="3068" max="3068" width="14.28515625" style="365" bestFit="1" customWidth="1"/>
    <col min="3069" max="3069" width="0" style="365" hidden="1" customWidth="1"/>
    <col min="3070" max="3070" width="15.5703125" style="365" customWidth="1"/>
    <col min="3071" max="3071" width="44.5703125" style="365" customWidth="1"/>
    <col min="3072" max="3072" width="14.28515625" style="365" bestFit="1" customWidth="1"/>
    <col min="3073" max="3073" width="0" style="365" hidden="1" customWidth="1"/>
    <col min="3074" max="3074" width="18.140625" style="365" customWidth="1"/>
    <col min="3075" max="3075" width="0" style="365" hidden="1" customWidth="1"/>
    <col min="3076" max="3076" width="14" style="365" customWidth="1"/>
    <col min="3077" max="3077" width="0" style="365" hidden="1" customWidth="1"/>
    <col min="3078" max="3078" width="20.85546875" style="365" customWidth="1"/>
    <col min="3079" max="3079" width="0" style="365" hidden="1" customWidth="1"/>
    <col min="3080" max="3080" width="13.28515625" style="365" customWidth="1"/>
    <col min="3081" max="3081" width="0" style="365" hidden="1" customWidth="1"/>
    <col min="3082" max="3082" width="15" style="365" customWidth="1"/>
    <col min="3083" max="3083" width="0" style="365" hidden="1" customWidth="1"/>
    <col min="3084" max="3084" width="13.28515625" style="365" customWidth="1"/>
    <col min="3085" max="3085" width="0" style="365" hidden="1" customWidth="1"/>
    <col min="3086" max="3086" width="20.140625" style="365" customWidth="1"/>
    <col min="3087" max="3087" width="14.42578125" style="365" bestFit="1" customWidth="1"/>
    <col min="3088" max="3088" width="14" style="365" bestFit="1" customWidth="1"/>
    <col min="3089" max="3089" width="12.28515625" style="365" bestFit="1" customWidth="1"/>
    <col min="3090" max="3114" width="9.140625" style="365" customWidth="1"/>
    <col min="3115" max="3309" width="8.85546875" style="365"/>
    <col min="3310" max="3310" width="44.5703125" style="365" customWidth="1"/>
    <col min="3311" max="3311" width="14.28515625" style="365" bestFit="1" customWidth="1"/>
    <col min="3312" max="3312" width="1.7109375" style="365" customWidth="1"/>
    <col min="3313" max="3313" width="14.85546875" style="365" customWidth="1"/>
    <col min="3314" max="3314" width="0" style="365" hidden="1" customWidth="1"/>
    <col min="3315" max="3315" width="17.42578125" style="365" customWidth="1"/>
    <col min="3316" max="3316" width="0" style="365" hidden="1" customWidth="1"/>
    <col min="3317" max="3317" width="12.85546875" style="365" customWidth="1"/>
    <col min="3318" max="3318" width="0" style="365" hidden="1" customWidth="1"/>
    <col min="3319" max="3319" width="14.42578125" style="365" customWidth="1"/>
    <col min="3320" max="3320" width="0" style="365" hidden="1" customWidth="1"/>
    <col min="3321" max="3321" width="17.42578125" style="365" customWidth="1"/>
    <col min="3322" max="3322" width="0" style="365" hidden="1" customWidth="1"/>
    <col min="3323" max="3323" width="14" style="365" customWidth="1"/>
    <col min="3324" max="3324" width="14.28515625" style="365" bestFit="1" customWidth="1"/>
    <col min="3325" max="3325" width="0" style="365" hidden="1" customWidth="1"/>
    <col min="3326" max="3326" width="15.5703125" style="365" customWidth="1"/>
    <col min="3327" max="3327" width="44.5703125" style="365" customWidth="1"/>
    <col min="3328" max="3328" width="14.28515625" style="365" bestFit="1" customWidth="1"/>
    <col min="3329" max="3329" width="0" style="365" hidden="1" customWidth="1"/>
    <col min="3330" max="3330" width="18.140625" style="365" customWidth="1"/>
    <col min="3331" max="3331" width="0" style="365" hidden="1" customWidth="1"/>
    <col min="3332" max="3332" width="14" style="365" customWidth="1"/>
    <col min="3333" max="3333" width="0" style="365" hidden="1" customWidth="1"/>
    <col min="3334" max="3334" width="20.85546875" style="365" customWidth="1"/>
    <col min="3335" max="3335" width="0" style="365" hidden="1" customWidth="1"/>
    <col min="3336" max="3336" width="13.28515625" style="365" customWidth="1"/>
    <col min="3337" max="3337" width="0" style="365" hidden="1" customWidth="1"/>
    <col min="3338" max="3338" width="15" style="365" customWidth="1"/>
    <col min="3339" max="3339" width="0" style="365" hidden="1" customWidth="1"/>
    <col min="3340" max="3340" width="13.28515625" style="365" customWidth="1"/>
    <col min="3341" max="3341" width="0" style="365" hidden="1" customWidth="1"/>
    <col min="3342" max="3342" width="20.140625" style="365" customWidth="1"/>
    <col min="3343" max="3343" width="14.42578125" style="365" bestFit="1" customWidth="1"/>
    <col min="3344" max="3344" width="14" style="365" bestFit="1" customWidth="1"/>
    <col min="3345" max="3345" width="12.28515625" style="365" bestFit="1" customWidth="1"/>
    <col min="3346" max="3370" width="9.140625" style="365" customWidth="1"/>
    <col min="3371" max="3565" width="8.85546875" style="365"/>
    <col min="3566" max="3566" width="44.5703125" style="365" customWidth="1"/>
    <col min="3567" max="3567" width="14.28515625" style="365" bestFit="1" customWidth="1"/>
    <col min="3568" max="3568" width="1.7109375" style="365" customWidth="1"/>
    <col min="3569" max="3569" width="14.85546875" style="365" customWidth="1"/>
    <col min="3570" max="3570" width="0" style="365" hidden="1" customWidth="1"/>
    <col min="3571" max="3571" width="17.42578125" style="365" customWidth="1"/>
    <col min="3572" max="3572" width="0" style="365" hidden="1" customWidth="1"/>
    <col min="3573" max="3573" width="12.85546875" style="365" customWidth="1"/>
    <col min="3574" max="3574" width="0" style="365" hidden="1" customWidth="1"/>
    <col min="3575" max="3575" width="14.42578125" style="365" customWidth="1"/>
    <col min="3576" max="3576" width="0" style="365" hidden="1" customWidth="1"/>
    <col min="3577" max="3577" width="17.42578125" style="365" customWidth="1"/>
    <col min="3578" max="3578" width="0" style="365" hidden="1" customWidth="1"/>
    <col min="3579" max="3579" width="14" style="365" customWidth="1"/>
    <col min="3580" max="3580" width="14.28515625" style="365" bestFit="1" customWidth="1"/>
    <col min="3581" max="3581" width="0" style="365" hidden="1" customWidth="1"/>
    <col min="3582" max="3582" width="15.5703125" style="365" customWidth="1"/>
    <col min="3583" max="3583" width="44.5703125" style="365" customWidth="1"/>
    <col min="3584" max="3584" width="14.28515625" style="365" bestFit="1" customWidth="1"/>
    <col min="3585" max="3585" width="0" style="365" hidden="1" customWidth="1"/>
    <col min="3586" max="3586" width="18.140625" style="365" customWidth="1"/>
    <col min="3587" max="3587" width="0" style="365" hidden="1" customWidth="1"/>
    <col min="3588" max="3588" width="14" style="365" customWidth="1"/>
    <col min="3589" max="3589" width="0" style="365" hidden="1" customWidth="1"/>
    <col min="3590" max="3590" width="20.85546875" style="365" customWidth="1"/>
    <col min="3591" max="3591" width="0" style="365" hidden="1" customWidth="1"/>
    <col min="3592" max="3592" width="13.28515625" style="365" customWidth="1"/>
    <col min="3593" max="3593" width="0" style="365" hidden="1" customWidth="1"/>
    <col min="3594" max="3594" width="15" style="365" customWidth="1"/>
    <col min="3595" max="3595" width="0" style="365" hidden="1" customWidth="1"/>
    <col min="3596" max="3596" width="13.28515625" style="365" customWidth="1"/>
    <col min="3597" max="3597" width="0" style="365" hidden="1" customWidth="1"/>
    <col min="3598" max="3598" width="20.140625" style="365" customWidth="1"/>
    <col min="3599" max="3599" width="14.42578125" style="365" bestFit="1" customWidth="1"/>
    <col min="3600" max="3600" width="14" style="365" bestFit="1" customWidth="1"/>
    <col min="3601" max="3601" width="12.28515625" style="365" bestFit="1" customWidth="1"/>
    <col min="3602" max="3626" width="9.140625" style="365" customWidth="1"/>
    <col min="3627" max="3821" width="8.85546875" style="365"/>
    <col min="3822" max="3822" width="44.5703125" style="365" customWidth="1"/>
    <col min="3823" max="3823" width="14.28515625" style="365" bestFit="1" customWidth="1"/>
    <col min="3824" max="3824" width="1.7109375" style="365" customWidth="1"/>
    <col min="3825" max="3825" width="14.85546875" style="365" customWidth="1"/>
    <col min="3826" max="3826" width="0" style="365" hidden="1" customWidth="1"/>
    <col min="3827" max="3827" width="17.42578125" style="365" customWidth="1"/>
    <col min="3828" max="3828" width="0" style="365" hidden="1" customWidth="1"/>
    <col min="3829" max="3829" width="12.85546875" style="365" customWidth="1"/>
    <col min="3830" max="3830" width="0" style="365" hidden="1" customWidth="1"/>
    <col min="3831" max="3831" width="14.42578125" style="365" customWidth="1"/>
    <col min="3832" max="3832" width="0" style="365" hidden="1" customWidth="1"/>
    <col min="3833" max="3833" width="17.42578125" style="365" customWidth="1"/>
    <col min="3834" max="3834" width="0" style="365" hidden="1" customWidth="1"/>
    <col min="3835" max="3835" width="14" style="365" customWidth="1"/>
    <col min="3836" max="3836" width="14.28515625" style="365" bestFit="1" customWidth="1"/>
    <col min="3837" max="3837" width="0" style="365" hidden="1" customWidth="1"/>
    <col min="3838" max="3838" width="15.5703125" style="365" customWidth="1"/>
    <col min="3839" max="3839" width="44.5703125" style="365" customWidth="1"/>
    <col min="3840" max="3840" width="14.28515625" style="365" bestFit="1" customWidth="1"/>
    <col min="3841" max="3841" width="0" style="365" hidden="1" customWidth="1"/>
    <col min="3842" max="3842" width="18.140625" style="365" customWidth="1"/>
    <col min="3843" max="3843" width="0" style="365" hidden="1" customWidth="1"/>
    <col min="3844" max="3844" width="14" style="365" customWidth="1"/>
    <col min="3845" max="3845" width="0" style="365" hidden="1" customWidth="1"/>
    <col min="3846" max="3846" width="20.85546875" style="365" customWidth="1"/>
    <col min="3847" max="3847" width="0" style="365" hidden="1" customWidth="1"/>
    <col min="3848" max="3848" width="13.28515625" style="365" customWidth="1"/>
    <col min="3849" max="3849" width="0" style="365" hidden="1" customWidth="1"/>
    <col min="3850" max="3850" width="15" style="365" customWidth="1"/>
    <col min="3851" max="3851" width="0" style="365" hidden="1" customWidth="1"/>
    <col min="3852" max="3852" width="13.28515625" style="365" customWidth="1"/>
    <col min="3853" max="3853" width="0" style="365" hidden="1" customWidth="1"/>
    <col min="3854" max="3854" width="20.140625" style="365" customWidth="1"/>
    <col min="3855" max="3855" width="14.42578125" style="365" bestFit="1" customWidth="1"/>
    <col min="3856" max="3856" width="14" style="365" bestFit="1" customWidth="1"/>
    <col min="3857" max="3857" width="12.28515625" style="365" bestFit="1" customWidth="1"/>
    <col min="3858" max="3882" width="9.140625" style="365" customWidth="1"/>
    <col min="3883" max="4077" width="8.85546875" style="365"/>
    <col min="4078" max="4078" width="44.5703125" style="365" customWidth="1"/>
    <col min="4079" max="4079" width="14.28515625" style="365" bestFit="1" customWidth="1"/>
    <col min="4080" max="4080" width="1.7109375" style="365" customWidth="1"/>
    <col min="4081" max="4081" width="14.85546875" style="365" customWidth="1"/>
    <col min="4082" max="4082" width="0" style="365" hidden="1" customWidth="1"/>
    <col min="4083" max="4083" width="17.42578125" style="365" customWidth="1"/>
    <col min="4084" max="4084" width="0" style="365" hidden="1" customWidth="1"/>
    <col min="4085" max="4085" width="12.85546875" style="365" customWidth="1"/>
    <col min="4086" max="4086" width="0" style="365" hidden="1" customWidth="1"/>
    <col min="4087" max="4087" width="14.42578125" style="365" customWidth="1"/>
    <col min="4088" max="4088" width="0" style="365" hidden="1" customWidth="1"/>
    <col min="4089" max="4089" width="17.42578125" style="365" customWidth="1"/>
    <col min="4090" max="4090" width="0" style="365" hidden="1" customWidth="1"/>
    <col min="4091" max="4091" width="14" style="365" customWidth="1"/>
    <col min="4092" max="4092" width="14.28515625" style="365" bestFit="1" customWidth="1"/>
    <col min="4093" max="4093" width="0" style="365" hidden="1" customWidth="1"/>
    <col min="4094" max="4094" width="15.5703125" style="365" customWidth="1"/>
    <col min="4095" max="4095" width="44.5703125" style="365" customWidth="1"/>
    <col min="4096" max="4096" width="14.28515625" style="365" bestFit="1" customWidth="1"/>
    <col min="4097" max="4097" width="0" style="365" hidden="1" customWidth="1"/>
    <col min="4098" max="4098" width="18.140625" style="365" customWidth="1"/>
    <col min="4099" max="4099" width="0" style="365" hidden="1" customWidth="1"/>
    <col min="4100" max="4100" width="14" style="365" customWidth="1"/>
    <col min="4101" max="4101" width="0" style="365" hidden="1" customWidth="1"/>
    <col min="4102" max="4102" width="20.85546875" style="365" customWidth="1"/>
    <col min="4103" max="4103" width="0" style="365" hidden="1" customWidth="1"/>
    <col min="4104" max="4104" width="13.28515625" style="365" customWidth="1"/>
    <col min="4105" max="4105" width="0" style="365" hidden="1" customWidth="1"/>
    <col min="4106" max="4106" width="15" style="365" customWidth="1"/>
    <col min="4107" max="4107" width="0" style="365" hidden="1" customWidth="1"/>
    <col min="4108" max="4108" width="13.28515625" style="365" customWidth="1"/>
    <col min="4109" max="4109" width="0" style="365" hidden="1" customWidth="1"/>
    <col min="4110" max="4110" width="20.140625" style="365" customWidth="1"/>
    <col min="4111" max="4111" width="14.42578125" style="365" bestFit="1" customWidth="1"/>
    <col min="4112" max="4112" width="14" style="365" bestFit="1" customWidth="1"/>
    <col min="4113" max="4113" width="12.28515625" style="365" bestFit="1" customWidth="1"/>
    <col min="4114" max="4138" width="9.140625" style="365" customWidth="1"/>
    <col min="4139" max="4333" width="8.85546875" style="365"/>
    <col min="4334" max="4334" width="44.5703125" style="365" customWidth="1"/>
    <col min="4335" max="4335" width="14.28515625" style="365" bestFit="1" customWidth="1"/>
    <col min="4336" max="4336" width="1.7109375" style="365" customWidth="1"/>
    <col min="4337" max="4337" width="14.85546875" style="365" customWidth="1"/>
    <col min="4338" max="4338" width="0" style="365" hidden="1" customWidth="1"/>
    <col min="4339" max="4339" width="17.42578125" style="365" customWidth="1"/>
    <col min="4340" max="4340" width="0" style="365" hidden="1" customWidth="1"/>
    <col min="4341" max="4341" width="12.85546875" style="365" customWidth="1"/>
    <col min="4342" max="4342" width="0" style="365" hidden="1" customWidth="1"/>
    <col min="4343" max="4343" width="14.42578125" style="365" customWidth="1"/>
    <col min="4344" max="4344" width="0" style="365" hidden="1" customWidth="1"/>
    <col min="4345" max="4345" width="17.42578125" style="365" customWidth="1"/>
    <col min="4346" max="4346" width="0" style="365" hidden="1" customWidth="1"/>
    <col min="4347" max="4347" width="14" style="365" customWidth="1"/>
    <col min="4348" max="4348" width="14.28515625" style="365" bestFit="1" customWidth="1"/>
    <col min="4349" max="4349" width="0" style="365" hidden="1" customWidth="1"/>
    <col min="4350" max="4350" width="15.5703125" style="365" customWidth="1"/>
    <col min="4351" max="4351" width="44.5703125" style="365" customWidth="1"/>
    <col min="4352" max="4352" width="14.28515625" style="365" bestFit="1" customWidth="1"/>
    <col min="4353" max="4353" width="0" style="365" hidden="1" customWidth="1"/>
    <col min="4354" max="4354" width="18.140625" style="365" customWidth="1"/>
    <col min="4355" max="4355" width="0" style="365" hidden="1" customWidth="1"/>
    <col min="4356" max="4356" width="14" style="365" customWidth="1"/>
    <col min="4357" max="4357" width="0" style="365" hidden="1" customWidth="1"/>
    <col min="4358" max="4358" width="20.85546875" style="365" customWidth="1"/>
    <col min="4359" max="4359" width="0" style="365" hidden="1" customWidth="1"/>
    <col min="4360" max="4360" width="13.28515625" style="365" customWidth="1"/>
    <col min="4361" max="4361" width="0" style="365" hidden="1" customWidth="1"/>
    <col min="4362" max="4362" width="15" style="365" customWidth="1"/>
    <col min="4363" max="4363" width="0" style="365" hidden="1" customWidth="1"/>
    <col min="4364" max="4364" width="13.28515625" style="365" customWidth="1"/>
    <col min="4365" max="4365" width="0" style="365" hidden="1" customWidth="1"/>
    <col min="4366" max="4366" width="20.140625" style="365" customWidth="1"/>
    <col min="4367" max="4367" width="14.42578125" style="365" bestFit="1" customWidth="1"/>
    <col min="4368" max="4368" width="14" style="365" bestFit="1" customWidth="1"/>
    <col min="4369" max="4369" width="12.28515625" style="365" bestFit="1" customWidth="1"/>
    <col min="4370" max="4394" width="9.140625" style="365" customWidth="1"/>
    <col min="4395" max="4589" width="8.85546875" style="365"/>
    <col min="4590" max="4590" width="44.5703125" style="365" customWidth="1"/>
    <col min="4591" max="4591" width="14.28515625" style="365" bestFit="1" customWidth="1"/>
    <col min="4592" max="4592" width="1.7109375" style="365" customWidth="1"/>
    <col min="4593" max="4593" width="14.85546875" style="365" customWidth="1"/>
    <col min="4594" max="4594" width="0" style="365" hidden="1" customWidth="1"/>
    <col min="4595" max="4595" width="17.42578125" style="365" customWidth="1"/>
    <col min="4596" max="4596" width="0" style="365" hidden="1" customWidth="1"/>
    <col min="4597" max="4597" width="12.85546875" style="365" customWidth="1"/>
    <col min="4598" max="4598" width="0" style="365" hidden="1" customWidth="1"/>
    <col min="4599" max="4599" width="14.42578125" style="365" customWidth="1"/>
    <col min="4600" max="4600" width="0" style="365" hidden="1" customWidth="1"/>
    <col min="4601" max="4601" width="17.42578125" style="365" customWidth="1"/>
    <col min="4602" max="4602" width="0" style="365" hidden="1" customWidth="1"/>
    <col min="4603" max="4603" width="14" style="365" customWidth="1"/>
    <col min="4604" max="4604" width="14.28515625" style="365" bestFit="1" customWidth="1"/>
    <col min="4605" max="4605" width="0" style="365" hidden="1" customWidth="1"/>
    <col min="4606" max="4606" width="15.5703125" style="365" customWidth="1"/>
    <col min="4607" max="4607" width="44.5703125" style="365" customWidth="1"/>
    <col min="4608" max="4608" width="14.28515625" style="365" bestFit="1" customWidth="1"/>
    <col min="4609" max="4609" width="0" style="365" hidden="1" customWidth="1"/>
    <col min="4610" max="4610" width="18.140625" style="365" customWidth="1"/>
    <col min="4611" max="4611" width="0" style="365" hidden="1" customWidth="1"/>
    <col min="4612" max="4612" width="14" style="365" customWidth="1"/>
    <col min="4613" max="4613" width="0" style="365" hidden="1" customWidth="1"/>
    <col min="4614" max="4614" width="20.85546875" style="365" customWidth="1"/>
    <col min="4615" max="4615" width="0" style="365" hidden="1" customWidth="1"/>
    <col min="4616" max="4616" width="13.28515625" style="365" customWidth="1"/>
    <col min="4617" max="4617" width="0" style="365" hidden="1" customWidth="1"/>
    <col min="4618" max="4618" width="15" style="365" customWidth="1"/>
    <col min="4619" max="4619" width="0" style="365" hidden="1" customWidth="1"/>
    <col min="4620" max="4620" width="13.28515625" style="365" customWidth="1"/>
    <col min="4621" max="4621" width="0" style="365" hidden="1" customWidth="1"/>
    <col min="4622" max="4622" width="20.140625" style="365" customWidth="1"/>
    <col min="4623" max="4623" width="14.42578125" style="365" bestFit="1" customWidth="1"/>
    <col min="4624" max="4624" width="14" style="365" bestFit="1" customWidth="1"/>
    <col min="4625" max="4625" width="12.28515625" style="365" bestFit="1" customWidth="1"/>
    <col min="4626" max="4650" width="9.140625" style="365" customWidth="1"/>
    <col min="4651" max="4845" width="8.85546875" style="365"/>
    <col min="4846" max="4846" width="44.5703125" style="365" customWidth="1"/>
    <col min="4847" max="4847" width="14.28515625" style="365" bestFit="1" customWidth="1"/>
    <col min="4848" max="4848" width="1.7109375" style="365" customWidth="1"/>
    <col min="4849" max="4849" width="14.85546875" style="365" customWidth="1"/>
    <col min="4850" max="4850" width="0" style="365" hidden="1" customWidth="1"/>
    <col min="4851" max="4851" width="17.42578125" style="365" customWidth="1"/>
    <col min="4852" max="4852" width="0" style="365" hidden="1" customWidth="1"/>
    <col min="4853" max="4853" width="12.85546875" style="365" customWidth="1"/>
    <col min="4854" max="4854" width="0" style="365" hidden="1" customWidth="1"/>
    <col min="4855" max="4855" width="14.42578125" style="365" customWidth="1"/>
    <col min="4856" max="4856" width="0" style="365" hidden="1" customWidth="1"/>
    <col min="4857" max="4857" width="17.42578125" style="365" customWidth="1"/>
    <col min="4858" max="4858" width="0" style="365" hidden="1" customWidth="1"/>
    <col min="4859" max="4859" width="14" style="365" customWidth="1"/>
    <col min="4860" max="4860" width="14.28515625" style="365" bestFit="1" customWidth="1"/>
    <col min="4861" max="4861" width="0" style="365" hidden="1" customWidth="1"/>
    <col min="4862" max="4862" width="15.5703125" style="365" customWidth="1"/>
    <col min="4863" max="4863" width="44.5703125" style="365" customWidth="1"/>
    <col min="4864" max="4864" width="14.28515625" style="365" bestFit="1" customWidth="1"/>
    <col min="4865" max="4865" width="0" style="365" hidden="1" customWidth="1"/>
    <col min="4866" max="4866" width="18.140625" style="365" customWidth="1"/>
    <col min="4867" max="4867" width="0" style="365" hidden="1" customWidth="1"/>
    <col min="4868" max="4868" width="14" style="365" customWidth="1"/>
    <col min="4869" max="4869" width="0" style="365" hidden="1" customWidth="1"/>
    <col min="4870" max="4870" width="20.85546875" style="365" customWidth="1"/>
    <col min="4871" max="4871" width="0" style="365" hidden="1" customWidth="1"/>
    <col min="4872" max="4872" width="13.28515625" style="365" customWidth="1"/>
    <col min="4873" max="4873" width="0" style="365" hidden="1" customWidth="1"/>
    <col min="4874" max="4874" width="15" style="365" customWidth="1"/>
    <col min="4875" max="4875" width="0" style="365" hidden="1" customWidth="1"/>
    <col min="4876" max="4876" width="13.28515625" style="365" customWidth="1"/>
    <col min="4877" max="4877" width="0" style="365" hidden="1" customWidth="1"/>
    <col min="4878" max="4878" width="20.140625" style="365" customWidth="1"/>
    <col min="4879" max="4879" width="14.42578125" style="365" bestFit="1" customWidth="1"/>
    <col min="4880" max="4880" width="14" style="365" bestFit="1" customWidth="1"/>
    <col min="4881" max="4881" width="12.28515625" style="365" bestFit="1" customWidth="1"/>
    <col min="4882" max="4906" width="9.140625" style="365" customWidth="1"/>
    <col min="4907" max="5101" width="8.85546875" style="365"/>
    <col min="5102" max="5102" width="44.5703125" style="365" customWidth="1"/>
    <col min="5103" max="5103" width="14.28515625" style="365" bestFit="1" customWidth="1"/>
    <col min="5104" max="5104" width="1.7109375" style="365" customWidth="1"/>
    <col min="5105" max="5105" width="14.85546875" style="365" customWidth="1"/>
    <col min="5106" max="5106" width="0" style="365" hidden="1" customWidth="1"/>
    <col min="5107" max="5107" width="17.42578125" style="365" customWidth="1"/>
    <col min="5108" max="5108" width="0" style="365" hidden="1" customWidth="1"/>
    <col min="5109" max="5109" width="12.85546875" style="365" customWidth="1"/>
    <col min="5110" max="5110" width="0" style="365" hidden="1" customWidth="1"/>
    <col min="5111" max="5111" width="14.42578125" style="365" customWidth="1"/>
    <col min="5112" max="5112" width="0" style="365" hidden="1" customWidth="1"/>
    <col min="5113" max="5113" width="17.42578125" style="365" customWidth="1"/>
    <col min="5114" max="5114" width="0" style="365" hidden="1" customWidth="1"/>
    <col min="5115" max="5115" width="14" style="365" customWidth="1"/>
    <col min="5116" max="5116" width="14.28515625" style="365" bestFit="1" customWidth="1"/>
    <col min="5117" max="5117" width="0" style="365" hidden="1" customWidth="1"/>
    <col min="5118" max="5118" width="15.5703125" style="365" customWidth="1"/>
    <col min="5119" max="5119" width="44.5703125" style="365" customWidth="1"/>
    <col min="5120" max="5120" width="14.28515625" style="365" bestFit="1" customWidth="1"/>
    <col min="5121" max="5121" width="0" style="365" hidden="1" customWidth="1"/>
    <col min="5122" max="5122" width="18.140625" style="365" customWidth="1"/>
    <col min="5123" max="5123" width="0" style="365" hidden="1" customWidth="1"/>
    <col min="5124" max="5124" width="14" style="365" customWidth="1"/>
    <col min="5125" max="5125" width="0" style="365" hidden="1" customWidth="1"/>
    <col min="5126" max="5126" width="20.85546875" style="365" customWidth="1"/>
    <col min="5127" max="5127" width="0" style="365" hidden="1" customWidth="1"/>
    <col min="5128" max="5128" width="13.28515625" style="365" customWidth="1"/>
    <col min="5129" max="5129" width="0" style="365" hidden="1" customWidth="1"/>
    <col min="5130" max="5130" width="15" style="365" customWidth="1"/>
    <col min="5131" max="5131" width="0" style="365" hidden="1" customWidth="1"/>
    <col min="5132" max="5132" width="13.28515625" style="365" customWidth="1"/>
    <col min="5133" max="5133" width="0" style="365" hidden="1" customWidth="1"/>
    <col min="5134" max="5134" width="20.140625" style="365" customWidth="1"/>
    <col min="5135" max="5135" width="14.42578125" style="365" bestFit="1" customWidth="1"/>
    <col min="5136" max="5136" width="14" style="365" bestFit="1" customWidth="1"/>
    <col min="5137" max="5137" width="12.28515625" style="365" bestFit="1" customWidth="1"/>
    <col min="5138" max="5162" width="9.140625" style="365" customWidth="1"/>
    <col min="5163" max="5357" width="8.85546875" style="365"/>
    <col min="5358" max="5358" width="44.5703125" style="365" customWidth="1"/>
    <col min="5359" max="5359" width="14.28515625" style="365" bestFit="1" customWidth="1"/>
    <col min="5360" max="5360" width="1.7109375" style="365" customWidth="1"/>
    <col min="5361" max="5361" width="14.85546875" style="365" customWidth="1"/>
    <col min="5362" max="5362" width="0" style="365" hidden="1" customWidth="1"/>
    <col min="5363" max="5363" width="17.42578125" style="365" customWidth="1"/>
    <col min="5364" max="5364" width="0" style="365" hidden="1" customWidth="1"/>
    <col min="5365" max="5365" width="12.85546875" style="365" customWidth="1"/>
    <col min="5366" max="5366" width="0" style="365" hidden="1" customWidth="1"/>
    <col min="5367" max="5367" width="14.42578125" style="365" customWidth="1"/>
    <col min="5368" max="5368" width="0" style="365" hidden="1" customWidth="1"/>
    <col min="5369" max="5369" width="17.42578125" style="365" customWidth="1"/>
    <col min="5370" max="5370" width="0" style="365" hidden="1" customWidth="1"/>
    <col min="5371" max="5371" width="14" style="365" customWidth="1"/>
    <col min="5372" max="5372" width="14.28515625" style="365" bestFit="1" customWidth="1"/>
    <col min="5373" max="5373" width="0" style="365" hidden="1" customWidth="1"/>
    <col min="5374" max="5374" width="15.5703125" style="365" customWidth="1"/>
    <col min="5375" max="5375" width="44.5703125" style="365" customWidth="1"/>
    <col min="5376" max="5376" width="14.28515625" style="365" bestFit="1" customWidth="1"/>
    <col min="5377" max="5377" width="0" style="365" hidden="1" customWidth="1"/>
    <col min="5378" max="5378" width="18.140625" style="365" customWidth="1"/>
    <col min="5379" max="5379" width="0" style="365" hidden="1" customWidth="1"/>
    <col min="5380" max="5380" width="14" style="365" customWidth="1"/>
    <col min="5381" max="5381" width="0" style="365" hidden="1" customWidth="1"/>
    <col min="5382" max="5382" width="20.85546875" style="365" customWidth="1"/>
    <col min="5383" max="5383" width="0" style="365" hidden="1" customWidth="1"/>
    <col min="5384" max="5384" width="13.28515625" style="365" customWidth="1"/>
    <col min="5385" max="5385" width="0" style="365" hidden="1" customWidth="1"/>
    <col min="5386" max="5386" width="15" style="365" customWidth="1"/>
    <col min="5387" max="5387" width="0" style="365" hidden="1" customWidth="1"/>
    <col min="5388" max="5388" width="13.28515625" style="365" customWidth="1"/>
    <col min="5389" max="5389" width="0" style="365" hidden="1" customWidth="1"/>
    <col min="5390" max="5390" width="20.140625" style="365" customWidth="1"/>
    <col min="5391" max="5391" width="14.42578125" style="365" bestFit="1" customWidth="1"/>
    <col min="5392" max="5392" width="14" style="365" bestFit="1" customWidth="1"/>
    <col min="5393" max="5393" width="12.28515625" style="365" bestFit="1" customWidth="1"/>
    <col min="5394" max="5418" width="9.140625" style="365" customWidth="1"/>
    <col min="5419" max="5613" width="8.85546875" style="365"/>
    <col min="5614" max="5614" width="44.5703125" style="365" customWidth="1"/>
    <col min="5615" max="5615" width="14.28515625" style="365" bestFit="1" customWidth="1"/>
    <col min="5616" max="5616" width="1.7109375" style="365" customWidth="1"/>
    <col min="5617" max="5617" width="14.85546875" style="365" customWidth="1"/>
    <col min="5618" max="5618" width="0" style="365" hidden="1" customWidth="1"/>
    <col min="5619" max="5619" width="17.42578125" style="365" customWidth="1"/>
    <col min="5620" max="5620" width="0" style="365" hidden="1" customWidth="1"/>
    <col min="5621" max="5621" width="12.85546875" style="365" customWidth="1"/>
    <col min="5622" max="5622" width="0" style="365" hidden="1" customWidth="1"/>
    <col min="5623" max="5623" width="14.42578125" style="365" customWidth="1"/>
    <col min="5624" max="5624" width="0" style="365" hidden="1" customWidth="1"/>
    <col min="5625" max="5625" width="17.42578125" style="365" customWidth="1"/>
    <col min="5626" max="5626" width="0" style="365" hidden="1" customWidth="1"/>
    <col min="5627" max="5627" width="14" style="365" customWidth="1"/>
    <col min="5628" max="5628" width="14.28515625" style="365" bestFit="1" customWidth="1"/>
    <col min="5629" max="5629" width="0" style="365" hidden="1" customWidth="1"/>
    <col min="5630" max="5630" width="15.5703125" style="365" customWidth="1"/>
    <col min="5631" max="5631" width="44.5703125" style="365" customWidth="1"/>
    <col min="5632" max="5632" width="14.28515625" style="365" bestFit="1" customWidth="1"/>
    <col min="5633" max="5633" width="0" style="365" hidden="1" customWidth="1"/>
    <col min="5634" max="5634" width="18.140625" style="365" customWidth="1"/>
    <col min="5635" max="5635" width="0" style="365" hidden="1" customWidth="1"/>
    <col min="5636" max="5636" width="14" style="365" customWidth="1"/>
    <col min="5637" max="5637" width="0" style="365" hidden="1" customWidth="1"/>
    <col min="5638" max="5638" width="20.85546875" style="365" customWidth="1"/>
    <col min="5639" max="5639" width="0" style="365" hidden="1" customWidth="1"/>
    <col min="5640" max="5640" width="13.28515625" style="365" customWidth="1"/>
    <col min="5641" max="5641" width="0" style="365" hidden="1" customWidth="1"/>
    <col min="5642" max="5642" width="15" style="365" customWidth="1"/>
    <col min="5643" max="5643" width="0" style="365" hidden="1" customWidth="1"/>
    <col min="5644" max="5644" width="13.28515625" style="365" customWidth="1"/>
    <col min="5645" max="5645" width="0" style="365" hidden="1" customWidth="1"/>
    <col min="5646" max="5646" width="20.140625" style="365" customWidth="1"/>
    <col min="5647" max="5647" width="14.42578125" style="365" bestFit="1" customWidth="1"/>
    <col min="5648" max="5648" width="14" style="365" bestFit="1" customWidth="1"/>
    <col min="5649" max="5649" width="12.28515625" style="365" bestFit="1" customWidth="1"/>
    <col min="5650" max="5674" width="9.140625" style="365" customWidth="1"/>
    <col min="5675" max="5869" width="8.85546875" style="365"/>
    <col min="5870" max="5870" width="44.5703125" style="365" customWidth="1"/>
    <col min="5871" max="5871" width="14.28515625" style="365" bestFit="1" customWidth="1"/>
    <col min="5872" max="5872" width="1.7109375" style="365" customWidth="1"/>
    <col min="5873" max="5873" width="14.85546875" style="365" customWidth="1"/>
    <col min="5874" max="5874" width="0" style="365" hidden="1" customWidth="1"/>
    <col min="5875" max="5875" width="17.42578125" style="365" customWidth="1"/>
    <col min="5876" max="5876" width="0" style="365" hidden="1" customWidth="1"/>
    <col min="5877" max="5877" width="12.85546875" style="365" customWidth="1"/>
    <col min="5878" max="5878" width="0" style="365" hidden="1" customWidth="1"/>
    <col min="5879" max="5879" width="14.42578125" style="365" customWidth="1"/>
    <col min="5880" max="5880" width="0" style="365" hidden="1" customWidth="1"/>
    <col min="5881" max="5881" width="17.42578125" style="365" customWidth="1"/>
    <col min="5882" max="5882" width="0" style="365" hidden="1" customWidth="1"/>
    <col min="5883" max="5883" width="14" style="365" customWidth="1"/>
    <col min="5884" max="5884" width="14.28515625" style="365" bestFit="1" customWidth="1"/>
    <col min="5885" max="5885" width="0" style="365" hidden="1" customWidth="1"/>
    <col min="5886" max="5886" width="15.5703125" style="365" customWidth="1"/>
    <col min="5887" max="5887" width="44.5703125" style="365" customWidth="1"/>
    <col min="5888" max="5888" width="14.28515625" style="365" bestFit="1" customWidth="1"/>
    <col min="5889" max="5889" width="0" style="365" hidden="1" customWidth="1"/>
    <col min="5890" max="5890" width="18.140625" style="365" customWidth="1"/>
    <col min="5891" max="5891" width="0" style="365" hidden="1" customWidth="1"/>
    <col min="5892" max="5892" width="14" style="365" customWidth="1"/>
    <col min="5893" max="5893" width="0" style="365" hidden="1" customWidth="1"/>
    <col min="5894" max="5894" width="20.85546875" style="365" customWidth="1"/>
    <col min="5895" max="5895" width="0" style="365" hidden="1" customWidth="1"/>
    <col min="5896" max="5896" width="13.28515625" style="365" customWidth="1"/>
    <col min="5897" max="5897" width="0" style="365" hidden="1" customWidth="1"/>
    <col min="5898" max="5898" width="15" style="365" customWidth="1"/>
    <col min="5899" max="5899" width="0" style="365" hidden="1" customWidth="1"/>
    <col min="5900" max="5900" width="13.28515625" style="365" customWidth="1"/>
    <col min="5901" max="5901" width="0" style="365" hidden="1" customWidth="1"/>
    <col min="5902" max="5902" width="20.140625" style="365" customWidth="1"/>
    <col min="5903" max="5903" width="14.42578125" style="365" bestFit="1" customWidth="1"/>
    <col min="5904" max="5904" width="14" style="365" bestFit="1" customWidth="1"/>
    <col min="5905" max="5905" width="12.28515625" style="365" bestFit="1" customWidth="1"/>
    <col min="5906" max="5930" width="9.140625" style="365" customWidth="1"/>
    <col min="5931" max="6125" width="8.85546875" style="365"/>
    <col min="6126" max="6126" width="44.5703125" style="365" customWidth="1"/>
    <col min="6127" max="6127" width="14.28515625" style="365" bestFit="1" customWidth="1"/>
    <col min="6128" max="6128" width="1.7109375" style="365" customWidth="1"/>
    <col min="6129" max="6129" width="14.85546875" style="365" customWidth="1"/>
    <col min="6130" max="6130" width="0" style="365" hidden="1" customWidth="1"/>
    <col min="6131" max="6131" width="17.42578125" style="365" customWidth="1"/>
    <col min="6132" max="6132" width="0" style="365" hidden="1" customWidth="1"/>
    <col min="6133" max="6133" width="12.85546875" style="365" customWidth="1"/>
    <col min="6134" max="6134" width="0" style="365" hidden="1" customWidth="1"/>
    <col min="6135" max="6135" width="14.42578125" style="365" customWidth="1"/>
    <col min="6136" max="6136" width="0" style="365" hidden="1" customWidth="1"/>
    <col min="6137" max="6137" width="17.42578125" style="365" customWidth="1"/>
    <col min="6138" max="6138" width="0" style="365" hidden="1" customWidth="1"/>
    <col min="6139" max="6139" width="14" style="365" customWidth="1"/>
    <col min="6140" max="6140" width="14.28515625" style="365" bestFit="1" customWidth="1"/>
    <col min="6141" max="6141" width="0" style="365" hidden="1" customWidth="1"/>
    <col min="6142" max="6142" width="15.5703125" style="365" customWidth="1"/>
    <col min="6143" max="6143" width="44.5703125" style="365" customWidth="1"/>
    <col min="6144" max="6144" width="14.28515625" style="365" bestFit="1" customWidth="1"/>
    <col min="6145" max="6145" width="0" style="365" hidden="1" customWidth="1"/>
    <col min="6146" max="6146" width="18.140625" style="365" customWidth="1"/>
    <col min="6147" max="6147" width="0" style="365" hidden="1" customWidth="1"/>
    <col min="6148" max="6148" width="14" style="365" customWidth="1"/>
    <col min="6149" max="6149" width="0" style="365" hidden="1" customWidth="1"/>
    <col min="6150" max="6150" width="20.85546875" style="365" customWidth="1"/>
    <col min="6151" max="6151" width="0" style="365" hidden="1" customWidth="1"/>
    <col min="6152" max="6152" width="13.28515625" style="365" customWidth="1"/>
    <col min="6153" max="6153" width="0" style="365" hidden="1" customWidth="1"/>
    <col min="6154" max="6154" width="15" style="365" customWidth="1"/>
    <col min="6155" max="6155" width="0" style="365" hidden="1" customWidth="1"/>
    <col min="6156" max="6156" width="13.28515625" style="365" customWidth="1"/>
    <col min="6157" max="6157" width="0" style="365" hidden="1" customWidth="1"/>
    <col min="6158" max="6158" width="20.140625" style="365" customWidth="1"/>
    <col min="6159" max="6159" width="14.42578125" style="365" bestFit="1" customWidth="1"/>
    <col min="6160" max="6160" width="14" style="365" bestFit="1" customWidth="1"/>
    <col min="6161" max="6161" width="12.28515625" style="365" bestFit="1" customWidth="1"/>
    <col min="6162" max="6186" width="9.140625" style="365" customWidth="1"/>
    <col min="6187" max="6381" width="8.85546875" style="365"/>
    <col min="6382" max="6382" width="44.5703125" style="365" customWidth="1"/>
    <col min="6383" max="6383" width="14.28515625" style="365" bestFit="1" customWidth="1"/>
    <col min="6384" max="6384" width="1.7109375" style="365" customWidth="1"/>
    <col min="6385" max="6385" width="14.85546875" style="365" customWidth="1"/>
    <col min="6386" max="6386" width="0" style="365" hidden="1" customWidth="1"/>
    <col min="6387" max="6387" width="17.42578125" style="365" customWidth="1"/>
    <col min="6388" max="6388" width="0" style="365" hidden="1" customWidth="1"/>
    <col min="6389" max="6389" width="12.85546875" style="365" customWidth="1"/>
    <col min="6390" max="6390" width="0" style="365" hidden="1" customWidth="1"/>
    <col min="6391" max="6391" width="14.42578125" style="365" customWidth="1"/>
    <col min="6392" max="6392" width="0" style="365" hidden="1" customWidth="1"/>
    <col min="6393" max="6393" width="17.42578125" style="365" customWidth="1"/>
    <col min="6394" max="6394" width="0" style="365" hidden="1" customWidth="1"/>
    <col min="6395" max="6395" width="14" style="365" customWidth="1"/>
    <col min="6396" max="6396" width="14.28515625" style="365" bestFit="1" customWidth="1"/>
    <col min="6397" max="6397" width="0" style="365" hidden="1" customWidth="1"/>
    <col min="6398" max="6398" width="15.5703125" style="365" customWidth="1"/>
    <col min="6399" max="6399" width="44.5703125" style="365" customWidth="1"/>
    <col min="6400" max="6400" width="14.28515625" style="365" bestFit="1" customWidth="1"/>
    <col min="6401" max="6401" width="0" style="365" hidden="1" customWidth="1"/>
    <col min="6402" max="6402" width="18.140625" style="365" customWidth="1"/>
    <col min="6403" max="6403" width="0" style="365" hidden="1" customWidth="1"/>
    <col min="6404" max="6404" width="14" style="365" customWidth="1"/>
    <col min="6405" max="6405" width="0" style="365" hidden="1" customWidth="1"/>
    <col min="6406" max="6406" width="20.85546875" style="365" customWidth="1"/>
    <col min="6407" max="6407" width="0" style="365" hidden="1" customWidth="1"/>
    <col min="6408" max="6408" width="13.28515625" style="365" customWidth="1"/>
    <col min="6409" max="6409" width="0" style="365" hidden="1" customWidth="1"/>
    <col min="6410" max="6410" width="15" style="365" customWidth="1"/>
    <col min="6411" max="6411" width="0" style="365" hidden="1" customWidth="1"/>
    <col min="6412" max="6412" width="13.28515625" style="365" customWidth="1"/>
    <col min="6413" max="6413" width="0" style="365" hidden="1" customWidth="1"/>
    <col min="6414" max="6414" width="20.140625" style="365" customWidth="1"/>
    <col min="6415" max="6415" width="14.42578125" style="365" bestFit="1" customWidth="1"/>
    <col min="6416" max="6416" width="14" style="365" bestFit="1" customWidth="1"/>
    <col min="6417" max="6417" width="12.28515625" style="365" bestFit="1" customWidth="1"/>
    <col min="6418" max="6442" width="9.140625" style="365" customWidth="1"/>
    <col min="6443" max="6637" width="8.85546875" style="365"/>
    <col min="6638" max="6638" width="44.5703125" style="365" customWidth="1"/>
    <col min="6639" max="6639" width="14.28515625" style="365" bestFit="1" customWidth="1"/>
    <col min="6640" max="6640" width="1.7109375" style="365" customWidth="1"/>
    <col min="6641" max="6641" width="14.85546875" style="365" customWidth="1"/>
    <col min="6642" max="6642" width="0" style="365" hidden="1" customWidth="1"/>
    <col min="6643" max="6643" width="17.42578125" style="365" customWidth="1"/>
    <col min="6644" max="6644" width="0" style="365" hidden="1" customWidth="1"/>
    <col min="6645" max="6645" width="12.85546875" style="365" customWidth="1"/>
    <col min="6646" max="6646" width="0" style="365" hidden="1" customWidth="1"/>
    <col min="6647" max="6647" width="14.42578125" style="365" customWidth="1"/>
    <col min="6648" max="6648" width="0" style="365" hidden="1" customWidth="1"/>
    <col min="6649" max="6649" width="17.42578125" style="365" customWidth="1"/>
    <col min="6650" max="6650" width="0" style="365" hidden="1" customWidth="1"/>
    <col min="6651" max="6651" width="14" style="365" customWidth="1"/>
    <col min="6652" max="6652" width="14.28515625" style="365" bestFit="1" customWidth="1"/>
    <col min="6653" max="6653" width="0" style="365" hidden="1" customWidth="1"/>
    <col min="6654" max="6654" width="15.5703125" style="365" customWidth="1"/>
    <col min="6655" max="6655" width="44.5703125" style="365" customWidth="1"/>
    <col min="6656" max="6656" width="14.28515625" style="365" bestFit="1" customWidth="1"/>
    <col min="6657" max="6657" width="0" style="365" hidden="1" customWidth="1"/>
    <col min="6658" max="6658" width="18.140625" style="365" customWidth="1"/>
    <col min="6659" max="6659" width="0" style="365" hidden="1" customWidth="1"/>
    <col min="6660" max="6660" width="14" style="365" customWidth="1"/>
    <col min="6661" max="6661" width="0" style="365" hidden="1" customWidth="1"/>
    <col min="6662" max="6662" width="20.85546875" style="365" customWidth="1"/>
    <col min="6663" max="6663" width="0" style="365" hidden="1" customWidth="1"/>
    <col min="6664" max="6664" width="13.28515625" style="365" customWidth="1"/>
    <col min="6665" max="6665" width="0" style="365" hidden="1" customWidth="1"/>
    <col min="6666" max="6666" width="15" style="365" customWidth="1"/>
    <col min="6667" max="6667" width="0" style="365" hidden="1" customWidth="1"/>
    <col min="6668" max="6668" width="13.28515625" style="365" customWidth="1"/>
    <col min="6669" max="6669" width="0" style="365" hidden="1" customWidth="1"/>
    <col min="6670" max="6670" width="20.140625" style="365" customWidth="1"/>
    <col min="6671" max="6671" width="14.42578125" style="365" bestFit="1" customWidth="1"/>
    <col min="6672" max="6672" width="14" style="365" bestFit="1" customWidth="1"/>
    <col min="6673" max="6673" width="12.28515625" style="365" bestFit="1" customWidth="1"/>
    <col min="6674" max="6698" width="9.140625" style="365" customWidth="1"/>
    <col min="6699" max="6893" width="8.85546875" style="365"/>
    <col min="6894" max="6894" width="44.5703125" style="365" customWidth="1"/>
    <col min="6895" max="6895" width="14.28515625" style="365" bestFit="1" customWidth="1"/>
    <col min="6896" max="6896" width="1.7109375" style="365" customWidth="1"/>
    <col min="6897" max="6897" width="14.85546875" style="365" customWidth="1"/>
    <col min="6898" max="6898" width="0" style="365" hidden="1" customWidth="1"/>
    <col min="6899" max="6899" width="17.42578125" style="365" customWidth="1"/>
    <col min="6900" max="6900" width="0" style="365" hidden="1" customWidth="1"/>
    <col min="6901" max="6901" width="12.85546875" style="365" customWidth="1"/>
    <col min="6902" max="6902" width="0" style="365" hidden="1" customWidth="1"/>
    <col min="6903" max="6903" width="14.42578125" style="365" customWidth="1"/>
    <col min="6904" max="6904" width="0" style="365" hidden="1" customWidth="1"/>
    <col min="6905" max="6905" width="17.42578125" style="365" customWidth="1"/>
    <col min="6906" max="6906" width="0" style="365" hidden="1" customWidth="1"/>
    <col min="6907" max="6907" width="14" style="365" customWidth="1"/>
    <col min="6908" max="6908" width="14.28515625" style="365" bestFit="1" customWidth="1"/>
    <col min="6909" max="6909" width="0" style="365" hidden="1" customWidth="1"/>
    <col min="6910" max="6910" width="15.5703125" style="365" customWidth="1"/>
    <col min="6911" max="6911" width="44.5703125" style="365" customWidth="1"/>
    <col min="6912" max="6912" width="14.28515625" style="365" bestFit="1" customWidth="1"/>
    <col min="6913" max="6913" width="0" style="365" hidden="1" customWidth="1"/>
    <col min="6914" max="6914" width="18.140625" style="365" customWidth="1"/>
    <col min="6915" max="6915" width="0" style="365" hidden="1" customWidth="1"/>
    <col min="6916" max="6916" width="14" style="365" customWidth="1"/>
    <col min="6917" max="6917" width="0" style="365" hidden="1" customWidth="1"/>
    <col min="6918" max="6918" width="20.85546875" style="365" customWidth="1"/>
    <col min="6919" max="6919" width="0" style="365" hidden="1" customWidth="1"/>
    <col min="6920" max="6920" width="13.28515625" style="365" customWidth="1"/>
    <col min="6921" max="6921" width="0" style="365" hidden="1" customWidth="1"/>
    <col min="6922" max="6922" width="15" style="365" customWidth="1"/>
    <col min="6923" max="6923" width="0" style="365" hidden="1" customWidth="1"/>
    <col min="6924" max="6924" width="13.28515625" style="365" customWidth="1"/>
    <col min="6925" max="6925" width="0" style="365" hidden="1" customWidth="1"/>
    <col min="6926" max="6926" width="20.140625" style="365" customWidth="1"/>
    <col min="6927" max="6927" width="14.42578125" style="365" bestFit="1" customWidth="1"/>
    <col min="6928" max="6928" width="14" style="365" bestFit="1" customWidth="1"/>
    <col min="6929" max="6929" width="12.28515625" style="365" bestFit="1" customWidth="1"/>
    <col min="6930" max="6954" width="9.140625" style="365" customWidth="1"/>
    <col min="6955" max="7149" width="8.85546875" style="365"/>
    <col min="7150" max="7150" width="44.5703125" style="365" customWidth="1"/>
    <col min="7151" max="7151" width="14.28515625" style="365" bestFit="1" customWidth="1"/>
    <col min="7152" max="7152" width="1.7109375" style="365" customWidth="1"/>
    <col min="7153" max="7153" width="14.85546875" style="365" customWidth="1"/>
    <col min="7154" max="7154" width="0" style="365" hidden="1" customWidth="1"/>
    <col min="7155" max="7155" width="17.42578125" style="365" customWidth="1"/>
    <col min="7156" max="7156" width="0" style="365" hidden="1" customWidth="1"/>
    <col min="7157" max="7157" width="12.85546875" style="365" customWidth="1"/>
    <col min="7158" max="7158" width="0" style="365" hidden="1" customWidth="1"/>
    <col min="7159" max="7159" width="14.42578125" style="365" customWidth="1"/>
    <col min="7160" max="7160" width="0" style="365" hidden="1" customWidth="1"/>
    <col min="7161" max="7161" width="17.42578125" style="365" customWidth="1"/>
    <col min="7162" max="7162" width="0" style="365" hidden="1" customWidth="1"/>
    <col min="7163" max="7163" width="14" style="365" customWidth="1"/>
    <col min="7164" max="7164" width="14.28515625" style="365" bestFit="1" customWidth="1"/>
    <col min="7165" max="7165" width="0" style="365" hidden="1" customWidth="1"/>
    <col min="7166" max="7166" width="15.5703125" style="365" customWidth="1"/>
    <col min="7167" max="7167" width="44.5703125" style="365" customWidth="1"/>
    <col min="7168" max="7168" width="14.28515625" style="365" bestFit="1" customWidth="1"/>
    <col min="7169" max="7169" width="0" style="365" hidden="1" customWidth="1"/>
    <col min="7170" max="7170" width="18.140625" style="365" customWidth="1"/>
    <col min="7171" max="7171" width="0" style="365" hidden="1" customWidth="1"/>
    <col min="7172" max="7172" width="14" style="365" customWidth="1"/>
    <col min="7173" max="7173" width="0" style="365" hidden="1" customWidth="1"/>
    <col min="7174" max="7174" width="20.85546875" style="365" customWidth="1"/>
    <col min="7175" max="7175" width="0" style="365" hidden="1" customWidth="1"/>
    <col min="7176" max="7176" width="13.28515625" style="365" customWidth="1"/>
    <col min="7177" max="7177" width="0" style="365" hidden="1" customWidth="1"/>
    <col min="7178" max="7178" width="15" style="365" customWidth="1"/>
    <col min="7179" max="7179" width="0" style="365" hidden="1" customWidth="1"/>
    <col min="7180" max="7180" width="13.28515625" style="365" customWidth="1"/>
    <col min="7181" max="7181" width="0" style="365" hidden="1" customWidth="1"/>
    <col min="7182" max="7182" width="20.140625" style="365" customWidth="1"/>
    <col min="7183" max="7183" width="14.42578125" style="365" bestFit="1" customWidth="1"/>
    <col min="7184" max="7184" width="14" style="365" bestFit="1" customWidth="1"/>
    <col min="7185" max="7185" width="12.28515625" style="365" bestFit="1" customWidth="1"/>
    <col min="7186" max="7210" width="9.140625" style="365" customWidth="1"/>
    <col min="7211" max="7405" width="8.85546875" style="365"/>
    <col min="7406" max="7406" width="44.5703125" style="365" customWidth="1"/>
    <col min="7407" max="7407" width="14.28515625" style="365" bestFit="1" customWidth="1"/>
    <col min="7408" max="7408" width="1.7109375" style="365" customWidth="1"/>
    <col min="7409" max="7409" width="14.85546875" style="365" customWidth="1"/>
    <col min="7410" max="7410" width="0" style="365" hidden="1" customWidth="1"/>
    <col min="7411" max="7411" width="17.42578125" style="365" customWidth="1"/>
    <col min="7412" max="7412" width="0" style="365" hidden="1" customWidth="1"/>
    <col min="7413" max="7413" width="12.85546875" style="365" customWidth="1"/>
    <col min="7414" max="7414" width="0" style="365" hidden="1" customWidth="1"/>
    <col min="7415" max="7415" width="14.42578125" style="365" customWidth="1"/>
    <col min="7416" max="7416" width="0" style="365" hidden="1" customWidth="1"/>
    <col min="7417" max="7417" width="17.42578125" style="365" customWidth="1"/>
    <col min="7418" max="7418" width="0" style="365" hidden="1" customWidth="1"/>
    <col min="7419" max="7419" width="14" style="365" customWidth="1"/>
    <col min="7420" max="7420" width="14.28515625" style="365" bestFit="1" customWidth="1"/>
    <col min="7421" max="7421" width="0" style="365" hidden="1" customWidth="1"/>
    <col min="7422" max="7422" width="15.5703125" style="365" customWidth="1"/>
    <col min="7423" max="7423" width="44.5703125" style="365" customWidth="1"/>
    <col min="7424" max="7424" width="14.28515625" style="365" bestFit="1" customWidth="1"/>
    <col min="7425" max="7425" width="0" style="365" hidden="1" customWidth="1"/>
    <col min="7426" max="7426" width="18.140625" style="365" customWidth="1"/>
    <col min="7427" max="7427" width="0" style="365" hidden="1" customWidth="1"/>
    <col min="7428" max="7428" width="14" style="365" customWidth="1"/>
    <col min="7429" max="7429" width="0" style="365" hidden="1" customWidth="1"/>
    <col min="7430" max="7430" width="20.85546875" style="365" customWidth="1"/>
    <col min="7431" max="7431" width="0" style="365" hidden="1" customWidth="1"/>
    <col min="7432" max="7432" width="13.28515625" style="365" customWidth="1"/>
    <col min="7433" max="7433" width="0" style="365" hidden="1" customWidth="1"/>
    <col min="7434" max="7434" width="15" style="365" customWidth="1"/>
    <col min="7435" max="7435" width="0" style="365" hidden="1" customWidth="1"/>
    <col min="7436" max="7436" width="13.28515625" style="365" customWidth="1"/>
    <col min="7437" max="7437" width="0" style="365" hidden="1" customWidth="1"/>
    <col min="7438" max="7438" width="20.140625" style="365" customWidth="1"/>
    <col min="7439" max="7439" width="14.42578125" style="365" bestFit="1" customWidth="1"/>
    <col min="7440" max="7440" width="14" style="365" bestFit="1" customWidth="1"/>
    <col min="7441" max="7441" width="12.28515625" style="365" bestFit="1" customWidth="1"/>
    <col min="7442" max="7466" width="9.140625" style="365" customWidth="1"/>
    <col min="7467" max="7661" width="8.85546875" style="365"/>
    <col min="7662" max="7662" width="44.5703125" style="365" customWidth="1"/>
    <col min="7663" max="7663" width="14.28515625" style="365" bestFit="1" customWidth="1"/>
    <col min="7664" max="7664" width="1.7109375" style="365" customWidth="1"/>
    <col min="7665" max="7665" width="14.85546875" style="365" customWidth="1"/>
    <col min="7666" max="7666" width="0" style="365" hidden="1" customWidth="1"/>
    <col min="7667" max="7667" width="17.42578125" style="365" customWidth="1"/>
    <col min="7668" max="7668" width="0" style="365" hidden="1" customWidth="1"/>
    <col min="7669" max="7669" width="12.85546875" style="365" customWidth="1"/>
    <col min="7670" max="7670" width="0" style="365" hidden="1" customWidth="1"/>
    <col min="7671" max="7671" width="14.42578125" style="365" customWidth="1"/>
    <col min="7672" max="7672" width="0" style="365" hidden="1" customWidth="1"/>
    <col min="7673" max="7673" width="17.42578125" style="365" customWidth="1"/>
    <col min="7674" max="7674" width="0" style="365" hidden="1" customWidth="1"/>
    <col min="7675" max="7675" width="14" style="365" customWidth="1"/>
    <col min="7676" max="7676" width="14.28515625" style="365" bestFit="1" customWidth="1"/>
    <col min="7677" max="7677" width="0" style="365" hidden="1" customWidth="1"/>
    <col min="7678" max="7678" width="15.5703125" style="365" customWidth="1"/>
    <col min="7679" max="7679" width="44.5703125" style="365" customWidth="1"/>
    <col min="7680" max="7680" width="14.28515625" style="365" bestFit="1" customWidth="1"/>
    <col min="7681" max="7681" width="0" style="365" hidden="1" customWidth="1"/>
    <col min="7682" max="7682" width="18.140625" style="365" customWidth="1"/>
    <col min="7683" max="7683" width="0" style="365" hidden="1" customWidth="1"/>
    <col min="7684" max="7684" width="14" style="365" customWidth="1"/>
    <col min="7685" max="7685" width="0" style="365" hidden="1" customWidth="1"/>
    <col min="7686" max="7686" width="20.85546875" style="365" customWidth="1"/>
    <col min="7687" max="7687" width="0" style="365" hidden="1" customWidth="1"/>
    <col min="7688" max="7688" width="13.28515625" style="365" customWidth="1"/>
    <col min="7689" max="7689" width="0" style="365" hidden="1" customWidth="1"/>
    <col min="7690" max="7690" width="15" style="365" customWidth="1"/>
    <col min="7691" max="7691" width="0" style="365" hidden="1" customWidth="1"/>
    <col min="7692" max="7692" width="13.28515625" style="365" customWidth="1"/>
    <col min="7693" max="7693" width="0" style="365" hidden="1" customWidth="1"/>
    <col min="7694" max="7694" width="20.140625" style="365" customWidth="1"/>
    <col min="7695" max="7695" width="14.42578125" style="365" bestFit="1" customWidth="1"/>
    <col min="7696" max="7696" width="14" style="365" bestFit="1" customWidth="1"/>
    <col min="7697" max="7697" width="12.28515625" style="365" bestFit="1" customWidth="1"/>
    <col min="7698" max="7722" width="9.140625" style="365" customWidth="1"/>
    <col min="7723" max="7917" width="8.85546875" style="365"/>
    <col min="7918" max="7918" width="44.5703125" style="365" customWidth="1"/>
    <col min="7919" max="7919" width="14.28515625" style="365" bestFit="1" customWidth="1"/>
    <col min="7920" max="7920" width="1.7109375" style="365" customWidth="1"/>
    <col min="7921" max="7921" width="14.85546875" style="365" customWidth="1"/>
    <col min="7922" max="7922" width="0" style="365" hidden="1" customWidth="1"/>
    <col min="7923" max="7923" width="17.42578125" style="365" customWidth="1"/>
    <col min="7924" max="7924" width="0" style="365" hidden="1" customWidth="1"/>
    <col min="7925" max="7925" width="12.85546875" style="365" customWidth="1"/>
    <col min="7926" max="7926" width="0" style="365" hidden="1" customWidth="1"/>
    <col min="7927" max="7927" width="14.42578125" style="365" customWidth="1"/>
    <col min="7928" max="7928" width="0" style="365" hidden="1" customWidth="1"/>
    <col min="7929" max="7929" width="17.42578125" style="365" customWidth="1"/>
    <col min="7930" max="7930" width="0" style="365" hidden="1" customWidth="1"/>
    <col min="7931" max="7931" width="14" style="365" customWidth="1"/>
    <col min="7932" max="7932" width="14.28515625" style="365" bestFit="1" customWidth="1"/>
    <col min="7933" max="7933" width="0" style="365" hidden="1" customWidth="1"/>
    <col min="7934" max="7934" width="15.5703125" style="365" customWidth="1"/>
    <col min="7935" max="7935" width="44.5703125" style="365" customWidth="1"/>
    <col min="7936" max="7936" width="14.28515625" style="365" bestFit="1" customWidth="1"/>
    <col min="7937" max="7937" width="0" style="365" hidden="1" customWidth="1"/>
    <col min="7938" max="7938" width="18.140625" style="365" customWidth="1"/>
    <col min="7939" max="7939" width="0" style="365" hidden="1" customWidth="1"/>
    <col min="7940" max="7940" width="14" style="365" customWidth="1"/>
    <col min="7941" max="7941" width="0" style="365" hidden="1" customWidth="1"/>
    <col min="7942" max="7942" width="20.85546875" style="365" customWidth="1"/>
    <col min="7943" max="7943" width="0" style="365" hidden="1" customWidth="1"/>
    <col min="7944" max="7944" width="13.28515625" style="365" customWidth="1"/>
    <col min="7945" max="7945" width="0" style="365" hidden="1" customWidth="1"/>
    <col min="7946" max="7946" width="15" style="365" customWidth="1"/>
    <col min="7947" max="7947" width="0" style="365" hidden="1" customWidth="1"/>
    <col min="7948" max="7948" width="13.28515625" style="365" customWidth="1"/>
    <col min="7949" max="7949" width="0" style="365" hidden="1" customWidth="1"/>
    <col min="7950" max="7950" width="20.140625" style="365" customWidth="1"/>
    <col min="7951" max="7951" width="14.42578125" style="365" bestFit="1" customWidth="1"/>
    <col min="7952" max="7952" width="14" style="365" bestFit="1" customWidth="1"/>
    <col min="7953" max="7953" width="12.28515625" style="365" bestFit="1" customWidth="1"/>
    <col min="7954" max="7978" width="9.140625" style="365" customWidth="1"/>
    <col min="7979" max="8173" width="8.85546875" style="365"/>
    <col min="8174" max="8174" width="44.5703125" style="365" customWidth="1"/>
    <col min="8175" max="8175" width="14.28515625" style="365" bestFit="1" customWidth="1"/>
    <col min="8176" max="8176" width="1.7109375" style="365" customWidth="1"/>
    <col min="8177" max="8177" width="14.85546875" style="365" customWidth="1"/>
    <col min="8178" max="8178" width="0" style="365" hidden="1" customWidth="1"/>
    <col min="8179" max="8179" width="17.42578125" style="365" customWidth="1"/>
    <col min="8180" max="8180" width="0" style="365" hidden="1" customWidth="1"/>
    <col min="8181" max="8181" width="12.85546875" style="365" customWidth="1"/>
    <col min="8182" max="8182" width="0" style="365" hidden="1" customWidth="1"/>
    <col min="8183" max="8183" width="14.42578125" style="365" customWidth="1"/>
    <col min="8184" max="8184" width="0" style="365" hidden="1" customWidth="1"/>
    <col min="8185" max="8185" width="17.42578125" style="365" customWidth="1"/>
    <col min="8186" max="8186" width="0" style="365" hidden="1" customWidth="1"/>
    <col min="8187" max="8187" width="14" style="365" customWidth="1"/>
    <col min="8188" max="8188" width="14.28515625" style="365" bestFit="1" customWidth="1"/>
    <col min="8189" max="8189" width="0" style="365" hidden="1" customWidth="1"/>
    <col min="8190" max="8190" width="15.5703125" style="365" customWidth="1"/>
    <col min="8191" max="8191" width="44.5703125" style="365" customWidth="1"/>
    <col min="8192" max="8192" width="14.28515625" style="365" bestFit="1" customWidth="1"/>
    <col min="8193" max="8193" width="0" style="365" hidden="1" customWidth="1"/>
    <col min="8194" max="8194" width="18.140625" style="365" customWidth="1"/>
    <col min="8195" max="8195" width="0" style="365" hidden="1" customWidth="1"/>
    <col min="8196" max="8196" width="14" style="365" customWidth="1"/>
    <col min="8197" max="8197" width="0" style="365" hidden="1" customWidth="1"/>
    <col min="8198" max="8198" width="20.85546875" style="365" customWidth="1"/>
    <col min="8199" max="8199" width="0" style="365" hidden="1" customWidth="1"/>
    <col min="8200" max="8200" width="13.28515625" style="365" customWidth="1"/>
    <col min="8201" max="8201" width="0" style="365" hidden="1" customWidth="1"/>
    <col min="8202" max="8202" width="15" style="365" customWidth="1"/>
    <col min="8203" max="8203" width="0" style="365" hidden="1" customWidth="1"/>
    <col min="8204" max="8204" width="13.28515625" style="365" customWidth="1"/>
    <col min="8205" max="8205" width="0" style="365" hidden="1" customWidth="1"/>
    <col min="8206" max="8206" width="20.140625" style="365" customWidth="1"/>
    <col min="8207" max="8207" width="14.42578125" style="365" bestFit="1" customWidth="1"/>
    <col min="8208" max="8208" width="14" style="365" bestFit="1" customWidth="1"/>
    <col min="8209" max="8209" width="12.28515625" style="365" bestFit="1" customWidth="1"/>
    <col min="8210" max="8234" width="9.140625" style="365" customWidth="1"/>
    <col min="8235" max="8429" width="8.85546875" style="365"/>
    <col min="8430" max="8430" width="44.5703125" style="365" customWidth="1"/>
    <col min="8431" max="8431" width="14.28515625" style="365" bestFit="1" customWidth="1"/>
    <col min="8432" max="8432" width="1.7109375" style="365" customWidth="1"/>
    <col min="8433" max="8433" width="14.85546875" style="365" customWidth="1"/>
    <col min="8434" max="8434" width="0" style="365" hidden="1" customWidth="1"/>
    <col min="8435" max="8435" width="17.42578125" style="365" customWidth="1"/>
    <col min="8436" max="8436" width="0" style="365" hidden="1" customWidth="1"/>
    <col min="8437" max="8437" width="12.85546875" style="365" customWidth="1"/>
    <col min="8438" max="8438" width="0" style="365" hidden="1" customWidth="1"/>
    <col min="8439" max="8439" width="14.42578125" style="365" customWidth="1"/>
    <col min="8440" max="8440" width="0" style="365" hidden="1" customWidth="1"/>
    <col min="8441" max="8441" width="17.42578125" style="365" customWidth="1"/>
    <col min="8442" max="8442" width="0" style="365" hidden="1" customWidth="1"/>
    <col min="8443" max="8443" width="14" style="365" customWidth="1"/>
    <col min="8444" max="8444" width="14.28515625" style="365" bestFit="1" customWidth="1"/>
    <col min="8445" max="8445" width="0" style="365" hidden="1" customWidth="1"/>
    <col min="8446" max="8446" width="15.5703125" style="365" customWidth="1"/>
    <col min="8447" max="8447" width="44.5703125" style="365" customWidth="1"/>
    <col min="8448" max="8448" width="14.28515625" style="365" bestFit="1" customWidth="1"/>
    <col min="8449" max="8449" width="0" style="365" hidden="1" customWidth="1"/>
    <col min="8450" max="8450" width="18.140625" style="365" customWidth="1"/>
    <col min="8451" max="8451" width="0" style="365" hidden="1" customWidth="1"/>
    <col min="8452" max="8452" width="14" style="365" customWidth="1"/>
    <col min="8453" max="8453" width="0" style="365" hidden="1" customWidth="1"/>
    <col min="8454" max="8454" width="20.85546875" style="365" customWidth="1"/>
    <col min="8455" max="8455" width="0" style="365" hidden="1" customWidth="1"/>
    <col min="8456" max="8456" width="13.28515625" style="365" customWidth="1"/>
    <col min="8457" max="8457" width="0" style="365" hidden="1" customWidth="1"/>
    <col min="8458" max="8458" width="15" style="365" customWidth="1"/>
    <col min="8459" max="8459" width="0" style="365" hidden="1" customWidth="1"/>
    <col min="8460" max="8460" width="13.28515625" style="365" customWidth="1"/>
    <col min="8461" max="8461" width="0" style="365" hidden="1" customWidth="1"/>
    <col min="8462" max="8462" width="20.140625" style="365" customWidth="1"/>
    <col min="8463" max="8463" width="14.42578125" style="365" bestFit="1" customWidth="1"/>
    <col min="8464" max="8464" width="14" style="365" bestFit="1" customWidth="1"/>
    <col min="8465" max="8465" width="12.28515625" style="365" bestFit="1" customWidth="1"/>
    <col min="8466" max="8490" width="9.140625" style="365" customWidth="1"/>
    <col min="8491" max="8685" width="8.85546875" style="365"/>
    <col min="8686" max="8686" width="44.5703125" style="365" customWidth="1"/>
    <col min="8687" max="8687" width="14.28515625" style="365" bestFit="1" customWidth="1"/>
    <col min="8688" max="8688" width="1.7109375" style="365" customWidth="1"/>
    <col min="8689" max="8689" width="14.85546875" style="365" customWidth="1"/>
    <col min="8690" max="8690" width="0" style="365" hidden="1" customWidth="1"/>
    <col min="8691" max="8691" width="17.42578125" style="365" customWidth="1"/>
    <col min="8692" max="8692" width="0" style="365" hidden="1" customWidth="1"/>
    <col min="8693" max="8693" width="12.85546875" style="365" customWidth="1"/>
    <col min="8694" max="8694" width="0" style="365" hidden="1" customWidth="1"/>
    <col min="8695" max="8695" width="14.42578125" style="365" customWidth="1"/>
    <col min="8696" max="8696" width="0" style="365" hidden="1" customWidth="1"/>
    <col min="8697" max="8697" width="17.42578125" style="365" customWidth="1"/>
    <col min="8698" max="8698" width="0" style="365" hidden="1" customWidth="1"/>
    <col min="8699" max="8699" width="14" style="365" customWidth="1"/>
    <col min="8700" max="8700" width="14.28515625" style="365" bestFit="1" customWidth="1"/>
    <col min="8701" max="8701" width="0" style="365" hidden="1" customWidth="1"/>
    <col min="8702" max="8702" width="15.5703125" style="365" customWidth="1"/>
    <col min="8703" max="8703" width="44.5703125" style="365" customWidth="1"/>
    <col min="8704" max="8704" width="14.28515625" style="365" bestFit="1" customWidth="1"/>
    <col min="8705" max="8705" width="0" style="365" hidden="1" customWidth="1"/>
    <col min="8706" max="8706" width="18.140625" style="365" customWidth="1"/>
    <col min="8707" max="8707" width="0" style="365" hidden="1" customWidth="1"/>
    <col min="8708" max="8708" width="14" style="365" customWidth="1"/>
    <col min="8709" max="8709" width="0" style="365" hidden="1" customWidth="1"/>
    <col min="8710" max="8710" width="20.85546875" style="365" customWidth="1"/>
    <col min="8711" max="8711" width="0" style="365" hidden="1" customWidth="1"/>
    <col min="8712" max="8712" width="13.28515625" style="365" customWidth="1"/>
    <col min="8713" max="8713" width="0" style="365" hidden="1" customWidth="1"/>
    <col min="8714" max="8714" width="15" style="365" customWidth="1"/>
    <col min="8715" max="8715" width="0" style="365" hidden="1" customWidth="1"/>
    <col min="8716" max="8716" width="13.28515625" style="365" customWidth="1"/>
    <col min="8717" max="8717" width="0" style="365" hidden="1" customWidth="1"/>
    <col min="8718" max="8718" width="20.140625" style="365" customWidth="1"/>
    <col min="8719" max="8719" width="14.42578125" style="365" bestFit="1" customWidth="1"/>
    <col min="8720" max="8720" width="14" style="365" bestFit="1" customWidth="1"/>
    <col min="8721" max="8721" width="12.28515625" style="365" bestFit="1" customWidth="1"/>
    <col min="8722" max="8746" width="9.140625" style="365" customWidth="1"/>
    <col min="8747" max="8941" width="8.85546875" style="365"/>
    <col min="8942" max="8942" width="44.5703125" style="365" customWidth="1"/>
    <col min="8943" max="8943" width="14.28515625" style="365" bestFit="1" customWidth="1"/>
    <col min="8944" max="8944" width="1.7109375" style="365" customWidth="1"/>
    <col min="8945" max="8945" width="14.85546875" style="365" customWidth="1"/>
    <col min="8946" max="8946" width="0" style="365" hidden="1" customWidth="1"/>
    <col min="8947" max="8947" width="17.42578125" style="365" customWidth="1"/>
    <col min="8948" max="8948" width="0" style="365" hidden="1" customWidth="1"/>
    <col min="8949" max="8949" width="12.85546875" style="365" customWidth="1"/>
    <col min="8950" max="8950" width="0" style="365" hidden="1" customWidth="1"/>
    <col min="8951" max="8951" width="14.42578125" style="365" customWidth="1"/>
    <col min="8952" max="8952" width="0" style="365" hidden="1" customWidth="1"/>
    <col min="8953" max="8953" width="17.42578125" style="365" customWidth="1"/>
    <col min="8954" max="8954" width="0" style="365" hidden="1" customWidth="1"/>
    <col min="8955" max="8955" width="14" style="365" customWidth="1"/>
    <col min="8956" max="8956" width="14.28515625" style="365" bestFit="1" customWidth="1"/>
    <col min="8957" max="8957" width="0" style="365" hidden="1" customWidth="1"/>
    <col min="8958" max="8958" width="15.5703125" style="365" customWidth="1"/>
    <col min="8959" max="8959" width="44.5703125" style="365" customWidth="1"/>
    <col min="8960" max="8960" width="14.28515625" style="365" bestFit="1" customWidth="1"/>
    <col min="8961" max="8961" width="0" style="365" hidden="1" customWidth="1"/>
    <col min="8962" max="8962" width="18.140625" style="365" customWidth="1"/>
    <col min="8963" max="8963" width="0" style="365" hidden="1" customWidth="1"/>
    <col min="8964" max="8964" width="14" style="365" customWidth="1"/>
    <col min="8965" max="8965" width="0" style="365" hidden="1" customWidth="1"/>
    <col min="8966" max="8966" width="20.85546875" style="365" customWidth="1"/>
    <col min="8967" max="8967" width="0" style="365" hidden="1" customWidth="1"/>
    <col min="8968" max="8968" width="13.28515625" style="365" customWidth="1"/>
    <col min="8969" max="8969" width="0" style="365" hidden="1" customWidth="1"/>
    <col min="8970" max="8970" width="15" style="365" customWidth="1"/>
    <col min="8971" max="8971" width="0" style="365" hidden="1" customWidth="1"/>
    <col min="8972" max="8972" width="13.28515625" style="365" customWidth="1"/>
    <col min="8973" max="8973" width="0" style="365" hidden="1" customWidth="1"/>
    <col min="8974" max="8974" width="20.140625" style="365" customWidth="1"/>
    <col min="8975" max="8975" width="14.42578125" style="365" bestFit="1" customWidth="1"/>
    <col min="8976" max="8976" width="14" style="365" bestFit="1" customWidth="1"/>
    <col min="8977" max="8977" width="12.28515625" style="365" bestFit="1" customWidth="1"/>
    <col min="8978" max="9002" width="9.140625" style="365" customWidth="1"/>
    <col min="9003" max="9197" width="8.85546875" style="365"/>
    <col min="9198" max="9198" width="44.5703125" style="365" customWidth="1"/>
    <col min="9199" max="9199" width="14.28515625" style="365" bestFit="1" customWidth="1"/>
    <col min="9200" max="9200" width="1.7109375" style="365" customWidth="1"/>
    <col min="9201" max="9201" width="14.85546875" style="365" customWidth="1"/>
    <col min="9202" max="9202" width="0" style="365" hidden="1" customWidth="1"/>
    <col min="9203" max="9203" width="17.42578125" style="365" customWidth="1"/>
    <col min="9204" max="9204" width="0" style="365" hidden="1" customWidth="1"/>
    <col min="9205" max="9205" width="12.85546875" style="365" customWidth="1"/>
    <col min="9206" max="9206" width="0" style="365" hidden="1" customWidth="1"/>
    <col min="9207" max="9207" width="14.42578125" style="365" customWidth="1"/>
    <col min="9208" max="9208" width="0" style="365" hidden="1" customWidth="1"/>
    <col min="9209" max="9209" width="17.42578125" style="365" customWidth="1"/>
    <col min="9210" max="9210" width="0" style="365" hidden="1" customWidth="1"/>
    <col min="9211" max="9211" width="14" style="365" customWidth="1"/>
    <col min="9212" max="9212" width="14.28515625" style="365" bestFit="1" customWidth="1"/>
    <col min="9213" max="9213" width="0" style="365" hidden="1" customWidth="1"/>
    <col min="9214" max="9214" width="15.5703125" style="365" customWidth="1"/>
    <col min="9215" max="9215" width="44.5703125" style="365" customWidth="1"/>
    <col min="9216" max="9216" width="14.28515625" style="365" bestFit="1" customWidth="1"/>
    <col min="9217" max="9217" width="0" style="365" hidden="1" customWidth="1"/>
    <col min="9218" max="9218" width="18.140625" style="365" customWidth="1"/>
    <col min="9219" max="9219" width="0" style="365" hidden="1" customWidth="1"/>
    <col min="9220" max="9220" width="14" style="365" customWidth="1"/>
    <col min="9221" max="9221" width="0" style="365" hidden="1" customWidth="1"/>
    <col min="9222" max="9222" width="20.85546875" style="365" customWidth="1"/>
    <col min="9223" max="9223" width="0" style="365" hidden="1" customWidth="1"/>
    <col min="9224" max="9224" width="13.28515625" style="365" customWidth="1"/>
    <col min="9225" max="9225" width="0" style="365" hidden="1" customWidth="1"/>
    <col min="9226" max="9226" width="15" style="365" customWidth="1"/>
    <col min="9227" max="9227" width="0" style="365" hidden="1" customWidth="1"/>
    <col min="9228" max="9228" width="13.28515625" style="365" customWidth="1"/>
    <col min="9229" max="9229" width="0" style="365" hidden="1" customWidth="1"/>
    <col min="9230" max="9230" width="20.140625" style="365" customWidth="1"/>
    <col min="9231" max="9231" width="14.42578125" style="365" bestFit="1" customWidth="1"/>
    <col min="9232" max="9232" width="14" style="365" bestFit="1" customWidth="1"/>
    <col min="9233" max="9233" width="12.28515625" style="365" bestFit="1" customWidth="1"/>
    <col min="9234" max="9258" width="9.140625" style="365" customWidth="1"/>
    <col min="9259" max="9453" width="8.85546875" style="365"/>
    <col min="9454" max="9454" width="44.5703125" style="365" customWidth="1"/>
    <col min="9455" max="9455" width="14.28515625" style="365" bestFit="1" customWidth="1"/>
    <col min="9456" max="9456" width="1.7109375" style="365" customWidth="1"/>
    <col min="9457" max="9457" width="14.85546875" style="365" customWidth="1"/>
    <col min="9458" max="9458" width="0" style="365" hidden="1" customWidth="1"/>
    <col min="9459" max="9459" width="17.42578125" style="365" customWidth="1"/>
    <col min="9460" max="9460" width="0" style="365" hidden="1" customWidth="1"/>
    <col min="9461" max="9461" width="12.85546875" style="365" customWidth="1"/>
    <col min="9462" max="9462" width="0" style="365" hidden="1" customWidth="1"/>
    <col min="9463" max="9463" width="14.42578125" style="365" customWidth="1"/>
    <col min="9464" max="9464" width="0" style="365" hidden="1" customWidth="1"/>
    <col min="9465" max="9465" width="17.42578125" style="365" customWidth="1"/>
    <col min="9466" max="9466" width="0" style="365" hidden="1" customWidth="1"/>
    <col min="9467" max="9467" width="14" style="365" customWidth="1"/>
    <col min="9468" max="9468" width="14.28515625" style="365" bestFit="1" customWidth="1"/>
    <col min="9469" max="9469" width="0" style="365" hidden="1" customWidth="1"/>
    <col min="9470" max="9470" width="15.5703125" style="365" customWidth="1"/>
    <col min="9471" max="9471" width="44.5703125" style="365" customWidth="1"/>
    <col min="9472" max="9472" width="14.28515625" style="365" bestFit="1" customWidth="1"/>
    <col min="9473" max="9473" width="0" style="365" hidden="1" customWidth="1"/>
    <col min="9474" max="9474" width="18.140625" style="365" customWidth="1"/>
    <col min="9475" max="9475" width="0" style="365" hidden="1" customWidth="1"/>
    <col min="9476" max="9476" width="14" style="365" customWidth="1"/>
    <col min="9477" max="9477" width="0" style="365" hidden="1" customWidth="1"/>
    <col min="9478" max="9478" width="20.85546875" style="365" customWidth="1"/>
    <col min="9479" max="9479" width="0" style="365" hidden="1" customWidth="1"/>
    <col min="9480" max="9480" width="13.28515625" style="365" customWidth="1"/>
    <col min="9481" max="9481" width="0" style="365" hidden="1" customWidth="1"/>
    <col min="9482" max="9482" width="15" style="365" customWidth="1"/>
    <col min="9483" max="9483" width="0" style="365" hidden="1" customWidth="1"/>
    <col min="9484" max="9484" width="13.28515625" style="365" customWidth="1"/>
    <col min="9485" max="9485" width="0" style="365" hidden="1" customWidth="1"/>
    <col min="9486" max="9486" width="20.140625" style="365" customWidth="1"/>
    <col min="9487" max="9487" width="14.42578125" style="365" bestFit="1" customWidth="1"/>
    <col min="9488" max="9488" width="14" style="365" bestFit="1" customWidth="1"/>
    <col min="9489" max="9489" width="12.28515625" style="365" bestFit="1" customWidth="1"/>
    <col min="9490" max="9514" width="9.140625" style="365" customWidth="1"/>
    <col min="9515" max="9709" width="8.85546875" style="365"/>
    <col min="9710" max="9710" width="44.5703125" style="365" customWidth="1"/>
    <col min="9711" max="9711" width="14.28515625" style="365" bestFit="1" customWidth="1"/>
    <col min="9712" max="9712" width="1.7109375" style="365" customWidth="1"/>
    <col min="9713" max="9713" width="14.85546875" style="365" customWidth="1"/>
    <col min="9714" max="9714" width="0" style="365" hidden="1" customWidth="1"/>
    <col min="9715" max="9715" width="17.42578125" style="365" customWidth="1"/>
    <col min="9716" max="9716" width="0" style="365" hidden="1" customWidth="1"/>
    <col min="9717" max="9717" width="12.85546875" style="365" customWidth="1"/>
    <col min="9718" max="9718" width="0" style="365" hidden="1" customWidth="1"/>
    <col min="9719" max="9719" width="14.42578125" style="365" customWidth="1"/>
    <col min="9720" max="9720" width="0" style="365" hidden="1" customWidth="1"/>
    <col min="9721" max="9721" width="17.42578125" style="365" customWidth="1"/>
    <col min="9722" max="9722" width="0" style="365" hidden="1" customWidth="1"/>
    <col min="9723" max="9723" width="14" style="365" customWidth="1"/>
    <col min="9724" max="9724" width="14.28515625" style="365" bestFit="1" customWidth="1"/>
    <col min="9725" max="9725" width="0" style="365" hidden="1" customWidth="1"/>
    <col min="9726" max="9726" width="15.5703125" style="365" customWidth="1"/>
    <col min="9727" max="9727" width="44.5703125" style="365" customWidth="1"/>
    <col min="9728" max="9728" width="14.28515625" style="365" bestFit="1" customWidth="1"/>
    <col min="9729" max="9729" width="0" style="365" hidden="1" customWidth="1"/>
    <col min="9730" max="9730" width="18.140625" style="365" customWidth="1"/>
    <col min="9731" max="9731" width="0" style="365" hidden="1" customWidth="1"/>
    <col min="9732" max="9732" width="14" style="365" customWidth="1"/>
    <col min="9733" max="9733" width="0" style="365" hidden="1" customWidth="1"/>
    <col min="9734" max="9734" width="20.85546875" style="365" customWidth="1"/>
    <col min="9735" max="9735" width="0" style="365" hidden="1" customWidth="1"/>
    <col min="9736" max="9736" width="13.28515625" style="365" customWidth="1"/>
    <col min="9737" max="9737" width="0" style="365" hidden="1" customWidth="1"/>
    <col min="9738" max="9738" width="15" style="365" customWidth="1"/>
    <col min="9739" max="9739" width="0" style="365" hidden="1" customWidth="1"/>
    <col min="9740" max="9740" width="13.28515625" style="365" customWidth="1"/>
    <col min="9741" max="9741" width="0" style="365" hidden="1" customWidth="1"/>
    <col min="9742" max="9742" width="20.140625" style="365" customWidth="1"/>
    <col min="9743" max="9743" width="14.42578125" style="365" bestFit="1" customWidth="1"/>
    <col min="9744" max="9744" width="14" style="365" bestFit="1" customWidth="1"/>
    <col min="9745" max="9745" width="12.28515625" style="365" bestFit="1" customWidth="1"/>
    <col min="9746" max="9770" width="9.140625" style="365" customWidth="1"/>
    <col min="9771" max="9965" width="8.85546875" style="365"/>
    <col min="9966" max="9966" width="44.5703125" style="365" customWidth="1"/>
    <col min="9967" max="9967" width="14.28515625" style="365" bestFit="1" customWidth="1"/>
    <col min="9968" max="9968" width="1.7109375" style="365" customWidth="1"/>
    <col min="9969" max="9969" width="14.85546875" style="365" customWidth="1"/>
    <col min="9970" max="9970" width="0" style="365" hidden="1" customWidth="1"/>
    <col min="9971" max="9971" width="17.42578125" style="365" customWidth="1"/>
    <col min="9972" max="9972" width="0" style="365" hidden="1" customWidth="1"/>
    <col min="9973" max="9973" width="12.85546875" style="365" customWidth="1"/>
    <col min="9974" max="9974" width="0" style="365" hidden="1" customWidth="1"/>
    <col min="9975" max="9975" width="14.42578125" style="365" customWidth="1"/>
    <col min="9976" max="9976" width="0" style="365" hidden="1" customWidth="1"/>
    <col min="9977" max="9977" width="17.42578125" style="365" customWidth="1"/>
    <col min="9978" max="9978" width="0" style="365" hidden="1" customWidth="1"/>
    <col min="9979" max="9979" width="14" style="365" customWidth="1"/>
    <col min="9980" max="9980" width="14.28515625" style="365" bestFit="1" customWidth="1"/>
    <col min="9981" max="9981" width="0" style="365" hidden="1" customWidth="1"/>
    <col min="9982" max="9982" width="15.5703125" style="365" customWidth="1"/>
    <col min="9983" max="9983" width="44.5703125" style="365" customWidth="1"/>
    <col min="9984" max="9984" width="14.28515625" style="365" bestFit="1" customWidth="1"/>
    <col min="9985" max="9985" width="0" style="365" hidden="1" customWidth="1"/>
    <col min="9986" max="9986" width="18.140625" style="365" customWidth="1"/>
    <col min="9987" max="9987" width="0" style="365" hidden="1" customWidth="1"/>
    <col min="9988" max="9988" width="14" style="365" customWidth="1"/>
    <col min="9989" max="9989" width="0" style="365" hidden="1" customWidth="1"/>
    <col min="9990" max="9990" width="20.85546875" style="365" customWidth="1"/>
    <col min="9991" max="9991" width="0" style="365" hidden="1" customWidth="1"/>
    <col min="9992" max="9992" width="13.28515625" style="365" customWidth="1"/>
    <col min="9993" max="9993" width="0" style="365" hidden="1" customWidth="1"/>
    <col min="9994" max="9994" width="15" style="365" customWidth="1"/>
    <col min="9995" max="9995" width="0" style="365" hidden="1" customWidth="1"/>
    <col min="9996" max="9996" width="13.28515625" style="365" customWidth="1"/>
    <col min="9997" max="9997" width="0" style="365" hidden="1" customWidth="1"/>
    <col min="9998" max="9998" width="20.140625" style="365" customWidth="1"/>
    <col min="9999" max="9999" width="14.42578125" style="365" bestFit="1" customWidth="1"/>
    <col min="10000" max="10000" width="14" style="365" bestFit="1" customWidth="1"/>
    <col min="10001" max="10001" width="12.28515625" style="365" bestFit="1" customWidth="1"/>
    <col min="10002" max="10026" width="9.140625" style="365" customWidth="1"/>
    <col min="10027" max="10221" width="8.85546875" style="365"/>
    <col min="10222" max="10222" width="44.5703125" style="365" customWidth="1"/>
    <col min="10223" max="10223" width="14.28515625" style="365" bestFit="1" customWidth="1"/>
    <col min="10224" max="10224" width="1.7109375" style="365" customWidth="1"/>
    <col min="10225" max="10225" width="14.85546875" style="365" customWidth="1"/>
    <col min="10226" max="10226" width="0" style="365" hidden="1" customWidth="1"/>
    <col min="10227" max="10227" width="17.42578125" style="365" customWidth="1"/>
    <col min="10228" max="10228" width="0" style="365" hidden="1" customWidth="1"/>
    <col min="10229" max="10229" width="12.85546875" style="365" customWidth="1"/>
    <col min="10230" max="10230" width="0" style="365" hidden="1" customWidth="1"/>
    <col min="10231" max="10231" width="14.42578125" style="365" customWidth="1"/>
    <col min="10232" max="10232" width="0" style="365" hidden="1" customWidth="1"/>
    <col min="10233" max="10233" width="17.42578125" style="365" customWidth="1"/>
    <col min="10234" max="10234" width="0" style="365" hidden="1" customWidth="1"/>
    <col min="10235" max="10235" width="14" style="365" customWidth="1"/>
    <col min="10236" max="10236" width="14.28515625" style="365" bestFit="1" customWidth="1"/>
    <col min="10237" max="10237" width="0" style="365" hidden="1" customWidth="1"/>
    <col min="10238" max="10238" width="15.5703125" style="365" customWidth="1"/>
    <col min="10239" max="10239" width="44.5703125" style="365" customWidth="1"/>
    <col min="10240" max="10240" width="14.28515625" style="365" bestFit="1" customWidth="1"/>
    <col min="10241" max="10241" width="0" style="365" hidden="1" customWidth="1"/>
    <col min="10242" max="10242" width="18.140625" style="365" customWidth="1"/>
    <col min="10243" max="10243" width="0" style="365" hidden="1" customWidth="1"/>
    <col min="10244" max="10244" width="14" style="365" customWidth="1"/>
    <col min="10245" max="10245" width="0" style="365" hidden="1" customWidth="1"/>
    <col min="10246" max="10246" width="20.85546875" style="365" customWidth="1"/>
    <col min="10247" max="10247" width="0" style="365" hidden="1" customWidth="1"/>
    <col min="10248" max="10248" width="13.28515625" style="365" customWidth="1"/>
    <col min="10249" max="10249" width="0" style="365" hidden="1" customWidth="1"/>
    <col min="10250" max="10250" width="15" style="365" customWidth="1"/>
    <col min="10251" max="10251" width="0" style="365" hidden="1" customWidth="1"/>
    <col min="10252" max="10252" width="13.28515625" style="365" customWidth="1"/>
    <col min="10253" max="10253" width="0" style="365" hidden="1" customWidth="1"/>
    <col min="10254" max="10254" width="20.140625" style="365" customWidth="1"/>
    <col min="10255" max="10255" width="14.42578125" style="365" bestFit="1" customWidth="1"/>
    <col min="10256" max="10256" width="14" style="365" bestFit="1" customWidth="1"/>
    <col min="10257" max="10257" width="12.28515625" style="365" bestFit="1" customWidth="1"/>
    <col min="10258" max="10282" width="9.140625" style="365" customWidth="1"/>
    <col min="10283" max="10477" width="8.85546875" style="365"/>
    <col min="10478" max="10478" width="44.5703125" style="365" customWidth="1"/>
    <col min="10479" max="10479" width="14.28515625" style="365" bestFit="1" customWidth="1"/>
    <col min="10480" max="10480" width="1.7109375" style="365" customWidth="1"/>
    <col min="10481" max="10481" width="14.85546875" style="365" customWidth="1"/>
    <col min="10482" max="10482" width="0" style="365" hidden="1" customWidth="1"/>
    <col min="10483" max="10483" width="17.42578125" style="365" customWidth="1"/>
    <col min="10484" max="10484" width="0" style="365" hidden="1" customWidth="1"/>
    <col min="10485" max="10485" width="12.85546875" style="365" customWidth="1"/>
    <col min="10486" max="10486" width="0" style="365" hidden="1" customWidth="1"/>
    <col min="10487" max="10487" width="14.42578125" style="365" customWidth="1"/>
    <col min="10488" max="10488" width="0" style="365" hidden="1" customWidth="1"/>
    <col min="10489" max="10489" width="17.42578125" style="365" customWidth="1"/>
    <col min="10490" max="10490" width="0" style="365" hidden="1" customWidth="1"/>
    <col min="10491" max="10491" width="14" style="365" customWidth="1"/>
    <col min="10492" max="10492" width="14.28515625" style="365" bestFit="1" customWidth="1"/>
    <col min="10493" max="10493" width="0" style="365" hidden="1" customWidth="1"/>
    <col min="10494" max="10494" width="15.5703125" style="365" customWidth="1"/>
    <col min="10495" max="10495" width="44.5703125" style="365" customWidth="1"/>
    <col min="10496" max="10496" width="14.28515625" style="365" bestFit="1" customWidth="1"/>
    <col min="10497" max="10497" width="0" style="365" hidden="1" customWidth="1"/>
    <col min="10498" max="10498" width="18.140625" style="365" customWidth="1"/>
    <col min="10499" max="10499" width="0" style="365" hidden="1" customWidth="1"/>
    <col min="10500" max="10500" width="14" style="365" customWidth="1"/>
    <col min="10501" max="10501" width="0" style="365" hidden="1" customWidth="1"/>
    <col min="10502" max="10502" width="20.85546875" style="365" customWidth="1"/>
    <col min="10503" max="10503" width="0" style="365" hidden="1" customWidth="1"/>
    <col min="10504" max="10504" width="13.28515625" style="365" customWidth="1"/>
    <col min="10505" max="10505" width="0" style="365" hidden="1" customWidth="1"/>
    <col min="10506" max="10506" width="15" style="365" customWidth="1"/>
    <col min="10507" max="10507" width="0" style="365" hidden="1" customWidth="1"/>
    <col min="10508" max="10508" width="13.28515625" style="365" customWidth="1"/>
    <col min="10509" max="10509" width="0" style="365" hidden="1" customWidth="1"/>
    <col min="10510" max="10510" width="20.140625" style="365" customWidth="1"/>
    <col min="10511" max="10511" width="14.42578125" style="365" bestFit="1" customWidth="1"/>
    <col min="10512" max="10512" width="14" style="365" bestFit="1" customWidth="1"/>
    <col min="10513" max="10513" width="12.28515625" style="365" bestFit="1" customWidth="1"/>
    <col min="10514" max="10538" width="9.140625" style="365" customWidth="1"/>
    <col min="10539" max="10733" width="8.85546875" style="365"/>
    <col min="10734" max="10734" width="44.5703125" style="365" customWidth="1"/>
    <col min="10735" max="10735" width="14.28515625" style="365" bestFit="1" customWidth="1"/>
    <col min="10736" max="10736" width="1.7109375" style="365" customWidth="1"/>
    <col min="10737" max="10737" width="14.85546875" style="365" customWidth="1"/>
    <col min="10738" max="10738" width="0" style="365" hidden="1" customWidth="1"/>
    <col min="10739" max="10739" width="17.42578125" style="365" customWidth="1"/>
    <col min="10740" max="10740" width="0" style="365" hidden="1" customWidth="1"/>
    <col min="10741" max="10741" width="12.85546875" style="365" customWidth="1"/>
    <col min="10742" max="10742" width="0" style="365" hidden="1" customWidth="1"/>
    <col min="10743" max="10743" width="14.42578125" style="365" customWidth="1"/>
    <col min="10744" max="10744" width="0" style="365" hidden="1" customWidth="1"/>
    <col min="10745" max="10745" width="17.42578125" style="365" customWidth="1"/>
    <col min="10746" max="10746" width="0" style="365" hidden="1" customWidth="1"/>
    <col min="10747" max="10747" width="14" style="365" customWidth="1"/>
    <col min="10748" max="10748" width="14.28515625" style="365" bestFit="1" customWidth="1"/>
    <col min="10749" max="10749" width="0" style="365" hidden="1" customWidth="1"/>
    <col min="10750" max="10750" width="15.5703125" style="365" customWidth="1"/>
    <col min="10751" max="10751" width="44.5703125" style="365" customWidth="1"/>
    <col min="10752" max="10752" width="14.28515625" style="365" bestFit="1" customWidth="1"/>
    <col min="10753" max="10753" width="0" style="365" hidden="1" customWidth="1"/>
    <col min="10754" max="10754" width="18.140625" style="365" customWidth="1"/>
    <col min="10755" max="10755" width="0" style="365" hidden="1" customWidth="1"/>
    <col min="10756" max="10756" width="14" style="365" customWidth="1"/>
    <col min="10757" max="10757" width="0" style="365" hidden="1" customWidth="1"/>
    <col min="10758" max="10758" width="20.85546875" style="365" customWidth="1"/>
    <col min="10759" max="10759" width="0" style="365" hidden="1" customWidth="1"/>
    <col min="10760" max="10760" width="13.28515625" style="365" customWidth="1"/>
    <col min="10761" max="10761" width="0" style="365" hidden="1" customWidth="1"/>
    <col min="10762" max="10762" width="15" style="365" customWidth="1"/>
    <col min="10763" max="10763" width="0" style="365" hidden="1" customWidth="1"/>
    <col min="10764" max="10764" width="13.28515625" style="365" customWidth="1"/>
    <col min="10765" max="10765" width="0" style="365" hidden="1" customWidth="1"/>
    <col min="10766" max="10766" width="20.140625" style="365" customWidth="1"/>
    <col min="10767" max="10767" width="14.42578125" style="365" bestFit="1" customWidth="1"/>
    <col min="10768" max="10768" width="14" style="365" bestFit="1" customWidth="1"/>
    <col min="10769" max="10769" width="12.28515625" style="365" bestFit="1" customWidth="1"/>
    <col min="10770" max="10794" width="9.140625" style="365" customWidth="1"/>
    <col min="10795" max="10989" width="8.85546875" style="365"/>
    <col min="10990" max="10990" width="44.5703125" style="365" customWidth="1"/>
    <col min="10991" max="10991" width="14.28515625" style="365" bestFit="1" customWidth="1"/>
    <col min="10992" max="10992" width="1.7109375" style="365" customWidth="1"/>
    <col min="10993" max="10993" width="14.85546875" style="365" customWidth="1"/>
    <col min="10994" max="10994" width="0" style="365" hidden="1" customWidth="1"/>
    <col min="10995" max="10995" width="17.42578125" style="365" customWidth="1"/>
    <col min="10996" max="10996" width="0" style="365" hidden="1" customWidth="1"/>
    <col min="10997" max="10997" width="12.85546875" style="365" customWidth="1"/>
    <col min="10998" max="10998" width="0" style="365" hidden="1" customWidth="1"/>
    <col min="10999" max="10999" width="14.42578125" style="365" customWidth="1"/>
    <col min="11000" max="11000" width="0" style="365" hidden="1" customWidth="1"/>
    <col min="11001" max="11001" width="17.42578125" style="365" customWidth="1"/>
    <col min="11002" max="11002" width="0" style="365" hidden="1" customWidth="1"/>
    <col min="11003" max="11003" width="14" style="365" customWidth="1"/>
    <col min="11004" max="11004" width="14.28515625" style="365" bestFit="1" customWidth="1"/>
    <col min="11005" max="11005" width="0" style="365" hidden="1" customWidth="1"/>
    <col min="11006" max="11006" width="15.5703125" style="365" customWidth="1"/>
    <col min="11007" max="11007" width="44.5703125" style="365" customWidth="1"/>
    <col min="11008" max="11008" width="14.28515625" style="365" bestFit="1" customWidth="1"/>
    <col min="11009" max="11009" width="0" style="365" hidden="1" customWidth="1"/>
    <col min="11010" max="11010" width="18.140625" style="365" customWidth="1"/>
    <col min="11011" max="11011" width="0" style="365" hidden="1" customWidth="1"/>
    <col min="11012" max="11012" width="14" style="365" customWidth="1"/>
    <col min="11013" max="11013" width="0" style="365" hidden="1" customWidth="1"/>
    <col min="11014" max="11014" width="20.85546875" style="365" customWidth="1"/>
    <col min="11015" max="11015" width="0" style="365" hidden="1" customWidth="1"/>
    <col min="11016" max="11016" width="13.28515625" style="365" customWidth="1"/>
    <col min="11017" max="11017" width="0" style="365" hidden="1" customWidth="1"/>
    <col min="11018" max="11018" width="15" style="365" customWidth="1"/>
    <col min="11019" max="11019" width="0" style="365" hidden="1" customWidth="1"/>
    <col min="11020" max="11020" width="13.28515625" style="365" customWidth="1"/>
    <col min="11021" max="11021" width="0" style="365" hidden="1" customWidth="1"/>
    <col min="11022" max="11022" width="20.140625" style="365" customWidth="1"/>
    <col min="11023" max="11023" width="14.42578125" style="365" bestFit="1" customWidth="1"/>
    <col min="11024" max="11024" width="14" style="365" bestFit="1" customWidth="1"/>
    <col min="11025" max="11025" width="12.28515625" style="365" bestFit="1" customWidth="1"/>
    <col min="11026" max="11050" width="9.140625" style="365" customWidth="1"/>
    <col min="11051" max="11245" width="8.85546875" style="365"/>
    <col min="11246" max="11246" width="44.5703125" style="365" customWidth="1"/>
    <col min="11247" max="11247" width="14.28515625" style="365" bestFit="1" customWidth="1"/>
    <col min="11248" max="11248" width="1.7109375" style="365" customWidth="1"/>
    <col min="11249" max="11249" width="14.85546875" style="365" customWidth="1"/>
    <col min="11250" max="11250" width="0" style="365" hidden="1" customWidth="1"/>
    <col min="11251" max="11251" width="17.42578125" style="365" customWidth="1"/>
    <col min="11252" max="11252" width="0" style="365" hidden="1" customWidth="1"/>
    <col min="11253" max="11253" width="12.85546875" style="365" customWidth="1"/>
    <col min="11254" max="11254" width="0" style="365" hidden="1" customWidth="1"/>
    <col min="11255" max="11255" width="14.42578125" style="365" customWidth="1"/>
    <col min="11256" max="11256" width="0" style="365" hidden="1" customWidth="1"/>
    <col min="11257" max="11257" width="17.42578125" style="365" customWidth="1"/>
    <col min="11258" max="11258" width="0" style="365" hidden="1" customWidth="1"/>
    <col min="11259" max="11259" width="14" style="365" customWidth="1"/>
    <col min="11260" max="11260" width="14.28515625" style="365" bestFit="1" customWidth="1"/>
    <col min="11261" max="11261" width="0" style="365" hidden="1" customWidth="1"/>
    <col min="11262" max="11262" width="15.5703125" style="365" customWidth="1"/>
    <col min="11263" max="11263" width="44.5703125" style="365" customWidth="1"/>
    <col min="11264" max="11264" width="14.28515625" style="365" bestFit="1" customWidth="1"/>
    <col min="11265" max="11265" width="0" style="365" hidden="1" customWidth="1"/>
    <col min="11266" max="11266" width="18.140625" style="365" customWidth="1"/>
    <col min="11267" max="11267" width="0" style="365" hidden="1" customWidth="1"/>
    <col min="11268" max="11268" width="14" style="365" customWidth="1"/>
    <col min="11269" max="11269" width="0" style="365" hidden="1" customWidth="1"/>
    <col min="11270" max="11270" width="20.85546875" style="365" customWidth="1"/>
    <col min="11271" max="11271" width="0" style="365" hidden="1" customWidth="1"/>
    <col min="11272" max="11272" width="13.28515625" style="365" customWidth="1"/>
    <col min="11273" max="11273" width="0" style="365" hidden="1" customWidth="1"/>
    <col min="11274" max="11274" width="15" style="365" customWidth="1"/>
    <col min="11275" max="11275" width="0" style="365" hidden="1" customWidth="1"/>
    <col min="11276" max="11276" width="13.28515625" style="365" customWidth="1"/>
    <col min="11277" max="11277" width="0" style="365" hidden="1" customWidth="1"/>
    <col min="11278" max="11278" width="20.140625" style="365" customWidth="1"/>
    <col min="11279" max="11279" width="14.42578125" style="365" bestFit="1" customWidth="1"/>
    <col min="11280" max="11280" width="14" style="365" bestFit="1" customWidth="1"/>
    <col min="11281" max="11281" width="12.28515625" style="365" bestFit="1" customWidth="1"/>
    <col min="11282" max="11306" width="9.140625" style="365" customWidth="1"/>
    <col min="11307" max="11501" width="8.85546875" style="365"/>
    <col min="11502" max="11502" width="44.5703125" style="365" customWidth="1"/>
    <col min="11503" max="11503" width="14.28515625" style="365" bestFit="1" customWidth="1"/>
    <col min="11504" max="11504" width="1.7109375" style="365" customWidth="1"/>
    <col min="11505" max="11505" width="14.85546875" style="365" customWidth="1"/>
    <col min="11506" max="11506" width="0" style="365" hidden="1" customWidth="1"/>
    <col min="11507" max="11507" width="17.42578125" style="365" customWidth="1"/>
    <col min="11508" max="11508" width="0" style="365" hidden="1" customWidth="1"/>
    <col min="11509" max="11509" width="12.85546875" style="365" customWidth="1"/>
    <col min="11510" max="11510" width="0" style="365" hidden="1" customWidth="1"/>
    <col min="11511" max="11511" width="14.42578125" style="365" customWidth="1"/>
    <col min="11512" max="11512" width="0" style="365" hidden="1" customWidth="1"/>
    <col min="11513" max="11513" width="17.42578125" style="365" customWidth="1"/>
    <col min="11514" max="11514" width="0" style="365" hidden="1" customWidth="1"/>
    <col min="11515" max="11515" width="14" style="365" customWidth="1"/>
    <col min="11516" max="11516" width="14.28515625" style="365" bestFit="1" customWidth="1"/>
    <col min="11517" max="11517" width="0" style="365" hidden="1" customWidth="1"/>
    <col min="11518" max="11518" width="15.5703125" style="365" customWidth="1"/>
    <col min="11519" max="11519" width="44.5703125" style="365" customWidth="1"/>
    <col min="11520" max="11520" width="14.28515625" style="365" bestFit="1" customWidth="1"/>
    <col min="11521" max="11521" width="0" style="365" hidden="1" customWidth="1"/>
    <col min="11522" max="11522" width="18.140625" style="365" customWidth="1"/>
    <col min="11523" max="11523" width="0" style="365" hidden="1" customWidth="1"/>
    <col min="11524" max="11524" width="14" style="365" customWidth="1"/>
    <col min="11525" max="11525" width="0" style="365" hidden="1" customWidth="1"/>
    <col min="11526" max="11526" width="20.85546875" style="365" customWidth="1"/>
    <col min="11527" max="11527" width="0" style="365" hidden="1" customWidth="1"/>
    <col min="11528" max="11528" width="13.28515625" style="365" customWidth="1"/>
    <col min="11529" max="11529" width="0" style="365" hidden="1" customWidth="1"/>
    <col min="11530" max="11530" width="15" style="365" customWidth="1"/>
    <col min="11531" max="11531" width="0" style="365" hidden="1" customWidth="1"/>
    <col min="11532" max="11532" width="13.28515625" style="365" customWidth="1"/>
    <col min="11533" max="11533" width="0" style="365" hidden="1" customWidth="1"/>
    <col min="11534" max="11534" width="20.140625" style="365" customWidth="1"/>
    <col min="11535" max="11535" width="14.42578125" style="365" bestFit="1" customWidth="1"/>
    <col min="11536" max="11536" width="14" style="365" bestFit="1" customWidth="1"/>
    <col min="11537" max="11537" width="12.28515625" style="365" bestFit="1" customWidth="1"/>
    <col min="11538" max="11562" width="9.140625" style="365" customWidth="1"/>
    <col min="11563" max="11757" width="8.85546875" style="365"/>
    <col min="11758" max="11758" width="44.5703125" style="365" customWidth="1"/>
    <col min="11759" max="11759" width="14.28515625" style="365" bestFit="1" customWidth="1"/>
    <col min="11760" max="11760" width="1.7109375" style="365" customWidth="1"/>
    <col min="11761" max="11761" width="14.85546875" style="365" customWidth="1"/>
    <col min="11762" max="11762" width="0" style="365" hidden="1" customWidth="1"/>
    <col min="11763" max="11763" width="17.42578125" style="365" customWidth="1"/>
    <col min="11764" max="11764" width="0" style="365" hidden="1" customWidth="1"/>
    <col min="11765" max="11765" width="12.85546875" style="365" customWidth="1"/>
    <col min="11766" max="11766" width="0" style="365" hidden="1" customWidth="1"/>
    <col min="11767" max="11767" width="14.42578125" style="365" customWidth="1"/>
    <col min="11768" max="11768" width="0" style="365" hidden="1" customWidth="1"/>
    <col min="11769" max="11769" width="17.42578125" style="365" customWidth="1"/>
    <col min="11770" max="11770" width="0" style="365" hidden="1" customWidth="1"/>
    <col min="11771" max="11771" width="14" style="365" customWidth="1"/>
    <col min="11772" max="11772" width="14.28515625" style="365" bestFit="1" customWidth="1"/>
    <col min="11773" max="11773" width="0" style="365" hidden="1" customWidth="1"/>
    <col min="11774" max="11774" width="15.5703125" style="365" customWidth="1"/>
    <col min="11775" max="11775" width="44.5703125" style="365" customWidth="1"/>
    <col min="11776" max="11776" width="14.28515625" style="365" bestFit="1" customWidth="1"/>
    <col min="11777" max="11777" width="0" style="365" hidden="1" customWidth="1"/>
    <col min="11778" max="11778" width="18.140625" style="365" customWidth="1"/>
    <col min="11779" max="11779" width="0" style="365" hidden="1" customWidth="1"/>
    <col min="11780" max="11780" width="14" style="365" customWidth="1"/>
    <col min="11781" max="11781" width="0" style="365" hidden="1" customWidth="1"/>
    <col min="11782" max="11782" width="20.85546875" style="365" customWidth="1"/>
    <col min="11783" max="11783" width="0" style="365" hidden="1" customWidth="1"/>
    <col min="11784" max="11784" width="13.28515625" style="365" customWidth="1"/>
    <col min="11785" max="11785" width="0" style="365" hidden="1" customWidth="1"/>
    <col min="11786" max="11786" width="15" style="365" customWidth="1"/>
    <col min="11787" max="11787" width="0" style="365" hidden="1" customWidth="1"/>
    <col min="11788" max="11788" width="13.28515625" style="365" customWidth="1"/>
    <col min="11789" max="11789" width="0" style="365" hidden="1" customWidth="1"/>
    <col min="11790" max="11790" width="20.140625" style="365" customWidth="1"/>
    <col min="11791" max="11791" width="14.42578125" style="365" bestFit="1" customWidth="1"/>
    <col min="11792" max="11792" width="14" style="365" bestFit="1" customWidth="1"/>
    <col min="11793" max="11793" width="12.28515625" style="365" bestFit="1" customWidth="1"/>
    <col min="11794" max="11818" width="9.140625" style="365" customWidth="1"/>
    <col min="11819" max="12013" width="8.85546875" style="365"/>
    <col min="12014" max="12014" width="44.5703125" style="365" customWidth="1"/>
    <col min="12015" max="12015" width="14.28515625" style="365" bestFit="1" customWidth="1"/>
    <col min="12016" max="12016" width="1.7109375" style="365" customWidth="1"/>
    <col min="12017" max="12017" width="14.85546875" style="365" customWidth="1"/>
    <col min="12018" max="12018" width="0" style="365" hidden="1" customWidth="1"/>
    <col min="12019" max="12019" width="17.42578125" style="365" customWidth="1"/>
    <col min="12020" max="12020" width="0" style="365" hidden="1" customWidth="1"/>
    <col min="12021" max="12021" width="12.85546875" style="365" customWidth="1"/>
    <col min="12022" max="12022" width="0" style="365" hidden="1" customWidth="1"/>
    <col min="12023" max="12023" width="14.42578125" style="365" customWidth="1"/>
    <col min="12024" max="12024" width="0" style="365" hidden="1" customWidth="1"/>
    <col min="12025" max="12025" width="17.42578125" style="365" customWidth="1"/>
    <col min="12026" max="12026" width="0" style="365" hidden="1" customWidth="1"/>
    <col min="12027" max="12027" width="14" style="365" customWidth="1"/>
    <col min="12028" max="12028" width="14.28515625" style="365" bestFit="1" customWidth="1"/>
    <col min="12029" max="12029" width="0" style="365" hidden="1" customWidth="1"/>
    <col min="12030" max="12030" width="15.5703125" style="365" customWidth="1"/>
    <col min="12031" max="12031" width="44.5703125" style="365" customWidth="1"/>
    <col min="12032" max="12032" width="14.28515625" style="365" bestFit="1" customWidth="1"/>
    <col min="12033" max="12033" width="0" style="365" hidden="1" customWidth="1"/>
    <col min="12034" max="12034" width="18.140625" style="365" customWidth="1"/>
    <col min="12035" max="12035" width="0" style="365" hidden="1" customWidth="1"/>
    <col min="12036" max="12036" width="14" style="365" customWidth="1"/>
    <col min="12037" max="12037" width="0" style="365" hidden="1" customWidth="1"/>
    <col min="12038" max="12038" width="20.85546875" style="365" customWidth="1"/>
    <col min="12039" max="12039" width="0" style="365" hidden="1" customWidth="1"/>
    <col min="12040" max="12040" width="13.28515625" style="365" customWidth="1"/>
    <col min="12041" max="12041" width="0" style="365" hidden="1" customWidth="1"/>
    <col min="12042" max="12042" width="15" style="365" customWidth="1"/>
    <col min="12043" max="12043" width="0" style="365" hidden="1" customWidth="1"/>
    <col min="12044" max="12044" width="13.28515625" style="365" customWidth="1"/>
    <col min="12045" max="12045" width="0" style="365" hidden="1" customWidth="1"/>
    <col min="12046" max="12046" width="20.140625" style="365" customWidth="1"/>
    <col min="12047" max="12047" width="14.42578125" style="365" bestFit="1" customWidth="1"/>
    <col min="12048" max="12048" width="14" style="365" bestFit="1" customWidth="1"/>
    <col min="12049" max="12049" width="12.28515625" style="365" bestFit="1" customWidth="1"/>
    <col min="12050" max="12074" width="9.140625" style="365" customWidth="1"/>
    <col min="12075" max="12269" width="8.85546875" style="365"/>
    <col min="12270" max="12270" width="44.5703125" style="365" customWidth="1"/>
    <col min="12271" max="12271" width="14.28515625" style="365" bestFit="1" customWidth="1"/>
    <col min="12272" max="12272" width="1.7109375" style="365" customWidth="1"/>
    <col min="12273" max="12273" width="14.85546875" style="365" customWidth="1"/>
    <col min="12274" max="12274" width="0" style="365" hidden="1" customWidth="1"/>
    <col min="12275" max="12275" width="17.42578125" style="365" customWidth="1"/>
    <col min="12276" max="12276" width="0" style="365" hidden="1" customWidth="1"/>
    <col min="12277" max="12277" width="12.85546875" style="365" customWidth="1"/>
    <col min="12278" max="12278" width="0" style="365" hidden="1" customWidth="1"/>
    <col min="12279" max="12279" width="14.42578125" style="365" customWidth="1"/>
    <col min="12280" max="12280" width="0" style="365" hidden="1" customWidth="1"/>
    <col min="12281" max="12281" width="17.42578125" style="365" customWidth="1"/>
    <col min="12282" max="12282" width="0" style="365" hidden="1" customWidth="1"/>
    <col min="12283" max="12283" width="14" style="365" customWidth="1"/>
    <col min="12284" max="12284" width="14.28515625" style="365" bestFit="1" customWidth="1"/>
    <col min="12285" max="12285" width="0" style="365" hidden="1" customWidth="1"/>
    <col min="12286" max="12286" width="15.5703125" style="365" customWidth="1"/>
    <col min="12287" max="12287" width="44.5703125" style="365" customWidth="1"/>
    <col min="12288" max="12288" width="14.28515625" style="365" bestFit="1" customWidth="1"/>
    <col min="12289" max="12289" width="0" style="365" hidden="1" customWidth="1"/>
    <col min="12290" max="12290" width="18.140625" style="365" customWidth="1"/>
    <col min="12291" max="12291" width="0" style="365" hidden="1" customWidth="1"/>
    <col min="12292" max="12292" width="14" style="365" customWidth="1"/>
    <col min="12293" max="12293" width="0" style="365" hidden="1" customWidth="1"/>
    <col min="12294" max="12294" width="20.85546875" style="365" customWidth="1"/>
    <col min="12295" max="12295" width="0" style="365" hidden="1" customWidth="1"/>
    <col min="12296" max="12296" width="13.28515625" style="365" customWidth="1"/>
    <col min="12297" max="12297" width="0" style="365" hidden="1" customWidth="1"/>
    <col min="12298" max="12298" width="15" style="365" customWidth="1"/>
    <col min="12299" max="12299" width="0" style="365" hidden="1" customWidth="1"/>
    <col min="12300" max="12300" width="13.28515625" style="365" customWidth="1"/>
    <col min="12301" max="12301" width="0" style="365" hidden="1" customWidth="1"/>
    <col min="12302" max="12302" width="20.140625" style="365" customWidth="1"/>
    <col min="12303" max="12303" width="14.42578125" style="365" bestFit="1" customWidth="1"/>
    <col min="12304" max="12304" width="14" style="365" bestFit="1" customWidth="1"/>
    <col min="12305" max="12305" width="12.28515625" style="365" bestFit="1" customWidth="1"/>
    <col min="12306" max="12330" width="9.140625" style="365" customWidth="1"/>
    <col min="12331" max="12525" width="8.85546875" style="365"/>
    <col min="12526" max="12526" width="44.5703125" style="365" customWidth="1"/>
    <col min="12527" max="12527" width="14.28515625" style="365" bestFit="1" customWidth="1"/>
    <col min="12528" max="12528" width="1.7109375" style="365" customWidth="1"/>
    <col min="12529" max="12529" width="14.85546875" style="365" customWidth="1"/>
    <col min="12530" max="12530" width="0" style="365" hidden="1" customWidth="1"/>
    <col min="12531" max="12531" width="17.42578125" style="365" customWidth="1"/>
    <col min="12532" max="12532" width="0" style="365" hidden="1" customWidth="1"/>
    <col min="12533" max="12533" width="12.85546875" style="365" customWidth="1"/>
    <col min="12534" max="12534" width="0" style="365" hidden="1" customWidth="1"/>
    <col min="12535" max="12535" width="14.42578125" style="365" customWidth="1"/>
    <col min="12536" max="12536" width="0" style="365" hidden="1" customWidth="1"/>
    <col min="12537" max="12537" width="17.42578125" style="365" customWidth="1"/>
    <col min="12538" max="12538" width="0" style="365" hidden="1" customWidth="1"/>
    <col min="12539" max="12539" width="14" style="365" customWidth="1"/>
    <col min="12540" max="12540" width="14.28515625" style="365" bestFit="1" customWidth="1"/>
    <col min="12541" max="12541" width="0" style="365" hidden="1" customWidth="1"/>
    <col min="12542" max="12542" width="15.5703125" style="365" customWidth="1"/>
    <col min="12543" max="12543" width="44.5703125" style="365" customWidth="1"/>
    <col min="12544" max="12544" width="14.28515625" style="365" bestFit="1" customWidth="1"/>
    <col min="12545" max="12545" width="0" style="365" hidden="1" customWidth="1"/>
    <col min="12546" max="12546" width="18.140625" style="365" customWidth="1"/>
    <col min="12547" max="12547" width="0" style="365" hidden="1" customWidth="1"/>
    <col min="12548" max="12548" width="14" style="365" customWidth="1"/>
    <col min="12549" max="12549" width="0" style="365" hidden="1" customWidth="1"/>
    <col min="12550" max="12550" width="20.85546875" style="365" customWidth="1"/>
    <col min="12551" max="12551" width="0" style="365" hidden="1" customWidth="1"/>
    <col min="12552" max="12552" width="13.28515625" style="365" customWidth="1"/>
    <col min="12553" max="12553" width="0" style="365" hidden="1" customWidth="1"/>
    <col min="12554" max="12554" width="15" style="365" customWidth="1"/>
    <col min="12555" max="12555" width="0" style="365" hidden="1" customWidth="1"/>
    <col min="12556" max="12556" width="13.28515625" style="365" customWidth="1"/>
    <col min="12557" max="12557" width="0" style="365" hidden="1" customWidth="1"/>
    <col min="12558" max="12558" width="20.140625" style="365" customWidth="1"/>
    <col min="12559" max="12559" width="14.42578125" style="365" bestFit="1" customWidth="1"/>
    <col min="12560" max="12560" width="14" style="365" bestFit="1" customWidth="1"/>
    <col min="12561" max="12561" width="12.28515625" style="365" bestFit="1" customWidth="1"/>
    <col min="12562" max="12586" width="9.140625" style="365" customWidth="1"/>
    <col min="12587" max="12781" width="8.85546875" style="365"/>
    <col min="12782" max="12782" width="44.5703125" style="365" customWidth="1"/>
    <col min="12783" max="12783" width="14.28515625" style="365" bestFit="1" customWidth="1"/>
    <col min="12784" max="12784" width="1.7109375" style="365" customWidth="1"/>
    <col min="12785" max="12785" width="14.85546875" style="365" customWidth="1"/>
    <col min="12786" max="12786" width="0" style="365" hidden="1" customWidth="1"/>
    <col min="12787" max="12787" width="17.42578125" style="365" customWidth="1"/>
    <col min="12788" max="12788" width="0" style="365" hidden="1" customWidth="1"/>
    <col min="12789" max="12789" width="12.85546875" style="365" customWidth="1"/>
    <col min="12790" max="12790" width="0" style="365" hidden="1" customWidth="1"/>
    <col min="12791" max="12791" width="14.42578125" style="365" customWidth="1"/>
    <col min="12792" max="12792" width="0" style="365" hidden="1" customWidth="1"/>
    <col min="12793" max="12793" width="17.42578125" style="365" customWidth="1"/>
    <col min="12794" max="12794" width="0" style="365" hidden="1" customWidth="1"/>
    <col min="12795" max="12795" width="14" style="365" customWidth="1"/>
    <col min="12796" max="12796" width="14.28515625" style="365" bestFit="1" customWidth="1"/>
    <col min="12797" max="12797" width="0" style="365" hidden="1" customWidth="1"/>
    <col min="12798" max="12798" width="15.5703125" style="365" customWidth="1"/>
    <col min="12799" max="12799" width="44.5703125" style="365" customWidth="1"/>
    <col min="12800" max="12800" width="14.28515625" style="365" bestFit="1" customWidth="1"/>
    <col min="12801" max="12801" width="0" style="365" hidden="1" customWidth="1"/>
    <col min="12802" max="12802" width="18.140625" style="365" customWidth="1"/>
    <col min="12803" max="12803" width="0" style="365" hidden="1" customWidth="1"/>
    <col min="12804" max="12804" width="14" style="365" customWidth="1"/>
    <col min="12805" max="12805" width="0" style="365" hidden="1" customWidth="1"/>
    <col min="12806" max="12806" width="20.85546875" style="365" customWidth="1"/>
    <col min="12807" max="12807" width="0" style="365" hidden="1" customWidth="1"/>
    <col min="12808" max="12808" width="13.28515625" style="365" customWidth="1"/>
    <col min="12809" max="12809" width="0" style="365" hidden="1" customWidth="1"/>
    <col min="12810" max="12810" width="15" style="365" customWidth="1"/>
    <col min="12811" max="12811" width="0" style="365" hidden="1" customWidth="1"/>
    <col min="12812" max="12812" width="13.28515625" style="365" customWidth="1"/>
    <col min="12813" max="12813" width="0" style="365" hidden="1" customWidth="1"/>
    <col min="12814" max="12814" width="20.140625" style="365" customWidth="1"/>
    <col min="12815" max="12815" width="14.42578125" style="365" bestFit="1" customWidth="1"/>
    <col min="12816" max="12816" width="14" style="365" bestFit="1" customWidth="1"/>
    <col min="12817" max="12817" width="12.28515625" style="365" bestFit="1" customWidth="1"/>
    <col min="12818" max="12842" width="9.140625" style="365" customWidth="1"/>
    <col min="12843" max="13037" width="8.85546875" style="365"/>
    <col min="13038" max="13038" width="44.5703125" style="365" customWidth="1"/>
    <col min="13039" max="13039" width="14.28515625" style="365" bestFit="1" customWidth="1"/>
    <col min="13040" max="13040" width="1.7109375" style="365" customWidth="1"/>
    <col min="13041" max="13041" width="14.85546875" style="365" customWidth="1"/>
    <col min="13042" max="13042" width="0" style="365" hidden="1" customWidth="1"/>
    <col min="13043" max="13043" width="17.42578125" style="365" customWidth="1"/>
    <col min="13044" max="13044" width="0" style="365" hidden="1" customWidth="1"/>
    <col min="13045" max="13045" width="12.85546875" style="365" customWidth="1"/>
    <col min="13046" max="13046" width="0" style="365" hidden="1" customWidth="1"/>
    <col min="13047" max="13047" width="14.42578125" style="365" customWidth="1"/>
    <col min="13048" max="13048" width="0" style="365" hidden="1" customWidth="1"/>
    <col min="13049" max="13049" width="17.42578125" style="365" customWidth="1"/>
    <col min="13050" max="13050" width="0" style="365" hidden="1" customWidth="1"/>
    <col min="13051" max="13051" width="14" style="365" customWidth="1"/>
    <col min="13052" max="13052" width="14.28515625" style="365" bestFit="1" customWidth="1"/>
    <col min="13053" max="13053" width="0" style="365" hidden="1" customWidth="1"/>
    <col min="13054" max="13054" width="15.5703125" style="365" customWidth="1"/>
    <col min="13055" max="13055" width="44.5703125" style="365" customWidth="1"/>
    <col min="13056" max="13056" width="14.28515625" style="365" bestFit="1" customWidth="1"/>
    <col min="13057" max="13057" width="0" style="365" hidden="1" customWidth="1"/>
    <col min="13058" max="13058" width="18.140625" style="365" customWidth="1"/>
    <col min="13059" max="13059" width="0" style="365" hidden="1" customWidth="1"/>
    <col min="13060" max="13060" width="14" style="365" customWidth="1"/>
    <col min="13061" max="13061" width="0" style="365" hidden="1" customWidth="1"/>
    <col min="13062" max="13062" width="20.85546875" style="365" customWidth="1"/>
    <col min="13063" max="13063" width="0" style="365" hidden="1" customWidth="1"/>
    <col min="13064" max="13064" width="13.28515625" style="365" customWidth="1"/>
    <col min="13065" max="13065" width="0" style="365" hidden="1" customWidth="1"/>
    <col min="13066" max="13066" width="15" style="365" customWidth="1"/>
    <col min="13067" max="13067" width="0" style="365" hidden="1" customWidth="1"/>
    <col min="13068" max="13068" width="13.28515625" style="365" customWidth="1"/>
    <col min="13069" max="13069" width="0" style="365" hidden="1" customWidth="1"/>
    <col min="13070" max="13070" width="20.140625" style="365" customWidth="1"/>
    <col min="13071" max="13071" width="14.42578125" style="365" bestFit="1" customWidth="1"/>
    <col min="13072" max="13072" width="14" style="365" bestFit="1" customWidth="1"/>
    <col min="13073" max="13073" width="12.28515625" style="365" bestFit="1" customWidth="1"/>
    <col min="13074" max="13098" width="9.140625" style="365" customWidth="1"/>
    <col min="13099" max="13293" width="8.85546875" style="365"/>
    <col min="13294" max="13294" width="44.5703125" style="365" customWidth="1"/>
    <col min="13295" max="13295" width="14.28515625" style="365" bestFit="1" customWidth="1"/>
    <col min="13296" max="13296" width="1.7109375" style="365" customWidth="1"/>
    <col min="13297" max="13297" width="14.85546875" style="365" customWidth="1"/>
    <col min="13298" max="13298" width="0" style="365" hidden="1" customWidth="1"/>
    <col min="13299" max="13299" width="17.42578125" style="365" customWidth="1"/>
    <col min="13300" max="13300" width="0" style="365" hidden="1" customWidth="1"/>
    <col min="13301" max="13301" width="12.85546875" style="365" customWidth="1"/>
    <col min="13302" max="13302" width="0" style="365" hidden="1" customWidth="1"/>
    <col min="13303" max="13303" width="14.42578125" style="365" customWidth="1"/>
    <col min="13304" max="13304" width="0" style="365" hidden="1" customWidth="1"/>
    <col min="13305" max="13305" width="17.42578125" style="365" customWidth="1"/>
    <col min="13306" max="13306" width="0" style="365" hidden="1" customWidth="1"/>
    <col min="13307" max="13307" width="14" style="365" customWidth="1"/>
    <col min="13308" max="13308" width="14.28515625" style="365" bestFit="1" customWidth="1"/>
    <col min="13309" max="13309" width="0" style="365" hidden="1" customWidth="1"/>
    <col min="13310" max="13310" width="15.5703125" style="365" customWidth="1"/>
    <col min="13311" max="13311" width="44.5703125" style="365" customWidth="1"/>
    <col min="13312" max="13312" width="14.28515625" style="365" bestFit="1" customWidth="1"/>
    <col min="13313" max="13313" width="0" style="365" hidden="1" customWidth="1"/>
    <col min="13314" max="13314" width="18.140625" style="365" customWidth="1"/>
    <col min="13315" max="13315" width="0" style="365" hidden="1" customWidth="1"/>
    <col min="13316" max="13316" width="14" style="365" customWidth="1"/>
    <col min="13317" max="13317" width="0" style="365" hidden="1" customWidth="1"/>
    <col min="13318" max="13318" width="20.85546875" style="365" customWidth="1"/>
    <col min="13319" max="13319" width="0" style="365" hidden="1" customWidth="1"/>
    <col min="13320" max="13320" width="13.28515625" style="365" customWidth="1"/>
    <col min="13321" max="13321" width="0" style="365" hidden="1" customWidth="1"/>
    <col min="13322" max="13322" width="15" style="365" customWidth="1"/>
    <col min="13323" max="13323" width="0" style="365" hidden="1" customWidth="1"/>
    <col min="13324" max="13324" width="13.28515625" style="365" customWidth="1"/>
    <col min="13325" max="13325" width="0" style="365" hidden="1" customWidth="1"/>
    <col min="13326" max="13326" width="20.140625" style="365" customWidth="1"/>
    <col min="13327" max="13327" width="14.42578125" style="365" bestFit="1" customWidth="1"/>
    <col min="13328" max="13328" width="14" style="365" bestFit="1" customWidth="1"/>
    <col min="13329" max="13329" width="12.28515625" style="365" bestFit="1" customWidth="1"/>
    <col min="13330" max="13354" width="9.140625" style="365" customWidth="1"/>
    <col min="13355" max="13549" width="8.85546875" style="365"/>
    <col min="13550" max="13550" width="44.5703125" style="365" customWidth="1"/>
    <col min="13551" max="13551" width="14.28515625" style="365" bestFit="1" customWidth="1"/>
    <col min="13552" max="13552" width="1.7109375" style="365" customWidth="1"/>
    <col min="13553" max="13553" width="14.85546875" style="365" customWidth="1"/>
    <col min="13554" max="13554" width="0" style="365" hidden="1" customWidth="1"/>
    <col min="13555" max="13555" width="17.42578125" style="365" customWidth="1"/>
    <col min="13556" max="13556" width="0" style="365" hidden="1" customWidth="1"/>
    <col min="13557" max="13557" width="12.85546875" style="365" customWidth="1"/>
    <col min="13558" max="13558" width="0" style="365" hidden="1" customWidth="1"/>
    <col min="13559" max="13559" width="14.42578125" style="365" customWidth="1"/>
    <col min="13560" max="13560" width="0" style="365" hidden="1" customWidth="1"/>
    <col min="13561" max="13561" width="17.42578125" style="365" customWidth="1"/>
    <col min="13562" max="13562" width="0" style="365" hidden="1" customWidth="1"/>
    <col min="13563" max="13563" width="14" style="365" customWidth="1"/>
    <col min="13564" max="13564" width="14.28515625" style="365" bestFit="1" customWidth="1"/>
    <col min="13565" max="13565" width="0" style="365" hidden="1" customWidth="1"/>
    <col min="13566" max="13566" width="15.5703125" style="365" customWidth="1"/>
    <col min="13567" max="13567" width="44.5703125" style="365" customWidth="1"/>
    <col min="13568" max="13568" width="14.28515625" style="365" bestFit="1" customWidth="1"/>
    <col min="13569" max="13569" width="0" style="365" hidden="1" customWidth="1"/>
    <col min="13570" max="13570" width="18.140625" style="365" customWidth="1"/>
    <col min="13571" max="13571" width="0" style="365" hidden="1" customWidth="1"/>
    <col min="13572" max="13572" width="14" style="365" customWidth="1"/>
    <col min="13573" max="13573" width="0" style="365" hidden="1" customWidth="1"/>
    <col min="13574" max="13574" width="20.85546875" style="365" customWidth="1"/>
    <col min="13575" max="13575" width="0" style="365" hidden="1" customWidth="1"/>
    <col min="13576" max="13576" width="13.28515625" style="365" customWidth="1"/>
    <col min="13577" max="13577" width="0" style="365" hidden="1" customWidth="1"/>
    <col min="13578" max="13578" width="15" style="365" customWidth="1"/>
    <col min="13579" max="13579" width="0" style="365" hidden="1" customWidth="1"/>
    <col min="13580" max="13580" width="13.28515625" style="365" customWidth="1"/>
    <col min="13581" max="13581" width="0" style="365" hidden="1" customWidth="1"/>
    <col min="13582" max="13582" width="20.140625" style="365" customWidth="1"/>
    <col min="13583" max="13583" width="14.42578125" style="365" bestFit="1" customWidth="1"/>
    <col min="13584" max="13584" width="14" style="365" bestFit="1" customWidth="1"/>
    <col min="13585" max="13585" width="12.28515625" style="365" bestFit="1" customWidth="1"/>
    <col min="13586" max="13610" width="9.140625" style="365" customWidth="1"/>
    <col min="13611" max="13805" width="8.85546875" style="365"/>
    <col min="13806" max="13806" width="44.5703125" style="365" customWidth="1"/>
    <col min="13807" max="13807" width="14.28515625" style="365" bestFit="1" customWidth="1"/>
    <col min="13808" max="13808" width="1.7109375" style="365" customWidth="1"/>
    <col min="13809" max="13809" width="14.85546875" style="365" customWidth="1"/>
    <col min="13810" max="13810" width="0" style="365" hidden="1" customWidth="1"/>
    <col min="13811" max="13811" width="17.42578125" style="365" customWidth="1"/>
    <col min="13812" max="13812" width="0" style="365" hidden="1" customWidth="1"/>
    <col min="13813" max="13813" width="12.85546875" style="365" customWidth="1"/>
    <col min="13814" max="13814" width="0" style="365" hidden="1" customWidth="1"/>
    <col min="13815" max="13815" width="14.42578125" style="365" customWidth="1"/>
    <col min="13816" max="13816" width="0" style="365" hidden="1" customWidth="1"/>
    <col min="13817" max="13817" width="17.42578125" style="365" customWidth="1"/>
    <col min="13818" max="13818" width="0" style="365" hidden="1" customWidth="1"/>
    <col min="13819" max="13819" width="14" style="365" customWidth="1"/>
    <col min="13820" max="13820" width="14.28515625" style="365" bestFit="1" customWidth="1"/>
    <col min="13821" max="13821" width="0" style="365" hidden="1" customWidth="1"/>
    <col min="13822" max="13822" width="15.5703125" style="365" customWidth="1"/>
    <col min="13823" max="13823" width="44.5703125" style="365" customWidth="1"/>
    <col min="13824" max="13824" width="14.28515625" style="365" bestFit="1" customWidth="1"/>
    <col min="13825" max="13825" width="0" style="365" hidden="1" customWidth="1"/>
    <col min="13826" max="13826" width="18.140625" style="365" customWidth="1"/>
    <col min="13827" max="13827" width="0" style="365" hidden="1" customWidth="1"/>
    <col min="13828" max="13828" width="14" style="365" customWidth="1"/>
    <col min="13829" max="13829" width="0" style="365" hidden="1" customWidth="1"/>
    <col min="13830" max="13830" width="20.85546875" style="365" customWidth="1"/>
    <col min="13831" max="13831" width="0" style="365" hidden="1" customWidth="1"/>
    <col min="13832" max="13832" width="13.28515625" style="365" customWidth="1"/>
    <col min="13833" max="13833" width="0" style="365" hidden="1" customWidth="1"/>
    <col min="13834" max="13834" width="15" style="365" customWidth="1"/>
    <col min="13835" max="13835" width="0" style="365" hidden="1" customWidth="1"/>
    <col min="13836" max="13836" width="13.28515625" style="365" customWidth="1"/>
    <col min="13837" max="13837" width="0" style="365" hidden="1" customWidth="1"/>
    <col min="13838" max="13838" width="20.140625" style="365" customWidth="1"/>
    <col min="13839" max="13839" width="14.42578125" style="365" bestFit="1" customWidth="1"/>
    <col min="13840" max="13840" width="14" style="365" bestFit="1" customWidth="1"/>
    <col min="13841" max="13841" width="12.28515625" style="365" bestFit="1" customWidth="1"/>
    <col min="13842" max="13866" width="9.140625" style="365" customWidth="1"/>
    <col min="13867" max="14061" width="8.85546875" style="365"/>
    <col min="14062" max="14062" width="44.5703125" style="365" customWidth="1"/>
    <col min="14063" max="14063" width="14.28515625" style="365" bestFit="1" customWidth="1"/>
    <col min="14064" max="14064" width="1.7109375" style="365" customWidth="1"/>
    <col min="14065" max="14065" width="14.85546875" style="365" customWidth="1"/>
    <col min="14066" max="14066" width="0" style="365" hidden="1" customWidth="1"/>
    <col min="14067" max="14067" width="17.42578125" style="365" customWidth="1"/>
    <col min="14068" max="14068" width="0" style="365" hidden="1" customWidth="1"/>
    <col min="14069" max="14069" width="12.85546875" style="365" customWidth="1"/>
    <col min="14070" max="14070" width="0" style="365" hidden="1" customWidth="1"/>
    <col min="14071" max="14071" width="14.42578125" style="365" customWidth="1"/>
    <col min="14072" max="14072" width="0" style="365" hidden="1" customWidth="1"/>
    <col min="14073" max="14073" width="17.42578125" style="365" customWidth="1"/>
    <col min="14074" max="14074" width="0" style="365" hidden="1" customWidth="1"/>
    <col min="14075" max="14075" width="14" style="365" customWidth="1"/>
    <col min="14076" max="14076" width="14.28515625" style="365" bestFit="1" customWidth="1"/>
    <col min="14077" max="14077" width="0" style="365" hidden="1" customWidth="1"/>
    <col min="14078" max="14078" width="15.5703125" style="365" customWidth="1"/>
    <col min="14079" max="14079" width="44.5703125" style="365" customWidth="1"/>
    <col min="14080" max="14080" width="14.28515625" style="365" bestFit="1" customWidth="1"/>
    <col min="14081" max="14081" width="0" style="365" hidden="1" customWidth="1"/>
    <col min="14082" max="14082" width="18.140625" style="365" customWidth="1"/>
    <col min="14083" max="14083" width="0" style="365" hidden="1" customWidth="1"/>
    <col min="14084" max="14084" width="14" style="365" customWidth="1"/>
    <col min="14085" max="14085" width="0" style="365" hidden="1" customWidth="1"/>
    <col min="14086" max="14086" width="20.85546875" style="365" customWidth="1"/>
    <col min="14087" max="14087" width="0" style="365" hidden="1" customWidth="1"/>
    <col min="14088" max="14088" width="13.28515625" style="365" customWidth="1"/>
    <col min="14089" max="14089" width="0" style="365" hidden="1" customWidth="1"/>
    <col min="14090" max="14090" width="15" style="365" customWidth="1"/>
    <col min="14091" max="14091" width="0" style="365" hidden="1" customWidth="1"/>
    <col min="14092" max="14092" width="13.28515625" style="365" customWidth="1"/>
    <col min="14093" max="14093" width="0" style="365" hidden="1" customWidth="1"/>
    <col min="14094" max="14094" width="20.140625" style="365" customWidth="1"/>
    <col min="14095" max="14095" width="14.42578125" style="365" bestFit="1" customWidth="1"/>
    <col min="14096" max="14096" width="14" style="365" bestFit="1" customWidth="1"/>
    <col min="14097" max="14097" width="12.28515625" style="365" bestFit="1" customWidth="1"/>
    <col min="14098" max="14122" width="9.140625" style="365" customWidth="1"/>
    <col min="14123" max="14317" width="8.85546875" style="365"/>
    <col min="14318" max="14318" width="44.5703125" style="365" customWidth="1"/>
    <col min="14319" max="14319" width="14.28515625" style="365" bestFit="1" customWidth="1"/>
    <col min="14320" max="14320" width="1.7109375" style="365" customWidth="1"/>
    <col min="14321" max="14321" width="14.85546875" style="365" customWidth="1"/>
    <col min="14322" max="14322" width="0" style="365" hidden="1" customWidth="1"/>
    <col min="14323" max="14323" width="17.42578125" style="365" customWidth="1"/>
    <col min="14324" max="14324" width="0" style="365" hidden="1" customWidth="1"/>
    <col min="14325" max="14325" width="12.85546875" style="365" customWidth="1"/>
    <col min="14326" max="14326" width="0" style="365" hidden="1" customWidth="1"/>
    <col min="14327" max="14327" width="14.42578125" style="365" customWidth="1"/>
    <col min="14328" max="14328" width="0" style="365" hidden="1" customWidth="1"/>
    <col min="14329" max="14329" width="17.42578125" style="365" customWidth="1"/>
    <col min="14330" max="14330" width="0" style="365" hidden="1" customWidth="1"/>
    <col min="14331" max="14331" width="14" style="365" customWidth="1"/>
    <col min="14332" max="14332" width="14.28515625" style="365" bestFit="1" customWidth="1"/>
    <col min="14333" max="14333" width="0" style="365" hidden="1" customWidth="1"/>
    <col min="14334" max="14334" width="15.5703125" style="365" customWidth="1"/>
    <col min="14335" max="14335" width="44.5703125" style="365" customWidth="1"/>
    <col min="14336" max="14336" width="14.28515625" style="365" bestFit="1" customWidth="1"/>
    <col min="14337" max="14337" width="0" style="365" hidden="1" customWidth="1"/>
    <col min="14338" max="14338" width="18.140625" style="365" customWidth="1"/>
    <col min="14339" max="14339" width="0" style="365" hidden="1" customWidth="1"/>
    <col min="14340" max="14340" width="14" style="365" customWidth="1"/>
    <col min="14341" max="14341" width="0" style="365" hidden="1" customWidth="1"/>
    <col min="14342" max="14342" width="20.85546875" style="365" customWidth="1"/>
    <col min="14343" max="14343" width="0" style="365" hidden="1" customWidth="1"/>
    <col min="14344" max="14344" width="13.28515625" style="365" customWidth="1"/>
    <col min="14345" max="14345" width="0" style="365" hidden="1" customWidth="1"/>
    <col min="14346" max="14346" width="15" style="365" customWidth="1"/>
    <col min="14347" max="14347" width="0" style="365" hidden="1" customWidth="1"/>
    <col min="14348" max="14348" width="13.28515625" style="365" customWidth="1"/>
    <col min="14349" max="14349" width="0" style="365" hidden="1" customWidth="1"/>
    <col min="14350" max="14350" width="20.140625" style="365" customWidth="1"/>
    <col min="14351" max="14351" width="14.42578125" style="365" bestFit="1" customWidth="1"/>
    <col min="14352" max="14352" width="14" style="365" bestFit="1" customWidth="1"/>
    <col min="14353" max="14353" width="12.28515625" style="365" bestFit="1" customWidth="1"/>
    <col min="14354" max="14378" width="9.140625" style="365" customWidth="1"/>
    <col min="14379" max="14573" width="8.85546875" style="365"/>
    <col min="14574" max="14574" width="44.5703125" style="365" customWidth="1"/>
    <col min="14575" max="14575" width="14.28515625" style="365" bestFit="1" customWidth="1"/>
    <col min="14576" max="14576" width="1.7109375" style="365" customWidth="1"/>
    <col min="14577" max="14577" width="14.85546875" style="365" customWidth="1"/>
    <col min="14578" max="14578" width="0" style="365" hidden="1" customWidth="1"/>
    <col min="14579" max="14579" width="17.42578125" style="365" customWidth="1"/>
    <col min="14580" max="14580" width="0" style="365" hidden="1" customWidth="1"/>
    <col min="14581" max="14581" width="12.85546875" style="365" customWidth="1"/>
    <col min="14582" max="14582" width="0" style="365" hidden="1" customWidth="1"/>
    <col min="14583" max="14583" width="14.42578125" style="365" customWidth="1"/>
    <col min="14584" max="14584" width="0" style="365" hidden="1" customWidth="1"/>
    <col min="14585" max="14585" width="17.42578125" style="365" customWidth="1"/>
    <col min="14586" max="14586" width="0" style="365" hidden="1" customWidth="1"/>
    <col min="14587" max="14587" width="14" style="365" customWidth="1"/>
    <col min="14588" max="14588" width="14.28515625" style="365" bestFit="1" customWidth="1"/>
    <col min="14589" max="14589" width="0" style="365" hidden="1" customWidth="1"/>
    <col min="14590" max="14590" width="15.5703125" style="365" customWidth="1"/>
    <col min="14591" max="14591" width="44.5703125" style="365" customWidth="1"/>
    <col min="14592" max="14592" width="14.28515625" style="365" bestFit="1" customWidth="1"/>
    <col min="14593" max="14593" width="0" style="365" hidden="1" customWidth="1"/>
    <col min="14594" max="14594" width="18.140625" style="365" customWidth="1"/>
    <col min="14595" max="14595" width="0" style="365" hidden="1" customWidth="1"/>
    <col min="14596" max="14596" width="14" style="365" customWidth="1"/>
    <col min="14597" max="14597" width="0" style="365" hidden="1" customWidth="1"/>
    <col min="14598" max="14598" width="20.85546875" style="365" customWidth="1"/>
    <col min="14599" max="14599" width="0" style="365" hidden="1" customWidth="1"/>
    <col min="14600" max="14600" width="13.28515625" style="365" customWidth="1"/>
    <col min="14601" max="14601" width="0" style="365" hidden="1" customWidth="1"/>
    <col min="14602" max="14602" width="15" style="365" customWidth="1"/>
    <col min="14603" max="14603" width="0" style="365" hidden="1" customWidth="1"/>
    <col min="14604" max="14604" width="13.28515625" style="365" customWidth="1"/>
    <col min="14605" max="14605" width="0" style="365" hidden="1" customWidth="1"/>
    <col min="14606" max="14606" width="20.140625" style="365" customWidth="1"/>
    <col min="14607" max="14607" width="14.42578125" style="365" bestFit="1" customWidth="1"/>
    <col min="14608" max="14608" width="14" style="365" bestFit="1" customWidth="1"/>
    <col min="14609" max="14609" width="12.28515625" style="365" bestFit="1" customWidth="1"/>
    <col min="14610" max="14634" width="9.140625" style="365" customWidth="1"/>
    <col min="14635" max="14829" width="8.85546875" style="365"/>
    <col min="14830" max="14830" width="44.5703125" style="365" customWidth="1"/>
    <col min="14831" max="14831" width="14.28515625" style="365" bestFit="1" customWidth="1"/>
    <col min="14832" max="14832" width="1.7109375" style="365" customWidth="1"/>
    <col min="14833" max="14833" width="14.85546875" style="365" customWidth="1"/>
    <col min="14834" max="14834" width="0" style="365" hidden="1" customWidth="1"/>
    <col min="14835" max="14835" width="17.42578125" style="365" customWidth="1"/>
    <col min="14836" max="14836" width="0" style="365" hidden="1" customWidth="1"/>
    <col min="14837" max="14837" width="12.85546875" style="365" customWidth="1"/>
    <col min="14838" max="14838" width="0" style="365" hidden="1" customWidth="1"/>
    <col min="14839" max="14839" width="14.42578125" style="365" customWidth="1"/>
    <col min="14840" max="14840" width="0" style="365" hidden="1" customWidth="1"/>
    <col min="14841" max="14841" width="17.42578125" style="365" customWidth="1"/>
    <col min="14842" max="14842" width="0" style="365" hidden="1" customWidth="1"/>
    <col min="14843" max="14843" width="14" style="365" customWidth="1"/>
    <col min="14844" max="14844" width="14.28515625" style="365" bestFit="1" customWidth="1"/>
    <col min="14845" max="14845" width="0" style="365" hidden="1" customWidth="1"/>
    <col min="14846" max="14846" width="15.5703125" style="365" customWidth="1"/>
    <col min="14847" max="14847" width="44.5703125" style="365" customWidth="1"/>
    <col min="14848" max="14848" width="14.28515625" style="365" bestFit="1" customWidth="1"/>
    <col min="14849" max="14849" width="0" style="365" hidden="1" customWidth="1"/>
    <col min="14850" max="14850" width="18.140625" style="365" customWidth="1"/>
    <col min="14851" max="14851" width="0" style="365" hidden="1" customWidth="1"/>
    <col min="14852" max="14852" width="14" style="365" customWidth="1"/>
    <col min="14853" max="14853" width="0" style="365" hidden="1" customWidth="1"/>
    <col min="14854" max="14854" width="20.85546875" style="365" customWidth="1"/>
    <col min="14855" max="14855" width="0" style="365" hidden="1" customWidth="1"/>
    <col min="14856" max="14856" width="13.28515625" style="365" customWidth="1"/>
    <col min="14857" max="14857" width="0" style="365" hidden="1" customWidth="1"/>
    <col min="14858" max="14858" width="15" style="365" customWidth="1"/>
    <col min="14859" max="14859" width="0" style="365" hidden="1" customWidth="1"/>
    <col min="14860" max="14860" width="13.28515625" style="365" customWidth="1"/>
    <col min="14861" max="14861" width="0" style="365" hidden="1" customWidth="1"/>
    <col min="14862" max="14862" width="20.140625" style="365" customWidth="1"/>
    <col min="14863" max="14863" width="14.42578125" style="365" bestFit="1" customWidth="1"/>
    <col min="14864" max="14864" width="14" style="365" bestFit="1" customWidth="1"/>
    <col min="14865" max="14865" width="12.28515625" style="365" bestFit="1" customWidth="1"/>
    <col min="14866" max="14890" width="9.140625" style="365" customWidth="1"/>
    <col min="14891" max="15085" width="8.85546875" style="365"/>
    <col min="15086" max="15086" width="44.5703125" style="365" customWidth="1"/>
    <col min="15087" max="15087" width="14.28515625" style="365" bestFit="1" customWidth="1"/>
    <col min="15088" max="15088" width="1.7109375" style="365" customWidth="1"/>
    <col min="15089" max="15089" width="14.85546875" style="365" customWidth="1"/>
    <col min="15090" max="15090" width="0" style="365" hidden="1" customWidth="1"/>
    <col min="15091" max="15091" width="17.42578125" style="365" customWidth="1"/>
    <col min="15092" max="15092" width="0" style="365" hidden="1" customWidth="1"/>
    <col min="15093" max="15093" width="12.85546875" style="365" customWidth="1"/>
    <col min="15094" max="15094" width="0" style="365" hidden="1" customWidth="1"/>
    <col min="15095" max="15095" width="14.42578125" style="365" customWidth="1"/>
    <col min="15096" max="15096" width="0" style="365" hidden="1" customWidth="1"/>
    <col min="15097" max="15097" width="17.42578125" style="365" customWidth="1"/>
    <col min="15098" max="15098" width="0" style="365" hidden="1" customWidth="1"/>
    <col min="15099" max="15099" width="14" style="365" customWidth="1"/>
    <col min="15100" max="15100" width="14.28515625" style="365" bestFit="1" customWidth="1"/>
    <col min="15101" max="15101" width="0" style="365" hidden="1" customWidth="1"/>
    <col min="15102" max="15102" width="15.5703125" style="365" customWidth="1"/>
    <col min="15103" max="15103" width="44.5703125" style="365" customWidth="1"/>
    <col min="15104" max="15104" width="14.28515625" style="365" bestFit="1" customWidth="1"/>
    <col min="15105" max="15105" width="0" style="365" hidden="1" customWidth="1"/>
    <col min="15106" max="15106" width="18.140625" style="365" customWidth="1"/>
    <col min="15107" max="15107" width="0" style="365" hidden="1" customWidth="1"/>
    <col min="15108" max="15108" width="14" style="365" customWidth="1"/>
    <col min="15109" max="15109" width="0" style="365" hidden="1" customWidth="1"/>
    <col min="15110" max="15110" width="20.85546875" style="365" customWidth="1"/>
    <col min="15111" max="15111" width="0" style="365" hidden="1" customWidth="1"/>
    <col min="15112" max="15112" width="13.28515625" style="365" customWidth="1"/>
    <col min="15113" max="15113" width="0" style="365" hidden="1" customWidth="1"/>
    <col min="15114" max="15114" width="15" style="365" customWidth="1"/>
    <col min="15115" max="15115" width="0" style="365" hidden="1" customWidth="1"/>
    <col min="15116" max="15116" width="13.28515625" style="365" customWidth="1"/>
    <col min="15117" max="15117" width="0" style="365" hidden="1" customWidth="1"/>
    <col min="15118" max="15118" width="20.140625" style="365" customWidth="1"/>
    <col min="15119" max="15119" width="14.42578125" style="365" bestFit="1" customWidth="1"/>
    <col min="15120" max="15120" width="14" style="365" bestFit="1" customWidth="1"/>
    <col min="15121" max="15121" width="12.28515625" style="365" bestFit="1" customWidth="1"/>
    <col min="15122" max="15146" width="9.140625" style="365" customWidth="1"/>
    <col min="15147" max="15341" width="8.85546875" style="365"/>
    <col min="15342" max="15342" width="44.5703125" style="365" customWidth="1"/>
    <col min="15343" max="15343" width="14.28515625" style="365" bestFit="1" customWidth="1"/>
    <col min="15344" max="15344" width="1.7109375" style="365" customWidth="1"/>
    <col min="15345" max="15345" width="14.85546875" style="365" customWidth="1"/>
    <col min="15346" max="15346" width="0" style="365" hidden="1" customWidth="1"/>
    <col min="15347" max="15347" width="17.42578125" style="365" customWidth="1"/>
    <col min="15348" max="15348" width="0" style="365" hidden="1" customWidth="1"/>
    <col min="15349" max="15349" width="12.85546875" style="365" customWidth="1"/>
    <col min="15350" max="15350" width="0" style="365" hidden="1" customWidth="1"/>
    <col min="15351" max="15351" width="14.42578125" style="365" customWidth="1"/>
    <col min="15352" max="15352" width="0" style="365" hidden="1" customWidth="1"/>
    <col min="15353" max="15353" width="17.42578125" style="365" customWidth="1"/>
    <col min="15354" max="15354" width="0" style="365" hidden="1" customWidth="1"/>
    <col min="15355" max="15355" width="14" style="365" customWidth="1"/>
    <col min="15356" max="15356" width="14.28515625" style="365" bestFit="1" customWidth="1"/>
    <col min="15357" max="15357" width="0" style="365" hidden="1" customWidth="1"/>
    <col min="15358" max="15358" width="15.5703125" style="365" customWidth="1"/>
    <col min="15359" max="15359" width="44.5703125" style="365" customWidth="1"/>
    <col min="15360" max="15360" width="14.28515625" style="365" bestFit="1" customWidth="1"/>
    <col min="15361" max="15361" width="0" style="365" hidden="1" customWidth="1"/>
    <col min="15362" max="15362" width="18.140625" style="365" customWidth="1"/>
    <col min="15363" max="15363" width="0" style="365" hidden="1" customWidth="1"/>
    <col min="15364" max="15364" width="14" style="365" customWidth="1"/>
    <col min="15365" max="15365" width="0" style="365" hidden="1" customWidth="1"/>
    <col min="15366" max="15366" width="20.85546875" style="365" customWidth="1"/>
    <col min="15367" max="15367" width="0" style="365" hidden="1" customWidth="1"/>
    <col min="15368" max="15368" width="13.28515625" style="365" customWidth="1"/>
    <col min="15369" max="15369" width="0" style="365" hidden="1" customWidth="1"/>
    <col min="15370" max="15370" width="15" style="365" customWidth="1"/>
    <col min="15371" max="15371" width="0" style="365" hidden="1" customWidth="1"/>
    <col min="15372" max="15372" width="13.28515625" style="365" customWidth="1"/>
    <col min="15373" max="15373" width="0" style="365" hidden="1" customWidth="1"/>
    <col min="15374" max="15374" width="20.140625" style="365" customWidth="1"/>
    <col min="15375" max="15375" width="14.42578125" style="365" bestFit="1" customWidth="1"/>
    <col min="15376" max="15376" width="14" style="365" bestFit="1" customWidth="1"/>
    <col min="15377" max="15377" width="12.28515625" style="365" bestFit="1" customWidth="1"/>
    <col min="15378" max="15402" width="9.140625" style="365" customWidth="1"/>
    <col min="15403" max="15597" width="8.85546875" style="365"/>
    <col min="15598" max="15598" width="44.5703125" style="365" customWidth="1"/>
    <col min="15599" max="15599" width="14.28515625" style="365" bestFit="1" customWidth="1"/>
    <col min="15600" max="15600" width="1.7109375" style="365" customWidth="1"/>
    <col min="15601" max="15601" width="14.85546875" style="365" customWidth="1"/>
    <col min="15602" max="15602" width="0" style="365" hidden="1" customWidth="1"/>
    <col min="15603" max="15603" width="17.42578125" style="365" customWidth="1"/>
    <col min="15604" max="15604" width="0" style="365" hidden="1" customWidth="1"/>
    <col min="15605" max="15605" width="12.85546875" style="365" customWidth="1"/>
    <col min="15606" max="15606" width="0" style="365" hidden="1" customWidth="1"/>
    <col min="15607" max="15607" width="14.42578125" style="365" customWidth="1"/>
    <col min="15608" max="15608" width="0" style="365" hidden="1" customWidth="1"/>
    <col min="15609" max="15609" width="17.42578125" style="365" customWidth="1"/>
    <col min="15610" max="15610" width="0" style="365" hidden="1" customWidth="1"/>
    <col min="15611" max="15611" width="14" style="365" customWidth="1"/>
    <col min="15612" max="15612" width="14.28515625" style="365" bestFit="1" customWidth="1"/>
    <col min="15613" max="15613" width="0" style="365" hidden="1" customWidth="1"/>
    <col min="15614" max="15614" width="15.5703125" style="365" customWidth="1"/>
    <col min="15615" max="15615" width="44.5703125" style="365" customWidth="1"/>
    <col min="15616" max="15616" width="14.28515625" style="365" bestFit="1" customWidth="1"/>
    <col min="15617" max="15617" width="0" style="365" hidden="1" customWidth="1"/>
    <col min="15618" max="15618" width="18.140625" style="365" customWidth="1"/>
    <col min="15619" max="15619" width="0" style="365" hidden="1" customWidth="1"/>
    <col min="15620" max="15620" width="14" style="365" customWidth="1"/>
    <col min="15621" max="15621" width="0" style="365" hidden="1" customWidth="1"/>
    <col min="15622" max="15622" width="20.85546875" style="365" customWidth="1"/>
    <col min="15623" max="15623" width="0" style="365" hidden="1" customWidth="1"/>
    <col min="15624" max="15624" width="13.28515625" style="365" customWidth="1"/>
    <col min="15625" max="15625" width="0" style="365" hidden="1" customWidth="1"/>
    <col min="15626" max="15626" width="15" style="365" customWidth="1"/>
    <col min="15627" max="15627" width="0" style="365" hidden="1" customWidth="1"/>
    <col min="15628" max="15628" width="13.28515625" style="365" customWidth="1"/>
    <col min="15629" max="15629" width="0" style="365" hidden="1" customWidth="1"/>
    <col min="15630" max="15630" width="20.140625" style="365" customWidth="1"/>
    <col min="15631" max="15631" width="14.42578125" style="365" bestFit="1" customWidth="1"/>
    <col min="15632" max="15632" width="14" style="365" bestFit="1" customWidth="1"/>
    <col min="15633" max="15633" width="12.28515625" style="365" bestFit="1" customWidth="1"/>
    <col min="15634" max="15658" width="9.140625" style="365" customWidth="1"/>
    <col min="15659" max="15853" width="8.85546875" style="365"/>
    <col min="15854" max="15854" width="44.5703125" style="365" customWidth="1"/>
    <col min="15855" max="15855" width="14.28515625" style="365" bestFit="1" customWidth="1"/>
    <col min="15856" max="15856" width="1.7109375" style="365" customWidth="1"/>
    <col min="15857" max="15857" width="14.85546875" style="365" customWidth="1"/>
    <col min="15858" max="15858" width="0" style="365" hidden="1" customWidth="1"/>
    <col min="15859" max="15859" width="17.42578125" style="365" customWidth="1"/>
    <col min="15860" max="15860" width="0" style="365" hidden="1" customWidth="1"/>
    <col min="15861" max="15861" width="12.85546875" style="365" customWidth="1"/>
    <col min="15862" max="15862" width="0" style="365" hidden="1" customWidth="1"/>
    <col min="15863" max="15863" width="14.42578125" style="365" customWidth="1"/>
    <col min="15864" max="15864" width="0" style="365" hidden="1" customWidth="1"/>
    <col min="15865" max="15865" width="17.42578125" style="365" customWidth="1"/>
    <col min="15866" max="15866" width="0" style="365" hidden="1" customWidth="1"/>
    <col min="15867" max="15867" width="14" style="365" customWidth="1"/>
    <col min="15868" max="15868" width="14.28515625" style="365" bestFit="1" customWidth="1"/>
    <col min="15869" max="15869" width="0" style="365" hidden="1" customWidth="1"/>
    <col min="15870" max="15870" width="15.5703125" style="365" customWidth="1"/>
    <col min="15871" max="15871" width="44.5703125" style="365" customWidth="1"/>
    <col min="15872" max="15872" width="14.28515625" style="365" bestFit="1" customWidth="1"/>
    <col min="15873" max="15873" width="0" style="365" hidden="1" customWidth="1"/>
    <col min="15874" max="15874" width="18.140625" style="365" customWidth="1"/>
    <col min="15875" max="15875" width="0" style="365" hidden="1" customWidth="1"/>
    <col min="15876" max="15876" width="14" style="365" customWidth="1"/>
    <col min="15877" max="15877" width="0" style="365" hidden="1" customWidth="1"/>
    <col min="15878" max="15878" width="20.85546875" style="365" customWidth="1"/>
    <col min="15879" max="15879" width="0" style="365" hidden="1" customWidth="1"/>
    <col min="15880" max="15880" width="13.28515625" style="365" customWidth="1"/>
    <col min="15881" max="15881" width="0" style="365" hidden="1" customWidth="1"/>
    <col min="15882" max="15882" width="15" style="365" customWidth="1"/>
    <col min="15883" max="15883" width="0" style="365" hidden="1" customWidth="1"/>
    <col min="15884" max="15884" width="13.28515625" style="365" customWidth="1"/>
    <col min="15885" max="15885" width="0" style="365" hidden="1" customWidth="1"/>
    <col min="15886" max="15886" width="20.140625" style="365" customWidth="1"/>
    <col min="15887" max="15887" width="14.42578125" style="365" bestFit="1" customWidth="1"/>
    <col min="15888" max="15888" width="14" style="365" bestFit="1" customWidth="1"/>
    <col min="15889" max="15889" width="12.28515625" style="365" bestFit="1" customWidth="1"/>
    <col min="15890" max="15914" width="9.140625" style="365" customWidth="1"/>
    <col min="15915" max="16109" width="8.85546875" style="365"/>
    <col min="16110" max="16110" width="44.5703125" style="365" customWidth="1"/>
    <col min="16111" max="16111" width="14.28515625" style="365" bestFit="1" customWidth="1"/>
    <col min="16112" max="16112" width="1.7109375" style="365" customWidth="1"/>
    <col min="16113" max="16113" width="14.85546875" style="365" customWidth="1"/>
    <col min="16114" max="16114" width="0" style="365" hidden="1" customWidth="1"/>
    <col min="16115" max="16115" width="17.42578125" style="365" customWidth="1"/>
    <col min="16116" max="16116" width="0" style="365" hidden="1" customWidth="1"/>
    <col min="16117" max="16117" width="12.85546875" style="365" customWidth="1"/>
    <col min="16118" max="16118" width="0" style="365" hidden="1" customWidth="1"/>
    <col min="16119" max="16119" width="14.42578125" style="365" customWidth="1"/>
    <col min="16120" max="16120" width="0" style="365" hidden="1" customWidth="1"/>
    <col min="16121" max="16121" width="17.42578125" style="365" customWidth="1"/>
    <col min="16122" max="16122" width="0" style="365" hidden="1" customWidth="1"/>
    <col min="16123" max="16123" width="14" style="365" customWidth="1"/>
    <col min="16124" max="16124" width="14.28515625" style="365" bestFit="1" customWidth="1"/>
    <col min="16125" max="16125" width="0" style="365" hidden="1" customWidth="1"/>
    <col min="16126" max="16126" width="15.5703125" style="365" customWidth="1"/>
    <col min="16127" max="16127" width="44.5703125" style="365" customWidth="1"/>
    <col min="16128" max="16128" width="14.28515625" style="365" bestFit="1" customWidth="1"/>
    <col min="16129" max="16129" width="0" style="365" hidden="1" customWidth="1"/>
    <col min="16130" max="16130" width="18.140625" style="365" customWidth="1"/>
    <col min="16131" max="16131" width="0" style="365" hidden="1" customWidth="1"/>
    <col min="16132" max="16132" width="14" style="365" customWidth="1"/>
    <col min="16133" max="16133" width="0" style="365" hidden="1" customWidth="1"/>
    <col min="16134" max="16134" width="20.85546875" style="365" customWidth="1"/>
    <col min="16135" max="16135" width="0" style="365" hidden="1" customWidth="1"/>
    <col min="16136" max="16136" width="13.28515625" style="365" customWidth="1"/>
    <col min="16137" max="16137" width="0" style="365" hidden="1" customWidth="1"/>
    <col min="16138" max="16138" width="15" style="365" customWidth="1"/>
    <col min="16139" max="16139" width="0" style="365" hidden="1" customWidth="1"/>
    <col min="16140" max="16140" width="13.28515625" style="365" customWidth="1"/>
    <col min="16141" max="16141" width="0" style="365" hidden="1" customWidth="1"/>
    <col min="16142" max="16142" width="20.140625" style="365" customWidth="1"/>
    <col min="16143" max="16143" width="14.42578125" style="365" bestFit="1" customWidth="1"/>
    <col min="16144" max="16144" width="14" style="365" bestFit="1" customWidth="1"/>
    <col min="16145" max="16145" width="12.28515625" style="365" bestFit="1" customWidth="1"/>
    <col min="16146" max="16170" width="9.140625" style="365" customWidth="1"/>
    <col min="16171" max="16384" width="9.7109375" style="365"/>
  </cols>
  <sheetData>
    <row r="1" spans="1:42" s="354" customFormat="1" ht="7.5" hidden="1" customHeight="1">
      <c r="A1" s="1612"/>
      <c r="B1" s="1613"/>
      <c r="C1" s="1613"/>
      <c r="D1" s="1613"/>
      <c r="E1" s="1613"/>
      <c r="F1" s="1613"/>
      <c r="G1" s="1613"/>
      <c r="H1" s="1613"/>
      <c r="I1" s="1613"/>
      <c r="J1" s="1613"/>
      <c r="K1" s="1613"/>
      <c r="L1" s="1613"/>
      <c r="M1" s="1613"/>
      <c r="N1" s="1614"/>
      <c r="O1" s="351"/>
      <c r="P1" s="352"/>
      <c r="Q1" s="351"/>
      <c r="R1" s="351"/>
      <c r="S1" s="351"/>
      <c r="T1" s="351"/>
      <c r="U1" s="353"/>
      <c r="V1" s="353"/>
      <c r="W1" s="353"/>
      <c r="X1" s="353"/>
      <c r="Y1" s="353"/>
      <c r="Z1" s="353"/>
      <c r="AA1" s="353"/>
      <c r="AB1" s="353"/>
      <c r="AC1" s="353"/>
      <c r="AD1" s="353"/>
      <c r="AE1" s="353"/>
      <c r="AF1" s="353"/>
      <c r="AG1" s="353"/>
      <c r="AH1" s="353"/>
      <c r="AI1" s="353"/>
      <c r="AJ1" s="353"/>
      <c r="AK1" s="353"/>
      <c r="AL1" s="353"/>
      <c r="AM1" s="353"/>
      <c r="AN1" s="353"/>
      <c r="AO1" s="353"/>
      <c r="AP1" s="353"/>
    </row>
    <row r="2" spans="1:42" s="354" customFormat="1" ht="66" thickBot="1">
      <c r="A2" s="1615" t="s">
        <v>734</v>
      </c>
      <c r="B2" s="1615"/>
      <c r="C2" s="1615"/>
      <c r="D2" s="1615"/>
      <c r="E2" s="1615"/>
      <c r="F2" s="1615"/>
      <c r="G2" s="1615"/>
      <c r="H2" s="1615"/>
      <c r="I2" s="1615"/>
      <c r="J2" s="1615"/>
      <c r="K2" s="1615"/>
      <c r="L2" s="1615"/>
      <c r="M2" s="1615"/>
      <c r="N2" s="1615"/>
      <c r="O2" s="353"/>
      <c r="P2" s="355"/>
      <c r="Q2" s="353"/>
      <c r="R2" s="353"/>
      <c r="S2" s="353"/>
      <c r="T2" s="353"/>
      <c r="U2" s="353"/>
      <c r="V2" s="353"/>
      <c r="W2" s="353"/>
      <c r="X2" s="353"/>
      <c r="Y2" s="353"/>
      <c r="Z2" s="353"/>
      <c r="AA2" s="353"/>
      <c r="AB2" s="353"/>
      <c r="AC2" s="353"/>
      <c r="AD2" s="353"/>
      <c r="AE2" s="353"/>
      <c r="AF2" s="353"/>
      <c r="AG2" s="353"/>
      <c r="AH2" s="353"/>
      <c r="AI2" s="353"/>
      <c r="AJ2" s="353"/>
      <c r="AK2" s="353"/>
      <c r="AL2" s="353"/>
      <c r="AM2" s="353"/>
      <c r="AN2" s="353"/>
      <c r="AO2" s="353"/>
      <c r="AP2" s="353"/>
    </row>
    <row r="3" spans="1:42" s="354" customFormat="1" ht="39">
      <c r="A3" s="1621" t="s">
        <v>744</v>
      </c>
      <c r="B3" s="1622"/>
      <c r="C3" s="1622"/>
      <c r="D3" s="1622"/>
      <c r="E3" s="1622"/>
      <c r="F3" s="1622"/>
      <c r="G3" s="1622"/>
      <c r="H3" s="1622"/>
      <c r="I3" s="1622"/>
      <c r="J3" s="1622"/>
      <c r="K3" s="1622"/>
      <c r="L3" s="1622"/>
      <c r="M3" s="1622"/>
      <c r="N3" s="1623"/>
      <c r="O3" s="353"/>
      <c r="P3" s="355"/>
      <c r="W3" s="353"/>
      <c r="X3" s="353"/>
      <c r="Y3" s="353"/>
      <c r="Z3" s="353"/>
      <c r="AA3" s="353"/>
      <c r="AB3" s="353"/>
      <c r="AC3" s="353"/>
      <c r="AD3" s="353"/>
      <c r="AE3" s="353"/>
      <c r="AF3" s="353"/>
      <c r="AG3" s="353"/>
      <c r="AH3" s="353"/>
      <c r="AI3" s="353"/>
      <c r="AJ3" s="353"/>
      <c r="AK3" s="353"/>
      <c r="AL3" s="353"/>
      <c r="AM3" s="353"/>
      <c r="AN3" s="353"/>
      <c r="AO3" s="353"/>
      <c r="AP3" s="353"/>
    </row>
    <row r="4" spans="1:42" s="354" customFormat="1" ht="39">
      <c r="A4" s="1616" t="s">
        <v>745</v>
      </c>
      <c r="B4" s="1617"/>
      <c r="C4" s="1617"/>
      <c r="D4" s="1617"/>
      <c r="E4" s="1617"/>
      <c r="F4" s="1617"/>
      <c r="G4" s="1617"/>
      <c r="H4" s="1617"/>
      <c r="I4" s="1617"/>
      <c r="J4" s="1617"/>
      <c r="K4" s="1617"/>
      <c r="L4" s="1617"/>
      <c r="M4" s="1617"/>
      <c r="N4" s="1618"/>
      <c r="O4" s="353"/>
      <c r="P4" s="355"/>
      <c r="W4" s="353"/>
      <c r="X4" s="353"/>
      <c r="Y4" s="353"/>
      <c r="Z4" s="353"/>
      <c r="AA4" s="353"/>
      <c r="AB4" s="353"/>
      <c r="AC4" s="353"/>
      <c r="AD4" s="353"/>
      <c r="AE4" s="353"/>
      <c r="AF4" s="353"/>
      <c r="AG4" s="353"/>
      <c r="AH4" s="353"/>
      <c r="AI4" s="353"/>
      <c r="AJ4" s="353"/>
      <c r="AK4" s="353"/>
      <c r="AL4" s="353"/>
      <c r="AM4" s="353"/>
      <c r="AN4" s="353"/>
      <c r="AO4" s="353"/>
      <c r="AP4" s="353"/>
    </row>
    <row r="5" spans="1:42" s="354" customFormat="1" ht="39">
      <c r="A5" s="1616" t="s">
        <v>746</v>
      </c>
      <c r="B5" s="1617"/>
      <c r="C5" s="1617"/>
      <c r="D5" s="1617"/>
      <c r="E5" s="1617"/>
      <c r="F5" s="1617"/>
      <c r="G5" s="1617"/>
      <c r="H5" s="1617"/>
      <c r="I5" s="1617"/>
      <c r="J5" s="1617"/>
      <c r="K5" s="1617"/>
      <c r="L5" s="1617"/>
      <c r="M5" s="1617"/>
      <c r="N5" s="1618"/>
      <c r="O5" s="353"/>
      <c r="P5" s="355"/>
      <c r="W5" s="353"/>
      <c r="X5" s="353"/>
      <c r="Y5" s="353"/>
      <c r="Z5" s="353"/>
      <c r="AA5" s="353"/>
      <c r="AB5" s="353"/>
      <c r="AC5" s="353"/>
      <c r="AD5" s="353"/>
      <c r="AE5" s="353"/>
      <c r="AF5" s="353"/>
      <c r="AG5" s="353"/>
      <c r="AH5" s="353"/>
      <c r="AI5" s="353"/>
      <c r="AJ5" s="353"/>
      <c r="AK5" s="353"/>
      <c r="AL5" s="353"/>
      <c r="AM5" s="353"/>
      <c r="AN5" s="353"/>
      <c r="AO5" s="353"/>
      <c r="AP5" s="353"/>
    </row>
    <row r="6" spans="1:42" s="354" customFormat="1" ht="10.5" customHeight="1">
      <c r="A6" s="845"/>
      <c r="B6" s="846"/>
      <c r="C6" s="846"/>
      <c r="D6" s="846"/>
      <c r="E6" s="846"/>
      <c r="F6" s="846"/>
      <c r="G6" s="846"/>
      <c r="H6" s="846"/>
      <c r="I6" s="846"/>
      <c r="J6" s="846"/>
      <c r="K6" s="846"/>
      <c r="L6" s="846"/>
      <c r="M6" s="846"/>
      <c r="N6" s="847"/>
      <c r="O6" s="353"/>
      <c r="P6" s="355"/>
      <c r="W6" s="353"/>
      <c r="X6" s="353"/>
      <c r="Y6" s="353"/>
      <c r="Z6" s="353"/>
      <c r="AA6" s="353"/>
      <c r="AB6" s="353"/>
      <c r="AC6" s="353"/>
      <c r="AD6" s="353"/>
      <c r="AE6" s="353"/>
      <c r="AF6" s="353"/>
      <c r="AG6" s="353"/>
      <c r="AH6" s="353"/>
      <c r="AI6" s="353"/>
      <c r="AJ6" s="353"/>
      <c r="AK6" s="353"/>
      <c r="AL6" s="353"/>
      <c r="AM6" s="353"/>
      <c r="AN6" s="353"/>
      <c r="AO6" s="353"/>
      <c r="AP6" s="353"/>
    </row>
    <row r="7" spans="1:42" s="855" customFormat="1" ht="23.25">
      <c r="A7" s="1624" t="s">
        <v>755</v>
      </c>
      <c r="B7" s="1625"/>
      <c r="C7" s="1625"/>
      <c r="D7" s="1625"/>
      <c r="E7" s="1625"/>
      <c r="F7" s="1625"/>
      <c r="G7" s="1625"/>
      <c r="H7" s="1625"/>
      <c r="I7" s="1625"/>
      <c r="J7" s="1625"/>
      <c r="K7" s="1625"/>
      <c r="L7" s="1625"/>
      <c r="M7" s="1625"/>
      <c r="N7" s="1626"/>
      <c r="O7" s="852"/>
      <c r="P7" s="853"/>
      <c r="W7" s="854"/>
      <c r="X7" s="854"/>
      <c r="Y7" s="854"/>
      <c r="Z7" s="854"/>
      <c r="AA7" s="854"/>
      <c r="AB7" s="854"/>
      <c r="AC7" s="854"/>
      <c r="AD7" s="854"/>
      <c r="AE7" s="854"/>
      <c r="AF7" s="854"/>
      <c r="AG7" s="854"/>
      <c r="AH7" s="854"/>
      <c r="AI7" s="854"/>
      <c r="AJ7" s="854"/>
      <c r="AK7" s="854"/>
      <c r="AL7" s="854"/>
      <c r="AM7" s="854"/>
      <c r="AN7" s="854"/>
      <c r="AO7" s="854"/>
      <c r="AP7" s="854"/>
    </row>
    <row r="8" spans="1:42" s="855" customFormat="1" ht="23.25">
      <c r="A8" s="1627" t="s">
        <v>765</v>
      </c>
      <c r="B8" s="1628"/>
      <c r="C8" s="1628"/>
      <c r="D8" s="1628"/>
      <c r="E8" s="1628"/>
      <c r="F8" s="1628"/>
      <c r="G8" s="1628"/>
      <c r="H8" s="1628"/>
      <c r="I8" s="1628"/>
      <c r="J8" s="1628"/>
      <c r="K8" s="1628"/>
      <c r="L8" s="1628"/>
      <c r="M8" s="1628"/>
      <c r="N8" s="1629"/>
      <c r="O8" s="856"/>
      <c r="P8" s="853"/>
      <c r="W8" s="854"/>
      <c r="X8" s="854"/>
      <c r="Y8" s="854"/>
      <c r="Z8" s="854"/>
      <c r="AA8" s="854"/>
      <c r="AB8" s="854"/>
      <c r="AC8" s="854"/>
      <c r="AD8" s="854"/>
      <c r="AE8" s="854"/>
      <c r="AF8" s="854"/>
      <c r="AG8" s="854"/>
      <c r="AH8" s="854"/>
      <c r="AI8" s="854"/>
      <c r="AJ8" s="854"/>
      <c r="AK8" s="854"/>
      <c r="AL8" s="854"/>
      <c r="AM8" s="854"/>
      <c r="AN8" s="854"/>
      <c r="AO8" s="854"/>
      <c r="AP8" s="854"/>
    </row>
    <row r="9" spans="1:42" s="855" customFormat="1" ht="24" thickBot="1">
      <c r="A9" s="1624" t="s">
        <v>756</v>
      </c>
      <c r="B9" s="1625"/>
      <c r="C9" s="1625"/>
      <c r="D9" s="1625"/>
      <c r="E9" s="1625"/>
      <c r="F9" s="1625"/>
      <c r="G9" s="1625"/>
      <c r="H9" s="1625"/>
      <c r="I9" s="1625"/>
      <c r="J9" s="1625"/>
      <c r="K9" s="1625"/>
      <c r="L9" s="1625"/>
      <c r="M9" s="1625"/>
      <c r="N9" s="1626"/>
      <c r="O9" s="852"/>
      <c r="P9" s="853"/>
      <c r="Q9" s="854"/>
      <c r="R9" s="854"/>
      <c r="S9" s="854"/>
      <c r="T9" s="854"/>
      <c r="U9" s="854"/>
      <c r="V9" s="854"/>
      <c r="W9" s="854"/>
      <c r="X9" s="854"/>
      <c r="Y9" s="854"/>
      <c r="Z9" s="854"/>
      <c r="AA9" s="854"/>
      <c r="AB9" s="854"/>
      <c r="AC9" s="854"/>
      <c r="AD9" s="854"/>
      <c r="AE9" s="854"/>
      <c r="AF9" s="854"/>
      <c r="AG9" s="854"/>
      <c r="AH9" s="854"/>
      <c r="AI9" s="854"/>
      <c r="AJ9" s="854"/>
      <c r="AK9" s="854"/>
      <c r="AL9" s="854"/>
      <c r="AM9" s="854"/>
      <c r="AN9" s="854"/>
      <c r="AO9" s="854"/>
      <c r="AP9" s="854"/>
    </row>
    <row r="10" spans="1:42" s="818" customFormat="1" ht="63">
      <c r="A10" s="819"/>
      <c r="B10" s="810"/>
      <c r="C10" s="811"/>
      <c r="D10" s="812" t="s">
        <v>573</v>
      </c>
      <c r="E10" s="813"/>
      <c r="F10" s="814" t="s">
        <v>603</v>
      </c>
      <c r="G10" s="815"/>
      <c r="H10" s="814" t="s">
        <v>604</v>
      </c>
      <c r="I10" s="814"/>
      <c r="J10" s="814" t="s">
        <v>605</v>
      </c>
      <c r="K10" s="815"/>
      <c r="L10" s="814" t="s">
        <v>606</v>
      </c>
      <c r="M10" s="814"/>
      <c r="N10" s="820" t="s">
        <v>607</v>
      </c>
      <c r="O10" s="816"/>
      <c r="P10" s="817"/>
      <c r="Q10" s="857"/>
      <c r="R10" s="858" t="s">
        <v>757</v>
      </c>
      <c r="S10"/>
      <c r="T10" s="353"/>
      <c r="U10" s="353"/>
      <c r="V10" s="353"/>
      <c r="W10" s="816"/>
      <c r="X10" s="816"/>
      <c r="Y10" s="816"/>
      <c r="Z10" s="816"/>
      <c r="AA10" s="816"/>
      <c r="AB10" s="816"/>
      <c r="AC10" s="816"/>
      <c r="AD10" s="816"/>
      <c r="AE10" s="816"/>
      <c r="AF10" s="816"/>
      <c r="AG10" s="816"/>
      <c r="AH10" s="816"/>
      <c r="AI10" s="816"/>
      <c r="AJ10" s="816"/>
      <c r="AK10" s="816"/>
      <c r="AL10" s="816"/>
      <c r="AM10" s="816"/>
      <c r="AN10" s="816"/>
      <c r="AO10" s="816"/>
      <c r="AP10" s="816"/>
    </row>
    <row r="11" spans="1:42" s="417" customFormat="1" ht="15.95" customHeight="1">
      <c r="A11" s="821" t="s">
        <v>733</v>
      </c>
      <c r="B11" s="795"/>
      <c r="C11" s="803"/>
      <c r="D11" s="450"/>
      <c r="E11" s="794"/>
      <c r="F11" s="452"/>
      <c r="G11" s="798"/>
      <c r="H11" s="452"/>
      <c r="I11" s="452"/>
      <c r="J11" s="452"/>
      <c r="K11" s="798"/>
      <c r="L11" s="452"/>
      <c r="M11" s="452"/>
      <c r="N11" s="822"/>
      <c r="O11" s="454"/>
      <c r="P11" s="457"/>
      <c r="Q11" s="859"/>
      <c r="R11" s="877" t="e">
        <f>N34</f>
        <v>#REF!</v>
      </c>
      <c r="S11" s="766" t="s">
        <v>761</v>
      </c>
      <c r="T11" s="353"/>
      <c r="U11" s="353"/>
      <c r="V11" s="353"/>
      <c r="W11" s="454"/>
      <c r="X11" s="454"/>
      <c r="Y11" s="454"/>
      <c r="Z11" s="454"/>
      <c r="AA11" s="454"/>
      <c r="AB11" s="454"/>
      <c r="AC11" s="454"/>
      <c r="AD11" s="454"/>
      <c r="AE11" s="454"/>
      <c r="AF11" s="454"/>
      <c r="AG11" s="454"/>
      <c r="AH11" s="454"/>
      <c r="AI11" s="454"/>
      <c r="AJ11" s="454"/>
      <c r="AK11" s="454"/>
      <c r="AL11" s="454"/>
      <c r="AM11" s="454"/>
      <c r="AN11" s="454"/>
      <c r="AO11" s="454"/>
      <c r="AP11" s="454"/>
    </row>
    <row r="12" spans="1:42" s="417" customFormat="1" ht="20.100000000000001" customHeight="1">
      <c r="A12" s="823" t="s">
        <v>27</v>
      </c>
      <c r="B12" s="795"/>
      <c r="C12" s="795" t="s">
        <v>424</v>
      </c>
      <c r="D12" s="460">
        <f>'001 General Fund'!K23</f>
        <v>50418790</v>
      </c>
      <c r="E12" s="466"/>
      <c r="F12" s="460" t="e">
        <f>'All Funds Sch A Left'!E9+'All Funds Sch A Left'!F9+'All Funds Sch A Left'!G9+'All Funds Sch A Left'!H9+'All Funds Sch A Left'!I9</f>
        <v>#REF!</v>
      </c>
      <c r="G12" s="460"/>
      <c r="H12" s="460" t="e">
        <f>'All Funds Sch A Left'!J9</f>
        <v>#REF!</v>
      </c>
      <c r="I12" s="460"/>
      <c r="J12" s="460">
        <f>'All Funds Sch A Right'!D9+'All Funds Sch A Right'!E9</f>
        <v>23929746.120000001</v>
      </c>
      <c r="K12" s="460"/>
      <c r="L12" s="460">
        <f>'All Funds Sch A Right'!G9+'All Funds Sch A Right'!I9+'All Funds Sch A Right'!K9+'All Funds Sch A Right'!M9+'All Funds Sch A Right'!O9</f>
        <v>104373946.31</v>
      </c>
      <c r="M12" s="460"/>
      <c r="N12" s="824" t="e">
        <f>SUM(D12:L12)</f>
        <v>#REF!</v>
      </c>
      <c r="O12" s="454"/>
      <c r="P12" s="457"/>
      <c r="Q12" s="860"/>
      <c r="R12" s="877">
        <f>632677392</f>
        <v>632677392</v>
      </c>
      <c r="S12" t="s">
        <v>758</v>
      </c>
      <c r="T12" s="353"/>
      <c r="U12" s="353"/>
      <c r="V12" s="353"/>
      <c r="W12" s="454"/>
      <c r="X12" s="454"/>
      <c r="Y12" s="454"/>
      <c r="Z12" s="454"/>
      <c r="AA12" s="454"/>
      <c r="AB12" s="454"/>
      <c r="AC12" s="454"/>
      <c r="AD12" s="454"/>
      <c r="AE12" s="454"/>
      <c r="AF12" s="454"/>
      <c r="AG12" s="454"/>
      <c r="AH12" s="454"/>
      <c r="AI12" s="454"/>
      <c r="AJ12" s="454"/>
      <c r="AK12" s="454"/>
      <c r="AL12" s="454"/>
      <c r="AM12" s="454"/>
      <c r="AN12" s="454"/>
      <c r="AO12" s="454"/>
      <c r="AP12" s="454"/>
    </row>
    <row r="13" spans="1:42" s="417" customFormat="1" ht="20.100000000000001" customHeight="1">
      <c r="A13" s="823" t="s">
        <v>29</v>
      </c>
      <c r="B13" s="795"/>
      <c r="C13" s="795"/>
      <c r="D13" s="460">
        <f>'001 General Fund'!K22</f>
        <v>833479</v>
      </c>
      <c r="E13" s="466"/>
      <c r="F13" s="460"/>
      <c r="G13" s="460"/>
      <c r="H13" s="460"/>
      <c r="I13" s="460"/>
      <c r="J13" s="460"/>
      <c r="K13" s="460"/>
      <c r="L13" s="460"/>
      <c r="M13" s="460"/>
      <c r="N13" s="824">
        <f>SUM(D13:L13)</f>
        <v>833479</v>
      </c>
      <c r="O13" s="454"/>
      <c r="P13" s="457"/>
      <c r="Q13" s="861"/>
      <c r="R13" s="877" t="e">
        <f>R11-R12</f>
        <v>#REF!</v>
      </c>
      <c r="S13"/>
      <c r="T13" s="353"/>
      <c r="U13" s="353"/>
      <c r="V13" s="353"/>
      <c r="W13" s="454"/>
      <c r="X13" s="454"/>
      <c r="Y13" s="454"/>
      <c r="Z13" s="454"/>
      <c r="AA13" s="454"/>
      <c r="AB13" s="454"/>
      <c r="AC13" s="454"/>
      <c r="AD13" s="454"/>
      <c r="AE13" s="454"/>
      <c r="AF13" s="454"/>
      <c r="AG13" s="454"/>
      <c r="AH13" s="454"/>
      <c r="AI13" s="454"/>
      <c r="AJ13" s="454"/>
      <c r="AK13" s="454"/>
      <c r="AL13" s="454"/>
      <c r="AM13" s="454"/>
      <c r="AN13" s="454"/>
      <c r="AO13" s="454"/>
      <c r="AP13" s="454"/>
    </row>
    <row r="14" spans="1:42" s="417" customFormat="1" ht="23.25">
      <c r="A14" s="823" t="s">
        <v>736</v>
      </c>
      <c r="B14" s="795"/>
      <c r="C14" s="795" t="s">
        <v>424</v>
      </c>
      <c r="D14" s="462">
        <f>SUM(D12:D13)</f>
        <v>51252269</v>
      </c>
      <c r="E14" s="466"/>
      <c r="F14" s="463" t="e">
        <f>SUM(F12:F12)</f>
        <v>#REF!</v>
      </c>
      <c r="G14" s="460"/>
      <c r="H14" s="463" t="e">
        <f>SUM(H12:H12)</f>
        <v>#REF!</v>
      </c>
      <c r="I14" s="460"/>
      <c r="J14" s="463">
        <f>SUM(J12:J12)</f>
        <v>23929746.120000001</v>
      </c>
      <c r="K14" s="460"/>
      <c r="L14" s="463">
        <f>SUM(L12:L12)</f>
        <v>104373946.31</v>
      </c>
      <c r="M14" s="460"/>
      <c r="N14" s="825" t="e">
        <f>SUM(D14:L14)</f>
        <v>#REF!</v>
      </c>
      <c r="O14" s="465"/>
      <c r="P14" s="457"/>
      <c r="Q14" s="862" t="s">
        <v>759</v>
      </c>
      <c r="R14" s="863" t="e">
        <f>R13/R12</f>
        <v>#REF!</v>
      </c>
      <c r="S14" t="s">
        <v>760</v>
      </c>
      <c r="T14" s="854"/>
      <c r="U14" s="854"/>
      <c r="V14" s="854"/>
      <c r="W14" s="454"/>
      <c r="X14" s="454"/>
      <c r="Y14" s="454"/>
      <c r="Z14" s="454"/>
      <c r="AA14" s="454"/>
      <c r="AB14" s="454"/>
      <c r="AC14" s="454"/>
      <c r="AD14" s="454"/>
      <c r="AE14" s="454"/>
      <c r="AF14" s="454"/>
      <c r="AG14" s="454"/>
      <c r="AH14" s="454"/>
      <c r="AI14" s="454"/>
      <c r="AJ14" s="454"/>
      <c r="AK14" s="454"/>
      <c r="AL14" s="454"/>
      <c r="AM14" s="454"/>
      <c r="AN14" s="454"/>
      <c r="AO14" s="454"/>
      <c r="AP14" s="454"/>
    </row>
    <row r="15" spans="1:42" s="417" customFormat="1" ht="12" customHeight="1" thickBot="1">
      <c r="A15" s="823"/>
      <c r="B15" s="795"/>
      <c r="C15" s="795"/>
      <c r="D15" s="466"/>
      <c r="E15" s="466"/>
      <c r="F15" s="460"/>
      <c r="G15" s="460"/>
      <c r="H15" s="460"/>
      <c r="I15" s="460"/>
      <c r="J15" s="460"/>
      <c r="K15" s="460"/>
      <c r="L15" s="460"/>
      <c r="M15" s="460"/>
      <c r="N15" s="824"/>
      <c r="O15" s="454"/>
      <c r="P15" s="457"/>
      <c r="Q15" s="864"/>
      <c r="R15" s="865"/>
      <c r="S15"/>
      <c r="T15" s="854"/>
      <c r="U15" s="854"/>
      <c r="V15" s="854"/>
      <c r="W15" s="454"/>
      <c r="X15" s="454"/>
      <c r="Y15" s="454"/>
      <c r="Z15" s="454"/>
      <c r="AA15" s="454"/>
      <c r="AB15" s="454"/>
      <c r="AC15" s="454"/>
      <c r="AD15" s="454"/>
      <c r="AE15" s="454"/>
      <c r="AF15" s="454"/>
      <c r="AG15" s="454"/>
      <c r="AH15" s="454"/>
      <c r="AI15" s="454"/>
      <c r="AJ15" s="454"/>
      <c r="AK15" s="454"/>
      <c r="AL15" s="454"/>
      <c r="AM15" s="454"/>
      <c r="AN15" s="454"/>
      <c r="AO15" s="454"/>
      <c r="AP15" s="454"/>
    </row>
    <row r="16" spans="1:42" s="454" customFormat="1" ht="15.75" customHeight="1">
      <c r="A16" s="826" t="s">
        <v>735</v>
      </c>
      <c r="B16" s="478"/>
      <c r="C16" s="478"/>
      <c r="D16" s="460"/>
      <c r="E16" s="460"/>
      <c r="F16" s="460"/>
      <c r="G16" s="460"/>
      <c r="H16" s="460"/>
      <c r="I16" s="460"/>
      <c r="J16" s="460"/>
      <c r="K16" s="460"/>
      <c r="L16" s="460"/>
      <c r="M16" s="460"/>
      <c r="N16" s="824"/>
      <c r="P16" s="457"/>
    </row>
    <row r="17" spans="1:22" s="454" customFormat="1" ht="16.5" customHeight="1" thickBot="1">
      <c r="A17" s="1619" t="s">
        <v>747</v>
      </c>
      <c r="B17" s="1620"/>
      <c r="C17" s="478"/>
      <c r="D17" s="460"/>
      <c r="E17" s="460"/>
      <c r="F17" s="460"/>
      <c r="G17" s="460"/>
      <c r="H17" s="460"/>
      <c r="I17" s="460"/>
      <c r="J17" s="460"/>
      <c r="K17" s="460"/>
      <c r="L17" s="460"/>
      <c r="M17" s="460"/>
      <c r="N17" s="824"/>
      <c r="P17" s="457"/>
    </row>
    <row r="18" spans="1:22" s="454" customFormat="1" ht="20.100000000000001" customHeight="1">
      <c r="A18" s="827" t="s">
        <v>427</v>
      </c>
      <c r="B18" s="804">
        <v>4.1193</v>
      </c>
      <c r="C18" s="478"/>
      <c r="D18" s="460">
        <f>'[1]GF Resources'!$G$7</f>
        <v>1107945</v>
      </c>
      <c r="E18" s="460"/>
      <c r="F18" s="460">
        <f>'All Funds Sch A Left'!E15+'All Funds Sch A Left'!F15+'All Funds Sch A Left'!G15+'All Funds Sch A Left'!H15+'All Funds Sch A Left'!I15</f>
        <v>0</v>
      </c>
      <c r="G18" s="460"/>
      <c r="H18" s="460">
        <f>4849199-H19-H20-H21</f>
        <v>0</v>
      </c>
      <c r="I18" s="460"/>
      <c r="J18" s="460">
        <f>'All Funds Sch A Right'!D15+'All Funds Sch A Right'!E15</f>
        <v>0</v>
      </c>
      <c r="K18" s="460"/>
      <c r="L18" s="460">
        <f>'All Funds Sch A Right'!G15+'All Funds Sch A Right'!I15+'All Funds Sch A Right'!K15+'All Funds Sch A Right'!M15+'All Funds Sch A Right'!O15</f>
        <v>0</v>
      </c>
      <c r="M18" s="460"/>
      <c r="N18" s="824">
        <f t="shared" ref="N18:N30" si="0">SUM(D18:L18)</f>
        <v>1107945</v>
      </c>
      <c r="P18" s="457"/>
      <c r="Q18" s="857"/>
      <c r="R18" s="858" t="s">
        <v>757</v>
      </c>
      <c r="S18"/>
      <c r="T18" s="353"/>
      <c r="U18" s="353"/>
      <c r="V18" s="353"/>
    </row>
    <row r="19" spans="1:22" s="454" customFormat="1" ht="20.100000000000001" customHeight="1">
      <c r="A19" s="827" t="s">
        <v>429</v>
      </c>
      <c r="B19" s="866">
        <v>5.2400000000000002E-2</v>
      </c>
      <c r="C19" s="478"/>
      <c r="D19" s="460"/>
      <c r="E19" s="460"/>
      <c r="F19" s="460">
        <f>'All Funds Sch A Left'!E16+'All Funds Sch A Left'!F16+'All Funds Sch A Left'!G16+'All Funds Sch A Left'!H16+'All Funds Sch A Left'!I16</f>
        <v>0</v>
      </c>
      <c r="G19" s="460"/>
      <c r="H19" s="460">
        <f>1182401</f>
        <v>1182401</v>
      </c>
      <c r="I19" s="460"/>
      <c r="J19" s="460">
        <f>'All Funds Sch A Right'!D16+'All Funds Sch A Right'!E16</f>
        <v>0</v>
      </c>
      <c r="K19" s="460"/>
      <c r="L19" s="460">
        <f>'All Funds Sch A Right'!G16+'All Funds Sch A Right'!I16+'All Funds Sch A Right'!K16+'All Funds Sch A Right'!M16+'All Funds Sch A Right'!O16</f>
        <v>0</v>
      </c>
      <c r="M19" s="460"/>
      <c r="N19" s="824">
        <f t="shared" si="0"/>
        <v>1182401</v>
      </c>
      <c r="P19" s="457"/>
      <c r="Q19" s="859"/>
      <c r="R19" s="877" t="e">
        <f>R11</f>
        <v>#REF!</v>
      </c>
      <c r="S19" s="766" t="s">
        <v>761</v>
      </c>
      <c r="T19" s="353"/>
      <c r="U19" s="353"/>
      <c r="V19" s="353"/>
    </row>
    <row r="20" spans="1:22" s="454" customFormat="1" ht="20.100000000000001" customHeight="1">
      <c r="A20" s="827" t="s">
        <v>762</v>
      </c>
      <c r="B20" s="805">
        <v>5.0999999999999997E-2</v>
      </c>
      <c r="C20" s="478"/>
      <c r="D20" s="460"/>
      <c r="E20" s="460"/>
      <c r="F20" s="460">
        <f>'All Funds Sch A Left'!E17+'All Funds Sch A Left'!F17+'All Funds Sch A Left'!G17+'All Funds Sch A Left'!H17+'All Funds Sch A Left'!I17</f>
        <v>0</v>
      </c>
      <c r="G20" s="460"/>
      <c r="H20" s="460">
        <v>1150810</v>
      </c>
      <c r="I20" s="460"/>
      <c r="J20" s="460">
        <f>'All Funds Sch A Right'!D17+'All Funds Sch A Right'!E17</f>
        <v>0</v>
      </c>
      <c r="K20" s="460"/>
      <c r="L20" s="460">
        <f>'All Funds Sch A Right'!G17+'All Funds Sch A Right'!I17+'All Funds Sch A Right'!K17+'All Funds Sch A Right'!M17+'All Funds Sch A Right'!O17</f>
        <v>0</v>
      </c>
      <c r="M20" s="460"/>
      <c r="N20" s="824">
        <f t="shared" si="0"/>
        <v>1150810</v>
      </c>
      <c r="P20" s="457"/>
      <c r="Q20" s="860"/>
      <c r="R20" s="877">
        <f>674621213</f>
        <v>674621213</v>
      </c>
      <c r="S20" t="s">
        <v>764</v>
      </c>
      <c r="T20" s="353"/>
      <c r="U20" s="353"/>
      <c r="V20" s="353"/>
    </row>
    <row r="21" spans="1:22" s="454" customFormat="1" ht="20.100000000000001" customHeight="1">
      <c r="A21" s="827" t="s">
        <v>763</v>
      </c>
      <c r="B21" s="804">
        <v>0.1115</v>
      </c>
      <c r="C21" s="478"/>
      <c r="D21" s="460"/>
      <c r="E21" s="460"/>
      <c r="F21" s="460">
        <f>'All Funds Sch A Left'!E18+'All Funds Sch A Left'!F18+'All Funds Sch A Left'!G18+'All Funds Sch A Left'!H18+'All Funds Sch A Left'!I18</f>
        <v>0</v>
      </c>
      <c r="G21" s="460"/>
      <c r="H21" s="460">
        <f>2515988</f>
        <v>2515988</v>
      </c>
      <c r="I21" s="460"/>
      <c r="J21" s="460">
        <f>'All Funds Sch A Right'!D18+'All Funds Sch A Right'!E18</f>
        <v>0</v>
      </c>
      <c r="K21" s="460"/>
      <c r="L21" s="460">
        <f>'All Funds Sch A Right'!G18+'All Funds Sch A Right'!I18+'All Funds Sch A Right'!K18+'All Funds Sch A Right'!M18+'All Funds Sch A Right'!O18</f>
        <v>0</v>
      </c>
      <c r="M21" s="460"/>
      <c r="N21" s="824">
        <f t="shared" si="0"/>
        <v>2515988</v>
      </c>
      <c r="P21" s="457"/>
      <c r="Q21" s="861"/>
      <c r="R21" s="877" t="e">
        <f>R19-R20</f>
        <v>#REF!</v>
      </c>
      <c r="S21"/>
      <c r="T21" s="353"/>
      <c r="U21" s="353"/>
      <c r="V21" s="353"/>
    </row>
    <row r="22" spans="1:22" s="454" customFormat="1" ht="20.100000000000001" customHeight="1" thickBot="1">
      <c r="A22" s="827" t="s">
        <v>431</v>
      </c>
      <c r="B22" s="805">
        <v>1</v>
      </c>
      <c r="C22" s="478"/>
      <c r="D22" s="467">
        <v>0</v>
      </c>
      <c r="E22" s="460"/>
      <c r="F22" s="460">
        <f>'All Funds Sch A Left'!E19+'All Funds Sch A Left'!F19+'All Funds Sch A Left'!G19+'All Funds Sch A Left'!H19+'All Funds Sch A Left'!I19</f>
        <v>80098.3</v>
      </c>
      <c r="G22" s="460"/>
      <c r="H22" s="460">
        <f>'All Funds Sch A Left'!J19</f>
        <v>0</v>
      </c>
      <c r="I22" s="460"/>
      <c r="J22" s="460">
        <f>'All Funds Sch A Right'!D19+'All Funds Sch A Right'!E19</f>
        <v>0</v>
      </c>
      <c r="K22" s="460"/>
      <c r="L22" s="460">
        <f>'All Funds Sch A Right'!G19+'All Funds Sch A Right'!I19+'All Funds Sch A Right'!K19+'All Funds Sch A Right'!M19+'All Funds Sch A Right'!O19</f>
        <v>0</v>
      </c>
      <c r="M22" s="460"/>
      <c r="N22" s="824">
        <f t="shared" si="0"/>
        <v>80098.3</v>
      </c>
      <c r="P22" s="457"/>
      <c r="Q22" s="862" t="s">
        <v>759</v>
      </c>
      <c r="R22" s="867" t="e">
        <f>R21/R20</f>
        <v>#REF!</v>
      </c>
      <c r="S22" t="s">
        <v>760</v>
      </c>
      <c r="T22" s="854"/>
      <c r="U22" s="854"/>
      <c r="V22" s="854"/>
    </row>
    <row r="23" spans="1:22" s="454" customFormat="1" ht="20.100000000000001" customHeight="1">
      <c r="A23" s="827" t="s">
        <v>432</v>
      </c>
      <c r="B23" s="806"/>
      <c r="C23" s="478"/>
      <c r="D23" s="460">
        <f>'[1]GF Resources'!$G$14</f>
        <v>4882276</v>
      </c>
      <c r="E23" s="460"/>
      <c r="F23" s="460">
        <f>'All Funds Sch A Left'!E20+'All Funds Sch A Left'!F20+'All Funds Sch A Left'!G20+'All Funds Sch A Left'!H20+'All Funds Sch A Left'!I20</f>
        <v>0</v>
      </c>
      <c r="G23" s="460"/>
      <c r="H23" s="460">
        <f>'All Funds Sch A Left'!J20</f>
        <v>0</v>
      </c>
      <c r="I23" s="460"/>
      <c r="J23" s="460">
        <f>'All Funds Sch A Right'!D20+'All Funds Sch A Right'!E20</f>
        <v>0</v>
      </c>
      <c r="K23" s="460"/>
      <c r="L23" s="460">
        <f>'All Funds Sch A Right'!G20+'All Funds Sch A Right'!I20+'All Funds Sch A Right'!K20+'All Funds Sch A Right'!M20+'All Funds Sch A Right'!O20</f>
        <v>0</v>
      </c>
      <c r="M23" s="460"/>
      <c r="N23" s="824">
        <f t="shared" si="0"/>
        <v>4882276</v>
      </c>
      <c r="P23" s="457"/>
    </row>
    <row r="24" spans="1:22" s="454" customFormat="1" ht="20.100000000000001" customHeight="1">
      <c r="A24" s="827" t="s">
        <v>433</v>
      </c>
      <c r="B24" s="478"/>
      <c r="C24" s="478"/>
      <c r="D24" s="460">
        <f>'[1]GF Resources'!$G$15</f>
        <v>-1600000</v>
      </c>
      <c r="E24" s="460"/>
      <c r="F24" s="460">
        <f>'All Funds Sch A Left'!E21+'All Funds Sch A Left'!F21+'All Funds Sch A Left'!G21+'All Funds Sch A Left'!H21+'All Funds Sch A Left'!I21</f>
        <v>0</v>
      </c>
      <c r="G24" s="460"/>
      <c r="H24" s="460">
        <f>'All Funds Sch A Left'!J21</f>
        <v>0</v>
      </c>
      <c r="I24" s="460"/>
      <c r="J24" s="460">
        <f>'All Funds Sch A Right'!D21+'All Funds Sch A Right'!E21</f>
        <v>0</v>
      </c>
      <c r="K24" s="460"/>
      <c r="L24" s="460">
        <f>'All Funds Sch A Right'!G21+'All Funds Sch A Right'!I21+'All Funds Sch A Right'!K21+'All Funds Sch A Right'!M21+'All Funds Sch A Right'!O21</f>
        <v>0</v>
      </c>
      <c r="M24" s="460"/>
      <c r="N24" s="824">
        <f t="shared" si="0"/>
        <v>-1600000</v>
      </c>
      <c r="P24" s="457"/>
    </row>
    <row r="25" spans="1:22" s="454" customFormat="1" ht="20.100000000000001" customHeight="1">
      <c r="A25" s="827" t="s">
        <v>434</v>
      </c>
      <c r="B25" s="478"/>
      <c r="C25" s="478"/>
      <c r="D25" s="460">
        <f>'[1]GF Resources'!$G$16</f>
        <v>551832</v>
      </c>
      <c r="E25" s="460"/>
      <c r="F25" s="460">
        <f>'All Funds Sch A Left'!E22+'All Funds Sch A Left'!F22+'All Funds Sch A Left'!G22+'All Funds Sch A Left'!H22+'All Funds Sch A Left'!I22</f>
        <v>0</v>
      </c>
      <c r="G25" s="460"/>
      <c r="H25" s="460">
        <f>'All Funds Sch A Left'!J22</f>
        <v>0</v>
      </c>
      <c r="I25" s="460"/>
      <c r="J25" s="460">
        <f>'All Funds Sch A Right'!D22+'All Funds Sch A Right'!E22</f>
        <v>0</v>
      </c>
      <c r="K25" s="460"/>
      <c r="L25" s="460">
        <f>'All Funds Sch A Right'!G22+'All Funds Sch A Right'!I22+'All Funds Sch A Right'!K22+'All Funds Sch A Right'!M22+'All Funds Sch A Right'!O22</f>
        <v>0</v>
      </c>
      <c r="M25" s="460"/>
      <c r="N25" s="824">
        <f t="shared" si="0"/>
        <v>551832</v>
      </c>
      <c r="P25" s="457"/>
    </row>
    <row r="26" spans="1:22" s="454" customFormat="1" ht="20.100000000000001" customHeight="1">
      <c r="A26" s="827" t="s">
        <v>435</v>
      </c>
      <c r="B26" s="478"/>
      <c r="C26" s="478"/>
      <c r="D26" s="460">
        <f>'[1]GF Resources'!$G$22</f>
        <v>0</v>
      </c>
      <c r="E26" s="460"/>
      <c r="F26" s="460" t="e">
        <f>'All Funds Sch A Left'!E23+'All Funds Sch A Left'!F23+'All Funds Sch A Left'!G23+'All Funds Sch A Left'!H23+'All Funds Sch A Left'!I23</f>
        <v>#REF!</v>
      </c>
      <c r="G26" s="460"/>
      <c r="H26" s="460">
        <f>'All Funds Sch A Left'!J23</f>
        <v>0</v>
      </c>
      <c r="I26" s="460"/>
      <c r="J26" s="460">
        <f>'All Funds Sch A Right'!D23+'All Funds Sch A Right'!E23</f>
        <v>0</v>
      </c>
      <c r="K26" s="460"/>
      <c r="L26" s="460">
        <f>'All Funds Sch A Right'!G23+'All Funds Sch A Right'!I23+'All Funds Sch A Right'!K23+'All Funds Sch A Right'!M23+'All Funds Sch A Right'!O23</f>
        <v>0</v>
      </c>
      <c r="M26" s="460"/>
      <c r="N26" s="824" t="e">
        <f t="shared" si="0"/>
        <v>#REF!</v>
      </c>
      <c r="P26" s="457"/>
    </row>
    <row r="27" spans="1:22" s="454" customFormat="1" ht="20.100000000000001" customHeight="1">
      <c r="A27" s="827" t="s">
        <v>408</v>
      </c>
      <c r="B27" s="478"/>
      <c r="C27" s="478"/>
      <c r="D27" s="460">
        <f>'[1]GF Resources'!$G$28</f>
        <v>481915</v>
      </c>
      <c r="E27" s="460"/>
      <c r="F27" s="460">
        <f>'All Funds Sch A Left'!E24+'All Funds Sch A Left'!F24+'All Funds Sch A Left'!G24+'All Funds Sch A Left'!H24+'All Funds Sch A Left'!I24</f>
        <v>17559694</v>
      </c>
      <c r="G27" s="460"/>
      <c r="H27" s="460">
        <f>'All Funds Sch A Left'!J24</f>
        <v>0</v>
      </c>
      <c r="I27" s="460"/>
      <c r="J27" s="460">
        <f>'All Funds Sch A Right'!D24+'All Funds Sch A Right'!E24</f>
        <v>0</v>
      </c>
      <c r="K27" s="460"/>
      <c r="L27" s="460">
        <f>'All Funds Sch A Right'!G24+'All Funds Sch A Right'!I24+'All Funds Sch A Right'!K24+'All Funds Sch A Right'!M24+'All Funds Sch A Right'!O24</f>
        <v>0</v>
      </c>
      <c r="M27" s="460"/>
      <c r="N27" s="824">
        <f t="shared" si="0"/>
        <v>18041609</v>
      </c>
      <c r="P27" s="457"/>
    </row>
    <row r="28" spans="1:22" s="454" customFormat="1" ht="20.100000000000001" customHeight="1">
      <c r="A28" s="827" t="s">
        <v>114</v>
      </c>
      <c r="B28" s="478"/>
      <c r="C28" s="478"/>
      <c r="D28" s="460">
        <f>'[1]GF Resources'!$G$40</f>
        <v>0</v>
      </c>
      <c r="E28" s="460"/>
      <c r="F28" s="460" t="e">
        <f>'All Funds Sch A Left'!E25+'All Funds Sch A Left'!F25+'All Funds Sch A Left'!G25+'All Funds Sch A Left'!H25+'All Funds Sch A Left'!I25</f>
        <v>#REF!</v>
      </c>
      <c r="G28" s="460"/>
      <c r="H28" s="460">
        <f>'All Funds Sch A Left'!J25</f>
        <v>0</v>
      </c>
      <c r="I28" s="460"/>
      <c r="J28" s="460">
        <f>'All Funds Sch A Right'!D25+'All Funds Sch A Right'!E25</f>
        <v>1155994.8400000001</v>
      </c>
      <c r="K28" s="460"/>
      <c r="L28" s="460">
        <f>'All Funds Sch A Right'!G25+'All Funds Sch A Right'!I25+'All Funds Sch A Right'!K25+'All Funds Sch A Right'!M25+'All Funds Sch A Right'!O25</f>
        <v>153083276.65000001</v>
      </c>
      <c r="M28" s="460"/>
      <c r="N28" s="824" t="e">
        <f t="shared" si="0"/>
        <v>#REF!</v>
      </c>
      <c r="P28" s="457"/>
    </row>
    <row r="29" spans="1:22" s="454" customFormat="1" ht="20.100000000000001" customHeight="1">
      <c r="A29" s="827" t="s">
        <v>436</v>
      </c>
      <c r="B29" s="478"/>
      <c r="C29" s="478"/>
      <c r="D29" s="460">
        <f>'[1]GF Resources'!$G$45</f>
        <v>0</v>
      </c>
      <c r="E29" s="460"/>
      <c r="F29" s="460">
        <f>'All Funds Sch A Left'!E26+'All Funds Sch A Left'!F26+'All Funds Sch A Left'!G26+'All Funds Sch A Left'!H26+'All Funds Sch A Left'!I26</f>
        <v>0</v>
      </c>
      <c r="G29" s="460"/>
      <c r="H29" s="460">
        <f>'All Funds Sch A Left'!J26</f>
        <v>0</v>
      </c>
      <c r="I29" s="460"/>
      <c r="J29" s="460">
        <f>'All Funds Sch A Right'!D26+'All Funds Sch A Right'!E26</f>
        <v>0</v>
      </c>
      <c r="K29" s="460"/>
      <c r="L29" s="460">
        <f>'All Funds Sch A Right'!G26+'All Funds Sch A Right'!I26+'All Funds Sch A Right'!K26+'All Funds Sch A Right'!M26+'All Funds Sch A Right'!O26+160000</f>
        <v>3198435</v>
      </c>
      <c r="M29" s="460"/>
      <c r="N29" s="824">
        <f t="shared" si="0"/>
        <v>3198435</v>
      </c>
      <c r="P29" s="457"/>
    </row>
    <row r="30" spans="1:22" s="454" customFormat="1" ht="20.100000000000001" customHeight="1">
      <c r="A30" s="827" t="s">
        <v>738</v>
      </c>
      <c r="B30" s="478"/>
      <c r="C30" s="478"/>
      <c r="D30" s="460">
        <f>'[1]GF Resources'!$G$54+160000</f>
        <v>160000</v>
      </c>
      <c r="E30" s="460"/>
      <c r="F30" s="460" t="e">
        <f>'All Funds Sch A Left'!E27+'All Funds Sch A Left'!F27+'All Funds Sch A Left'!G27+'All Funds Sch A Left'!H27+'All Funds Sch A Left'!I27</f>
        <v>#REF!</v>
      </c>
      <c r="G30" s="460"/>
      <c r="H30" s="460">
        <f>'All Funds Sch A Left'!J27</f>
        <v>0</v>
      </c>
      <c r="I30" s="460"/>
      <c r="J30" s="460">
        <f>'All Funds Sch A Right'!D27+'All Funds Sch A Right'!E27</f>
        <v>2200000</v>
      </c>
      <c r="K30" s="460"/>
      <c r="L30" s="460" t="e">
        <f>'All Funds Sch A Right'!G27+'All Funds Sch A Right'!I27+'All Funds Sch A Right'!K27+'All Funds Sch A Right'!M27+'All Funds Sch A Right'!O27</f>
        <v>#REF!</v>
      </c>
      <c r="M30" s="460"/>
      <c r="N30" s="824" t="e">
        <f t="shared" si="0"/>
        <v>#REF!</v>
      </c>
      <c r="P30" s="457"/>
    </row>
    <row r="31" spans="1:22" s="454" customFormat="1" ht="20.100000000000001" customHeight="1">
      <c r="A31" s="827" t="s">
        <v>739</v>
      </c>
      <c r="B31" s="478"/>
      <c r="C31" s="478" t="s">
        <v>424</v>
      </c>
      <c r="D31" s="463">
        <f>SUM(D17:D30)</f>
        <v>5583968</v>
      </c>
      <c r="E31" s="460"/>
      <c r="F31" s="463" t="e">
        <f>SUM(F17:F30)</f>
        <v>#REF!</v>
      </c>
      <c r="G31" s="460"/>
      <c r="H31" s="463">
        <f>SUM(H17:H30)</f>
        <v>4849199</v>
      </c>
      <c r="I31" s="460"/>
      <c r="J31" s="463">
        <f>SUM(J17:J30)</f>
        <v>3355994.84</v>
      </c>
      <c r="K31" s="460"/>
      <c r="L31" s="463" t="e">
        <f>SUM(L17:L30)</f>
        <v>#REF!</v>
      </c>
      <c r="M31" s="460"/>
      <c r="N31" s="825" t="e">
        <f>SUM(N17:N30)</f>
        <v>#REF!</v>
      </c>
      <c r="O31" s="465"/>
      <c r="P31" s="457"/>
    </row>
    <row r="32" spans="1:22" s="454" customFormat="1" ht="20.100000000000001" customHeight="1">
      <c r="A32" s="827" t="s">
        <v>740</v>
      </c>
      <c r="B32" s="478"/>
      <c r="C32" s="478" t="s">
        <v>424</v>
      </c>
      <c r="D32" s="470">
        <f>'[1]GF Resources'!$G$59</f>
        <v>0</v>
      </c>
      <c r="E32" s="460"/>
      <c r="F32" s="470">
        <f>'All Funds Sch A Left'!E31+'All Funds Sch A Left'!F31+'All Funds Sch A Left'!G31+'All Funds Sch A Left'!H31+'All Funds Sch A Left'!I31</f>
        <v>4496529</v>
      </c>
      <c r="G32" s="460"/>
      <c r="H32" s="470" t="e">
        <f>'All Funds Sch A Left'!J31</f>
        <v>#REF!</v>
      </c>
      <c r="I32" s="460"/>
      <c r="J32" s="470">
        <f>'All Funds Sch A Right'!D30+'All Funds Sch A Right'!E30</f>
        <v>0</v>
      </c>
      <c r="K32" s="460"/>
      <c r="L32" s="470">
        <f>'All Funds Sch A Right'!G30+'All Funds Sch A Right'!I30+'All Funds Sch A Right'!K30+'All Funds Sch A Right'!M30+'All Funds Sch A Right'!O30</f>
        <v>0</v>
      </c>
      <c r="M32" s="460"/>
      <c r="N32" s="828" t="e">
        <f>SUM(D32:L32)</f>
        <v>#REF!</v>
      </c>
      <c r="P32" s="457"/>
    </row>
    <row r="33" spans="1:42" s="454" customFormat="1" ht="20.100000000000001" customHeight="1">
      <c r="A33" s="827"/>
      <c r="B33" s="478"/>
      <c r="C33" s="478"/>
      <c r="D33" s="460"/>
      <c r="E33" s="460"/>
      <c r="F33" s="460"/>
      <c r="G33" s="460"/>
      <c r="H33" s="460"/>
      <c r="I33" s="460"/>
      <c r="J33" s="460"/>
      <c r="K33" s="460"/>
      <c r="L33" s="460"/>
      <c r="M33" s="460"/>
      <c r="N33" s="824"/>
      <c r="P33" s="457"/>
    </row>
    <row r="34" spans="1:42" s="685" customFormat="1" ht="21.95" customHeight="1" thickBot="1">
      <c r="A34" s="826" t="s">
        <v>737</v>
      </c>
      <c r="B34" s="807"/>
      <c r="C34" s="808" t="s">
        <v>424</v>
      </c>
      <c r="D34" s="800">
        <f>D14+D31+D32</f>
        <v>56836237</v>
      </c>
      <c r="E34" s="809"/>
      <c r="F34" s="800" t="e">
        <f>F14+F31+F32</f>
        <v>#REF!</v>
      </c>
      <c r="G34" s="809"/>
      <c r="H34" s="800" t="e">
        <f>H14+H31+H32</f>
        <v>#REF!</v>
      </c>
      <c r="I34" s="809"/>
      <c r="J34" s="800">
        <f>J14+J31+J32</f>
        <v>27285740.960000001</v>
      </c>
      <c r="K34" s="809"/>
      <c r="L34" s="800" t="e">
        <f>L14+L31+L32</f>
        <v>#REF!</v>
      </c>
      <c r="M34" s="809"/>
      <c r="N34" s="829" t="e">
        <f>N14+N31+N32</f>
        <v>#REF!</v>
      </c>
      <c r="O34" s="801"/>
      <c r="P34" s="802"/>
      <c r="Q34" s="801"/>
    </row>
    <row r="35" spans="1:42" s="454" customFormat="1" ht="14.1" customHeight="1" thickTop="1">
      <c r="A35" s="826"/>
      <c r="B35" s="478"/>
      <c r="C35" s="478"/>
      <c r="D35" s="460"/>
      <c r="E35" s="460"/>
      <c r="F35" s="460"/>
      <c r="G35" s="460"/>
      <c r="H35" s="460"/>
      <c r="I35" s="460"/>
      <c r="J35" s="460"/>
      <c r="K35" s="460"/>
      <c r="L35" s="460"/>
      <c r="M35" s="460"/>
      <c r="N35" s="824"/>
      <c r="P35" s="457"/>
    </row>
    <row r="36" spans="1:42" s="454" customFormat="1" ht="6.95" customHeight="1">
      <c r="A36" s="827"/>
      <c r="B36" s="478"/>
      <c r="C36" s="478"/>
      <c r="D36" s="460"/>
      <c r="E36" s="460"/>
      <c r="F36" s="460"/>
      <c r="G36" s="460"/>
      <c r="H36" s="460"/>
      <c r="I36" s="460"/>
      <c r="J36" s="460"/>
      <c r="K36" s="460"/>
      <c r="L36" s="460"/>
      <c r="M36" s="460"/>
      <c r="N36" s="824"/>
      <c r="P36" s="457"/>
    </row>
    <row r="37" spans="1:42" s="454" customFormat="1" ht="17.25" customHeight="1">
      <c r="A37" s="826" t="s">
        <v>595</v>
      </c>
      <c r="B37" s="478"/>
      <c r="C37" s="478"/>
      <c r="D37" s="460"/>
      <c r="E37" s="460"/>
      <c r="F37" s="460"/>
      <c r="G37" s="460"/>
      <c r="H37" s="460"/>
      <c r="I37" s="460"/>
      <c r="J37" s="460"/>
      <c r="K37" s="460"/>
      <c r="L37" s="460"/>
      <c r="M37" s="460"/>
      <c r="N37" s="824"/>
      <c r="P37" s="457"/>
    </row>
    <row r="38" spans="1:42" s="454" customFormat="1" ht="20.100000000000001" customHeight="1">
      <c r="A38" s="827" t="s">
        <v>594</v>
      </c>
      <c r="B38" s="478"/>
      <c r="C38" s="478" t="s">
        <v>424</v>
      </c>
      <c r="D38" s="460">
        <f>'Program by Fund Type'!B6</f>
        <v>38748217.43</v>
      </c>
      <c r="E38" s="460"/>
      <c r="F38" s="460">
        <f>'Program by Fund Type'!D6</f>
        <v>0</v>
      </c>
      <c r="G38" s="460"/>
      <c r="H38" s="460">
        <f>'Program by Fund Type'!F6</f>
        <v>21424866</v>
      </c>
      <c r="I38" s="460"/>
      <c r="J38" s="460">
        <f>'Program by Fund Type'!J6</f>
        <v>0</v>
      </c>
      <c r="K38" s="460"/>
      <c r="L38" s="460">
        <f>'Program by Fund Type'!H6</f>
        <v>0</v>
      </c>
      <c r="M38" s="460"/>
      <c r="N38" s="824">
        <f t="shared" ref="N38:N45" si="1">SUM(D38:L38)</f>
        <v>60173083.43</v>
      </c>
      <c r="P38" s="457"/>
    </row>
    <row r="39" spans="1:42" s="417" customFormat="1" ht="20.100000000000001" customHeight="1">
      <c r="A39" s="823" t="s">
        <v>596</v>
      </c>
      <c r="B39" s="795"/>
      <c r="C39" s="795"/>
      <c r="D39" s="460">
        <f>'Program by Fund Type'!B10+160000</f>
        <v>173325647.11000001</v>
      </c>
      <c r="E39" s="460"/>
      <c r="F39" s="460">
        <f>'Program by Fund Type'!D10</f>
        <v>6987771.0800000001</v>
      </c>
      <c r="G39" s="460"/>
      <c r="H39" s="460">
        <f>'Program by Fund Type'!F10</f>
        <v>0</v>
      </c>
      <c r="I39" s="460"/>
      <c r="J39" s="460">
        <f>'Program by Fund Type'!J10</f>
        <v>0</v>
      </c>
      <c r="K39" s="460"/>
      <c r="L39" s="460">
        <f>'Program by Fund Type'!H10</f>
        <v>0</v>
      </c>
      <c r="M39" s="460"/>
      <c r="N39" s="824">
        <f t="shared" si="1"/>
        <v>180313418.19000003</v>
      </c>
      <c r="O39" s="454"/>
      <c r="P39" s="457"/>
      <c r="Q39" s="454"/>
      <c r="R39" s="454"/>
      <c r="S39" s="454"/>
      <c r="T39" s="454"/>
      <c r="U39" s="454"/>
      <c r="V39" s="454"/>
      <c r="W39" s="454"/>
      <c r="X39" s="454"/>
      <c r="Y39" s="454"/>
      <c r="Z39" s="454"/>
      <c r="AA39" s="454"/>
      <c r="AB39" s="454"/>
      <c r="AC39" s="454"/>
      <c r="AD39" s="454"/>
      <c r="AE39" s="454"/>
      <c r="AF39" s="454"/>
      <c r="AG39" s="454"/>
      <c r="AH39" s="454"/>
      <c r="AI39" s="454"/>
      <c r="AJ39" s="454"/>
      <c r="AK39" s="454"/>
      <c r="AL39" s="454"/>
      <c r="AM39" s="454"/>
      <c r="AN39" s="454"/>
      <c r="AO39" s="454"/>
      <c r="AP39" s="454"/>
    </row>
    <row r="40" spans="1:42" s="417" customFormat="1" ht="20.100000000000001" customHeight="1">
      <c r="A40" s="823" t="s">
        <v>597</v>
      </c>
      <c r="B40" s="795"/>
      <c r="C40" s="795"/>
      <c r="D40" s="460">
        <f>'Program by Fund Type'!B9</f>
        <v>8801766.8200000003</v>
      </c>
      <c r="E40" s="460"/>
      <c r="F40" s="460">
        <f>'Program by Fund Type'!D9</f>
        <v>0</v>
      </c>
      <c r="G40" s="460"/>
      <c r="H40" s="460">
        <f>'Program by Fund Type'!F9</f>
        <v>0</v>
      </c>
      <c r="I40" s="460"/>
      <c r="J40" s="460">
        <f>'Program by Fund Type'!J9</f>
        <v>889492</v>
      </c>
      <c r="K40" s="460"/>
      <c r="L40" s="460">
        <f>'Program by Fund Type'!H9</f>
        <v>105365962.77</v>
      </c>
      <c r="M40" s="460"/>
      <c r="N40" s="824">
        <f t="shared" si="1"/>
        <v>115057221.59</v>
      </c>
      <c r="O40" s="454"/>
      <c r="P40" s="457"/>
      <c r="Q40" s="454"/>
      <c r="R40" s="454"/>
      <c r="S40" s="454"/>
      <c r="T40" s="454"/>
      <c r="U40" s="454"/>
      <c r="V40" s="454"/>
      <c r="W40" s="454"/>
      <c r="X40" s="454"/>
      <c r="Y40" s="454"/>
      <c r="Z40" s="454"/>
      <c r="AA40" s="454"/>
      <c r="AB40" s="454"/>
      <c r="AC40" s="454"/>
      <c r="AD40" s="454"/>
      <c r="AE40" s="454"/>
      <c r="AF40" s="454"/>
      <c r="AG40" s="454"/>
      <c r="AH40" s="454"/>
      <c r="AI40" s="454"/>
      <c r="AJ40" s="454"/>
      <c r="AK40" s="454"/>
      <c r="AL40" s="454"/>
      <c r="AM40" s="454"/>
      <c r="AN40" s="454"/>
      <c r="AO40" s="454"/>
      <c r="AP40" s="454"/>
    </row>
    <row r="41" spans="1:42" s="417" customFormat="1" ht="20.100000000000001" customHeight="1">
      <c r="A41" s="823" t="s">
        <v>598</v>
      </c>
      <c r="B41" s="795"/>
      <c r="C41" s="795"/>
      <c r="D41" s="460">
        <f>'Program by Fund Type'!B11</f>
        <v>3885516.92</v>
      </c>
      <c r="E41" s="460"/>
      <c r="F41" s="460">
        <f>'Program by Fund Type'!D11</f>
        <v>0</v>
      </c>
      <c r="G41" s="460"/>
      <c r="H41" s="460">
        <f>'Program by Fund Type'!F11</f>
        <v>0</v>
      </c>
      <c r="I41" s="460"/>
      <c r="J41" s="460">
        <f>'Program by Fund Type'!J11</f>
        <v>1451345</v>
      </c>
      <c r="K41" s="460"/>
      <c r="L41" s="460">
        <f>'Program by Fund Type'!H11</f>
        <v>26791445.620000001</v>
      </c>
      <c r="M41" s="460"/>
      <c r="N41" s="824">
        <f t="shared" si="1"/>
        <v>32128307.539999999</v>
      </c>
      <c r="O41" s="454"/>
      <c r="P41" s="457"/>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row>
    <row r="42" spans="1:42" s="417" customFormat="1" ht="20.100000000000001" customHeight="1">
      <c r="A42" s="823" t="s">
        <v>599</v>
      </c>
      <c r="B42" s="795"/>
      <c r="C42" s="795"/>
      <c r="D42" s="460">
        <f>'Program by Fund Type'!B5</f>
        <v>1341545.73</v>
      </c>
      <c r="E42" s="460"/>
      <c r="F42" s="460">
        <f>'Program by Fund Type'!D5</f>
        <v>15830831.08</v>
      </c>
      <c r="G42" s="460"/>
      <c r="H42" s="460">
        <f>'Program by Fund Type'!F5</f>
        <v>0</v>
      </c>
      <c r="I42" s="460"/>
      <c r="J42" s="460">
        <f>'Program by Fund Type'!J5</f>
        <v>0</v>
      </c>
      <c r="K42" s="460"/>
      <c r="L42" s="460">
        <f>'Program by Fund Type'!H5</f>
        <v>0</v>
      </c>
      <c r="M42" s="460"/>
      <c r="N42" s="824">
        <f t="shared" si="1"/>
        <v>17172376.809999999</v>
      </c>
      <c r="O42" s="454"/>
      <c r="P42" s="457"/>
      <c r="Q42" s="454"/>
      <c r="R42" s="454"/>
      <c r="S42" s="454"/>
      <c r="T42" s="454"/>
      <c r="U42" s="454"/>
      <c r="V42" s="454"/>
      <c r="W42" s="454"/>
      <c r="X42" s="454"/>
      <c r="Y42" s="454"/>
      <c r="Z42" s="454"/>
      <c r="AA42" s="454"/>
      <c r="AB42" s="454"/>
      <c r="AC42" s="454"/>
      <c r="AD42" s="454"/>
      <c r="AE42" s="454"/>
      <c r="AF42" s="454"/>
      <c r="AG42" s="454"/>
      <c r="AH42" s="454"/>
      <c r="AI42" s="454"/>
      <c r="AJ42" s="454"/>
      <c r="AK42" s="454"/>
      <c r="AL42" s="454"/>
      <c r="AM42" s="454"/>
      <c r="AN42" s="454"/>
      <c r="AO42" s="454"/>
      <c r="AP42" s="454"/>
    </row>
    <row r="43" spans="1:42" s="417" customFormat="1" ht="20.100000000000001" customHeight="1">
      <c r="A43" s="823" t="s">
        <v>600</v>
      </c>
      <c r="B43" s="795"/>
      <c r="C43" s="795"/>
      <c r="D43" s="460">
        <f>'Program by Fund Type'!B4</f>
        <v>29314750.210000001</v>
      </c>
      <c r="E43" s="460"/>
      <c r="F43" s="460">
        <f>'Program by Fund Type'!D4</f>
        <v>0</v>
      </c>
      <c r="G43" s="460"/>
      <c r="H43" s="460">
        <f>'Program by Fund Type'!F4</f>
        <v>0</v>
      </c>
      <c r="I43" s="460"/>
      <c r="J43" s="460">
        <f>'Program by Fund Type'!J4</f>
        <v>0</v>
      </c>
      <c r="K43" s="460"/>
      <c r="L43" s="460">
        <f>'Program by Fund Type'!H4</f>
        <v>0</v>
      </c>
      <c r="M43" s="460"/>
      <c r="N43" s="824">
        <f t="shared" si="1"/>
        <v>29314750.210000001</v>
      </c>
      <c r="O43" s="454"/>
      <c r="P43" s="457"/>
      <c r="Q43" s="454"/>
      <c r="R43" s="454"/>
      <c r="S43" s="454"/>
      <c r="T43" s="454"/>
      <c r="U43" s="454"/>
      <c r="V43" s="454"/>
      <c r="W43" s="454"/>
      <c r="X43" s="454"/>
      <c r="Y43" s="454"/>
      <c r="Z43" s="454"/>
      <c r="AA43" s="454"/>
      <c r="AB43" s="454"/>
      <c r="AC43" s="454"/>
      <c r="AD43" s="454"/>
      <c r="AE43" s="454"/>
      <c r="AF43" s="454"/>
      <c r="AG43" s="454"/>
      <c r="AH43" s="454"/>
      <c r="AI43" s="454"/>
      <c r="AJ43" s="454"/>
      <c r="AK43" s="454"/>
      <c r="AL43" s="454"/>
      <c r="AM43" s="454"/>
      <c r="AN43" s="454"/>
      <c r="AO43" s="454"/>
      <c r="AP43" s="454"/>
    </row>
    <row r="44" spans="1:42" s="417" customFormat="1" ht="20.100000000000001" customHeight="1">
      <c r="A44" s="823" t="s">
        <v>601</v>
      </c>
      <c r="B44" s="795"/>
      <c r="C44" s="795"/>
      <c r="D44" s="460">
        <f>'Program by Fund Type'!B8-D47</f>
        <v>5286119.299999997</v>
      </c>
      <c r="E44" s="460"/>
      <c r="F44" s="460" t="e">
        <f>'Program by Fund Type'!D8-F47</f>
        <v>#REF!</v>
      </c>
      <c r="G44" s="460"/>
      <c r="H44" s="460">
        <v>0</v>
      </c>
      <c r="I44" s="460"/>
      <c r="J44" s="460">
        <f>'Program by Fund Type'!J8-J47</f>
        <v>-4251354.120000001</v>
      </c>
      <c r="K44" s="460"/>
      <c r="L44" s="460">
        <f>'Program by Fund Type'!H8-L47</f>
        <v>41000390.494657531</v>
      </c>
      <c r="M44" s="460"/>
      <c r="N44" s="824" t="e">
        <f t="shared" si="1"/>
        <v>#REF!</v>
      </c>
      <c r="O44" s="454"/>
      <c r="P44" s="457"/>
      <c r="Q44" s="454"/>
      <c r="R44" s="454"/>
      <c r="S44" s="454"/>
      <c r="T44" s="454"/>
      <c r="U44" s="454"/>
      <c r="V44" s="454"/>
      <c r="W44" s="454"/>
      <c r="X44" s="454"/>
      <c r="Y44" s="454"/>
      <c r="Z44" s="454"/>
      <c r="AA44" s="454"/>
      <c r="AB44" s="454"/>
      <c r="AC44" s="454"/>
      <c r="AD44" s="454"/>
      <c r="AE44" s="454"/>
      <c r="AF44" s="454"/>
      <c r="AG44" s="454"/>
      <c r="AH44" s="454"/>
      <c r="AI44" s="454"/>
      <c r="AJ44" s="454"/>
      <c r="AK44" s="454"/>
      <c r="AL44" s="454"/>
      <c r="AM44" s="454"/>
      <c r="AN44" s="454"/>
      <c r="AO44" s="454"/>
      <c r="AP44" s="454"/>
    </row>
    <row r="45" spans="1:42" s="417" customFormat="1" ht="20.100000000000001" customHeight="1">
      <c r="A45" s="823" t="s">
        <v>602</v>
      </c>
      <c r="B45" s="795"/>
      <c r="C45" s="795"/>
      <c r="D45" s="460">
        <f>'Program by Fund Type'!B7</f>
        <v>0</v>
      </c>
      <c r="E45" s="460"/>
      <c r="F45" s="460">
        <f>'Program by Fund Type'!D7</f>
        <v>0</v>
      </c>
      <c r="G45" s="460"/>
      <c r="H45" s="460">
        <f>'Program by Fund Type'!F7</f>
        <v>0</v>
      </c>
      <c r="I45" s="460"/>
      <c r="J45" s="460">
        <f>'Program by Fund Type'!J7</f>
        <v>0</v>
      </c>
      <c r="K45" s="460"/>
      <c r="L45" s="460">
        <f>'Program by Fund Type'!H7-0.4+160000</f>
        <v>33931990.600000001</v>
      </c>
      <c r="M45" s="460"/>
      <c r="N45" s="824">
        <f t="shared" si="1"/>
        <v>33931990.600000001</v>
      </c>
      <c r="O45" s="454"/>
      <c r="P45" s="457"/>
      <c r="Q45" s="454"/>
      <c r="R45" s="454"/>
      <c r="S45" s="454"/>
      <c r="T45" s="454"/>
      <c r="U45" s="454"/>
      <c r="V45" s="454"/>
      <c r="W45" s="454"/>
      <c r="X45" s="454"/>
      <c r="Y45" s="454"/>
      <c r="Z45" s="454"/>
      <c r="AA45" s="454"/>
      <c r="AB45" s="454"/>
      <c r="AC45" s="454"/>
      <c r="AD45" s="454"/>
      <c r="AE45" s="454"/>
      <c r="AF45" s="454"/>
      <c r="AG45" s="454"/>
      <c r="AH45" s="454"/>
      <c r="AI45" s="454"/>
      <c r="AJ45" s="454"/>
      <c r="AK45" s="454"/>
      <c r="AL45" s="454"/>
      <c r="AM45" s="454"/>
      <c r="AN45" s="454"/>
      <c r="AO45" s="454"/>
      <c r="AP45" s="454"/>
    </row>
    <row r="46" spans="1:42" s="417" customFormat="1" ht="20.100000000000001" customHeight="1">
      <c r="A46" s="823" t="s">
        <v>741</v>
      </c>
      <c r="B46" s="795"/>
      <c r="C46" s="795" t="s">
        <v>424</v>
      </c>
      <c r="D46" s="463">
        <f>SUM(D38:D45)</f>
        <v>260703563.51999998</v>
      </c>
      <c r="E46" s="460"/>
      <c r="F46" s="463" t="e">
        <f>SUM(F38:F45)</f>
        <v>#REF!</v>
      </c>
      <c r="G46" s="460"/>
      <c r="H46" s="463">
        <f>SUM(H38:H45)</f>
        <v>21424866</v>
      </c>
      <c r="I46" s="460"/>
      <c r="J46" s="463">
        <f>SUM(J38:J45)</f>
        <v>-1910517.120000001</v>
      </c>
      <c r="K46" s="460"/>
      <c r="L46" s="463">
        <f>SUM(L38:L45)</f>
        <v>207089789.48465753</v>
      </c>
      <c r="M46" s="460"/>
      <c r="N46" s="825" t="e">
        <f>SUM(N38:N45)</f>
        <v>#REF!</v>
      </c>
      <c r="O46" s="465"/>
      <c r="P46" s="457"/>
      <c r="Q46" s="454">
        <f>11475180+71630+23790</f>
        <v>11570600</v>
      </c>
      <c r="R46" s="454"/>
      <c r="S46" s="454"/>
      <c r="T46" s="454"/>
      <c r="U46" s="454"/>
      <c r="V46" s="454"/>
      <c r="W46" s="454"/>
      <c r="X46" s="454"/>
      <c r="Y46" s="454"/>
      <c r="Z46" s="454"/>
      <c r="AA46" s="454"/>
      <c r="AB46" s="454"/>
      <c r="AC46" s="454"/>
      <c r="AD46" s="454"/>
      <c r="AE46" s="454"/>
      <c r="AF46" s="454"/>
      <c r="AG46" s="454"/>
      <c r="AH46" s="454"/>
      <c r="AI46" s="454"/>
      <c r="AJ46" s="454"/>
      <c r="AK46" s="454"/>
      <c r="AL46" s="454"/>
      <c r="AM46" s="454"/>
      <c r="AN46" s="454"/>
      <c r="AO46" s="454"/>
      <c r="AP46" s="454"/>
    </row>
    <row r="47" spans="1:42" s="417" customFormat="1" ht="18" customHeight="1">
      <c r="A47" s="823" t="s">
        <v>748</v>
      </c>
      <c r="B47" s="795"/>
      <c r="C47" s="795"/>
      <c r="D47" s="463">
        <f>'All Funds Sch A Left'!D77+'All Funds Sch A Left'!D80+'All Funds Sch A Left'!D79</f>
        <v>55239292</v>
      </c>
      <c r="E47" s="466"/>
      <c r="F47" s="463" t="e">
        <f>'All Funds Sch A Left'!E81+'All Funds Sch A Left'!F81+'All Funds Sch A Left'!G81+'All Funds Sch A Left'!H81+'All Funds Sch A Left'!I81</f>
        <v>#REF!</v>
      </c>
      <c r="G47" s="466"/>
      <c r="H47" s="463" t="e">
        <f>'All Funds Sch A Left'!J81</f>
        <v>#REF!</v>
      </c>
      <c r="I47" s="460"/>
      <c r="J47" s="463">
        <f>'All Funds Sch A Right'!D80+'All Funds Sch A Right'!E80</f>
        <v>24879487.120000001</v>
      </c>
      <c r="K47" s="466"/>
      <c r="L47" s="463">
        <f>'All Funds Sch A Right'!G80+'All Funds Sch A Right'!I80+'All Funds Sch A Right'!K80+'All Funds Sch A Right'!M80+'All Funds Sch A Right'!O80</f>
        <v>83128903.395342469</v>
      </c>
      <c r="M47" s="466"/>
      <c r="N47" s="825" t="e">
        <f>SUM(D47:L47)</f>
        <v>#REF!</v>
      </c>
      <c r="O47" s="454"/>
      <c r="P47" s="457"/>
      <c r="Q47" s="454"/>
      <c r="R47" s="454"/>
      <c r="S47" s="454"/>
      <c r="T47" s="454"/>
      <c r="U47" s="454"/>
      <c r="V47" s="454"/>
      <c r="W47" s="454"/>
      <c r="X47" s="454"/>
      <c r="Y47" s="454"/>
      <c r="Z47" s="454"/>
      <c r="AA47" s="454"/>
      <c r="AB47" s="454"/>
      <c r="AC47" s="454"/>
      <c r="AD47" s="454"/>
      <c r="AE47" s="454"/>
      <c r="AF47" s="454"/>
      <c r="AG47" s="454"/>
      <c r="AH47" s="454"/>
      <c r="AI47" s="454"/>
      <c r="AJ47" s="454"/>
      <c r="AK47" s="454"/>
      <c r="AL47" s="454"/>
      <c r="AM47" s="454"/>
      <c r="AN47" s="454"/>
      <c r="AO47" s="454"/>
      <c r="AP47" s="454"/>
    </row>
    <row r="48" spans="1:42" s="417" customFormat="1" ht="18" customHeight="1">
      <c r="A48" s="821" t="s">
        <v>742</v>
      </c>
      <c r="B48" s="795"/>
      <c r="C48" s="795"/>
      <c r="D48" s="796"/>
      <c r="E48" s="795"/>
      <c r="F48" s="478"/>
      <c r="G48" s="795"/>
      <c r="H48" s="478"/>
      <c r="I48" s="478"/>
      <c r="J48" s="478"/>
      <c r="K48" s="795"/>
      <c r="L48" s="478"/>
      <c r="M48" s="795"/>
      <c r="N48" s="830"/>
      <c r="O48" s="454"/>
      <c r="P48" s="457"/>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4"/>
    </row>
    <row r="49" spans="1:42" s="417" customFormat="1" ht="21.95" customHeight="1" thickBot="1">
      <c r="A49" s="821" t="s">
        <v>743</v>
      </c>
      <c r="B49" s="803"/>
      <c r="C49" s="795" t="s">
        <v>424</v>
      </c>
      <c r="D49" s="832">
        <f>SUM(D46:D47)</f>
        <v>315942855.51999998</v>
      </c>
      <c r="E49" s="833"/>
      <c r="F49" s="832" t="e">
        <f>SUM(F46:F47)</f>
        <v>#REF!</v>
      </c>
      <c r="G49" s="833"/>
      <c r="H49" s="832" t="e">
        <f>SUM(H46:H47)</f>
        <v>#REF!</v>
      </c>
      <c r="I49" s="834"/>
      <c r="J49" s="832">
        <f>SUM(J46:J47)</f>
        <v>22968970</v>
      </c>
      <c r="K49" s="833"/>
      <c r="L49" s="832">
        <f>SUM(L46:L47)</f>
        <v>290218692.88</v>
      </c>
      <c r="M49" s="833"/>
      <c r="N49" s="835" t="e">
        <f>SUM(D49:L49)</f>
        <v>#REF!</v>
      </c>
      <c r="O49" s="465" t="s">
        <v>58</v>
      </c>
      <c r="P49" s="457"/>
      <c r="Q49" s="454"/>
      <c r="R49" s="454"/>
      <c r="S49" s="454"/>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4"/>
    </row>
    <row r="50" spans="1:42" s="417" customFormat="1" ht="21.95" customHeight="1" thickTop="1">
      <c r="A50" s="821"/>
      <c r="B50" s="803"/>
      <c r="C50" s="795"/>
      <c r="D50" s="834"/>
      <c r="E50" s="833"/>
      <c r="F50" s="834"/>
      <c r="G50" s="833"/>
      <c r="H50" s="834"/>
      <c r="I50" s="834"/>
      <c r="J50" s="834"/>
      <c r="K50" s="833"/>
      <c r="L50" s="834"/>
      <c r="M50" s="833"/>
      <c r="N50" s="848"/>
      <c r="O50" s="465"/>
      <c r="P50" s="457"/>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row>
    <row r="51" spans="1:42" s="417" customFormat="1" ht="21.95" customHeight="1">
      <c r="A51" s="1606" t="s">
        <v>753</v>
      </c>
      <c r="B51" s="1607"/>
      <c r="C51" s="1607"/>
      <c r="D51" s="1607"/>
      <c r="E51" s="1607"/>
      <c r="F51" s="1607"/>
      <c r="G51" s="1607"/>
      <c r="H51" s="1607"/>
      <c r="I51" s="1607"/>
      <c r="J51" s="1607"/>
      <c r="K51" s="1607"/>
      <c r="L51" s="1607"/>
      <c r="M51" s="1607"/>
      <c r="N51" s="1608"/>
      <c r="O51" s="849"/>
      <c r="P51" s="457"/>
      <c r="Q51" s="454"/>
      <c r="R51" s="454"/>
      <c r="S51" s="454"/>
      <c r="T51" s="454"/>
      <c r="U51" s="454"/>
      <c r="V51" s="454"/>
      <c r="W51" s="454"/>
      <c r="X51" s="454"/>
      <c r="Y51" s="454"/>
      <c r="Z51" s="454"/>
      <c r="AA51" s="454"/>
      <c r="AB51" s="454"/>
      <c r="AC51" s="454"/>
      <c r="AD51" s="454"/>
      <c r="AE51" s="454"/>
      <c r="AF51" s="454"/>
      <c r="AG51" s="454"/>
      <c r="AH51" s="454"/>
      <c r="AI51" s="454"/>
      <c r="AJ51" s="454"/>
      <c r="AK51" s="454"/>
      <c r="AL51" s="454"/>
      <c r="AM51" s="454"/>
      <c r="AN51" s="454"/>
      <c r="AO51" s="454"/>
      <c r="AP51" s="454"/>
    </row>
    <row r="52" spans="1:42" ht="21" customHeight="1" thickBot="1">
      <c r="A52" s="1609" t="s">
        <v>754</v>
      </c>
      <c r="B52" s="1610"/>
      <c r="C52" s="1610"/>
      <c r="D52" s="1610"/>
      <c r="E52" s="1610"/>
      <c r="F52" s="1610"/>
      <c r="G52" s="1610"/>
      <c r="H52" s="1610"/>
      <c r="I52" s="1610"/>
      <c r="J52" s="1610"/>
      <c r="K52" s="1610"/>
      <c r="L52" s="1610"/>
      <c r="M52" s="1610"/>
      <c r="N52" s="1611"/>
      <c r="O52" s="850"/>
    </row>
    <row r="53" spans="1:42" ht="9.9499999999999993" customHeight="1">
      <c r="A53" s="402"/>
      <c r="B53" s="402"/>
      <c r="C53" s="402"/>
      <c r="D53" s="851"/>
      <c r="E53" s="401"/>
      <c r="F53" s="583"/>
      <c r="G53" s="371"/>
      <c r="H53" s="583"/>
      <c r="I53" s="371"/>
      <c r="J53" s="583"/>
      <c r="K53" s="371"/>
      <c r="L53" s="583"/>
      <c r="M53" s="371"/>
      <c r="N53" s="583"/>
    </row>
    <row r="54" spans="1:42" s="381" customFormat="1">
      <c r="A54" s="381" t="s">
        <v>469</v>
      </c>
      <c r="D54" s="566">
        <f>D34-D49</f>
        <v>-259106618.51999998</v>
      </c>
      <c r="E54" s="797"/>
      <c r="F54" s="705" t="e">
        <f>F34-F49</f>
        <v>#REF!</v>
      </c>
      <c r="G54" s="383"/>
      <c r="H54" s="382" t="e">
        <f>H34-H49</f>
        <v>#REF!</v>
      </c>
      <c r="I54" s="383"/>
      <c r="J54" s="382">
        <f>J34-J49</f>
        <v>4316770.9600000009</v>
      </c>
      <c r="K54" s="383"/>
      <c r="L54" s="385" t="e">
        <f>L34-L49</f>
        <v>#REF!</v>
      </c>
      <c r="M54" s="383"/>
      <c r="N54" s="382" t="e">
        <f>N34-N49</f>
        <v>#REF!</v>
      </c>
      <c r="O54" s="384" t="s">
        <v>58</v>
      </c>
      <c r="P54" s="385"/>
      <c r="Q54" s="382"/>
      <c r="R54" s="382"/>
      <c r="S54" s="382"/>
      <c r="T54" s="382"/>
      <c r="U54" s="382"/>
      <c r="V54" s="382"/>
      <c r="W54" s="382"/>
      <c r="X54" s="382"/>
      <c r="Y54" s="382"/>
      <c r="Z54" s="382"/>
      <c r="AA54" s="382"/>
      <c r="AB54" s="382"/>
      <c r="AC54" s="382"/>
      <c r="AD54" s="382"/>
      <c r="AE54" s="382"/>
      <c r="AF54" s="382"/>
      <c r="AG54" s="382"/>
      <c r="AH54" s="382"/>
      <c r="AI54" s="382"/>
      <c r="AJ54" s="382"/>
      <c r="AK54" s="382"/>
      <c r="AL54" s="382"/>
      <c r="AM54" s="382"/>
      <c r="AN54" s="382"/>
      <c r="AO54" s="382"/>
      <c r="AP54" s="382"/>
    </row>
    <row r="55" spans="1:42">
      <c r="D55" s="571">
        <f>D47/D46</f>
        <v>0.21188545048699456</v>
      </c>
      <c r="H55" s="376"/>
    </row>
    <row r="56" spans="1:42">
      <c r="D56" s="567" t="s">
        <v>58</v>
      </c>
    </row>
    <row r="58" spans="1:42">
      <c r="D58" s="567">
        <f>11217767-D45</f>
        <v>11217767</v>
      </c>
      <c r="F58" s="376" t="s">
        <v>58</v>
      </c>
    </row>
    <row r="60" spans="1:42">
      <c r="D60" s="377" t="s">
        <v>58</v>
      </c>
    </row>
    <row r="61" spans="1:42">
      <c r="F61" s="390" t="s">
        <v>58</v>
      </c>
    </row>
    <row r="62" spans="1:42" ht="23.25">
      <c r="D62" s="568" t="s">
        <v>58</v>
      </c>
    </row>
    <row r="63" spans="1:42">
      <c r="D63" s="377" t="s">
        <v>58</v>
      </c>
    </row>
    <row r="68" spans="1:42" ht="21">
      <c r="F68" s="391" t="s">
        <v>58</v>
      </c>
    </row>
    <row r="73" spans="1:42" s="394" customFormat="1" ht="18.75">
      <c r="A73" s="393"/>
      <c r="B73" s="393"/>
      <c r="C73" s="393"/>
      <c r="D73" s="569"/>
      <c r="E73" s="398"/>
      <c r="F73" s="393"/>
      <c r="G73" s="398"/>
      <c r="H73" s="393"/>
      <c r="I73" s="398"/>
      <c r="J73" s="393"/>
      <c r="K73" s="799"/>
      <c r="M73" s="799"/>
      <c r="O73" s="396"/>
      <c r="P73" s="397"/>
      <c r="Q73" s="396"/>
      <c r="R73" s="396"/>
      <c r="S73" s="396"/>
      <c r="T73" s="396"/>
      <c r="U73" s="396"/>
      <c r="V73" s="396"/>
      <c r="W73" s="396"/>
      <c r="X73" s="396"/>
      <c r="Y73" s="396"/>
      <c r="Z73" s="396"/>
      <c r="AA73" s="396"/>
      <c r="AB73" s="396"/>
      <c r="AC73" s="396"/>
      <c r="AD73" s="396"/>
      <c r="AE73" s="396"/>
      <c r="AF73" s="396"/>
      <c r="AG73" s="396"/>
      <c r="AH73" s="396"/>
      <c r="AI73" s="396"/>
      <c r="AJ73" s="396"/>
      <c r="AK73" s="396"/>
      <c r="AL73" s="396"/>
      <c r="AM73" s="396"/>
      <c r="AN73" s="396"/>
      <c r="AO73" s="396"/>
      <c r="AP73" s="396"/>
    </row>
    <row r="74" spans="1:42" s="394" customFormat="1" ht="18.75">
      <c r="A74" s="398"/>
      <c r="B74" s="398"/>
      <c r="C74" s="398"/>
      <c r="D74" s="570"/>
      <c r="E74" s="398"/>
      <c r="F74" s="398"/>
      <c r="G74" s="398"/>
      <c r="H74" s="398"/>
      <c r="I74" s="398"/>
      <c r="J74" s="398"/>
      <c r="K74" s="419"/>
      <c r="L74" s="395"/>
      <c r="M74" s="419"/>
      <c r="N74" s="395"/>
      <c r="O74" s="396"/>
      <c r="P74" s="397"/>
      <c r="Q74" s="396"/>
      <c r="R74" s="396"/>
      <c r="S74" s="396"/>
      <c r="T74" s="396"/>
      <c r="U74" s="396"/>
      <c r="V74" s="396"/>
      <c r="W74" s="396"/>
      <c r="X74" s="396"/>
      <c r="Y74" s="396"/>
      <c r="Z74" s="396"/>
      <c r="AA74" s="396"/>
      <c r="AB74" s="396"/>
      <c r="AC74" s="396"/>
      <c r="AD74" s="396"/>
      <c r="AE74" s="396"/>
      <c r="AF74" s="396"/>
      <c r="AG74" s="396"/>
      <c r="AH74" s="396"/>
      <c r="AI74" s="396"/>
      <c r="AJ74" s="396"/>
      <c r="AK74" s="396"/>
      <c r="AL74" s="396"/>
      <c r="AM74" s="396"/>
      <c r="AN74" s="396"/>
      <c r="AO74" s="396"/>
      <c r="AP74" s="396"/>
    </row>
  </sheetData>
  <mergeCells count="11">
    <mergeCell ref="A51:N51"/>
    <mergeCell ref="A52:N52"/>
    <mergeCell ref="A1:N1"/>
    <mergeCell ref="A2:N2"/>
    <mergeCell ref="A4:N4"/>
    <mergeCell ref="A17:B17"/>
    <mergeCell ref="A3:N3"/>
    <mergeCell ref="A5:N5"/>
    <mergeCell ref="A7:N7"/>
    <mergeCell ref="A8:N8"/>
    <mergeCell ref="A9:N9"/>
  </mergeCells>
  <printOptions horizontalCentered="1"/>
  <pageMargins left="0" right="0" top="0.5" bottom="0.5" header="0.3" footer="0.3"/>
  <pageSetup scale="5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15"/>
  <sheetViews>
    <sheetView workbookViewId="0">
      <pane xSplit="1" ySplit="3" topLeftCell="B4" activePane="bottomRight" state="frozen"/>
      <selection pane="topRight" activeCell="B1" sqref="B1"/>
      <selection pane="bottomLeft" activeCell="A6" sqref="A6"/>
      <selection pane="bottomRight" activeCell="H19" sqref="H19:H21"/>
    </sheetView>
  </sheetViews>
  <sheetFormatPr defaultRowHeight="12.75"/>
  <cols>
    <col min="1" max="1" width="22.5703125" customWidth="1"/>
    <col min="2" max="2" width="11.140625" bestFit="1" customWidth="1"/>
    <col min="3" max="3" width="2.7109375" style="148" customWidth="1"/>
    <col min="4" max="4" width="10.140625" bestFit="1" customWidth="1"/>
    <col min="5" max="5" width="2.7109375" style="148" customWidth="1"/>
    <col min="6" max="6" width="10.140625" bestFit="1" customWidth="1"/>
    <col min="7" max="7" width="2.7109375" style="148" customWidth="1"/>
    <col min="8" max="8" width="11.140625" bestFit="1" customWidth="1"/>
    <col min="9" max="9" width="2.7109375" style="148" customWidth="1"/>
    <col min="10" max="10" width="10.140625" bestFit="1" customWidth="1"/>
    <col min="11" max="11" width="2.7109375" style="148" customWidth="1"/>
    <col min="12" max="12" width="11.85546875" customWidth="1"/>
  </cols>
  <sheetData>
    <row r="1" spans="1:12" ht="18">
      <c r="A1" s="317" t="s">
        <v>654</v>
      </c>
      <c r="B1" s="318"/>
      <c r="C1" s="872"/>
      <c r="D1" s="318"/>
      <c r="E1" s="872"/>
      <c r="F1" s="318"/>
      <c r="G1" s="872"/>
      <c r="H1" s="318"/>
      <c r="I1" s="872"/>
      <c r="J1" s="318"/>
      <c r="K1" s="872"/>
    </row>
    <row r="2" spans="1:12" ht="21">
      <c r="A2" s="1630" t="s">
        <v>331</v>
      </c>
      <c r="B2" s="320" t="s">
        <v>728</v>
      </c>
      <c r="C2" s="873"/>
      <c r="D2" s="320" t="s">
        <v>729</v>
      </c>
      <c r="E2" s="873"/>
      <c r="F2" s="320" t="s">
        <v>730</v>
      </c>
      <c r="G2" s="873"/>
      <c r="H2" s="320" t="s">
        <v>731</v>
      </c>
      <c r="I2" s="873"/>
      <c r="J2" s="320" t="s">
        <v>732</v>
      </c>
      <c r="K2" s="875"/>
    </row>
    <row r="3" spans="1:12" ht="63" hidden="1">
      <c r="A3" s="1631"/>
      <c r="B3" s="320" t="s">
        <v>666</v>
      </c>
      <c r="C3" s="873"/>
      <c r="D3" s="320" t="s">
        <v>666</v>
      </c>
      <c r="E3" s="873"/>
      <c r="F3" s="320" t="s">
        <v>666</v>
      </c>
      <c r="G3" s="873"/>
      <c r="H3" s="320" t="s">
        <v>666</v>
      </c>
      <c r="I3" s="873"/>
      <c r="J3" s="320" t="s">
        <v>666</v>
      </c>
      <c r="K3" s="875"/>
    </row>
    <row r="4" spans="1:12">
      <c r="A4" s="321" t="s">
        <v>720</v>
      </c>
      <c r="B4" s="322">
        <v>29314750.210000001</v>
      </c>
      <c r="C4" s="649"/>
      <c r="D4" s="323"/>
      <c r="E4" s="650"/>
      <c r="F4" s="323"/>
      <c r="G4" s="650"/>
      <c r="H4" s="323"/>
      <c r="I4" s="650"/>
      <c r="J4" s="323"/>
      <c r="K4" s="876"/>
    </row>
    <row r="5" spans="1:12">
      <c r="A5" s="321" t="s">
        <v>721</v>
      </c>
      <c r="B5" s="322">
        <v>1341545.73</v>
      </c>
      <c r="C5" s="649"/>
      <c r="D5" s="322">
        <v>15830831.08</v>
      </c>
      <c r="E5" s="649"/>
      <c r="F5" s="323"/>
      <c r="G5" s="650"/>
      <c r="H5" s="323"/>
      <c r="I5" s="650"/>
      <c r="J5" s="323"/>
      <c r="K5" s="876"/>
    </row>
    <row r="6" spans="1:12">
      <c r="A6" s="321" t="s">
        <v>722</v>
      </c>
      <c r="B6" s="322">
        <v>38748217.43</v>
      </c>
      <c r="C6" s="649"/>
      <c r="D6" s="323"/>
      <c r="E6" s="650"/>
      <c r="F6" s="322">
        <v>21424866</v>
      </c>
      <c r="G6" s="649"/>
      <c r="H6" s="323"/>
      <c r="I6" s="650"/>
      <c r="J6" s="323"/>
      <c r="K6" s="876"/>
    </row>
    <row r="7" spans="1:12">
      <c r="A7" s="321" t="s">
        <v>723</v>
      </c>
      <c r="B7" s="323"/>
      <c r="C7" s="650"/>
      <c r="D7" s="323"/>
      <c r="E7" s="650"/>
      <c r="F7" s="323"/>
      <c r="G7" s="650"/>
      <c r="H7" s="322">
        <v>33771991</v>
      </c>
      <c r="I7" s="649"/>
      <c r="J7" s="323"/>
      <c r="K7" s="876"/>
    </row>
    <row r="8" spans="1:12">
      <c r="A8" s="321" t="s">
        <v>724</v>
      </c>
      <c r="B8" s="564">
        <f>9188566+51336845.3</f>
        <v>60525411.299999997</v>
      </c>
      <c r="C8" s="649"/>
      <c r="D8" s="564">
        <v>19874869.84</v>
      </c>
      <c r="E8" s="649"/>
      <c r="F8" s="322">
        <v>2305555</v>
      </c>
      <c r="G8" s="649"/>
      <c r="H8" s="564">
        <v>124129293.89</v>
      </c>
      <c r="I8" s="649"/>
      <c r="J8" s="322">
        <v>20628133</v>
      </c>
      <c r="K8" s="721"/>
    </row>
    <row r="9" spans="1:12">
      <c r="A9" s="321" t="s">
        <v>725</v>
      </c>
      <c r="B9" s="322">
        <v>8801766.8200000003</v>
      </c>
      <c r="C9" s="649"/>
      <c r="D9" s="323"/>
      <c r="E9" s="650"/>
      <c r="F9" s="323"/>
      <c r="G9" s="650"/>
      <c r="H9" s="322">
        <v>105365962.77</v>
      </c>
      <c r="I9" s="649"/>
      <c r="J9" s="322">
        <v>889492</v>
      </c>
      <c r="K9" s="721"/>
    </row>
    <row r="10" spans="1:12">
      <c r="A10" s="321" t="s">
        <v>726</v>
      </c>
      <c r="B10" s="322">
        <v>173165647.11000001</v>
      </c>
      <c r="C10" s="649"/>
      <c r="D10" s="322">
        <v>6987771.0800000001</v>
      </c>
      <c r="E10" s="649"/>
      <c r="F10" s="323"/>
      <c r="G10" s="650"/>
      <c r="H10" s="323"/>
      <c r="I10" s="650"/>
      <c r="J10" s="323"/>
      <c r="K10" s="876"/>
    </row>
    <row r="11" spans="1:12">
      <c r="A11" s="321" t="s">
        <v>727</v>
      </c>
      <c r="B11" s="868">
        <v>3885516.92</v>
      </c>
      <c r="C11" s="649"/>
      <c r="D11" s="869"/>
      <c r="E11" s="650"/>
      <c r="F11" s="869"/>
      <c r="G11" s="650"/>
      <c r="H11" s="868">
        <v>26791445.620000001</v>
      </c>
      <c r="I11" s="649"/>
      <c r="J11" s="868">
        <v>1451345</v>
      </c>
      <c r="K11" s="721"/>
    </row>
    <row r="12" spans="1:12">
      <c r="A12" s="318"/>
      <c r="B12" s="870">
        <f>SUM(B4:B11)</f>
        <v>315782855.52000004</v>
      </c>
      <c r="C12" s="874"/>
      <c r="D12" s="870">
        <f t="shared" ref="D12:J12" si="0">SUM(D4:D11)</f>
        <v>42693472</v>
      </c>
      <c r="E12" s="874"/>
      <c r="F12" s="870">
        <f t="shared" si="0"/>
        <v>23730421</v>
      </c>
      <c r="G12" s="874"/>
      <c r="H12" s="870">
        <f t="shared" si="0"/>
        <v>290058693.27999997</v>
      </c>
      <c r="I12" s="874"/>
      <c r="J12" s="870">
        <f t="shared" si="0"/>
        <v>22968970</v>
      </c>
      <c r="K12" s="874"/>
      <c r="L12" s="871">
        <f>SUM(B12:J12)</f>
        <v>695234411.79999995</v>
      </c>
    </row>
    <row r="13" spans="1:12">
      <c r="A13" s="318"/>
      <c r="B13" s="318"/>
      <c r="C13" s="872"/>
      <c r="D13" s="318"/>
      <c r="E13" s="872"/>
      <c r="F13" s="318"/>
      <c r="G13" s="872"/>
      <c r="H13" s="318"/>
      <c r="I13" s="872"/>
      <c r="J13" s="318"/>
      <c r="K13" s="872"/>
    </row>
    <row r="15" spans="1:12">
      <c r="H15">
        <f>108679287+15450006</f>
        <v>124129293</v>
      </c>
    </row>
  </sheetData>
  <mergeCells count="1">
    <mergeCell ref="A2:A3"/>
  </mergeCells>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L295"/>
  <sheetViews>
    <sheetView showGridLines="0" topLeftCell="A56" zoomScale="70" zoomScaleNormal="70" workbookViewId="0">
      <selection activeCell="T78" sqref="T78"/>
    </sheetView>
  </sheetViews>
  <sheetFormatPr defaultRowHeight="12.75"/>
  <cols>
    <col min="1" max="1" width="44.28515625" style="365" customWidth="1"/>
    <col min="2" max="2" width="9" style="365" customWidth="1"/>
    <col min="3" max="3" width="2.28515625" style="365" bestFit="1" customWidth="1"/>
    <col min="4" max="4" width="17.7109375" style="377" customWidth="1"/>
    <col min="5" max="5" width="22" style="363" customWidth="1"/>
    <col min="6" max="6" width="16.140625" style="363" customWidth="1"/>
    <col min="7" max="7" width="21.28515625" style="363" bestFit="1" customWidth="1"/>
    <col min="8" max="8" width="18.85546875" style="363" bestFit="1" customWidth="1"/>
    <col min="9" max="9" width="14.7109375" style="363" bestFit="1" customWidth="1"/>
    <col min="10" max="10" width="17.7109375" style="363" customWidth="1"/>
    <col min="11" max="11" width="16" style="363" bestFit="1" customWidth="1"/>
    <col min="12" max="12" width="19.5703125" style="364" bestFit="1" customWidth="1"/>
    <col min="13" max="13" width="16" style="363" bestFit="1" customWidth="1"/>
    <col min="14" max="38" width="9.140625" style="363" customWidth="1"/>
    <col min="39" max="233" width="8.85546875" style="365"/>
    <col min="234" max="234" width="44.5703125" style="365" customWidth="1"/>
    <col min="235" max="235" width="14.28515625" style="365" bestFit="1" customWidth="1"/>
    <col min="236" max="236" width="1.7109375" style="365" customWidth="1"/>
    <col min="237" max="237" width="14.85546875" style="365" customWidth="1"/>
    <col min="238" max="238" width="0" style="365" hidden="1" customWidth="1"/>
    <col min="239" max="239" width="17.42578125" style="365" customWidth="1"/>
    <col min="240" max="240" width="0" style="365" hidden="1" customWidth="1"/>
    <col min="241" max="241" width="12.85546875" style="365" customWidth="1"/>
    <col min="242" max="242" width="0" style="365" hidden="1" customWidth="1"/>
    <col min="243" max="243" width="14.42578125" style="365" customWidth="1"/>
    <col min="244" max="244" width="0" style="365" hidden="1" customWidth="1"/>
    <col min="245" max="245" width="17.42578125" style="365" customWidth="1"/>
    <col min="246" max="246" width="0" style="365" hidden="1" customWidth="1"/>
    <col min="247" max="247" width="14" style="365" customWidth="1"/>
    <col min="248" max="248" width="14.28515625" style="365" bestFit="1" customWidth="1"/>
    <col min="249" max="249" width="0" style="365" hidden="1" customWidth="1"/>
    <col min="250" max="250" width="15.5703125" style="365" customWidth="1"/>
    <col min="251" max="251" width="44.5703125" style="365" customWidth="1"/>
    <col min="252" max="252" width="14.28515625" style="365" bestFit="1" customWidth="1"/>
    <col min="253" max="253" width="0" style="365" hidden="1" customWidth="1"/>
    <col min="254" max="254" width="18.140625" style="365" customWidth="1"/>
    <col min="255" max="255" width="0" style="365" hidden="1" customWidth="1"/>
    <col min="256" max="256" width="14" style="365" customWidth="1"/>
    <col min="257" max="257" width="0" style="365" hidden="1" customWidth="1"/>
    <col min="258" max="258" width="20.85546875" style="365" customWidth="1"/>
    <col min="259" max="259" width="0" style="365" hidden="1" customWidth="1"/>
    <col min="260" max="260" width="13.28515625" style="365" customWidth="1"/>
    <col min="261" max="261" width="0" style="365" hidden="1" customWidth="1"/>
    <col min="262" max="262" width="15" style="365" customWidth="1"/>
    <col min="263" max="263" width="0" style="365" hidden="1" customWidth="1"/>
    <col min="264" max="264" width="13.28515625" style="365" customWidth="1"/>
    <col min="265" max="265" width="0" style="365" hidden="1" customWidth="1"/>
    <col min="266" max="266" width="20.140625" style="365" customWidth="1"/>
    <col min="267" max="267" width="14.42578125" style="365" bestFit="1" customWidth="1"/>
    <col min="268" max="268" width="14" style="365" bestFit="1" customWidth="1"/>
    <col min="269" max="269" width="12.28515625" style="365" bestFit="1" customWidth="1"/>
    <col min="270" max="294" width="9.140625" style="365" customWidth="1"/>
    <col min="295" max="489" width="8.85546875" style="365"/>
    <col min="490" max="490" width="44.5703125" style="365" customWidth="1"/>
    <col min="491" max="491" width="14.28515625" style="365" bestFit="1" customWidth="1"/>
    <col min="492" max="492" width="1.7109375" style="365" customWidth="1"/>
    <col min="493" max="493" width="14.85546875" style="365" customWidth="1"/>
    <col min="494" max="494" width="0" style="365" hidden="1" customWidth="1"/>
    <col min="495" max="495" width="17.42578125" style="365" customWidth="1"/>
    <col min="496" max="496" width="0" style="365" hidden="1" customWidth="1"/>
    <col min="497" max="497" width="12.85546875" style="365" customWidth="1"/>
    <col min="498" max="498" width="0" style="365" hidden="1" customWidth="1"/>
    <col min="499" max="499" width="14.42578125" style="365" customWidth="1"/>
    <col min="500" max="500" width="0" style="365" hidden="1" customWidth="1"/>
    <col min="501" max="501" width="17.42578125" style="365" customWidth="1"/>
    <col min="502" max="502" width="0" style="365" hidden="1" customWidth="1"/>
    <col min="503" max="503" width="14" style="365" customWidth="1"/>
    <col min="504" max="504" width="14.28515625" style="365" bestFit="1" customWidth="1"/>
    <col min="505" max="505" width="0" style="365" hidden="1" customWidth="1"/>
    <col min="506" max="506" width="15.5703125" style="365" customWidth="1"/>
    <col min="507" max="507" width="44.5703125" style="365" customWidth="1"/>
    <col min="508" max="508" width="14.28515625" style="365" bestFit="1" customWidth="1"/>
    <col min="509" max="509" width="0" style="365" hidden="1" customWidth="1"/>
    <col min="510" max="510" width="18.140625" style="365" customWidth="1"/>
    <col min="511" max="511" width="0" style="365" hidden="1" customWidth="1"/>
    <col min="512" max="512" width="14" style="365" customWidth="1"/>
    <col min="513" max="513" width="0" style="365" hidden="1" customWidth="1"/>
    <col min="514" max="514" width="20.85546875" style="365" customWidth="1"/>
    <col min="515" max="515" width="0" style="365" hidden="1" customWidth="1"/>
    <col min="516" max="516" width="13.28515625" style="365" customWidth="1"/>
    <col min="517" max="517" width="0" style="365" hidden="1" customWidth="1"/>
    <col min="518" max="518" width="15" style="365" customWidth="1"/>
    <col min="519" max="519" width="0" style="365" hidden="1" customWidth="1"/>
    <col min="520" max="520" width="13.28515625" style="365" customWidth="1"/>
    <col min="521" max="521" width="0" style="365" hidden="1" customWidth="1"/>
    <col min="522" max="522" width="20.140625" style="365" customWidth="1"/>
    <col min="523" max="523" width="14.42578125" style="365" bestFit="1" customWidth="1"/>
    <col min="524" max="524" width="14" style="365" bestFit="1" customWidth="1"/>
    <col min="525" max="525" width="12.28515625" style="365" bestFit="1" customWidth="1"/>
    <col min="526" max="550" width="9.140625" style="365" customWidth="1"/>
    <col min="551" max="745" width="8.85546875" style="365"/>
    <col min="746" max="746" width="44.5703125" style="365" customWidth="1"/>
    <col min="747" max="747" width="14.28515625" style="365" bestFit="1" customWidth="1"/>
    <col min="748" max="748" width="1.7109375" style="365" customWidth="1"/>
    <col min="749" max="749" width="14.85546875" style="365" customWidth="1"/>
    <col min="750" max="750" width="0" style="365" hidden="1" customWidth="1"/>
    <col min="751" max="751" width="17.42578125" style="365" customWidth="1"/>
    <col min="752" max="752" width="0" style="365" hidden="1" customWidth="1"/>
    <col min="753" max="753" width="12.85546875" style="365" customWidth="1"/>
    <col min="754" max="754" width="0" style="365" hidden="1" customWidth="1"/>
    <col min="755" max="755" width="14.42578125" style="365" customWidth="1"/>
    <col min="756" max="756" width="0" style="365" hidden="1" customWidth="1"/>
    <col min="757" max="757" width="17.42578125" style="365" customWidth="1"/>
    <col min="758" max="758" width="0" style="365" hidden="1" customWidth="1"/>
    <col min="759" max="759" width="14" style="365" customWidth="1"/>
    <col min="760" max="760" width="14.28515625" style="365" bestFit="1" customWidth="1"/>
    <col min="761" max="761" width="0" style="365" hidden="1" customWidth="1"/>
    <col min="762" max="762" width="15.5703125" style="365" customWidth="1"/>
    <col min="763" max="763" width="44.5703125" style="365" customWidth="1"/>
    <col min="764" max="764" width="14.28515625" style="365" bestFit="1" customWidth="1"/>
    <col min="765" max="765" width="0" style="365" hidden="1" customWidth="1"/>
    <col min="766" max="766" width="18.140625" style="365" customWidth="1"/>
    <col min="767" max="767" width="0" style="365" hidden="1" customWidth="1"/>
    <col min="768" max="768" width="14" style="365" customWidth="1"/>
    <col min="769" max="769" width="0" style="365" hidden="1" customWidth="1"/>
    <col min="770" max="770" width="20.85546875" style="365" customWidth="1"/>
    <col min="771" max="771" width="0" style="365" hidden="1" customWidth="1"/>
    <col min="772" max="772" width="13.28515625" style="365" customWidth="1"/>
    <col min="773" max="773" width="0" style="365" hidden="1" customWidth="1"/>
    <col min="774" max="774" width="15" style="365" customWidth="1"/>
    <col min="775" max="775" width="0" style="365" hidden="1" customWidth="1"/>
    <col min="776" max="776" width="13.28515625" style="365" customWidth="1"/>
    <col min="777" max="777" width="0" style="365" hidden="1" customWidth="1"/>
    <col min="778" max="778" width="20.140625" style="365" customWidth="1"/>
    <col min="779" max="779" width="14.42578125" style="365" bestFit="1" customWidth="1"/>
    <col min="780" max="780" width="14" style="365" bestFit="1" customWidth="1"/>
    <col min="781" max="781" width="12.28515625" style="365" bestFit="1" customWidth="1"/>
    <col min="782" max="806" width="9.140625" style="365" customWidth="1"/>
    <col min="807" max="1001" width="8.85546875" style="365"/>
    <col min="1002" max="1002" width="44.5703125" style="365" customWidth="1"/>
    <col min="1003" max="1003" width="14.28515625" style="365" bestFit="1" customWidth="1"/>
    <col min="1004" max="1004" width="1.7109375" style="365" customWidth="1"/>
    <col min="1005" max="1005" width="14.85546875" style="365" customWidth="1"/>
    <col min="1006" max="1006" width="0" style="365" hidden="1" customWidth="1"/>
    <col min="1007" max="1007" width="17.42578125" style="365" customWidth="1"/>
    <col min="1008" max="1008" width="0" style="365" hidden="1" customWidth="1"/>
    <col min="1009" max="1009" width="12.85546875" style="365" customWidth="1"/>
    <col min="1010" max="1010" width="0" style="365" hidden="1" customWidth="1"/>
    <col min="1011" max="1011" width="14.42578125" style="365" customWidth="1"/>
    <col min="1012" max="1012" width="0" style="365" hidden="1" customWidth="1"/>
    <col min="1013" max="1013" width="17.42578125" style="365" customWidth="1"/>
    <col min="1014" max="1014" width="0" style="365" hidden="1" customWidth="1"/>
    <col min="1015" max="1015" width="14" style="365" customWidth="1"/>
    <col min="1016" max="1016" width="14.28515625" style="365" bestFit="1" customWidth="1"/>
    <col min="1017" max="1017" width="0" style="365" hidden="1" customWidth="1"/>
    <col min="1018" max="1018" width="15.5703125" style="365" customWidth="1"/>
    <col min="1019" max="1019" width="44.5703125" style="365" customWidth="1"/>
    <col min="1020" max="1020" width="14.28515625" style="365" bestFit="1" customWidth="1"/>
    <col min="1021" max="1021" width="0" style="365" hidden="1" customWidth="1"/>
    <col min="1022" max="1022" width="18.140625" style="365" customWidth="1"/>
    <col min="1023" max="1023" width="0" style="365" hidden="1" customWidth="1"/>
    <col min="1024" max="1024" width="14" style="365" customWidth="1"/>
    <col min="1025" max="1025" width="0" style="365" hidden="1" customWidth="1"/>
    <col min="1026" max="1026" width="20.85546875" style="365" customWidth="1"/>
    <col min="1027" max="1027" width="0" style="365" hidden="1" customWidth="1"/>
    <col min="1028" max="1028" width="13.28515625" style="365" customWidth="1"/>
    <col min="1029" max="1029" width="0" style="365" hidden="1" customWidth="1"/>
    <col min="1030" max="1030" width="15" style="365" customWidth="1"/>
    <col min="1031" max="1031" width="0" style="365" hidden="1" customWidth="1"/>
    <col min="1032" max="1032" width="13.28515625" style="365" customWidth="1"/>
    <col min="1033" max="1033" width="0" style="365" hidden="1" customWidth="1"/>
    <col min="1034" max="1034" width="20.140625" style="365" customWidth="1"/>
    <col min="1035" max="1035" width="14.42578125" style="365" bestFit="1" customWidth="1"/>
    <col min="1036" max="1036" width="14" style="365" bestFit="1" customWidth="1"/>
    <col min="1037" max="1037" width="12.28515625" style="365" bestFit="1" customWidth="1"/>
    <col min="1038" max="1062" width="9.140625" style="365" customWidth="1"/>
    <col min="1063" max="1257" width="8.85546875" style="365"/>
    <col min="1258" max="1258" width="44.5703125" style="365" customWidth="1"/>
    <col min="1259" max="1259" width="14.28515625" style="365" bestFit="1" customWidth="1"/>
    <col min="1260" max="1260" width="1.7109375" style="365" customWidth="1"/>
    <col min="1261" max="1261" width="14.85546875" style="365" customWidth="1"/>
    <col min="1262" max="1262" width="0" style="365" hidden="1" customWidth="1"/>
    <col min="1263" max="1263" width="17.42578125" style="365" customWidth="1"/>
    <col min="1264" max="1264" width="0" style="365" hidden="1" customWidth="1"/>
    <col min="1265" max="1265" width="12.85546875" style="365" customWidth="1"/>
    <col min="1266" max="1266" width="0" style="365" hidden="1" customWidth="1"/>
    <col min="1267" max="1267" width="14.42578125" style="365" customWidth="1"/>
    <col min="1268" max="1268" width="0" style="365" hidden="1" customWidth="1"/>
    <col min="1269" max="1269" width="17.42578125" style="365" customWidth="1"/>
    <col min="1270" max="1270" width="0" style="365" hidden="1" customWidth="1"/>
    <col min="1271" max="1271" width="14" style="365" customWidth="1"/>
    <col min="1272" max="1272" width="14.28515625" style="365" bestFit="1" customWidth="1"/>
    <col min="1273" max="1273" width="0" style="365" hidden="1" customWidth="1"/>
    <col min="1274" max="1274" width="15.5703125" style="365" customWidth="1"/>
    <col min="1275" max="1275" width="44.5703125" style="365" customWidth="1"/>
    <col min="1276" max="1276" width="14.28515625" style="365" bestFit="1" customWidth="1"/>
    <col min="1277" max="1277" width="0" style="365" hidden="1" customWidth="1"/>
    <col min="1278" max="1278" width="18.140625" style="365" customWidth="1"/>
    <col min="1279" max="1279" width="0" style="365" hidden="1" customWidth="1"/>
    <col min="1280" max="1280" width="14" style="365" customWidth="1"/>
    <col min="1281" max="1281" width="0" style="365" hidden="1" customWidth="1"/>
    <col min="1282" max="1282" width="20.85546875" style="365" customWidth="1"/>
    <col min="1283" max="1283" width="0" style="365" hidden="1" customWidth="1"/>
    <col min="1284" max="1284" width="13.28515625" style="365" customWidth="1"/>
    <col min="1285" max="1285" width="0" style="365" hidden="1" customWidth="1"/>
    <col min="1286" max="1286" width="15" style="365" customWidth="1"/>
    <col min="1287" max="1287" width="0" style="365" hidden="1" customWidth="1"/>
    <col min="1288" max="1288" width="13.28515625" style="365" customWidth="1"/>
    <col min="1289" max="1289" width="0" style="365" hidden="1" customWidth="1"/>
    <col min="1290" max="1290" width="20.140625" style="365" customWidth="1"/>
    <col min="1291" max="1291" width="14.42578125" style="365" bestFit="1" customWidth="1"/>
    <col min="1292" max="1292" width="14" style="365" bestFit="1" customWidth="1"/>
    <col min="1293" max="1293" width="12.28515625" style="365" bestFit="1" customWidth="1"/>
    <col min="1294" max="1318" width="9.140625" style="365" customWidth="1"/>
    <col min="1319" max="1513" width="8.85546875" style="365"/>
    <col min="1514" max="1514" width="44.5703125" style="365" customWidth="1"/>
    <col min="1515" max="1515" width="14.28515625" style="365" bestFit="1" customWidth="1"/>
    <col min="1516" max="1516" width="1.7109375" style="365" customWidth="1"/>
    <col min="1517" max="1517" width="14.85546875" style="365" customWidth="1"/>
    <col min="1518" max="1518" width="0" style="365" hidden="1" customWidth="1"/>
    <col min="1519" max="1519" width="17.42578125" style="365" customWidth="1"/>
    <col min="1520" max="1520" width="0" style="365" hidden="1" customWidth="1"/>
    <col min="1521" max="1521" width="12.85546875" style="365" customWidth="1"/>
    <col min="1522" max="1522" width="0" style="365" hidden="1" customWidth="1"/>
    <col min="1523" max="1523" width="14.42578125" style="365" customWidth="1"/>
    <col min="1524" max="1524" width="0" style="365" hidden="1" customWidth="1"/>
    <col min="1525" max="1525" width="17.42578125" style="365" customWidth="1"/>
    <col min="1526" max="1526" width="0" style="365" hidden="1" customWidth="1"/>
    <col min="1527" max="1527" width="14" style="365" customWidth="1"/>
    <col min="1528" max="1528" width="14.28515625" style="365" bestFit="1" customWidth="1"/>
    <col min="1529" max="1529" width="0" style="365" hidden="1" customWidth="1"/>
    <col min="1530" max="1530" width="15.5703125" style="365" customWidth="1"/>
    <col min="1531" max="1531" width="44.5703125" style="365" customWidth="1"/>
    <col min="1532" max="1532" width="14.28515625" style="365" bestFit="1" customWidth="1"/>
    <col min="1533" max="1533" width="0" style="365" hidden="1" customWidth="1"/>
    <col min="1534" max="1534" width="18.140625" style="365" customWidth="1"/>
    <col min="1535" max="1535" width="0" style="365" hidden="1" customWidth="1"/>
    <col min="1536" max="1536" width="14" style="365" customWidth="1"/>
    <col min="1537" max="1537" width="0" style="365" hidden="1" customWidth="1"/>
    <col min="1538" max="1538" width="20.85546875" style="365" customWidth="1"/>
    <col min="1539" max="1539" width="0" style="365" hidden="1" customWidth="1"/>
    <col min="1540" max="1540" width="13.28515625" style="365" customWidth="1"/>
    <col min="1541" max="1541" width="0" style="365" hidden="1" customWidth="1"/>
    <col min="1542" max="1542" width="15" style="365" customWidth="1"/>
    <col min="1543" max="1543" width="0" style="365" hidden="1" customWidth="1"/>
    <col min="1544" max="1544" width="13.28515625" style="365" customWidth="1"/>
    <col min="1545" max="1545" width="0" style="365" hidden="1" customWidth="1"/>
    <col min="1546" max="1546" width="20.140625" style="365" customWidth="1"/>
    <col min="1547" max="1547" width="14.42578125" style="365" bestFit="1" customWidth="1"/>
    <col min="1548" max="1548" width="14" style="365" bestFit="1" customWidth="1"/>
    <col min="1549" max="1549" width="12.28515625" style="365" bestFit="1" customWidth="1"/>
    <col min="1550" max="1574" width="9.140625" style="365" customWidth="1"/>
    <col min="1575" max="1769" width="8.85546875" style="365"/>
    <col min="1770" max="1770" width="44.5703125" style="365" customWidth="1"/>
    <col min="1771" max="1771" width="14.28515625" style="365" bestFit="1" customWidth="1"/>
    <col min="1772" max="1772" width="1.7109375" style="365" customWidth="1"/>
    <col min="1773" max="1773" width="14.85546875" style="365" customWidth="1"/>
    <col min="1774" max="1774" width="0" style="365" hidden="1" customWidth="1"/>
    <col min="1775" max="1775" width="17.42578125" style="365" customWidth="1"/>
    <col min="1776" max="1776" width="0" style="365" hidden="1" customWidth="1"/>
    <col min="1777" max="1777" width="12.85546875" style="365" customWidth="1"/>
    <col min="1778" max="1778" width="0" style="365" hidden="1" customWidth="1"/>
    <col min="1779" max="1779" width="14.42578125" style="365" customWidth="1"/>
    <col min="1780" max="1780" width="0" style="365" hidden="1" customWidth="1"/>
    <col min="1781" max="1781" width="17.42578125" style="365" customWidth="1"/>
    <col min="1782" max="1782" width="0" style="365" hidden="1" customWidth="1"/>
    <col min="1783" max="1783" width="14" style="365" customWidth="1"/>
    <col min="1784" max="1784" width="14.28515625" style="365" bestFit="1" customWidth="1"/>
    <col min="1785" max="1785" width="0" style="365" hidden="1" customWidth="1"/>
    <col min="1786" max="1786" width="15.5703125" style="365" customWidth="1"/>
    <col min="1787" max="1787" width="44.5703125" style="365" customWidth="1"/>
    <col min="1788" max="1788" width="14.28515625" style="365" bestFit="1" customWidth="1"/>
    <col min="1789" max="1789" width="0" style="365" hidden="1" customWidth="1"/>
    <col min="1790" max="1790" width="18.140625" style="365" customWidth="1"/>
    <col min="1791" max="1791" width="0" style="365" hidden="1" customWidth="1"/>
    <col min="1792" max="1792" width="14" style="365" customWidth="1"/>
    <col min="1793" max="1793" width="0" style="365" hidden="1" customWidth="1"/>
    <col min="1794" max="1794" width="20.85546875" style="365" customWidth="1"/>
    <col min="1795" max="1795" width="0" style="365" hidden="1" customWidth="1"/>
    <col min="1796" max="1796" width="13.28515625" style="365" customWidth="1"/>
    <col min="1797" max="1797" width="0" style="365" hidden="1" customWidth="1"/>
    <col min="1798" max="1798" width="15" style="365" customWidth="1"/>
    <col min="1799" max="1799" width="0" style="365" hidden="1" customWidth="1"/>
    <col min="1800" max="1800" width="13.28515625" style="365" customWidth="1"/>
    <col min="1801" max="1801" width="0" style="365" hidden="1" customWidth="1"/>
    <col min="1802" max="1802" width="20.140625" style="365" customWidth="1"/>
    <col min="1803" max="1803" width="14.42578125" style="365" bestFit="1" customWidth="1"/>
    <col min="1804" max="1804" width="14" style="365" bestFit="1" customWidth="1"/>
    <col min="1805" max="1805" width="12.28515625" style="365" bestFit="1" customWidth="1"/>
    <col min="1806" max="1830" width="9.140625" style="365" customWidth="1"/>
    <col min="1831" max="2025" width="8.85546875" style="365"/>
    <col min="2026" max="2026" width="44.5703125" style="365" customWidth="1"/>
    <col min="2027" max="2027" width="14.28515625" style="365" bestFit="1" customWidth="1"/>
    <col min="2028" max="2028" width="1.7109375" style="365" customWidth="1"/>
    <col min="2029" max="2029" width="14.85546875" style="365" customWidth="1"/>
    <col min="2030" max="2030" width="0" style="365" hidden="1" customWidth="1"/>
    <col min="2031" max="2031" width="17.42578125" style="365" customWidth="1"/>
    <col min="2032" max="2032" width="0" style="365" hidden="1" customWidth="1"/>
    <col min="2033" max="2033" width="12.85546875" style="365" customWidth="1"/>
    <col min="2034" max="2034" width="0" style="365" hidden="1" customWidth="1"/>
    <col min="2035" max="2035" width="14.42578125" style="365" customWidth="1"/>
    <col min="2036" max="2036" width="0" style="365" hidden="1" customWidth="1"/>
    <col min="2037" max="2037" width="17.42578125" style="365" customWidth="1"/>
    <col min="2038" max="2038" width="0" style="365" hidden="1" customWidth="1"/>
    <col min="2039" max="2039" width="14" style="365" customWidth="1"/>
    <col min="2040" max="2040" width="14.28515625" style="365" bestFit="1" customWidth="1"/>
    <col min="2041" max="2041" width="0" style="365" hidden="1" customWidth="1"/>
    <col min="2042" max="2042" width="15.5703125" style="365" customWidth="1"/>
    <col min="2043" max="2043" width="44.5703125" style="365" customWidth="1"/>
    <col min="2044" max="2044" width="14.28515625" style="365" bestFit="1" customWidth="1"/>
    <col min="2045" max="2045" width="0" style="365" hidden="1" customWidth="1"/>
    <col min="2046" max="2046" width="18.140625" style="365" customWidth="1"/>
    <col min="2047" max="2047" width="0" style="365" hidden="1" customWidth="1"/>
    <col min="2048" max="2048" width="14" style="365" customWidth="1"/>
    <col min="2049" max="2049" width="0" style="365" hidden="1" customWidth="1"/>
    <col min="2050" max="2050" width="20.85546875" style="365" customWidth="1"/>
    <col min="2051" max="2051" width="0" style="365" hidden="1" customWidth="1"/>
    <col min="2052" max="2052" width="13.28515625" style="365" customWidth="1"/>
    <col min="2053" max="2053" width="0" style="365" hidden="1" customWidth="1"/>
    <col min="2054" max="2054" width="15" style="365" customWidth="1"/>
    <col min="2055" max="2055" width="0" style="365" hidden="1" customWidth="1"/>
    <col min="2056" max="2056" width="13.28515625" style="365" customWidth="1"/>
    <col min="2057" max="2057" width="0" style="365" hidden="1" customWidth="1"/>
    <col min="2058" max="2058" width="20.140625" style="365" customWidth="1"/>
    <col min="2059" max="2059" width="14.42578125" style="365" bestFit="1" customWidth="1"/>
    <col min="2060" max="2060" width="14" style="365" bestFit="1" customWidth="1"/>
    <col min="2061" max="2061" width="12.28515625" style="365" bestFit="1" customWidth="1"/>
    <col min="2062" max="2086" width="9.140625" style="365" customWidth="1"/>
    <col min="2087" max="2281" width="8.85546875" style="365"/>
    <col min="2282" max="2282" width="44.5703125" style="365" customWidth="1"/>
    <col min="2283" max="2283" width="14.28515625" style="365" bestFit="1" customWidth="1"/>
    <col min="2284" max="2284" width="1.7109375" style="365" customWidth="1"/>
    <col min="2285" max="2285" width="14.85546875" style="365" customWidth="1"/>
    <col min="2286" max="2286" width="0" style="365" hidden="1" customWidth="1"/>
    <col min="2287" max="2287" width="17.42578125" style="365" customWidth="1"/>
    <col min="2288" max="2288" width="0" style="365" hidden="1" customWidth="1"/>
    <col min="2289" max="2289" width="12.85546875" style="365" customWidth="1"/>
    <col min="2290" max="2290" width="0" style="365" hidden="1" customWidth="1"/>
    <col min="2291" max="2291" width="14.42578125" style="365" customWidth="1"/>
    <col min="2292" max="2292" width="0" style="365" hidden="1" customWidth="1"/>
    <col min="2293" max="2293" width="17.42578125" style="365" customWidth="1"/>
    <col min="2294" max="2294" width="0" style="365" hidden="1" customWidth="1"/>
    <col min="2295" max="2295" width="14" style="365" customWidth="1"/>
    <col min="2296" max="2296" width="14.28515625" style="365" bestFit="1" customWidth="1"/>
    <col min="2297" max="2297" width="0" style="365" hidden="1" customWidth="1"/>
    <col min="2298" max="2298" width="15.5703125" style="365" customWidth="1"/>
    <col min="2299" max="2299" width="44.5703125" style="365" customWidth="1"/>
    <col min="2300" max="2300" width="14.28515625" style="365" bestFit="1" customWidth="1"/>
    <col min="2301" max="2301" width="0" style="365" hidden="1" customWidth="1"/>
    <col min="2302" max="2302" width="18.140625" style="365" customWidth="1"/>
    <col min="2303" max="2303" width="0" style="365" hidden="1" customWidth="1"/>
    <col min="2304" max="2304" width="14" style="365" customWidth="1"/>
    <col min="2305" max="2305" width="0" style="365" hidden="1" customWidth="1"/>
    <col min="2306" max="2306" width="20.85546875" style="365" customWidth="1"/>
    <col min="2307" max="2307" width="0" style="365" hidden="1" customWidth="1"/>
    <col min="2308" max="2308" width="13.28515625" style="365" customWidth="1"/>
    <col min="2309" max="2309" width="0" style="365" hidden="1" customWidth="1"/>
    <col min="2310" max="2310" width="15" style="365" customWidth="1"/>
    <col min="2311" max="2311" width="0" style="365" hidden="1" customWidth="1"/>
    <col min="2312" max="2312" width="13.28515625" style="365" customWidth="1"/>
    <col min="2313" max="2313" width="0" style="365" hidden="1" customWidth="1"/>
    <col min="2314" max="2314" width="20.140625" style="365" customWidth="1"/>
    <col min="2315" max="2315" width="14.42578125" style="365" bestFit="1" customWidth="1"/>
    <col min="2316" max="2316" width="14" style="365" bestFit="1" customWidth="1"/>
    <col min="2317" max="2317" width="12.28515625" style="365" bestFit="1" customWidth="1"/>
    <col min="2318" max="2342" width="9.140625" style="365" customWidth="1"/>
    <col min="2343" max="2537" width="8.85546875" style="365"/>
    <col min="2538" max="2538" width="44.5703125" style="365" customWidth="1"/>
    <col min="2539" max="2539" width="14.28515625" style="365" bestFit="1" customWidth="1"/>
    <col min="2540" max="2540" width="1.7109375" style="365" customWidth="1"/>
    <col min="2541" max="2541" width="14.85546875" style="365" customWidth="1"/>
    <col min="2542" max="2542" width="0" style="365" hidden="1" customWidth="1"/>
    <col min="2543" max="2543" width="17.42578125" style="365" customWidth="1"/>
    <col min="2544" max="2544" width="0" style="365" hidden="1" customWidth="1"/>
    <col min="2545" max="2545" width="12.85546875" style="365" customWidth="1"/>
    <col min="2546" max="2546" width="0" style="365" hidden="1" customWidth="1"/>
    <col min="2547" max="2547" width="14.42578125" style="365" customWidth="1"/>
    <col min="2548" max="2548" width="0" style="365" hidden="1" customWidth="1"/>
    <col min="2549" max="2549" width="17.42578125" style="365" customWidth="1"/>
    <col min="2550" max="2550" width="0" style="365" hidden="1" customWidth="1"/>
    <col min="2551" max="2551" width="14" style="365" customWidth="1"/>
    <col min="2552" max="2552" width="14.28515625" style="365" bestFit="1" customWidth="1"/>
    <col min="2553" max="2553" width="0" style="365" hidden="1" customWidth="1"/>
    <col min="2554" max="2554" width="15.5703125" style="365" customWidth="1"/>
    <col min="2555" max="2555" width="44.5703125" style="365" customWidth="1"/>
    <col min="2556" max="2556" width="14.28515625" style="365" bestFit="1" customWidth="1"/>
    <col min="2557" max="2557" width="0" style="365" hidden="1" customWidth="1"/>
    <col min="2558" max="2558" width="18.140625" style="365" customWidth="1"/>
    <col min="2559" max="2559" width="0" style="365" hidden="1" customWidth="1"/>
    <col min="2560" max="2560" width="14" style="365" customWidth="1"/>
    <col min="2561" max="2561" width="0" style="365" hidden="1" customWidth="1"/>
    <col min="2562" max="2562" width="20.85546875" style="365" customWidth="1"/>
    <col min="2563" max="2563" width="0" style="365" hidden="1" customWidth="1"/>
    <col min="2564" max="2564" width="13.28515625" style="365" customWidth="1"/>
    <col min="2565" max="2565" width="0" style="365" hidden="1" customWidth="1"/>
    <col min="2566" max="2566" width="15" style="365" customWidth="1"/>
    <col min="2567" max="2567" width="0" style="365" hidden="1" customWidth="1"/>
    <col min="2568" max="2568" width="13.28515625" style="365" customWidth="1"/>
    <col min="2569" max="2569" width="0" style="365" hidden="1" customWidth="1"/>
    <col min="2570" max="2570" width="20.140625" style="365" customWidth="1"/>
    <col min="2571" max="2571" width="14.42578125" style="365" bestFit="1" customWidth="1"/>
    <col min="2572" max="2572" width="14" style="365" bestFit="1" customWidth="1"/>
    <col min="2573" max="2573" width="12.28515625" style="365" bestFit="1" customWidth="1"/>
    <col min="2574" max="2598" width="9.140625" style="365" customWidth="1"/>
    <col min="2599" max="2793" width="8.85546875" style="365"/>
    <col min="2794" max="2794" width="44.5703125" style="365" customWidth="1"/>
    <col min="2795" max="2795" width="14.28515625" style="365" bestFit="1" customWidth="1"/>
    <col min="2796" max="2796" width="1.7109375" style="365" customWidth="1"/>
    <col min="2797" max="2797" width="14.85546875" style="365" customWidth="1"/>
    <col min="2798" max="2798" width="0" style="365" hidden="1" customWidth="1"/>
    <col min="2799" max="2799" width="17.42578125" style="365" customWidth="1"/>
    <col min="2800" max="2800" width="0" style="365" hidden="1" customWidth="1"/>
    <col min="2801" max="2801" width="12.85546875" style="365" customWidth="1"/>
    <col min="2802" max="2802" width="0" style="365" hidden="1" customWidth="1"/>
    <col min="2803" max="2803" width="14.42578125" style="365" customWidth="1"/>
    <col min="2804" max="2804" width="0" style="365" hidden="1" customWidth="1"/>
    <col min="2805" max="2805" width="17.42578125" style="365" customWidth="1"/>
    <col min="2806" max="2806" width="0" style="365" hidden="1" customWidth="1"/>
    <col min="2807" max="2807" width="14" style="365" customWidth="1"/>
    <col min="2808" max="2808" width="14.28515625" style="365" bestFit="1" customWidth="1"/>
    <col min="2809" max="2809" width="0" style="365" hidden="1" customWidth="1"/>
    <col min="2810" max="2810" width="15.5703125" style="365" customWidth="1"/>
    <col min="2811" max="2811" width="44.5703125" style="365" customWidth="1"/>
    <col min="2812" max="2812" width="14.28515625" style="365" bestFit="1" customWidth="1"/>
    <col min="2813" max="2813" width="0" style="365" hidden="1" customWidth="1"/>
    <col min="2814" max="2814" width="18.140625" style="365" customWidth="1"/>
    <col min="2815" max="2815" width="0" style="365" hidden="1" customWidth="1"/>
    <col min="2816" max="2816" width="14" style="365" customWidth="1"/>
    <col min="2817" max="2817" width="0" style="365" hidden="1" customWidth="1"/>
    <col min="2818" max="2818" width="20.85546875" style="365" customWidth="1"/>
    <col min="2819" max="2819" width="0" style="365" hidden="1" customWidth="1"/>
    <col min="2820" max="2820" width="13.28515625" style="365" customWidth="1"/>
    <col min="2821" max="2821" width="0" style="365" hidden="1" customWidth="1"/>
    <col min="2822" max="2822" width="15" style="365" customWidth="1"/>
    <col min="2823" max="2823" width="0" style="365" hidden="1" customWidth="1"/>
    <col min="2824" max="2824" width="13.28515625" style="365" customWidth="1"/>
    <col min="2825" max="2825" width="0" style="365" hidden="1" customWidth="1"/>
    <col min="2826" max="2826" width="20.140625" style="365" customWidth="1"/>
    <col min="2827" max="2827" width="14.42578125" style="365" bestFit="1" customWidth="1"/>
    <col min="2828" max="2828" width="14" style="365" bestFit="1" customWidth="1"/>
    <col min="2829" max="2829" width="12.28515625" style="365" bestFit="1" customWidth="1"/>
    <col min="2830" max="2854" width="9.140625" style="365" customWidth="1"/>
    <col min="2855" max="3049" width="8.85546875" style="365"/>
    <col min="3050" max="3050" width="44.5703125" style="365" customWidth="1"/>
    <col min="3051" max="3051" width="14.28515625" style="365" bestFit="1" customWidth="1"/>
    <col min="3052" max="3052" width="1.7109375" style="365" customWidth="1"/>
    <col min="3053" max="3053" width="14.85546875" style="365" customWidth="1"/>
    <col min="3054" max="3054" width="0" style="365" hidden="1" customWidth="1"/>
    <col min="3055" max="3055" width="17.42578125" style="365" customWidth="1"/>
    <col min="3056" max="3056" width="0" style="365" hidden="1" customWidth="1"/>
    <col min="3057" max="3057" width="12.85546875" style="365" customWidth="1"/>
    <col min="3058" max="3058" width="0" style="365" hidden="1" customWidth="1"/>
    <col min="3059" max="3059" width="14.42578125" style="365" customWidth="1"/>
    <col min="3060" max="3060" width="0" style="365" hidden="1" customWidth="1"/>
    <col min="3061" max="3061" width="17.42578125" style="365" customWidth="1"/>
    <col min="3062" max="3062" width="0" style="365" hidden="1" customWidth="1"/>
    <col min="3063" max="3063" width="14" style="365" customWidth="1"/>
    <col min="3064" max="3064" width="14.28515625" style="365" bestFit="1" customWidth="1"/>
    <col min="3065" max="3065" width="0" style="365" hidden="1" customWidth="1"/>
    <col min="3066" max="3066" width="15.5703125" style="365" customWidth="1"/>
    <col min="3067" max="3067" width="44.5703125" style="365" customWidth="1"/>
    <col min="3068" max="3068" width="14.28515625" style="365" bestFit="1" customWidth="1"/>
    <col min="3069" max="3069" width="0" style="365" hidden="1" customWidth="1"/>
    <col min="3070" max="3070" width="18.140625" style="365" customWidth="1"/>
    <col min="3071" max="3071" width="0" style="365" hidden="1" customWidth="1"/>
    <col min="3072" max="3072" width="14" style="365" customWidth="1"/>
    <col min="3073" max="3073" width="0" style="365" hidden="1" customWidth="1"/>
    <col min="3074" max="3074" width="20.85546875" style="365" customWidth="1"/>
    <col min="3075" max="3075" width="0" style="365" hidden="1" customWidth="1"/>
    <col min="3076" max="3076" width="13.28515625" style="365" customWidth="1"/>
    <col min="3077" max="3077" width="0" style="365" hidden="1" customWidth="1"/>
    <col min="3078" max="3078" width="15" style="365" customWidth="1"/>
    <col min="3079" max="3079" width="0" style="365" hidden="1" customWidth="1"/>
    <col min="3080" max="3080" width="13.28515625" style="365" customWidth="1"/>
    <col min="3081" max="3081" width="0" style="365" hidden="1" customWidth="1"/>
    <col min="3082" max="3082" width="20.140625" style="365" customWidth="1"/>
    <col min="3083" max="3083" width="14.42578125" style="365" bestFit="1" customWidth="1"/>
    <col min="3084" max="3084" width="14" style="365" bestFit="1" customWidth="1"/>
    <col min="3085" max="3085" width="12.28515625" style="365" bestFit="1" customWidth="1"/>
    <col min="3086" max="3110" width="9.140625" style="365" customWidth="1"/>
    <col min="3111" max="3305" width="8.85546875" style="365"/>
    <col min="3306" max="3306" width="44.5703125" style="365" customWidth="1"/>
    <col min="3307" max="3307" width="14.28515625" style="365" bestFit="1" customWidth="1"/>
    <col min="3308" max="3308" width="1.7109375" style="365" customWidth="1"/>
    <col min="3309" max="3309" width="14.85546875" style="365" customWidth="1"/>
    <col min="3310" max="3310" width="0" style="365" hidden="1" customWidth="1"/>
    <col min="3311" max="3311" width="17.42578125" style="365" customWidth="1"/>
    <col min="3312" max="3312" width="0" style="365" hidden="1" customWidth="1"/>
    <col min="3313" max="3313" width="12.85546875" style="365" customWidth="1"/>
    <col min="3314" max="3314" width="0" style="365" hidden="1" customWidth="1"/>
    <col min="3315" max="3315" width="14.42578125" style="365" customWidth="1"/>
    <col min="3316" max="3316" width="0" style="365" hidden="1" customWidth="1"/>
    <col min="3317" max="3317" width="17.42578125" style="365" customWidth="1"/>
    <col min="3318" max="3318" width="0" style="365" hidden="1" customWidth="1"/>
    <col min="3319" max="3319" width="14" style="365" customWidth="1"/>
    <col min="3320" max="3320" width="14.28515625" style="365" bestFit="1" customWidth="1"/>
    <col min="3321" max="3321" width="0" style="365" hidden="1" customWidth="1"/>
    <col min="3322" max="3322" width="15.5703125" style="365" customWidth="1"/>
    <col min="3323" max="3323" width="44.5703125" style="365" customWidth="1"/>
    <col min="3324" max="3324" width="14.28515625" style="365" bestFit="1" customWidth="1"/>
    <col min="3325" max="3325" width="0" style="365" hidden="1" customWidth="1"/>
    <col min="3326" max="3326" width="18.140625" style="365" customWidth="1"/>
    <col min="3327" max="3327" width="0" style="365" hidden="1" customWidth="1"/>
    <col min="3328" max="3328" width="14" style="365" customWidth="1"/>
    <col min="3329" max="3329" width="0" style="365" hidden="1" customWidth="1"/>
    <col min="3330" max="3330" width="20.85546875" style="365" customWidth="1"/>
    <col min="3331" max="3331" width="0" style="365" hidden="1" customWidth="1"/>
    <col min="3332" max="3332" width="13.28515625" style="365" customWidth="1"/>
    <col min="3333" max="3333" width="0" style="365" hidden="1" customWidth="1"/>
    <col min="3334" max="3334" width="15" style="365" customWidth="1"/>
    <col min="3335" max="3335" width="0" style="365" hidden="1" customWidth="1"/>
    <col min="3336" max="3336" width="13.28515625" style="365" customWidth="1"/>
    <col min="3337" max="3337" width="0" style="365" hidden="1" customWidth="1"/>
    <col min="3338" max="3338" width="20.140625" style="365" customWidth="1"/>
    <col min="3339" max="3339" width="14.42578125" style="365" bestFit="1" customWidth="1"/>
    <col min="3340" max="3340" width="14" style="365" bestFit="1" customWidth="1"/>
    <col min="3341" max="3341" width="12.28515625" style="365" bestFit="1" customWidth="1"/>
    <col min="3342" max="3366" width="9.140625" style="365" customWidth="1"/>
    <col min="3367" max="3561" width="8.85546875" style="365"/>
    <col min="3562" max="3562" width="44.5703125" style="365" customWidth="1"/>
    <col min="3563" max="3563" width="14.28515625" style="365" bestFit="1" customWidth="1"/>
    <col min="3564" max="3564" width="1.7109375" style="365" customWidth="1"/>
    <col min="3565" max="3565" width="14.85546875" style="365" customWidth="1"/>
    <col min="3566" max="3566" width="0" style="365" hidden="1" customWidth="1"/>
    <col min="3567" max="3567" width="17.42578125" style="365" customWidth="1"/>
    <col min="3568" max="3568" width="0" style="365" hidden="1" customWidth="1"/>
    <col min="3569" max="3569" width="12.85546875" style="365" customWidth="1"/>
    <col min="3570" max="3570" width="0" style="365" hidden="1" customWidth="1"/>
    <col min="3571" max="3571" width="14.42578125" style="365" customWidth="1"/>
    <col min="3572" max="3572" width="0" style="365" hidden="1" customWidth="1"/>
    <col min="3573" max="3573" width="17.42578125" style="365" customWidth="1"/>
    <col min="3574" max="3574" width="0" style="365" hidden="1" customWidth="1"/>
    <col min="3575" max="3575" width="14" style="365" customWidth="1"/>
    <col min="3576" max="3576" width="14.28515625" style="365" bestFit="1" customWidth="1"/>
    <col min="3577" max="3577" width="0" style="365" hidden="1" customWidth="1"/>
    <col min="3578" max="3578" width="15.5703125" style="365" customWidth="1"/>
    <col min="3579" max="3579" width="44.5703125" style="365" customWidth="1"/>
    <col min="3580" max="3580" width="14.28515625" style="365" bestFit="1" customWidth="1"/>
    <col min="3581" max="3581" width="0" style="365" hidden="1" customWidth="1"/>
    <col min="3582" max="3582" width="18.140625" style="365" customWidth="1"/>
    <col min="3583" max="3583" width="0" style="365" hidden="1" customWidth="1"/>
    <col min="3584" max="3584" width="14" style="365" customWidth="1"/>
    <col min="3585" max="3585" width="0" style="365" hidden="1" customWidth="1"/>
    <col min="3586" max="3586" width="20.85546875" style="365" customWidth="1"/>
    <col min="3587" max="3587" width="0" style="365" hidden="1" customWidth="1"/>
    <col min="3588" max="3588" width="13.28515625" style="365" customWidth="1"/>
    <col min="3589" max="3589" width="0" style="365" hidden="1" customWidth="1"/>
    <col min="3590" max="3590" width="15" style="365" customWidth="1"/>
    <col min="3591" max="3591" width="0" style="365" hidden="1" customWidth="1"/>
    <col min="3592" max="3592" width="13.28515625" style="365" customWidth="1"/>
    <col min="3593" max="3593" width="0" style="365" hidden="1" customWidth="1"/>
    <col min="3594" max="3594" width="20.140625" style="365" customWidth="1"/>
    <col min="3595" max="3595" width="14.42578125" style="365" bestFit="1" customWidth="1"/>
    <col min="3596" max="3596" width="14" style="365" bestFit="1" customWidth="1"/>
    <col min="3597" max="3597" width="12.28515625" style="365" bestFit="1" customWidth="1"/>
    <col min="3598" max="3622" width="9.140625" style="365" customWidth="1"/>
    <col min="3623" max="3817" width="8.85546875" style="365"/>
    <col min="3818" max="3818" width="44.5703125" style="365" customWidth="1"/>
    <col min="3819" max="3819" width="14.28515625" style="365" bestFit="1" customWidth="1"/>
    <col min="3820" max="3820" width="1.7109375" style="365" customWidth="1"/>
    <col min="3821" max="3821" width="14.85546875" style="365" customWidth="1"/>
    <col min="3822" max="3822" width="0" style="365" hidden="1" customWidth="1"/>
    <col min="3823" max="3823" width="17.42578125" style="365" customWidth="1"/>
    <col min="3824" max="3824" width="0" style="365" hidden="1" customWidth="1"/>
    <col min="3825" max="3825" width="12.85546875" style="365" customWidth="1"/>
    <col min="3826" max="3826" width="0" style="365" hidden="1" customWidth="1"/>
    <col min="3827" max="3827" width="14.42578125" style="365" customWidth="1"/>
    <col min="3828" max="3828" width="0" style="365" hidden="1" customWidth="1"/>
    <col min="3829" max="3829" width="17.42578125" style="365" customWidth="1"/>
    <col min="3830" max="3830" width="0" style="365" hidden="1" customWidth="1"/>
    <col min="3831" max="3831" width="14" style="365" customWidth="1"/>
    <col min="3832" max="3832" width="14.28515625" style="365" bestFit="1" customWidth="1"/>
    <col min="3833" max="3833" width="0" style="365" hidden="1" customWidth="1"/>
    <col min="3834" max="3834" width="15.5703125" style="365" customWidth="1"/>
    <col min="3835" max="3835" width="44.5703125" style="365" customWidth="1"/>
    <col min="3836" max="3836" width="14.28515625" style="365" bestFit="1" customWidth="1"/>
    <col min="3837" max="3837" width="0" style="365" hidden="1" customWidth="1"/>
    <col min="3838" max="3838" width="18.140625" style="365" customWidth="1"/>
    <col min="3839" max="3839" width="0" style="365" hidden="1" customWidth="1"/>
    <col min="3840" max="3840" width="14" style="365" customWidth="1"/>
    <col min="3841" max="3841" width="0" style="365" hidden="1" customWidth="1"/>
    <col min="3842" max="3842" width="20.85546875" style="365" customWidth="1"/>
    <col min="3843" max="3843" width="0" style="365" hidden="1" customWidth="1"/>
    <col min="3844" max="3844" width="13.28515625" style="365" customWidth="1"/>
    <col min="3845" max="3845" width="0" style="365" hidden="1" customWidth="1"/>
    <col min="3846" max="3846" width="15" style="365" customWidth="1"/>
    <col min="3847" max="3847" width="0" style="365" hidden="1" customWidth="1"/>
    <col min="3848" max="3848" width="13.28515625" style="365" customWidth="1"/>
    <col min="3849" max="3849" width="0" style="365" hidden="1" customWidth="1"/>
    <col min="3850" max="3850" width="20.140625" style="365" customWidth="1"/>
    <col min="3851" max="3851" width="14.42578125" style="365" bestFit="1" customWidth="1"/>
    <col min="3852" max="3852" width="14" style="365" bestFit="1" customWidth="1"/>
    <col min="3853" max="3853" width="12.28515625" style="365" bestFit="1" customWidth="1"/>
    <col min="3854" max="3878" width="9.140625" style="365" customWidth="1"/>
    <col min="3879" max="4073" width="8.85546875" style="365"/>
    <col min="4074" max="4074" width="44.5703125" style="365" customWidth="1"/>
    <col min="4075" max="4075" width="14.28515625" style="365" bestFit="1" customWidth="1"/>
    <col min="4076" max="4076" width="1.7109375" style="365" customWidth="1"/>
    <col min="4077" max="4077" width="14.85546875" style="365" customWidth="1"/>
    <col min="4078" max="4078" width="0" style="365" hidden="1" customWidth="1"/>
    <col min="4079" max="4079" width="17.42578125" style="365" customWidth="1"/>
    <col min="4080" max="4080" width="0" style="365" hidden="1" customWidth="1"/>
    <col min="4081" max="4081" width="12.85546875" style="365" customWidth="1"/>
    <col min="4082" max="4082" width="0" style="365" hidden="1" customWidth="1"/>
    <col min="4083" max="4083" width="14.42578125" style="365" customWidth="1"/>
    <col min="4084" max="4084" width="0" style="365" hidden="1" customWidth="1"/>
    <col min="4085" max="4085" width="17.42578125" style="365" customWidth="1"/>
    <col min="4086" max="4086" width="0" style="365" hidden="1" customWidth="1"/>
    <col min="4087" max="4087" width="14" style="365" customWidth="1"/>
    <col min="4088" max="4088" width="14.28515625" style="365" bestFit="1" customWidth="1"/>
    <col min="4089" max="4089" width="0" style="365" hidden="1" customWidth="1"/>
    <col min="4090" max="4090" width="15.5703125" style="365" customWidth="1"/>
    <col min="4091" max="4091" width="44.5703125" style="365" customWidth="1"/>
    <col min="4092" max="4092" width="14.28515625" style="365" bestFit="1" customWidth="1"/>
    <col min="4093" max="4093" width="0" style="365" hidden="1" customWidth="1"/>
    <col min="4094" max="4094" width="18.140625" style="365" customWidth="1"/>
    <col min="4095" max="4095" width="0" style="365" hidden="1" customWidth="1"/>
    <col min="4096" max="4096" width="14" style="365" customWidth="1"/>
    <col min="4097" max="4097" width="0" style="365" hidden="1" customWidth="1"/>
    <col min="4098" max="4098" width="20.85546875" style="365" customWidth="1"/>
    <col min="4099" max="4099" width="0" style="365" hidden="1" customWidth="1"/>
    <col min="4100" max="4100" width="13.28515625" style="365" customWidth="1"/>
    <col min="4101" max="4101" width="0" style="365" hidden="1" customWidth="1"/>
    <col min="4102" max="4102" width="15" style="365" customWidth="1"/>
    <col min="4103" max="4103" width="0" style="365" hidden="1" customWidth="1"/>
    <col min="4104" max="4104" width="13.28515625" style="365" customWidth="1"/>
    <col min="4105" max="4105" width="0" style="365" hidden="1" customWidth="1"/>
    <col min="4106" max="4106" width="20.140625" style="365" customWidth="1"/>
    <col min="4107" max="4107" width="14.42578125" style="365" bestFit="1" customWidth="1"/>
    <col min="4108" max="4108" width="14" style="365" bestFit="1" customWidth="1"/>
    <col min="4109" max="4109" width="12.28515625" style="365" bestFit="1" customWidth="1"/>
    <col min="4110" max="4134" width="9.140625" style="365" customWidth="1"/>
    <col min="4135" max="4329" width="8.85546875" style="365"/>
    <col min="4330" max="4330" width="44.5703125" style="365" customWidth="1"/>
    <col min="4331" max="4331" width="14.28515625" style="365" bestFit="1" customWidth="1"/>
    <col min="4332" max="4332" width="1.7109375" style="365" customWidth="1"/>
    <col min="4333" max="4333" width="14.85546875" style="365" customWidth="1"/>
    <col min="4334" max="4334" width="0" style="365" hidden="1" customWidth="1"/>
    <col min="4335" max="4335" width="17.42578125" style="365" customWidth="1"/>
    <col min="4336" max="4336" width="0" style="365" hidden="1" customWidth="1"/>
    <col min="4337" max="4337" width="12.85546875" style="365" customWidth="1"/>
    <col min="4338" max="4338" width="0" style="365" hidden="1" customWidth="1"/>
    <col min="4339" max="4339" width="14.42578125" style="365" customWidth="1"/>
    <col min="4340" max="4340" width="0" style="365" hidden="1" customWidth="1"/>
    <col min="4341" max="4341" width="17.42578125" style="365" customWidth="1"/>
    <col min="4342" max="4342" width="0" style="365" hidden="1" customWidth="1"/>
    <col min="4343" max="4343" width="14" style="365" customWidth="1"/>
    <col min="4344" max="4344" width="14.28515625" style="365" bestFit="1" customWidth="1"/>
    <col min="4345" max="4345" width="0" style="365" hidden="1" customWidth="1"/>
    <col min="4346" max="4346" width="15.5703125" style="365" customWidth="1"/>
    <col min="4347" max="4347" width="44.5703125" style="365" customWidth="1"/>
    <col min="4348" max="4348" width="14.28515625" style="365" bestFit="1" customWidth="1"/>
    <col min="4349" max="4349" width="0" style="365" hidden="1" customWidth="1"/>
    <col min="4350" max="4350" width="18.140625" style="365" customWidth="1"/>
    <col min="4351" max="4351" width="0" style="365" hidden="1" customWidth="1"/>
    <col min="4352" max="4352" width="14" style="365" customWidth="1"/>
    <col min="4353" max="4353" width="0" style="365" hidden="1" customWidth="1"/>
    <col min="4354" max="4354" width="20.85546875" style="365" customWidth="1"/>
    <col min="4355" max="4355" width="0" style="365" hidden="1" customWidth="1"/>
    <col min="4356" max="4356" width="13.28515625" style="365" customWidth="1"/>
    <col min="4357" max="4357" width="0" style="365" hidden="1" customWidth="1"/>
    <col min="4358" max="4358" width="15" style="365" customWidth="1"/>
    <col min="4359" max="4359" width="0" style="365" hidden="1" customWidth="1"/>
    <col min="4360" max="4360" width="13.28515625" style="365" customWidth="1"/>
    <col min="4361" max="4361" width="0" style="365" hidden="1" customWidth="1"/>
    <col min="4362" max="4362" width="20.140625" style="365" customWidth="1"/>
    <col min="4363" max="4363" width="14.42578125" style="365" bestFit="1" customWidth="1"/>
    <col min="4364" max="4364" width="14" style="365" bestFit="1" customWidth="1"/>
    <col min="4365" max="4365" width="12.28515625" style="365" bestFit="1" customWidth="1"/>
    <col min="4366" max="4390" width="9.140625" style="365" customWidth="1"/>
    <col min="4391" max="4585" width="8.85546875" style="365"/>
    <col min="4586" max="4586" width="44.5703125" style="365" customWidth="1"/>
    <col min="4587" max="4587" width="14.28515625" style="365" bestFit="1" customWidth="1"/>
    <col min="4588" max="4588" width="1.7109375" style="365" customWidth="1"/>
    <col min="4589" max="4589" width="14.85546875" style="365" customWidth="1"/>
    <col min="4590" max="4590" width="0" style="365" hidden="1" customWidth="1"/>
    <col min="4591" max="4591" width="17.42578125" style="365" customWidth="1"/>
    <col min="4592" max="4592" width="0" style="365" hidden="1" customWidth="1"/>
    <col min="4593" max="4593" width="12.85546875" style="365" customWidth="1"/>
    <col min="4594" max="4594" width="0" style="365" hidden="1" customWidth="1"/>
    <col min="4595" max="4595" width="14.42578125" style="365" customWidth="1"/>
    <col min="4596" max="4596" width="0" style="365" hidden="1" customWidth="1"/>
    <col min="4597" max="4597" width="17.42578125" style="365" customWidth="1"/>
    <col min="4598" max="4598" width="0" style="365" hidden="1" customWidth="1"/>
    <col min="4599" max="4599" width="14" style="365" customWidth="1"/>
    <col min="4600" max="4600" width="14.28515625" style="365" bestFit="1" customWidth="1"/>
    <col min="4601" max="4601" width="0" style="365" hidden="1" customWidth="1"/>
    <col min="4602" max="4602" width="15.5703125" style="365" customWidth="1"/>
    <col min="4603" max="4603" width="44.5703125" style="365" customWidth="1"/>
    <col min="4604" max="4604" width="14.28515625" style="365" bestFit="1" customWidth="1"/>
    <col min="4605" max="4605" width="0" style="365" hidden="1" customWidth="1"/>
    <col min="4606" max="4606" width="18.140625" style="365" customWidth="1"/>
    <col min="4607" max="4607" width="0" style="365" hidden="1" customWidth="1"/>
    <col min="4608" max="4608" width="14" style="365" customWidth="1"/>
    <col min="4609" max="4609" width="0" style="365" hidden="1" customWidth="1"/>
    <col min="4610" max="4610" width="20.85546875" style="365" customWidth="1"/>
    <col min="4611" max="4611" width="0" style="365" hidden="1" customWidth="1"/>
    <col min="4612" max="4612" width="13.28515625" style="365" customWidth="1"/>
    <col min="4613" max="4613" width="0" style="365" hidden="1" customWidth="1"/>
    <col min="4614" max="4614" width="15" style="365" customWidth="1"/>
    <col min="4615" max="4615" width="0" style="365" hidden="1" customWidth="1"/>
    <col min="4616" max="4616" width="13.28515625" style="365" customWidth="1"/>
    <col min="4617" max="4617" width="0" style="365" hidden="1" customWidth="1"/>
    <col min="4618" max="4618" width="20.140625" style="365" customWidth="1"/>
    <col min="4619" max="4619" width="14.42578125" style="365" bestFit="1" customWidth="1"/>
    <col min="4620" max="4620" width="14" style="365" bestFit="1" customWidth="1"/>
    <col min="4621" max="4621" width="12.28515625" style="365" bestFit="1" customWidth="1"/>
    <col min="4622" max="4646" width="9.140625" style="365" customWidth="1"/>
    <col min="4647" max="4841" width="8.85546875" style="365"/>
    <col min="4842" max="4842" width="44.5703125" style="365" customWidth="1"/>
    <col min="4843" max="4843" width="14.28515625" style="365" bestFit="1" customWidth="1"/>
    <col min="4844" max="4844" width="1.7109375" style="365" customWidth="1"/>
    <col min="4845" max="4845" width="14.85546875" style="365" customWidth="1"/>
    <col min="4846" max="4846" width="0" style="365" hidden="1" customWidth="1"/>
    <col min="4847" max="4847" width="17.42578125" style="365" customWidth="1"/>
    <col min="4848" max="4848" width="0" style="365" hidden="1" customWidth="1"/>
    <col min="4849" max="4849" width="12.85546875" style="365" customWidth="1"/>
    <col min="4850" max="4850" width="0" style="365" hidden="1" customWidth="1"/>
    <col min="4851" max="4851" width="14.42578125" style="365" customWidth="1"/>
    <col min="4852" max="4852" width="0" style="365" hidden="1" customWidth="1"/>
    <col min="4853" max="4853" width="17.42578125" style="365" customWidth="1"/>
    <col min="4854" max="4854" width="0" style="365" hidden="1" customWidth="1"/>
    <col min="4855" max="4855" width="14" style="365" customWidth="1"/>
    <col min="4856" max="4856" width="14.28515625" style="365" bestFit="1" customWidth="1"/>
    <col min="4857" max="4857" width="0" style="365" hidden="1" customWidth="1"/>
    <col min="4858" max="4858" width="15.5703125" style="365" customWidth="1"/>
    <col min="4859" max="4859" width="44.5703125" style="365" customWidth="1"/>
    <col min="4860" max="4860" width="14.28515625" style="365" bestFit="1" customWidth="1"/>
    <col min="4861" max="4861" width="0" style="365" hidden="1" customWidth="1"/>
    <col min="4862" max="4862" width="18.140625" style="365" customWidth="1"/>
    <col min="4863" max="4863" width="0" style="365" hidden="1" customWidth="1"/>
    <col min="4864" max="4864" width="14" style="365" customWidth="1"/>
    <col min="4865" max="4865" width="0" style="365" hidden="1" customWidth="1"/>
    <col min="4866" max="4866" width="20.85546875" style="365" customWidth="1"/>
    <col min="4867" max="4867" width="0" style="365" hidden="1" customWidth="1"/>
    <col min="4868" max="4868" width="13.28515625" style="365" customWidth="1"/>
    <col min="4869" max="4869" width="0" style="365" hidden="1" customWidth="1"/>
    <col min="4870" max="4870" width="15" style="365" customWidth="1"/>
    <col min="4871" max="4871" width="0" style="365" hidden="1" customWidth="1"/>
    <col min="4872" max="4872" width="13.28515625" style="365" customWidth="1"/>
    <col min="4873" max="4873" width="0" style="365" hidden="1" customWidth="1"/>
    <col min="4874" max="4874" width="20.140625" style="365" customWidth="1"/>
    <col min="4875" max="4875" width="14.42578125" style="365" bestFit="1" customWidth="1"/>
    <col min="4876" max="4876" width="14" style="365" bestFit="1" customWidth="1"/>
    <col min="4877" max="4877" width="12.28515625" style="365" bestFit="1" customWidth="1"/>
    <col min="4878" max="4902" width="9.140625" style="365" customWidth="1"/>
    <col min="4903" max="5097" width="8.85546875" style="365"/>
    <col min="5098" max="5098" width="44.5703125" style="365" customWidth="1"/>
    <col min="5099" max="5099" width="14.28515625" style="365" bestFit="1" customWidth="1"/>
    <col min="5100" max="5100" width="1.7109375" style="365" customWidth="1"/>
    <col min="5101" max="5101" width="14.85546875" style="365" customWidth="1"/>
    <col min="5102" max="5102" width="0" style="365" hidden="1" customWidth="1"/>
    <col min="5103" max="5103" width="17.42578125" style="365" customWidth="1"/>
    <col min="5104" max="5104" width="0" style="365" hidden="1" customWidth="1"/>
    <col min="5105" max="5105" width="12.85546875" style="365" customWidth="1"/>
    <col min="5106" max="5106" width="0" style="365" hidden="1" customWidth="1"/>
    <col min="5107" max="5107" width="14.42578125" style="365" customWidth="1"/>
    <col min="5108" max="5108" width="0" style="365" hidden="1" customWidth="1"/>
    <col min="5109" max="5109" width="17.42578125" style="365" customWidth="1"/>
    <col min="5110" max="5110" width="0" style="365" hidden="1" customWidth="1"/>
    <col min="5111" max="5111" width="14" style="365" customWidth="1"/>
    <col min="5112" max="5112" width="14.28515625" style="365" bestFit="1" customWidth="1"/>
    <col min="5113" max="5113" width="0" style="365" hidden="1" customWidth="1"/>
    <col min="5114" max="5114" width="15.5703125" style="365" customWidth="1"/>
    <col min="5115" max="5115" width="44.5703125" style="365" customWidth="1"/>
    <col min="5116" max="5116" width="14.28515625" style="365" bestFit="1" customWidth="1"/>
    <col min="5117" max="5117" width="0" style="365" hidden="1" customWidth="1"/>
    <col min="5118" max="5118" width="18.140625" style="365" customWidth="1"/>
    <col min="5119" max="5119" width="0" style="365" hidden="1" customWidth="1"/>
    <col min="5120" max="5120" width="14" style="365" customWidth="1"/>
    <col min="5121" max="5121" width="0" style="365" hidden="1" customWidth="1"/>
    <col min="5122" max="5122" width="20.85546875" style="365" customWidth="1"/>
    <col min="5123" max="5123" width="0" style="365" hidden="1" customWidth="1"/>
    <col min="5124" max="5124" width="13.28515625" style="365" customWidth="1"/>
    <col min="5125" max="5125" width="0" style="365" hidden="1" customWidth="1"/>
    <col min="5126" max="5126" width="15" style="365" customWidth="1"/>
    <col min="5127" max="5127" width="0" style="365" hidden="1" customWidth="1"/>
    <col min="5128" max="5128" width="13.28515625" style="365" customWidth="1"/>
    <col min="5129" max="5129" width="0" style="365" hidden="1" customWidth="1"/>
    <col min="5130" max="5130" width="20.140625" style="365" customWidth="1"/>
    <col min="5131" max="5131" width="14.42578125" style="365" bestFit="1" customWidth="1"/>
    <col min="5132" max="5132" width="14" style="365" bestFit="1" customWidth="1"/>
    <col min="5133" max="5133" width="12.28515625" style="365" bestFit="1" customWidth="1"/>
    <col min="5134" max="5158" width="9.140625" style="365" customWidth="1"/>
    <col min="5159" max="5353" width="8.85546875" style="365"/>
    <col min="5354" max="5354" width="44.5703125" style="365" customWidth="1"/>
    <col min="5355" max="5355" width="14.28515625" style="365" bestFit="1" customWidth="1"/>
    <col min="5356" max="5356" width="1.7109375" style="365" customWidth="1"/>
    <col min="5357" max="5357" width="14.85546875" style="365" customWidth="1"/>
    <col min="5358" max="5358" width="0" style="365" hidden="1" customWidth="1"/>
    <col min="5359" max="5359" width="17.42578125" style="365" customWidth="1"/>
    <col min="5360" max="5360" width="0" style="365" hidden="1" customWidth="1"/>
    <col min="5361" max="5361" width="12.85546875" style="365" customWidth="1"/>
    <col min="5362" max="5362" width="0" style="365" hidden="1" customWidth="1"/>
    <col min="5363" max="5363" width="14.42578125" style="365" customWidth="1"/>
    <col min="5364" max="5364" width="0" style="365" hidden="1" customWidth="1"/>
    <col min="5365" max="5365" width="17.42578125" style="365" customWidth="1"/>
    <col min="5366" max="5366" width="0" style="365" hidden="1" customWidth="1"/>
    <col min="5367" max="5367" width="14" style="365" customWidth="1"/>
    <col min="5368" max="5368" width="14.28515625" style="365" bestFit="1" customWidth="1"/>
    <col min="5369" max="5369" width="0" style="365" hidden="1" customWidth="1"/>
    <col min="5370" max="5370" width="15.5703125" style="365" customWidth="1"/>
    <col min="5371" max="5371" width="44.5703125" style="365" customWidth="1"/>
    <col min="5372" max="5372" width="14.28515625" style="365" bestFit="1" customWidth="1"/>
    <col min="5373" max="5373" width="0" style="365" hidden="1" customWidth="1"/>
    <col min="5374" max="5374" width="18.140625" style="365" customWidth="1"/>
    <col min="5375" max="5375" width="0" style="365" hidden="1" customWidth="1"/>
    <col min="5376" max="5376" width="14" style="365" customWidth="1"/>
    <col min="5377" max="5377" width="0" style="365" hidden="1" customWidth="1"/>
    <col min="5378" max="5378" width="20.85546875" style="365" customWidth="1"/>
    <col min="5379" max="5379" width="0" style="365" hidden="1" customWidth="1"/>
    <col min="5380" max="5380" width="13.28515625" style="365" customWidth="1"/>
    <col min="5381" max="5381" width="0" style="365" hidden="1" customWidth="1"/>
    <col min="5382" max="5382" width="15" style="365" customWidth="1"/>
    <col min="5383" max="5383" width="0" style="365" hidden="1" customWidth="1"/>
    <col min="5384" max="5384" width="13.28515625" style="365" customWidth="1"/>
    <col min="5385" max="5385" width="0" style="365" hidden="1" customWidth="1"/>
    <col min="5386" max="5386" width="20.140625" style="365" customWidth="1"/>
    <col min="5387" max="5387" width="14.42578125" style="365" bestFit="1" customWidth="1"/>
    <col min="5388" max="5388" width="14" style="365" bestFit="1" customWidth="1"/>
    <col min="5389" max="5389" width="12.28515625" style="365" bestFit="1" customWidth="1"/>
    <col min="5390" max="5414" width="9.140625" style="365" customWidth="1"/>
    <col min="5415" max="5609" width="8.85546875" style="365"/>
    <col min="5610" max="5610" width="44.5703125" style="365" customWidth="1"/>
    <col min="5611" max="5611" width="14.28515625" style="365" bestFit="1" customWidth="1"/>
    <col min="5612" max="5612" width="1.7109375" style="365" customWidth="1"/>
    <col min="5613" max="5613" width="14.85546875" style="365" customWidth="1"/>
    <col min="5614" max="5614" width="0" style="365" hidden="1" customWidth="1"/>
    <col min="5615" max="5615" width="17.42578125" style="365" customWidth="1"/>
    <col min="5616" max="5616" width="0" style="365" hidden="1" customWidth="1"/>
    <col min="5617" max="5617" width="12.85546875" style="365" customWidth="1"/>
    <col min="5618" max="5618" width="0" style="365" hidden="1" customWidth="1"/>
    <col min="5619" max="5619" width="14.42578125" style="365" customWidth="1"/>
    <col min="5620" max="5620" width="0" style="365" hidden="1" customWidth="1"/>
    <col min="5621" max="5621" width="17.42578125" style="365" customWidth="1"/>
    <col min="5622" max="5622" width="0" style="365" hidden="1" customWidth="1"/>
    <col min="5623" max="5623" width="14" style="365" customWidth="1"/>
    <col min="5624" max="5624" width="14.28515625" style="365" bestFit="1" customWidth="1"/>
    <col min="5625" max="5625" width="0" style="365" hidden="1" customWidth="1"/>
    <col min="5626" max="5626" width="15.5703125" style="365" customWidth="1"/>
    <col min="5627" max="5627" width="44.5703125" style="365" customWidth="1"/>
    <col min="5628" max="5628" width="14.28515625" style="365" bestFit="1" customWidth="1"/>
    <col min="5629" max="5629" width="0" style="365" hidden="1" customWidth="1"/>
    <col min="5630" max="5630" width="18.140625" style="365" customWidth="1"/>
    <col min="5631" max="5631" width="0" style="365" hidden="1" customWidth="1"/>
    <col min="5632" max="5632" width="14" style="365" customWidth="1"/>
    <col min="5633" max="5633" width="0" style="365" hidden="1" customWidth="1"/>
    <col min="5634" max="5634" width="20.85546875" style="365" customWidth="1"/>
    <col min="5635" max="5635" width="0" style="365" hidden="1" customWidth="1"/>
    <col min="5636" max="5636" width="13.28515625" style="365" customWidth="1"/>
    <col min="5637" max="5637" width="0" style="365" hidden="1" customWidth="1"/>
    <col min="5638" max="5638" width="15" style="365" customWidth="1"/>
    <col min="5639" max="5639" width="0" style="365" hidden="1" customWidth="1"/>
    <col min="5640" max="5640" width="13.28515625" style="365" customWidth="1"/>
    <col min="5641" max="5641" width="0" style="365" hidden="1" customWidth="1"/>
    <col min="5642" max="5642" width="20.140625" style="365" customWidth="1"/>
    <col min="5643" max="5643" width="14.42578125" style="365" bestFit="1" customWidth="1"/>
    <col min="5644" max="5644" width="14" style="365" bestFit="1" customWidth="1"/>
    <col min="5645" max="5645" width="12.28515625" style="365" bestFit="1" customWidth="1"/>
    <col min="5646" max="5670" width="9.140625" style="365" customWidth="1"/>
    <col min="5671" max="5865" width="8.85546875" style="365"/>
    <col min="5866" max="5866" width="44.5703125" style="365" customWidth="1"/>
    <col min="5867" max="5867" width="14.28515625" style="365" bestFit="1" customWidth="1"/>
    <col min="5868" max="5868" width="1.7109375" style="365" customWidth="1"/>
    <col min="5869" max="5869" width="14.85546875" style="365" customWidth="1"/>
    <col min="5870" max="5870" width="0" style="365" hidden="1" customWidth="1"/>
    <col min="5871" max="5871" width="17.42578125" style="365" customWidth="1"/>
    <col min="5872" max="5872" width="0" style="365" hidden="1" customWidth="1"/>
    <col min="5873" max="5873" width="12.85546875" style="365" customWidth="1"/>
    <col min="5874" max="5874" width="0" style="365" hidden="1" customWidth="1"/>
    <col min="5875" max="5875" width="14.42578125" style="365" customWidth="1"/>
    <col min="5876" max="5876" width="0" style="365" hidden="1" customWidth="1"/>
    <col min="5877" max="5877" width="17.42578125" style="365" customWidth="1"/>
    <col min="5878" max="5878" width="0" style="365" hidden="1" customWidth="1"/>
    <col min="5879" max="5879" width="14" style="365" customWidth="1"/>
    <col min="5880" max="5880" width="14.28515625" style="365" bestFit="1" customWidth="1"/>
    <col min="5881" max="5881" width="0" style="365" hidden="1" customWidth="1"/>
    <col min="5882" max="5882" width="15.5703125" style="365" customWidth="1"/>
    <col min="5883" max="5883" width="44.5703125" style="365" customWidth="1"/>
    <col min="5884" max="5884" width="14.28515625" style="365" bestFit="1" customWidth="1"/>
    <col min="5885" max="5885" width="0" style="365" hidden="1" customWidth="1"/>
    <col min="5886" max="5886" width="18.140625" style="365" customWidth="1"/>
    <col min="5887" max="5887" width="0" style="365" hidden="1" customWidth="1"/>
    <col min="5888" max="5888" width="14" style="365" customWidth="1"/>
    <col min="5889" max="5889" width="0" style="365" hidden="1" customWidth="1"/>
    <col min="5890" max="5890" width="20.85546875" style="365" customWidth="1"/>
    <col min="5891" max="5891" width="0" style="365" hidden="1" customWidth="1"/>
    <col min="5892" max="5892" width="13.28515625" style="365" customWidth="1"/>
    <col min="5893" max="5893" width="0" style="365" hidden="1" customWidth="1"/>
    <col min="5894" max="5894" width="15" style="365" customWidth="1"/>
    <col min="5895" max="5895" width="0" style="365" hidden="1" customWidth="1"/>
    <col min="5896" max="5896" width="13.28515625" style="365" customWidth="1"/>
    <col min="5897" max="5897" width="0" style="365" hidden="1" customWidth="1"/>
    <col min="5898" max="5898" width="20.140625" style="365" customWidth="1"/>
    <col min="5899" max="5899" width="14.42578125" style="365" bestFit="1" customWidth="1"/>
    <col min="5900" max="5900" width="14" style="365" bestFit="1" customWidth="1"/>
    <col min="5901" max="5901" width="12.28515625" style="365" bestFit="1" customWidth="1"/>
    <col min="5902" max="5926" width="9.140625" style="365" customWidth="1"/>
    <col min="5927" max="6121" width="8.85546875" style="365"/>
    <col min="6122" max="6122" width="44.5703125" style="365" customWidth="1"/>
    <col min="6123" max="6123" width="14.28515625" style="365" bestFit="1" customWidth="1"/>
    <col min="6124" max="6124" width="1.7109375" style="365" customWidth="1"/>
    <col min="6125" max="6125" width="14.85546875" style="365" customWidth="1"/>
    <col min="6126" max="6126" width="0" style="365" hidden="1" customWidth="1"/>
    <col min="6127" max="6127" width="17.42578125" style="365" customWidth="1"/>
    <col min="6128" max="6128" width="0" style="365" hidden="1" customWidth="1"/>
    <col min="6129" max="6129" width="12.85546875" style="365" customWidth="1"/>
    <col min="6130" max="6130" width="0" style="365" hidden="1" customWidth="1"/>
    <col min="6131" max="6131" width="14.42578125" style="365" customWidth="1"/>
    <col min="6132" max="6132" width="0" style="365" hidden="1" customWidth="1"/>
    <col min="6133" max="6133" width="17.42578125" style="365" customWidth="1"/>
    <col min="6134" max="6134" width="0" style="365" hidden="1" customWidth="1"/>
    <col min="6135" max="6135" width="14" style="365" customWidth="1"/>
    <col min="6136" max="6136" width="14.28515625" style="365" bestFit="1" customWidth="1"/>
    <col min="6137" max="6137" width="0" style="365" hidden="1" customWidth="1"/>
    <col min="6138" max="6138" width="15.5703125" style="365" customWidth="1"/>
    <col min="6139" max="6139" width="44.5703125" style="365" customWidth="1"/>
    <col min="6140" max="6140" width="14.28515625" style="365" bestFit="1" customWidth="1"/>
    <col min="6141" max="6141" width="0" style="365" hidden="1" customWidth="1"/>
    <col min="6142" max="6142" width="18.140625" style="365" customWidth="1"/>
    <col min="6143" max="6143" width="0" style="365" hidden="1" customWidth="1"/>
    <col min="6144" max="6144" width="14" style="365" customWidth="1"/>
    <col min="6145" max="6145" width="0" style="365" hidden="1" customWidth="1"/>
    <col min="6146" max="6146" width="20.85546875" style="365" customWidth="1"/>
    <col min="6147" max="6147" width="0" style="365" hidden="1" customWidth="1"/>
    <col min="6148" max="6148" width="13.28515625" style="365" customWidth="1"/>
    <col min="6149" max="6149" width="0" style="365" hidden="1" customWidth="1"/>
    <col min="6150" max="6150" width="15" style="365" customWidth="1"/>
    <col min="6151" max="6151" width="0" style="365" hidden="1" customWidth="1"/>
    <col min="6152" max="6152" width="13.28515625" style="365" customWidth="1"/>
    <col min="6153" max="6153" width="0" style="365" hidden="1" customWidth="1"/>
    <col min="6154" max="6154" width="20.140625" style="365" customWidth="1"/>
    <col min="6155" max="6155" width="14.42578125" style="365" bestFit="1" customWidth="1"/>
    <col min="6156" max="6156" width="14" style="365" bestFit="1" customWidth="1"/>
    <col min="6157" max="6157" width="12.28515625" style="365" bestFit="1" customWidth="1"/>
    <col min="6158" max="6182" width="9.140625" style="365" customWidth="1"/>
    <col min="6183" max="6377" width="8.85546875" style="365"/>
    <col min="6378" max="6378" width="44.5703125" style="365" customWidth="1"/>
    <col min="6379" max="6379" width="14.28515625" style="365" bestFit="1" customWidth="1"/>
    <col min="6380" max="6380" width="1.7109375" style="365" customWidth="1"/>
    <col min="6381" max="6381" width="14.85546875" style="365" customWidth="1"/>
    <col min="6382" max="6382" width="0" style="365" hidden="1" customWidth="1"/>
    <col min="6383" max="6383" width="17.42578125" style="365" customWidth="1"/>
    <col min="6384" max="6384" width="0" style="365" hidden="1" customWidth="1"/>
    <col min="6385" max="6385" width="12.85546875" style="365" customWidth="1"/>
    <col min="6386" max="6386" width="0" style="365" hidden="1" customWidth="1"/>
    <col min="6387" max="6387" width="14.42578125" style="365" customWidth="1"/>
    <col min="6388" max="6388" width="0" style="365" hidden="1" customWidth="1"/>
    <col min="6389" max="6389" width="17.42578125" style="365" customWidth="1"/>
    <col min="6390" max="6390" width="0" style="365" hidden="1" customWidth="1"/>
    <col min="6391" max="6391" width="14" style="365" customWidth="1"/>
    <col min="6392" max="6392" width="14.28515625" style="365" bestFit="1" customWidth="1"/>
    <col min="6393" max="6393" width="0" style="365" hidden="1" customWidth="1"/>
    <col min="6394" max="6394" width="15.5703125" style="365" customWidth="1"/>
    <col min="6395" max="6395" width="44.5703125" style="365" customWidth="1"/>
    <col min="6396" max="6396" width="14.28515625" style="365" bestFit="1" customWidth="1"/>
    <col min="6397" max="6397" width="0" style="365" hidden="1" customWidth="1"/>
    <col min="6398" max="6398" width="18.140625" style="365" customWidth="1"/>
    <col min="6399" max="6399" width="0" style="365" hidden="1" customWidth="1"/>
    <col min="6400" max="6400" width="14" style="365" customWidth="1"/>
    <col min="6401" max="6401" width="0" style="365" hidden="1" customWidth="1"/>
    <col min="6402" max="6402" width="20.85546875" style="365" customWidth="1"/>
    <col min="6403" max="6403" width="0" style="365" hidden="1" customWidth="1"/>
    <col min="6404" max="6404" width="13.28515625" style="365" customWidth="1"/>
    <col min="6405" max="6405" width="0" style="365" hidden="1" customWidth="1"/>
    <col min="6406" max="6406" width="15" style="365" customWidth="1"/>
    <col min="6407" max="6407" width="0" style="365" hidden="1" customWidth="1"/>
    <col min="6408" max="6408" width="13.28515625" style="365" customWidth="1"/>
    <col min="6409" max="6409" width="0" style="365" hidden="1" customWidth="1"/>
    <col min="6410" max="6410" width="20.140625" style="365" customWidth="1"/>
    <col min="6411" max="6411" width="14.42578125" style="365" bestFit="1" customWidth="1"/>
    <col min="6412" max="6412" width="14" style="365" bestFit="1" customWidth="1"/>
    <col min="6413" max="6413" width="12.28515625" style="365" bestFit="1" customWidth="1"/>
    <col min="6414" max="6438" width="9.140625" style="365" customWidth="1"/>
    <col min="6439" max="6633" width="8.85546875" style="365"/>
    <col min="6634" max="6634" width="44.5703125" style="365" customWidth="1"/>
    <col min="6635" max="6635" width="14.28515625" style="365" bestFit="1" customWidth="1"/>
    <col min="6636" max="6636" width="1.7109375" style="365" customWidth="1"/>
    <col min="6637" max="6637" width="14.85546875" style="365" customWidth="1"/>
    <col min="6638" max="6638" width="0" style="365" hidden="1" customWidth="1"/>
    <col min="6639" max="6639" width="17.42578125" style="365" customWidth="1"/>
    <col min="6640" max="6640" width="0" style="365" hidden="1" customWidth="1"/>
    <col min="6641" max="6641" width="12.85546875" style="365" customWidth="1"/>
    <col min="6642" max="6642" width="0" style="365" hidden="1" customWidth="1"/>
    <col min="6643" max="6643" width="14.42578125" style="365" customWidth="1"/>
    <col min="6644" max="6644" width="0" style="365" hidden="1" customWidth="1"/>
    <col min="6645" max="6645" width="17.42578125" style="365" customWidth="1"/>
    <col min="6646" max="6646" width="0" style="365" hidden="1" customWidth="1"/>
    <col min="6647" max="6647" width="14" style="365" customWidth="1"/>
    <col min="6648" max="6648" width="14.28515625" style="365" bestFit="1" customWidth="1"/>
    <col min="6649" max="6649" width="0" style="365" hidden="1" customWidth="1"/>
    <col min="6650" max="6650" width="15.5703125" style="365" customWidth="1"/>
    <col min="6651" max="6651" width="44.5703125" style="365" customWidth="1"/>
    <col min="6652" max="6652" width="14.28515625" style="365" bestFit="1" customWidth="1"/>
    <col min="6653" max="6653" width="0" style="365" hidden="1" customWidth="1"/>
    <col min="6654" max="6654" width="18.140625" style="365" customWidth="1"/>
    <col min="6655" max="6655" width="0" style="365" hidden="1" customWidth="1"/>
    <col min="6656" max="6656" width="14" style="365" customWidth="1"/>
    <col min="6657" max="6657" width="0" style="365" hidden="1" customWidth="1"/>
    <col min="6658" max="6658" width="20.85546875" style="365" customWidth="1"/>
    <col min="6659" max="6659" width="0" style="365" hidden="1" customWidth="1"/>
    <col min="6660" max="6660" width="13.28515625" style="365" customWidth="1"/>
    <col min="6661" max="6661" width="0" style="365" hidden="1" customWidth="1"/>
    <col min="6662" max="6662" width="15" style="365" customWidth="1"/>
    <col min="6663" max="6663" width="0" style="365" hidden="1" customWidth="1"/>
    <col min="6664" max="6664" width="13.28515625" style="365" customWidth="1"/>
    <col min="6665" max="6665" width="0" style="365" hidden="1" customWidth="1"/>
    <col min="6666" max="6666" width="20.140625" style="365" customWidth="1"/>
    <col min="6667" max="6667" width="14.42578125" style="365" bestFit="1" customWidth="1"/>
    <col min="6668" max="6668" width="14" style="365" bestFit="1" customWidth="1"/>
    <col min="6669" max="6669" width="12.28515625" style="365" bestFit="1" customWidth="1"/>
    <col min="6670" max="6694" width="9.140625" style="365" customWidth="1"/>
    <col min="6695" max="6889" width="8.85546875" style="365"/>
    <col min="6890" max="6890" width="44.5703125" style="365" customWidth="1"/>
    <col min="6891" max="6891" width="14.28515625" style="365" bestFit="1" customWidth="1"/>
    <col min="6892" max="6892" width="1.7109375" style="365" customWidth="1"/>
    <col min="6893" max="6893" width="14.85546875" style="365" customWidth="1"/>
    <col min="6894" max="6894" width="0" style="365" hidden="1" customWidth="1"/>
    <col min="6895" max="6895" width="17.42578125" style="365" customWidth="1"/>
    <col min="6896" max="6896" width="0" style="365" hidden="1" customWidth="1"/>
    <col min="6897" max="6897" width="12.85546875" style="365" customWidth="1"/>
    <col min="6898" max="6898" width="0" style="365" hidden="1" customWidth="1"/>
    <col min="6899" max="6899" width="14.42578125" style="365" customWidth="1"/>
    <col min="6900" max="6900" width="0" style="365" hidden="1" customWidth="1"/>
    <col min="6901" max="6901" width="17.42578125" style="365" customWidth="1"/>
    <col min="6902" max="6902" width="0" style="365" hidden="1" customWidth="1"/>
    <col min="6903" max="6903" width="14" style="365" customWidth="1"/>
    <col min="6904" max="6904" width="14.28515625" style="365" bestFit="1" customWidth="1"/>
    <col min="6905" max="6905" width="0" style="365" hidden="1" customWidth="1"/>
    <col min="6906" max="6906" width="15.5703125" style="365" customWidth="1"/>
    <col min="6907" max="6907" width="44.5703125" style="365" customWidth="1"/>
    <col min="6908" max="6908" width="14.28515625" style="365" bestFit="1" customWidth="1"/>
    <col min="6909" max="6909" width="0" style="365" hidden="1" customWidth="1"/>
    <col min="6910" max="6910" width="18.140625" style="365" customWidth="1"/>
    <col min="6911" max="6911" width="0" style="365" hidden="1" customWidth="1"/>
    <col min="6912" max="6912" width="14" style="365" customWidth="1"/>
    <col min="6913" max="6913" width="0" style="365" hidden="1" customWidth="1"/>
    <col min="6914" max="6914" width="20.85546875" style="365" customWidth="1"/>
    <col min="6915" max="6915" width="0" style="365" hidden="1" customWidth="1"/>
    <col min="6916" max="6916" width="13.28515625" style="365" customWidth="1"/>
    <col min="6917" max="6917" width="0" style="365" hidden="1" customWidth="1"/>
    <col min="6918" max="6918" width="15" style="365" customWidth="1"/>
    <col min="6919" max="6919" width="0" style="365" hidden="1" customWidth="1"/>
    <col min="6920" max="6920" width="13.28515625" style="365" customWidth="1"/>
    <col min="6921" max="6921" width="0" style="365" hidden="1" customWidth="1"/>
    <col min="6922" max="6922" width="20.140625" style="365" customWidth="1"/>
    <col min="6923" max="6923" width="14.42578125" style="365" bestFit="1" customWidth="1"/>
    <col min="6924" max="6924" width="14" style="365" bestFit="1" customWidth="1"/>
    <col min="6925" max="6925" width="12.28515625" style="365" bestFit="1" customWidth="1"/>
    <col min="6926" max="6950" width="9.140625" style="365" customWidth="1"/>
    <col min="6951" max="7145" width="8.85546875" style="365"/>
    <col min="7146" max="7146" width="44.5703125" style="365" customWidth="1"/>
    <col min="7147" max="7147" width="14.28515625" style="365" bestFit="1" customWidth="1"/>
    <col min="7148" max="7148" width="1.7109375" style="365" customWidth="1"/>
    <col min="7149" max="7149" width="14.85546875" style="365" customWidth="1"/>
    <col min="7150" max="7150" width="0" style="365" hidden="1" customWidth="1"/>
    <col min="7151" max="7151" width="17.42578125" style="365" customWidth="1"/>
    <col min="7152" max="7152" width="0" style="365" hidden="1" customWidth="1"/>
    <col min="7153" max="7153" width="12.85546875" style="365" customWidth="1"/>
    <col min="7154" max="7154" width="0" style="365" hidden="1" customWidth="1"/>
    <col min="7155" max="7155" width="14.42578125" style="365" customWidth="1"/>
    <col min="7156" max="7156" width="0" style="365" hidden="1" customWidth="1"/>
    <col min="7157" max="7157" width="17.42578125" style="365" customWidth="1"/>
    <col min="7158" max="7158" width="0" style="365" hidden="1" customWidth="1"/>
    <col min="7159" max="7159" width="14" style="365" customWidth="1"/>
    <col min="7160" max="7160" width="14.28515625" style="365" bestFit="1" customWidth="1"/>
    <col min="7161" max="7161" width="0" style="365" hidden="1" customWidth="1"/>
    <col min="7162" max="7162" width="15.5703125" style="365" customWidth="1"/>
    <col min="7163" max="7163" width="44.5703125" style="365" customWidth="1"/>
    <col min="7164" max="7164" width="14.28515625" style="365" bestFit="1" customWidth="1"/>
    <col min="7165" max="7165" width="0" style="365" hidden="1" customWidth="1"/>
    <col min="7166" max="7166" width="18.140625" style="365" customWidth="1"/>
    <col min="7167" max="7167" width="0" style="365" hidden="1" customWidth="1"/>
    <col min="7168" max="7168" width="14" style="365" customWidth="1"/>
    <col min="7169" max="7169" width="0" style="365" hidden="1" customWidth="1"/>
    <col min="7170" max="7170" width="20.85546875" style="365" customWidth="1"/>
    <col min="7171" max="7171" width="0" style="365" hidden="1" customWidth="1"/>
    <col min="7172" max="7172" width="13.28515625" style="365" customWidth="1"/>
    <col min="7173" max="7173" width="0" style="365" hidden="1" customWidth="1"/>
    <col min="7174" max="7174" width="15" style="365" customWidth="1"/>
    <col min="7175" max="7175" width="0" style="365" hidden="1" customWidth="1"/>
    <col min="7176" max="7176" width="13.28515625" style="365" customWidth="1"/>
    <col min="7177" max="7177" width="0" style="365" hidden="1" customWidth="1"/>
    <col min="7178" max="7178" width="20.140625" style="365" customWidth="1"/>
    <col min="7179" max="7179" width="14.42578125" style="365" bestFit="1" customWidth="1"/>
    <col min="7180" max="7180" width="14" style="365" bestFit="1" customWidth="1"/>
    <col min="7181" max="7181" width="12.28515625" style="365" bestFit="1" customWidth="1"/>
    <col min="7182" max="7206" width="9.140625" style="365" customWidth="1"/>
    <col min="7207" max="7401" width="8.85546875" style="365"/>
    <col min="7402" max="7402" width="44.5703125" style="365" customWidth="1"/>
    <col min="7403" max="7403" width="14.28515625" style="365" bestFit="1" customWidth="1"/>
    <col min="7404" max="7404" width="1.7109375" style="365" customWidth="1"/>
    <col min="7405" max="7405" width="14.85546875" style="365" customWidth="1"/>
    <col min="7406" max="7406" width="0" style="365" hidden="1" customWidth="1"/>
    <col min="7407" max="7407" width="17.42578125" style="365" customWidth="1"/>
    <col min="7408" max="7408" width="0" style="365" hidden="1" customWidth="1"/>
    <col min="7409" max="7409" width="12.85546875" style="365" customWidth="1"/>
    <col min="7410" max="7410" width="0" style="365" hidden="1" customWidth="1"/>
    <col min="7411" max="7411" width="14.42578125" style="365" customWidth="1"/>
    <col min="7412" max="7412" width="0" style="365" hidden="1" customWidth="1"/>
    <col min="7413" max="7413" width="17.42578125" style="365" customWidth="1"/>
    <col min="7414" max="7414" width="0" style="365" hidden="1" customWidth="1"/>
    <col min="7415" max="7415" width="14" style="365" customWidth="1"/>
    <col min="7416" max="7416" width="14.28515625" style="365" bestFit="1" customWidth="1"/>
    <col min="7417" max="7417" width="0" style="365" hidden="1" customWidth="1"/>
    <col min="7418" max="7418" width="15.5703125" style="365" customWidth="1"/>
    <col min="7419" max="7419" width="44.5703125" style="365" customWidth="1"/>
    <col min="7420" max="7420" width="14.28515625" style="365" bestFit="1" customWidth="1"/>
    <col min="7421" max="7421" width="0" style="365" hidden="1" customWidth="1"/>
    <col min="7422" max="7422" width="18.140625" style="365" customWidth="1"/>
    <col min="7423" max="7423" width="0" style="365" hidden="1" customWidth="1"/>
    <col min="7424" max="7424" width="14" style="365" customWidth="1"/>
    <col min="7425" max="7425" width="0" style="365" hidden="1" customWidth="1"/>
    <col min="7426" max="7426" width="20.85546875" style="365" customWidth="1"/>
    <col min="7427" max="7427" width="0" style="365" hidden="1" customWidth="1"/>
    <col min="7428" max="7428" width="13.28515625" style="365" customWidth="1"/>
    <col min="7429" max="7429" width="0" style="365" hidden="1" customWidth="1"/>
    <col min="7430" max="7430" width="15" style="365" customWidth="1"/>
    <col min="7431" max="7431" width="0" style="365" hidden="1" customWidth="1"/>
    <col min="7432" max="7432" width="13.28515625" style="365" customWidth="1"/>
    <col min="7433" max="7433" width="0" style="365" hidden="1" customWidth="1"/>
    <col min="7434" max="7434" width="20.140625" style="365" customWidth="1"/>
    <col min="7435" max="7435" width="14.42578125" style="365" bestFit="1" customWidth="1"/>
    <col min="7436" max="7436" width="14" style="365" bestFit="1" customWidth="1"/>
    <col min="7437" max="7437" width="12.28515625" style="365" bestFit="1" customWidth="1"/>
    <col min="7438" max="7462" width="9.140625" style="365" customWidth="1"/>
    <col min="7463" max="7657" width="8.85546875" style="365"/>
    <col min="7658" max="7658" width="44.5703125" style="365" customWidth="1"/>
    <col min="7659" max="7659" width="14.28515625" style="365" bestFit="1" customWidth="1"/>
    <col min="7660" max="7660" width="1.7109375" style="365" customWidth="1"/>
    <col min="7661" max="7661" width="14.85546875" style="365" customWidth="1"/>
    <col min="7662" max="7662" width="0" style="365" hidden="1" customWidth="1"/>
    <col min="7663" max="7663" width="17.42578125" style="365" customWidth="1"/>
    <col min="7664" max="7664" width="0" style="365" hidden="1" customWidth="1"/>
    <col min="7665" max="7665" width="12.85546875" style="365" customWidth="1"/>
    <col min="7666" max="7666" width="0" style="365" hidden="1" customWidth="1"/>
    <col min="7667" max="7667" width="14.42578125" style="365" customWidth="1"/>
    <col min="7668" max="7668" width="0" style="365" hidden="1" customWidth="1"/>
    <col min="7669" max="7669" width="17.42578125" style="365" customWidth="1"/>
    <col min="7670" max="7670" width="0" style="365" hidden="1" customWidth="1"/>
    <col min="7671" max="7671" width="14" style="365" customWidth="1"/>
    <col min="7672" max="7672" width="14.28515625" style="365" bestFit="1" customWidth="1"/>
    <col min="7673" max="7673" width="0" style="365" hidden="1" customWidth="1"/>
    <col min="7674" max="7674" width="15.5703125" style="365" customWidth="1"/>
    <col min="7675" max="7675" width="44.5703125" style="365" customWidth="1"/>
    <col min="7676" max="7676" width="14.28515625" style="365" bestFit="1" customWidth="1"/>
    <col min="7677" max="7677" width="0" style="365" hidden="1" customWidth="1"/>
    <col min="7678" max="7678" width="18.140625" style="365" customWidth="1"/>
    <col min="7679" max="7679" width="0" style="365" hidden="1" customWidth="1"/>
    <col min="7680" max="7680" width="14" style="365" customWidth="1"/>
    <col min="7681" max="7681" width="0" style="365" hidden="1" customWidth="1"/>
    <col min="7682" max="7682" width="20.85546875" style="365" customWidth="1"/>
    <col min="7683" max="7683" width="0" style="365" hidden="1" customWidth="1"/>
    <col min="7684" max="7684" width="13.28515625" style="365" customWidth="1"/>
    <col min="7685" max="7685" width="0" style="365" hidden="1" customWidth="1"/>
    <col min="7686" max="7686" width="15" style="365" customWidth="1"/>
    <col min="7687" max="7687" width="0" style="365" hidden="1" customWidth="1"/>
    <col min="7688" max="7688" width="13.28515625" style="365" customWidth="1"/>
    <col min="7689" max="7689" width="0" style="365" hidden="1" customWidth="1"/>
    <col min="7690" max="7690" width="20.140625" style="365" customWidth="1"/>
    <col min="7691" max="7691" width="14.42578125" style="365" bestFit="1" customWidth="1"/>
    <col min="7692" max="7692" width="14" style="365" bestFit="1" customWidth="1"/>
    <col min="7693" max="7693" width="12.28515625" style="365" bestFit="1" customWidth="1"/>
    <col min="7694" max="7718" width="9.140625" style="365" customWidth="1"/>
    <col min="7719" max="7913" width="8.85546875" style="365"/>
    <col min="7914" max="7914" width="44.5703125" style="365" customWidth="1"/>
    <col min="7915" max="7915" width="14.28515625" style="365" bestFit="1" customWidth="1"/>
    <col min="7916" max="7916" width="1.7109375" style="365" customWidth="1"/>
    <col min="7917" max="7917" width="14.85546875" style="365" customWidth="1"/>
    <col min="7918" max="7918" width="0" style="365" hidden="1" customWidth="1"/>
    <col min="7919" max="7919" width="17.42578125" style="365" customWidth="1"/>
    <col min="7920" max="7920" width="0" style="365" hidden="1" customWidth="1"/>
    <col min="7921" max="7921" width="12.85546875" style="365" customWidth="1"/>
    <col min="7922" max="7922" width="0" style="365" hidden="1" customWidth="1"/>
    <col min="7923" max="7923" width="14.42578125" style="365" customWidth="1"/>
    <col min="7924" max="7924" width="0" style="365" hidden="1" customWidth="1"/>
    <col min="7925" max="7925" width="17.42578125" style="365" customWidth="1"/>
    <col min="7926" max="7926" width="0" style="365" hidden="1" customWidth="1"/>
    <col min="7927" max="7927" width="14" style="365" customWidth="1"/>
    <col min="7928" max="7928" width="14.28515625" style="365" bestFit="1" customWidth="1"/>
    <col min="7929" max="7929" width="0" style="365" hidden="1" customWidth="1"/>
    <col min="7930" max="7930" width="15.5703125" style="365" customWidth="1"/>
    <col min="7931" max="7931" width="44.5703125" style="365" customWidth="1"/>
    <col min="7932" max="7932" width="14.28515625" style="365" bestFit="1" customWidth="1"/>
    <col min="7933" max="7933" width="0" style="365" hidden="1" customWidth="1"/>
    <col min="7934" max="7934" width="18.140625" style="365" customWidth="1"/>
    <col min="7935" max="7935" width="0" style="365" hidden="1" customWidth="1"/>
    <col min="7936" max="7936" width="14" style="365" customWidth="1"/>
    <col min="7937" max="7937" width="0" style="365" hidden="1" customWidth="1"/>
    <col min="7938" max="7938" width="20.85546875" style="365" customWidth="1"/>
    <col min="7939" max="7939" width="0" style="365" hidden="1" customWidth="1"/>
    <col min="7940" max="7940" width="13.28515625" style="365" customWidth="1"/>
    <col min="7941" max="7941" width="0" style="365" hidden="1" customWidth="1"/>
    <col min="7942" max="7942" width="15" style="365" customWidth="1"/>
    <col min="7943" max="7943" width="0" style="365" hidden="1" customWidth="1"/>
    <col min="7944" max="7944" width="13.28515625" style="365" customWidth="1"/>
    <col min="7945" max="7945" width="0" style="365" hidden="1" customWidth="1"/>
    <col min="7946" max="7946" width="20.140625" style="365" customWidth="1"/>
    <col min="7947" max="7947" width="14.42578125" style="365" bestFit="1" customWidth="1"/>
    <col min="7948" max="7948" width="14" style="365" bestFit="1" customWidth="1"/>
    <col min="7949" max="7949" width="12.28515625" style="365" bestFit="1" customWidth="1"/>
    <col min="7950" max="7974" width="9.140625" style="365" customWidth="1"/>
    <col min="7975" max="8169" width="8.85546875" style="365"/>
    <col min="8170" max="8170" width="44.5703125" style="365" customWidth="1"/>
    <col min="8171" max="8171" width="14.28515625" style="365" bestFit="1" customWidth="1"/>
    <col min="8172" max="8172" width="1.7109375" style="365" customWidth="1"/>
    <col min="8173" max="8173" width="14.85546875" style="365" customWidth="1"/>
    <col min="8174" max="8174" width="0" style="365" hidden="1" customWidth="1"/>
    <col min="8175" max="8175" width="17.42578125" style="365" customWidth="1"/>
    <col min="8176" max="8176" width="0" style="365" hidden="1" customWidth="1"/>
    <col min="8177" max="8177" width="12.85546875" style="365" customWidth="1"/>
    <col min="8178" max="8178" width="0" style="365" hidden="1" customWidth="1"/>
    <col min="8179" max="8179" width="14.42578125" style="365" customWidth="1"/>
    <col min="8180" max="8180" width="0" style="365" hidden="1" customWidth="1"/>
    <col min="8181" max="8181" width="17.42578125" style="365" customWidth="1"/>
    <col min="8182" max="8182" width="0" style="365" hidden="1" customWidth="1"/>
    <col min="8183" max="8183" width="14" style="365" customWidth="1"/>
    <col min="8184" max="8184" width="14.28515625" style="365" bestFit="1" customWidth="1"/>
    <col min="8185" max="8185" width="0" style="365" hidden="1" customWidth="1"/>
    <col min="8186" max="8186" width="15.5703125" style="365" customWidth="1"/>
    <col min="8187" max="8187" width="44.5703125" style="365" customWidth="1"/>
    <col min="8188" max="8188" width="14.28515625" style="365" bestFit="1" customWidth="1"/>
    <col min="8189" max="8189" width="0" style="365" hidden="1" customWidth="1"/>
    <col min="8190" max="8190" width="18.140625" style="365" customWidth="1"/>
    <col min="8191" max="8191" width="0" style="365" hidden="1" customWidth="1"/>
    <col min="8192" max="8192" width="14" style="365" customWidth="1"/>
    <col min="8193" max="8193" width="0" style="365" hidden="1" customWidth="1"/>
    <col min="8194" max="8194" width="20.85546875" style="365" customWidth="1"/>
    <col min="8195" max="8195" width="0" style="365" hidden="1" customWidth="1"/>
    <col min="8196" max="8196" width="13.28515625" style="365" customWidth="1"/>
    <col min="8197" max="8197" width="0" style="365" hidden="1" customWidth="1"/>
    <col min="8198" max="8198" width="15" style="365" customWidth="1"/>
    <col min="8199" max="8199" width="0" style="365" hidden="1" customWidth="1"/>
    <col min="8200" max="8200" width="13.28515625" style="365" customWidth="1"/>
    <col min="8201" max="8201" width="0" style="365" hidden="1" customWidth="1"/>
    <col min="8202" max="8202" width="20.140625" style="365" customWidth="1"/>
    <col min="8203" max="8203" width="14.42578125" style="365" bestFit="1" customWidth="1"/>
    <col min="8204" max="8204" width="14" style="365" bestFit="1" customWidth="1"/>
    <col min="8205" max="8205" width="12.28515625" style="365" bestFit="1" customWidth="1"/>
    <col min="8206" max="8230" width="9.140625" style="365" customWidth="1"/>
    <col min="8231" max="8425" width="8.85546875" style="365"/>
    <col min="8426" max="8426" width="44.5703125" style="365" customWidth="1"/>
    <col min="8427" max="8427" width="14.28515625" style="365" bestFit="1" customWidth="1"/>
    <col min="8428" max="8428" width="1.7109375" style="365" customWidth="1"/>
    <col min="8429" max="8429" width="14.85546875" style="365" customWidth="1"/>
    <col min="8430" max="8430" width="0" style="365" hidden="1" customWidth="1"/>
    <col min="8431" max="8431" width="17.42578125" style="365" customWidth="1"/>
    <col min="8432" max="8432" width="0" style="365" hidden="1" customWidth="1"/>
    <col min="8433" max="8433" width="12.85546875" style="365" customWidth="1"/>
    <col min="8434" max="8434" width="0" style="365" hidden="1" customWidth="1"/>
    <col min="8435" max="8435" width="14.42578125" style="365" customWidth="1"/>
    <col min="8436" max="8436" width="0" style="365" hidden="1" customWidth="1"/>
    <col min="8437" max="8437" width="17.42578125" style="365" customWidth="1"/>
    <col min="8438" max="8438" width="0" style="365" hidden="1" customWidth="1"/>
    <col min="8439" max="8439" width="14" style="365" customWidth="1"/>
    <col min="8440" max="8440" width="14.28515625" style="365" bestFit="1" customWidth="1"/>
    <col min="8441" max="8441" width="0" style="365" hidden="1" customWidth="1"/>
    <col min="8442" max="8442" width="15.5703125" style="365" customWidth="1"/>
    <col min="8443" max="8443" width="44.5703125" style="365" customWidth="1"/>
    <col min="8444" max="8444" width="14.28515625" style="365" bestFit="1" customWidth="1"/>
    <col min="8445" max="8445" width="0" style="365" hidden="1" customWidth="1"/>
    <col min="8446" max="8446" width="18.140625" style="365" customWidth="1"/>
    <col min="8447" max="8447" width="0" style="365" hidden="1" customWidth="1"/>
    <col min="8448" max="8448" width="14" style="365" customWidth="1"/>
    <col min="8449" max="8449" width="0" style="365" hidden="1" customWidth="1"/>
    <col min="8450" max="8450" width="20.85546875" style="365" customWidth="1"/>
    <col min="8451" max="8451" width="0" style="365" hidden="1" customWidth="1"/>
    <col min="8452" max="8452" width="13.28515625" style="365" customWidth="1"/>
    <col min="8453" max="8453" width="0" style="365" hidden="1" customWidth="1"/>
    <col min="8454" max="8454" width="15" style="365" customWidth="1"/>
    <col min="8455" max="8455" width="0" style="365" hidden="1" customWidth="1"/>
    <col min="8456" max="8456" width="13.28515625" style="365" customWidth="1"/>
    <col min="8457" max="8457" width="0" style="365" hidden="1" customWidth="1"/>
    <col min="8458" max="8458" width="20.140625" style="365" customWidth="1"/>
    <col min="8459" max="8459" width="14.42578125" style="365" bestFit="1" customWidth="1"/>
    <col min="8460" max="8460" width="14" style="365" bestFit="1" customWidth="1"/>
    <col min="8461" max="8461" width="12.28515625" style="365" bestFit="1" customWidth="1"/>
    <col min="8462" max="8486" width="9.140625" style="365" customWidth="1"/>
    <col min="8487" max="8681" width="8.85546875" style="365"/>
    <col min="8682" max="8682" width="44.5703125" style="365" customWidth="1"/>
    <col min="8683" max="8683" width="14.28515625" style="365" bestFit="1" customWidth="1"/>
    <col min="8684" max="8684" width="1.7109375" style="365" customWidth="1"/>
    <col min="8685" max="8685" width="14.85546875" style="365" customWidth="1"/>
    <col min="8686" max="8686" width="0" style="365" hidden="1" customWidth="1"/>
    <col min="8687" max="8687" width="17.42578125" style="365" customWidth="1"/>
    <col min="8688" max="8688" width="0" style="365" hidden="1" customWidth="1"/>
    <col min="8689" max="8689" width="12.85546875" style="365" customWidth="1"/>
    <col min="8690" max="8690" width="0" style="365" hidden="1" customWidth="1"/>
    <col min="8691" max="8691" width="14.42578125" style="365" customWidth="1"/>
    <col min="8692" max="8692" width="0" style="365" hidden="1" customWidth="1"/>
    <col min="8693" max="8693" width="17.42578125" style="365" customWidth="1"/>
    <col min="8694" max="8694" width="0" style="365" hidden="1" customWidth="1"/>
    <col min="8695" max="8695" width="14" style="365" customWidth="1"/>
    <col min="8696" max="8696" width="14.28515625" style="365" bestFit="1" customWidth="1"/>
    <col min="8697" max="8697" width="0" style="365" hidden="1" customWidth="1"/>
    <col min="8698" max="8698" width="15.5703125" style="365" customWidth="1"/>
    <col min="8699" max="8699" width="44.5703125" style="365" customWidth="1"/>
    <col min="8700" max="8700" width="14.28515625" style="365" bestFit="1" customWidth="1"/>
    <col min="8701" max="8701" width="0" style="365" hidden="1" customWidth="1"/>
    <col min="8702" max="8702" width="18.140625" style="365" customWidth="1"/>
    <col min="8703" max="8703" width="0" style="365" hidden="1" customWidth="1"/>
    <col min="8704" max="8704" width="14" style="365" customWidth="1"/>
    <col min="8705" max="8705" width="0" style="365" hidden="1" customWidth="1"/>
    <col min="8706" max="8706" width="20.85546875" style="365" customWidth="1"/>
    <col min="8707" max="8707" width="0" style="365" hidden="1" customWidth="1"/>
    <col min="8708" max="8708" width="13.28515625" style="365" customWidth="1"/>
    <col min="8709" max="8709" width="0" style="365" hidden="1" customWidth="1"/>
    <col min="8710" max="8710" width="15" style="365" customWidth="1"/>
    <col min="8711" max="8711" width="0" style="365" hidden="1" customWidth="1"/>
    <col min="8712" max="8712" width="13.28515625" style="365" customWidth="1"/>
    <col min="8713" max="8713" width="0" style="365" hidden="1" customWidth="1"/>
    <col min="8714" max="8714" width="20.140625" style="365" customWidth="1"/>
    <col min="8715" max="8715" width="14.42578125" style="365" bestFit="1" customWidth="1"/>
    <col min="8716" max="8716" width="14" style="365" bestFit="1" customWidth="1"/>
    <col min="8717" max="8717" width="12.28515625" style="365" bestFit="1" customWidth="1"/>
    <col min="8718" max="8742" width="9.140625" style="365" customWidth="1"/>
    <col min="8743" max="8937" width="8.85546875" style="365"/>
    <col min="8938" max="8938" width="44.5703125" style="365" customWidth="1"/>
    <col min="8939" max="8939" width="14.28515625" style="365" bestFit="1" customWidth="1"/>
    <col min="8940" max="8940" width="1.7109375" style="365" customWidth="1"/>
    <col min="8941" max="8941" width="14.85546875" style="365" customWidth="1"/>
    <col min="8942" max="8942" width="0" style="365" hidden="1" customWidth="1"/>
    <col min="8943" max="8943" width="17.42578125" style="365" customWidth="1"/>
    <col min="8944" max="8944" width="0" style="365" hidden="1" customWidth="1"/>
    <col min="8945" max="8945" width="12.85546875" style="365" customWidth="1"/>
    <col min="8946" max="8946" width="0" style="365" hidden="1" customWidth="1"/>
    <col min="8947" max="8947" width="14.42578125" style="365" customWidth="1"/>
    <col min="8948" max="8948" width="0" style="365" hidden="1" customWidth="1"/>
    <col min="8949" max="8949" width="17.42578125" style="365" customWidth="1"/>
    <col min="8950" max="8950" width="0" style="365" hidden="1" customWidth="1"/>
    <col min="8951" max="8951" width="14" style="365" customWidth="1"/>
    <col min="8952" max="8952" width="14.28515625" style="365" bestFit="1" customWidth="1"/>
    <col min="8953" max="8953" width="0" style="365" hidden="1" customWidth="1"/>
    <col min="8954" max="8954" width="15.5703125" style="365" customWidth="1"/>
    <col min="8955" max="8955" width="44.5703125" style="365" customWidth="1"/>
    <col min="8956" max="8956" width="14.28515625" style="365" bestFit="1" customWidth="1"/>
    <col min="8957" max="8957" width="0" style="365" hidden="1" customWidth="1"/>
    <col min="8958" max="8958" width="18.140625" style="365" customWidth="1"/>
    <col min="8959" max="8959" width="0" style="365" hidden="1" customWidth="1"/>
    <col min="8960" max="8960" width="14" style="365" customWidth="1"/>
    <col min="8961" max="8961" width="0" style="365" hidden="1" customWidth="1"/>
    <col min="8962" max="8962" width="20.85546875" style="365" customWidth="1"/>
    <col min="8963" max="8963" width="0" style="365" hidden="1" customWidth="1"/>
    <col min="8964" max="8964" width="13.28515625" style="365" customWidth="1"/>
    <col min="8965" max="8965" width="0" style="365" hidden="1" customWidth="1"/>
    <col min="8966" max="8966" width="15" style="365" customWidth="1"/>
    <col min="8967" max="8967" width="0" style="365" hidden="1" customWidth="1"/>
    <col min="8968" max="8968" width="13.28515625" style="365" customWidth="1"/>
    <col min="8969" max="8969" width="0" style="365" hidden="1" customWidth="1"/>
    <col min="8970" max="8970" width="20.140625" style="365" customWidth="1"/>
    <col min="8971" max="8971" width="14.42578125" style="365" bestFit="1" customWidth="1"/>
    <col min="8972" max="8972" width="14" style="365" bestFit="1" customWidth="1"/>
    <col min="8973" max="8973" width="12.28515625" style="365" bestFit="1" customWidth="1"/>
    <col min="8974" max="8998" width="9.140625" style="365" customWidth="1"/>
    <col min="8999" max="9193" width="8.85546875" style="365"/>
    <col min="9194" max="9194" width="44.5703125" style="365" customWidth="1"/>
    <col min="9195" max="9195" width="14.28515625" style="365" bestFit="1" customWidth="1"/>
    <col min="9196" max="9196" width="1.7109375" style="365" customWidth="1"/>
    <col min="9197" max="9197" width="14.85546875" style="365" customWidth="1"/>
    <col min="9198" max="9198" width="0" style="365" hidden="1" customWidth="1"/>
    <col min="9199" max="9199" width="17.42578125" style="365" customWidth="1"/>
    <col min="9200" max="9200" width="0" style="365" hidden="1" customWidth="1"/>
    <col min="9201" max="9201" width="12.85546875" style="365" customWidth="1"/>
    <col min="9202" max="9202" width="0" style="365" hidden="1" customWidth="1"/>
    <col min="9203" max="9203" width="14.42578125" style="365" customWidth="1"/>
    <col min="9204" max="9204" width="0" style="365" hidden="1" customWidth="1"/>
    <col min="9205" max="9205" width="17.42578125" style="365" customWidth="1"/>
    <col min="9206" max="9206" width="0" style="365" hidden="1" customWidth="1"/>
    <col min="9207" max="9207" width="14" style="365" customWidth="1"/>
    <col min="9208" max="9208" width="14.28515625" style="365" bestFit="1" customWidth="1"/>
    <col min="9209" max="9209" width="0" style="365" hidden="1" customWidth="1"/>
    <col min="9210" max="9210" width="15.5703125" style="365" customWidth="1"/>
    <col min="9211" max="9211" width="44.5703125" style="365" customWidth="1"/>
    <col min="9212" max="9212" width="14.28515625" style="365" bestFit="1" customWidth="1"/>
    <col min="9213" max="9213" width="0" style="365" hidden="1" customWidth="1"/>
    <col min="9214" max="9214" width="18.140625" style="365" customWidth="1"/>
    <col min="9215" max="9215" width="0" style="365" hidden="1" customWidth="1"/>
    <col min="9216" max="9216" width="14" style="365" customWidth="1"/>
    <col min="9217" max="9217" width="0" style="365" hidden="1" customWidth="1"/>
    <col min="9218" max="9218" width="20.85546875" style="365" customWidth="1"/>
    <col min="9219" max="9219" width="0" style="365" hidden="1" customWidth="1"/>
    <col min="9220" max="9220" width="13.28515625" style="365" customWidth="1"/>
    <col min="9221" max="9221" width="0" style="365" hidden="1" customWidth="1"/>
    <col min="9222" max="9222" width="15" style="365" customWidth="1"/>
    <col min="9223" max="9223" width="0" style="365" hidden="1" customWidth="1"/>
    <col min="9224" max="9224" width="13.28515625" style="365" customWidth="1"/>
    <col min="9225" max="9225" width="0" style="365" hidden="1" customWidth="1"/>
    <col min="9226" max="9226" width="20.140625" style="365" customWidth="1"/>
    <col min="9227" max="9227" width="14.42578125" style="365" bestFit="1" customWidth="1"/>
    <col min="9228" max="9228" width="14" style="365" bestFit="1" customWidth="1"/>
    <col min="9229" max="9229" width="12.28515625" style="365" bestFit="1" customWidth="1"/>
    <col min="9230" max="9254" width="9.140625" style="365" customWidth="1"/>
    <col min="9255" max="9449" width="8.85546875" style="365"/>
    <col min="9450" max="9450" width="44.5703125" style="365" customWidth="1"/>
    <col min="9451" max="9451" width="14.28515625" style="365" bestFit="1" customWidth="1"/>
    <col min="9452" max="9452" width="1.7109375" style="365" customWidth="1"/>
    <col min="9453" max="9453" width="14.85546875" style="365" customWidth="1"/>
    <col min="9454" max="9454" width="0" style="365" hidden="1" customWidth="1"/>
    <col min="9455" max="9455" width="17.42578125" style="365" customWidth="1"/>
    <col min="9456" max="9456" width="0" style="365" hidden="1" customWidth="1"/>
    <col min="9457" max="9457" width="12.85546875" style="365" customWidth="1"/>
    <col min="9458" max="9458" width="0" style="365" hidden="1" customWidth="1"/>
    <col min="9459" max="9459" width="14.42578125" style="365" customWidth="1"/>
    <col min="9460" max="9460" width="0" style="365" hidden="1" customWidth="1"/>
    <col min="9461" max="9461" width="17.42578125" style="365" customWidth="1"/>
    <col min="9462" max="9462" width="0" style="365" hidden="1" customWidth="1"/>
    <col min="9463" max="9463" width="14" style="365" customWidth="1"/>
    <col min="9464" max="9464" width="14.28515625" style="365" bestFit="1" customWidth="1"/>
    <col min="9465" max="9465" width="0" style="365" hidden="1" customWidth="1"/>
    <col min="9466" max="9466" width="15.5703125" style="365" customWidth="1"/>
    <col min="9467" max="9467" width="44.5703125" style="365" customWidth="1"/>
    <col min="9468" max="9468" width="14.28515625" style="365" bestFit="1" customWidth="1"/>
    <col min="9469" max="9469" width="0" style="365" hidden="1" customWidth="1"/>
    <col min="9470" max="9470" width="18.140625" style="365" customWidth="1"/>
    <col min="9471" max="9471" width="0" style="365" hidden="1" customWidth="1"/>
    <col min="9472" max="9472" width="14" style="365" customWidth="1"/>
    <col min="9473" max="9473" width="0" style="365" hidden="1" customWidth="1"/>
    <col min="9474" max="9474" width="20.85546875" style="365" customWidth="1"/>
    <col min="9475" max="9475" width="0" style="365" hidden="1" customWidth="1"/>
    <col min="9476" max="9476" width="13.28515625" style="365" customWidth="1"/>
    <col min="9477" max="9477" width="0" style="365" hidden="1" customWidth="1"/>
    <col min="9478" max="9478" width="15" style="365" customWidth="1"/>
    <col min="9479" max="9479" width="0" style="365" hidden="1" customWidth="1"/>
    <col min="9480" max="9480" width="13.28515625" style="365" customWidth="1"/>
    <col min="9481" max="9481" width="0" style="365" hidden="1" customWidth="1"/>
    <col min="9482" max="9482" width="20.140625" style="365" customWidth="1"/>
    <col min="9483" max="9483" width="14.42578125" style="365" bestFit="1" customWidth="1"/>
    <col min="9484" max="9484" width="14" style="365" bestFit="1" customWidth="1"/>
    <col min="9485" max="9485" width="12.28515625" style="365" bestFit="1" customWidth="1"/>
    <col min="9486" max="9510" width="9.140625" style="365" customWidth="1"/>
    <col min="9511" max="9705" width="8.85546875" style="365"/>
    <col min="9706" max="9706" width="44.5703125" style="365" customWidth="1"/>
    <col min="9707" max="9707" width="14.28515625" style="365" bestFit="1" customWidth="1"/>
    <col min="9708" max="9708" width="1.7109375" style="365" customWidth="1"/>
    <col min="9709" max="9709" width="14.85546875" style="365" customWidth="1"/>
    <col min="9710" max="9710" width="0" style="365" hidden="1" customWidth="1"/>
    <col min="9711" max="9711" width="17.42578125" style="365" customWidth="1"/>
    <col min="9712" max="9712" width="0" style="365" hidden="1" customWidth="1"/>
    <col min="9713" max="9713" width="12.85546875" style="365" customWidth="1"/>
    <col min="9714" max="9714" width="0" style="365" hidden="1" customWidth="1"/>
    <col min="9715" max="9715" width="14.42578125" style="365" customWidth="1"/>
    <col min="9716" max="9716" width="0" style="365" hidden="1" customWidth="1"/>
    <col min="9717" max="9717" width="17.42578125" style="365" customWidth="1"/>
    <col min="9718" max="9718" width="0" style="365" hidden="1" customWidth="1"/>
    <col min="9719" max="9719" width="14" style="365" customWidth="1"/>
    <col min="9720" max="9720" width="14.28515625" style="365" bestFit="1" customWidth="1"/>
    <col min="9721" max="9721" width="0" style="365" hidden="1" customWidth="1"/>
    <col min="9722" max="9722" width="15.5703125" style="365" customWidth="1"/>
    <col min="9723" max="9723" width="44.5703125" style="365" customWidth="1"/>
    <col min="9724" max="9724" width="14.28515625" style="365" bestFit="1" customWidth="1"/>
    <col min="9725" max="9725" width="0" style="365" hidden="1" customWidth="1"/>
    <col min="9726" max="9726" width="18.140625" style="365" customWidth="1"/>
    <col min="9727" max="9727" width="0" style="365" hidden="1" customWidth="1"/>
    <col min="9728" max="9728" width="14" style="365" customWidth="1"/>
    <col min="9729" max="9729" width="0" style="365" hidden="1" customWidth="1"/>
    <col min="9730" max="9730" width="20.85546875" style="365" customWidth="1"/>
    <col min="9731" max="9731" width="0" style="365" hidden="1" customWidth="1"/>
    <col min="9732" max="9732" width="13.28515625" style="365" customWidth="1"/>
    <col min="9733" max="9733" width="0" style="365" hidden="1" customWidth="1"/>
    <col min="9734" max="9734" width="15" style="365" customWidth="1"/>
    <col min="9735" max="9735" width="0" style="365" hidden="1" customWidth="1"/>
    <col min="9736" max="9736" width="13.28515625" style="365" customWidth="1"/>
    <col min="9737" max="9737" width="0" style="365" hidden="1" customWidth="1"/>
    <col min="9738" max="9738" width="20.140625" style="365" customWidth="1"/>
    <col min="9739" max="9739" width="14.42578125" style="365" bestFit="1" customWidth="1"/>
    <col min="9740" max="9740" width="14" style="365" bestFit="1" customWidth="1"/>
    <col min="9741" max="9741" width="12.28515625" style="365" bestFit="1" customWidth="1"/>
    <col min="9742" max="9766" width="9.140625" style="365" customWidth="1"/>
    <col min="9767" max="9961" width="8.85546875" style="365"/>
    <col min="9962" max="9962" width="44.5703125" style="365" customWidth="1"/>
    <col min="9963" max="9963" width="14.28515625" style="365" bestFit="1" customWidth="1"/>
    <col min="9964" max="9964" width="1.7109375" style="365" customWidth="1"/>
    <col min="9965" max="9965" width="14.85546875" style="365" customWidth="1"/>
    <col min="9966" max="9966" width="0" style="365" hidden="1" customWidth="1"/>
    <col min="9967" max="9967" width="17.42578125" style="365" customWidth="1"/>
    <col min="9968" max="9968" width="0" style="365" hidden="1" customWidth="1"/>
    <col min="9969" max="9969" width="12.85546875" style="365" customWidth="1"/>
    <col min="9970" max="9970" width="0" style="365" hidden="1" customWidth="1"/>
    <col min="9971" max="9971" width="14.42578125" style="365" customWidth="1"/>
    <col min="9972" max="9972" width="0" style="365" hidden="1" customWidth="1"/>
    <col min="9973" max="9973" width="17.42578125" style="365" customWidth="1"/>
    <col min="9974" max="9974" width="0" style="365" hidden="1" customWidth="1"/>
    <col min="9975" max="9975" width="14" style="365" customWidth="1"/>
    <col min="9976" max="9976" width="14.28515625" style="365" bestFit="1" customWidth="1"/>
    <col min="9977" max="9977" width="0" style="365" hidden="1" customWidth="1"/>
    <col min="9978" max="9978" width="15.5703125" style="365" customWidth="1"/>
    <col min="9979" max="9979" width="44.5703125" style="365" customWidth="1"/>
    <col min="9980" max="9980" width="14.28515625" style="365" bestFit="1" customWidth="1"/>
    <col min="9981" max="9981" width="0" style="365" hidden="1" customWidth="1"/>
    <col min="9982" max="9982" width="18.140625" style="365" customWidth="1"/>
    <col min="9983" max="9983" width="0" style="365" hidden="1" customWidth="1"/>
    <col min="9984" max="9984" width="14" style="365" customWidth="1"/>
    <col min="9985" max="9985" width="0" style="365" hidden="1" customWidth="1"/>
    <col min="9986" max="9986" width="20.85546875" style="365" customWidth="1"/>
    <col min="9987" max="9987" width="0" style="365" hidden="1" customWidth="1"/>
    <col min="9988" max="9988" width="13.28515625" style="365" customWidth="1"/>
    <col min="9989" max="9989" width="0" style="365" hidden="1" customWidth="1"/>
    <col min="9990" max="9990" width="15" style="365" customWidth="1"/>
    <col min="9991" max="9991" width="0" style="365" hidden="1" customWidth="1"/>
    <col min="9992" max="9992" width="13.28515625" style="365" customWidth="1"/>
    <col min="9993" max="9993" width="0" style="365" hidden="1" customWidth="1"/>
    <col min="9994" max="9994" width="20.140625" style="365" customWidth="1"/>
    <col min="9995" max="9995" width="14.42578125" style="365" bestFit="1" customWidth="1"/>
    <col min="9996" max="9996" width="14" style="365" bestFit="1" customWidth="1"/>
    <col min="9997" max="9997" width="12.28515625" style="365" bestFit="1" customWidth="1"/>
    <col min="9998" max="10022" width="9.140625" style="365" customWidth="1"/>
    <col min="10023" max="10217" width="8.85546875" style="365"/>
    <col min="10218" max="10218" width="44.5703125" style="365" customWidth="1"/>
    <col min="10219" max="10219" width="14.28515625" style="365" bestFit="1" customWidth="1"/>
    <col min="10220" max="10220" width="1.7109375" style="365" customWidth="1"/>
    <col min="10221" max="10221" width="14.85546875" style="365" customWidth="1"/>
    <col min="10222" max="10222" width="0" style="365" hidden="1" customWidth="1"/>
    <col min="10223" max="10223" width="17.42578125" style="365" customWidth="1"/>
    <col min="10224" max="10224" width="0" style="365" hidden="1" customWidth="1"/>
    <col min="10225" max="10225" width="12.85546875" style="365" customWidth="1"/>
    <col min="10226" max="10226" width="0" style="365" hidden="1" customWidth="1"/>
    <col min="10227" max="10227" width="14.42578125" style="365" customWidth="1"/>
    <col min="10228" max="10228" width="0" style="365" hidden="1" customWidth="1"/>
    <col min="10229" max="10229" width="17.42578125" style="365" customWidth="1"/>
    <col min="10230" max="10230" width="0" style="365" hidden="1" customWidth="1"/>
    <col min="10231" max="10231" width="14" style="365" customWidth="1"/>
    <col min="10232" max="10232" width="14.28515625" style="365" bestFit="1" customWidth="1"/>
    <col min="10233" max="10233" width="0" style="365" hidden="1" customWidth="1"/>
    <col min="10234" max="10234" width="15.5703125" style="365" customWidth="1"/>
    <col min="10235" max="10235" width="44.5703125" style="365" customWidth="1"/>
    <col min="10236" max="10236" width="14.28515625" style="365" bestFit="1" customWidth="1"/>
    <col min="10237" max="10237" width="0" style="365" hidden="1" customWidth="1"/>
    <col min="10238" max="10238" width="18.140625" style="365" customWidth="1"/>
    <col min="10239" max="10239" width="0" style="365" hidden="1" customWidth="1"/>
    <col min="10240" max="10240" width="14" style="365" customWidth="1"/>
    <col min="10241" max="10241" width="0" style="365" hidden="1" customWidth="1"/>
    <col min="10242" max="10242" width="20.85546875" style="365" customWidth="1"/>
    <col min="10243" max="10243" width="0" style="365" hidden="1" customWidth="1"/>
    <col min="10244" max="10244" width="13.28515625" style="365" customWidth="1"/>
    <col min="10245" max="10245" width="0" style="365" hidden="1" customWidth="1"/>
    <col min="10246" max="10246" width="15" style="365" customWidth="1"/>
    <col min="10247" max="10247" width="0" style="365" hidden="1" customWidth="1"/>
    <col min="10248" max="10248" width="13.28515625" style="365" customWidth="1"/>
    <col min="10249" max="10249" width="0" style="365" hidden="1" customWidth="1"/>
    <col min="10250" max="10250" width="20.140625" style="365" customWidth="1"/>
    <col min="10251" max="10251" width="14.42578125" style="365" bestFit="1" customWidth="1"/>
    <col min="10252" max="10252" width="14" style="365" bestFit="1" customWidth="1"/>
    <col min="10253" max="10253" width="12.28515625" style="365" bestFit="1" customWidth="1"/>
    <col min="10254" max="10278" width="9.140625" style="365" customWidth="1"/>
    <col min="10279" max="10473" width="8.85546875" style="365"/>
    <col min="10474" max="10474" width="44.5703125" style="365" customWidth="1"/>
    <col min="10475" max="10475" width="14.28515625" style="365" bestFit="1" customWidth="1"/>
    <col min="10476" max="10476" width="1.7109375" style="365" customWidth="1"/>
    <col min="10477" max="10477" width="14.85546875" style="365" customWidth="1"/>
    <col min="10478" max="10478" width="0" style="365" hidden="1" customWidth="1"/>
    <col min="10479" max="10479" width="17.42578125" style="365" customWidth="1"/>
    <col min="10480" max="10480" width="0" style="365" hidden="1" customWidth="1"/>
    <col min="10481" max="10481" width="12.85546875" style="365" customWidth="1"/>
    <col min="10482" max="10482" width="0" style="365" hidden="1" customWidth="1"/>
    <col min="10483" max="10483" width="14.42578125" style="365" customWidth="1"/>
    <col min="10484" max="10484" width="0" style="365" hidden="1" customWidth="1"/>
    <col min="10485" max="10485" width="17.42578125" style="365" customWidth="1"/>
    <col min="10486" max="10486" width="0" style="365" hidden="1" customWidth="1"/>
    <col min="10487" max="10487" width="14" style="365" customWidth="1"/>
    <col min="10488" max="10488" width="14.28515625" style="365" bestFit="1" customWidth="1"/>
    <col min="10489" max="10489" width="0" style="365" hidden="1" customWidth="1"/>
    <col min="10490" max="10490" width="15.5703125" style="365" customWidth="1"/>
    <col min="10491" max="10491" width="44.5703125" style="365" customWidth="1"/>
    <col min="10492" max="10492" width="14.28515625" style="365" bestFit="1" customWidth="1"/>
    <col min="10493" max="10493" width="0" style="365" hidden="1" customWidth="1"/>
    <col min="10494" max="10494" width="18.140625" style="365" customWidth="1"/>
    <col min="10495" max="10495" width="0" style="365" hidden="1" customWidth="1"/>
    <col min="10496" max="10496" width="14" style="365" customWidth="1"/>
    <col min="10497" max="10497" width="0" style="365" hidden="1" customWidth="1"/>
    <col min="10498" max="10498" width="20.85546875" style="365" customWidth="1"/>
    <col min="10499" max="10499" width="0" style="365" hidden="1" customWidth="1"/>
    <col min="10500" max="10500" width="13.28515625" style="365" customWidth="1"/>
    <col min="10501" max="10501" width="0" style="365" hidden="1" customWidth="1"/>
    <col min="10502" max="10502" width="15" style="365" customWidth="1"/>
    <col min="10503" max="10503" width="0" style="365" hidden="1" customWidth="1"/>
    <col min="10504" max="10504" width="13.28515625" style="365" customWidth="1"/>
    <col min="10505" max="10505" width="0" style="365" hidden="1" customWidth="1"/>
    <col min="10506" max="10506" width="20.140625" style="365" customWidth="1"/>
    <col min="10507" max="10507" width="14.42578125" style="365" bestFit="1" customWidth="1"/>
    <col min="10508" max="10508" width="14" style="365" bestFit="1" customWidth="1"/>
    <col min="10509" max="10509" width="12.28515625" style="365" bestFit="1" customWidth="1"/>
    <col min="10510" max="10534" width="9.140625" style="365" customWidth="1"/>
    <col min="10535" max="10729" width="8.85546875" style="365"/>
    <col min="10730" max="10730" width="44.5703125" style="365" customWidth="1"/>
    <col min="10731" max="10731" width="14.28515625" style="365" bestFit="1" customWidth="1"/>
    <col min="10732" max="10732" width="1.7109375" style="365" customWidth="1"/>
    <col min="10733" max="10733" width="14.85546875" style="365" customWidth="1"/>
    <col min="10734" max="10734" width="0" style="365" hidden="1" customWidth="1"/>
    <col min="10735" max="10735" width="17.42578125" style="365" customWidth="1"/>
    <col min="10736" max="10736" width="0" style="365" hidden="1" customWidth="1"/>
    <col min="10737" max="10737" width="12.85546875" style="365" customWidth="1"/>
    <col min="10738" max="10738" width="0" style="365" hidden="1" customWidth="1"/>
    <col min="10739" max="10739" width="14.42578125" style="365" customWidth="1"/>
    <col min="10740" max="10740" width="0" style="365" hidden="1" customWidth="1"/>
    <col min="10741" max="10741" width="17.42578125" style="365" customWidth="1"/>
    <col min="10742" max="10742" width="0" style="365" hidden="1" customWidth="1"/>
    <col min="10743" max="10743" width="14" style="365" customWidth="1"/>
    <col min="10744" max="10744" width="14.28515625" style="365" bestFit="1" customWidth="1"/>
    <col min="10745" max="10745" width="0" style="365" hidden="1" customWidth="1"/>
    <col min="10746" max="10746" width="15.5703125" style="365" customWidth="1"/>
    <col min="10747" max="10747" width="44.5703125" style="365" customWidth="1"/>
    <col min="10748" max="10748" width="14.28515625" style="365" bestFit="1" customWidth="1"/>
    <col min="10749" max="10749" width="0" style="365" hidden="1" customWidth="1"/>
    <col min="10750" max="10750" width="18.140625" style="365" customWidth="1"/>
    <col min="10751" max="10751" width="0" style="365" hidden="1" customWidth="1"/>
    <col min="10752" max="10752" width="14" style="365" customWidth="1"/>
    <col min="10753" max="10753" width="0" style="365" hidden="1" customWidth="1"/>
    <col min="10754" max="10754" width="20.85546875" style="365" customWidth="1"/>
    <col min="10755" max="10755" width="0" style="365" hidden="1" customWidth="1"/>
    <col min="10756" max="10756" width="13.28515625" style="365" customWidth="1"/>
    <col min="10757" max="10757" width="0" style="365" hidden="1" customWidth="1"/>
    <col min="10758" max="10758" width="15" style="365" customWidth="1"/>
    <col min="10759" max="10759" width="0" style="365" hidden="1" customWidth="1"/>
    <col min="10760" max="10760" width="13.28515625" style="365" customWidth="1"/>
    <col min="10761" max="10761" width="0" style="365" hidden="1" customWidth="1"/>
    <col min="10762" max="10762" width="20.140625" style="365" customWidth="1"/>
    <col min="10763" max="10763" width="14.42578125" style="365" bestFit="1" customWidth="1"/>
    <col min="10764" max="10764" width="14" style="365" bestFit="1" customWidth="1"/>
    <col min="10765" max="10765" width="12.28515625" style="365" bestFit="1" customWidth="1"/>
    <col min="10766" max="10790" width="9.140625" style="365" customWidth="1"/>
    <col min="10791" max="10985" width="8.85546875" style="365"/>
    <col min="10986" max="10986" width="44.5703125" style="365" customWidth="1"/>
    <col min="10987" max="10987" width="14.28515625" style="365" bestFit="1" customWidth="1"/>
    <col min="10988" max="10988" width="1.7109375" style="365" customWidth="1"/>
    <col min="10989" max="10989" width="14.85546875" style="365" customWidth="1"/>
    <col min="10990" max="10990" width="0" style="365" hidden="1" customWidth="1"/>
    <col min="10991" max="10991" width="17.42578125" style="365" customWidth="1"/>
    <col min="10992" max="10992" width="0" style="365" hidden="1" customWidth="1"/>
    <col min="10993" max="10993" width="12.85546875" style="365" customWidth="1"/>
    <col min="10994" max="10994" width="0" style="365" hidden="1" customWidth="1"/>
    <col min="10995" max="10995" width="14.42578125" style="365" customWidth="1"/>
    <col min="10996" max="10996" width="0" style="365" hidden="1" customWidth="1"/>
    <col min="10997" max="10997" width="17.42578125" style="365" customWidth="1"/>
    <col min="10998" max="10998" width="0" style="365" hidden="1" customWidth="1"/>
    <col min="10999" max="10999" width="14" style="365" customWidth="1"/>
    <col min="11000" max="11000" width="14.28515625" style="365" bestFit="1" customWidth="1"/>
    <col min="11001" max="11001" width="0" style="365" hidden="1" customWidth="1"/>
    <col min="11002" max="11002" width="15.5703125" style="365" customWidth="1"/>
    <col min="11003" max="11003" width="44.5703125" style="365" customWidth="1"/>
    <col min="11004" max="11004" width="14.28515625" style="365" bestFit="1" customWidth="1"/>
    <col min="11005" max="11005" width="0" style="365" hidden="1" customWidth="1"/>
    <col min="11006" max="11006" width="18.140625" style="365" customWidth="1"/>
    <col min="11007" max="11007" width="0" style="365" hidden="1" customWidth="1"/>
    <col min="11008" max="11008" width="14" style="365" customWidth="1"/>
    <col min="11009" max="11009" width="0" style="365" hidden="1" customWidth="1"/>
    <col min="11010" max="11010" width="20.85546875" style="365" customWidth="1"/>
    <col min="11011" max="11011" width="0" style="365" hidden="1" customWidth="1"/>
    <col min="11012" max="11012" width="13.28515625" style="365" customWidth="1"/>
    <col min="11013" max="11013" width="0" style="365" hidden="1" customWidth="1"/>
    <col min="11014" max="11014" width="15" style="365" customWidth="1"/>
    <col min="11015" max="11015" width="0" style="365" hidden="1" customWidth="1"/>
    <col min="11016" max="11016" width="13.28515625" style="365" customWidth="1"/>
    <col min="11017" max="11017" width="0" style="365" hidden="1" customWidth="1"/>
    <col min="11018" max="11018" width="20.140625" style="365" customWidth="1"/>
    <col min="11019" max="11019" width="14.42578125" style="365" bestFit="1" customWidth="1"/>
    <col min="11020" max="11020" width="14" style="365" bestFit="1" customWidth="1"/>
    <col min="11021" max="11021" width="12.28515625" style="365" bestFit="1" customWidth="1"/>
    <col min="11022" max="11046" width="9.140625" style="365" customWidth="1"/>
    <col min="11047" max="11241" width="8.85546875" style="365"/>
    <col min="11242" max="11242" width="44.5703125" style="365" customWidth="1"/>
    <col min="11243" max="11243" width="14.28515625" style="365" bestFit="1" customWidth="1"/>
    <col min="11244" max="11244" width="1.7109375" style="365" customWidth="1"/>
    <col min="11245" max="11245" width="14.85546875" style="365" customWidth="1"/>
    <col min="11246" max="11246" width="0" style="365" hidden="1" customWidth="1"/>
    <col min="11247" max="11247" width="17.42578125" style="365" customWidth="1"/>
    <col min="11248" max="11248" width="0" style="365" hidden="1" customWidth="1"/>
    <col min="11249" max="11249" width="12.85546875" style="365" customWidth="1"/>
    <col min="11250" max="11250" width="0" style="365" hidden="1" customWidth="1"/>
    <col min="11251" max="11251" width="14.42578125" style="365" customWidth="1"/>
    <col min="11252" max="11252" width="0" style="365" hidden="1" customWidth="1"/>
    <col min="11253" max="11253" width="17.42578125" style="365" customWidth="1"/>
    <col min="11254" max="11254" width="0" style="365" hidden="1" customWidth="1"/>
    <col min="11255" max="11255" width="14" style="365" customWidth="1"/>
    <col min="11256" max="11256" width="14.28515625" style="365" bestFit="1" customWidth="1"/>
    <col min="11257" max="11257" width="0" style="365" hidden="1" customWidth="1"/>
    <col min="11258" max="11258" width="15.5703125" style="365" customWidth="1"/>
    <col min="11259" max="11259" width="44.5703125" style="365" customWidth="1"/>
    <col min="11260" max="11260" width="14.28515625" style="365" bestFit="1" customWidth="1"/>
    <col min="11261" max="11261" width="0" style="365" hidden="1" customWidth="1"/>
    <col min="11262" max="11262" width="18.140625" style="365" customWidth="1"/>
    <col min="11263" max="11263" width="0" style="365" hidden="1" customWidth="1"/>
    <col min="11264" max="11264" width="14" style="365" customWidth="1"/>
    <col min="11265" max="11265" width="0" style="365" hidden="1" customWidth="1"/>
    <col min="11266" max="11266" width="20.85546875" style="365" customWidth="1"/>
    <col min="11267" max="11267" width="0" style="365" hidden="1" customWidth="1"/>
    <col min="11268" max="11268" width="13.28515625" style="365" customWidth="1"/>
    <col min="11269" max="11269" width="0" style="365" hidden="1" customWidth="1"/>
    <col min="11270" max="11270" width="15" style="365" customWidth="1"/>
    <col min="11271" max="11271" width="0" style="365" hidden="1" customWidth="1"/>
    <col min="11272" max="11272" width="13.28515625" style="365" customWidth="1"/>
    <col min="11273" max="11273" width="0" style="365" hidden="1" customWidth="1"/>
    <col min="11274" max="11274" width="20.140625" style="365" customWidth="1"/>
    <col min="11275" max="11275" width="14.42578125" style="365" bestFit="1" customWidth="1"/>
    <col min="11276" max="11276" width="14" style="365" bestFit="1" customWidth="1"/>
    <col min="11277" max="11277" width="12.28515625" style="365" bestFit="1" customWidth="1"/>
    <col min="11278" max="11302" width="9.140625" style="365" customWidth="1"/>
    <col min="11303" max="11497" width="8.85546875" style="365"/>
    <col min="11498" max="11498" width="44.5703125" style="365" customWidth="1"/>
    <col min="11499" max="11499" width="14.28515625" style="365" bestFit="1" customWidth="1"/>
    <col min="11500" max="11500" width="1.7109375" style="365" customWidth="1"/>
    <col min="11501" max="11501" width="14.85546875" style="365" customWidth="1"/>
    <col min="11502" max="11502" width="0" style="365" hidden="1" customWidth="1"/>
    <col min="11503" max="11503" width="17.42578125" style="365" customWidth="1"/>
    <col min="11504" max="11504" width="0" style="365" hidden="1" customWidth="1"/>
    <col min="11505" max="11505" width="12.85546875" style="365" customWidth="1"/>
    <col min="11506" max="11506" width="0" style="365" hidden="1" customWidth="1"/>
    <col min="11507" max="11507" width="14.42578125" style="365" customWidth="1"/>
    <col min="11508" max="11508" width="0" style="365" hidden="1" customWidth="1"/>
    <col min="11509" max="11509" width="17.42578125" style="365" customWidth="1"/>
    <col min="11510" max="11510" width="0" style="365" hidden="1" customWidth="1"/>
    <col min="11511" max="11511" width="14" style="365" customWidth="1"/>
    <col min="11512" max="11512" width="14.28515625" style="365" bestFit="1" customWidth="1"/>
    <col min="11513" max="11513" width="0" style="365" hidden="1" customWidth="1"/>
    <col min="11514" max="11514" width="15.5703125" style="365" customWidth="1"/>
    <col min="11515" max="11515" width="44.5703125" style="365" customWidth="1"/>
    <col min="11516" max="11516" width="14.28515625" style="365" bestFit="1" customWidth="1"/>
    <col min="11517" max="11517" width="0" style="365" hidden="1" customWidth="1"/>
    <col min="11518" max="11518" width="18.140625" style="365" customWidth="1"/>
    <col min="11519" max="11519" width="0" style="365" hidden="1" customWidth="1"/>
    <col min="11520" max="11520" width="14" style="365" customWidth="1"/>
    <col min="11521" max="11521" width="0" style="365" hidden="1" customWidth="1"/>
    <col min="11522" max="11522" width="20.85546875" style="365" customWidth="1"/>
    <col min="11523" max="11523" width="0" style="365" hidden="1" customWidth="1"/>
    <col min="11524" max="11524" width="13.28515625" style="365" customWidth="1"/>
    <col min="11525" max="11525" width="0" style="365" hidden="1" customWidth="1"/>
    <col min="11526" max="11526" width="15" style="365" customWidth="1"/>
    <col min="11527" max="11527" width="0" style="365" hidden="1" customWidth="1"/>
    <col min="11528" max="11528" width="13.28515625" style="365" customWidth="1"/>
    <col min="11529" max="11529" width="0" style="365" hidden="1" customWidth="1"/>
    <col min="11530" max="11530" width="20.140625" style="365" customWidth="1"/>
    <col min="11531" max="11531" width="14.42578125" style="365" bestFit="1" customWidth="1"/>
    <col min="11532" max="11532" width="14" style="365" bestFit="1" customWidth="1"/>
    <col min="11533" max="11533" width="12.28515625" style="365" bestFit="1" customWidth="1"/>
    <col min="11534" max="11558" width="9.140625" style="365" customWidth="1"/>
    <col min="11559" max="11753" width="8.85546875" style="365"/>
    <col min="11754" max="11754" width="44.5703125" style="365" customWidth="1"/>
    <col min="11755" max="11755" width="14.28515625" style="365" bestFit="1" customWidth="1"/>
    <col min="11756" max="11756" width="1.7109375" style="365" customWidth="1"/>
    <col min="11757" max="11757" width="14.85546875" style="365" customWidth="1"/>
    <col min="11758" max="11758" width="0" style="365" hidden="1" customWidth="1"/>
    <col min="11759" max="11759" width="17.42578125" style="365" customWidth="1"/>
    <col min="11760" max="11760" width="0" style="365" hidden="1" customWidth="1"/>
    <col min="11761" max="11761" width="12.85546875" style="365" customWidth="1"/>
    <col min="11762" max="11762" width="0" style="365" hidden="1" customWidth="1"/>
    <col min="11763" max="11763" width="14.42578125" style="365" customWidth="1"/>
    <col min="11764" max="11764" width="0" style="365" hidden="1" customWidth="1"/>
    <col min="11765" max="11765" width="17.42578125" style="365" customWidth="1"/>
    <col min="11766" max="11766" width="0" style="365" hidden="1" customWidth="1"/>
    <col min="11767" max="11767" width="14" style="365" customWidth="1"/>
    <col min="11768" max="11768" width="14.28515625" style="365" bestFit="1" customWidth="1"/>
    <col min="11769" max="11769" width="0" style="365" hidden="1" customWidth="1"/>
    <col min="11770" max="11770" width="15.5703125" style="365" customWidth="1"/>
    <col min="11771" max="11771" width="44.5703125" style="365" customWidth="1"/>
    <col min="11772" max="11772" width="14.28515625" style="365" bestFit="1" customWidth="1"/>
    <col min="11773" max="11773" width="0" style="365" hidden="1" customWidth="1"/>
    <col min="11774" max="11774" width="18.140625" style="365" customWidth="1"/>
    <col min="11775" max="11775" width="0" style="365" hidden="1" customWidth="1"/>
    <col min="11776" max="11776" width="14" style="365" customWidth="1"/>
    <col min="11777" max="11777" width="0" style="365" hidden="1" customWidth="1"/>
    <col min="11778" max="11778" width="20.85546875" style="365" customWidth="1"/>
    <col min="11779" max="11779" width="0" style="365" hidden="1" customWidth="1"/>
    <col min="11780" max="11780" width="13.28515625" style="365" customWidth="1"/>
    <col min="11781" max="11781" width="0" style="365" hidden="1" customWidth="1"/>
    <col min="11782" max="11782" width="15" style="365" customWidth="1"/>
    <col min="11783" max="11783" width="0" style="365" hidden="1" customWidth="1"/>
    <col min="11784" max="11784" width="13.28515625" style="365" customWidth="1"/>
    <col min="11785" max="11785" width="0" style="365" hidden="1" customWidth="1"/>
    <col min="11786" max="11786" width="20.140625" style="365" customWidth="1"/>
    <col min="11787" max="11787" width="14.42578125" style="365" bestFit="1" customWidth="1"/>
    <col min="11788" max="11788" width="14" style="365" bestFit="1" customWidth="1"/>
    <col min="11789" max="11789" width="12.28515625" style="365" bestFit="1" customWidth="1"/>
    <col min="11790" max="11814" width="9.140625" style="365" customWidth="1"/>
    <col min="11815" max="12009" width="8.85546875" style="365"/>
    <col min="12010" max="12010" width="44.5703125" style="365" customWidth="1"/>
    <col min="12011" max="12011" width="14.28515625" style="365" bestFit="1" customWidth="1"/>
    <col min="12012" max="12012" width="1.7109375" style="365" customWidth="1"/>
    <col min="12013" max="12013" width="14.85546875" style="365" customWidth="1"/>
    <col min="12014" max="12014" width="0" style="365" hidden="1" customWidth="1"/>
    <col min="12015" max="12015" width="17.42578125" style="365" customWidth="1"/>
    <col min="12016" max="12016" width="0" style="365" hidden="1" customWidth="1"/>
    <col min="12017" max="12017" width="12.85546875" style="365" customWidth="1"/>
    <col min="12018" max="12018" width="0" style="365" hidden="1" customWidth="1"/>
    <col min="12019" max="12019" width="14.42578125" style="365" customWidth="1"/>
    <col min="12020" max="12020" width="0" style="365" hidden="1" customWidth="1"/>
    <col min="12021" max="12021" width="17.42578125" style="365" customWidth="1"/>
    <col min="12022" max="12022" width="0" style="365" hidden="1" customWidth="1"/>
    <col min="12023" max="12023" width="14" style="365" customWidth="1"/>
    <col min="12024" max="12024" width="14.28515625" style="365" bestFit="1" customWidth="1"/>
    <col min="12025" max="12025" width="0" style="365" hidden="1" customWidth="1"/>
    <col min="12026" max="12026" width="15.5703125" style="365" customWidth="1"/>
    <col min="12027" max="12027" width="44.5703125" style="365" customWidth="1"/>
    <col min="12028" max="12028" width="14.28515625" style="365" bestFit="1" customWidth="1"/>
    <col min="12029" max="12029" width="0" style="365" hidden="1" customWidth="1"/>
    <col min="12030" max="12030" width="18.140625" style="365" customWidth="1"/>
    <col min="12031" max="12031" width="0" style="365" hidden="1" customWidth="1"/>
    <col min="12032" max="12032" width="14" style="365" customWidth="1"/>
    <col min="12033" max="12033" width="0" style="365" hidden="1" customWidth="1"/>
    <col min="12034" max="12034" width="20.85546875" style="365" customWidth="1"/>
    <col min="12035" max="12035" width="0" style="365" hidden="1" customWidth="1"/>
    <col min="12036" max="12036" width="13.28515625" style="365" customWidth="1"/>
    <col min="12037" max="12037" width="0" style="365" hidden="1" customWidth="1"/>
    <col min="12038" max="12038" width="15" style="365" customWidth="1"/>
    <col min="12039" max="12039" width="0" style="365" hidden="1" customWidth="1"/>
    <col min="12040" max="12040" width="13.28515625" style="365" customWidth="1"/>
    <col min="12041" max="12041" width="0" style="365" hidden="1" customWidth="1"/>
    <col min="12042" max="12042" width="20.140625" style="365" customWidth="1"/>
    <col min="12043" max="12043" width="14.42578125" style="365" bestFit="1" customWidth="1"/>
    <col min="12044" max="12044" width="14" style="365" bestFit="1" customWidth="1"/>
    <col min="12045" max="12045" width="12.28515625" style="365" bestFit="1" customWidth="1"/>
    <col min="12046" max="12070" width="9.140625" style="365" customWidth="1"/>
    <col min="12071" max="12265" width="8.85546875" style="365"/>
    <col min="12266" max="12266" width="44.5703125" style="365" customWidth="1"/>
    <col min="12267" max="12267" width="14.28515625" style="365" bestFit="1" customWidth="1"/>
    <col min="12268" max="12268" width="1.7109375" style="365" customWidth="1"/>
    <col min="12269" max="12269" width="14.85546875" style="365" customWidth="1"/>
    <col min="12270" max="12270" width="0" style="365" hidden="1" customWidth="1"/>
    <col min="12271" max="12271" width="17.42578125" style="365" customWidth="1"/>
    <col min="12272" max="12272" width="0" style="365" hidden="1" customWidth="1"/>
    <col min="12273" max="12273" width="12.85546875" style="365" customWidth="1"/>
    <col min="12274" max="12274" width="0" style="365" hidden="1" customWidth="1"/>
    <col min="12275" max="12275" width="14.42578125" style="365" customWidth="1"/>
    <col min="12276" max="12276" width="0" style="365" hidden="1" customWidth="1"/>
    <col min="12277" max="12277" width="17.42578125" style="365" customWidth="1"/>
    <col min="12278" max="12278" width="0" style="365" hidden="1" customWidth="1"/>
    <col min="12279" max="12279" width="14" style="365" customWidth="1"/>
    <col min="12280" max="12280" width="14.28515625" style="365" bestFit="1" customWidth="1"/>
    <col min="12281" max="12281" width="0" style="365" hidden="1" customWidth="1"/>
    <col min="12282" max="12282" width="15.5703125" style="365" customWidth="1"/>
    <col min="12283" max="12283" width="44.5703125" style="365" customWidth="1"/>
    <col min="12284" max="12284" width="14.28515625" style="365" bestFit="1" customWidth="1"/>
    <col min="12285" max="12285" width="0" style="365" hidden="1" customWidth="1"/>
    <col min="12286" max="12286" width="18.140625" style="365" customWidth="1"/>
    <col min="12287" max="12287" width="0" style="365" hidden="1" customWidth="1"/>
    <col min="12288" max="12288" width="14" style="365" customWidth="1"/>
    <col min="12289" max="12289" width="0" style="365" hidden="1" customWidth="1"/>
    <col min="12290" max="12290" width="20.85546875" style="365" customWidth="1"/>
    <col min="12291" max="12291" width="0" style="365" hidden="1" customWidth="1"/>
    <col min="12292" max="12292" width="13.28515625" style="365" customWidth="1"/>
    <col min="12293" max="12293" width="0" style="365" hidden="1" customWidth="1"/>
    <col min="12294" max="12294" width="15" style="365" customWidth="1"/>
    <col min="12295" max="12295" width="0" style="365" hidden="1" customWidth="1"/>
    <col min="12296" max="12296" width="13.28515625" style="365" customWidth="1"/>
    <col min="12297" max="12297" width="0" style="365" hidden="1" customWidth="1"/>
    <col min="12298" max="12298" width="20.140625" style="365" customWidth="1"/>
    <col min="12299" max="12299" width="14.42578125" style="365" bestFit="1" customWidth="1"/>
    <col min="12300" max="12300" width="14" style="365" bestFit="1" customWidth="1"/>
    <col min="12301" max="12301" width="12.28515625" style="365" bestFit="1" customWidth="1"/>
    <col min="12302" max="12326" width="9.140625" style="365" customWidth="1"/>
    <col min="12327" max="12521" width="8.85546875" style="365"/>
    <col min="12522" max="12522" width="44.5703125" style="365" customWidth="1"/>
    <col min="12523" max="12523" width="14.28515625" style="365" bestFit="1" customWidth="1"/>
    <col min="12524" max="12524" width="1.7109375" style="365" customWidth="1"/>
    <col min="12525" max="12525" width="14.85546875" style="365" customWidth="1"/>
    <col min="12526" max="12526" width="0" style="365" hidden="1" customWidth="1"/>
    <col min="12527" max="12527" width="17.42578125" style="365" customWidth="1"/>
    <col min="12528" max="12528" width="0" style="365" hidden="1" customWidth="1"/>
    <col min="12529" max="12529" width="12.85546875" style="365" customWidth="1"/>
    <col min="12530" max="12530" width="0" style="365" hidden="1" customWidth="1"/>
    <col min="12531" max="12531" width="14.42578125" style="365" customWidth="1"/>
    <col min="12532" max="12532" width="0" style="365" hidden="1" customWidth="1"/>
    <col min="12533" max="12533" width="17.42578125" style="365" customWidth="1"/>
    <col min="12534" max="12534" width="0" style="365" hidden="1" customWidth="1"/>
    <col min="12535" max="12535" width="14" style="365" customWidth="1"/>
    <col min="12536" max="12536" width="14.28515625" style="365" bestFit="1" customWidth="1"/>
    <col min="12537" max="12537" width="0" style="365" hidden="1" customWidth="1"/>
    <col min="12538" max="12538" width="15.5703125" style="365" customWidth="1"/>
    <col min="12539" max="12539" width="44.5703125" style="365" customWidth="1"/>
    <col min="12540" max="12540" width="14.28515625" style="365" bestFit="1" customWidth="1"/>
    <col min="12541" max="12541" width="0" style="365" hidden="1" customWidth="1"/>
    <col min="12542" max="12542" width="18.140625" style="365" customWidth="1"/>
    <col min="12543" max="12543" width="0" style="365" hidden="1" customWidth="1"/>
    <col min="12544" max="12544" width="14" style="365" customWidth="1"/>
    <col min="12545" max="12545" width="0" style="365" hidden="1" customWidth="1"/>
    <col min="12546" max="12546" width="20.85546875" style="365" customWidth="1"/>
    <col min="12547" max="12547" width="0" style="365" hidden="1" customWidth="1"/>
    <col min="12548" max="12548" width="13.28515625" style="365" customWidth="1"/>
    <col min="12549" max="12549" width="0" style="365" hidden="1" customWidth="1"/>
    <col min="12550" max="12550" width="15" style="365" customWidth="1"/>
    <col min="12551" max="12551" width="0" style="365" hidden="1" customWidth="1"/>
    <col min="12552" max="12552" width="13.28515625" style="365" customWidth="1"/>
    <col min="12553" max="12553" width="0" style="365" hidden="1" customWidth="1"/>
    <col min="12554" max="12554" width="20.140625" style="365" customWidth="1"/>
    <col min="12555" max="12555" width="14.42578125" style="365" bestFit="1" customWidth="1"/>
    <col min="12556" max="12556" width="14" style="365" bestFit="1" customWidth="1"/>
    <col min="12557" max="12557" width="12.28515625" style="365" bestFit="1" customWidth="1"/>
    <col min="12558" max="12582" width="9.140625" style="365" customWidth="1"/>
    <col min="12583" max="12777" width="8.85546875" style="365"/>
    <col min="12778" max="12778" width="44.5703125" style="365" customWidth="1"/>
    <col min="12779" max="12779" width="14.28515625" style="365" bestFit="1" customWidth="1"/>
    <col min="12780" max="12780" width="1.7109375" style="365" customWidth="1"/>
    <col min="12781" max="12781" width="14.85546875" style="365" customWidth="1"/>
    <col min="12782" max="12782" width="0" style="365" hidden="1" customWidth="1"/>
    <col min="12783" max="12783" width="17.42578125" style="365" customWidth="1"/>
    <col min="12784" max="12784" width="0" style="365" hidden="1" customWidth="1"/>
    <col min="12785" max="12785" width="12.85546875" style="365" customWidth="1"/>
    <col min="12786" max="12786" width="0" style="365" hidden="1" customWidth="1"/>
    <col min="12787" max="12787" width="14.42578125" style="365" customWidth="1"/>
    <col min="12788" max="12788" width="0" style="365" hidden="1" customWidth="1"/>
    <col min="12789" max="12789" width="17.42578125" style="365" customWidth="1"/>
    <col min="12790" max="12790" width="0" style="365" hidden="1" customWidth="1"/>
    <col min="12791" max="12791" width="14" style="365" customWidth="1"/>
    <col min="12792" max="12792" width="14.28515625" style="365" bestFit="1" customWidth="1"/>
    <col min="12793" max="12793" width="0" style="365" hidden="1" customWidth="1"/>
    <col min="12794" max="12794" width="15.5703125" style="365" customWidth="1"/>
    <col min="12795" max="12795" width="44.5703125" style="365" customWidth="1"/>
    <col min="12796" max="12796" width="14.28515625" style="365" bestFit="1" customWidth="1"/>
    <col min="12797" max="12797" width="0" style="365" hidden="1" customWidth="1"/>
    <col min="12798" max="12798" width="18.140625" style="365" customWidth="1"/>
    <col min="12799" max="12799" width="0" style="365" hidden="1" customWidth="1"/>
    <col min="12800" max="12800" width="14" style="365" customWidth="1"/>
    <col min="12801" max="12801" width="0" style="365" hidden="1" customWidth="1"/>
    <col min="12802" max="12802" width="20.85546875" style="365" customWidth="1"/>
    <col min="12803" max="12803" width="0" style="365" hidden="1" customWidth="1"/>
    <col min="12804" max="12804" width="13.28515625" style="365" customWidth="1"/>
    <col min="12805" max="12805" width="0" style="365" hidden="1" customWidth="1"/>
    <col min="12806" max="12806" width="15" style="365" customWidth="1"/>
    <col min="12807" max="12807" width="0" style="365" hidden="1" customWidth="1"/>
    <col min="12808" max="12808" width="13.28515625" style="365" customWidth="1"/>
    <col min="12809" max="12809" width="0" style="365" hidden="1" customWidth="1"/>
    <col min="12810" max="12810" width="20.140625" style="365" customWidth="1"/>
    <col min="12811" max="12811" width="14.42578125" style="365" bestFit="1" customWidth="1"/>
    <col min="12812" max="12812" width="14" style="365" bestFit="1" customWidth="1"/>
    <col min="12813" max="12813" width="12.28515625" style="365" bestFit="1" customWidth="1"/>
    <col min="12814" max="12838" width="9.140625" style="365" customWidth="1"/>
    <col min="12839" max="13033" width="8.85546875" style="365"/>
    <col min="13034" max="13034" width="44.5703125" style="365" customWidth="1"/>
    <col min="13035" max="13035" width="14.28515625" style="365" bestFit="1" customWidth="1"/>
    <col min="13036" max="13036" width="1.7109375" style="365" customWidth="1"/>
    <col min="13037" max="13037" width="14.85546875" style="365" customWidth="1"/>
    <col min="13038" max="13038" width="0" style="365" hidden="1" customWidth="1"/>
    <col min="13039" max="13039" width="17.42578125" style="365" customWidth="1"/>
    <col min="13040" max="13040" width="0" style="365" hidden="1" customWidth="1"/>
    <col min="13041" max="13041" width="12.85546875" style="365" customWidth="1"/>
    <col min="13042" max="13042" width="0" style="365" hidden="1" customWidth="1"/>
    <col min="13043" max="13043" width="14.42578125" style="365" customWidth="1"/>
    <col min="13044" max="13044" width="0" style="365" hidden="1" customWidth="1"/>
    <col min="13045" max="13045" width="17.42578125" style="365" customWidth="1"/>
    <col min="13046" max="13046" width="0" style="365" hidden="1" customWidth="1"/>
    <col min="13047" max="13047" width="14" style="365" customWidth="1"/>
    <col min="13048" max="13048" width="14.28515625" style="365" bestFit="1" customWidth="1"/>
    <col min="13049" max="13049" width="0" style="365" hidden="1" customWidth="1"/>
    <col min="13050" max="13050" width="15.5703125" style="365" customWidth="1"/>
    <col min="13051" max="13051" width="44.5703125" style="365" customWidth="1"/>
    <col min="13052" max="13052" width="14.28515625" style="365" bestFit="1" customWidth="1"/>
    <col min="13053" max="13053" width="0" style="365" hidden="1" customWidth="1"/>
    <col min="13054" max="13054" width="18.140625" style="365" customWidth="1"/>
    <col min="13055" max="13055" width="0" style="365" hidden="1" customWidth="1"/>
    <col min="13056" max="13056" width="14" style="365" customWidth="1"/>
    <col min="13057" max="13057" width="0" style="365" hidden="1" customWidth="1"/>
    <col min="13058" max="13058" width="20.85546875" style="365" customWidth="1"/>
    <col min="13059" max="13059" width="0" style="365" hidden="1" customWidth="1"/>
    <col min="13060" max="13060" width="13.28515625" style="365" customWidth="1"/>
    <col min="13061" max="13061" width="0" style="365" hidden="1" customWidth="1"/>
    <col min="13062" max="13062" width="15" style="365" customWidth="1"/>
    <col min="13063" max="13063" width="0" style="365" hidden="1" customWidth="1"/>
    <col min="13064" max="13064" width="13.28515625" style="365" customWidth="1"/>
    <col min="13065" max="13065" width="0" style="365" hidden="1" customWidth="1"/>
    <col min="13066" max="13066" width="20.140625" style="365" customWidth="1"/>
    <col min="13067" max="13067" width="14.42578125" style="365" bestFit="1" customWidth="1"/>
    <col min="13068" max="13068" width="14" style="365" bestFit="1" customWidth="1"/>
    <col min="13069" max="13069" width="12.28515625" style="365" bestFit="1" customWidth="1"/>
    <col min="13070" max="13094" width="9.140625" style="365" customWidth="1"/>
    <col min="13095" max="13289" width="8.85546875" style="365"/>
    <col min="13290" max="13290" width="44.5703125" style="365" customWidth="1"/>
    <col min="13291" max="13291" width="14.28515625" style="365" bestFit="1" customWidth="1"/>
    <col min="13292" max="13292" width="1.7109375" style="365" customWidth="1"/>
    <col min="13293" max="13293" width="14.85546875" style="365" customWidth="1"/>
    <col min="13294" max="13294" width="0" style="365" hidden="1" customWidth="1"/>
    <col min="13295" max="13295" width="17.42578125" style="365" customWidth="1"/>
    <col min="13296" max="13296" width="0" style="365" hidden="1" customWidth="1"/>
    <col min="13297" max="13297" width="12.85546875" style="365" customWidth="1"/>
    <col min="13298" max="13298" width="0" style="365" hidden="1" customWidth="1"/>
    <col min="13299" max="13299" width="14.42578125" style="365" customWidth="1"/>
    <col min="13300" max="13300" width="0" style="365" hidden="1" customWidth="1"/>
    <col min="13301" max="13301" width="17.42578125" style="365" customWidth="1"/>
    <col min="13302" max="13302" width="0" style="365" hidden="1" customWidth="1"/>
    <col min="13303" max="13303" width="14" style="365" customWidth="1"/>
    <col min="13304" max="13304" width="14.28515625" style="365" bestFit="1" customWidth="1"/>
    <col min="13305" max="13305" width="0" style="365" hidden="1" customWidth="1"/>
    <col min="13306" max="13306" width="15.5703125" style="365" customWidth="1"/>
    <col min="13307" max="13307" width="44.5703125" style="365" customWidth="1"/>
    <col min="13308" max="13308" width="14.28515625" style="365" bestFit="1" customWidth="1"/>
    <col min="13309" max="13309" width="0" style="365" hidden="1" customWidth="1"/>
    <col min="13310" max="13310" width="18.140625" style="365" customWidth="1"/>
    <col min="13311" max="13311" width="0" style="365" hidden="1" customWidth="1"/>
    <col min="13312" max="13312" width="14" style="365" customWidth="1"/>
    <col min="13313" max="13313" width="0" style="365" hidden="1" customWidth="1"/>
    <col min="13314" max="13314" width="20.85546875" style="365" customWidth="1"/>
    <col min="13315" max="13315" width="0" style="365" hidden="1" customWidth="1"/>
    <col min="13316" max="13316" width="13.28515625" style="365" customWidth="1"/>
    <col min="13317" max="13317" width="0" style="365" hidden="1" customWidth="1"/>
    <col min="13318" max="13318" width="15" style="365" customWidth="1"/>
    <col min="13319" max="13319" width="0" style="365" hidden="1" customWidth="1"/>
    <col min="13320" max="13320" width="13.28515625" style="365" customWidth="1"/>
    <col min="13321" max="13321" width="0" style="365" hidden="1" customWidth="1"/>
    <col min="13322" max="13322" width="20.140625" style="365" customWidth="1"/>
    <col min="13323" max="13323" width="14.42578125" style="365" bestFit="1" customWidth="1"/>
    <col min="13324" max="13324" width="14" style="365" bestFit="1" customWidth="1"/>
    <col min="13325" max="13325" width="12.28515625" style="365" bestFit="1" customWidth="1"/>
    <col min="13326" max="13350" width="9.140625" style="365" customWidth="1"/>
    <col min="13351" max="13545" width="8.85546875" style="365"/>
    <col min="13546" max="13546" width="44.5703125" style="365" customWidth="1"/>
    <col min="13547" max="13547" width="14.28515625" style="365" bestFit="1" customWidth="1"/>
    <col min="13548" max="13548" width="1.7109375" style="365" customWidth="1"/>
    <col min="13549" max="13549" width="14.85546875" style="365" customWidth="1"/>
    <col min="13550" max="13550" width="0" style="365" hidden="1" customWidth="1"/>
    <col min="13551" max="13551" width="17.42578125" style="365" customWidth="1"/>
    <col min="13552" max="13552" width="0" style="365" hidden="1" customWidth="1"/>
    <col min="13553" max="13553" width="12.85546875" style="365" customWidth="1"/>
    <col min="13554" max="13554" width="0" style="365" hidden="1" customWidth="1"/>
    <col min="13555" max="13555" width="14.42578125" style="365" customWidth="1"/>
    <col min="13556" max="13556" width="0" style="365" hidden="1" customWidth="1"/>
    <col min="13557" max="13557" width="17.42578125" style="365" customWidth="1"/>
    <col min="13558" max="13558" width="0" style="365" hidden="1" customWidth="1"/>
    <col min="13559" max="13559" width="14" style="365" customWidth="1"/>
    <col min="13560" max="13560" width="14.28515625" style="365" bestFit="1" customWidth="1"/>
    <col min="13561" max="13561" width="0" style="365" hidden="1" customWidth="1"/>
    <col min="13562" max="13562" width="15.5703125" style="365" customWidth="1"/>
    <col min="13563" max="13563" width="44.5703125" style="365" customWidth="1"/>
    <col min="13564" max="13564" width="14.28515625" style="365" bestFit="1" customWidth="1"/>
    <col min="13565" max="13565" width="0" style="365" hidden="1" customWidth="1"/>
    <col min="13566" max="13566" width="18.140625" style="365" customWidth="1"/>
    <col min="13567" max="13567" width="0" style="365" hidden="1" customWidth="1"/>
    <col min="13568" max="13568" width="14" style="365" customWidth="1"/>
    <col min="13569" max="13569" width="0" style="365" hidden="1" customWidth="1"/>
    <col min="13570" max="13570" width="20.85546875" style="365" customWidth="1"/>
    <col min="13571" max="13571" width="0" style="365" hidden="1" customWidth="1"/>
    <col min="13572" max="13572" width="13.28515625" style="365" customWidth="1"/>
    <col min="13573" max="13573" width="0" style="365" hidden="1" customWidth="1"/>
    <col min="13574" max="13574" width="15" style="365" customWidth="1"/>
    <col min="13575" max="13575" width="0" style="365" hidden="1" customWidth="1"/>
    <col min="13576" max="13576" width="13.28515625" style="365" customWidth="1"/>
    <col min="13577" max="13577" width="0" style="365" hidden="1" customWidth="1"/>
    <col min="13578" max="13578" width="20.140625" style="365" customWidth="1"/>
    <col min="13579" max="13579" width="14.42578125" style="365" bestFit="1" customWidth="1"/>
    <col min="13580" max="13580" width="14" style="365" bestFit="1" customWidth="1"/>
    <col min="13581" max="13581" width="12.28515625" style="365" bestFit="1" customWidth="1"/>
    <col min="13582" max="13606" width="9.140625" style="365" customWidth="1"/>
    <col min="13607" max="13801" width="8.85546875" style="365"/>
    <col min="13802" max="13802" width="44.5703125" style="365" customWidth="1"/>
    <col min="13803" max="13803" width="14.28515625" style="365" bestFit="1" customWidth="1"/>
    <col min="13804" max="13804" width="1.7109375" style="365" customWidth="1"/>
    <col min="13805" max="13805" width="14.85546875" style="365" customWidth="1"/>
    <col min="13806" max="13806" width="0" style="365" hidden="1" customWidth="1"/>
    <col min="13807" max="13807" width="17.42578125" style="365" customWidth="1"/>
    <col min="13808" max="13808" width="0" style="365" hidden="1" customWidth="1"/>
    <col min="13809" max="13809" width="12.85546875" style="365" customWidth="1"/>
    <col min="13810" max="13810" width="0" style="365" hidden="1" customWidth="1"/>
    <col min="13811" max="13811" width="14.42578125" style="365" customWidth="1"/>
    <col min="13812" max="13812" width="0" style="365" hidden="1" customWidth="1"/>
    <col min="13813" max="13813" width="17.42578125" style="365" customWidth="1"/>
    <col min="13814" max="13814" width="0" style="365" hidden="1" customWidth="1"/>
    <col min="13815" max="13815" width="14" style="365" customWidth="1"/>
    <col min="13816" max="13816" width="14.28515625" style="365" bestFit="1" customWidth="1"/>
    <col min="13817" max="13817" width="0" style="365" hidden="1" customWidth="1"/>
    <col min="13818" max="13818" width="15.5703125" style="365" customWidth="1"/>
    <col min="13819" max="13819" width="44.5703125" style="365" customWidth="1"/>
    <col min="13820" max="13820" width="14.28515625" style="365" bestFit="1" customWidth="1"/>
    <col min="13821" max="13821" width="0" style="365" hidden="1" customWidth="1"/>
    <col min="13822" max="13822" width="18.140625" style="365" customWidth="1"/>
    <col min="13823" max="13823" width="0" style="365" hidden="1" customWidth="1"/>
    <col min="13824" max="13824" width="14" style="365" customWidth="1"/>
    <col min="13825" max="13825" width="0" style="365" hidden="1" customWidth="1"/>
    <col min="13826" max="13826" width="20.85546875" style="365" customWidth="1"/>
    <col min="13827" max="13827" width="0" style="365" hidden="1" customWidth="1"/>
    <col min="13828" max="13828" width="13.28515625" style="365" customWidth="1"/>
    <col min="13829" max="13829" width="0" style="365" hidden="1" customWidth="1"/>
    <col min="13830" max="13830" width="15" style="365" customWidth="1"/>
    <col min="13831" max="13831" width="0" style="365" hidden="1" customWidth="1"/>
    <col min="13832" max="13832" width="13.28515625" style="365" customWidth="1"/>
    <col min="13833" max="13833" width="0" style="365" hidden="1" customWidth="1"/>
    <col min="13834" max="13834" width="20.140625" style="365" customWidth="1"/>
    <col min="13835" max="13835" width="14.42578125" style="365" bestFit="1" customWidth="1"/>
    <col min="13836" max="13836" width="14" style="365" bestFit="1" customWidth="1"/>
    <col min="13837" max="13837" width="12.28515625" style="365" bestFit="1" customWidth="1"/>
    <col min="13838" max="13862" width="9.140625" style="365" customWidth="1"/>
    <col min="13863" max="14057" width="8.85546875" style="365"/>
    <col min="14058" max="14058" width="44.5703125" style="365" customWidth="1"/>
    <col min="14059" max="14059" width="14.28515625" style="365" bestFit="1" customWidth="1"/>
    <col min="14060" max="14060" width="1.7109375" style="365" customWidth="1"/>
    <col min="14061" max="14061" width="14.85546875" style="365" customWidth="1"/>
    <col min="14062" max="14062" width="0" style="365" hidden="1" customWidth="1"/>
    <col min="14063" max="14063" width="17.42578125" style="365" customWidth="1"/>
    <col min="14064" max="14064" width="0" style="365" hidden="1" customWidth="1"/>
    <col min="14065" max="14065" width="12.85546875" style="365" customWidth="1"/>
    <col min="14066" max="14066" width="0" style="365" hidden="1" customWidth="1"/>
    <col min="14067" max="14067" width="14.42578125" style="365" customWidth="1"/>
    <col min="14068" max="14068" width="0" style="365" hidden="1" customWidth="1"/>
    <col min="14069" max="14069" width="17.42578125" style="365" customWidth="1"/>
    <col min="14070" max="14070" width="0" style="365" hidden="1" customWidth="1"/>
    <col min="14071" max="14071" width="14" style="365" customWidth="1"/>
    <col min="14072" max="14072" width="14.28515625" style="365" bestFit="1" customWidth="1"/>
    <col min="14073" max="14073" width="0" style="365" hidden="1" customWidth="1"/>
    <col min="14074" max="14074" width="15.5703125" style="365" customWidth="1"/>
    <col min="14075" max="14075" width="44.5703125" style="365" customWidth="1"/>
    <col min="14076" max="14076" width="14.28515625" style="365" bestFit="1" customWidth="1"/>
    <col min="14077" max="14077" width="0" style="365" hidden="1" customWidth="1"/>
    <col min="14078" max="14078" width="18.140625" style="365" customWidth="1"/>
    <col min="14079" max="14079" width="0" style="365" hidden="1" customWidth="1"/>
    <col min="14080" max="14080" width="14" style="365" customWidth="1"/>
    <col min="14081" max="14081" width="0" style="365" hidden="1" customWidth="1"/>
    <col min="14082" max="14082" width="20.85546875" style="365" customWidth="1"/>
    <col min="14083" max="14083" width="0" style="365" hidden="1" customWidth="1"/>
    <col min="14084" max="14084" width="13.28515625" style="365" customWidth="1"/>
    <col min="14085" max="14085" width="0" style="365" hidden="1" customWidth="1"/>
    <col min="14086" max="14086" width="15" style="365" customWidth="1"/>
    <col min="14087" max="14087" width="0" style="365" hidden="1" customWidth="1"/>
    <col min="14088" max="14088" width="13.28515625" style="365" customWidth="1"/>
    <col min="14089" max="14089" width="0" style="365" hidden="1" customWidth="1"/>
    <col min="14090" max="14090" width="20.140625" style="365" customWidth="1"/>
    <col min="14091" max="14091" width="14.42578125" style="365" bestFit="1" customWidth="1"/>
    <col min="14092" max="14092" width="14" style="365" bestFit="1" customWidth="1"/>
    <col min="14093" max="14093" width="12.28515625" style="365" bestFit="1" customWidth="1"/>
    <col min="14094" max="14118" width="9.140625" style="365" customWidth="1"/>
    <col min="14119" max="14313" width="8.85546875" style="365"/>
    <col min="14314" max="14314" width="44.5703125" style="365" customWidth="1"/>
    <col min="14315" max="14315" width="14.28515625" style="365" bestFit="1" customWidth="1"/>
    <col min="14316" max="14316" width="1.7109375" style="365" customWidth="1"/>
    <col min="14317" max="14317" width="14.85546875" style="365" customWidth="1"/>
    <col min="14318" max="14318" width="0" style="365" hidden="1" customWidth="1"/>
    <col min="14319" max="14319" width="17.42578125" style="365" customWidth="1"/>
    <col min="14320" max="14320" width="0" style="365" hidden="1" customWidth="1"/>
    <col min="14321" max="14321" width="12.85546875" style="365" customWidth="1"/>
    <col min="14322" max="14322" width="0" style="365" hidden="1" customWidth="1"/>
    <col min="14323" max="14323" width="14.42578125" style="365" customWidth="1"/>
    <col min="14324" max="14324" width="0" style="365" hidden="1" customWidth="1"/>
    <col min="14325" max="14325" width="17.42578125" style="365" customWidth="1"/>
    <col min="14326" max="14326" width="0" style="365" hidden="1" customWidth="1"/>
    <col min="14327" max="14327" width="14" style="365" customWidth="1"/>
    <col min="14328" max="14328" width="14.28515625" style="365" bestFit="1" customWidth="1"/>
    <col min="14329" max="14329" width="0" style="365" hidden="1" customWidth="1"/>
    <col min="14330" max="14330" width="15.5703125" style="365" customWidth="1"/>
    <col min="14331" max="14331" width="44.5703125" style="365" customWidth="1"/>
    <col min="14332" max="14332" width="14.28515625" style="365" bestFit="1" customWidth="1"/>
    <col min="14333" max="14333" width="0" style="365" hidden="1" customWidth="1"/>
    <col min="14334" max="14334" width="18.140625" style="365" customWidth="1"/>
    <col min="14335" max="14335" width="0" style="365" hidden="1" customWidth="1"/>
    <col min="14336" max="14336" width="14" style="365" customWidth="1"/>
    <col min="14337" max="14337" width="0" style="365" hidden="1" customWidth="1"/>
    <col min="14338" max="14338" width="20.85546875" style="365" customWidth="1"/>
    <col min="14339" max="14339" width="0" style="365" hidden="1" customWidth="1"/>
    <col min="14340" max="14340" width="13.28515625" style="365" customWidth="1"/>
    <col min="14341" max="14341" width="0" style="365" hidden="1" customWidth="1"/>
    <col min="14342" max="14342" width="15" style="365" customWidth="1"/>
    <col min="14343" max="14343" width="0" style="365" hidden="1" customWidth="1"/>
    <col min="14344" max="14344" width="13.28515625" style="365" customWidth="1"/>
    <col min="14345" max="14345" width="0" style="365" hidden="1" customWidth="1"/>
    <col min="14346" max="14346" width="20.140625" style="365" customWidth="1"/>
    <col min="14347" max="14347" width="14.42578125" style="365" bestFit="1" customWidth="1"/>
    <col min="14348" max="14348" width="14" style="365" bestFit="1" customWidth="1"/>
    <col min="14349" max="14349" width="12.28515625" style="365" bestFit="1" customWidth="1"/>
    <col min="14350" max="14374" width="9.140625" style="365" customWidth="1"/>
    <col min="14375" max="14569" width="8.85546875" style="365"/>
    <col min="14570" max="14570" width="44.5703125" style="365" customWidth="1"/>
    <col min="14571" max="14571" width="14.28515625" style="365" bestFit="1" customWidth="1"/>
    <col min="14572" max="14572" width="1.7109375" style="365" customWidth="1"/>
    <col min="14573" max="14573" width="14.85546875" style="365" customWidth="1"/>
    <col min="14574" max="14574" width="0" style="365" hidden="1" customWidth="1"/>
    <col min="14575" max="14575" width="17.42578125" style="365" customWidth="1"/>
    <col min="14576" max="14576" width="0" style="365" hidden="1" customWidth="1"/>
    <col min="14577" max="14577" width="12.85546875" style="365" customWidth="1"/>
    <col min="14578" max="14578" width="0" style="365" hidden="1" customWidth="1"/>
    <col min="14579" max="14579" width="14.42578125" style="365" customWidth="1"/>
    <col min="14580" max="14580" width="0" style="365" hidden="1" customWidth="1"/>
    <col min="14581" max="14581" width="17.42578125" style="365" customWidth="1"/>
    <col min="14582" max="14582" width="0" style="365" hidden="1" customWidth="1"/>
    <col min="14583" max="14583" width="14" style="365" customWidth="1"/>
    <col min="14584" max="14584" width="14.28515625" style="365" bestFit="1" customWidth="1"/>
    <col min="14585" max="14585" width="0" style="365" hidden="1" customWidth="1"/>
    <col min="14586" max="14586" width="15.5703125" style="365" customWidth="1"/>
    <col min="14587" max="14587" width="44.5703125" style="365" customWidth="1"/>
    <col min="14588" max="14588" width="14.28515625" style="365" bestFit="1" customWidth="1"/>
    <col min="14589" max="14589" width="0" style="365" hidden="1" customWidth="1"/>
    <col min="14590" max="14590" width="18.140625" style="365" customWidth="1"/>
    <col min="14591" max="14591" width="0" style="365" hidden="1" customWidth="1"/>
    <col min="14592" max="14592" width="14" style="365" customWidth="1"/>
    <col min="14593" max="14593" width="0" style="365" hidden="1" customWidth="1"/>
    <col min="14594" max="14594" width="20.85546875" style="365" customWidth="1"/>
    <col min="14595" max="14595" width="0" style="365" hidden="1" customWidth="1"/>
    <col min="14596" max="14596" width="13.28515625" style="365" customWidth="1"/>
    <col min="14597" max="14597" width="0" style="365" hidden="1" customWidth="1"/>
    <col min="14598" max="14598" width="15" style="365" customWidth="1"/>
    <col min="14599" max="14599" width="0" style="365" hidden="1" customWidth="1"/>
    <col min="14600" max="14600" width="13.28515625" style="365" customWidth="1"/>
    <col min="14601" max="14601" width="0" style="365" hidden="1" customWidth="1"/>
    <col min="14602" max="14602" width="20.140625" style="365" customWidth="1"/>
    <col min="14603" max="14603" width="14.42578125" style="365" bestFit="1" customWidth="1"/>
    <col min="14604" max="14604" width="14" style="365" bestFit="1" customWidth="1"/>
    <col min="14605" max="14605" width="12.28515625" style="365" bestFit="1" customWidth="1"/>
    <col min="14606" max="14630" width="9.140625" style="365" customWidth="1"/>
    <col min="14631" max="14825" width="8.85546875" style="365"/>
    <col min="14826" max="14826" width="44.5703125" style="365" customWidth="1"/>
    <col min="14827" max="14827" width="14.28515625" style="365" bestFit="1" customWidth="1"/>
    <col min="14828" max="14828" width="1.7109375" style="365" customWidth="1"/>
    <col min="14829" max="14829" width="14.85546875" style="365" customWidth="1"/>
    <col min="14830" max="14830" width="0" style="365" hidden="1" customWidth="1"/>
    <col min="14831" max="14831" width="17.42578125" style="365" customWidth="1"/>
    <col min="14832" max="14832" width="0" style="365" hidden="1" customWidth="1"/>
    <col min="14833" max="14833" width="12.85546875" style="365" customWidth="1"/>
    <col min="14834" max="14834" width="0" style="365" hidden="1" customWidth="1"/>
    <col min="14835" max="14835" width="14.42578125" style="365" customWidth="1"/>
    <col min="14836" max="14836" width="0" style="365" hidden="1" customWidth="1"/>
    <col min="14837" max="14837" width="17.42578125" style="365" customWidth="1"/>
    <col min="14838" max="14838" width="0" style="365" hidden="1" customWidth="1"/>
    <col min="14839" max="14839" width="14" style="365" customWidth="1"/>
    <col min="14840" max="14840" width="14.28515625" style="365" bestFit="1" customWidth="1"/>
    <col min="14841" max="14841" width="0" style="365" hidden="1" customWidth="1"/>
    <col min="14842" max="14842" width="15.5703125" style="365" customWidth="1"/>
    <col min="14843" max="14843" width="44.5703125" style="365" customWidth="1"/>
    <col min="14844" max="14844" width="14.28515625" style="365" bestFit="1" customWidth="1"/>
    <col min="14845" max="14845" width="0" style="365" hidden="1" customWidth="1"/>
    <col min="14846" max="14846" width="18.140625" style="365" customWidth="1"/>
    <col min="14847" max="14847" width="0" style="365" hidden="1" customWidth="1"/>
    <col min="14848" max="14848" width="14" style="365" customWidth="1"/>
    <col min="14849" max="14849" width="0" style="365" hidden="1" customWidth="1"/>
    <col min="14850" max="14850" width="20.85546875" style="365" customWidth="1"/>
    <col min="14851" max="14851" width="0" style="365" hidden="1" customWidth="1"/>
    <col min="14852" max="14852" width="13.28515625" style="365" customWidth="1"/>
    <col min="14853" max="14853" width="0" style="365" hidden="1" customWidth="1"/>
    <col min="14854" max="14854" width="15" style="365" customWidth="1"/>
    <col min="14855" max="14855" width="0" style="365" hidden="1" customWidth="1"/>
    <col min="14856" max="14856" width="13.28515625" style="365" customWidth="1"/>
    <col min="14857" max="14857" width="0" style="365" hidden="1" customWidth="1"/>
    <col min="14858" max="14858" width="20.140625" style="365" customWidth="1"/>
    <col min="14859" max="14859" width="14.42578125" style="365" bestFit="1" customWidth="1"/>
    <col min="14860" max="14860" width="14" style="365" bestFit="1" customWidth="1"/>
    <col min="14861" max="14861" width="12.28515625" style="365" bestFit="1" customWidth="1"/>
    <col min="14862" max="14886" width="9.140625" style="365" customWidth="1"/>
    <col min="14887" max="15081" width="8.85546875" style="365"/>
    <col min="15082" max="15082" width="44.5703125" style="365" customWidth="1"/>
    <col min="15083" max="15083" width="14.28515625" style="365" bestFit="1" customWidth="1"/>
    <col min="15084" max="15084" width="1.7109375" style="365" customWidth="1"/>
    <col min="15085" max="15085" width="14.85546875" style="365" customWidth="1"/>
    <col min="15086" max="15086" width="0" style="365" hidden="1" customWidth="1"/>
    <col min="15087" max="15087" width="17.42578125" style="365" customWidth="1"/>
    <col min="15088" max="15088" width="0" style="365" hidden="1" customWidth="1"/>
    <col min="15089" max="15089" width="12.85546875" style="365" customWidth="1"/>
    <col min="15090" max="15090" width="0" style="365" hidden="1" customWidth="1"/>
    <col min="15091" max="15091" width="14.42578125" style="365" customWidth="1"/>
    <col min="15092" max="15092" width="0" style="365" hidden="1" customWidth="1"/>
    <col min="15093" max="15093" width="17.42578125" style="365" customWidth="1"/>
    <col min="15094" max="15094" width="0" style="365" hidden="1" customWidth="1"/>
    <col min="15095" max="15095" width="14" style="365" customWidth="1"/>
    <col min="15096" max="15096" width="14.28515625" style="365" bestFit="1" customWidth="1"/>
    <col min="15097" max="15097" width="0" style="365" hidden="1" customWidth="1"/>
    <col min="15098" max="15098" width="15.5703125" style="365" customWidth="1"/>
    <col min="15099" max="15099" width="44.5703125" style="365" customWidth="1"/>
    <col min="15100" max="15100" width="14.28515625" style="365" bestFit="1" customWidth="1"/>
    <col min="15101" max="15101" width="0" style="365" hidden="1" customWidth="1"/>
    <col min="15102" max="15102" width="18.140625" style="365" customWidth="1"/>
    <col min="15103" max="15103" width="0" style="365" hidden="1" customWidth="1"/>
    <col min="15104" max="15104" width="14" style="365" customWidth="1"/>
    <col min="15105" max="15105" width="0" style="365" hidden="1" customWidth="1"/>
    <col min="15106" max="15106" width="20.85546875" style="365" customWidth="1"/>
    <col min="15107" max="15107" width="0" style="365" hidden="1" customWidth="1"/>
    <col min="15108" max="15108" width="13.28515625" style="365" customWidth="1"/>
    <col min="15109" max="15109" width="0" style="365" hidden="1" customWidth="1"/>
    <col min="15110" max="15110" width="15" style="365" customWidth="1"/>
    <col min="15111" max="15111" width="0" style="365" hidden="1" customWidth="1"/>
    <col min="15112" max="15112" width="13.28515625" style="365" customWidth="1"/>
    <col min="15113" max="15113" width="0" style="365" hidden="1" customWidth="1"/>
    <col min="15114" max="15114" width="20.140625" style="365" customWidth="1"/>
    <col min="15115" max="15115" width="14.42578125" style="365" bestFit="1" customWidth="1"/>
    <col min="15116" max="15116" width="14" style="365" bestFit="1" customWidth="1"/>
    <col min="15117" max="15117" width="12.28515625" style="365" bestFit="1" customWidth="1"/>
    <col min="15118" max="15142" width="9.140625" style="365" customWidth="1"/>
    <col min="15143" max="15337" width="8.85546875" style="365"/>
    <col min="15338" max="15338" width="44.5703125" style="365" customWidth="1"/>
    <col min="15339" max="15339" width="14.28515625" style="365" bestFit="1" customWidth="1"/>
    <col min="15340" max="15340" width="1.7109375" style="365" customWidth="1"/>
    <col min="15341" max="15341" width="14.85546875" style="365" customWidth="1"/>
    <col min="15342" max="15342" width="0" style="365" hidden="1" customWidth="1"/>
    <col min="15343" max="15343" width="17.42578125" style="365" customWidth="1"/>
    <col min="15344" max="15344" width="0" style="365" hidden="1" customWidth="1"/>
    <col min="15345" max="15345" width="12.85546875" style="365" customWidth="1"/>
    <col min="15346" max="15346" width="0" style="365" hidden="1" customWidth="1"/>
    <col min="15347" max="15347" width="14.42578125" style="365" customWidth="1"/>
    <col min="15348" max="15348" width="0" style="365" hidden="1" customWidth="1"/>
    <col min="15349" max="15349" width="17.42578125" style="365" customWidth="1"/>
    <col min="15350" max="15350" width="0" style="365" hidden="1" customWidth="1"/>
    <col min="15351" max="15351" width="14" style="365" customWidth="1"/>
    <col min="15352" max="15352" width="14.28515625" style="365" bestFit="1" customWidth="1"/>
    <col min="15353" max="15353" width="0" style="365" hidden="1" customWidth="1"/>
    <col min="15354" max="15354" width="15.5703125" style="365" customWidth="1"/>
    <col min="15355" max="15355" width="44.5703125" style="365" customWidth="1"/>
    <col min="15356" max="15356" width="14.28515625" style="365" bestFit="1" customWidth="1"/>
    <col min="15357" max="15357" width="0" style="365" hidden="1" customWidth="1"/>
    <col min="15358" max="15358" width="18.140625" style="365" customWidth="1"/>
    <col min="15359" max="15359" width="0" style="365" hidden="1" customWidth="1"/>
    <col min="15360" max="15360" width="14" style="365" customWidth="1"/>
    <col min="15361" max="15361" width="0" style="365" hidden="1" customWidth="1"/>
    <col min="15362" max="15362" width="20.85546875" style="365" customWidth="1"/>
    <col min="15363" max="15363" width="0" style="365" hidden="1" customWidth="1"/>
    <col min="15364" max="15364" width="13.28515625" style="365" customWidth="1"/>
    <col min="15365" max="15365" width="0" style="365" hidden="1" customWidth="1"/>
    <col min="15366" max="15366" width="15" style="365" customWidth="1"/>
    <col min="15367" max="15367" width="0" style="365" hidden="1" customWidth="1"/>
    <col min="15368" max="15368" width="13.28515625" style="365" customWidth="1"/>
    <col min="15369" max="15369" width="0" style="365" hidden="1" customWidth="1"/>
    <col min="15370" max="15370" width="20.140625" style="365" customWidth="1"/>
    <col min="15371" max="15371" width="14.42578125" style="365" bestFit="1" customWidth="1"/>
    <col min="15372" max="15372" width="14" style="365" bestFit="1" customWidth="1"/>
    <col min="15373" max="15373" width="12.28515625" style="365" bestFit="1" customWidth="1"/>
    <col min="15374" max="15398" width="9.140625" style="365" customWidth="1"/>
    <col min="15399" max="15593" width="8.85546875" style="365"/>
    <col min="15594" max="15594" width="44.5703125" style="365" customWidth="1"/>
    <col min="15595" max="15595" width="14.28515625" style="365" bestFit="1" customWidth="1"/>
    <col min="15596" max="15596" width="1.7109375" style="365" customWidth="1"/>
    <col min="15597" max="15597" width="14.85546875" style="365" customWidth="1"/>
    <col min="15598" max="15598" width="0" style="365" hidden="1" customWidth="1"/>
    <col min="15599" max="15599" width="17.42578125" style="365" customWidth="1"/>
    <col min="15600" max="15600" width="0" style="365" hidden="1" customWidth="1"/>
    <col min="15601" max="15601" width="12.85546875" style="365" customWidth="1"/>
    <col min="15602" max="15602" width="0" style="365" hidden="1" customWidth="1"/>
    <col min="15603" max="15603" width="14.42578125" style="365" customWidth="1"/>
    <col min="15604" max="15604" width="0" style="365" hidden="1" customWidth="1"/>
    <col min="15605" max="15605" width="17.42578125" style="365" customWidth="1"/>
    <col min="15606" max="15606" width="0" style="365" hidden="1" customWidth="1"/>
    <col min="15607" max="15607" width="14" style="365" customWidth="1"/>
    <col min="15608" max="15608" width="14.28515625" style="365" bestFit="1" customWidth="1"/>
    <col min="15609" max="15609" width="0" style="365" hidden="1" customWidth="1"/>
    <col min="15610" max="15610" width="15.5703125" style="365" customWidth="1"/>
    <col min="15611" max="15611" width="44.5703125" style="365" customWidth="1"/>
    <col min="15612" max="15612" width="14.28515625" style="365" bestFit="1" customWidth="1"/>
    <col min="15613" max="15613" width="0" style="365" hidden="1" customWidth="1"/>
    <col min="15614" max="15614" width="18.140625" style="365" customWidth="1"/>
    <col min="15615" max="15615" width="0" style="365" hidden="1" customWidth="1"/>
    <col min="15616" max="15616" width="14" style="365" customWidth="1"/>
    <col min="15617" max="15617" width="0" style="365" hidden="1" customWidth="1"/>
    <col min="15618" max="15618" width="20.85546875" style="365" customWidth="1"/>
    <col min="15619" max="15619" width="0" style="365" hidden="1" customWidth="1"/>
    <col min="15620" max="15620" width="13.28515625" style="365" customWidth="1"/>
    <col min="15621" max="15621" width="0" style="365" hidden="1" customWidth="1"/>
    <col min="15622" max="15622" width="15" style="365" customWidth="1"/>
    <col min="15623" max="15623" width="0" style="365" hidden="1" customWidth="1"/>
    <col min="15624" max="15624" width="13.28515625" style="365" customWidth="1"/>
    <col min="15625" max="15625" width="0" style="365" hidden="1" customWidth="1"/>
    <col min="15626" max="15626" width="20.140625" style="365" customWidth="1"/>
    <col min="15627" max="15627" width="14.42578125" style="365" bestFit="1" customWidth="1"/>
    <col min="15628" max="15628" width="14" style="365" bestFit="1" customWidth="1"/>
    <col min="15629" max="15629" width="12.28515625" style="365" bestFit="1" customWidth="1"/>
    <col min="15630" max="15654" width="9.140625" style="365" customWidth="1"/>
    <col min="15655" max="15849" width="8.85546875" style="365"/>
    <col min="15850" max="15850" width="44.5703125" style="365" customWidth="1"/>
    <col min="15851" max="15851" width="14.28515625" style="365" bestFit="1" customWidth="1"/>
    <col min="15852" max="15852" width="1.7109375" style="365" customWidth="1"/>
    <col min="15853" max="15853" width="14.85546875" style="365" customWidth="1"/>
    <col min="15854" max="15854" width="0" style="365" hidden="1" customWidth="1"/>
    <col min="15855" max="15855" width="17.42578125" style="365" customWidth="1"/>
    <col min="15856" max="15856" width="0" style="365" hidden="1" customWidth="1"/>
    <col min="15857" max="15857" width="12.85546875" style="365" customWidth="1"/>
    <col min="15858" max="15858" width="0" style="365" hidden="1" customWidth="1"/>
    <col min="15859" max="15859" width="14.42578125" style="365" customWidth="1"/>
    <col min="15860" max="15860" width="0" style="365" hidden="1" customWidth="1"/>
    <col min="15861" max="15861" width="17.42578125" style="365" customWidth="1"/>
    <col min="15862" max="15862" width="0" style="365" hidden="1" customWidth="1"/>
    <col min="15863" max="15863" width="14" style="365" customWidth="1"/>
    <col min="15864" max="15864" width="14.28515625" style="365" bestFit="1" customWidth="1"/>
    <col min="15865" max="15865" width="0" style="365" hidden="1" customWidth="1"/>
    <col min="15866" max="15866" width="15.5703125" style="365" customWidth="1"/>
    <col min="15867" max="15867" width="44.5703125" style="365" customWidth="1"/>
    <col min="15868" max="15868" width="14.28515625" style="365" bestFit="1" customWidth="1"/>
    <col min="15869" max="15869" width="0" style="365" hidden="1" customWidth="1"/>
    <col min="15870" max="15870" width="18.140625" style="365" customWidth="1"/>
    <col min="15871" max="15871" width="0" style="365" hidden="1" customWidth="1"/>
    <col min="15872" max="15872" width="14" style="365" customWidth="1"/>
    <col min="15873" max="15873" width="0" style="365" hidden="1" customWidth="1"/>
    <col min="15874" max="15874" width="20.85546875" style="365" customWidth="1"/>
    <col min="15875" max="15875" width="0" style="365" hidden="1" customWidth="1"/>
    <col min="15876" max="15876" width="13.28515625" style="365" customWidth="1"/>
    <col min="15877" max="15877" width="0" style="365" hidden="1" customWidth="1"/>
    <col min="15878" max="15878" width="15" style="365" customWidth="1"/>
    <col min="15879" max="15879" width="0" style="365" hidden="1" customWidth="1"/>
    <col min="15880" max="15880" width="13.28515625" style="365" customWidth="1"/>
    <col min="15881" max="15881" width="0" style="365" hidden="1" customWidth="1"/>
    <col min="15882" max="15882" width="20.140625" style="365" customWidth="1"/>
    <col min="15883" max="15883" width="14.42578125" style="365" bestFit="1" customWidth="1"/>
    <col min="15884" max="15884" width="14" style="365" bestFit="1" customWidth="1"/>
    <col min="15885" max="15885" width="12.28515625" style="365" bestFit="1" customWidth="1"/>
    <col min="15886" max="15910" width="9.140625" style="365" customWidth="1"/>
    <col min="15911" max="16105" width="8.85546875" style="365"/>
    <col min="16106" max="16106" width="44.5703125" style="365" customWidth="1"/>
    <col min="16107" max="16107" width="14.28515625" style="365" bestFit="1" customWidth="1"/>
    <col min="16108" max="16108" width="1.7109375" style="365" customWidth="1"/>
    <col min="16109" max="16109" width="14.85546875" style="365" customWidth="1"/>
    <col min="16110" max="16110" width="0" style="365" hidden="1" customWidth="1"/>
    <col min="16111" max="16111" width="17.42578125" style="365" customWidth="1"/>
    <col min="16112" max="16112" width="0" style="365" hidden="1" customWidth="1"/>
    <col min="16113" max="16113" width="12.85546875" style="365" customWidth="1"/>
    <col min="16114" max="16114" width="0" style="365" hidden="1" customWidth="1"/>
    <col min="16115" max="16115" width="14.42578125" style="365" customWidth="1"/>
    <col min="16116" max="16116" width="0" style="365" hidden="1" customWidth="1"/>
    <col min="16117" max="16117" width="17.42578125" style="365" customWidth="1"/>
    <col min="16118" max="16118" width="0" style="365" hidden="1" customWidth="1"/>
    <col min="16119" max="16119" width="14" style="365" customWidth="1"/>
    <col min="16120" max="16120" width="14.28515625" style="365" bestFit="1" customWidth="1"/>
    <col min="16121" max="16121" width="0" style="365" hidden="1" customWidth="1"/>
    <col min="16122" max="16122" width="15.5703125" style="365" customWidth="1"/>
    <col min="16123" max="16123" width="44.5703125" style="365" customWidth="1"/>
    <col min="16124" max="16124" width="14.28515625" style="365" bestFit="1" customWidth="1"/>
    <col min="16125" max="16125" width="0" style="365" hidden="1" customWidth="1"/>
    <col min="16126" max="16126" width="18.140625" style="365" customWidth="1"/>
    <col min="16127" max="16127" width="0" style="365" hidden="1" customWidth="1"/>
    <col min="16128" max="16128" width="14" style="365" customWidth="1"/>
    <col min="16129" max="16129" width="0" style="365" hidden="1" customWidth="1"/>
    <col min="16130" max="16130" width="20.85546875" style="365" customWidth="1"/>
    <col min="16131" max="16131" width="0" style="365" hidden="1" customWidth="1"/>
    <col min="16132" max="16132" width="13.28515625" style="365" customWidth="1"/>
    <col min="16133" max="16133" width="0" style="365" hidden="1" customWidth="1"/>
    <col min="16134" max="16134" width="15" style="365" customWidth="1"/>
    <col min="16135" max="16135" width="0" style="365" hidden="1" customWidth="1"/>
    <col min="16136" max="16136" width="13.28515625" style="365" customWidth="1"/>
    <col min="16137" max="16137" width="0" style="365" hidden="1" customWidth="1"/>
    <col min="16138" max="16138" width="20.140625" style="365" customWidth="1"/>
    <col min="16139" max="16139" width="14.42578125" style="365" bestFit="1" customWidth="1"/>
    <col min="16140" max="16140" width="14" style="365" bestFit="1" customWidth="1"/>
    <col min="16141" max="16141" width="12.28515625" style="365" bestFit="1" customWidth="1"/>
    <col min="16142" max="16166" width="9.140625" style="365" customWidth="1"/>
    <col min="16167" max="16379" width="8.85546875" style="365"/>
    <col min="16380" max="16384" width="8.85546875" style="365" customWidth="1"/>
  </cols>
  <sheetData>
    <row r="1" spans="1:38" s="354" customFormat="1" ht="7.5" hidden="1" customHeight="1">
      <c r="A1" s="1632"/>
      <c r="B1" s="1632"/>
      <c r="C1" s="1632"/>
      <c r="D1" s="1632"/>
      <c r="E1" s="1632"/>
      <c r="F1" s="1632"/>
      <c r="G1" s="1632"/>
      <c r="H1" s="1632"/>
      <c r="I1" s="1633"/>
      <c r="J1" s="1632"/>
      <c r="K1" s="351"/>
      <c r="L1" s="352"/>
      <c r="M1" s="351"/>
      <c r="N1" s="351"/>
      <c r="O1" s="351"/>
      <c r="P1" s="351"/>
      <c r="Q1" s="353"/>
      <c r="R1" s="353"/>
      <c r="S1" s="353"/>
      <c r="T1" s="353"/>
      <c r="U1" s="353"/>
      <c r="V1" s="353"/>
      <c r="W1" s="353"/>
      <c r="X1" s="353"/>
      <c r="Y1" s="353"/>
      <c r="Z1" s="353"/>
      <c r="AA1" s="353"/>
      <c r="AB1" s="353"/>
      <c r="AC1" s="353"/>
      <c r="AD1" s="353"/>
      <c r="AE1" s="353"/>
      <c r="AF1" s="353"/>
      <c r="AG1" s="353"/>
      <c r="AH1" s="353"/>
      <c r="AI1" s="353"/>
      <c r="AJ1" s="353"/>
      <c r="AK1" s="353"/>
      <c r="AL1" s="353"/>
    </row>
    <row r="2" spans="1:38" s="354" customFormat="1" ht="48">
      <c r="A2" s="1634" t="s">
        <v>717</v>
      </c>
      <c r="B2" s="1634"/>
      <c r="C2" s="1634"/>
      <c r="D2" s="1634"/>
      <c r="E2" s="1634"/>
      <c r="F2" s="1634"/>
      <c r="G2" s="1634"/>
      <c r="H2" s="1634"/>
      <c r="I2" s="1634"/>
      <c r="J2" s="1634"/>
      <c r="K2" s="353"/>
      <c r="L2" s="355"/>
      <c r="M2" s="353"/>
      <c r="N2" s="353"/>
      <c r="O2" s="353"/>
      <c r="P2" s="353"/>
      <c r="Q2" s="353"/>
      <c r="R2" s="353"/>
      <c r="S2" s="353"/>
      <c r="T2" s="353"/>
      <c r="U2" s="353"/>
      <c r="V2" s="353"/>
      <c r="W2" s="353"/>
      <c r="X2" s="353"/>
      <c r="Y2" s="353"/>
      <c r="Z2" s="353"/>
      <c r="AA2" s="353"/>
      <c r="AB2" s="353"/>
      <c r="AC2" s="353"/>
      <c r="AD2" s="353"/>
      <c r="AE2" s="353"/>
      <c r="AF2" s="353"/>
      <c r="AG2" s="353"/>
      <c r="AH2" s="353"/>
      <c r="AI2" s="353"/>
      <c r="AJ2" s="353"/>
      <c r="AK2" s="353"/>
      <c r="AL2" s="353"/>
    </row>
    <row r="3" spans="1:38" s="354" customFormat="1" ht="48">
      <c r="A3" s="590"/>
      <c r="B3" s="1636" t="str">
        <f>PROPER(B1)</f>
        <v/>
      </c>
      <c r="C3" s="1636"/>
      <c r="D3" s="1636"/>
      <c r="E3" s="1636"/>
      <c r="F3" s="1636"/>
      <c r="G3" s="1636"/>
      <c r="H3" s="1636"/>
      <c r="I3" s="1636"/>
      <c r="J3" s="590"/>
      <c r="K3" s="353"/>
      <c r="L3" s="355"/>
      <c r="M3" s="353"/>
      <c r="N3" s="353"/>
      <c r="O3" s="353"/>
      <c r="P3" s="353"/>
      <c r="Q3" s="353"/>
      <c r="R3" s="353"/>
      <c r="S3" s="353"/>
      <c r="T3" s="353"/>
      <c r="U3" s="353"/>
      <c r="V3" s="353"/>
      <c r="W3" s="353"/>
      <c r="X3" s="353"/>
      <c r="Y3" s="353"/>
      <c r="Z3" s="353"/>
      <c r="AA3" s="353"/>
      <c r="AB3" s="353"/>
      <c r="AC3" s="353"/>
      <c r="AD3" s="353"/>
      <c r="AE3" s="353"/>
      <c r="AF3" s="353"/>
      <c r="AG3" s="353"/>
      <c r="AH3" s="353"/>
      <c r="AI3" s="353"/>
      <c r="AJ3" s="353"/>
      <c r="AK3" s="353"/>
      <c r="AL3" s="353"/>
    </row>
    <row r="4" spans="1:38" s="354" customFormat="1" ht="15.75" customHeight="1">
      <c r="A4" s="1635"/>
      <c r="B4" s="1635"/>
      <c r="C4" s="1635"/>
      <c r="D4" s="1635"/>
      <c r="E4" s="1635"/>
      <c r="F4" s="1635"/>
      <c r="G4" s="1635"/>
      <c r="H4" s="1635"/>
      <c r="I4" s="1635"/>
      <c r="J4" s="1635"/>
      <c r="K4" s="353"/>
      <c r="L4" s="355"/>
      <c r="M4" s="353"/>
      <c r="N4" s="353"/>
      <c r="O4" s="353"/>
      <c r="P4" s="353"/>
      <c r="Q4" s="353"/>
      <c r="R4" s="353"/>
      <c r="S4" s="353"/>
      <c r="T4" s="353"/>
      <c r="U4" s="353"/>
      <c r="V4" s="353"/>
      <c r="W4" s="353"/>
      <c r="X4" s="353"/>
      <c r="Y4" s="353"/>
      <c r="Z4" s="353"/>
      <c r="AA4" s="353"/>
      <c r="AB4" s="353"/>
      <c r="AC4" s="353"/>
      <c r="AD4" s="353"/>
      <c r="AE4" s="353"/>
      <c r="AF4" s="353"/>
      <c r="AG4" s="353"/>
      <c r="AH4" s="353"/>
      <c r="AI4" s="353"/>
      <c r="AJ4" s="353"/>
      <c r="AK4" s="353"/>
      <c r="AL4" s="353"/>
    </row>
    <row r="5" spans="1:38" s="363" customFormat="1" ht="9.6" customHeight="1" thickBot="1">
      <c r="A5" s="360" t="s">
        <v>58</v>
      </c>
      <c r="B5" s="361"/>
      <c r="C5" s="577"/>
      <c r="D5" s="362"/>
      <c r="E5" s="358"/>
      <c r="F5" s="358"/>
      <c r="G5" s="358"/>
      <c r="H5" s="358"/>
      <c r="I5" s="358"/>
      <c r="J5" s="358"/>
      <c r="L5" s="364"/>
    </row>
    <row r="6" spans="1:38" s="490" customFormat="1" ht="117" customHeight="1" thickTop="1" thickBot="1">
      <c r="A6" s="484"/>
      <c r="B6" s="485"/>
      <c r="C6" s="486"/>
      <c r="D6" s="578" t="s">
        <v>573</v>
      </c>
      <c r="E6" s="580" t="s">
        <v>719</v>
      </c>
      <c r="F6" s="580" t="s">
        <v>154</v>
      </c>
      <c r="G6" s="580" t="s">
        <v>411</v>
      </c>
      <c r="H6" s="580" t="s">
        <v>412</v>
      </c>
      <c r="I6" s="580" t="s">
        <v>413</v>
      </c>
      <c r="J6" s="580" t="s">
        <v>414</v>
      </c>
      <c r="K6" s="488"/>
      <c r="L6" s="489"/>
      <c r="M6" s="488"/>
      <c r="N6" s="488"/>
      <c r="O6" s="488"/>
      <c r="P6" s="488"/>
      <c r="Q6" s="488"/>
      <c r="R6" s="488"/>
      <c r="S6" s="488"/>
      <c r="T6" s="488"/>
      <c r="U6" s="488"/>
      <c r="V6" s="488"/>
      <c r="W6" s="488"/>
      <c r="X6" s="488"/>
      <c r="Y6" s="488"/>
      <c r="Z6" s="488"/>
      <c r="AA6" s="488"/>
      <c r="AB6" s="488"/>
      <c r="AC6" s="488"/>
      <c r="AD6" s="488"/>
      <c r="AE6" s="488"/>
      <c r="AF6" s="488"/>
      <c r="AG6" s="488"/>
      <c r="AH6" s="488"/>
      <c r="AI6" s="488"/>
      <c r="AJ6" s="488"/>
      <c r="AK6" s="488"/>
      <c r="AL6" s="488"/>
    </row>
    <row r="7" spans="1:38" ht="28.15" customHeight="1" thickTop="1">
      <c r="A7" s="356"/>
      <c r="B7" s="356"/>
      <c r="C7" s="357"/>
      <c r="D7" s="369"/>
      <c r="E7" s="371"/>
      <c r="F7" s="371"/>
      <c r="G7" s="371"/>
      <c r="H7" s="371"/>
      <c r="I7" s="371"/>
      <c r="J7" s="373"/>
    </row>
    <row r="8" spans="1:38" s="417" customFormat="1" ht="15.95" customHeight="1">
      <c r="A8" s="417" t="s">
        <v>423</v>
      </c>
      <c r="C8" s="449"/>
      <c r="D8" s="450"/>
      <c r="E8" s="452"/>
      <c r="F8" s="452"/>
      <c r="G8" s="452"/>
      <c r="H8" s="452"/>
      <c r="I8" s="452"/>
      <c r="J8" s="453"/>
      <c r="K8" s="454"/>
      <c r="L8" s="457"/>
      <c r="M8" s="454"/>
      <c r="N8" s="454"/>
      <c r="O8" s="454"/>
      <c r="P8" s="454"/>
      <c r="Q8" s="454"/>
      <c r="R8" s="454"/>
      <c r="S8" s="454"/>
      <c r="T8" s="454"/>
      <c r="U8" s="454"/>
      <c r="V8" s="454"/>
      <c r="W8" s="454"/>
      <c r="X8" s="454"/>
      <c r="Y8" s="454"/>
      <c r="Z8" s="454"/>
      <c r="AA8" s="454"/>
      <c r="AB8" s="454"/>
      <c r="AC8" s="454"/>
      <c r="AD8" s="454"/>
      <c r="AE8" s="454"/>
      <c r="AF8" s="454"/>
      <c r="AG8" s="454"/>
      <c r="AH8" s="454"/>
      <c r="AI8" s="454"/>
      <c r="AJ8" s="454"/>
      <c r="AK8" s="454"/>
      <c r="AL8" s="454"/>
    </row>
    <row r="9" spans="1:38" s="417" customFormat="1" ht="20.100000000000001" customHeight="1">
      <c r="A9" s="417" t="s">
        <v>27</v>
      </c>
      <c r="C9" s="417" t="s">
        <v>424</v>
      </c>
      <c r="D9" s="458">
        <f>'001 General Fund'!K23</f>
        <v>50418790</v>
      </c>
      <c r="E9" s="458">
        <f>'CRA-Beach'!L15+'CRA-NW Progresso'!L16+'CRA-Central City'!L14</f>
        <v>-24714</v>
      </c>
      <c r="F9" s="458">
        <f>'Sunrise Key'!L14+'Sunrise Key'!L10</f>
        <v>99940.169999999984</v>
      </c>
      <c r="G9" s="458">
        <f>'Beach Bus Improv District'!L13+'Beach Bus Improv District'!L9</f>
        <v>399899</v>
      </c>
      <c r="H9" s="458">
        <f>'Housing and Community Dev'!L15+'Housing and Community Dev'!L11</f>
        <v>38123</v>
      </c>
      <c r="I9" s="458" t="e">
        <f>#REF!+#REF!+#REF!+#REF!+#REF!+#REF!</f>
        <v>#REF!</v>
      </c>
      <c r="J9" s="458" t="e">
        <f>#REF!+#REF!+#REF!+#REF!+#REF!+#REF!+#REF!+#REF!+#REF!</f>
        <v>#REF!</v>
      </c>
      <c r="K9" s="454"/>
      <c r="L9" s="457" t="e">
        <f>SUM(D9:K9)</f>
        <v>#REF!</v>
      </c>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row>
    <row r="10" spans="1:38" s="417" customFormat="1" ht="20.100000000000001" customHeight="1">
      <c r="A10" s="417" t="s">
        <v>690</v>
      </c>
      <c r="D10" s="458">
        <v>3000000</v>
      </c>
      <c r="E10" s="458"/>
      <c r="F10" s="458"/>
      <c r="G10" s="458"/>
      <c r="H10" s="458"/>
      <c r="I10" s="458"/>
      <c r="J10" s="458"/>
      <c r="K10" s="454"/>
      <c r="L10" s="457">
        <f>SUM(D10:K10)</f>
        <v>3000000</v>
      </c>
      <c r="M10" s="454"/>
      <c r="N10" s="454"/>
      <c r="O10" s="454"/>
      <c r="P10" s="454"/>
      <c r="Q10" s="454"/>
      <c r="R10" s="454"/>
      <c r="S10" s="454"/>
      <c r="T10" s="454"/>
      <c r="U10" s="454"/>
      <c r="V10" s="454"/>
      <c r="W10" s="454"/>
      <c r="X10" s="454"/>
      <c r="Y10" s="454"/>
      <c r="Z10" s="454"/>
      <c r="AA10" s="454"/>
      <c r="AB10" s="454"/>
      <c r="AC10" s="454"/>
      <c r="AD10" s="454"/>
      <c r="AE10" s="454"/>
      <c r="AF10" s="454"/>
      <c r="AG10" s="454"/>
      <c r="AH10" s="454"/>
      <c r="AI10" s="454"/>
      <c r="AJ10" s="454"/>
      <c r="AK10" s="454"/>
      <c r="AL10" s="454"/>
    </row>
    <row r="11" spans="1:38" s="417" customFormat="1" ht="18.75">
      <c r="A11" s="417" t="s">
        <v>688</v>
      </c>
      <c r="C11" s="417" t="s">
        <v>424</v>
      </c>
      <c r="D11" s="462">
        <f>SUM(D9:D10)</f>
        <v>53418790</v>
      </c>
      <c r="E11" s="463">
        <f t="shared" ref="E11:J11" si="0">SUM(E9:E9)</f>
        <v>-24714</v>
      </c>
      <c r="F11" s="463">
        <f t="shared" si="0"/>
        <v>99940.169999999984</v>
      </c>
      <c r="G11" s="463">
        <f t="shared" si="0"/>
        <v>399899</v>
      </c>
      <c r="H11" s="463">
        <f t="shared" si="0"/>
        <v>38123</v>
      </c>
      <c r="I11" s="463" t="e">
        <f t="shared" si="0"/>
        <v>#REF!</v>
      </c>
      <c r="J11" s="463" t="e">
        <f t="shared" si="0"/>
        <v>#REF!</v>
      </c>
      <c r="K11" s="465"/>
      <c r="L11" s="457" t="e">
        <f>SUM(D11:K11)</f>
        <v>#REF!</v>
      </c>
      <c r="M11" s="454"/>
      <c r="N11" s="454"/>
      <c r="O11" s="454"/>
      <c r="P11" s="454"/>
      <c r="Q11" s="454"/>
      <c r="R11" s="454"/>
      <c r="S11" s="454"/>
      <c r="T11" s="454"/>
      <c r="U11" s="454"/>
      <c r="V11" s="454"/>
      <c r="W11" s="454"/>
      <c r="X11" s="454"/>
      <c r="Y11" s="454"/>
      <c r="Z11" s="454"/>
      <c r="AA11" s="454"/>
      <c r="AB11" s="454"/>
      <c r="AC11" s="454"/>
      <c r="AD11" s="454"/>
      <c r="AE11" s="454"/>
      <c r="AF11" s="454"/>
      <c r="AG11" s="454"/>
      <c r="AH11" s="454"/>
      <c r="AI11" s="454"/>
      <c r="AJ11" s="454"/>
      <c r="AK11" s="454"/>
      <c r="AL11" s="454"/>
    </row>
    <row r="12" spans="1:38" s="417" customFormat="1" ht="12" customHeight="1">
      <c r="D12" s="466"/>
      <c r="E12" s="460"/>
      <c r="F12" s="460"/>
      <c r="G12" s="460"/>
      <c r="H12" s="460"/>
      <c r="I12" s="460"/>
      <c r="J12" s="458"/>
      <c r="K12" s="454"/>
      <c r="L12" s="457"/>
      <c r="M12" s="454"/>
      <c r="N12" s="454"/>
      <c r="O12" s="454"/>
      <c r="P12" s="454"/>
      <c r="Q12" s="454"/>
      <c r="R12" s="454"/>
      <c r="S12" s="454"/>
      <c r="T12" s="454"/>
      <c r="U12" s="454"/>
      <c r="V12" s="454"/>
      <c r="W12" s="454"/>
      <c r="X12" s="454"/>
      <c r="Y12" s="454"/>
      <c r="Z12" s="454"/>
      <c r="AA12" s="454"/>
      <c r="AB12" s="454"/>
      <c r="AC12" s="454"/>
      <c r="AD12" s="454"/>
      <c r="AE12" s="454"/>
      <c r="AF12" s="454"/>
      <c r="AG12" s="454"/>
      <c r="AH12" s="454"/>
      <c r="AI12" s="454"/>
      <c r="AJ12" s="454"/>
      <c r="AK12" s="454"/>
      <c r="AL12" s="454"/>
    </row>
    <row r="13" spans="1:38" s="454" customFormat="1" ht="15.75" customHeight="1">
      <c r="A13" s="454" t="s">
        <v>426</v>
      </c>
      <c r="D13" s="460"/>
      <c r="E13" s="460"/>
      <c r="F13" s="460"/>
      <c r="G13" s="460"/>
      <c r="H13" s="460"/>
      <c r="I13" s="460"/>
      <c r="J13" s="458"/>
      <c r="L13" s="457"/>
    </row>
    <row r="14" spans="1:38" s="454" customFormat="1" ht="16.5" customHeight="1">
      <c r="A14" s="454" t="s">
        <v>584</v>
      </c>
      <c r="B14" s="700" t="s">
        <v>585</v>
      </c>
      <c r="D14" s="458"/>
      <c r="E14" s="458"/>
      <c r="F14" s="458"/>
      <c r="G14" s="458"/>
      <c r="H14" s="458"/>
      <c r="I14" s="458"/>
      <c r="J14" s="458"/>
      <c r="L14" s="457"/>
    </row>
    <row r="15" spans="1:38" s="454" customFormat="1" ht="20.100000000000001" customHeight="1">
      <c r="A15" s="454" t="s">
        <v>582</v>
      </c>
      <c r="B15" s="468">
        <v>4.1193</v>
      </c>
      <c r="D15" s="460">
        <f>'[1]GF Resources'!$G$7</f>
        <v>1107945</v>
      </c>
      <c r="E15" s="460">
        <v>0</v>
      </c>
      <c r="F15" s="460">
        <v>0</v>
      </c>
      <c r="G15" s="460">
        <v>0</v>
      </c>
      <c r="H15" s="460">
        <v>0</v>
      </c>
      <c r="I15" s="460">
        <v>0</v>
      </c>
      <c r="J15" s="460" t="e">
        <f>#REF!+#REF!+#REF!</f>
        <v>#REF!</v>
      </c>
      <c r="L15" s="457" t="e">
        <f>SUM(D15:K15)</f>
        <v>#REF!</v>
      </c>
    </row>
    <row r="16" spans="1:38" s="454" customFormat="1" ht="20.100000000000001" hidden="1" customHeight="1">
      <c r="A16" s="454" t="s">
        <v>428</v>
      </c>
      <c r="B16" s="468">
        <v>0.1125</v>
      </c>
      <c r="D16" s="460"/>
      <c r="E16" s="460">
        <v>0</v>
      </c>
      <c r="F16" s="460"/>
      <c r="G16" s="460">
        <v>0</v>
      </c>
      <c r="H16" s="460">
        <v>0</v>
      </c>
      <c r="I16" s="460">
        <v>0</v>
      </c>
      <c r="J16" s="460">
        <v>0</v>
      </c>
      <c r="L16" s="457"/>
    </row>
    <row r="17" spans="1:12" s="454" customFormat="1" ht="20.100000000000001" hidden="1" customHeight="1">
      <c r="A17" s="454" t="s">
        <v>429</v>
      </c>
      <c r="B17" s="576">
        <v>5.7000000000000002E-2</v>
      </c>
      <c r="D17" s="460"/>
      <c r="E17" s="460">
        <v>0</v>
      </c>
      <c r="F17" s="460"/>
      <c r="G17" s="460">
        <v>0</v>
      </c>
      <c r="H17" s="460">
        <v>0</v>
      </c>
      <c r="I17" s="460">
        <v>0</v>
      </c>
      <c r="J17" s="460">
        <v>0</v>
      </c>
      <c r="L17" s="457"/>
    </row>
    <row r="18" spans="1:12" s="454" customFormat="1" ht="20.100000000000001" hidden="1" customHeight="1">
      <c r="A18" s="454" t="s">
        <v>430</v>
      </c>
      <c r="B18" s="468">
        <v>4.9799999999999997E-2</v>
      </c>
      <c r="D18" s="460"/>
      <c r="E18" s="460">
        <v>0</v>
      </c>
      <c r="F18" s="460"/>
      <c r="G18" s="460">
        <v>0</v>
      </c>
      <c r="H18" s="460">
        <v>0</v>
      </c>
      <c r="I18" s="460">
        <v>0</v>
      </c>
      <c r="J18" s="460">
        <v>0</v>
      </c>
      <c r="L18" s="457"/>
    </row>
    <row r="19" spans="1:12" s="454" customFormat="1" ht="20.100000000000001" customHeight="1">
      <c r="A19" s="454" t="s">
        <v>581</v>
      </c>
      <c r="B19" s="576">
        <v>1</v>
      </c>
      <c r="D19" s="461">
        <v>0</v>
      </c>
      <c r="E19" s="460">
        <v>0</v>
      </c>
      <c r="F19" s="458">
        <f>'Sunrise Key'!L8</f>
        <v>80098.3</v>
      </c>
      <c r="G19" s="460">
        <v>0</v>
      </c>
      <c r="H19" s="460">
        <v>0</v>
      </c>
      <c r="I19" s="460">
        <v>0</v>
      </c>
      <c r="J19" s="460">
        <v>0</v>
      </c>
      <c r="L19" s="457">
        <f t="shared" ref="L19:L27" si="1">SUM(D19:K19)</f>
        <v>80098.3</v>
      </c>
    </row>
    <row r="20" spans="1:12" s="454" customFormat="1" ht="20.100000000000001" customHeight="1">
      <c r="A20" s="454" t="s">
        <v>580</v>
      </c>
      <c r="B20" s="684"/>
      <c r="D20" s="460">
        <f>'[1]GF Resources'!$G$14</f>
        <v>4882276</v>
      </c>
      <c r="E20" s="460">
        <v>0</v>
      </c>
      <c r="F20" s="460">
        <v>0</v>
      </c>
      <c r="G20" s="460">
        <v>0</v>
      </c>
      <c r="H20" s="460">
        <v>0</v>
      </c>
      <c r="I20" s="460">
        <v>0</v>
      </c>
      <c r="J20" s="460">
        <v>0</v>
      </c>
      <c r="L20" s="457">
        <f t="shared" si="1"/>
        <v>4882276</v>
      </c>
    </row>
    <row r="21" spans="1:12" s="454" customFormat="1" ht="20.100000000000001" customHeight="1">
      <c r="A21" s="454" t="s">
        <v>579</v>
      </c>
      <c r="D21" s="460">
        <f>'[1]GF Resources'!$G$15</f>
        <v>-1600000</v>
      </c>
      <c r="E21" s="460">
        <v>0</v>
      </c>
      <c r="F21" s="460">
        <v>0</v>
      </c>
      <c r="G21" s="460">
        <v>0</v>
      </c>
      <c r="H21" s="460">
        <v>0</v>
      </c>
      <c r="I21" s="460">
        <v>0</v>
      </c>
      <c r="J21" s="460">
        <v>0</v>
      </c>
      <c r="L21" s="457">
        <f t="shared" si="1"/>
        <v>-1600000</v>
      </c>
    </row>
    <row r="22" spans="1:12" s="454" customFormat="1" ht="20.100000000000001" customHeight="1">
      <c r="A22" s="454" t="s">
        <v>578</v>
      </c>
      <c r="D22" s="460">
        <f>'[1]GF Resources'!$G$16</f>
        <v>551832</v>
      </c>
      <c r="E22" s="460">
        <v>0</v>
      </c>
      <c r="F22" s="460">
        <v>0</v>
      </c>
      <c r="G22" s="460">
        <v>0</v>
      </c>
      <c r="H22" s="460">
        <v>0</v>
      </c>
      <c r="I22" s="460">
        <v>0</v>
      </c>
      <c r="J22" s="460">
        <v>0</v>
      </c>
      <c r="L22" s="457">
        <f t="shared" si="1"/>
        <v>551832</v>
      </c>
    </row>
    <row r="23" spans="1:12" s="454" customFormat="1" ht="20.100000000000001" customHeight="1">
      <c r="A23" s="454" t="s">
        <v>435</v>
      </c>
      <c r="D23" s="460">
        <f>'[1]GF Resources'!$G$22</f>
        <v>0</v>
      </c>
      <c r="E23" s="460">
        <v>0</v>
      </c>
      <c r="F23" s="460">
        <v>0</v>
      </c>
      <c r="G23" s="460">
        <v>0</v>
      </c>
      <c r="H23" s="460">
        <v>0</v>
      </c>
      <c r="I23" s="460" t="e">
        <f>#REF!+#REF!+#REF!</f>
        <v>#REF!</v>
      </c>
      <c r="J23" s="460">
        <v>0</v>
      </c>
      <c r="L23" s="457" t="e">
        <f t="shared" si="1"/>
        <v>#REF!</v>
      </c>
    </row>
    <row r="24" spans="1:12" s="454" customFormat="1" ht="20.100000000000001" customHeight="1">
      <c r="A24" s="454" t="s">
        <v>408</v>
      </c>
      <c r="D24" s="460">
        <f>'[1]GF Resources'!$G$28</f>
        <v>481915</v>
      </c>
      <c r="E24" s="458">
        <f>'CRA-Beach'!L8+'CRA-NW Progresso'!L8</f>
        <v>8187921</v>
      </c>
      <c r="F24" s="460">
        <v>0</v>
      </c>
      <c r="G24" s="460">
        <v>0</v>
      </c>
      <c r="H24" s="458">
        <f>'Housing and Community Dev'!L8</f>
        <v>9371773</v>
      </c>
      <c r="I24" s="458">
        <v>0</v>
      </c>
      <c r="J24" s="460">
        <v>0</v>
      </c>
      <c r="L24" s="457">
        <f t="shared" si="1"/>
        <v>18041609</v>
      </c>
    </row>
    <row r="25" spans="1:12" s="454" customFormat="1" ht="20.100000000000001" customHeight="1">
      <c r="A25" s="454" t="s">
        <v>114</v>
      </c>
      <c r="D25" s="460">
        <f>'[1]GF Resources'!$G$40</f>
        <v>0</v>
      </c>
      <c r="E25" s="460">
        <v>0</v>
      </c>
      <c r="F25" s="460">
        <v>0</v>
      </c>
      <c r="G25" s="460">
        <v>0</v>
      </c>
      <c r="H25" s="460">
        <v>0</v>
      </c>
      <c r="I25" s="460" t="e">
        <f>#REF!</f>
        <v>#REF!</v>
      </c>
      <c r="J25" s="460">
        <v>0</v>
      </c>
      <c r="L25" s="457" t="e">
        <f t="shared" si="1"/>
        <v>#REF!</v>
      </c>
    </row>
    <row r="26" spans="1:12" s="454" customFormat="1" ht="20.100000000000001" customHeight="1">
      <c r="A26" s="454" t="s">
        <v>436</v>
      </c>
      <c r="D26" s="460">
        <f>'[1]GF Resources'!$G$45</f>
        <v>0</v>
      </c>
      <c r="E26" s="460">
        <v>0</v>
      </c>
      <c r="F26" s="460">
        <v>0</v>
      </c>
      <c r="G26" s="460">
        <v>0</v>
      </c>
      <c r="H26" s="460">
        <v>0</v>
      </c>
      <c r="I26" s="460">
        <v>0</v>
      </c>
      <c r="J26" s="460">
        <v>0</v>
      </c>
      <c r="L26" s="457">
        <f t="shared" si="1"/>
        <v>0</v>
      </c>
    </row>
    <row r="27" spans="1:12" s="454" customFormat="1" ht="20.100000000000001" customHeight="1">
      <c r="A27" s="454" t="s">
        <v>437</v>
      </c>
      <c r="D27" s="460">
        <f>'[1]GF Resources'!$G$54</f>
        <v>0</v>
      </c>
      <c r="E27" s="458">
        <f>'CRA-Beach'!L9+'CRA-NW Progresso'!L10</f>
        <v>191468</v>
      </c>
      <c r="F27" s="458">
        <f>'Sunrise Key'!L9</f>
        <v>210</v>
      </c>
      <c r="G27" s="458">
        <f>'Beach Bus Improv District'!L8</f>
        <v>704082</v>
      </c>
      <c r="H27" s="460">
        <v>0</v>
      </c>
      <c r="I27" s="460" t="e">
        <f>#REF!+#REF!+#REF!</f>
        <v>#REF!</v>
      </c>
      <c r="J27" s="460">
        <v>0</v>
      </c>
      <c r="L27" s="457" t="e">
        <f t="shared" si="1"/>
        <v>#REF!</v>
      </c>
    </row>
    <row r="28" spans="1:12" s="454" customFormat="1" ht="20.100000000000001" hidden="1" customHeight="1">
      <c r="A28" s="454" t="s">
        <v>319</v>
      </c>
      <c r="D28" s="460"/>
      <c r="E28" s="458">
        <f>'CRA-Beach'!L11+'CRA-NW Progresso'!L12</f>
        <v>4818784</v>
      </c>
      <c r="F28" s="458">
        <v>0</v>
      </c>
      <c r="G28" s="458"/>
      <c r="H28" s="460"/>
      <c r="I28" s="460"/>
      <c r="J28" s="458"/>
      <c r="L28" s="457"/>
    </row>
    <row r="29" spans="1:12" s="454" customFormat="1" ht="20.100000000000001" customHeight="1">
      <c r="A29" s="685" t="s">
        <v>438</v>
      </c>
      <c r="C29" s="454" t="s">
        <v>424</v>
      </c>
      <c r="D29" s="463">
        <f t="shared" ref="D29:J29" si="2">SUM(D14:D28)</f>
        <v>5423968</v>
      </c>
      <c r="E29" s="463">
        <f t="shared" si="2"/>
        <v>13198173</v>
      </c>
      <c r="F29" s="463">
        <f t="shared" si="2"/>
        <v>80308.3</v>
      </c>
      <c r="G29" s="463">
        <f t="shared" si="2"/>
        <v>704082</v>
      </c>
      <c r="H29" s="463">
        <f t="shared" si="2"/>
        <v>9371773</v>
      </c>
      <c r="I29" s="463" t="e">
        <f t="shared" si="2"/>
        <v>#REF!</v>
      </c>
      <c r="J29" s="463" t="e">
        <f t="shared" si="2"/>
        <v>#REF!</v>
      </c>
      <c r="K29" s="465"/>
      <c r="L29" s="457" t="e">
        <f>SUM(D29:K29)</f>
        <v>#REF!</v>
      </c>
    </row>
    <row r="30" spans="1:12" s="454" customFormat="1" ht="15.95" customHeight="1">
      <c r="D30" s="458"/>
      <c r="E30" s="458"/>
      <c r="F30" s="458"/>
      <c r="G30" s="458"/>
      <c r="H30" s="458"/>
      <c r="I30" s="458"/>
      <c r="J30" s="458"/>
      <c r="L30" s="457"/>
    </row>
    <row r="31" spans="1:12" s="454" customFormat="1" ht="20.100000000000001" customHeight="1">
      <c r="A31" s="454" t="s">
        <v>439</v>
      </c>
      <c r="C31" s="454" t="s">
        <v>424</v>
      </c>
      <c r="D31" s="470">
        <f>'[1]GF Resources'!$G$59</f>
        <v>0</v>
      </c>
      <c r="E31" s="470">
        <f>'CRA-Beach'!L10+'CRA-NW Progresso'!L11</f>
        <v>4496529</v>
      </c>
      <c r="F31" s="470">
        <v>0</v>
      </c>
      <c r="G31" s="470">
        <v>0</v>
      </c>
      <c r="H31" s="470">
        <v>0</v>
      </c>
      <c r="I31" s="470">
        <v>0</v>
      </c>
      <c r="J31" s="470" t="e">
        <f>#REF!+#REF!</f>
        <v>#REF!</v>
      </c>
      <c r="L31" s="457" t="e">
        <f>SUM(D31:K31)</f>
        <v>#REF!</v>
      </c>
    </row>
    <row r="32" spans="1:12" s="454" customFormat="1" ht="10.5" customHeight="1">
      <c r="D32" s="458"/>
      <c r="E32" s="458"/>
      <c r="F32" s="458"/>
      <c r="G32" s="458"/>
      <c r="H32" s="458"/>
      <c r="I32" s="458"/>
      <c r="J32" s="458"/>
      <c r="L32" s="457"/>
    </row>
    <row r="33" spans="1:38" s="454" customFormat="1" ht="21.95" customHeight="1" thickBot="1">
      <c r="A33" s="713" t="s">
        <v>21</v>
      </c>
      <c r="B33" s="714"/>
      <c r="C33" s="454" t="s">
        <v>424</v>
      </c>
      <c r="D33" s="477">
        <f t="shared" ref="D33:J33" si="3">D11+D29+D31</f>
        <v>58842758</v>
      </c>
      <c r="E33" s="477">
        <f t="shared" si="3"/>
        <v>17669988</v>
      </c>
      <c r="F33" s="477">
        <f t="shared" si="3"/>
        <v>180248.46999999997</v>
      </c>
      <c r="G33" s="477">
        <f t="shared" si="3"/>
        <v>1103981</v>
      </c>
      <c r="H33" s="477">
        <f t="shared" si="3"/>
        <v>9409896</v>
      </c>
      <c r="I33" s="477" t="e">
        <f t="shared" si="3"/>
        <v>#REF!</v>
      </c>
      <c r="J33" s="477" t="e">
        <f t="shared" si="3"/>
        <v>#REF!</v>
      </c>
      <c r="K33" s="465"/>
      <c r="L33" s="457" t="e">
        <f>SUM(D33:K33)</f>
        <v>#REF!</v>
      </c>
      <c r="M33" s="465"/>
    </row>
    <row r="34" spans="1:38" s="454" customFormat="1" ht="10.5" customHeight="1" thickTop="1">
      <c r="D34" s="458"/>
      <c r="E34" s="458"/>
      <c r="F34" s="458"/>
      <c r="G34" s="458"/>
      <c r="H34" s="458"/>
      <c r="I34" s="458"/>
      <c r="J34" s="458"/>
      <c r="L34" s="457"/>
      <c r="M34" s="479"/>
    </row>
    <row r="35" spans="1:38" s="454" customFormat="1" ht="14.1" customHeight="1">
      <c r="A35" s="685"/>
      <c r="D35" s="460"/>
      <c r="E35" s="458"/>
      <c r="F35" s="458"/>
      <c r="G35" s="458"/>
      <c r="H35" s="458"/>
      <c r="I35" s="458"/>
      <c r="J35" s="458"/>
      <c r="L35" s="457"/>
    </row>
    <row r="36" spans="1:38" s="454" customFormat="1" ht="6.95" customHeight="1">
      <c r="D36" s="458"/>
      <c r="E36" s="458"/>
      <c r="F36" s="458"/>
      <c r="G36" s="458"/>
      <c r="H36" s="458"/>
      <c r="I36" s="458"/>
      <c r="J36" s="458"/>
      <c r="L36" s="457"/>
    </row>
    <row r="37" spans="1:38" s="454" customFormat="1" ht="17.25" customHeight="1">
      <c r="A37" s="454" t="s">
        <v>577</v>
      </c>
      <c r="D37" s="458"/>
      <c r="E37" s="458"/>
      <c r="F37" s="458"/>
      <c r="G37" s="458"/>
      <c r="H37" s="458"/>
      <c r="I37" s="458"/>
      <c r="J37" s="458"/>
      <c r="L37" s="457"/>
    </row>
    <row r="38" spans="1:38" s="454" customFormat="1" ht="20.100000000000001" customHeight="1">
      <c r="A38" s="454" t="s">
        <v>440</v>
      </c>
      <c r="D38" s="458"/>
      <c r="E38" s="460"/>
      <c r="F38" s="460"/>
      <c r="G38" s="460"/>
      <c r="H38" s="460"/>
      <c r="I38" s="460"/>
      <c r="J38" s="460"/>
      <c r="L38" s="457"/>
    </row>
    <row r="39" spans="1:38" s="454" customFormat="1" ht="20.100000000000001" customHeight="1">
      <c r="A39" s="454" t="s">
        <v>441</v>
      </c>
      <c r="D39" s="458"/>
      <c r="E39" s="460"/>
      <c r="F39" s="460"/>
      <c r="G39" s="460"/>
      <c r="H39" s="460"/>
      <c r="I39" s="460"/>
      <c r="J39" s="460"/>
      <c r="L39" s="457"/>
    </row>
    <row r="40" spans="1:38" s="454" customFormat="1" ht="20.100000000000001" customHeight="1">
      <c r="A40" s="454" t="s">
        <v>442</v>
      </c>
      <c r="C40" s="454" t="s">
        <v>424</v>
      </c>
      <c r="D40" s="458" t="e">
        <f>VLOOKUP(A40,#REF!,3,FALSE)</f>
        <v>#REF!</v>
      </c>
      <c r="E40" s="458">
        <v>0</v>
      </c>
      <c r="F40" s="458">
        <v>0</v>
      </c>
      <c r="G40" s="458">
        <v>0</v>
      </c>
      <c r="H40" s="458">
        <v>0</v>
      </c>
      <c r="I40" s="458">
        <v>0</v>
      </c>
      <c r="J40" s="458">
        <v>0</v>
      </c>
      <c r="L40" s="457"/>
    </row>
    <row r="41" spans="1:38" s="417" customFormat="1" ht="20.100000000000001" customHeight="1">
      <c r="A41" s="417" t="s">
        <v>443</v>
      </c>
      <c r="D41" s="458" t="e">
        <f>VLOOKUP(A41,#REF!,3,FALSE)</f>
        <v>#REF!</v>
      </c>
      <c r="E41" s="458">
        <v>0</v>
      </c>
      <c r="F41" s="458">
        <v>0</v>
      </c>
      <c r="G41" s="458">
        <v>0</v>
      </c>
      <c r="H41" s="458">
        <v>0</v>
      </c>
      <c r="I41" s="458">
        <v>0</v>
      </c>
      <c r="J41" s="458">
        <v>0</v>
      </c>
      <c r="K41" s="454"/>
      <c r="L41" s="457"/>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row>
    <row r="42" spans="1:38" s="417" customFormat="1" ht="20.100000000000001" customHeight="1">
      <c r="A42" s="417" t="s">
        <v>444</v>
      </c>
      <c r="D42" s="458" t="e">
        <f>VLOOKUP(A42,#REF!,3,FALSE)</f>
        <v>#REF!</v>
      </c>
      <c r="E42" s="458">
        <v>0</v>
      </c>
      <c r="F42" s="458">
        <v>0</v>
      </c>
      <c r="G42" s="458">
        <v>0</v>
      </c>
      <c r="H42" s="458">
        <v>0</v>
      </c>
      <c r="I42" s="458">
        <v>0</v>
      </c>
      <c r="J42" s="458">
        <v>0</v>
      </c>
      <c r="K42" s="454"/>
      <c r="L42" s="457"/>
      <c r="M42" s="454"/>
      <c r="N42" s="454"/>
      <c r="O42" s="454"/>
      <c r="P42" s="454"/>
      <c r="Q42" s="454"/>
      <c r="R42" s="454"/>
      <c r="S42" s="454"/>
      <c r="T42" s="454"/>
      <c r="U42" s="454"/>
      <c r="V42" s="454"/>
      <c r="W42" s="454"/>
      <c r="X42" s="454"/>
      <c r="Y42" s="454"/>
      <c r="Z42" s="454"/>
      <c r="AA42" s="454"/>
      <c r="AB42" s="454"/>
      <c r="AC42" s="454"/>
      <c r="AD42" s="454"/>
      <c r="AE42" s="454"/>
      <c r="AF42" s="454"/>
      <c r="AG42" s="454"/>
      <c r="AH42" s="454"/>
      <c r="AI42" s="454"/>
      <c r="AJ42" s="454"/>
      <c r="AK42" s="454"/>
      <c r="AL42" s="454"/>
    </row>
    <row r="43" spans="1:38" s="417" customFormat="1" ht="20.100000000000001" customHeight="1">
      <c r="A43" s="417" t="s">
        <v>445</v>
      </c>
      <c r="D43" s="458" t="e">
        <f>VLOOKUP(A43,#REF!,3,FALSE)</f>
        <v>#REF!</v>
      </c>
      <c r="E43" s="458">
        <v>0</v>
      </c>
      <c r="F43" s="458">
        <v>0</v>
      </c>
      <c r="G43" s="458">
        <v>0</v>
      </c>
      <c r="H43" s="458">
        <v>0</v>
      </c>
      <c r="I43" s="458">
        <v>0</v>
      </c>
      <c r="J43" s="458">
        <v>0</v>
      </c>
      <c r="K43" s="454"/>
      <c r="L43" s="457"/>
      <c r="M43" s="454"/>
      <c r="N43" s="454"/>
      <c r="O43" s="454"/>
      <c r="P43" s="454"/>
      <c r="Q43" s="454"/>
      <c r="R43" s="454"/>
      <c r="S43" s="454"/>
      <c r="T43" s="454"/>
      <c r="U43" s="454"/>
      <c r="V43" s="454"/>
      <c r="W43" s="454"/>
      <c r="X43" s="454"/>
      <c r="Y43" s="454"/>
      <c r="Z43" s="454"/>
      <c r="AA43" s="454"/>
      <c r="AB43" s="454"/>
      <c r="AC43" s="454"/>
      <c r="AD43" s="454"/>
      <c r="AE43" s="454"/>
      <c r="AF43" s="454"/>
      <c r="AG43" s="454"/>
      <c r="AH43" s="454"/>
      <c r="AI43" s="454"/>
      <c r="AJ43" s="454"/>
      <c r="AK43" s="454"/>
      <c r="AL43" s="454"/>
    </row>
    <row r="44" spans="1:38" s="417" customFormat="1" ht="20.100000000000001" customHeight="1">
      <c r="A44" s="417" t="s">
        <v>446</v>
      </c>
      <c r="D44" s="458" t="e">
        <f>VLOOKUP(A44,#REF!,3,FALSE)</f>
        <v>#REF!</v>
      </c>
      <c r="E44" s="458">
        <v>0</v>
      </c>
      <c r="F44" s="458">
        <v>0</v>
      </c>
      <c r="G44" s="458">
        <v>0</v>
      </c>
      <c r="H44" s="458">
        <v>0</v>
      </c>
      <c r="I44" s="458">
        <v>0</v>
      </c>
      <c r="J44" s="458">
        <v>0</v>
      </c>
      <c r="K44" s="454"/>
      <c r="L44" s="457"/>
      <c r="M44" s="454"/>
      <c r="N44" s="454"/>
      <c r="O44" s="454"/>
      <c r="P44" s="454"/>
      <c r="Q44" s="454"/>
      <c r="R44" s="454"/>
      <c r="S44" s="454"/>
      <c r="T44" s="454"/>
      <c r="U44" s="454"/>
      <c r="V44" s="454"/>
      <c r="W44" s="454"/>
      <c r="X44" s="454"/>
      <c r="Y44" s="454"/>
      <c r="Z44" s="454"/>
      <c r="AA44" s="454"/>
      <c r="AB44" s="454"/>
      <c r="AC44" s="454"/>
      <c r="AD44" s="454"/>
      <c r="AE44" s="454"/>
      <c r="AF44" s="454"/>
      <c r="AG44" s="454"/>
      <c r="AH44" s="454"/>
      <c r="AI44" s="454"/>
      <c r="AJ44" s="454"/>
      <c r="AK44" s="454"/>
      <c r="AL44" s="454"/>
    </row>
    <row r="45" spans="1:38" ht="18" hidden="1" customHeight="1">
      <c r="D45" s="458" t="s">
        <v>58</v>
      </c>
      <c r="E45" s="458">
        <v>0</v>
      </c>
      <c r="F45" s="458">
        <v>0</v>
      </c>
      <c r="G45" s="458">
        <v>0</v>
      </c>
      <c r="H45" s="458">
        <v>0</v>
      </c>
      <c r="I45" s="458">
        <v>0</v>
      </c>
      <c r="J45" s="458">
        <v>0</v>
      </c>
    </row>
    <row r="46" spans="1:38" ht="18" hidden="1" customHeight="1">
      <c r="A46" s="417" t="s">
        <v>572</v>
      </c>
      <c r="D46" s="458" t="s">
        <v>58</v>
      </c>
      <c r="E46" s="458">
        <v>0</v>
      </c>
      <c r="F46" s="458">
        <v>0</v>
      </c>
      <c r="G46" s="458">
        <v>0</v>
      </c>
      <c r="H46" s="458">
        <v>0</v>
      </c>
      <c r="I46" s="458">
        <v>0</v>
      </c>
      <c r="J46" s="458">
        <v>0</v>
      </c>
    </row>
    <row r="47" spans="1:38" ht="13.9" hidden="1" customHeight="1">
      <c r="D47" s="458" t="s">
        <v>58</v>
      </c>
    </row>
    <row r="48" spans="1:38" s="417" customFormat="1" ht="20.100000000000001" customHeight="1">
      <c r="A48" s="417" t="s">
        <v>448</v>
      </c>
      <c r="D48" s="458" t="e">
        <f>VLOOKUP(A48,#REF!,3,FALSE)</f>
        <v>#REF!</v>
      </c>
      <c r="E48" s="458">
        <v>0</v>
      </c>
      <c r="F48" s="458">
        <v>0</v>
      </c>
      <c r="G48" s="458">
        <v>0</v>
      </c>
      <c r="H48" s="458">
        <v>0</v>
      </c>
      <c r="I48" s="458">
        <v>0</v>
      </c>
      <c r="J48" s="458">
        <v>0</v>
      </c>
      <c r="K48" s="454"/>
      <c r="L48" s="457"/>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row>
    <row r="49" spans="1:38" s="417" customFormat="1" ht="20.100000000000001" customHeight="1">
      <c r="A49" s="417" t="s">
        <v>683</v>
      </c>
      <c r="D49" s="458" t="e">
        <f>VLOOKUP(A49,#REF!,3,FALSE)</f>
        <v>#REF!</v>
      </c>
      <c r="E49" s="458">
        <v>0</v>
      </c>
      <c r="F49" s="458">
        <v>0</v>
      </c>
      <c r="G49" s="458">
        <v>0</v>
      </c>
      <c r="H49" s="458">
        <v>0</v>
      </c>
      <c r="I49" s="458">
        <v>0</v>
      </c>
      <c r="J49" s="741">
        <v>0</v>
      </c>
      <c r="K49" s="454"/>
      <c r="L49" s="457"/>
      <c r="M49" s="454"/>
      <c r="N49" s="454"/>
      <c r="O49" s="454"/>
      <c r="P49" s="454"/>
      <c r="Q49" s="454"/>
      <c r="R49" s="454"/>
      <c r="S49" s="454"/>
      <c r="T49" s="454"/>
      <c r="U49" s="454"/>
      <c r="V49" s="454"/>
      <c r="W49" s="454"/>
      <c r="X49" s="454"/>
      <c r="Y49" s="454"/>
      <c r="Z49" s="454"/>
      <c r="AA49" s="454"/>
      <c r="AB49" s="454"/>
      <c r="AC49" s="454"/>
      <c r="AD49" s="454"/>
      <c r="AE49" s="454"/>
      <c r="AF49" s="454"/>
      <c r="AG49" s="454"/>
      <c r="AH49" s="454"/>
      <c r="AI49" s="454"/>
      <c r="AJ49" s="454"/>
      <c r="AK49" s="454"/>
      <c r="AL49" s="454"/>
    </row>
    <row r="50" spans="1:38" s="417" customFormat="1" ht="20.100000000000001" customHeight="1">
      <c r="A50" s="417" t="s">
        <v>450</v>
      </c>
      <c r="D50" s="458" t="e">
        <f>VLOOKUP(A50,#REF!,3,FALSE)</f>
        <v>#REF!</v>
      </c>
      <c r="E50" s="458">
        <v>0</v>
      </c>
      <c r="F50" s="458">
        <v>0</v>
      </c>
      <c r="G50" s="458">
        <v>0</v>
      </c>
      <c r="H50" s="458">
        <v>0</v>
      </c>
      <c r="I50" s="458">
        <v>0</v>
      </c>
      <c r="J50" s="458">
        <v>0</v>
      </c>
      <c r="K50" s="454"/>
      <c r="L50" s="457"/>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row>
    <row r="51" spans="1:38" s="417" customFormat="1" ht="20.100000000000001" customHeight="1">
      <c r="A51" s="417" t="s">
        <v>451</v>
      </c>
      <c r="D51" s="458">
        <v>0</v>
      </c>
      <c r="E51" s="458">
        <v>0</v>
      </c>
      <c r="F51" s="458">
        <v>0</v>
      </c>
      <c r="G51" s="458">
        <v>0</v>
      </c>
      <c r="H51" s="458">
        <v>0</v>
      </c>
      <c r="I51" s="458">
        <v>0</v>
      </c>
      <c r="J51" s="458">
        <v>0</v>
      </c>
      <c r="K51" s="454"/>
      <c r="L51" s="457"/>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4"/>
      <c r="AL51" s="454"/>
    </row>
    <row r="52" spans="1:38" s="417" customFormat="1" ht="20.100000000000001" hidden="1" customHeight="1">
      <c r="A52" s="417" t="s">
        <v>452</v>
      </c>
      <c r="D52" s="458" t="s">
        <v>58</v>
      </c>
      <c r="E52" s="460"/>
      <c r="F52" s="460"/>
      <c r="G52" s="458">
        <v>0</v>
      </c>
      <c r="H52" s="458">
        <v>0</v>
      </c>
      <c r="I52" s="458">
        <v>0</v>
      </c>
      <c r="J52" s="458">
        <v>0</v>
      </c>
      <c r="K52" s="454"/>
      <c r="L52" s="457"/>
      <c r="M52" s="454"/>
      <c r="N52" s="454"/>
      <c r="O52" s="454"/>
      <c r="P52" s="454"/>
      <c r="Q52" s="454"/>
      <c r="R52" s="454"/>
      <c r="S52" s="454"/>
      <c r="T52" s="454"/>
      <c r="U52" s="454"/>
      <c r="V52" s="454"/>
      <c r="W52" s="454"/>
      <c r="X52" s="454"/>
      <c r="Y52" s="454"/>
      <c r="Z52" s="454"/>
      <c r="AA52" s="454"/>
      <c r="AB52" s="454"/>
      <c r="AC52" s="454"/>
      <c r="AD52" s="454"/>
      <c r="AE52" s="454"/>
      <c r="AF52" s="454"/>
      <c r="AG52" s="454"/>
      <c r="AH52" s="454"/>
      <c r="AI52" s="454"/>
      <c r="AJ52" s="454"/>
      <c r="AK52" s="454"/>
      <c r="AL52" s="454"/>
    </row>
    <row r="53" spans="1:38" s="417" customFormat="1" ht="20.100000000000001" hidden="1" customHeight="1">
      <c r="A53" s="417" t="s">
        <v>453</v>
      </c>
      <c r="D53" s="458" t="s">
        <v>58</v>
      </c>
      <c r="E53" s="460"/>
      <c r="F53" s="460"/>
      <c r="G53" s="458">
        <v>0</v>
      </c>
      <c r="H53" s="458">
        <v>0</v>
      </c>
      <c r="I53" s="458">
        <v>0</v>
      </c>
      <c r="J53" s="458">
        <v>0</v>
      </c>
      <c r="K53" s="454"/>
      <c r="L53" s="457"/>
      <c r="M53" s="454"/>
      <c r="N53" s="454"/>
      <c r="O53" s="454"/>
      <c r="P53" s="454"/>
      <c r="Q53" s="454"/>
      <c r="R53" s="454"/>
      <c r="S53" s="454"/>
      <c r="T53" s="454"/>
      <c r="U53" s="454"/>
      <c r="V53" s="454"/>
      <c r="W53" s="454"/>
      <c r="X53" s="454"/>
      <c r="Y53" s="454"/>
      <c r="Z53" s="454"/>
      <c r="AA53" s="454"/>
      <c r="AB53" s="454"/>
      <c r="AC53" s="454"/>
      <c r="AD53" s="454"/>
      <c r="AE53" s="454"/>
      <c r="AF53" s="454"/>
      <c r="AG53" s="454"/>
      <c r="AH53" s="454"/>
      <c r="AI53" s="454"/>
      <c r="AJ53" s="454"/>
      <c r="AK53" s="454"/>
      <c r="AL53" s="454"/>
    </row>
    <row r="54" spans="1:38" ht="13.9" hidden="1" customHeight="1">
      <c r="D54" s="458" t="s">
        <v>58</v>
      </c>
    </row>
    <row r="55" spans="1:38" ht="18" hidden="1" customHeight="1">
      <c r="D55" s="458" t="s">
        <v>58</v>
      </c>
      <c r="E55" s="389"/>
      <c r="F55" s="389"/>
      <c r="G55" s="458">
        <v>0</v>
      </c>
      <c r="H55" s="458">
        <v>0</v>
      </c>
      <c r="I55" s="458">
        <v>0</v>
      </c>
      <c r="J55" s="458">
        <v>0</v>
      </c>
    </row>
    <row r="56" spans="1:38" s="417" customFormat="1" ht="20.100000000000001" customHeight="1">
      <c r="A56" s="417" t="s">
        <v>454</v>
      </c>
      <c r="D56" s="458" t="e">
        <f>VLOOKUP(A56,#REF!,3,FALSE)</f>
        <v>#REF!</v>
      </c>
      <c r="E56" s="458">
        <v>0</v>
      </c>
      <c r="F56" s="458">
        <v>0</v>
      </c>
      <c r="G56" s="458">
        <v>0</v>
      </c>
      <c r="H56" s="458">
        <v>0</v>
      </c>
      <c r="I56" s="458">
        <v>0</v>
      </c>
      <c r="J56" s="458">
        <v>0</v>
      </c>
      <c r="K56" s="454"/>
      <c r="L56" s="457"/>
      <c r="M56" s="454"/>
      <c r="N56" s="454"/>
      <c r="O56" s="454"/>
      <c r="P56" s="454"/>
      <c r="Q56" s="454"/>
      <c r="R56" s="454"/>
      <c r="S56" s="454"/>
      <c r="T56" s="454"/>
      <c r="U56" s="454"/>
      <c r="V56" s="454"/>
      <c r="W56" s="454"/>
      <c r="X56" s="454"/>
      <c r="Y56" s="454"/>
      <c r="Z56" s="454"/>
      <c r="AA56" s="454"/>
      <c r="AB56" s="454"/>
      <c r="AC56" s="454"/>
      <c r="AD56" s="454"/>
      <c r="AE56" s="454"/>
      <c r="AF56" s="454"/>
      <c r="AG56" s="454"/>
      <c r="AH56" s="454"/>
      <c r="AI56" s="454"/>
      <c r="AJ56" s="454"/>
      <c r="AK56" s="454"/>
      <c r="AL56" s="454"/>
    </row>
    <row r="57" spans="1:38" s="417" customFormat="1" ht="19.5" hidden="1" customHeight="1">
      <c r="A57" s="417" t="s">
        <v>455</v>
      </c>
      <c r="D57" s="458" t="s">
        <v>58</v>
      </c>
      <c r="E57" s="460"/>
      <c r="F57" s="460"/>
      <c r="G57" s="460"/>
      <c r="H57" s="458"/>
      <c r="I57" s="458"/>
      <c r="J57" s="460"/>
      <c r="K57" s="454"/>
      <c r="L57" s="457"/>
      <c r="M57" s="454"/>
      <c r="N57" s="454"/>
      <c r="O57" s="454"/>
      <c r="P57" s="454"/>
      <c r="Q57" s="454"/>
      <c r="R57" s="454"/>
      <c r="S57" s="454"/>
      <c r="T57" s="454"/>
      <c r="U57" s="454"/>
      <c r="V57" s="454"/>
      <c r="W57" s="454"/>
      <c r="X57" s="454"/>
      <c r="Y57" s="454"/>
      <c r="Z57" s="454"/>
      <c r="AA57" s="454"/>
      <c r="AB57" s="454"/>
      <c r="AC57" s="454"/>
      <c r="AD57" s="454"/>
      <c r="AE57" s="454"/>
      <c r="AF57" s="454"/>
      <c r="AG57" s="454"/>
      <c r="AH57" s="454"/>
      <c r="AI57" s="454"/>
      <c r="AJ57" s="454"/>
      <c r="AK57" s="454"/>
      <c r="AL57" s="454"/>
    </row>
    <row r="58" spans="1:38" s="417" customFormat="1" ht="20.100000000000001" customHeight="1">
      <c r="A58" s="417" t="s">
        <v>456</v>
      </c>
      <c r="D58" s="458" t="e">
        <f>VLOOKUP(A58,#REF!,3,FALSE)</f>
        <v>#REF!</v>
      </c>
      <c r="E58" s="458">
        <v>0</v>
      </c>
      <c r="F58" s="458">
        <v>0</v>
      </c>
      <c r="G58" s="458">
        <v>0</v>
      </c>
      <c r="H58" s="458">
        <v>0</v>
      </c>
      <c r="I58" s="458">
        <v>0</v>
      </c>
      <c r="J58" s="458">
        <v>0</v>
      </c>
      <c r="K58" s="454"/>
      <c r="L58" s="457"/>
      <c r="M58" s="454"/>
      <c r="N58" s="454"/>
      <c r="O58" s="454"/>
      <c r="P58" s="454"/>
      <c r="Q58" s="454"/>
      <c r="R58" s="454"/>
      <c r="S58" s="454"/>
      <c r="T58" s="454"/>
      <c r="U58" s="454"/>
      <c r="V58" s="454"/>
      <c r="W58" s="454"/>
      <c r="X58" s="454"/>
      <c r="Y58" s="454"/>
      <c r="Z58" s="454"/>
      <c r="AA58" s="454"/>
      <c r="AB58" s="454"/>
      <c r="AC58" s="454"/>
      <c r="AD58" s="454"/>
      <c r="AE58" s="454"/>
      <c r="AF58" s="454"/>
      <c r="AG58" s="454"/>
      <c r="AH58" s="454"/>
      <c r="AI58" s="454"/>
      <c r="AJ58" s="454"/>
      <c r="AK58" s="454"/>
      <c r="AL58" s="454"/>
    </row>
    <row r="59" spans="1:38" s="417" customFormat="1" ht="20.100000000000001" hidden="1" customHeight="1">
      <c r="A59" s="417" t="s">
        <v>457</v>
      </c>
      <c r="D59" s="458" t="s">
        <v>58</v>
      </c>
      <c r="E59" s="458">
        <v>0</v>
      </c>
      <c r="F59" s="458">
        <v>0</v>
      </c>
      <c r="G59" s="458">
        <v>0</v>
      </c>
      <c r="H59" s="458">
        <v>0</v>
      </c>
      <c r="I59" s="458">
        <v>0</v>
      </c>
      <c r="J59" s="458">
        <v>0</v>
      </c>
      <c r="K59" s="454"/>
      <c r="L59" s="457"/>
      <c r="M59" s="454"/>
      <c r="N59" s="454"/>
      <c r="O59" s="454"/>
      <c r="P59" s="454"/>
      <c r="Q59" s="454"/>
      <c r="R59" s="454"/>
      <c r="S59" s="454"/>
      <c r="T59" s="454"/>
      <c r="U59" s="454"/>
      <c r="V59" s="454"/>
      <c r="W59" s="454"/>
      <c r="X59" s="454"/>
      <c r="Y59" s="454"/>
      <c r="Z59" s="454"/>
      <c r="AA59" s="454"/>
      <c r="AB59" s="454"/>
      <c r="AC59" s="454"/>
      <c r="AD59" s="454"/>
      <c r="AE59" s="454"/>
      <c r="AF59" s="454"/>
      <c r="AG59" s="454"/>
      <c r="AH59" s="454"/>
      <c r="AI59" s="454"/>
      <c r="AJ59" s="454"/>
      <c r="AK59" s="454"/>
      <c r="AL59" s="454"/>
    </row>
    <row r="60" spans="1:38" s="417" customFormat="1" ht="20.100000000000001" hidden="1" customHeight="1">
      <c r="A60" s="417" t="s">
        <v>458</v>
      </c>
      <c r="D60" s="458" t="s">
        <v>58</v>
      </c>
      <c r="E60" s="458">
        <v>0</v>
      </c>
      <c r="F60" s="458">
        <v>0</v>
      </c>
      <c r="G60" s="458">
        <v>0</v>
      </c>
      <c r="H60" s="458">
        <v>0</v>
      </c>
      <c r="I60" s="458">
        <v>0</v>
      </c>
      <c r="J60" s="458">
        <v>0</v>
      </c>
      <c r="K60" s="454"/>
      <c r="L60" s="457"/>
      <c r="M60" s="454"/>
      <c r="N60" s="454"/>
      <c r="O60" s="454"/>
      <c r="P60" s="454"/>
      <c r="Q60" s="454"/>
      <c r="R60" s="454"/>
      <c r="S60" s="454"/>
      <c r="T60" s="454"/>
      <c r="U60" s="454"/>
      <c r="V60" s="454"/>
      <c r="W60" s="454"/>
      <c r="X60" s="454"/>
      <c r="Y60" s="454"/>
      <c r="Z60" s="454"/>
      <c r="AA60" s="454"/>
      <c r="AB60" s="454"/>
      <c r="AC60" s="454"/>
      <c r="AD60" s="454"/>
      <c r="AE60" s="454"/>
      <c r="AF60" s="454"/>
      <c r="AG60" s="454"/>
      <c r="AH60" s="454"/>
      <c r="AI60" s="454"/>
      <c r="AJ60" s="454"/>
      <c r="AK60" s="454"/>
      <c r="AL60" s="454"/>
    </row>
    <row r="61" spans="1:38" s="417" customFormat="1" ht="20.100000000000001" customHeight="1">
      <c r="A61" s="417" t="s">
        <v>459</v>
      </c>
      <c r="D61" s="458" t="e">
        <f>VLOOKUP(A61,#REF!,3,FALSE)</f>
        <v>#REF!</v>
      </c>
      <c r="E61" s="458">
        <v>0</v>
      </c>
      <c r="F61" s="458">
        <v>0</v>
      </c>
      <c r="G61" s="458">
        <v>0</v>
      </c>
      <c r="H61" s="458">
        <v>0</v>
      </c>
      <c r="I61" s="458">
        <v>0</v>
      </c>
      <c r="J61" s="458">
        <v>0</v>
      </c>
      <c r="K61" s="454"/>
      <c r="L61" s="457"/>
      <c r="M61" s="454"/>
      <c r="N61" s="454"/>
      <c r="O61" s="454"/>
      <c r="P61" s="454"/>
      <c r="Q61" s="454"/>
      <c r="R61" s="454"/>
      <c r="S61" s="454"/>
      <c r="T61" s="454"/>
      <c r="U61" s="454"/>
      <c r="V61" s="454"/>
      <c r="W61" s="454"/>
      <c r="X61" s="454"/>
      <c r="Y61" s="454"/>
      <c r="Z61" s="454"/>
      <c r="AA61" s="454"/>
      <c r="AB61" s="454"/>
      <c r="AC61" s="454"/>
      <c r="AD61" s="454"/>
      <c r="AE61" s="454"/>
      <c r="AF61" s="454"/>
      <c r="AG61" s="454"/>
      <c r="AH61" s="454"/>
      <c r="AI61" s="454"/>
      <c r="AJ61" s="454"/>
      <c r="AK61" s="454"/>
      <c r="AL61" s="454"/>
    </row>
    <row r="62" spans="1:38" s="417" customFormat="1" ht="20.100000000000001" customHeight="1">
      <c r="A62" s="417" t="s">
        <v>570</v>
      </c>
      <c r="D62" s="458" t="e">
        <f>VLOOKUP(A62,#REF!,3,FALSE)</f>
        <v>#REF!</v>
      </c>
      <c r="E62" s="458">
        <f>'CRA-Beach'!L28+'CRA-NW Progresso'!L29-'CRA-Beach'!L27-'CRA-NW Progresso'!L25</f>
        <v>12213467</v>
      </c>
      <c r="F62" s="460">
        <v>0</v>
      </c>
      <c r="G62" s="458">
        <f>'Beach Bus Improv District'!L21</f>
        <v>699107</v>
      </c>
      <c r="H62" s="460">
        <f>'Housing and Community Dev'!L27-'Housing and Community Dev'!L26</f>
        <v>9371773</v>
      </c>
      <c r="I62" s="460" t="e">
        <f>#REF!+#REF!+#REF!-#REF!</f>
        <v>#REF!</v>
      </c>
      <c r="J62" s="460">
        <v>0</v>
      </c>
      <c r="K62" s="454"/>
      <c r="L62" s="457"/>
      <c r="M62" s="454"/>
      <c r="N62" s="454"/>
      <c r="O62" s="454"/>
      <c r="P62" s="454"/>
      <c r="Q62" s="454"/>
      <c r="R62" s="454"/>
      <c r="S62" s="454"/>
      <c r="T62" s="454"/>
      <c r="U62" s="454"/>
      <c r="V62" s="454"/>
      <c r="W62" s="454"/>
      <c r="X62" s="454"/>
      <c r="Y62" s="454"/>
      <c r="Z62" s="454"/>
      <c r="AA62" s="454"/>
      <c r="AB62" s="454"/>
      <c r="AC62" s="454"/>
      <c r="AD62" s="454"/>
      <c r="AE62" s="454"/>
      <c r="AF62" s="454"/>
      <c r="AG62" s="454"/>
      <c r="AH62" s="454"/>
      <c r="AI62" s="454"/>
      <c r="AJ62" s="454"/>
      <c r="AK62" s="454"/>
      <c r="AL62" s="454"/>
    </row>
    <row r="63" spans="1:38" s="417" customFormat="1" ht="20.100000000000001" customHeight="1">
      <c r="A63" s="417" t="s">
        <v>476</v>
      </c>
      <c r="D63" s="458" t="e">
        <f>VLOOKUP(A63,#REF!,3,FALSE)</f>
        <v>#REF!</v>
      </c>
      <c r="E63" s="458">
        <v>0</v>
      </c>
      <c r="F63" s="458">
        <v>0</v>
      </c>
      <c r="G63" s="458">
        <v>0</v>
      </c>
      <c r="H63" s="458">
        <v>0</v>
      </c>
      <c r="I63" s="458">
        <v>0</v>
      </c>
      <c r="J63" s="458">
        <v>0</v>
      </c>
      <c r="K63" s="454"/>
      <c r="L63" s="457"/>
      <c r="M63" s="454"/>
      <c r="N63" s="454"/>
      <c r="O63" s="454"/>
      <c r="P63" s="454"/>
      <c r="Q63" s="454"/>
      <c r="R63" s="454"/>
      <c r="S63" s="454"/>
      <c r="T63" s="454"/>
      <c r="U63" s="454"/>
      <c r="V63" s="454"/>
      <c r="W63" s="454"/>
      <c r="X63" s="454"/>
      <c r="Y63" s="454"/>
      <c r="Z63" s="454"/>
      <c r="AA63" s="454"/>
      <c r="AB63" s="454"/>
      <c r="AC63" s="454"/>
      <c r="AD63" s="454"/>
      <c r="AE63" s="454"/>
      <c r="AF63" s="454"/>
      <c r="AG63" s="454"/>
      <c r="AH63" s="454"/>
      <c r="AI63" s="454"/>
      <c r="AJ63" s="454"/>
      <c r="AK63" s="454"/>
      <c r="AL63" s="454"/>
    </row>
    <row r="64" spans="1:38" s="417" customFormat="1" ht="20.100000000000001" hidden="1" customHeight="1">
      <c r="A64" s="417" t="s">
        <v>16</v>
      </c>
      <c r="D64" s="458" t="s">
        <v>58</v>
      </c>
      <c r="E64" s="460"/>
      <c r="F64" s="460"/>
      <c r="G64" s="460"/>
      <c r="H64" s="460"/>
      <c r="I64" s="460"/>
      <c r="J64" s="458"/>
      <c r="K64" s="454"/>
      <c r="L64" s="457"/>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row>
    <row r="65" spans="1:38" s="417" customFormat="1" ht="20.100000000000001" hidden="1" customHeight="1">
      <c r="A65" s="417" t="s">
        <v>461</v>
      </c>
      <c r="D65" s="460" t="s">
        <v>58</v>
      </c>
      <c r="E65" s="460"/>
      <c r="F65" s="460"/>
      <c r="G65" s="460"/>
      <c r="H65" s="460"/>
      <c r="I65" s="460"/>
      <c r="J65" s="458"/>
      <c r="K65" s="454"/>
      <c r="L65" s="457"/>
      <c r="M65" s="454"/>
      <c r="N65" s="454"/>
      <c r="O65" s="454"/>
      <c r="P65" s="454"/>
      <c r="Q65" s="454"/>
      <c r="R65" s="454"/>
      <c r="S65" s="454"/>
      <c r="T65" s="454"/>
      <c r="U65" s="454"/>
      <c r="V65" s="454"/>
      <c r="W65" s="454"/>
      <c r="X65" s="454"/>
      <c r="Y65" s="454"/>
      <c r="Z65" s="454"/>
      <c r="AA65" s="454"/>
      <c r="AB65" s="454"/>
      <c r="AC65" s="454"/>
      <c r="AD65" s="454"/>
      <c r="AE65" s="454"/>
      <c r="AF65" s="454"/>
      <c r="AG65" s="454"/>
      <c r="AH65" s="454"/>
      <c r="AI65" s="454"/>
      <c r="AJ65" s="454"/>
      <c r="AK65" s="454"/>
      <c r="AL65" s="454"/>
    </row>
    <row r="66" spans="1:38" s="363" customFormat="1" ht="18.75">
      <c r="A66" s="454" t="s">
        <v>16</v>
      </c>
      <c r="D66" s="458" t="e">
        <f>VLOOKUP(A66,#REF!,3,FALSE)</f>
        <v>#REF!</v>
      </c>
      <c r="E66" s="458">
        <v>0</v>
      </c>
      <c r="F66" s="458">
        <v>0</v>
      </c>
      <c r="G66" s="458">
        <v>0</v>
      </c>
      <c r="H66" s="458">
        <v>0</v>
      </c>
      <c r="I66" s="458">
        <v>0</v>
      </c>
      <c r="J66" s="458" t="e">
        <f>#REF!+#REF!+#REF!+#REF!+#REF!</f>
        <v>#REF!</v>
      </c>
      <c r="L66" s="364"/>
    </row>
    <row r="67" spans="1:38" s="417" customFormat="1" ht="20.100000000000001" customHeight="1">
      <c r="A67" s="417" t="s">
        <v>460</v>
      </c>
      <c r="D67" s="458" t="e">
        <f>VLOOKUP(A67,#REF!,3,FALSE)</f>
        <v>#REF!</v>
      </c>
      <c r="E67" s="460">
        <v>0</v>
      </c>
      <c r="F67" s="458">
        <f>'Sunrise Key'!L21</f>
        <v>80308.3</v>
      </c>
      <c r="G67" s="458">
        <v>0</v>
      </c>
      <c r="H67" s="458">
        <v>0</v>
      </c>
      <c r="I67" s="458">
        <v>0</v>
      </c>
      <c r="J67" s="458">
        <v>0</v>
      </c>
      <c r="K67" s="454"/>
      <c r="L67" s="457"/>
      <c r="M67" s="454"/>
      <c r="N67" s="454"/>
      <c r="O67" s="454"/>
      <c r="P67" s="454"/>
      <c r="Q67" s="454"/>
      <c r="R67" s="454"/>
      <c r="S67" s="454"/>
      <c r="T67" s="454"/>
      <c r="U67" s="454"/>
      <c r="V67" s="454"/>
      <c r="W67" s="454"/>
      <c r="X67" s="454"/>
      <c r="Y67" s="454"/>
      <c r="Z67" s="454"/>
      <c r="AA67" s="454"/>
      <c r="AB67" s="454"/>
      <c r="AC67" s="454"/>
      <c r="AD67" s="454"/>
      <c r="AE67" s="454"/>
      <c r="AF67" s="454"/>
      <c r="AG67" s="454"/>
      <c r="AH67" s="454"/>
      <c r="AI67" s="454"/>
      <c r="AJ67" s="454"/>
      <c r="AK67" s="454"/>
      <c r="AL67" s="454"/>
    </row>
    <row r="68" spans="1:38" s="417" customFormat="1" ht="20.100000000000001" customHeight="1">
      <c r="A68" s="417" t="s">
        <v>574</v>
      </c>
      <c r="C68" s="417" t="s">
        <v>424</v>
      </c>
      <c r="D68" s="463" t="e">
        <f t="shared" ref="D68:J68" si="4">SUM(D40:D67)</f>
        <v>#REF!</v>
      </c>
      <c r="E68" s="463">
        <f t="shared" si="4"/>
        <v>12213467</v>
      </c>
      <c r="F68" s="463">
        <f t="shared" si="4"/>
        <v>80308.3</v>
      </c>
      <c r="G68" s="463">
        <f t="shared" si="4"/>
        <v>699107</v>
      </c>
      <c r="H68" s="463">
        <f t="shared" si="4"/>
        <v>9371773</v>
      </c>
      <c r="I68" s="463" t="e">
        <f t="shared" si="4"/>
        <v>#REF!</v>
      </c>
      <c r="J68" s="463" t="e">
        <f t="shared" si="4"/>
        <v>#REF!</v>
      </c>
      <c r="K68" s="465"/>
      <c r="L68" s="457"/>
      <c r="M68" s="454"/>
      <c r="N68" s="454"/>
      <c r="O68" s="454"/>
      <c r="P68" s="454"/>
      <c r="Q68" s="454"/>
      <c r="R68" s="454"/>
      <c r="S68" s="454"/>
      <c r="T68" s="454"/>
      <c r="U68" s="454"/>
      <c r="V68" s="454"/>
      <c r="W68" s="454"/>
      <c r="X68" s="454"/>
      <c r="Y68" s="454"/>
      <c r="Z68" s="454"/>
      <c r="AA68" s="454"/>
      <c r="AB68" s="454"/>
      <c r="AC68" s="454"/>
      <c r="AD68" s="454"/>
      <c r="AE68" s="454"/>
      <c r="AF68" s="454"/>
      <c r="AG68" s="454"/>
      <c r="AH68" s="454"/>
      <c r="AI68" s="454"/>
      <c r="AJ68" s="454"/>
      <c r="AK68" s="454"/>
      <c r="AL68" s="454"/>
    </row>
    <row r="69" spans="1:38" s="417" customFormat="1" ht="12.75" customHeight="1">
      <c r="D69" s="459"/>
      <c r="E69" s="458"/>
      <c r="F69" s="458"/>
      <c r="G69" s="458"/>
      <c r="H69" s="458"/>
      <c r="I69" s="458"/>
      <c r="J69" s="458"/>
      <c r="K69" s="454"/>
      <c r="L69" s="457"/>
      <c r="M69" s="454"/>
      <c r="N69" s="454"/>
      <c r="O69" s="454"/>
      <c r="P69" s="454"/>
      <c r="Q69" s="454"/>
      <c r="R69" s="454"/>
      <c r="S69" s="454"/>
      <c r="T69" s="454"/>
      <c r="U69" s="454"/>
      <c r="V69" s="454"/>
      <c r="W69" s="454"/>
      <c r="X69" s="454"/>
      <c r="Y69" s="454"/>
      <c r="Z69" s="454"/>
      <c r="AA69" s="454"/>
      <c r="AB69" s="454"/>
      <c r="AC69" s="454"/>
      <c r="AD69" s="454"/>
      <c r="AE69" s="454"/>
      <c r="AF69" s="454"/>
      <c r="AG69" s="454"/>
      <c r="AH69" s="454"/>
      <c r="AI69" s="454"/>
      <c r="AJ69" s="454"/>
      <c r="AK69" s="454"/>
      <c r="AL69" s="454"/>
    </row>
    <row r="70" spans="1:38" s="417" customFormat="1" ht="14.25" customHeight="1">
      <c r="A70" s="417" t="s">
        <v>462</v>
      </c>
      <c r="D70" s="459"/>
      <c r="E70" s="565"/>
      <c r="F70" s="458"/>
      <c r="G70" s="458"/>
      <c r="H70" s="458"/>
      <c r="I70" s="458"/>
      <c r="J70" s="458"/>
      <c r="K70" s="454"/>
      <c r="L70" s="457"/>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row>
    <row r="71" spans="1:38" s="417" customFormat="1" ht="18" customHeight="1">
      <c r="A71" s="417" t="s">
        <v>463</v>
      </c>
      <c r="D71" s="458">
        <f>'[1]GF Expend'!$G$54</f>
        <v>2661304</v>
      </c>
      <c r="E71" s="458" t="e">
        <f>#REF!</f>
        <v>#REF!</v>
      </c>
      <c r="F71" s="458">
        <v>0</v>
      </c>
      <c r="G71" s="458">
        <v>0</v>
      </c>
      <c r="H71" s="458">
        <v>0</v>
      </c>
      <c r="I71" s="458" t="e">
        <f>#REF!</f>
        <v>#REF!</v>
      </c>
      <c r="J71" s="458">
        <v>0</v>
      </c>
      <c r="K71" s="454"/>
      <c r="L71" s="457"/>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row>
    <row r="72" spans="1:38" s="417" customFormat="1" ht="18" customHeight="1">
      <c r="A72" s="417" t="s">
        <v>464</v>
      </c>
      <c r="D72" s="458">
        <f>'[1]GF Expend'!$G$55</f>
        <v>0</v>
      </c>
      <c r="E72" s="458">
        <v>0</v>
      </c>
      <c r="F72" s="458">
        <v>0</v>
      </c>
      <c r="G72" s="458">
        <v>0</v>
      </c>
      <c r="H72" s="458">
        <v>0</v>
      </c>
      <c r="I72" s="458">
        <v>0</v>
      </c>
      <c r="J72" s="458">
        <v>0</v>
      </c>
      <c r="K72" s="454"/>
      <c r="L72" s="457"/>
      <c r="M72" s="454"/>
      <c r="N72" s="454"/>
      <c r="O72" s="454"/>
      <c r="P72" s="454"/>
      <c r="Q72" s="454"/>
      <c r="R72" s="454"/>
      <c r="S72" s="454"/>
      <c r="T72" s="454"/>
      <c r="U72" s="454"/>
      <c r="V72" s="454"/>
      <c r="W72" s="454"/>
      <c r="X72" s="454"/>
      <c r="Y72" s="454"/>
      <c r="Z72" s="454"/>
      <c r="AA72" s="454"/>
      <c r="AB72" s="454"/>
      <c r="AC72" s="454"/>
      <c r="AD72" s="454"/>
      <c r="AE72" s="454"/>
      <c r="AF72" s="454"/>
      <c r="AG72" s="454"/>
      <c r="AH72" s="454"/>
      <c r="AI72" s="454"/>
      <c r="AJ72" s="454"/>
      <c r="AK72" s="454"/>
      <c r="AL72" s="454"/>
    </row>
    <row r="73" spans="1:38" s="417" customFormat="1" ht="18" customHeight="1">
      <c r="A73" s="417" t="s">
        <v>465</v>
      </c>
      <c r="D73" s="472">
        <f>'[1]GF Expend'!$G$56</f>
        <v>0</v>
      </c>
      <c r="E73" s="458" t="e">
        <f>'CRA-Beach'!L27+'CRA-NW Progresso'!L25-#REF!</f>
        <v>#REF!</v>
      </c>
      <c r="F73" s="458">
        <v>0</v>
      </c>
      <c r="G73" s="458">
        <v>0</v>
      </c>
      <c r="H73" s="458">
        <f>'Housing and Community Dev'!L26</f>
        <v>0</v>
      </c>
      <c r="I73" s="458">
        <v>0</v>
      </c>
      <c r="J73" s="458">
        <v>0</v>
      </c>
      <c r="K73" s="454"/>
      <c r="L73" s="457"/>
      <c r="M73" s="454"/>
      <c r="N73" s="454"/>
      <c r="O73" s="454"/>
      <c r="P73" s="454"/>
      <c r="Q73" s="454"/>
      <c r="R73" s="454"/>
      <c r="S73" s="454"/>
      <c r="T73" s="454"/>
      <c r="U73" s="454"/>
      <c r="V73" s="454"/>
      <c r="W73" s="454"/>
      <c r="X73" s="454"/>
      <c r="Y73" s="454"/>
      <c r="Z73" s="454"/>
      <c r="AA73" s="454"/>
      <c r="AB73" s="454"/>
      <c r="AC73" s="454"/>
      <c r="AD73" s="454"/>
      <c r="AE73" s="454"/>
      <c r="AF73" s="454"/>
      <c r="AG73" s="454"/>
      <c r="AH73" s="454"/>
      <c r="AI73" s="454"/>
      <c r="AJ73" s="454"/>
      <c r="AK73" s="454"/>
      <c r="AL73" s="454"/>
    </row>
    <row r="74" spans="1:38" s="417" customFormat="1" ht="18" customHeight="1">
      <c r="A74" s="417" t="s">
        <v>587</v>
      </c>
      <c r="C74" s="417" t="s">
        <v>424</v>
      </c>
      <c r="D74" s="462">
        <f t="shared" ref="D74:J74" si="5">SUM(D71:D73)</f>
        <v>2661304</v>
      </c>
      <c r="E74" s="463" t="e">
        <f t="shared" si="5"/>
        <v>#REF!</v>
      </c>
      <c r="F74" s="463">
        <f t="shared" si="5"/>
        <v>0</v>
      </c>
      <c r="G74" s="463">
        <f t="shared" si="5"/>
        <v>0</v>
      </c>
      <c r="H74" s="463">
        <f t="shared" si="5"/>
        <v>0</v>
      </c>
      <c r="I74" s="463" t="e">
        <f t="shared" si="5"/>
        <v>#REF!</v>
      </c>
      <c r="J74" s="463">
        <f t="shared" si="5"/>
        <v>0</v>
      </c>
      <c r="K74" s="454"/>
      <c r="L74" s="457"/>
      <c r="M74" s="454"/>
      <c r="N74" s="454"/>
      <c r="O74" s="454"/>
      <c r="P74" s="454"/>
      <c r="Q74" s="454"/>
      <c r="R74" s="454"/>
      <c r="S74" s="454"/>
      <c r="T74" s="454"/>
      <c r="U74" s="454"/>
      <c r="V74" s="454"/>
      <c r="W74" s="454"/>
      <c r="X74" s="454"/>
      <c r="Y74" s="454"/>
      <c r="Z74" s="454"/>
      <c r="AA74" s="454"/>
      <c r="AB74" s="454"/>
      <c r="AC74" s="454"/>
      <c r="AD74" s="454"/>
      <c r="AE74" s="454"/>
      <c r="AF74" s="454"/>
      <c r="AG74" s="454"/>
      <c r="AH74" s="454"/>
      <c r="AI74" s="454"/>
      <c r="AJ74" s="454"/>
      <c r="AK74" s="454"/>
      <c r="AL74" s="454"/>
    </row>
    <row r="75" spans="1:38" s="417" customFormat="1" ht="18.75">
      <c r="D75" s="459"/>
      <c r="E75" s="458"/>
      <c r="F75" s="458"/>
      <c r="G75" s="458"/>
      <c r="H75" s="458"/>
      <c r="I75" s="458"/>
      <c r="J75" s="458"/>
      <c r="K75" s="454"/>
      <c r="L75" s="457"/>
      <c r="M75" s="454"/>
      <c r="N75" s="454"/>
      <c r="O75" s="454"/>
      <c r="P75" s="454"/>
      <c r="Q75" s="454"/>
      <c r="R75" s="454"/>
      <c r="S75" s="454"/>
      <c r="T75" s="454"/>
      <c r="U75" s="454"/>
      <c r="V75" s="454"/>
      <c r="W75" s="454"/>
      <c r="X75" s="454"/>
      <c r="Y75" s="454"/>
      <c r="Z75" s="454"/>
      <c r="AA75" s="454"/>
      <c r="AB75" s="454"/>
      <c r="AC75" s="454"/>
      <c r="AD75" s="454"/>
      <c r="AE75" s="454"/>
      <c r="AF75" s="454"/>
      <c r="AG75" s="454"/>
      <c r="AH75" s="454"/>
      <c r="AI75" s="454"/>
      <c r="AJ75" s="454"/>
      <c r="AK75" s="454"/>
      <c r="AL75" s="454"/>
    </row>
    <row r="76" spans="1:38" s="417" customFormat="1" ht="17.25" customHeight="1">
      <c r="A76" s="417" t="s">
        <v>466</v>
      </c>
      <c r="D76" s="459"/>
      <c r="E76" s="458"/>
      <c r="F76" s="458"/>
      <c r="G76" s="458"/>
      <c r="H76" s="458"/>
      <c r="I76" s="458"/>
      <c r="J76" s="458"/>
      <c r="K76" s="454"/>
      <c r="L76" s="457"/>
      <c r="M76" s="454"/>
      <c r="N76" s="454"/>
      <c r="O76" s="454"/>
      <c r="P76" s="454"/>
      <c r="Q76" s="454"/>
      <c r="R76" s="454"/>
      <c r="S76" s="454"/>
      <c r="T76" s="454"/>
      <c r="U76" s="454"/>
      <c r="V76" s="454"/>
      <c r="W76" s="454"/>
      <c r="X76" s="454"/>
      <c r="Y76" s="454"/>
      <c r="Z76" s="454"/>
      <c r="AA76" s="454"/>
      <c r="AB76" s="454"/>
      <c r="AC76" s="454"/>
      <c r="AD76" s="454"/>
      <c r="AE76" s="454"/>
      <c r="AF76" s="454"/>
      <c r="AG76" s="454"/>
      <c r="AH76" s="454"/>
      <c r="AI76" s="454"/>
      <c r="AJ76" s="454"/>
      <c r="AK76" s="454"/>
      <c r="AL76" s="454"/>
    </row>
    <row r="77" spans="1:38" s="417" customFormat="1" ht="18" customHeight="1">
      <c r="A77" s="417" t="s">
        <v>36</v>
      </c>
      <c r="D77" s="458">
        <f>'001 General Fund'!K53</f>
        <v>54350613</v>
      </c>
      <c r="E77" s="458">
        <f>'CRA-NW Progresso'!L32</f>
        <v>0</v>
      </c>
      <c r="F77" s="458">
        <f>'Sunrise Key'!L24</f>
        <v>99940.169999999969</v>
      </c>
      <c r="G77" s="458">
        <f>'Beach Bus Improv District'!L25</f>
        <v>404874</v>
      </c>
      <c r="H77" s="458">
        <v>0</v>
      </c>
      <c r="I77" s="458" t="e">
        <f>#REF!+#REF!+#REF!</f>
        <v>#REF!</v>
      </c>
      <c r="J77" s="458">
        <v>0</v>
      </c>
      <c r="K77" s="454"/>
      <c r="L77" s="457"/>
      <c r="M77" s="454"/>
      <c r="N77" s="454"/>
      <c r="O77" s="454"/>
      <c r="P77" s="454"/>
      <c r="Q77" s="454"/>
      <c r="R77" s="454"/>
      <c r="S77" s="454"/>
      <c r="T77" s="454"/>
      <c r="U77" s="454"/>
      <c r="V77" s="454"/>
      <c r="W77" s="454"/>
      <c r="X77" s="454"/>
      <c r="Y77" s="454"/>
      <c r="Z77" s="454"/>
      <c r="AA77" s="454"/>
      <c r="AB77" s="454"/>
      <c r="AC77" s="454"/>
      <c r="AD77" s="454"/>
      <c r="AE77" s="454"/>
      <c r="AF77" s="454"/>
      <c r="AG77" s="454"/>
      <c r="AH77" s="454"/>
      <c r="AI77" s="454"/>
      <c r="AJ77" s="454"/>
      <c r="AK77" s="454"/>
      <c r="AL77" s="454"/>
    </row>
    <row r="78" spans="1:38" s="417" customFormat="1" ht="18" customHeight="1">
      <c r="A78" s="417" t="s">
        <v>37</v>
      </c>
      <c r="D78" s="458">
        <v>0</v>
      </c>
      <c r="E78" s="458">
        <v>0</v>
      </c>
      <c r="F78" s="458">
        <v>0</v>
      </c>
      <c r="G78" s="458">
        <v>0</v>
      </c>
      <c r="H78" s="458">
        <v>0</v>
      </c>
      <c r="I78" s="458">
        <v>0</v>
      </c>
      <c r="J78" s="458">
        <v>0</v>
      </c>
      <c r="K78" s="454"/>
      <c r="L78" s="457"/>
      <c r="M78" s="454"/>
      <c r="N78" s="454"/>
      <c r="O78" s="454"/>
      <c r="P78" s="454"/>
      <c r="Q78" s="454"/>
      <c r="R78" s="454"/>
      <c r="S78" s="454"/>
      <c r="T78" s="454"/>
      <c r="U78" s="454"/>
      <c r="V78" s="454"/>
      <c r="W78" s="454"/>
      <c r="X78" s="454"/>
      <c r="Y78" s="454"/>
      <c r="Z78" s="454"/>
      <c r="AA78" s="454"/>
      <c r="AB78" s="454"/>
      <c r="AC78" s="454"/>
      <c r="AD78" s="454"/>
      <c r="AE78" s="454"/>
      <c r="AF78" s="454"/>
      <c r="AG78" s="454"/>
      <c r="AH78" s="454"/>
      <c r="AI78" s="454"/>
      <c r="AJ78" s="454"/>
      <c r="AK78" s="454"/>
      <c r="AL78" s="454"/>
    </row>
    <row r="79" spans="1:38" s="417" customFormat="1" ht="18" customHeight="1">
      <c r="A79" s="417" t="s">
        <v>690</v>
      </c>
      <c r="D79" s="458">
        <f>'001 General Fund'!K52</f>
        <v>888679</v>
      </c>
      <c r="E79" s="458"/>
      <c r="F79" s="458"/>
      <c r="G79" s="458"/>
      <c r="H79" s="458"/>
      <c r="I79" s="458"/>
      <c r="J79" s="458"/>
      <c r="K79" s="454"/>
      <c r="L79" s="457"/>
      <c r="M79" s="454"/>
      <c r="N79" s="454"/>
      <c r="O79" s="454"/>
      <c r="P79" s="454"/>
      <c r="Q79" s="454"/>
      <c r="R79" s="454"/>
      <c r="S79" s="454"/>
      <c r="T79" s="454"/>
      <c r="U79" s="454"/>
      <c r="V79" s="454"/>
      <c r="W79" s="454"/>
      <c r="X79" s="454"/>
      <c r="Y79" s="454"/>
      <c r="Z79" s="454"/>
      <c r="AA79" s="454"/>
      <c r="AB79" s="454"/>
      <c r="AC79" s="454"/>
      <c r="AD79" s="454"/>
      <c r="AE79" s="454"/>
      <c r="AF79" s="454"/>
      <c r="AG79" s="454"/>
      <c r="AH79" s="454"/>
      <c r="AI79" s="454"/>
      <c r="AJ79" s="454"/>
      <c r="AK79" s="454"/>
      <c r="AL79" s="454"/>
    </row>
    <row r="80" spans="1:38" s="417" customFormat="1" ht="18" customHeight="1">
      <c r="A80" s="417" t="s">
        <v>749</v>
      </c>
      <c r="D80" s="470">
        <v>0</v>
      </c>
      <c r="E80" s="470">
        <v>0</v>
      </c>
      <c r="F80" s="458">
        <v>0</v>
      </c>
      <c r="G80" s="458">
        <v>0</v>
      </c>
      <c r="H80" s="458">
        <v>0</v>
      </c>
      <c r="I80" s="458" t="e">
        <f>#REF!+#REF!+#REF!</f>
        <v>#REF!</v>
      </c>
      <c r="J80" s="470" t="e">
        <f>#REF!+#REF!+#REF!+#REF!</f>
        <v>#REF!</v>
      </c>
      <c r="K80" s="454"/>
      <c r="L80" s="457"/>
      <c r="M80" s="454"/>
      <c r="N80" s="454"/>
      <c r="O80" s="454"/>
      <c r="P80" s="454"/>
      <c r="Q80" s="454"/>
      <c r="R80" s="454"/>
      <c r="S80" s="454"/>
      <c r="T80" s="454"/>
      <c r="U80" s="454"/>
      <c r="V80" s="454"/>
      <c r="W80" s="454"/>
      <c r="X80" s="454"/>
      <c r="Y80" s="454"/>
      <c r="Z80" s="454"/>
      <c r="AA80" s="454"/>
      <c r="AB80" s="454"/>
      <c r="AC80" s="454"/>
      <c r="AD80" s="454"/>
      <c r="AE80" s="454"/>
      <c r="AF80" s="454"/>
      <c r="AG80" s="454"/>
      <c r="AH80" s="454"/>
      <c r="AI80" s="454"/>
      <c r="AJ80" s="454"/>
      <c r="AK80" s="454"/>
      <c r="AL80" s="454"/>
    </row>
    <row r="81" spans="1:38" s="417" customFormat="1" ht="18" customHeight="1">
      <c r="A81" s="417" t="s">
        <v>468</v>
      </c>
      <c r="C81" s="417" t="s">
        <v>424</v>
      </c>
      <c r="D81" s="462">
        <f t="shared" ref="D81:J81" si="6">SUM(D77:D80)</f>
        <v>55239292</v>
      </c>
      <c r="E81" s="463">
        <f t="shared" si="6"/>
        <v>0</v>
      </c>
      <c r="F81" s="463">
        <f t="shared" si="6"/>
        <v>99940.169999999969</v>
      </c>
      <c r="G81" s="463">
        <f t="shared" si="6"/>
        <v>404874</v>
      </c>
      <c r="H81" s="463">
        <f t="shared" si="6"/>
        <v>0</v>
      </c>
      <c r="I81" s="463" t="e">
        <f t="shared" si="6"/>
        <v>#REF!</v>
      </c>
      <c r="J81" s="463" t="e">
        <f t="shared" si="6"/>
        <v>#REF!</v>
      </c>
      <c r="K81" s="454"/>
      <c r="L81" s="457"/>
      <c r="M81" s="454"/>
      <c r="N81" s="454"/>
      <c r="O81" s="454"/>
      <c r="P81" s="454"/>
      <c r="Q81" s="454"/>
      <c r="R81" s="454"/>
      <c r="S81" s="454"/>
      <c r="T81" s="454"/>
      <c r="U81" s="454"/>
      <c r="V81" s="454"/>
      <c r="W81" s="454"/>
      <c r="X81" s="454"/>
      <c r="Y81" s="454"/>
      <c r="Z81" s="454"/>
      <c r="AA81" s="454"/>
      <c r="AB81" s="454"/>
      <c r="AC81" s="454"/>
      <c r="AD81" s="454"/>
      <c r="AE81" s="454"/>
      <c r="AF81" s="454"/>
      <c r="AG81" s="454"/>
      <c r="AH81" s="454"/>
      <c r="AI81" s="454"/>
      <c r="AJ81" s="454"/>
      <c r="AK81" s="454"/>
      <c r="AL81" s="454"/>
    </row>
    <row r="82" spans="1:38" s="417" customFormat="1" ht="8.25" customHeight="1">
      <c r="D82" s="469"/>
      <c r="E82" s="454"/>
      <c r="F82" s="454"/>
      <c r="G82" s="454"/>
      <c r="H82" s="454"/>
      <c r="I82" s="454"/>
      <c r="J82" s="454"/>
      <c r="K82" s="454"/>
      <c r="L82" s="457"/>
      <c r="M82" s="454"/>
      <c r="N82" s="454"/>
      <c r="O82" s="454"/>
      <c r="P82" s="454"/>
      <c r="Q82" s="454"/>
      <c r="R82" s="454"/>
      <c r="S82" s="454"/>
      <c r="T82" s="454"/>
      <c r="U82" s="454"/>
      <c r="V82" s="454"/>
      <c r="W82" s="454"/>
      <c r="X82" s="454"/>
      <c r="Y82" s="454"/>
      <c r="Z82" s="454"/>
      <c r="AA82" s="454"/>
      <c r="AB82" s="454"/>
      <c r="AC82" s="454"/>
      <c r="AD82" s="454"/>
      <c r="AE82" s="454"/>
      <c r="AF82" s="454"/>
      <c r="AG82" s="454"/>
      <c r="AH82" s="454"/>
      <c r="AI82" s="454"/>
      <c r="AJ82" s="454"/>
      <c r="AK82" s="454"/>
      <c r="AL82" s="454"/>
    </row>
    <row r="83" spans="1:38" s="417" customFormat="1" ht="21.95" customHeight="1" thickBot="1">
      <c r="A83" s="476" t="s">
        <v>25</v>
      </c>
      <c r="B83" s="449"/>
      <c r="C83" s="417" t="s">
        <v>424</v>
      </c>
      <c r="D83" s="480" t="e">
        <f>D68+D74+D81</f>
        <v>#REF!</v>
      </c>
      <c r="E83" s="480" t="e">
        <f t="shared" ref="E83:J83" si="7">E68+E74+E81</f>
        <v>#REF!</v>
      </c>
      <c r="F83" s="480">
        <f t="shared" si="7"/>
        <v>180248.46999999997</v>
      </c>
      <c r="G83" s="480">
        <f t="shared" si="7"/>
        <v>1103981</v>
      </c>
      <c r="H83" s="480">
        <f t="shared" si="7"/>
        <v>9371773</v>
      </c>
      <c r="I83" s="480" t="e">
        <f t="shared" si="7"/>
        <v>#REF!</v>
      </c>
      <c r="J83" s="482" t="e">
        <f t="shared" si="7"/>
        <v>#REF!</v>
      </c>
      <c r="K83" s="465" t="s">
        <v>58</v>
      </c>
      <c r="L83" s="457"/>
      <c r="M83" s="454"/>
      <c r="N83" s="454"/>
      <c r="O83" s="454"/>
      <c r="P83" s="454"/>
      <c r="Q83" s="454"/>
      <c r="R83" s="454"/>
      <c r="S83" s="454"/>
      <c r="T83" s="454"/>
      <c r="U83" s="454"/>
      <c r="V83" s="454"/>
      <c r="W83" s="454"/>
      <c r="X83" s="454"/>
      <c r="Y83" s="454"/>
      <c r="Z83" s="454"/>
      <c r="AA83" s="454"/>
      <c r="AB83" s="454"/>
      <c r="AC83" s="454"/>
      <c r="AD83" s="454"/>
      <c r="AE83" s="454"/>
      <c r="AF83" s="454"/>
      <c r="AG83" s="454"/>
      <c r="AH83" s="454"/>
      <c r="AI83" s="454"/>
      <c r="AJ83" s="454"/>
      <c r="AK83" s="454"/>
      <c r="AL83" s="454"/>
    </row>
    <row r="84" spans="1:38" s="417" customFormat="1" ht="21.95" customHeight="1" thickTop="1">
      <c r="A84" s="476"/>
      <c r="B84" s="449"/>
      <c r="D84" s="467"/>
      <c r="E84" s="467"/>
      <c r="F84" s="467"/>
      <c r="G84" s="467"/>
      <c r="H84" s="467"/>
      <c r="I84" s="467"/>
      <c r="J84" s="483"/>
      <c r="K84" s="465"/>
      <c r="L84" s="457"/>
      <c r="M84" s="454"/>
      <c r="N84" s="454"/>
      <c r="O84" s="454"/>
      <c r="P84" s="454"/>
      <c r="Q84" s="454"/>
      <c r="R84" s="454"/>
      <c r="S84" s="454"/>
      <c r="T84" s="454"/>
      <c r="U84" s="454"/>
      <c r="V84" s="454"/>
      <c r="W84" s="454"/>
      <c r="X84" s="454"/>
      <c r="Y84" s="454"/>
      <c r="Z84" s="454"/>
      <c r="AA84" s="454"/>
      <c r="AB84" s="454"/>
      <c r="AC84" s="454"/>
      <c r="AD84" s="454"/>
      <c r="AE84" s="454"/>
      <c r="AF84" s="454"/>
      <c r="AG84" s="454"/>
      <c r="AH84" s="454"/>
      <c r="AI84" s="454"/>
      <c r="AJ84" s="454"/>
      <c r="AK84" s="454"/>
      <c r="AL84" s="454"/>
    </row>
    <row r="85" spans="1:38" ht="21" customHeight="1">
      <c r="A85" s="356"/>
      <c r="B85" s="356"/>
      <c r="C85" s="356"/>
      <c r="D85" s="380" t="e">
        <f>D83-'001 General Fund'!K56</f>
        <v>#REF!</v>
      </c>
      <c r="E85" s="361"/>
      <c r="F85" s="361"/>
      <c r="G85" s="361"/>
      <c r="H85" s="361"/>
      <c r="I85" s="361"/>
      <c r="J85" s="361"/>
    </row>
    <row r="86" spans="1:38" ht="9.9499999999999993" customHeight="1">
      <c r="A86" s="356"/>
      <c r="B86" s="356"/>
      <c r="C86" s="356"/>
      <c r="D86" s="380"/>
      <c r="E86" s="361"/>
      <c r="F86" s="361"/>
      <c r="G86" s="361"/>
      <c r="H86" s="361"/>
      <c r="I86" s="361"/>
      <c r="J86" s="361"/>
    </row>
    <row r="87" spans="1:38" s="381" customFormat="1">
      <c r="A87" s="381" t="s">
        <v>469</v>
      </c>
      <c r="D87" s="566" t="e">
        <f t="shared" ref="D87:J87" si="8">D33-D83</f>
        <v>#REF!</v>
      </c>
      <c r="E87" s="382" t="e">
        <f t="shared" si="8"/>
        <v>#REF!</v>
      </c>
      <c r="F87" s="382">
        <f t="shared" si="8"/>
        <v>0</v>
      </c>
      <c r="G87" s="382">
        <f t="shared" si="8"/>
        <v>0</v>
      </c>
      <c r="H87" s="382">
        <f t="shared" si="8"/>
        <v>38123</v>
      </c>
      <c r="I87" s="382" t="e">
        <f t="shared" si="8"/>
        <v>#REF!</v>
      </c>
      <c r="J87" s="382" t="e">
        <f t="shared" si="8"/>
        <v>#REF!</v>
      </c>
      <c r="K87" s="384" t="s">
        <v>58</v>
      </c>
      <c r="L87" s="385"/>
      <c r="M87" s="382"/>
      <c r="N87" s="382"/>
      <c r="O87" s="382"/>
      <c r="P87" s="382"/>
      <c r="Q87" s="382"/>
      <c r="R87" s="382"/>
      <c r="S87" s="382"/>
      <c r="T87" s="382"/>
      <c r="U87" s="382"/>
      <c r="V87" s="382"/>
      <c r="W87" s="382"/>
      <c r="X87" s="382"/>
      <c r="Y87" s="382"/>
      <c r="Z87" s="382"/>
      <c r="AA87" s="382"/>
      <c r="AB87" s="382"/>
      <c r="AC87" s="382"/>
      <c r="AD87" s="382"/>
      <c r="AE87" s="382"/>
      <c r="AF87" s="382"/>
      <c r="AG87" s="382"/>
      <c r="AH87" s="382"/>
      <c r="AI87" s="382"/>
      <c r="AJ87" s="382"/>
      <c r="AK87" s="382"/>
      <c r="AL87" s="382"/>
    </row>
    <row r="88" spans="1:38">
      <c r="D88" s="571" t="e">
        <f>D77/D68</f>
        <v>#REF!</v>
      </c>
      <c r="E88" s="363" t="s">
        <v>58</v>
      </c>
      <c r="F88" s="744" t="s">
        <v>58</v>
      </c>
      <c r="I88" s="363" t="s">
        <v>58</v>
      </c>
      <c r="J88" s="363" t="s">
        <v>58</v>
      </c>
    </row>
    <row r="89" spans="1:38">
      <c r="D89" s="567" t="s">
        <v>58</v>
      </c>
    </row>
    <row r="91" spans="1:38">
      <c r="D91" s="567" t="s">
        <v>58</v>
      </c>
      <c r="E91" s="376" t="s">
        <v>58</v>
      </c>
    </row>
    <row r="92" spans="1:38">
      <c r="D92" s="377" t="s">
        <v>58</v>
      </c>
    </row>
    <row r="93" spans="1:38">
      <c r="D93" s="377" t="s">
        <v>58</v>
      </c>
    </row>
    <row r="94" spans="1:38">
      <c r="E94" s="390" t="s">
        <v>58</v>
      </c>
    </row>
    <row r="95" spans="1:38" ht="23.25">
      <c r="D95" s="568" t="s">
        <v>58</v>
      </c>
    </row>
    <row r="96" spans="1:38">
      <c r="D96" s="377" t="s">
        <v>58</v>
      </c>
    </row>
    <row r="101" spans="1:38" ht="21">
      <c r="E101" s="391" t="s">
        <v>58</v>
      </c>
    </row>
    <row r="106" spans="1:38" s="394" customFormat="1" ht="18.75">
      <c r="A106" s="393"/>
      <c r="B106" s="393"/>
      <c r="C106" s="393"/>
      <c r="D106" s="569"/>
      <c r="E106" s="393"/>
      <c r="F106" s="393"/>
      <c r="G106" s="393"/>
      <c r="K106" s="396"/>
      <c r="L106" s="397"/>
      <c r="M106" s="396"/>
      <c r="N106" s="396"/>
      <c r="O106" s="396"/>
      <c r="P106" s="396"/>
      <c r="Q106" s="396"/>
      <c r="R106" s="396"/>
      <c r="S106" s="396"/>
      <c r="T106" s="396"/>
      <c r="U106" s="396"/>
      <c r="V106" s="396"/>
      <c r="W106" s="396"/>
      <c r="X106" s="396"/>
      <c r="Y106" s="396"/>
      <c r="Z106" s="396"/>
      <c r="AA106" s="396"/>
      <c r="AB106" s="396"/>
      <c r="AC106" s="396"/>
      <c r="AD106" s="396"/>
      <c r="AE106" s="396"/>
      <c r="AF106" s="396"/>
      <c r="AG106" s="396"/>
      <c r="AH106" s="396"/>
      <c r="AI106" s="396"/>
      <c r="AJ106" s="396"/>
      <c r="AK106" s="396"/>
      <c r="AL106" s="396"/>
    </row>
    <row r="107" spans="1:38" s="394" customFormat="1" ht="18.75">
      <c r="A107" s="398"/>
      <c r="B107" s="398"/>
      <c r="C107" s="398"/>
      <c r="D107" s="570"/>
      <c r="E107" s="398"/>
      <c r="F107" s="398"/>
      <c r="G107" s="398"/>
      <c r="H107" s="395"/>
      <c r="I107" s="395"/>
      <c r="J107" s="395"/>
      <c r="K107" s="396"/>
      <c r="L107" s="397"/>
      <c r="M107" s="396"/>
      <c r="N107" s="396"/>
      <c r="O107" s="396"/>
      <c r="P107" s="396"/>
      <c r="Q107" s="396"/>
      <c r="R107" s="396"/>
      <c r="S107" s="396"/>
      <c r="T107" s="396"/>
      <c r="U107" s="396"/>
      <c r="V107" s="396"/>
      <c r="W107" s="396"/>
      <c r="X107" s="396"/>
      <c r="Y107" s="396"/>
      <c r="Z107" s="396"/>
      <c r="AA107" s="396"/>
      <c r="AB107" s="396"/>
      <c r="AC107" s="396"/>
      <c r="AD107" s="396"/>
      <c r="AE107" s="396"/>
      <c r="AF107" s="396"/>
      <c r="AG107" s="396"/>
      <c r="AH107" s="396"/>
      <c r="AI107" s="396"/>
      <c r="AJ107" s="396"/>
      <c r="AK107" s="396"/>
      <c r="AL107" s="396"/>
    </row>
    <row r="295" spans="4:4">
      <c r="D295" s="377">
        <v>0</v>
      </c>
    </row>
  </sheetData>
  <mergeCells count="4">
    <mergeCell ref="A1:J1"/>
    <mergeCell ref="A2:J2"/>
    <mergeCell ref="A4:J4"/>
    <mergeCell ref="B3:I3"/>
  </mergeCells>
  <printOptions horizontalCentered="1"/>
  <pageMargins left="0.5" right="0.5" top="0.5" bottom="0.5" header="0.3" footer="0.3"/>
  <pageSetup scale="53" fitToWidth="2" fitToHeight="2"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107"/>
  <sheetViews>
    <sheetView showGridLines="0" topLeftCell="A2" zoomScale="70" zoomScaleNormal="70" workbookViewId="0">
      <pane xSplit="3" ySplit="5" topLeftCell="D76" activePane="bottomRight" state="frozen"/>
      <selection activeCell="T78" sqref="T78"/>
      <selection pane="topRight" activeCell="T78" sqref="T78"/>
      <selection pane="bottomLeft" activeCell="T78" sqref="T78"/>
      <selection pane="bottomRight" activeCell="T78" sqref="T78"/>
    </sheetView>
  </sheetViews>
  <sheetFormatPr defaultRowHeight="12.75"/>
  <cols>
    <col min="1" max="1" width="44.28515625" style="363" customWidth="1"/>
    <col min="2" max="2" width="9" style="588" customWidth="1"/>
    <col min="3" max="3" width="2.28515625" style="363" customWidth="1"/>
    <col min="4" max="4" width="16.28515625" style="363" customWidth="1"/>
    <col min="5" max="5" width="14.140625" style="363" customWidth="1"/>
    <col min="6" max="6" width="1.140625" style="363" hidden="1" customWidth="1"/>
    <col min="7" max="7" width="15.5703125" style="363" customWidth="1"/>
    <col min="8" max="8" width="0.5703125" style="363" hidden="1" customWidth="1"/>
    <col min="9" max="9" width="17.85546875" style="363" customWidth="1"/>
    <col min="10" max="10" width="0.85546875" style="363" hidden="1" customWidth="1"/>
    <col min="11" max="11" width="16.7109375" style="363" bestFit="1" customWidth="1"/>
    <col min="12" max="12" width="0.85546875" style="363" hidden="1" customWidth="1"/>
    <col min="13" max="13" width="14.5703125" style="363" customWidth="1"/>
    <col min="14" max="14" width="14.5703125" style="363" hidden="1" customWidth="1"/>
    <col min="15" max="15" width="14.7109375" style="363" bestFit="1" customWidth="1"/>
    <col min="16" max="16" width="0.7109375" style="363" hidden="1" customWidth="1"/>
    <col min="17" max="17" width="18.28515625" style="389" customWidth="1"/>
    <col min="18" max="19" width="19.28515625" style="389" customWidth="1"/>
    <col min="20" max="20" width="16" style="363" bestFit="1" customWidth="1"/>
    <col min="21" max="45" width="9.140625" style="363" customWidth="1"/>
    <col min="46" max="240" width="8.85546875" style="365"/>
    <col min="241" max="241" width="44.5703125" style="365" customWidth="1"/>
    <col min="242" max="242" width="14.28515625" style="365" bestFit="1" customWidth="1"/>
    <col min="243" max="243" width="1.7109375" style="365" customWidth="1"/>
    <col min="244" max="244" width="14.85546875" style="365" customWidth="1"/>
    <col min="245" max="245" width="0" style="365" hidden="1" customWidth="1"/>
    <col min="246" max="246" width="17.42578125" style="365" customWidth="1"/>
    <col min="247" max="247" width="0" style="365" hidden="1" customWidth="1"/>
    <col min="248" max="248" width="12.85546875" style="365" customWidth="1"/>
    <col min="249" max="249" width="0" style="365" hidden="1" customWidth="1"/>
    <col min="250" max="250" width="14.42578125" style="365" customWidth="1"/>
    <col min="251" max="251" width="0" style="365" hidden="1" customWidth="1"/>
    <col min="252" max="252" width="17.42578125" style="365" customWidth="1"/>
    <col min="253" max="253" width="0" style="365" hidden="1" customWidth="1"/>
    <col min="254" max="254" width="14" style="365" customWidth="1"/>
    <col min="255" max="255" width="14.28515625" style="365" bestFit="1" customWidth="1"/>
    <col min="256" max="256" width="0" style="365" hidden="1" customWidth="1"/>
    <col min="257" max="257" width="15.5703125" style="365" customWidth="1"/>
    <col min="258" max="258" width="44.5703125" style="365" customWidth="1"/>
    <col min="259" max="259" width="14.28515625" style="365" bestFit="1" customWidth="1"/>
    <col min="260" max="260" width="0" style="365" hidden="1" customWidth="1"/>
    <col min="261" max="261" width="18.140625" style="365" customWidth="1"/>
    <col min="262" max="262" width="0" style="365" hidden="1" customWidth="1"/>
    <col min="263" max="263" width="14" style="365" customWidth="1"/>
    <col min="264" max="264" width="0" style="365" hidden="1" customWidth="1"/>
    <col min="265" max="265" width="20.85546875" style="365" customWidth="1"/>
    <col min="266" max="266" width="0" style="365" hidden="1" customWidth="1"/>
    <col min="267" max="267" width="13.28515625" style="365" customWidth="1"/>
    <col min="268" max="268" width="0" style="365" hidden="1" customWidth="1"/>
    <col min="269" max="269" width="15" style="365" customWidth="1"/>
    <col min="270" max="270" width="0" style="365" hidden="1" customWidth="1"/>
    <col min="271" max="271" width="13.28515625" style="365" customWidth="1"/>
    <col min="272" max="272" width="0" style="365" hidden="1" customWidth="1"/>
    <col min="273" max="273" width="20.140625" style="365" customWidth="1"/>
    <col min="274" max="274" width="14.42578125" style="365" bestFit="1" customWidth="1"/>
    <col min="275" max="275" width="14" style="365" bestFit="1" customWidth="1"/>
    <col min="276" max="276" width="12.28515625" style="365" bestFit="1" customWidth="1"/>
    <col min="277" max="301" width="9.140625" style="365" customWidth="1"/>
    <col min="302" max="496" width="8.85546875" style="365"/>
    <col min="497" max="497" width="44.5703125" style="365" customWidth="1"/>
    <col min="498" max="498" width="14.28515625" style="365" bestFit="1" customWidth="1"/>
    <col min="499" max="499" width="1.7109375" style="365" customWidth="1"/>
    <col min="500" max="500" width="14.85546875" style="365" customWidth="1"/>
    <col min="501" max="501" width="0" style="365" hidden="1" customWidth="1"/>
    <col min="502" max="502" width="17.42578125" style="365" customWidth="1"/>
    <col min="503" max="503" width="0" style="365" hidden="1" customWidth="1"/>
    <col min="504" max="504" width="12.85546875" style="365" customWidth="1"/>
    <col min="505" max="505" width="0" style="365" hidden="1" customWidth="1"/>
    <col min="506" max="506" width="14.42578125" style="365" customWidth="1"/>
    <col min="507" max="507" width="0" style="365" hidden="1" customWidth="1"/>
    <col min="508" max="508" width="17.42578125" style="365" customWidth="1"/>
    <col min="509" max="509" width="0" style="365" hidden="1" customWidth="1"/>
    <col min="510" max="510" width="14" style="365" customWidth="1"/>
    <col min="511" max="511" width="14.28515625" style="365" bestFit="1" customWidth="1"/>
    <col min="512" max="512" width="0" style="365" hidden="1" customWidth="1"/>
    <col min="513" max="513" width="15.5703125" style="365" customWidth="1"/>
    <col min="514" max="514" width="44.5703125" style="365" customWidth="1"/>
    <col min="515" max="515" width="14.28515625" style="365" bestFit="1" customWidth="1"/>
    <col min="516" max="516" width="0" style="365" hidden="1" customWidth="1"/>
    <col min="517" max="517" width="18.140625" style="365" customWidth="1"/>
    <col min="518" max="518" width="0" style="365" hidden="1" customWidth="1"/>
    <col min="519" max="519" width="14" style="365" customWidth="1"/>
    <col min="520" max="520" width="0" style="365" hidden="1" customWidth="1"/>
    <col min="521" max="521" width="20.85546875" style="365" customWidth="1"/>
    <col min="522" max="522" width="0" style="365" hidden="1" customWidth="1"/>
    <col min="523" max="523" width="13.28515625" style="365" customWidth="1"/>
    <col min="524" max="524" width="0" style="365" hidden="1" customWidth="1"/>
    <col min="525" max="525" width="15" style="365" customWidth="1"/>
    <col min="526" max="526" width="0" style="365" hidden="1" customWidth="1"/>
    <col min="527" max="527" width="13.28515625" style="365" customWidth="1"/>
    <col min="528" max="528" width="0" style="365" hidden="1" customWidth="1"/>
    <col min="529" max="529" width="20.140625" style="365" customWidth="1"/>
    <col min="530" max="530" width="14.42578125" style="365" bestFit="1" customWidth="1"/>
    <col min="531" max="531" width="14" style="365" bestFit="1" customWidth="1"/>
    <col min="532" max="532" width="12.28515625" style="365" bestFit="1" customWidth="1"/>
    <col min="533" max="557" width="9.140625" style="365" customWidth="1"/>
    <col min="558" max="752" width="8.85546875" style="365"/>
    <col min="753" max="753" width="44.5703125" style="365" customWidth="1"/>
    <col min="754" max="754" width="14.28515625" style="365" bestFit="1" customWidth="1"/>
    <col min="755" max="755" width="1.7109375" style="365" customWidth="1"/>
    <col min="756" max="756" width="14.85546875" style="365" customWidth="1"/>
    <col min="757" max="757" width="0" style="365" hidden="1" customWidth="1"/>
    <col min="758" max="758" width="17.42578125" style="365" customWidth="1"/>
    <col min="759" max="759" width="0" style="365" hidden="1" customWidth="1"/>
    <col min="760" max="760" width="12.85546875" style="365" customWidth="1"/>
    <col min="761" max="761" width="0" style="365" hidden="1" customWidth="1"/>
    <col min="762" max="762" width="14.42578125" style="365" customWidth="1"/>
    <col min="763" max="763" width="0" style="365" hidden="1" customWidth="1"/>
    <col min="764" max="764" width="17.42578125" style="365" customWidth="1"/>
    <col min="765" max="765" width="0" style="365" hidden="1" customWidth="1"/>
    <col min="766" max="766" width="14" style="365" customWidth="1"/>
    <col min="767" max="767" width="14.28515625" style="365" bestFit="1" customWidth="1"/>
    <col min="768" max="768" width="0" style="365" hidden="1" customWidth="1"/>
    <col min="769" max="769" width="15.5703125" style="365" customWidth="1"/>
    <col min="770" max="770" width="44.5703125" style="365" customWidth="1"/>
    <col min="771" max="771" width="14.28515625" style="365" bestFit="1" customWidth="1"/>
    <col min="772" max="772" width="0" style="365" hidden="1" customWidth="1"/>
    <col min="773" max="773" width="18.140625" style="365" customWidth="1"/>
    <col min="774" max="774" width="0" style="365" hidden="1" customWidth="1"/>
    <col min="775" max="775" width="14" style="365" customWidth="1"/>
    <col min="776" max="776" width="0" style="365" hidden="1" customWidth="1"/>
    <col min="777" max="777" width="20.85546875" style="365" customWidth="1"/>
    <col min="778" max="778" width="0" style="365" hidden="1" customWidth="1"/>
    <col min="779" max="779" width="13.28515625" style="365" customWidth="1"/>
    <col min="780" max="780" width="0" style="365" hidden="1" customWidth="1"/>
    <col min="781" max="781" width="15" style="365" customWidth="1"/>
    <col min="782" max="782" width="0" style="365" hidden="1" customWidth="1"/>
    <col min="783" max="783" width="13.28515625" style="365" customWidth="1"/>
    <col min="784" max="784" width="0" style="365" hidden="1" customWidth="1"/>
    <col min="785" max="785" width="20.140625" style="365" customWidth="1"/>
    <col min="786" max="786" width="14.42578125" style="365" bestFit="1" customWidth="1"/>
    <col min="787" max="787" width="14" style="365" bestFit="1" customWidth="1"/>
    <col min="788" max="788" width="12.28515625" style="365" bestFit="1" customWidth="1"/>
    <col min="789" max="813" width="9.140625" style="365" customWidth="1"/>
    <col min="814" max="1008" width="8.85546875" style="365"/>
    <col min="1009" max="1009" width="44.5703125" style="365" customWidth="1"/>
    <col min="1010" max="1010" width="14.28515625" style="365" bestFit="1" customWidth="1"/>
    <col min="1011" max="1011" width="1.7109375" style="365" customWidth="1"/>
    <col min="1012" max="1012" width="14.85546875" style="365" customWidth="1"/>
    <col min="1013" max="1013" width="0" style="365" hidden="1" customWidth="1"/>
    <col min="1014" max="1014" width="17.42578125" style="365" customWidth="1"/>
    <col min="1015" max="1015" width="0" style="365" hidden="1" customWidth="1"/>
    <col min="1016" max="1016" width="12.85546875" style="365" customWidth="1"/>
    <col min="1017" max="1017" width="0" style="365" hidden="1" customWidth="1"/>
    <col min="1018" max="1018" width="14.42578125" style="365" customWidth="1"/>
    <col min="1019" max="1019" width="0" style="365" hidden="1" customWidth="1"/>
    <col min="1020" max="1020" width="17.42578125" style="365" customWidth="1"/>
    <col min="1021" max="1021" width="0" style="365" hidden="1" customWidth="1"/>
    <col min="1022" max="1022" width="14" style="365" customWidth="1"/>
    <col min="1023" max="1023" width="14.28515625" style="365" bestFit="1" customWidth="1"/>
    <col min="1024" max="1024" width="0" style="365" hidden="1" customWidth="1"/>
    <col min="1025" max="1025" width="15.5703125" style="365" customWidth="1"/>
    <col min="1026" max="1026" width="44.5703125" style="365" customWidth="1"/>
    <col min="1027" max="1027" width="14.28515625" style="365" bestFit="1" customWidth="1"/>
    <col min="1028" max="1028" width="0" style="365" hidden="1" customWidth="1"/>
    <col min="1029" max="1029" width="18.140625" style="365" customWidth="1"/>
    <col min="1030" max="1030" width="0" style="365" hidden="1" customWidth="1"/>
    <col min="1031" max="1031" width="14" style="365" customWidth="1"/>
    <col min="1032" max="1032" width="0" style="365" hidden="1" customWidth="1"/>
    <col min="1033" max="1033" width="20.85546875" style="365" customWidth="1"/>
    <col min="1034" max="1034" width="0" style="365" hidden="1" customWidth="1"/>
    <col min="1035" max="1035" width="13.28515625" style="365" customWidth="1"/>
    <col min="1036" max="1036" width="0" style="365" hidden="1" customWidth="1"/>
    <col min="1037" max="1037" width="15" style="365" customWidth="1"/>
    <col min="1038" max="1038" width="0" style="365" hidden="1" customWidth="1"/>
    <col min="1039" max="1039" width="13.28515625" style="365" customWidth="1"/>
    <col min="1040" max="1040" width="0" style="365" hidden="1" customWidth="1"/>
    <col min="1041" max="1041" width="20.140625" style="365" customWidth="1"/>
    <col min="1042" max="1042" width="14.42578125" style="365" bestFit="1" customWidth="1"/>
    <col min="1043" max="1043" width="14" style="365" bestFit="1" customWidth="1"/>
    <col min="1044" max="1044" width="12.28515625" style="365" bestFit="1" customWidth="1"/>
    <col min="1045" max="1069" width="9.140625" style="365" customWidth="1"/>
    <col min="1070" max="1264" width="8.85546875" style="365"/>
    <col min="1265" max="1265" width="44.5703125" style="365" customWidth="1"/>
    <col min="1266" max="1266" width="14.28515625" style="365" bestFit="1" customWidth="1"/>
    <col min="1267" max="1267" width="1.7109375" style="365" customWidth="1"/>
    <col min="1268" max="1268" width="14.85546875" style="365" customWidth="1"/>
    <col min="1269" max="1269" width="0" style="365" hidden="1" customWidth="1"/>
    <col min="1270" max="1270" width="17.42578125" style="365" customWidth="1"/>
    <col min="1271" max="1271" width="0" style="365" hidden="1" customWidth="1"/>
    <col min="1272" max="1272" width="12.85546875" style="365" customWidth="1"/>
    <col min="1273" max="1273" width="0" style="365" hidden="1" customWidth="1"/>
    <col min="1274" max="1274" width="14.42578125" style="365" customWidth="1"/>
    <col min="1275" max="1275" width="0" style="365" hidden="1" customWidth="1"/>
    <col min="1276" max="1276" width="17.42578125" style="365" customWidth="1"/>
    <col min="1277" max="1277" width="0" style="365" hidden="1" customWidth="1"/>
    <col min="1278" max="1278" width="14" style="365" customWidth="1"/>
    <col min="1279" max="1279" width="14.28515625" style="365" bestFit="1" customWidth="1"/>
    <col min="1280" max="1280" width="0" style="365" hidden="1" customWidth="1"/>
    <col min="1281" max="1281" width="15.5703125" style="365" customWidth="1"/>
    <col min="1282" max="1282" width="44.5703125" style="365" customWidth="1"/>
    <col min="1283" max="1283" width="14.28515625" style="365" bestFit="1" customWidth="1"/>
    <col min="1284" max="1284" width="0" style="365" hidden="1" customWidth="1"/>
    <col min="1285" max="1285" width="18.140625" style="365" customWidth="1"/>
    <col min="1286" max="1286" width="0" style="365" hidden="1" customWidth="1"/>
    <col min="1287" max="1287" width="14" style="365" customWidth="1"/>
    <col min="1288" max="1288" width="0" style="365" hidden="1" customWidth="1"/>
    <col min="1289" max="1289" width="20.85546875" style="365" customWidth="1"/>
    <col min="1290" max="1290" width="0" style="365" hidden="1" customWidth="1"/>
    <col min="1291" max="1291" width="13.28515625" style="365" customWidth="1"/>
    <col min="1292" max="1292" width="0" style="365" hidden="1" customWidth="1"/>
    <col min="1293" max="1293" width="15" style="365" customWidth="1"/>
    <col min="1294" max="1294" width="0" style="365" hidden="1" customWidth="1"/>
    <col min="1295" max="1295" width="13.28515625" style="365" customWidth="1"/>
    <col min="1296" max="1296" width="0" style="365" hidden="1" customWidth="1"/>
    <col min="1297" max="1297" width="20.140625" style="365" customWidth="1"/>
    <col min="1298" max="1298" width="14.42578125" style="365" bestFit="1" customWidth="1"/>
    <col min="1299" max="1299" width="14" style="365" bestFit="1" customWidth="1"/>
    <col min="1300" max="1300" width="12.28515625" style="365" bestFit="1" customWidth="1"/>
    <col min="1301" max="1325" width="9.140625" style="365" customWidth="1"/>
    <col min="1326" max="1520" width="8.85546875" style="365"/>
    <col min="1521" max="1521" width="44.5703125" style="365" customWidth="1"/>
    <col min="1522" max="1522" width="14.28515625" style="365" bestFit="1" customWidth="1"/>
    <col min="1523" max="1523" width="1.7109375" style="365" customWidth="1"/>
    <col min="1524" max="1524" width="14.85546875" style="365" customWidth="1"/>
    <col min="1525" max="1525" width="0" style="365" hidden="1" customWidth="1"/>
    <col min="1526" max="1526" width="17.42578125" style="365" customWidth="1"/>
    <col min="1527" max="1527" width="0" style="365" hidden="1" customWidth="1"/>
    <col min="1528" max="1528" width="12.85546875" style="365" customWidth="1"/>
    <col min="1529" max="1529" width="0" style="365" hidden="1" customWidth="1"/>
    <col min="1530" max="1530" width="14.42578125" style="365" customWidth="1"/>
    <col min="1531" max="1531" width="0" style="365" hidden="1" customWidth="1"/>
    <col min="1532" max="1532" width="17.42578125" style="365" customWidth="1"/>
    <col min="1533" max="1533" width="0" style="365" hidden="1" customWidth="1"/>
    <col min="1534" max="1534" width="14" style="365" customWidth="1"/>
    <col min="1535" max="1535" width="14.28515625" style="365" bestFit="1" customWidth="1"/>
    <col min="1536" max="1536" width="0" style="365" hidden="1" customWidth="1"/>
    <col min="1537" max="1537" width="15.5703125" style="365" customWidth="1"/>
    <col min="1538" max="1538" width="44.5703125" style="365" customWidth="1"/>
    <col min="1539" max="1539" width="14.28515625" style="365" bestFit="1" customWidth="1"/>
    <col min="1540" max="1540" width="0" style="365" hidden="1" customWidth="1"/>
    <col min="1541" max="1541" width="18.140625" style="365" customWidth="1"/>
    <col min="1542" max="1542" width="0" style="365" hidden="1" customWidth="1"/>
    <col min="1543" max="1543" width="14" style="365" customWidth="1"/>
    <col min="1544" max="1544" width="0" style="365" hidden="1" customWidth="1"/>
    <col min="1545" max="1545" width="20.85546875" style="365" customWidth="1"/>
    <col min="1546" max="1546" width="0" style="365" hidden="1" customWidth="1"/>
    <col min="1547" max="1547" width="13.28515625" style="365" customWidth="1"/>
    <col min="1548" max="1548" width="0" style="365" hidden="1" customWidth="1"/>
    <col min="1549" max="1549" width="15" style="365" customWidth="1"/>
    <col min="1550" max="1550" width="0" style="365" hidden="1" customWidth="1"/>
    <col min="1551" max="1551" width="13.28515625" style="365" customWidth="1"/>
    <col min="1552" max="1552" width="0" style="365" hidden="1" customWidth="1"/>
    <col min="1553" max="1553" width="20.140625" style="365" customWidth="1"/>
    <col min="1554" max="1554" width="14.42578125" style="365" bestFit="1" customWidth="1"/>
    <col min="1555" max="1555" width="14" style="365" bestFit="1" customWidth="1"/>
    <col min="1556" max="1556" width="12.28515625" style="365" bestFit="1" customWidth="1"/>
    <col min="1557" max="1581" width="9.140625" style="365" customWidth="1"/>
    <col min="1582" max="1776" width="8.85546875" style="365"/>
    <col min="1777" max="1777" width="44.5703125" style="365" customWidth="1"/>
    <col min="1778" max="1778" width="14.28515625" style="365" bestFit="1" customWidth="1"/>
    <col min="1779" max="1779" width="1.7109375" style="365" customWidth="1"/>
    <col min="1780" max="1780" width="14.85546875" style="365" customWidth="1"/>
    <col min="1781" max="1781" width="0" style="365" hidden="1" customWidth="1"/>
    <col min="1782" max="1782" width="17.42578125" style="365" customWidth="1"/>
    <col min="1783" max="1783" width="0" style="365" hidden="1" customWidth="1"/>
    <col min="1784" max="1784" width="12.85546875" style="365" customWidth="1"/>
    <col min="1785" max="1785" width="0" style="365" hidden="1" customWidth="1"/>
    <col min="1786" max="1786" width="14.42578125" style="365" customWidth="1"/>
    <col min="1787" max="1787" width="0" style="365" hidden="1" customWidth="1"/>
    <col min="1788" max="1788" width="17.42578125" style="365" customWidth="1"/>
    <col min="1789" max="1789" width="0" style="365" hidden="1" customWidth="1"/>
    <col min="1790" max="1790" width="14" style="365" customWidth="1"/>
    <col min="1791" max="1791" width="14.28515625" style="365" bestFit="1" customWidth="1"/>
    <col min="1792" max="1792" width="0" style="365" hidden="1" customWidth="1"/>
    <col min="1793" max="1793" width="15.5703125" style="365" customWidth="1"/>
    <col min="1794" max="1794" width="44.5703125" style="365" customWidth="1"/>
    <col min="1795" max="1795" width="14.28515625" style="365" bestFit="1" customWidth="1"/>
    <col min="1796" max="1796" width="0" style="365" hidden="1" customWidth="1"/>
    <col min="1797" max="1797" width="18.140625" style="365" customWidth="1"/>
    <col min="1798" max="1798" width="0" style="365" hidden="1" customWidth="1"/>
    <col min="1799" max="1799" width="14" style="365" customWidth="1"/>
    <col min="1800" max="1800" width="0" style="365" hidden="1" customWidth="1"/>
    <col min="1801" max="1801" width="20.85546875" style="365" customWidth="1"/>
    <col min="1802" max="1802" width="0" style="365" hidden="1" customWidth="1"/>
    <col min="1803" max="1803" width="13.28515625" style="365" customWidth="1"/>
    <col min="1804" max="1804" width="0" style="365" hidden="1" customWidth="1"/>
    <col min="1805" max="1805" width="15" style="365" customWidth="1"/>
    <col min="1806" max="1806" width="0" style="365" hidden="1" customWidth="1"/>
    <col min="1807" max="1807" width="13.28515625" style="365" customWidth="1"/>
    <col min="1808" max="1808" width="0" style="365" hidden="1" customWidth="1"/>
    <col min="1809" max="1809" width="20.140625" style="365" customWidth="1"/>
    <col min="1810" max="1810" width="14.42578125" style="365" bestFit="1" customWidth="1"/>
    <col min="1811" max="1811" width="14" style="365" bestFit="1" customWidth="1"/>
    <col min="1812" max="1812" width="12.28515625" style="365" bestFit="1" customWidth="1"/>
    <col min="1813" max="1837" width="9.140625" style="365" customWidth="1"/>
    <col min="1838" max="2032" width="8.85546875" style="365"/>
    <col min="2033" max="2033" width="44.5703125" style="365" customWidth="1"/>
    <col min="2034" max="2034" width="14.28515625" style="365" bestFit="1" customWidth="1"/>
    <col min="2035" max="2035" width="1.7109375" style="365" customWidth="1"/>
    <col min="2036" max="2036" width="14.85546875" style="365" customWidth="1"/>
    <col min="2037" max="2037" width="0" style="365" hidden="1" customWidth="1"/>
    <col min="2038" max="2038" width="17.42578125" style="365" customWidth="1"/>
    <col min="2039" max="2039" width="0" style="365" hidden="1" customWidth="1"/>
    <col min="2040" max="2040" width="12.85546875" style="365" customWidth="1"/>
    <col min="2041" max="2041" width="0" style="365" hidden="1" customWidth="1"/>
    <col min="2042" max="2042" width="14.42578125" style="365" customWidth="1"/>
    <col min="2043" max="2043" width="0" style="365" hidden="1" customWidth="1"/>
    <col min="2044" max="2044" width="17.42578125" style="365" customWidth="1"/>
    <col min="2045" max="2045" width="0" style="365" hidden="1" customWidth="1"/>
    <col min="2046" max="2046" width="14" style="365" customWidth="1"/>
    <col min="2047" max="2047" width="14.28515625" style="365" bestFit="1" customWidth="1"/>
    <col min="2048" max="2048" width="0" style="365" hidden="1" customWidth="1"/>
    <col min="2049" max="2049" width="15.5703125" style="365" customWidth="1"/>
    <col min="2050" max="2050" width="44.5703125" style="365" customWidth="1"/>
    <col min="2051" max="2051" width="14.28515625" style="365" bestFit="1" customWidth="1"/>
    <col min="2052" max="2052" width="0" style="365" hidden="1" customWidth="1"/>
    <col min="2053" max="2053" width="18.140625" style="365" customWidth="1"/>
    <col min="2054" max="2054" width="0" style="365" hidden="1" customWidth="1"/>
    <col min="2055" max="2055" width="14" style="365" customWidth="1"/>
    <col min="2056" max="2056" width="0" style="365" hidden="1" customWidth="1"/>
    <col min="2057" max="2057" width="20.85546875" style="365" customWidth="1"/>
    <col min="2058" max="2058" width="0" style="365" hidden="1" customWidth="1"/>
    <col min="2059" max="2059" width="13.28515625" style="365" customWidth="1"/>
    <col min="2060" max="2060" width="0" style="365" hidden="1" customWidth="1"/>
    <col min="2061" max="2061" width="15" style="365" customWidth="1"/>
    <col min="2062" max="2062" width="0" style="365" hidden="1" customWidth="1"/>
    <col min="2063" max="2063" width="13.28515625" style="365" customWidth="1"/>
    <col min="2064" max="2064" width="0" style="365" hidden="1" customWidth="1"/>
    <col min="2065" max="2065" width="20.140625" style="365" customWidth="1"/>
    <col min="2066" max="2066" width="14.42578125" style="365" bestFit="1" customWidth="1"/>
    <col min="2067" max="2067" width="14" style="365" bestFit="1" customWidth="1"/>
    <col min="2068" max="2068" width="12.28515625" style="365" bestFit="1" customWidth="1"/>
    <col min="2069" max="2093" width="9.140625" style="365" customWidth="1"/>
    <col min="2094" max="2288" width="8.85546875" style="365"/>
    <col min="2289" max="2289" width="44.5703125" style="365" customWidth="1"/>
    <col min="2290" max="2290" width="14.28515625" style="365" bestFit="1" customWidth="1"/>
    <col min="2291" max="2291" width="1.7109375" style="365" customWidth="1"/>
    <col min="2292" max="2292" width="14.85546875" style="365" customWidth="1"/>
    <col min="2293" max="2293" width="0" style="365" hidden="1" customWidth="1"/>
    <col min="2294" max="2294" width="17.42578125" style="365" customWidth="1"/>
    <col min="2295" max="2295" width="0" style="365" hidden="1" customWidth="1"/>
    <col min="2296" max="2296" width="12.85546875" style="365" customWidth="1"/>
    <col min="2297" max="2297" width="0" style="365" hidden="1" customWidth="1"/>
    <col min="2298" max="2298" width="14.42578125" style="365" customWidth="1"/>
    <col min="2299" max="2299" width="0" style="365" hidden="1" customWidth="1"/>
    <col min="2300" max="2300" width="17.42578125" style="365" customWidth="1"/>
    <col min="2301" max="2301" width="0" style="365" hidden="1" customWidth="1"/>
    <col min="2302" max="2302" width="14" style="365" customWidth="1"/>
    <col min="2303" max="2303" width="14.28515625" style="365" bestFit="1" customWidth="1"/>
    <col min="2304" max="2304" width="0" style="365" hidden="1" customWidth="1"/>
    <col min="2305" max="2305" width="15.5703125" style="365" customWidth="1"/>
    <col min="2306" max="2306" width="44.5703125" style="365" customWidth="1"/>
    <col min="2307" max="2307" width="14.28515625" style="365" bestFit="1" customWidth="1"/>
    <col min="2308" max="2308" width="0" style="365" hidden="1" customWidth="1"/>
    <col min="2309" max="2309" width="18.140625" style="365" customWidth="1"/>
    <col min="2310" max="2310" width="0" style="365" hidden="1" customWidth="1"/>
    <col min="2311" max="2311" width="14" style="365" customWidth="1"/>
    <col min="2312" max="2312" width="0" style="365" hidden="1" customWidth="1"/>
    <col min="2313" max="2313" width="20.85546875" style="365" customWidth="1"/>
    <col min="2314" max="2314" width="0" style="365" hidden="1" customWidth="1"/>
    <col min="2315" max="2315" width="13.28515625" style="365" customWidth="1"/>
    <col min="2316" max="2316" width="0" style="365" hidden="1" customWidth="1"/>
    <col min="2317" max="2317" width="15" style="365" customWidth="1"/>
    <col min="2318" max="2318" width="0" style="365" hidden="1" customWidth="1"/>
    <col min="2319" max="2319" width="13.28515625" style="365" customWidth="1"/>
    <col min="2320" max="2320" width="0" style="365" hidden="1" customWidth="1"/>
    <col min="2321" max="2321" width="20.140625" style="365" customWidth="1"/>
    <col min="2322" max="2322" width="14.42578125" style="365" bestFit="1" customWidth="1"/>
    <col min="2323" max="2323" width="14" style="365" bestFit="1" customWidth="1"/>
    <col min="2324" max="2324" width="12.28515625" style="365" bestFit="1" customWidth="1"/>
    <col min="2325" max="2349" width="9.140625" style="365" customWidth="1"/>
    <col min="2350" max="2544" width="8.85546875" style="365"/>
    <col min="2545" max="2545" width="44.5703125" style="365" customWidth="1"/>
    <col min="2546" max="2546" width="14.28515625" style="365" bestFit="1" customWidth="1"/>
    <col min="2547" max="2547" width="1.7109375" style="365" customWidth="1"/>
    <col min="2548" max="2548" width="14.85546875" style="365" customWidth="1"/>
    <col min="2549" max="2549" width="0" style="365" hidden="1" customWidth="1"/>
    <col min="2550" max="2550" width="17.42578125" style="365" customWidth="1"/>
    <col min="2551" max="2551" width="0" style="365" hidden="1" customWidth="1"/>
    <col min="2552" max="2552" width="12.85546875" style="365" customWidth="1"/>
    <col min="2553" max="2553" width="0" style="365" hidden="1" customWidth="1"/>
    <col min="2554" max="2554" width="14.42578125" style="365" customWidth="1"/>
    <col min="2555" max="2555" width="0" style="365" hidden="1" customWidth="1"/>
    <col min="2556" max="2556" width="17.42578125" style="365" customWidth="1"/>
    <col min="2557" max="2557" width="0" style="365" hidden="1" customWidth="1"/>
    <col min="2558" max="2558" width="14" style="365" customWidth="1"/>
    <col min="2559" max="2559" width="14.28515625" style="365" bestFit="1" customWidth="1"/>
    <col min="2560" max="2560" width="0" style="365" hidden="1" customWidth="1"/>
    <col min="2561" max="2561" width="15.5703125" style="365" customWidth="1"/>
    <col min="2562" max="2562" width="44.5703125" style="365" customWidth="1"/>
    <col min="2563" max="2563" width="14.28515625" style="365" bestFit="1" customWidth="1"/>
    <col min="2564" max="2564" width="0" style="365" hidden="1" customWidth="1"/>
    <col min="2565" max="2565" width="18.140625" style="365" customWidth="1"/>
    <col min="2566" max="2566" width="0" style="365" hidden="1" customWidth="1"/>
    <col min="2567" max="2567" width="14" style="365" customWidth="1"/>
    <col min="2568" max="2568" width="0" style="365" hidden="1" customWidth="1"/>
    <col min="2569" max="2569" width="20.85546875" style="365" customWidth="1"/>
    <col min="2570" max="2570" width="0" style="365" hidden="1" customWidth="1"/>
    <col min="2571" max="2571" width="13.28515625" style="365" customWidth="1"/>
    <col min="2572" max="2572" width="0" style="365" hidden="1" customWidth="1"/>
    <col min="2573" max="2573" width="15" style="365" customWidth="1"/>
    <col min="2574" max="2574" width="0" style="365" hidden="1" customWidth="1"/>
    <col min="2575" max="2575" width="13.28515625" style="365" customWidth="1"/>
    <col min="2576" max="2576" width="0" style="365" hidden="1" customWidth="1"/>
    <col min="2577" max="2577" width="20.140625" style="365" customWidth="1"/>
    <col min="2578" max="2578" width="14.42578125" style="365" bestFit="1" customWidth="1"/>
    <col min="2579" max="2579" width="14" style="365" bestFit="1" customWidth="1"/>
    <col min="2580" max="2580" width="12.28515625" style="365" bestFit="1" customWidth="1"/>
    <col min="2581" max="2605" width="9.140625" style="365" customWidth="1"/>
    <col min="2606" max="2800" width="8.85546875" style="365"/>
    <col min="2801" max="2801" width="44.5703125" style="365" customWidth="1"/>
    <col min="2802" max="2802" width="14.28515625" style="365" bestFit="1" customWidth="1"/>
    <col min="2803" max="2803" width="1.7109375" style="365" customWidth="1"/>
    <col min="2804" max="2804" width="14.85546875" style="365" customWidth="1"/>
    <col min="2805" max="2805" width="0" style="365" hidden="1" customWidth="1"/>
    <col min="2806" max="2806" width="17.42578125" style="365" customWidth="1"/>
    <col min="2807" max="2807" width="0" style="365" hidden="1" customWidth="1"/>
    <col min="2808" max="2808" width="12.85546875" style="365" customWidth="1"/>
    <col min="2809" max="2809" width="0" style="365" hidden="1" customWidth="1"/>
    <col min="2810" max="2810" width="14.42578125" style="365" customWidth="1"/>
    <col min="2811" max="2811" width="0" style="365" hidden="1" customWidth="1"/>
    <col min="2812" max="2812" width="17.42578125" style="365" customWidth="1"/>
    <col min="2813" max="2813" width="0" style="365" hidden="1" customWidth="1"/>
    <col min="2814" max="2814" width="14" style="365" customWidth="1"/>
    <col min="2815" max="2815" width="14.28515625" style="365" bestFit="1" customWidth="1"/>
    <col min="2816" max="2816" width="0" style="365" hidden="1" customWidth="1"/>
    <col min="2817" max="2817" width="15.5703125" style="365" customWidth="1"/>
    <col min="2818" max="2818" width="44.5703125" style="365" customWidth="1"/>
    <col min="2819" max="2819" width="14.28515625" style="365" bestFit="1" customWidth="1"/>
    <col min="2820" max="2820" width="0" style="365" hidden="1" customWidth="1"/>
    <col min="2821" max="2821" width="18.140625" style="365" customWidth="1"/>
    <col min="2822" max="2822" width="0" style="365" hidden="1" customWidth="1"/>
    <col min="2823" max="2823" width="14" style="365" customWidth="1"/>
    <col min="2824" max="2824" width="0" style="365" hidden="1" customWidth="1"/>
    <col min="2825" max="2825" width="20.85546875" style="365" customWidth="1"/>
    <col min="2826" max="2826" width="0" style="365" hidden="1" customWidth="1"/>
    <col min="2827" max="2827" width="13.28515625" style="365" customWidth="1"/>
    <col min="2828" max="2828" width="0" style="365" hidden="1" customWidth="1"/>
    <col min="2829" max="2829" width="15" style="365" customWidth="1"/>
    <col min="2830" max="2830" width="0" style="365" hidden="1" customWidth="1"/>
    <col min="2831" max="2831" width="13.28515625" style="365" customWidth="1"/>
    <col min="2832" max="2832" width="0" style="365" hidden="1" customWidth="1"/>
    <col min="2833" max="2833" width="20.140625" style="365" customWidth="1"/>
    <col min="2834" max="2834" width="14.42578125" style="365" bestFit="1" customWidth="1"/>
    <col min="2835" max="2835" width="14" style="365" bestFit="1" customWidth="1"/>
    <col min="2836" max="2836" width="12.28515625" style="365" bestFit="1" customWidth="1"/>
    <col min="2837" max="2861" width="9.140625" style="365" customWidth="1"/>
    <col min="2862" max="3056" width="8.85546875" style="365"/>
    <col min="3057" max="3057" width="44.5703125" style="365" customWidth="1"/>
    <col min="3058" max="3058" width="14.28515625" style="365" bestFit="1" customWidth="1"/>
    <col min="3059" max="3059" width="1.7109375" style="365" customWidth="1"/>
    <col min="3060" max="3060" width="14.85546875" style="365" customWidth="1"/>
    <col min="3061" max="3061" width="0" style="365" hidden="1" customWidth="1"/>
    <col min="3062" max="3062" width="17.42578125" style="365" customWidth="1"/>
    <col min="3063" max="3063" width="0" style="365" hidden="1" customWidth="1"/>
    <col min="3064" max="3064" width="12.85546875" style="365" customWidth="1"/>
    <col min="3065" max="3065" width="0" style="365" hidden="1" customWidth="1"/>
    <col min="3066" max="3066" width="14.42578125" style="365" customWidth="1"/>
    <col min="3067" max="3067" width="0" style="365" hidden="1" customWidth="1"/>
    <col min="3068" max="3068" width="17.42578125" style="365" customWidth="1"/>
    <col min="3069" max="3069" width="0" style="365" hidden="1" customWidth="1"/>
    <col min="3070" max="3070" width="14" style="365" customWidth="1"/>
    <col min="3071" max="3071" width="14.28515625" style="365" bestFit="1" customWidth="1"/>
    <col min="3072" max="3072" width="0" style="365" hidden="1" customWidth="1"/>
    <col min="3073" max="3073" width="15.5703125" style="365" customWidth="1"/>
    <col min="3074" max="3074" width="44.5703125" style="365" customWidth="1"/>
    <col min="3075" max="3075" width="14.28515625" style="365" bestFit="1" customWidth="1"/>
    <col min="3076" max="3076" width="0" style="365" hidden="1" customWidth="1"/>
    <col min="3077" max="3077" width="18.140625" style="365" customWidth="1"/>
    <col min="3078" max="3078" width="0" style="365" hidden="1" customWidth="1"/>
    <col min="3079" max="3079" width="14" style="365" customWidth="1"/>
    <col min="3080" max="3080" width="0" style="365" hidden="1" customWidth="1"/>
    <col min="3081" max="3081" width="20.85546875" style="365" customWidth="1"/>
    <col min="3082" max="3082" width="0" style="365" hidden="1" customWidth="1"/>
    <col min="3083" max="3083" width="13.28515625" style="365" customWidth="1"/>
    <col min="3084" max="3084" width="0" style="365" hidden="1" customWidth="1"/>
    <col min="3085" max="3085" width="15" style="365" customWidth="1"/>
    <col min="3086" max="3086" width="0" style="365" hidden="1" customWidth="1"/>
    <col min="3087" max="3087" width="13.28515625" style="365" customWidth="1"/>
    <col min="3088" max="3088" width="0" style="365" hidden="1" customWidth="1"/>
    <col min="3089" max="3089" width="20.140625" style="365" customWidth="1"/>
    <col min="3090" max="3090" width="14.42578125" style="365" bestFit="1" customWidth="1"/>
    <col min="3091" max="3091" width="14" style="365" bestFit="1" customWidth="1"/>
    <col min="3092" max="3092" width="12.28515625" style="365" bestFit="1" customWidth="1"/>
    <col min="3093" max="3117" width="9.140625" style="365" customWidth="1"/>
    <col min="3118" max="3312" width="8.85546875" style="365"/>
    <col min="3313" max="3313" width="44.5703125" style="365" customWidth="1"/>
    <col min="3314" max="3314" width="14.28515625" style="365" bestFit="1" customWidth="1"/>
    <col min="3315" max="3315" width="1.7109375" style="365" customWidth="1"/>
    <col min="3316" max="3316" width="14.85546875" style="365" customWidth="1"/>
    <col min="3317" max="3317" width="0" style="365" hidden="1" customWidth="1"/>
    <col min="3318" max="3318" width="17.42578125" style="365" customWidth="1"/>
    <col min="3319" max="3319" width="0" style="365" hidden="1" customWidth="1"/>
    <col min="3320" max="3320" width="12.85546875" style="365" customWidth="1"/>
    <col min="3321" max="3321" width="0" style="365" hidden="1" customWidth="1"/>
    <col min="3322" max="3322" width="14.42578125" style="365" customWidth="1"/>
    <col min="3323" max="3323" width="0" style="365" hidden="1" customWidth="1"/>
    <col min="3324" max="3324" width="17.42578125" style="365" customWidth="1"/>
    <col min="3325" max="3325" width="0" style="365" hidden="1" customWidth="1"/>
    <col min="3326" max="3326" width="14" style="365" customWidth="1"/>
    <col min="3327" max="3327" width="14.28515625" style="365" bestFit="1" customWidth="1"/>
    <col min="3328" max="3328" width="0" style="365" hidden="1" customWidth="1"/>
    <col min="3329" max="3329" width="15.5703125" style="365" customWidth="1"/>
    <col min="3330" max="3330" width="44.5703125" style="365" customWidth="1"/>
    <col min="3331" max="3331" width="14.28515625" style="365" bestFit="1" customWidth="1"/>
    <col min="3332" max="3332" width="0" style="365" hidden="1" customWidth="1"/>
    <col min="3333" max="3333" width="18.140625" style="365" customWidth="1"/>
    <col min="3334" max="3334" width="0" style="365" hidden="1" customWidth="1"/>
    <col min="3335" max="3335" width="14" style="365" customWidth="1"/>
    <col min="3336" max="3336" width="0" style="365" hidden="1" customWidth="1"/>
    <col min="3337" max="3337" width="20.85546875" style="365" customWidth="1"/>
    <col min="3338" max="3338" width="0" style="365" hidden="1" customWidth="1"/>
    <col min="3339" max="3339" width="13.28515625" style="365" customWidth="1"/>
    <col min="3340" max="3340" width="0" style="365" hidden="1" customWidth="1"/>
    <col min="3341" max="3341" width="15" style="365" customWidth="1"/>
    <col min="3342" max="3342" width="0" style="365" hidden="1" customWidth="1"/>
    <col min="3343" max="3343" width="13.28515625" style="365" customWidth="1"/>
    <col min="3344" max="3344" width="0" style="365" hidden="1" customWidth="1"/>
    <col min="3345" max="3345" width="20.140625" style="365" customWidth="1"/>
    <col min="3346" max="3346" width="14.42578125" style="365" bestFit="1" customWidth="1"/>
    <col min="3347" max="3347" width="14" style="365" bestFit="1" customWidth="1"/>
    <col min="3348" max="3348" width="12.28515625" style="365" bestFit="1" customWidth="1"/>
    <col min="3349" max="3373" width="9.140625" style="365" customWidth="1"/>
    <col min="3374" max="3568" width="8.85546875" style="365"/>
    <col min="3569" max="3569" width="44.5703125" style="365" customWidth="1"/>
    <col min="3570" max="3570" width="14.28515625" style="365" bestFit="1" customWidth="1"/>
    <col min="3571" max="3571" width="1.7109375" style="365" customWidth="1"/>
    <col min="3572" max="3572" width="14.85546875" style="365" customWidth="1"/>
    <col min="3573" max="3573" width="0" style="365" hidden="1" customWidth="1"/>
    <col min="3574" max="3574" width="17.42578125" style="365" customWidth="1"/>
    <col min="3575" max="3575" width="0" style="365" hidden="1" customWidth="1"/>
    <col min="3576" max="3576" width="12.85546875" style="365" customWidth="1"/>
    <col min="3577" max="3577" width="0" style="365" hidden="1" customWidth="1"/>
    <col min="3578" max="3578" width="14.42578125" style="365" customWidth="1"/>
    <col min="3579" max="3579" width="0" style="365" hidden="1" customWidth="1"/>
    <col min="3580" max="3580" width="17.42578125" style="365" customWidth="1"/>
    <col min="3581" max="3581" width="0" style="365" hidden="1" customWidth="1"/>
    <col min="3582" max="3582" width="14" style="365" customWidth="1"/>
    <col min="3583" max="3583" width="14.28515625" style="365" bestFit="1" customWidth="1"/>
    <col min="3584" max="3584" width="0" style="365" hidden="1" customWidth="1"/>
    <col min="3585" max="3585" width="15.5703125" style="365" customWidth="1"/>
    <col min="3586" max="3586" width="44.5703125" style="365" customWidth="1"/>
    <col min="3587" max="3587" width="14.28515625" style="365" bestFit="1" customWidth="1"/>
    <col min="3588" max="3588" width="0" style="365" hidden="1" customWidth="1"/>
    <col min="3589" max="3589" width="18.140625" style="365" customWidth="1"/>
    <col min="3590" max="3590" width="0" style="365" hidden="1" customWidth="1"/>
    <col min="3591" max="3591" width="14" style="365" customWidth="1"/>
    <col min="3592" max="3592" width="0" style="365" hidden="1" customWidth="1"/>
    <col min="3593" max="3593" width="20.85546875" style="365" customWidth="1"/>
    <col min="3594" max="3594" width="0" style="365" hidden="1" customWidth="1"/>
    <col min="3595" max="3595" width="13.28515625" style="365" customWidth="1"/>
    <col min="3596" max="3596" width="0" style="365" hidden="1" customWidth="1"/>
    <col min="3597" max="3597" width="15" style="365" customWidth="1"/>
    <col min="3598" max="3598" width="0" style="365" hidden="1" customWidth="1"/>
    <col min="3599" max="3599" width="13.28515625" style="365" customWidth="1"/>
    <col min="3600" max="3600" width="0" style="365" hidden="1" customWidth="1"/>
    <col min="3601" max="3601" width="20.140625" style="365" customWidth="1"/>
    <col min="3602" max="3602" width="14.42578125" style="365" bestFit="1" customWidth="1"/>
    <col min="3603" max="3603" width="14" style="365" bestFit="1" customWidth="1"/>
    <col min="3604" max="3604" width="12.28515625" style="365" bestFit="1" customWidth="1"/>
    <col min="3605" max="3629" width="9.140625" style="365" customWidth="1"/>
    <col min="3630" max="3824" width="8.85546875" style="365"/>
    <col min="3825" max="3825" width="44.5703125" style="365" customWidth="1"/>
    <col min="3826" max="3826" width="14.28515625" style="365" bestFit="1" customWidth="1"/>
    <col min="3827" max="3827" width="1.7109375" style="365" customWidth="1"/>
    <col min="3828" max="3828" width="14.85546875" style="365" customWidth="1"/>
    <col min="3829" max="3829" width="0" style="365" hidden="1" customWidth="1"/>
    <col min="3830" max="3830" width="17.42578125" style="365" customWidth="1"/>
    <col min="3831" max="3831" width="0" style="365" hidden="1" customWidth="1"/>
    <col min="3832" max="3832" width="12.85546875" style="365" customWidth="1"/>
    <col min="3833" max="3833" width="0" style="365" hidden="1" customWidth="1"/>
    <col min="3834" max="3834" width="14.42578125" style="365" customWidth="1"/>
    <col min="3835" max="3835" width="0" style="365" hidden="1" customWidth="1"/>
    <col min="3836" max="3836" width="17.42578125" style="365" customWidth="1"/>
    <col min="3837" max="3837" width="0" style="365" hidden="1" customWidth="1"/>
    <col min="3838" max="3838" width="14" style="365" customWidth="1"/>
    <col min="3839" max="3839" width="14.28515625" style="365" bestFit="1" customWidth="1"/>
    <col min="3840" max="3840" width="0" style="365" hidden="1" customWidth="1"/>
    <col min="3841" max="3841" width="15.5703125" style="365" customWidth="1"/>
    <col min="3842" max="3842" width="44.5703125" style="365" customWidth="1"/>
    <col min="3843" max="3843" width="14.28515625" style="365" bestFit="1" customWidth="1"/>
    <col min="3844" max="3844" width="0" style="365" hidden="1" customWidth="1"/>
    <col min="3845" max="3845" width="18.140625" style="365" customWidth="1"/>
    <col min="3846" max="3846" width="0" style="365" hidden="1" customWidth="1"/>
    <col min="3847" max="3847" width="14" style="365" customWidth="1"/>
    <col min="3848" max="3848" width="0" style="365" hidden="1" customWidth="1"/>
    <col min="3849" max="3849" width="20.85546875" style="365" customWidth="1"/>
    <col min="3850" max="3850" width="0" style="365" hidden="1" customWidth="1"/>
    <col min="3851" max="3851" width="13.28515625" style="365" customWidth="1"/>
    <col min="3852" max="3852" width="0" style="365" hidden="1" customWidth="1"/>
    <col min="3853" max="3853" width="15" style="365" customWidth="1"/>
    <col min="3854" max="3854" width="0" style="365" hidden="1" customWidth="1"/>
    <col min="3855" max="3855" width="13.28515625" style="365" customWidth="1"/>
    <col min="3856" max="3856" width="0" style="365" hidden="1" customWidth="1"/>
    <col min="3857" max="3857" width="20.140625" style="365" customWidth="1"/>
    <col min="3858" max="3858" width="14.42578125" style="365" bestFit="1" customWidth="1"/>
    <col min="3859" max="3859" width="14" style="365" bestFit="1" customWidth="1"/>
    <col min="3860" max="3860" width="12.28515625" style="365" bestFit="1" customWidth="1"/>
    <col min="3861" max="3885" width="9.140625" style="365" customWidth="1"/>
    <col min="3886" max="4080" width="8.85546875" style="365"/>
    <col min="4081" max="4081" width="44.5703125" style="365" customWidth="1"/>
    <col min="4082" max="4082" width="14.28515625" style="365" bestFit="1" customWidth="1"/>
    <col min="4083" max="4083" width="1.7109375" style="365" customWidth="1"/>
    <col min="4084" max="4084" width="14.85546875" style="365" customWidth="1"/>
    <col min="4085" max="4085" width="0" style="365" hidden="1" customWidth="1"/>
    <col min="4086" max="4086" width="17.42578125" style="365" customWidth="1"/>
    <col min="4087" max="4087" width="0" style="365" hidden="1" customWidth="1"/>
    <col min="4088" max="4088" width="12.85546875" style="365" customWidth="1"/>
    <col min="4089" max="4089" width="0" style="365" hidden="1" customWidth="1"/>
    <col min="4090" max="4090" width="14.42578125" style="365" customWidth="1"/>
    <col min="4091" max="4091" width="0" style="365" hidden="1" customWidth="1"/>
    <col min="4092" max="4092" width="17.42578125" style="365" customWidth="1"/>
    <col min="4093" max="4093" width="0" style="365" hidden="1" customWidth="1"/>
    <col min="4094" max="4094" width="14" style="365" customWidth="1"/>
    <col min="4095" max="4095" width="14.28515625" style="365" bestFit="1" customWidth="1"/>
    <col min="4096" max="4096" width="0" style="365" hidden="1" customWidth="1"/>
    <col min="4097" max="4097" width="15.5703125" style="365" customWidth="1"/>
    <col min="4098" max="4098" width="44.5703125" style="365" customWidth="1"/>
    <col min="4099" max="4099" width="14.28515625" style="365" bestFit="1" customWidth="1"/>
    <col min="4100" max="4100" width="0" style="365" hidden="1" customWidth="1"/>
    <col min="4101" max="4101" width="18.140625" style="365" customWidth="1"/>
    <col min="4102" max="4102" width="0" style="365" hidden="1" customWidth="1"/>
    <col min="4103" max="4103" width="14" style="365" customWidth="1"/>
    <col min="4104" max="4104" width="0" style="365" hidden="1" customWidth="1"/>
    <col min="4105" max="4105" width="20.85546875" style="365" customWidth="1"/>
    <col min="4106" max="4106" width="0" style="365" hidden="1" customWidth="1"/>
    <col min="4107" max="4107" width="13.28515625" style="365" customWidth="1"/>
    <col min="4108" max="4108" width="0" style="365" hidden="1" customWidth="1"/>
    <col min="4109" max="4109" width="15" style="365" customWidth="1"/>
    <col min="4110" max="4110" width="0" style="365" hidden="1" customWidth="1"/>
    <col min="4111" max="4111" width="13.28515625" style="365" customWidth="1"/>
    <col min="4112" max="4112" width="0" style="365" hidden="1" customWidth="1"/>
    <col min="4113" max="4113" width="20.140625" style="365" customWidth="1"/>
    <col min="4114" max="4114" width="14.42578125" style="365" bestFit="1" customWidth="1"/>
    <col min="4115" max="4115" width="14" style="365" bestFit="1" customWidth="1"/>
    <col min="4116" max="4116" width="12.28515625" style="365" bestFit="1" customWidth="1"/>
    <col min="4117" max="4141" width="9.140625" style="365" customWidth="1"/>
    <col min="4142" max="4336" width="8.85546875" style="365"/>
    <col min="4337" max="4337" width="44.5703125" style="365" customWidth="1"/>
    <col min="4338" max="4338" width="14.28515625" style="365" bestFit="1" customWidth="1"/>
    <col min="4339" max="4339" width="1.7109375" style="365" customWidth="1"/>
    <col min="4340" max="4340" width="14.85546875" style="365" customWidth="1"/>
    <col min="4341" max="4341" width="0" style="365" hidden="1" customWidth="1"/>
    <col min="4342" max="4342" width="17.42578125" style="365" customWidth="1"/>
    <col min="4343" max="4343" width="0" style="365" hidden="1" customWidth="1"/>
    <col min="4344" max="4344" width="12.85546875" style="365" customWidth="1"/>
    <col min="4345" max="4345" width="0" style="365" hidden="1" customWidth="1"/>
    <col min="4346" max="4346" width="14.42578125" style="365" customWidth="1"/>
    <col min="4347" max="4347" width="0" style="365" hidden="1" customWidth="1"/>
    <col min="4348" max="4348" width="17.42578125" style="365" customWidth="1"/>
    <col min="4349" max="4349" width="0" style="365" hidden="1" customWidth="1"/>
    <col min="4350" max="4350" width="14" style="365" customWidth="1"/>
    <col min="4351" max="4351" width="14.28515625" style="365" bestFit="1" customWidth="1"/>
    <col min="4352" max="4352" width="0" style="365" hidden="1" customWidth="1"/>
    <col min="4353" max="4353" width="15.5703125" style="365" customWidth="1"/>
    <col min="4354" max="4354" width="44.5703125" style="365" customWidth="1"/>
    <col min="4355" max="4355" width="14.28515625" style="365" bestFit="1" customWidth="1"/>
    <col min="4356" max="4356" width="0" style="365" hidden="1" customWidth="1"/>
    <col min="4357" max="4357" width="18.140625" style="365" customWidth="1"/>
    <col min="4358" max="4358" width="0" style="365" hidden="1" customWidth="1"/>
    <col min="4359" max="4359" width="14" style="365" customWidth="1"/>
    <col min="4360" max="4360" width="0" style="365" hidden="1" customWidth="1"/>
    <col min="4361" max="4361" width="20.85546875" style="365" customWidth="1"/>
    <col min="4362" max="4362" width="0" style="365" hidden="1" customWidth="1"/>
    <col min="4363" max="4363" width="13.28515625" style="365" customWidth="1"/>
    <col min="4364" max="4364" width="0" style="365" hidden="1" customWidth="1"/>
    <col min="4365" max="4365" width="15" style="365" customWidth="1"/>
    <col min="4366" max="4366" width="0" style="365" hidden="1" customWidth="1"/>
    <col min="4367" max="4367" width="13.28515625" style="365" customWidth="1"/>
    <col min="4368" max="4368" width="0" style="365" hidden="1" customWidth="1"/>
    <col min="4369" max="4369" width="20.140625" style="365" customWidth="1"/>
    <col min="4370" max="4370" width="14.42578125" style="365" bestFit="1" customWidth="1"/>
    <col min="4371" max="4371" width="14" style="365" bestFit="1" customWidth="1"/>
    <col min="4372" max="4372" width="12.28515625" style="365" bestFit="1" customWidth="1"/>
    <col min="4373" max="4397" width="9.140625" style="365" customWidth="1"/>
    <col min="4398" max="4592" width="8.85546875" style="365"/>
    <col min="4593" max="4593" width="44.5703125" style="365" customWidth="1"/>
    <col min="4594" max="4594" width="14.28515625" style="365" bestFit="1" customWidth="1"/>
    <col min="4595" max="4595" width="1.7109375" style="365" customWidth="1"/>
    <col min="4596" max="4596" width="14.85546875" style="365" customWidth="1"/>
    <col min="4597" max="4597" width="0" style="365" hidden="1" customWidth="1"/>
    <col min="4598" max="4598" width="17.42578125" style="365" customWidth="1"/>
    <col min="4599" max="4599" width="0" style="365" hidden="1" customWidth="1"/>
    <col min="4600" max="4600" width="12.85546875" style="365" customWidth="1"/>
    <col min="4601" max="4601" width="0" style="365" hidden="1" customWidth="1"/>
    <col min="4602" max="4602" width="14.42578125" style="365" customWidth="1"/>
    <col min="4603" max="4603" width="0" style="365" hidden="1" customWidth="1"/>
    <col min="4604" max="4604" width="17.42578125" style="365" customWidth="1"/>
    <col min="4605" max="4605" width="0" style="365" hidden="1" customWidth="1"/>
    <col min="4606" max="4606" width="14" style="365" customWidth="1"/>
    <col min="4607" max="4607" width="14.28515625" style="365" bestFit="1" customWidth="1"/>
    <col min="4608" max="4608" width="0" style="365" hidden="1" customWidth="1"/>
    <col min="4609" max="4609" width="15.5703125" style="365" customWidth="1"/>
    <col min="4610" max="4610" width="44.5703125" style="365" customWidth="1"/>
    <col min="4611" max="4611" width="14.28515625" style="365" bestFit="1" customWidth="1"/>
    <col min="4612" max="4612" width="0" style="365" hidden="1" customWidth="1"/>
    <col min="4613" max="4613" width="18.140625" style="365" customWidth="1"/>
    <col min="4614" max="4614" width="0" style="365" hidden="1" customWidth="1"/>
    <col min="4615" max="4615" width="14" style="365" customWidth="1"/>
    <col min="4616" max="4616" width="0" style="365" hidden="1" customWidth="1"/>
    <col min="4617" max="4617" width="20.85546875" style="365" customWidth="1"/>
    <col min="4618" max="4618" width="0" style="365" hidden="1" customWidth="1"/>
    <col min="4619" max="4619" width="13.28515625" style="365" customWidth="1"/>
    <col min="4620" max="4620" width="0" style="365" hidden="1" customWidth="1"/>
    <col min="4621" max="4621" width="15" style="365" customWidth="1"/>
    <col min="4622" max="4622" width="0" style="365" hidden="1" customWidth="1"/>
    <col min="4623" max="4623" width="13.28515625" style="365" customWidth="1"/>
    <col min="4624" max="4624" width="0" style="365" hidden="1" customWidth="1"/>
    <col min="4625" max="4625" width="20.140625" style="365" customWidth="1"/>
    <col min="4626" max="4626" width="14.42578125" style="365" bestFit="1" customWidth="1"/>
    <col min="4627" max="4627" width="14" style="365" bestFit="1" customWidth="1"/>
    <col min="4628" max="4628" width="12.28515625" style="365" bestFit="1" customWidth="1"/>
    <col min="4629" max="4653" width="9.140625" style="365" customWidth="1"/>
    <col min="4654" max="4848" width="8.85546875" style="365"/>
    <col min="4849" max="4849" width="44.5703125" style="365" customWidth="1"/>
    <col min="4850" max="4850" width="14.28515625" style="365" bestFit="1" customWidth="1"/>
    <col min="4851" max="4851" width="1.7109375" style="365" customWidth="1"/>
    <col min="4852" max="4852" width="14.85546875" style="365" customWidth="1"/>
    <col min="4853" max="4853" width="0" style="365" hidden="1" customWidth="1"/>
    <col min="4854" max="4854" width="17.42578125" style="365" customWidth="1"/>
    <col min="4855" max="4855" width="0" style="365" hidden="1" customWidth="1"/>
    <col min="4856" max="4856" width="12.85546875" style="365" customWidth="1"/>
    <col min="4857" max="4857" width="0" style="365" hidden="1" customWidth="1"/>
    <col min="4858" max="4858" width="14.42578125" style="365" customWidth="1"/>
    <col min="4859" max="4859" width="0" style="365" hidden="1" customWidth="1"/>
    <col min="4860" max="4860" width="17.42578125" style="365" customWidth="1"/>
    <col min="4861" max="4861" width="0" style="365" hidden="1" customWidth="1"/>
    <col min="4862" max="4862" width="14" style="365" customWidth="1"/>
    <col min="4863" max="4863" width="14.28515625" style="365" bestFit="1" customWidth="1"/>
    <col min="4864" max="4864" width="0" style="365" hidden="1" customWidth="1"/>
    <col min="4865" max="4865" width="15.5703125" style="365" customWidth="1"/>
    <col min="4866" max="4866" width="44.5703125" style="365" customWidth="1"/>
    <col min="4867" max="4867" width="14.28515625" style="365" bestFit="1" customWidth="1"/>
    <col min="4868" max="4868" width="0" style="365" hidden="1" customWidth="1"/>
    <col min="4869" max="4869" width="18.140625" style="365" customWidth="1"/>
    <col min="4870" max="4870" width="0" style="365" hidden="1" customWidth="1"/>
    <col min="4871" max="4871" width="14" style="365" customWidth="1"/>
    <col min="4872" max="4872" width="0" style="365" hidden="1" customWidth="1"/>
    <col min="4873" max="4873" width="20.85546875" style="365" customWidth="1"/>
    <col min="4874" max="4874" width="0" style="365" hidden="1" customWidth="1"/>
    <col min="4875" max="4875" width="13.28515625" style="365" customWidth="1"/>
    <col min="4876" max="4876" width="0" style="365" hidden="1" customWidth="1"/>
    <col min="4877" max="4877" width="15" style="365" customWidth="1"/>
    <col min="4878" max="4878" width="0" style="365" hidden="1" customWidth="1"/>
    <col min="4879" max="4879" width="13.28515625" style="365" customWidth="1"/>
    <col min="4880" max="4880" width="0" style="365" hidden="1" customWidth="1"/>
    <col min="4881" max="4881" width="20.140625" style="365" customWidth="1"/>
    <col min="4882" max="4882" width="14.42578125" style="365" bestFit="1" customWidth="1"/>
    <col min="4883" max="4883" width="14" style="365" bestFit="1" customWidth="1"/>
    <col min="4884" max="4884" width="12.28515625" style="365" bestFit="1" customWidth="1"/>
    <col min="4885" max="4909" width="9.140625" style="365" customWidth="1"/>
    <col min="4910" max="5104" width="8.85546875" style="365"/>
    <col min="5105" max="5105" width="44.5703125" style="365" customWidth="1"/>
    <col min="5106" max="5106" width="14.28515625" style="365" bestFit="1" customWidth="1"/>
    <col min="5107" max="5107" width="1.7109375" style="365" customWidth="1"/>
    <col min="5108" max="5108" width="14.85546875" style="365" customWidth="1"/>
    <col min="5109" max="5109" width="0" style="365" hidden="1" customWidth="1"/>
    <col min="5110" max="5110" width="17.42578125" style="365" customWidth="1"/>
    <col min="5111" max="5111" width="0" style="365" hidden="1" customWidth="1"/>
    <col min="5112" max="5112" width="12.85546875" style="365" customWidth="1"/>
    <col min="5113" max="5113" width="0" style="365" hidden="1" customWidth="1"/>
    <col min="5114" max="5114" width="14.42578125" style="365" customWidth="1"/>
    <col min="5115" max="5115" width="0" style="365" hidden="1" customWidth="1"/>
    <col min="5116" max="5116" width="17.42578125" style="365" customWidth="1"/>
    <col min="5117" max="5117" width="0" style="365" hidden="1" customWidth="1"/>
    <col min="5118" max="5118" width="14" style="365" customWidth="1"/>
    <col min="5119" max="5119" width="14.28515625" style="365" bestFit="1" customWidth="1"/>
    <col min="5120" max="5120" width="0" style="365" hidden="1" customWidth="1"/>
    <col min="5121" max="5121" width="15.5703125" style="365" customWidth="1"/>
    <col min="5122" max="5122" width="44.5703125" style="365" customWidth="1"/>
    <col min="5123" max="5123" width="14.28515625" style="365" bestFit="1" customWidth="1"/>
    <col min="5124" max="5124" width="0" style="365" hidden="1" customWidth="1"/>
    <col min="5125" max="5125" width="18.140625" style="365" customWidth="1"/>
    <col min="5126" max="5126" width="0" style="365" hidden="1" customWidth="1"/>
    <col min="5127" max="5127" width="14" style="365" customWidth="1"/>
    <col min="5128" max="5128" width="0" style="365" hidden="1" customWidth="1"/>
    <col min="5129" max="5129" width="20.85546875" style="365" customWidth="1"/>
    <col min="5130" max="5130" width="0" style="365" hidden="1" customWidth="1"/>
    <col min="5131" max="5131" width="13.28515625" style="365" customWidth="1"/>
    <col min="5132" max="5132" width="0" style="365" hidden="1" customWidth="1"/>
    <col min="5133" max="5133" width="15" style="365" customWidth="1"/>
    <col min="5134" max="5134" width="0" style="365" hidden="1" customWidth="1"/>
    <col min="5135" max="5135" width="13.28515625" style="365" customWidth="1"/>
    <col min="5136" max="5136" width="0" style="365" hidden="1" customWidth="1"/>
    <col min="5137" max="5137" width="20.140625" style="365" customWidth="1"/>
    <col min="5138" max="5138" width="14.42578125" style="365" bestFit="1" customWidth="1"/>
    <col min="5139" max="5139" width="14" style="365" bestFit="1" customWidth="1"/>
    <col min="5140" max="5140" width="12.28515625" style="365" bestFit="1" customWidth="1"/>
    <col min="5141" max="5165" width="9.140625" style="365" customWidth="1"/>
    <col min="5166" max="5360" width="8.85546875" style="365"/>
    <col min="5361" max="5361" width="44.5703125" style="365" customWidth="1"/>
    <col min="5362" max="5362" width="14.28515625" style="365" bestFit="1" customWidth="1"/>
    <col min="5363" max="5363" width="1.7109375" style="365" customWidth="1"/>
    <col min="5364" max="5364" width="14.85546875" style="365" customWidth="1"/>
    <col min="5365" max="5365" width="0" style="365" hidden="1" customWidth="1"/>
    <col min="5366" max="5366" width="17.42578125" style="365" customWidth="1"/>
    <col min="5367" max="5367" width="0" style="365" hidden="1" customWidth="1"/>
    <col min="5368" max="5368" width="12.85546875" style="365" customWidth="1"/>
    <col min="5369" max="5369" width="0" style="365" hidden="1" customWidth="1"/>
    <col min="5370" max="5370" width="14.42578125" style="365" customWidth="1"/>
    <col min="5371" max="5371" width="0" style="365" hidden="1" customWidth="1"/>
    <col min="5372" max="5372" width="17.42578125" style="365" customWidth="1"/>
    <col min="5373" max="5373" width="0" style="365" hidden="1" customWidth="1"/>
    <col min="5374" max="5374" width="14" style="365" customWidth="1"/>
    <col min="5375" max="5375" width="14.28515625" style="365" bestFit="1" customWidth="1"/>
    <col min="5376" max="5376" width="0" style="365" hidden="1" customWidth="1"/>
    <col min="5377" max="5377" width="15.5703125" style="365" customWidth="1"/>
    <col min="5378" max="5378" width="44.5703125" style="365" customWidth="1"/>
    <col min="5379" max="5379" width="14.28515625" style="365" bestFit="1" customWidth="1"/>
    <col min="5380" max="5380" width="0" style="365" hidden="1" customWidth="1"/>
    <col min="5381" max="5381" width="18.140625" style="365" customWidth="1"/>
    <col min="5382" max="5382" width="0" style="365" hidden="1" customWidth="1"/>
    <col min="5383" max="5383" width="14" style="365" customWidth="1"/>
    <col min="5384" max="5384" width="0" style="365" hidden="1" customWidth="1"/>
    <col min="5385" max="5385" width="20.85546875" style="365" customWidth="1"/>
    <col min="5386" max="5386" width="0" style="365" hidden="1" customWidth="1"/>
    <col min="5387" max="5387" width="13.28515625" style="365" customWidth="1"/>
    <col min="5388" max="5388" width="0" style="365" hidden="1" customWidth="1"/>
    <col min="5389" max="5389" width="15" style="365" customWidth="1"/>
    <col min="5390" max="5390" width="0" style="365" hidden="1" customWidth="1"/>
    <col min="5391" max="5391" width="13.28515625" style="365" customWidth="1"/>
    <col min="5392" max="5392" width="0" style="365" hidden="1" customWidth="1"/>
    <col min="5393" max="5393" width="20.140625" style="365" customWidth="1"/>
    <col min="5394" max="5394" width="14.42578125" style="365" bestFit="1" customWidth="1"/>
    <col min="5395" max="5395" width="14" style="365" bestFit="1" customWidth="1"/>
    <col min="5396" max="5396" width="12.28515625" style="365" bestFit="1" customWidth="1"/>
    <col min="5397" max="5421" width="9.140625" style="365" customWidth="1"/>
    <col min="5422" max="5616" width="8.85546875" style="365"/>
    <col min="5617" max="5617" width="44.5703125" style="365" customWidth="1"/>
    <col min="5618" max="5618" width="14.28515625" style="365" bestFit="1" customWidth="1"/>
    <col min="5619" max="5619" width="1.7109375" style="365" customWidth="1"/>
    <col min="5620" max="5620" width="14.85546875" style="365" customWidth="1"/>
    <col min="5621" max="5621" width="0" style="365" hidden="1" customWidth="1"/>
    <col min="5622" max="5622" width="17.42578125" style="365" customWidth="1"/>
    <col min="5623" max="5623" width="0" style="365" hidden="1" customWidth="1"/>
    <col min="5624" max="5624" width="12.85546875" style="365" customWidth="1"/>
    <col min="5625" max="5625" width="0" style="365" hidden="1" customWidth="1"/>
    <col min="5626" max="5626" width="14.42578125" style="365" customWidth="1"/>
    <col min="5627" max="5627" width="0" style="365" hidden="1" customWidth="1"/>
    <col min="5628" max="5628" width="17.42578125" style="365" customWidth="1"/>
    <col min="5629" max="5629" width="0" style="365" hidden="1" customWidth="1"/>
    <col min="5630" max="5630" width="14" style="365" customWidth="1"/>
    <col min="5631" max="5631" width="14.28515625" style="365" bestFit="1" customWidth="1"/>
    <col min="5632" max="5632" width="0" style="365" hidden="1" customWidth="1"/>
    <col min="5633" max="5633" width="15.5703125" style="365" customWidth="1"/>
    <col min="5634" max="5634" width="44.5703125" style="365" customWidth="1"/>
    <col min="5635" max="5635" width="14.28515625" style="365" bestFit="1" customWidth="1"/>
    <col min="5636" max="5636" width="0" style="365" hidden="1" customWidth="1"/>
    <col min="5637" max="5637" width="18.140625" style="365" customWidth="1"/>
    <col min="5638" max="5638" width="0" style="365" hidden="1" customWidth="1"/>
    <col min="5639" max="5639" width="14" style="365" customWidth="1"/>
    <col min="5640" max="5640" width="0" style="365" hidden="1" customWidth="1"/>
    <col min="5641" max="5641" width="20.85546875" style="365" customWidth="1"/>
    <col min="5642" max="5642" width="0" style="365" hidden="1" customWidth="1"/>
    <col min="5643" max="5643" width="13.28515625" style="365" customWidth="1"/>
    <col min="5644" max="5644" width="0" style="365" hidden="1" customWidth="1"/>
    <col min="5645" max="5645" width="15" style="365" customWidth="1"/>
    <col min="5646" max="5646" width="0" style="365" hidden="1" customWidth="1"/>
    <col min="5647" max="5647" width="13.28515625" style="365" customWidth="1"/>
    <col min="5648" max="5648" width="0" style="365" hidden="1" customWidth="1"/>
    <col min="5649" max="5649" width="20.140625" style="365" customWidth="1"/>
    <col min="5650" max="5650" width="14.42578125" style="365" bestFit="1" customWidth="1"/>
    <col min="5651" max="5651" width="14" style="365" bestFit="1" customWidth="1"/>
    <col min="5652" max="5652" width="12.28515625" style="365" bestFit="1" customWidth="1"/>
    <col min="5653" max="5677" width="9.140625" style="365" customWidth="1"/>
    <col min="5678" max="5872" width="8.85546875" style="365"/>
    <col min="5873" max="5873" width="44.5703125" style="365" customWidth="1"/>
    <col min="5874" max="5874" width="14.28515625" style="365" bestFit="1" customWidth="1"/>
    <col min="5875" max="5875" width="1.7109375" style="365" customWidth="1"/>
    <col min="5876" max="5876" width="14.85546875" style="365" customWidth="1"/>
    <col min="5877" max="5877" width="0" style="365" hidden="1" customWidth="1"/>
    <col min="5878" max="5878" width="17.42578125" style="365" customWidth="1"/>
    <col min="5879" max="5879" width="0" style="365" hidden="1" customWidth="1"/>
    <col min="5880" max="5880" width="12.85546875" style="365" customWidth="1"/>
    <col min="5881" max="5881" width="0" style="365" hidden="1" customWidth="1"/>
    <col min="5882" max="5882" width="14.42578125" style="365" customWidth="1"/>
    <col min="5883" max="5883" width="0" style="365" hidden="1" customWidth="1"/>
    <col min="5884" max="5884" width="17.42578125" style="365" customWidth="1"/>
    <col min="5885" max="5885" width="0" style="365" hidden="1" customWidth="1"/>
    <col min="5886" max="5886" width="14" style="365" customWidth="1"/>
    <col min="5887" max="5887" width="14.28515625" style="365" bestFit="1" customWidth="1"/>
    <col min="5888" max="5888" width="0" style="365" hidden="1" customWidth="1"/>
    <col min="5889" max="5889" width="15.5703125" style="365" customWidth="1"/>
    <col min="5890" max="5890" width="44.5703125" style="365" customWidth="1"/>
    <col min="5891" max="5891" width="14.28515625" style="365" bestFit="1" customWidth="1"/>
    <col min="5892" max="5892" width="0" style="365" hidden="1" customWidth="1"/>
    <col min="5893" max="5893" width="18.140625" style="365" customWidth="1"/>
    <col min="5894" max="5894" width="0" style="365" hidden="1" customWidth="1"/>
    <col min="5895" max="5895" width="14" style="365" customWidth="1"/>
    <col min="5896" max="5896" width="0" style="365" hidden="1" customWidth="1"/>
    <col min="5897" max="5897" width="20.85546875" style="365" customWidth="1"/>
    <col min="5898" max="5898" width="0" style="365" hidden="1" customWidth="1"/>
    <col min="5899" max="5899" width="13.28515625" style="365" customWidth="1"/>
    <col min="5900" max="5900" width="0" style="365" hidden="1" customWidth="1"/>
    <col min="5901" max="5901" width="15" style="365" customWidth="1"/>
    <col min="5902" max="5902" width="0" style="365" hidden="1" customWidth="1"/>
    <col min="5903" max="5903" width="13.28515625" style="365" customWidth="1"/>
    <col min="5904" max="5904" width="0" style="365" hidden="1" customWidth="1"/>
    <col min="5905" max="5905" width="20.140625" style="365" customWidth="1"/>
    <col min="5906" max="5906" width="14.42578125" style="365" bestFit="1" customWidth="1"/>
    <col min="5907" max="5907" width="14" style="365" bestFit="1" customWidth="1"/>
    <col min="5908" max="5908" width="12.28515625" style="365" bestFit="1" customWidth="1"/>
    <col min="5909" max="5933" width="9.140625" style="365" customWidth="1"/>
    <col min="5934" max="6128" width="8.85546875" style="365"/>
    <col min="6129" max="6129" width="44.5703125" style="365" customWidth="1"/>
    <col min="6130" max="6130" width="14.28515625" style="365" bestFit="1" customWidth="1"/>
    <col min="6131" max="6131" width="1.7109375" style="365" customWidth="1"/>
    <col min="6132" max="6132" width="14.85546875" style="365" customWidth="1"/>
    <col min="6133" max="6133" width="0" style="365" hidden="1" customWidth="1"/>
    <col min="6134" max="6134" width="17.42578125" style="365" customWidth="1"/>
    <col min="6135" max="6135" width="0" style="365" hidden="1" customWidth="1"/>
    <col min="6136" max="6136" width="12.85546875" style="365" customWidth="1"/>
    <col min="6137" max="6137" width="0" style="365" hidden="1" customWidth="1"/>
    <col min="6138" max="6138" width="14.42578125" style="365" customWidth="1"/>
    <col min="6139" max="6139" width="0" style="365" hidden="1" customWidth="1"/>
    <col min="6140" max="6140" width="17.42578125" style="365" customWidth="1"/>
    <col min="6141" max="6141" width="0" style="365" hidden="1" customWidth="1"/>
    <col min="6142" max="6142" width="14" style="365" customWidth="1"/>
    <col min="6143" max="6143" width="14.28515625" style="365" bestFit="1" customWidth="1"/>
    <col min="6144" max="6144" width="0" style="365" hidden="1" customWidth="1"/>
    <col min="6145" max="6145" width="15.5703125" style="365" customWidth="1"/>
    <col min="6146" max="6146" width="44.5703125" style="365" customWidth="1"/>
    <col min="6147" max="6147" width="14.28515625" style="365" bestFit="1" customWidth="1"/>
    <col min="6148" max="6148" width="0" style="365" hidden="1" customWidth="1"/>
    <col min="6149" max="6149" width="18.140625" style="365" customWidth="1"/>
    <col min="6150" max="6150" width="0" style="365" hidden="1" customWidth="1"/>
    <col min="6151" max="6151" width="14" style="365" customWidth="1"/>
    <col min="6152" max="6152" width="0" style="365" hidden="1" customWidth="1"/>
    <col min="6153" max="6153" width="20.85546875" style="365" customWidth="1"/>
    <col min="6154" max="6154" width="0" style="365" hidden="1" customWidth="1"/>
    <col min="6155" max="6155" width="13.28515625" style="365" customWidth="1"/>
    <col min="6156" max="6156" width="0" style="365" hidden="1" customWidth="1"/>
    <col min="6157" max="6157" width="15" style="365" customWidth="1"/>
    <col min="6158" max="6158" width="0" style="365" hidden="1" customWidth="1"/>
    <col min="6159" max="6159" width="13.28515625" style="365" customWidth="1"/>
    <col min="6160" max="6160" width="0" style="365" hidden="1" customWidth="1"/>
    <col min="6161" max="6161" width="20.140625" style="365" customWidth="1"/>
    <col min="6162" max="6162" width="14.42578125" style="365" bestFit="1" customWidth="1"/>
    <col min="6163" max="6163" width="14" style="365" bestFit="1" customWidth="1"/>
    <col min="6164" max="6164" width="12.28515625" style="365" bestFit="1" customWidth="1"/>
    <col min="6165" max="6189" width="9.140625" style="365" customWidth="1"/>
    <col min="6190" max="6384" width="8.85546875" style="365"/>
    <col min="6385" max="6385" width="44.5703125" style="365" customWidth="1"/>
    <col min="6386" max="6386" width="14.28515625" style="365" bestFit="1" customWidth="1"/>
    <col min="6387" max="6387" width="1.7109375" style="365" customWidth="1"/>
    <col min="6388" max="6388" width="14.85546875" style="365" customWidth="1"/>
    <col min="6389" max="6389" width="0" style="365" hidden="1" customWidth="1"/>
    <col min="6390" max="6390" width="17.42578125" style="365" customWidth="1"/>
    <col min="6391" max="6391" width="0" style="365" hidden="1" customWidth="1"/>
    <col min="6392" max="6392" width="12.85546875" style="365" customWidth="1"/>
    <col min="6393" max="6393" width="0" style="365" hidden="1" customWidth="1"/>
    <col min="6394" max="6394" width="14.42578125" style="365" customWidth="1"/>
    <col min="6395" max="6395" width="0" style="365" hidden="1" customWidth="1"/>
    <col min="6396" max="6396" width="17.42578125" style="365" customWidth="1"/>
    <col min="6397" max="6397" width="0" style="365" hidden="1" customWidth="1"/>
    <col min="6398" max="6398" width="14" style="365" customWidth="1"/>
    <col min="6399" max="6399" width="14.28515625" style="365" bestFit="1" customWidth="1"/>
    <col min="6400" max="6400" width="0" style="365" hidden="1" customWidth="1"/>
    <col min="6401" max="6401" width="15.5703125" style="365" customWidth="1"/>
    <col min="6402" max="6402" width="44.5703125" style="365" customWidth="1"/>
    <col min="6403" max="6403" width="14.28515625" style="365" bestFit="1" customWidth="1"/>
    <col min="6404" max="6404" width="0" style="365" hidden="1" customWidth="1"/>
    <col min="6405" max="6405" width="18.140625" style="365" customWidth="1"/>
    <col min="6406" max="6406" width="0" style="365" hidden="1" customWidth="1"/>
    <col min="6407" max="6407" width="14" style="365" customWidth="1"/>
    <col min="6408" max="6408" width="0" style="365" hidden="1" customWidth="1"/>
    <col min="6409" max="6409" width="20.85546875" style="365" customWidth="1"/>
    <col min="6410" max="6410" width="0" style="365" hidden="1" customWidth="1"/>
    <col min="6411" max="6411" width="13.28515625" style="365" customWidth="1"/>
    <col min="6412" max="6412" width="0" style="365" hidden="1" customWidth="1"/>
    <col min="6413" max="6413" width="15" style="365" customWidth="1"/>
    <col min="6414" max="6414" width="0" style="365" hidden="1" customWidth="1"/>
    <col min="6415" max="6415" width="13.28515625" style="365" customWidth="1"/>
    <col min="6416" max="6416" width="0" style="365" hidden="1" customWidth="1"/>
    <col min="6417" max="6417" width="20.140625" style="365" customWidth="1"/>
    <col min="6418" max="6418" width="14.42578125" style="365" bestFit="1" customWidth="1"/>
    <col min="6419" max="6419" width="14" style="365" bestFit="1" customWidth="1"/>
    <col min="6420" max="6420" width="12.28515625" style="365" bestFit="1" customWidth="1"/>
    <col min="6421" max="6445" width="9.140625" style="365" customWidth="1"/>
    <col min="6446" max="6640" width="8.85546875" style="365"/>
    <col min="6641" max="6641" width="44.5703125" style="365" customWidth="1"/>
    <col min="6642" max="6642" width="14.28515625" style="365" bestFit="1" customWidth="1"/>
    <col min="6643" max="6643" width="1.7109375" style="365" customWidth="1"/>
    <col min="6644" max="6644" width="14.85546875" style="365" customWidth="1"/>
    <col min="6645" max="6645" width="0" style="365" hidden="1" customWidth="1"/>
    <col min="6646" max="6646" width="17.42578125" style="365" customWidth="1"/>
    <col min="6647" max="6647" width="0" style="365" hidden="1" customWidth="1"/>
    <col min="6648" max="6648" width="12.85546875" style="365" customWidth="1"/>
    <col min="6649" max="6649" width="0" style="365" hidden="1" customWidth="1"/>
    <col min="6650" max="6650" width="14.42578125" style="365" customWidth="1"/>
    <col min="6651" max="6651" width="0" style="365" hidden="1" customWidth="1"/>
    <col min="6652" max="6652" width="17.42578125" style="365" customWidth="1"/>
    <col min="6653" max="6653" width="0" style="365" hidden="1" customWidth="1"/>
    <col min="6654" max="6654" width="14" style="365" customWidth="1"/>
    <col min="6655" max="6655" width="14.28515625" style="365" bestFit="1" customWidth="1"/>
    <col min="6656" max="6656" width="0" style="365" hidden="1" customWidth="1"/>
    <col min="6657" max="6657" width="15.5703125" style="365" customWidth="1"/>
    <col min="6658" max="6658" width="44.5703125" style="365" customWidth="1"/>
    <col min="6659" max="6659" width="14.28515625" style="365" bestFit="1" customWidth="1"/>
    <col min="6660" max="6660" width="0" style="365" hidden="1" customWidth="1"/>
    <col min="6661" max="6661" width="18.140625" style="365" customWidth="1"/>
    <col min="6662" max="6662" width="0" style="365" hidden="1" customWidth="1"/>
    <col min="6663" max="6663" width="14" style="365" customWidth="1"/>
    <col min="6664" max="6664" width="0" style="365" hidden="1" customWidth="1"/>
    <col min="6665" max="6665" width="20.85546875" style="365" customWidth="1"/>
    <col min="6666" max="6666" width="0" style="365" hidden="1" customWidth="1"/>
    <col min="6667" max="6667" width="13.28515625" style="365" customWidth="1"/>
    <col min="6668" max="6668" width="0" style="365" hidden="1" customWidth="1"/>
    <col min="6669" max="6669" width="15" style="365" customWidth="1"/>
    <col min="6670" max="6670" width="0" style="365" hidden="1" customWidth="1"/>
    <col min="6671" max="6671" width="13.28515625" style="365" customWidth="1"/>
    <col min="6672" max="6672" width="0" style="365" hidden="1" customWidth="1"/>
    <col min="6673" max="6673" width="20.140625" style="365" customWidth="1"/>
    <col min="6674" max="6674" width="14.42578125" style="365" bestFit="1" customWidth="1"/>
    <col min="6675" max="6675" width="14" style="365" bestFit="1" customWidth="1"/>
    <col min="6676" max="6676" width="12.28515625" style="365" bestFit="1" customWidth="1"/>
    <col min="6677" max="6701" width="9.140625" style="365" customWidth="1"/>
    <col min="6702" max="6896" width="8.85546875" style="365"/>
    <col min="6897" max="6897" width="44.5703125" style="365" customWidth="1"/>
    <col min="6898" max="6898" width="14.28515625" style="365" bestFit="1" customWidth="1"/>
    <col min="6899" max="6899" width="1.7109375" style="365" customWidth="1"/>
    <col min="6900" max="6900" width="14.85546875" style="365" customWidth="1"/>
    <col min="6901" max="6901" width="0" style="365" hidden="1" customWidth="1"/>
    <col min="6902" max="6902" width="17.42578125" style="365" customWidth="1"/>
    <col min="6903" max="6903" width="0" style="365" hidden="1" customWidth="1"/>
    <col min="6904" max="6904" width="12.85546875" style="365" customWidth="1"/>
    <col min="6905" max="6905" width="0" style="365" hidden="1" customWidth="1"/>
    <col min="6906" max="6906" width="14.42578125" style="365" customWidth="1"/>
    <col min="6907" max="6907" width="0" style="365" hidden="1" customWidth="1"/>
    <col min="6908" max="6908" width="17.42578125" style="365" customWidth="1"/>
    <col min="6909" max="6909" width="0" style="365" hidden="1" customWidth="1"/>
    <col min="6910" max="6910" width="14" style="365" customWidth="1"/>
    <col min="6911" max="6911" width="14.28515625" style="365" bestFit="1" customWidth="1"/>
    <col min="6912" max="6912" width="0" style="365" hidden="1" customWidth="1"/>
    <col min="6913" max="6913" width="15.5703125" style="365" customWidth="1"/>
    <col min="6914" max="6914" width="44.5703125" style="365" customWidth="1"/>
    <col min="6915" max="6915" width="14.28515625" style="365" bestFit="1" customWidth="1"/>
    <col min="6916" max="6916" width="0" style="365" hidden="1" customWidth="1"/>
    <col min="6917" max="6917" width="18.140625" style="365" customWidth="1"/>
    <col min="6918" max="6918" width="0" style="365" hidden="1" customWidth="1"/>
    <col min="6919" max="6919" width="14" style="365" customWidth="1"/>
    <col min="6920" max="6920" width="0" style="365" hidden="1" customWidth="1"/>
    <col min="6921" max="6921" width="20.85546875" style="365" customWidth="1"/>
    <col min="6922" max="6922" width="0" style="365" hidden="1" customWidth="1"/>
    <col min="6923" max="6923" width="13.28515625" style="365" customWidth="1"/>
    <col min="6924" max="6924" width="0" style="365" hidden="1" customWidth="1"/>
    <col min="6925" max="6925" width="15" style="365" customWidth="1"/>
    <col min="6926" max="6926" width="0" style="365" hidden="1" customWidth="1"/>
    <col min="6927" max="6927" width="13.28515625" style="365" customWidth="1"/>
    <col min="6928" max="6928" width="0" style="365" hidden="1" customWidth="1"/>
    <col min="6929" max="6929" width="20.140625" style="365" customWidth="1"/>
    <col min="6930" max="6930" width="14.42578125" style="365" bestFit="1" customWidth="1"/>
    <col min="6931" max="6931" width="14" style="365" bestFit="1" customWidth="1"/>
    <col min="6932" max="6932" width="12.28515625" style="365" bestFit="1" customWidth="1"/>
    <col min="6933" max="6957" width="9.140625" style="365" customWidth="1"/>
    <col min="6958" max="7152" width="8.85546875" style="365"/>
    <col min="7153" max="7153" width="44.5703125" style="365" customWidth="1"/>
    <col min="7154" max="7154" width="14.28515625" style="365" bestFit="1" customWidth="1"/>
    <col min="7155" max="7155" width="1.7109375" style="365" customWidth="1"/>
    <col min="7156" max="7156" width="14.85546875" style="365" customWidth="1"/>
    <col min="7157" max="7157" width="0" style="365" hidden="1" customWidth="1"/>
    <col min="7158" max="7158" width="17.42578125" style="365" customWidth="1"/>
    <col min="7159" max="7159" width="0" style="365" hidden="1" customWidth="1"/>
    <col min="7160" max="7160" width="12.85546875" style="365" customWidth="1"/>
    <col min="7161" max="7161" width="0" style="365" hidden="1" customWidth="1"/>
    <col min="7162" max="7162" width="14.42578125" style="365" customWidth="1"/>
    <col min="7163" max="7163" width="0" style="365" hidden="1" customWidth="1"/>
    <col min="7164" max="7164" width="17.42578125" style="365" customWidth="1"/>
    <col min="7165" max="7165" width="0" style="365" hidden="1" customWidth="1"/>
    <col min="7166" max="7166" width="14" style="365" customWidth="1"/>
    <col min="7167" max="7167" width="14.28515625" style="365" bestFit="1" customWidth="1"/>
    <col min="7168" max="7168" width="0" style="365" hidden="1" customWidth="1"/>
    <col min="7169" max="7169" width="15.5703125" style="365" customWidth="1"/>
    <col min="7170" max="7170" width="44.5703125" style="365" customWidth="1"/>
    <col min="7171" max="7171" width="14.28515625" style="365" bestFit="1" customWidth="1"/>
    <col min="7172" max="7172" width="0" style="365" hidden="1" customWidth="1"/>
    <col min="7173" max="7173" width="18.140625" style="365" customWidth="1"/>
    <col min="7174" max="7174" width="0" style="365" hidden="1" customWidth="1"/>
    <col min="7175" max="7175" width="14" style="365" customWidth="1"/>
    <col min="7176" max="7176" width="0" style="365" hidden="1" customWidth="1"/>
    <col min="7177" max="7177" width="20.85546875" style="365" customWidth="1"/>
    <col min="7178" max="7178" width="0" style="365" hidden="1" customWidth="1"/>
    <col min="7179" max="7179" width="13.28515625" style="365" customWidth="1"/>
    <col min="7180" max="7180" width="0" style="365" hidden="1" customWidth="1"/>
    <col min="7181" max="7181" width="15" style="365" customWidth="1"/>
    <col min="7182" max="7182" width="0" style="365" hidden="1" customWidth="1"/>
    <col min="7183" max="7183" width="13.28515625" style="365" customWidth="1"/>
    <col min="7184" max="7184" width="0" style="365" hidden="1" customWidth="1"/>
    <col min="7185" max="7185" width="20.140625" style="365" customWidth="1"/>
    <col min="7186" max="7186" width="14.42578125" style="365" bestFit="1" customWidth="1"/>
    <col min="7187" max="7187" width="14" style="365" bestFit="1" customWidth="1"/>
    <col min="7188" max="7188" width="12.28515625" style="365" bestFit="1" customWidth="1"/>
    <col min="7189" max="7213" width="9.140625" style="365" customWidth="1"/>
    <col min="7214" max="7408" width="8.85546875" style="365"/>
    <col min="7409" max="7409" width="44.5703125" style="365" customWidth="1"/>
    <col min="7410" max="7410" width="14.28515625" style="365" bestFit="1" customWidth="1"/>
    <col min="7411" max="7411" width="1.7109375" style="365" customWidth="1"/>
    <col min="7412" max="7412" width="14.85546875" style="365" customWidth="1"/>
    <col min="7413" max="7413" width="0" style="365" hidden="1" customWidth="1"/>
    <col min="7414" max="7414" width="17.42578125" style="365" customWidth="1"/>
    <col min="7415" max="7415" width="0" style="365" hidden="1" customWidth="1"/>
    <col min="7416" max="7416" width="12.85546875" style="365" customWidth="1"/>
    <col min="7417" max="7417" width="0" style="365" hidden="1" customWidth="1"/>
    <col min="7418" max="7418" width="14.42578125" style="365" customWidth="1"/>
    <col min="7419" max="7419" width="0" style="365" hidden="1" customWidth="1"/>
    <col min="7420" max="7420" width="17.42578125" style="365" customWidth="1"/>
    <col min="7421" max="7421" width="0" style="365" hidden="1" customWidth="1"/>
    <col min="7422" max="7422" width="14" style="365" customWidth="1"/>
    <col min="7423" max="7423" width="14.28515625" style="365" bestFit="1" customWidth="1"/>
    <col min="7424" max="7424" width="0" style="365" hidden="1" customWidth="1"/>
    <col min="7425" max="7425" width="15.5703125" style="365" customWidth="1"/>
    <col min="7426" max="7426" width="44.5703125" style="365" customWidth="1"/>
    <col min="7427" max="7427" width="14.28515625" style="365" bestFit="1" customWidth="1"/>
    <col min="7428" max="7428" width="0" style="365" hidden="1" customWidth="1"/>
    <col min="7429" max="7429" width="18.140625" style="365" customWidth="1"/>
    <col min="7430" max="7430" width="0" style="365" hidden="1" customWidth="1"/>
    <col min="7431" max="7431" width="14" style="365" customWidth="1"/>
    <col min="7432" max="7432" width="0" style="365" hidden="1" customWidth="1"/>
    <col min="7433" max="7433" width="20.85546875" style="365" customWidth="1"/>
    <col min="7434" max="7434" width="0" style="365" hidden="1" customWidth="1"/>
    <col min="7435" max="7435" width="13.28515625" style="365" customWidth="1"/>
    <col min="7436" max="7436" width="0" style="365" hidden="1" customWidth="1"/>
    <col min="7437" max="7437" width="15" style="365" customWidth="1"/>
    <col min="7438" max="7438" width="0" style="365" hidden="1" customWidth="1"/>
    <col min="7439" max="7439" width="13.28515625" style="365" customWidth="1"/>
    <col min="7440" max="7440" width="0" style="365" hidden="1" customWidth="1"/>
    <col min="7441" max="7441" width="20.140625" style="365" customWidth="1"/>
    <col min="7442" max="7442" width="14.42578125" style="365" bestFit="1" customWidth="1"/>
    <col min="7443" max="7443" width="14" style="365" bestFit="1" customWidth="1"/>
    <col min="7444" max="7444" width="12.28515625" style="365" bestFit="1" customWidth="1"/>
    <col min="7445" max="7469" width="9.140625" style="365" customWidth="1"/>
    <col min="7470" max="7664" width="8.85546875" style="365"/>
    <col min="7665" max="7665" width="44.5703125" style="365" customWidth="1"/>
    <col min="7666" max="7666" width="14.28515625" style="365" bestFit="1" customWidth="1"/>
    <col min="7667" max="7667" width="1.7109375" style="365" customWidth="1"/>
    <col min="7668" max="7668" width="14.85546875" style="365" customWidth="1"/>
    <col min="7669" max="7669" width="0" style="365" hidden="1" customWidth="1"/>
    <col min="7670" max="7670" width="17.42578125" style="365" customWidth="1"/>
    <col min="7671" max="7671" width="0" style="365" hidden="1" customWidth="1"/>
    <col min="7672" max="7672" width="12.85546875" style="365" customWidth="1"/>
    <col min="7673" max="7673" width="0" style="365" hidden="1" customWidth="1"/>
    <col min="7674" max="7674" width="14.42578125" style="365" customWidth="1"/>
    <col min="7675" max="7675" width="0" style="365" hidden="1" customWidth="1"/>
    <col min="7676" max="7676" width="17.42578125" style="365" customWidth="1"/>
    <col min="7677" max="7677" width="0" style="365" hidden="1" customWidth="1"/>
    <col min="7678" max="7678" width="14" style="365" customWidth="1"/>
    <col min="7679" max="7679" width="14.28515625" style="365" bestFit="1" customWidth="1"/>
    <col min="7680" max="7680" width="0" style="365" hidden="1" customWidth="1"/>
    <col min="7681" max="7681" width="15.5703125" style="365" customWidth="1"/>
    <col min="7682" max="7682" width="44.5703125" style="365" customWidth="1"/>
    <col min="7683" max="7683" width="14.28515625" style="365" bestFit="1" customWidth="1"/>
    <col min="7684" max="7684" width="0" style="365" hidden="1" customWidth="1"/>
    <col min="7685" max="7685" width="18.140625" style="365" customWidth="1"/>
    <col min="7686" max="7686" width="0" style="365" hidden="1" customWidth="1"/>
    <col min="7687" max="7687" width="14" style="365" customWidth="1"/>
    <col min="7688" max="7688" width="0" style="365" hidden="1" customWidth="1"/>
    <col min="7689" max="7689" width="20.85546875" style="365" customWidth="1"/>
    <col min="7690" max="7690" width="0" style="365" hidden="1" customWidth="1"/>
    <col min="7691" max="7691" width="13.28515625" style="365" customWidth="1"/>
    <col min="7692" max="7692" width="0" style="365" hidden="1" customWidth="1"/>
    <col min="7693" max="7693" width="15" style="365" customWidth="1"/>
    <col min="7694" max="7694" width="0" style="365" hidden="1" customWidth="1"/>
    <col min="7695" max="7695" width="13.28515625" style="365" customWidth="1"/>
    <col min="7696" max="7696" width="0" style="365" hidden="1" customWidth="1"/>
    <col min="7697" max="7697" width="20.140625" style="365" customWidth="1"/>
    <col min="7698" max="7698" width="14.42578125" style="365" bestFit="1" customWidth="1"/>
    <col min="7699" max="7699" width="14" style="365" bestFit="1" customWidth="1"/>
    <col min="7700" max="7700" width="12.28515625" style="365" bestFit="1" customWidth="1"/>
    <col min="7701" max="7725" width="9.140625" style="365" customWidth="1"/>
    <col min="7726" max="7920" width="8.85546875" style="365"/>
    <col min="7921" max="7921" width="44.5703125" style="365" customWidth="1"/>
    <col min="7922" max="7922" width="14.28515625" style="365" bestFit="1" customWidth="1"/>
    <col min="7923" max="7923" width="1.7109375" style="365" customWidth="1"/>
    <col min="7924" max="7924" width="14.85546875" style="365" customWidth="1"/>
    <col min="7925" max="7925" width="0" style="365" hidden="1" customWidth="1"/>
    <col min="7926" max="7926" width="17.42578125" style="365" customWidth="1"/>
    <col min="7927" max="7927" width="0" style="365" hidden="1" customWidth="1"/>
    <col min="7928" max="7928" width="12.85546875" style="365" customWidth="1"/>
    <col min="7929" max="7929" width="0" style="365" hidden="1" customWidth="1"/>
    <col min="7930" max="7930" width="14.42578125" style="365" customWidth="1"/>
    <col min="7931" max="7931" width="0" style="365" hidden="1" customWidth="1"/>
    <col min="7932" max="7932" width="17.42578125" style="365" customWidth="1"/>
    <col min="7933" max="7933" width="0" style="365" hidden="1" customWidth="1"/>
    <col min="7934" max="7934" width="14" style="365" customWidth="1"/>
    <col min="7935" max="7935" width="14.28515625" style="365" bestFit="1" customWidth="1"/>
    <col min="7936" max="7936" width="0" style="365" hidden="1" customWidth="1"/>
    <col min="7937" max="7937" width="15.5703125" style="365" customWidth="1"/>
    <col min="7938" max="7938" width="44.5703125" style="365" customWidth="1"/>
    <col min="7939" max="7939" width="14.28515625" style="365" bestFit="1" customWidth="1"/>
    <col min="7940" max="7940" width="0" style="365" hidden="1" customWidth="1"/>
    <col min="7941" max="7941" width="18.140625" style="365" customWidth="1"/>
    <col min="7942" max="7942" width="0" style="365" hidden="1" customWidth="1"/>
    <col min="7943" max="7943" width="14" style="365" customWidth="1"/>
    <col min="7944" max="7944" width="0" style="365" hidden="1" customWidth="1"/>
    <col min="7945" max="7945" width="20.85546875" style="365" customWidth="1"/>
    <col min="7946" max="7946" width="0" style="365" hidden="1" customWidth="1"/>
    <col min="7947" max="7947" width="13.28515625" style="365" customWidth="1"/>
    <col min="7948" max="7948" width="0" style="365" hidden="1" customWidth="1"/>
    <col min="7949" max="7949" width="15" style="365" customWidth="1"/>
    <col min="7950" max="7950" width="0" style="365" hidden="1" customWidth="1"/>
    <col min="7951" max="7951" width="13.28515625" style="365" customWidth="1"/>
    <col min="7952" max="7952" width="0" style="365" hidden="1" customWidth="1"/>
    <col min="7953" max="7953" width="20.140625" style="365" customWidth="1"/>
    <col min="7954" max="7954" width="14.42578125" style="365" bestFit="1" customWidth="1"/>
    <col min="7955" max="7955" width="14" style="365" bestFit="1" customWidth="1"/>
    <col min="7956" max="7956" width="12.28515625" style="365" bestFit="1" customWidth="1"/>
    <col min="7957" max="7981" width="9.140625" style="365" customWidth="1"/>
    <col min="7982" max="8176" width="8.85546875" style="365"/>
    <col min="8177" max="8177" width="44.5703125" style="365" customWidth="1"/>
    <col min="8178" max="8178" width="14.28515625" style="365" bestFit="1" customWidth="1"/>
    <col min="8179" max="8179" width="1.7109375" style="365" customWidth="1"/>
    <col min="8180" max="8180" width="14.85546875" style="365" customWidth="1"/>
    <col min="8181" max="8181" width="0" style="365" hidden="1" customWidth="1"/>
    <col min="8182" max="8182" width="17.42578125" style="365" customWidth="1"/>
    <col min="8183" max="8183" width="0" style="365" hidden="1" customWidth="1"/>
    <col min="8184" max="8184" width="12.85546875" style="365" customWidth="1"/>
    <col min="8185" max="8185" width="0" style="365" hidden="1" customWidth="1"/>
    <col min="8186" max="8186" width="14.42578125" style="365" customWidth="1"/>
    <col min="8187" max="8187" width="0" style="365" hidden="1" customWidth="1"/>
    <col min="8188" max="8188" width="17.42578125" style="365" customWidth="1"/>
    <col min="8189" max="8189" width="0" style="365" hidden="1" customWidth="1"/>
    <col min="8190" max="8190" width="14" style="365" customWidth="1"/>
    <col min="8191" max="8191" width="14.28515625" style="365" bestFit="1" customWidth="1"/>
    <col min="8192" max="8192" width="0" style="365" hidden="1" customWidth="1"/>
    <col min="8193" max="8193" width="15.5703125" style="365" customWidth="1"/>
    <col min="8194" max="8194" width="44.5703125" style="365" customWidth="1"/>
    <col min="8195" max="8195" width="14.28515625" style="365" bestFit="1" customWidth="1"/>
    <col min="8196" max="8196" width="0" style="365" hidden="1" customWidth="1"/>
    <col min="8197" max="8197" width="18.140625" style="365" customWidth="1"/>
    <col min="8198" max="8198" width="0" style="365" hidden="1" customWidth="1"/>
    <col min="8199" max="8199" width="14" style="365" customWidth="1"/>
    <col min="8200" max="8200" width="0" style="365" hidden="1" customWidth="1"/>
    <col min="8201" max="8201" width="20.85546875" style="365" customWidth="1"/>
    <col min="8202" max="8202" width="0" style="365" hidden="1" customWidth="1"/>
    <col min="8203" max="8203" width="13.28515625" style="365" customWidth="1"/>
    <col min="8204" max="8204" width="0" style="365" hidden="1" customWidth="1"/>
    <col min="8205" max="8205" width="15" style="365" customWidth="1"/>
    <col min="8206" max="8206" width="0" style="365" hidden="1" customWidth="1"/>
    <col min="8207" max="8207" width="13.28515625" style="365" customWidth="1"/>
    <col min="8208" max="8208" width="0" style="365" hidden="1" customWidth="1"/>
    <col min="8209" max="8209" width="20.140625" style="365" customWidth="1"/>
    <col min="8210" max="8210" width="14.42578125" style="365" bestFit="1" customWidth="1"/>
    <col min="8211" max="8211" width="14" style="365" bestFit="1" customWidth="1"/>
    <col min="8212" max="8212" width="12.28515625" style="365" bestFit="1" customWidth="1"/>
    <col min="8213" max="8237" width="9.140625" style="365" customWidth="1"/>
    <col min="8238" max="8432" width="8.85546875" style="365"/>
    <col min="8433" max="8433" width="44.5703125" style="365" customWidth="1"/>
    <col min="8434" max="8434" width="14.28515625" style="365" bestFit="1" customWidth="1"/>
    <col min="8435" max="8435" width="1.7109375" style="365" customWidth="1"/>
    <col min="8436" max="8436" width="14.85546875" style="365" customWidth="1"/>
    <col min="8437" max="8437" width="0" style="365" hidden="1" customWidth="1"/>
    <col min="8438" max="8438" width="17.42578125" style="365" customWidth="1"/>
    <col min="8439" max="8439" width="0" style="365" hidden="1" customWidth="1"/>
    <col min="8440" max="8440" width="12.85546875" style="365" customWidth="1"/>
    <col min="8441" max="8441" width="0" style="365" hidden="1" customWidth="1"/>
    <col min="8442" max="8442" width="14.42578125" style="365" customWidth="1"/>
    <col min="8443" max="8443" width="0" style="365" hidden="1" customWidth="1"/>
    <col min="8444" max="8444" width="17.42578125" style="365" customWidth="1"/>
    <col min="8445" max="8445" width="0" style="365" hidden="1" customWidth="1"/>
    <col min="8446" max="8446" width="14" style="365" customWidth="1"/>
    <col min="8447" max="8447" width="14.28515625" style="365" bestFit="1" customWidth="1"/>
    <col min="8448" max="8448" width="0" style="365" hidden="1" customWidth="1"/>
    <col min="8449" max="8449" width="15.5703125" style="365" customWidth="1"/>
    <col min="8450" max="8450" width="44.5703125" style="365" customWidth="1"/>
    <col min="8451" max="8451" width="14.28515625" style="365" bestFit="1" customWidth="1"/>
    <col min="8452" max="8452" width="0" style="365" hidden="1" customWidth="1"/>
    <col min="8453" max="8453" width="18.140625" style="365" customWidth="1"/>
    <col min="8454" max="8454" width="0" style="365" hidden="1" customWidth="1"/>
    <col min="8455" max="8455" width="14" style="365" customWidth="1"/>
    <col min="8456" max="8456" width="0" style="365" hidden="1" customWidth="1"/>
    <col min="8457" max="8457" width="20.85546875" style="365" customWidth="1"/>
    <col min="8458" max="8458" width="0" style="365" hidden="1" customWidth="1"/>
    <col min="8459" max="8459" width="13.28515625" style="365" customWidth="1"/>
    <col min="8460" max="8460" width="0" style="365" hidden="1" customWidth="1"/>
    <col min="8461" max="8461" width="15" style="365" customWidth="1"/>
    <col min="8462" max="8462" width="0" style="365" hidden="1" customWidth="1"/>
    <col min="8463" max="8463" width="13.28515625" style="365" customWidth="1"/>
    <col min="8464" max="8464" width="0" style="365" hidden="1" customWidth="1"/>
    <col min="8465" max="8465" width="20.140625" style="365" customWidth="1"/>
    <col min="8466" max="8466" width="14.42578125" style="365" bestFit="1" customWidth="1"/>
    <col min="8467" max="8467" width="14" style="365" bestFit="1" customWidth="1"/>
    <col min="8468" max="8468" width="12.28515625" style="365" bestFit="1" customWidth="1"/>
    <col min="8469" max="8493" width="9.140625" style="365" customWidth="1"/>
    <col min="8494" max="8688" width="8.85546875" style="365"/>
    <col min="8689" max="8689" width="44.5703125" style="365" customWidth="1"/>
    <col min="8690" max="8690" width="14.28515625" style="365" bestFit="1" customWidth="1"/>
    <col min="8691" max="8691" width="1.7109375" style="365" customWidth="1"/>
    <col min="8692" max="8692" width="14.85546875" style="365" customWidth="1"/>
    <col min="8693" max="8693" width="0" style="365" hidden="1" customWidth="1"/>
    <col min="8694" max="8694" width="17.42578125" style="365" customWidth="1"/>
    <col min="8695" max="8695" width="0" style="365" hidden="1" customWidth="1"/>
    <col min="8696" max="8696" width="12.85546875" style="365" customWidth="1"/>
    <col min="8697" max="8697" width="0" style="365" hidden="1" customWidth="1"/>
    <col min="8698" max="8698" width="14.42578125" style="365" customWidth="1"/>
    <col min="8699" max="8699" width="0" style="365" hidden="1" customWidth="1"/>
    <col min="8700" max="8700" width="17.42578125" style="365" customWidth="1"/>
    <col min="8701" max="8701" width="0" style="365" hidden="1" customWidth="1"/>
    <col min="8702" max="8702" width="14" style="365" customWidth="1"/>
    <col min="8703" max="8703" width="14.28515625" style="365" bestFit="1" customWidth="1"/>
    <col min="8704" max="8704" width="0" style="365" hidden="1" customWidth="1"/>
    <col min="8705" max="8705" width="15.5703125" style="365" customWidth="1"/>
    <col min="8706" max="8706" width="44.5703125" style="365" customWidth="1"/>
    <col min="8707" max="8707" width="14.28515625" style="365" bestFit="1" customWidth="1"/>
    <col min="8708" max="8708" width="0" style="365" hidden="1" customWidth="1"/>
    <col min="8709" max="8709" width="18.140625" style="365" customWidth="1"/>
    <col min="8710" max="8710" width="0" style="365" hidden="1" customWidth="1"/>
    <col min="8711" max="8711" width="14" style="365" customWidth="1"/>
    <col min="8712" max="8712" width="0" style="365" hidden="1" customWidth="1"/>
    <col min="8713" max="8713" width="20.85546875" style="365" customWidth="1"/>
    <col min="8714" max="8714" width="0" style="365" hidden="1" customWidth="1"/>
    <col min="8715" max="8715" width="13.28515625" style="365" customWidth="1"/>
    <col min="8716" max="8716" width="0" style="365" hidden="1" customWidth="1"/>
    <col min="8717" max="8717" width="15" style="365" customWidth="1"/>
    <col min="8718" max="8718" width="0" style="365" hidden="1" customWidth="1"/>
    <col min="8719" max="8719" width="13.28515625" style="365" customWidth="1"/>
    <col min="8720" max="8720" width="0" style="365" hidden="1" customWidth="1"/>
    <col min="8721" max="8721" width="20.140625" style="365" customWidth="1"/>
    <col min="8722" max="8722" width="14.42578125" style="365" bestFit="1" customWidth="1"/>
    <col min="8723" max="8723" width="14" style="365" bestFit="1" customWidth="1"/>
    <col min="8724" max="8724" width="12.28515625" style="365" bestFit="1" customWidth="1"/>
    <col min="8725" max="8749" width="9.140625" style="365" customWidth="1"/>
    <col min="8750" max="8944" width="8.85546875" style="365"/>
    <col min="8945" max="8945" width="44.5703125" style="365" customWidth="1"/>
    <col min="8946" max="8946" width="14.28515625" style="365" bestFit="1" customWidth="1"/>
    <col min="8947" max="8947" width="1.7109375" style="365" customWidth="1"/>
    <col min="8948" max="8948" width="14.85546875" style="365" customWidth="1"/>
    <col min="8949" max="8949" width="0" style="365" hidden="1" customWidth="1"/>
    <col min="8950" max="8950" width="17.42578125" style="365" customWidth="1"/>
    <col min="8951" max="8951" width="0" style="365" hidden="1" customWidth="1"/>
    <col min="8952" max="8952" width="12.85546875" style="365" customWidth="1"/>
    <col min="8953" max="8953" width="0" style="365" hidden="1" customWidth="1"/>
    <col min="8954" max="8954" width="14.42578125" style="365" customWidth="1"/>
    <col min="8955" max="8955" width="0" style="365" hidden="1" customWidth="1"/>
    <col min="8956" max="8956" width="17.42578125" style="365" customWidth="1"/>
    <col min="8957" max="8957" width="0" style="365" hidden="1" customWidth="1"/>
    <col min="8958" max="8958" width="14" style="365" customWidth="1"/>
    <col min="8959" max="8959" width="14.28515625" style="365" bestFit="1" customWidth="1"/>
    <col min="8960" max="8960" width="0" style="365" hidden="1" customWidth="1"/>
    <col min="8961" max="8961" width="15.5703125" style="365" customWidth="1"/>
    <col min="8962" max="8962" width="44.5703125" style="365" customWidth="1"/>
    <col min="8963" max="8963" width="14.28515625" style="365" bestFit="1" customWidth="1"/>
    <col min="8964" max="8964" width="0" style="365" hidden="1" customWidth="1"/>
    <col min="8965" max="8965" width="18.140625" style="365" customWidth="1"/>
    <col min="8966" max="8966" width="0" style="365" hidden="1" customWidth="1"/>
    <col min="8967" max="8967" width="14" style="365" customWidth="1"/>
    <col min="8968" max="8968" width="0" style="365" hidden="1" customWidth="1"/>
    <col min="8969" max="8969" width="20.85546875" style="365" customWidth="1"/>
    <col min="8970" max="8970" width="0" style="365" hidden="1" customWidth="1"/>
    <col min="8971" max="8971" width="13.28515625" style="365" customWidth="1"/>
    <col min="8972" max="8972" width="0" style="365" hidden="1" customWidth="1"/>
    <col min="8973" max="8973" width="15" style="365" customWidth="1"/>
    <col min="8974" max="8974" width="0" style="365" hidden="1" customWidth="1"/>
    <col min="8975" max="8975" width="13.28515625" style="365" customWidth="1"/>
    <col min="8976" max="8976" width="0" style="365" hidden="1" customWidth="1"/>
    <col min="8977" max="8977" width="20.140625" style="365" customWidth="1"/>
    <col min="8978" max="8978" width="14.42578125" style="365" bestFit="1" customWidth="1"/>
    <col min="8979" max="8979" width="14" style="365" bestFit="1" customWidth="1"/>
    <col min="8980" max="8980" width="12.28515625" style="365" bestFit="1" customWidth="1"/>
    <col min="8981" max="9005" width="9.140625" style="365" customWidth="1"/>
    <col min="9006" max="9200" width="8.85546875" style="365"/>
    <col min="9201" max="9201" width="44.5703125" style="365" customWidth="1"/>
    <col min="9202" max="9202" width="14.28515625" style="365" bestFit="1" customWidth="1"/>
    <col min="9203" max="9203" width="1.7109375" style="365" customWidth="1"/>
    <col min="9204" max="9204" width="14.85546875" style="365" customWidth="1"/>
    <col min="9205" max="9205" width="0" style="365" hidden="1" customWidth="1"/>
    <col min="9206" max="9206" width="17.42578125" style="365" customWidth="1"/>
    <col min="9207" max="9207" width="0" style="365" hidden="1" customWidth="1"/>
    <col min="9208" max="9208" width="12.85546875" style="365" customWidth="1"/>
    <col min="9209" max="9209" width="0" style="365" hidden="1" customWidth="1"/>
    <col min="9210" max="9210" width="14.42578125" style="365" customWidth="1"/>
    <col min="9211" max="9211" width="0" style="365" hidden="1" customWidth="1"/>
    <col min="9212" max="9212" width="17.42578125" style="365" customWidth="1"/>
    <col min="9213" max="9213" width="0" style="365" hidden="1" customWidth="1"/>
    <col min="9214" max="9214" width="14" style="365" customWidth="1"/>
    <col min="9215" max="9215" width="14.28515625" style="365" bestFit="1" customWidth="1"/>
    <col min="9216" max="9216" width="0" style="365" hidden="1" customWidth="1"/>
    <col min="9217" max="9217" width="15.5703125" style="365" customWidth="1"/>
    <col min="9218" max="9218" width="44.5703125" style="365" customWidth="1"/>
    <col min="9219" max="9219" width="14.28515625" style="365" bestFit="1" customWidth="1"/>
    <col min="9220" max="9220" width="0" style="365" hidden="1" customWidth="1"/>
    <col min="9221" max="9221" width="18.140625" style="365" customWidth="1"/>
    <col min="9222" max="9222" width="0" style="365" hidden="1" customWidth="1"/>
    <col min="9223" max="9223" width="14" style="365" customWidth="1"/>
    <col min="9224" max="9224" width="0" style="365" hidden="1" customWidth="1"/>
    <col min="9225" max="9225" width="20.85546875" style="365" customWidth="1"/>
    <col min="9226" max="9226" width="0" style="365" hidden="1" customWidth="1"/>
    <col min="9227" max="9227" width="13.28515625" style="365" customWidth="1"/>
    <col min="9228" max="9228" width="0" style="365" hidden="1" customWidth="1"/>
    <col min="9229" max="9229" width="15" style="365" customWidth="1"/>
    <col min="9230" max="9230" width="0" style="365" hidden="1" customWidth="1"/>
    <col min="9231" max="9231" width="13.28515625" style="365" customWidth="1"/>
    <col min="9232" max="9232" width="0" style="365" hidden="1" customWidth="1"/>
    <col min="9233" max="9233" width="20.140625" style="365" customWidth="1"/>
    <col min="9234" max="9234" width="14.42578125" style="365" bestFit="1" customWidth="1"/>
    <col min="9235" max="9235" width="14" style="365" bestFit="1" customWidth="1"/>
    <col min="9236" max="9236" width="12.28515625" style="365" bestFit="1" customWidth="1"/>
    <col min="9237" max="9261" width="9.140625" style="365" customWidth="1"/>
    <col min="9262" max="9456" width="8.85546875" style="365"/>
    <col min="9457" max="9457" width="44.5703125" style="365" customWidth="1"/>
    <col min="9458" max="9458" width="14.28515625" style="365" bestFit="1" customWidth="1"/>
    <col min="9459" max="9459" width="1.7109375" style="365" customWidth="1"/>
    <col min="9460" max="9460" width="14.85546875" style="365" customWidth="1"/>
    <col min="9461" max="9461" width="0" style="365" hidden="1" customWidth="1"/>
    <col min="9462" max="9462" width="17.42578125" style="365" customWidth="1"/>
    <col min="9463" max="9463" width="0" style="365" hidden="1" customWidth="1"/>
    <col min="9464" max="9464" width="12.85546875" style="365" customWidth="1"/>
    <col min="9465" max="9465" width="0" style="365" hidden="1" customWidth="1"/>
    <col min="9466" max="9466" width="14.42578125" style="365" customWidth="1"/>
    <col min="9467" max="9467" width="0" style="365" hidden="1" customWidth="1"/>
    <col min="9468" max="9468" width="17.42578125" style="365" customWidth="1"/>
    <col min="9469" max="9469" width="0" style="365" hidden="1" customWidth="1"/>
    <col min="9470" max="9470" width="14" style="365" customWidth="1"/>
    <col min="9471" max="9471" width="14.28515625" style="365" bestFit="1" customWidth="1"/>
    <col min="9472" max="9472" width="0" style="365" hidden="1" customWidth="1"/>
    <col min="9473" max="9473" width="15.5703125" style="365" customWidth="1"/>
    <col min="9474" max="9474" width="44.5703125" style="365" customWidth="1"/>
    <col min="9475" max="9475" width="14.28515625" style="365" bestFit="1" customWidth="1"/>
    <col min="9476" max="9476" width="0" style="365" hidden="1" customWidth="1"/>
    <col min="9477" max="9477" width="18.140625" style="365" customWidth="1"/>
    <col min="9478" max="9478" width="0" style="365" hidden="1" customWidth="1"/>
    <col min="9479" max="9479" width="14" style="365" customWidth="1"/>
    <col min="9480" max="9480" width="0" style="365" hidden="1" customWidth="1"/>
    <col min="9481" max="9481" width="20.85546875" style="365" customWidth="1"/>
    <col min="9482" max="9482" width="0" style="365" hidden="1" customWidth="1"/>
    <col min="9483" max="9483" width="13.28515625" style="365" customWidth="1"/>
    <col min="9484" max="9484" width="0" style="365" hidden="1" customWidth="1"/>
    <col min="9485" max="9485" width="15" style="365" customWidth="1"/>
    <col min="9486" max="9486" width="0" style="365" hidden="1" customWidth="1"/>
    <col min="9487" max="9487" width="13.28515625" style="365" customWidth="1"/>
    <col min="9488" max="9488" width="0" style="365" hidden="1" customWidth="1"/>
    <col min="9489" max="9489" width="20.140625" style="365" customWidth="1"/>
    <col min="9490" max="9490" width="14.42578125" style="365" bestFit="1" customWidth="1"/>
    <col min="9491" max="9491" width="14" style="365" bestFit="1" customWidth="1"/>
    <col min="9492" max="9492" width="12.28515625" style="365" bestFit="1" customWidth="1"/>
    <col min="9493" max="9517" width="9.140625" style="365" customWidth="1"/>
    <col min="9518" max="9712" width="8.85546875" style="365"/>
    <col min="9713" max="9713" width="44.5703125" style="365" customWidth="1"/>
    <col min="9714" max="9714" width="14.28515625" style="365" bestFit="1" customWidth="1"/>
    <col min="9715" max="9715" width="1.7109375" style="365" customWidth="1"/>
    <col min="9716" max="9716" width="14.85546875" style="365" customWidth="1"/>
    <col min="9717" max="9717" width="0" style="365" hidden="1" customWidth="1"/>
    <col min="9718" max="9718" width="17.42578125" style="365" customWidth="1"/>
    <col min="9719" max="9719" width="0" style="365" hidden="1" customWidth="1"/>
    <col min="9720" max="9720" width="12.85546875" style="365" customWidth="1"/>
    <col min="9721" max="9721" width="0" style="365" hidden="1" customWidth="1"/>
    <col min="9722" max="9722" width="14.42578125" style="365" customWidth="1"/>
    <col min="9723" max="9723" width="0" style="365" hidden="1" customWidth="1"/>
    <col min="9724" max="9724" width="17.42578125" style="365" customWidth="1"/>
    <col min="9725" max="9725" width="0" style="365" hidden="1" customWidth="1"/>
    <col min="9726" max="9726" width="14" style="365" customWidth="1"/>
    <col min="9727" max="9727" width="14.28515625" style="365" bestFit="1" customWidth="1"/>
    <col min="9728" max="9728" width="0" style="365" hidden="1" customWidth="1"/>
    <col min="9729" max="9729" width="15.5703125" style="365" customWidth="1"/>
    <col min="9730" max="9730" width="44.5703125" style="365" customWidth="1"/>
    <col min="9731" max="9731" width="14.28515625" style="365" bestFit="1" customWidth="1"/>
    <col min="9732" max="9732" width="0" style="365" hidden="1" customWidth="1"/>
    <col min="9733" max="9733" width="18.140625" style="365" customWidth="1"/>
    <col min="9734" max="9734" width="0" style="365" hidden="1" customWidth="1"/>
    <col min="9735" max="9735" width="14" style="365" customWidth="1"/>
    <col min="9736" max="9736" width="0" style="365" hidden="1" customWidth="1"/>
    <col min="9737" max="9737" width="20.85546875" style="365" customWidth="1"/>
    <col min="9738" max="9738" width="0" style="365" hidden="1" customWidth="1"/>
    <col min="9739" max="9739" width="13.28515625" style="365" customWidth="1"/>
    <col min="9740" max="9740" width="0" style="365" hidden="1" customWidth="1"/>
    <col min="9741" max="9741" width="15" style="365" customWidth="1"/>
    <col min="9742" max="9742" width="0" style="365" hidden="1" customWidth="1"/>
    <col min="9743" max="9743" width="13.28515625" style="365" customWidth="1"/>
    <col min="9744" max="9744" width="0" style="365" hidden="1" customWidth="1"/>
    <col min="9745" max="9745" width="20.140625" style="365" customWidth="1"/>
    <col min="9746" max="9746" width="14.42578125" style="365" bestFit="1" customWidth="1"/>
    <col min="9747" max="9747" width="14" style="365" bestFit="1" customWidth="1"/>
    <col min="9748" max="9748" width="12.28515625" style="365" bestFit="1" customWidth="1"/>
    <col min="9749" max="9773" width="9.140625" style="365" customWidth="1"/>
    <col min="9774" max="9968" width="8.85546875" style="365"/>
    <col min="9969" max="9969" width="44.5703125" style="365" customWidth="1"/>
    <col min="9970" max="9970" width="14.28515625" style="365" bestFit="1" customWidth="1"/>
    <col min="9971" max="9971" width="1.7109375" style="365" customWidth="1"/>
    <col min="9972" max="9972" width="14.85546875" style="365" customWidth="1"/>
    <col min="9973" max="9973" width="0" style="365" hidden="1" customWidth="1"/>
    <col min="9974" max="9974" width="17.42578125" style="365" customWidth="1"/>
    <col min="9975" max="9975" width="0" style="365" hidden="1" customWidth="1"/>
    <col min="9976" max="9976" width="12.85546875" style="365" customWidth="1"/>
    <col min="9977" max="9977" width="0" style="365" hidden="1" customWidth="1"/>
    <col min="9978" max="9978" width="14.42578125" style="365" customWidth="1"/>
    <col min="9979" max="9979" width="0" style="365" hidden="1" customWidth="1"/>
    <col min="9980" max="9980" width="17.42578125" style="365" customWidth="1"/>
    <col min="9981" max="9981" width="0" style="365" hidden="1" customWidth="1"/>
    <col min="9982" max="9982" width="14" style="365" customWidth="1"/>
    <col min="9983" max="9983" width="14.28515625" style="365" bestFit="1" customWidth="1"/>
    <col min="9984" max="9984" width="0" style="365" hidden="1" customWidth="1"/>
    <col min="9985" max="9985" width="15.5703125" style="365" customWidth="1"/>
    <col min="9986" max="9986" width="44.5703125" style="365" customWidth="1"/>
    <col min="9987" max="9987" width="14.28515625" style="365" bestFit="1" customWidth="1"/>
    <col min="9988" max="9988" width="0" style="365" hidden="1" customWidth="1"/>
    <col min="9989" max="9989" width="18.140625" style="365" customWidth="1"/>
    <col min="9990" max="9990" width="0" style="365" hidden="1" customWidth="1"/>
    <col min="9991" max="9991" width="14" style="365" customWidth="1"/>
    <col min="9992" max="9992" width="0" style="365" hidden="1" customWidth="1"/>
    <col min="9993" max="9993" width="20.85546875" style="365" customWidth="1"/>
    <col min="9994" max="9994" width="0" style="365" hidden="1" customWidth="1"/>
    <col min="9995" max="9995" width="13.28515625" style="365" customWidth="1"/>
    <col min="9996" max="9996" width="0" style="365" hidden="1" customWidth="1"/>
    <col min="9997" max="9997" width="15" style="365" customWidth="1"/>
    <col min="9998" max="9998" width="0" style="365" hidden="1" customWidth="1"/>
    <col min="9999" max="9999" width="13.28515625" style="365" customWidth="1"/>
    <col min="10000" max="10000" width="0" style="365" hidden="1" customWidth="1"/>
    <col min="10001" max="10001" width="20.140625" style="365" customWidth="1"/>
    <col min="10002" max="10002" width="14.42578125" style="365" bestFit="1" customWidth="1"/>
    <col min="10003" max="10003" width="14" style="365" bestFit="1" customWidth="1"/>
    <col min="10004" max="10004" width="12.28515625" style="365" bestFit="1" customWidth="1"/>
    <col min="10005" max="10029" width="9.140625" style="365" customWidth="1"/>
    <col min="10030" max="10224" width="8.85546875" style="365"/>
    <col min="10225" max="10225" width="44.5703125" style="365" customWidth="1"/>
    <col min="10226" max="10226" width="14.28515625" style="365" bestFit="1" customWidth="1"/>
    <col min="10227" max="10227" width="1.7109375" style="365" customWidth="1"/>
    <col min="10228" max="10228" width="14.85546875" style="365" customWidth="1"/>
    <col min="10229" max="10229" width="0" style="365" hidden="1" customWidth="1"/>
    <col min="10230" max="10230" width="17.42578125" style="365" customWidth="1"/>
    <col min="10231" max="10231" width="0" style="365" hidden="1" customWidth="1"/>
    <col min="10232" max="10232" width="12.85546875" style="365" customWidth="1"/>
    <col min="10233" max="10233" width="0" style="365" hidden="1" customWidth="1"/>
    <col min="10234" max="10234" width="14.42578125" style="365" customWidth="1"/>
    <col min="10235" max="10235" width="0" style="365" hidden="1" customWidth="1"/>
    <col min="10236" max="10236" width="17.42578125" style="365" customWidth="1"/>
    <col min="10237" max="10237" width="0" style="365" hidden="1" customWidth="1"/>
    <col min="10238" max="10238" width="14" style="365" customWidth="1"/>
    <col min="10239" max="10239" width="14.28515625" style="365" bestFit="1" customWidth="1"/>
    <col min="10240" max="10240" width="0" style="365" hidden="1" customWidth="1"/>
    <col min="10241" max="10241" width="15.5703125" style="365" customWidth="1"/>
    <col min="10242" max="10242" width="44.5703125" style="365" customWidth="1"/>
    <col min="10243" max="10243" width="14.28515625" style="365" bestFit="1" customWidth="1"/>
    <col min="10244" max="10244" width="0" style="365" hidden="1" customWidth="1"/>
    <col min="10245" max="10245" width="18.140625" style="365" customWidth="1"/>
    <col min="10246" max="10246" width="0" style="365" hidden="1" customWidth="1"/>
    <col min="10247" max="10247" width="14" style="365" customWidth="1"/>
    <col min="10248" max="10248" width="0" style="365" hidden="1" customWidth="1"/>
    <col min="10249" max="10249" width="20.85546875" style="365" customWidth="1"/>
    <col min="10250" max="10250" width="0" style="365" hidden="1" customWidth="1"/>
    <col min="10251" max="10251" width="13.28515625" style="365" customWidth="1"/>
    <col min="10252" max="10252" width="0" style="365" hidden="1" customWidth="1"/>
    <col min="10253" max="10253" width="15" style="365" customWidth="1"/>
    <col min="10254" max="10254" width="0" style="365" hidden="1" customWidth="1"/>
    <col min="10255" max="10255" width="13.28515625" style="365" customWidth="1"/>
    <col min="10256" max="10256" width="0" style="365" hidden="1" customWidth="1"/>
    <col min="10257" max="10257" width="20.140625" style="365" customWidth="1"/>
    <col min="10258" max="10258" width="14.42578125" style="365" bestFit="1" customWidth="1"/>
    <col min="10259" max="10259" width="14" style="365" bestFit="1" customWidth="1"/>
    <col min="10260" max="10260" width="12.28515625" style="365" bestFit="1" customWidth="1"/>
    <col min="10261" max="10285" width="9.140625" style="365" customWidth="1"/>
    <col min="10286" max="10480" width="8.85546875" style="365"/>
    <col min="10481" max="10481" width="44.5703125" style="365" customWidth="1"/>
    <col min="10482" max="10482" width="14.28515625" style="365" bestFit="1" customWidth="1"/>
    <col min="10483" max="10483" width="1.7109375" style="365" customWidth="1"/>
    <col min="10484" max="10484" width="14.85546875" style="365" customWidth="1"/>
    <col min="10485" max="10485" width="0" style="365" hidden="1" customWidth="1"/>
    <col min="10486" max="10486" width="17.42578125" style="365" customWidth="1"/>
    <col min="10487" max="10487" width="0" style="365" hidden="1" customWidth="1"/>
    <col min="10488" max="10488" width="12.85546875" style="365" customWidth="1"/>
    <col min="10489" max="10489" width="0" style="365" hidden="1" customWidth="1"/>
    <col min="10490" max="10490" width="14.42578125" style="365" customWidth="1"/>
    <col min="10491" max="10491" width="0" style="365" hidden="1" customWidth="1"/>
    <col min="10492" max="10492" width="17.42578125" style="365" customWidth="1"/>
    <col min="10493" max="10493" width="0" style="365" hidden="1" customWidth="1"/>
    <col min="10494" max="10494" width="14" style="365" customWidth="1"/>
    <col min="10495" max="10495" width="14.28515625" style="365" bestFit="1" customWidth="1"/>
    <col min="10496" max="10496" width="0" style="365" hidden="1" customWidth="1"/>
    <col min="10497" max="10497" width="15.5703125" style="365" customWidth="1"/>
    <col min="10498" max="10498" width="44.5703125" style="365" customWidth="1"/>
    <col min="10499" max="10499" width="14.28515625" style="365" bestFit="1" customWidth="1"/>
    <col min="10500" max="10500" width="0" style="365" hidden="1" customWidth="1"/>
    <col min="10501" max="10501" width="18.140625" style="365" customWidth="1"/>
    <col min="10502" max="10502" width="0" style="365" hidden="1" customWidth="1"/>
    <col min="10503" max="10503" width="14" style="365" customWidth="1"/>
    <col min="10504" max="10504" width="0" style="365" hidden="1" customWidth="1"/>
    <col min="10505" max="10505" width="20.85546875" style="365" customWidth="1"/>
    <col min="10506" max="10506" width="0" style="365" hidden="1" customWidth="1"/>
    <col min="10507" max="10507" width="13.28515625" style="365" customWidth="1"/>
    <col min="10508" max="10508" width="0" style="365" hidden="1" customWidth="1"/>
    <col min="10509" max="10509" width="15" style="365" customWidth="1"/>
    <col min="10510" max="10510" width="0" style="365" hidden="1" customWidth="1"/>
    <col min="10511" max="10511" width="13.28515625" style="365" customWidth="1"/>
    <col min="10512" max="10512" width="0" style="365" hidden="1" customWidth="1"/>
    <col min="10513" max="10513" width="20.140625" style="365" customWidth="1"/>
    <col min="10514" max="10514" width="14.42578125" style="365" bestFit="1" customWidth="1"/>
    <col min="10515" max="10515" width="14" style="365" bestFit="1" customWidth="1"/>
    <col min="10516" max="10516" width="12.28515625" style="365" bestFit="1" customWidth="1"/>
    <col min="10517" max="10541" width="9.140625" style="365" customWidth="1"/>
    <col min="10542" max="10736" width="8.85546875" style="365"/>
    <col min="10737" max="10737" width="44.5703125" style="365" customWidth="1"/>
    <col min="10738" max="10738" width="14.28515625" style="365" bestFit="1" customWidth="1"/>
    <col min="10739" max="10739" width="1.7109375" style="365" customWidth="1"/>
    <col min="10740" max="10740" width="14.85546875" style="365" customWidth="1"/>
    <col min="10741" max="10741" width="0" style="365" hidden="1" customWidth="1"/>
    <col min="10742" max="10742" width="17.42578125" style="365" customWidth="1"/>
    <col min="10743" max="10743" width="0" style="365" hidden="1" customWidth="1"/>
    <col min="10744" max="10744" width="12.85546875" style="365" customWidth="1"/>
    <col min="10745" max="10745" width="0" style="365" hidden="1" customWidth="1"/>
    <col min="10746" max="10746" width="14.42578125" style="365" customWidth="1"/>
    <col min="10747" max="10747" width="0" style="365" hidden="1" customWidth="1"/>
    <col min="10748" max="10748" width="17.42578125" style="365" customWidth="1"/>
    <col min="10749" max="10749" width="0" style="365" hidden="1" customWidth="1"/>
    <col min="10750" max="10750" width="14" style="365" customWidth="1"/>
    <col min="10751" max="10751" width="14.28515625" style="365" bestFit="1" customWidth="1"/>
    <col min="10752" max="10752" width="0" style="365" hidden="1" customWidth="1"/>
    <col min="10753" max="10753" width="15.5703125" style="365" customWidth="1"/>
    <col min="10754" max="10754" width="44.5703125" style="365" customWidth="1"/>
    <col min="10755" max="10755" width="14.28515625" style="365" bestFit="1" customWidth="1"/>
    <col min="10756" max="10756" width="0" style="365" hidden="1" customWidth="1"/>
    <col min="10757" max="10757" width="18.140625" style="365" customWidth="1"/>
    <col min="10758" max="10758" width="0" style="365" hidden="1" customWidth="1"/>
    <col min="10759" max="10759" width="14" style="365" customWidth="1"/>
    <col min="10760" max="10760" width="0" style="365" hidden="1" customWidth="1"/>
    <col min="10761" max="10761" width="20.85546875" style="365" customWidth="1"/>
    <col min="10762" max="10762" width="0" style="365" hidden="1" customWidth="1"/>
    <col min="10763" max="10763" width="13.28515625" style="365" customWidth="1"/>
    <col min="10764" max="10764" width="0" style="365" hidden="1" customWidth="1"/>
    <col min="10765" max="10765" width="15" style="365" customWidth="1"/>
    <col min="10766" max="10766" width="0" style="365" hidden="1" customWidth="1"/>
    <col min="10767" max="10767" width="13.28515625" style="365" customWidth="1"/>
    <col min="10768" max="10768" width="0" style="365" hidden="1" customWidth="1"/>
    <col min="10769" max="10769" width="20.140625" style="365" customWidth="1"/>
    <col min="10770" max="10770" width="14.42578125" style="365" bestFit="1" customWidth="1"/>
    <col min="10771" max="10771" width="14" style="365" bestFit="1" customWidth="1"/>
    <col min="10772" max="10772" width="12.28515625" style="365" bestFit="1" customWidth="1"/>
    <col min="10773" max="10797" width="9.140625" style="365" customWidth="1"/>
    <col min="10798" max="10992" width="8.85546875" style="365"/>
    <col min="10993" max="10993" width="44.5703125" style="365" customWidth="1"/>
    <col min="10994" max="10994" width="14.28515625" style="365" bestFit="1" customWidth="1"/>
    <col min="10995" max="10995" width="1.7109375" style="365" customWidth="1"/>
    <col min="10996" max="10996" width="14.85546875" style="365" customWidth="1"/>
    <col min="10997" max="10997" width="0" style="365" hidden="1" customWidth="1"/>
    <col min="10998" max="10998" width="17.42578125" style="365" customWidth="1"/>
    <col min="10999" max="10999" width="0" style="365" hidden="1" customWidth="1"/>
    <col min="11000" max="11000" width="12.85546875" style="365" customWidth="1"/>
    <col min="11001" max="11001" width="0" style="365" hidden="1" customWidth="1"/>
    <col min="11002" max="11002" width="14.42578125" style="365" customWidth="1"/>
    <col min="11003" max="11003" width="0" style="365" hidden="1" customWidth="1"/>
    <col min="11004" max="11004" width="17.42578125" style="365" customWidth="1"/>
    <col min="11005" max="11005" width="0" style="365" hidden="1" customWidth="1"/>
    <col min="11006" max="11006" width="14" style="365" customWidth="1"/>
    <col min="11007" max="11007" width="14.28515625" style="365" bestFit="1" customWidth="1"/>
    <col min="11008" max="11008" width="0" style="365" hidden="1" customWidth="1"/>
    <col min="11009" max="11009" width="15.5703125" style="365" customWidth="1"/>
    <col min="11010" max="11010" width="44.5703125" style="365" customWidth="1"/>
    <col min="11011" max="11011" width="14.28515625" style="365" bestFit="1" customWidth="1"/>
    <col min="11012" max="11012" width="0" style="365" hidden="1" customWidth="1"/>
    <col min="11013" max="11013" width="18.140625" style="365" customWidth="1"/>
    <col min="11014" max="11014" width="0" style="365" hidden="1" customWidth="1"/>
    <col min="11015" max="11015" width="14" style="365" customWidth="1"/>
    <col min="11016" max="11016" width="0" style="365" hidden="1" customWidth="1"/>
    <col min="11017" max="11017" width="20.85546875" style="365" customWidth="1"/>
    <col min="11018" max="11018" width="0" style="365" hidden="1" customWidth="1"/>
    <col min="11019" max="11019" width="13.28515625" style="365" customWidth="1"/>
    <col min="11020" max="11020" width="0" style="365" hidden="1" customWidth="1"/>
    <col min="11021" max="11021" width="15" style="365" customWidth="1"/>
    <col min="11022" max="11022" width="0" style="365" hidden="1" customWidth="1"/>
    <col min="11023" max="11023" width="13.28515625" style="365" customWidth="1"/>
    <col min="11024" max="11024" width="0" style="365" hidden="1" customWidth="1"/>
    <col min="11025" max="11025" width="20.140625" style="365" customWidth="1"/>
    <col min="11026" max="11026" width="14.42578125" style="365" bestFit="1" customWidth="1"/>
    <col min="11027" max="11027" width="14" style="365" bestFit="1" customWidth="1"/>
    <col min="11028" max="11028" width="12.28515625" style="365" bestFit="1" customWidth="1"/>
    <col min="11029" max="11053" width="9.140625" style="365" customWidth="1"/>
    <col min="11054" max="11248" width="8.85546875" style="365"/>
    <col min="11249" max="11249" width="44.5703125" style="365" customWidth="1"/>
    <col min="11250" max="11250" width="14.28515625" style="365" bestFit="1" customWidth="1"/>
    <col min="11251" max="11251" width="1.7109375" style="365" customWidth="1"/>
    <col min="11252" max="11252" width="14.85546875" style="365" customWidth="1"/>
    <col min="11253" max="11253" width="0" style="365" hidden="1" customWidth="1"/>
    <col min="11254" max="11254" width="17.42578125" style="365" customWidth="1"/>
    <col min="11255" max="11255" width="0" style="365" hidden="1" customWidth="1"/>
    <col min="11256" max="11256" width="12.85546875" style="365" customWidth="1"/>
    <col min="11257" max="11257" width="0" style="365" hidden="1" customWidth="1"/>
    <col min="11258" max="11258" width="14.42578125" style="365" customWidth="1"/>
    <col min="11259" max="11259" width="0" style="365" hidden="1" customWidth="1"/>
    <col min="11260" max="11260" width="17.42578125" style="365" customWidth="1"/>
    <col min="11261" max="11261" width="0" style="365" hidden="1" customWidth="1"/>
    <col min="11262" max="11262" width="14" style="365" customWidth="1"/>
    <col min="11263" max="11263" width="14.28515625" style="365" bestFit="1" customWidth="1"/>
    <col min="11264" max="11264" width="0" style="365" hidden="1" customWidth="1"/>
    <col min="11265" max="11265" width="15.5703125" style="365" customWidth="1"/>
    <col min="11266" max="11266" width="44.5703125" style="365" customWidth="1"/>
    <col min="11267" max="11267" width="14.28515625" style="365" bestFit="1" customWidth="1"/>
    <col min="11268" max="11268" width="0" style="365" hidden="1" customWidth="1"/>
    <col min="11269" max="11269" width="18.140625" style="365" customWidth="1"/>
    <col min="11270" max="11270" width="0" style="365" hidden="1" customWidth="1"/>
    <col min="11271" max="11271" width="14" style="365" customWidth="1"/>
    <col min="11272" max="11272" width="0" style="365" hidden="1" customWidth="1"/>
    <col min="11273" max="11273" width="20.85546875" style="365" customWidth="1"/>
    <col min="11274" max="11274" width="0" style="365" hidden="1" customWidth="1"/>
    <col min="11275" max="11275" width="13.28515625" style="365" customWidth="1"/>
    <col min="11276" max="11276" width="0" style="365" hidden="1" customWidth="1"/>
    <col min="11277" max="11277" width="15" style="365" customWidth="1"/>
    <col min="11278" max="11278" width="0" style="365" hidden="1" customWidth="1"/>
    <col min="11279" max="11279" width="13.28515625" style="365" customWidth="1"/>
    <col min="11280" max="11280" width="0" style="365" hidden="1" customWidth="1"/>
    <col min="11281" max="11281" width="20.140625" style="365" customWidth="1"/>
    <col min="11282" max="11282" width="14.42578125" style="365" bestFit="1" customWidth="1"/>
    <col min="11283" max="11283" width="14" style="365" bestFit="1" customWidth="1"/>
    <col min="11284" max="11284" width="12.28515625" style="365" bestFit="1" customWidth="1"/>
    <col min="11285" max="11309" width="9.140625" style="365" customWidth="1"/>
    <col min="11310" max="11504" width="8.85546875" style="365"/>
    <col min="11505" max="11505" width="44.5703125" style="365" customWidth="1"/>
    <col min="11506" max="11506" width="14.28515625" style="365" bestFit="1" customWidth="1"/>
    <col min="11507" max="11507" width="1.7109375" style="365" customWidth="1"/>
    <col min="11508" max="11508" width="14.85546875" style="365" customWidth="1"/>
    <col min="11509" max="11509" width="0" style="365" hidden="1" customWidth="1"/>
    <col min="11510" max="11510" width="17.42578125" style="365" customWidth="1"/>
    <col min="11511" max="11511" width="0" style="365" hidden="1" customWidth="1"/>
    <col min="11512" max="11512" width="12.85546875" style="365" customWidth="1"/>
    <col min="11513" max="11513" width="0" style="365" hidden="1" customWidth="1"/>
    <col min="11514" max="11514" width="14.42578125" style="365" customWidth="1"/>
    <col min="11515" max="11515" width="0" style="365" hidden="1" customWidth="1"/>
    <col min="11516" max="11516" width="17.42578125" style="365" customWidth="1"/>
    <col min="11517" max="11517" width="0" style="365" hidden="1" customWidth="1"/>
    <col min="11518" max="11518" width="14" style="365" customWidth="1"/>
    <col min="11519" max="11519" width="14.28515625" style="365" bestFit="1" customWidth="1"/>
    <col min="11520" max="11520" width="0" style="365" hidden="1" customWidth="1"/>
    <col min="11521" max="11521" width="15.5703125" style="365" customWidth="1"/>
    <col min="11522" max="11522" width="44.5703125" style="365" customWidth="1"/>
    <col min="11523" max="11523" width="14.28515625" style="365" bestFit="1" customWidth="1"/>
    <col min="11524" max="11524" width="0" style="365" hidden="1" customWidth="1"/>
    <col min="11525" max="11525" width="18.140625" style="365" customWidth="1"/>
    <col min="11526" max="11526" width="0" style="365" hidden="1" customWidth="1"/>
    <col min="11527" max="11527" width="14" style="365" customWidth="1"/>
    <col min="11528" max="11528" width="0" style="365" hidden="1" customWidth="1"/>
    <col min="11529" max="11529" width="20.85546875" style="365" customWidth="1"/>
    <col min="11530" max="11530" width="0" style="365" hidden="1" customWidth="1"/>
    <col min="11531" max="11531" width="13.28515625" style="365" customWidth="1"/>
    <col min="11532" max="11532" width="0" style="365" hidden="1" customWidth="1"/>
    <col min="11533" max="11533" width="15" style="365" customWidth="1"/>
    <col min="11534" max="11534" width="0" style="365" hidden="1" customWidth="1"/>
    <col min="11535" max="11535" width="13.28515625" style="365" customWidth="1"/>
    <col min="11536" max="11536" width="0" style="365" hidden="1" customWidth="1"/>
    <col min="11537" max="11537" width="20.140625" style="365" customWidth="1"/>
    <col min="11538" max="11538" width="14.42578125" style="365" bestFit="1" customWidth="1"/>
    <col min="11539" max="11539" width="14" style="365" bestFit="1" customWidth="1"/>
    <col min="11540" max="11540" width="12.28515625" style="365" bestFit="1" customWidth="1"/>
    <col min="11541" max="11565" width="9.140625" style="365" customWidth="1"/>
    <col min="11566" max="11760" width="8.85546875" style="365"/>
    <col min="11761" max="11761" width="44.5703125" style="365" customWidth="1"/>
    <col min="11762" max="11762" width="14.28515625" style="365" bestFit="1" customWidth="1"/>
    <col min="11763" max="11763" width="1.7109375" style="365" customWidth="1"/>
    <col min="11764" max="11764" width="14.85546875" style="365" customWidth="1"/>
    <col min="11765" max="11765" width="0" style="365" hidden="1" customWidth="1"/>
    <col min="11766" max="11766" width="17.42578125" style="365" customWidth="1"/>
    <col min="11767" max="11767" width="0" style="365" hidden="1" customWidth="1"/>
    <col min="11768" max="11768" width="12.85546875" style="365" customWidth="1"/>
    <col min="11769" max="11769" width="0" style="365" hidden="1" customWidth="1"/>
    <col min="11770" max="11770" width="14.42578125" style="365" customWidth="1"/>
    <col min="11771" max="11771" width="0" style="365" hidden="1" customWidth="1"/>
    <col min="11772" max="11772" width="17.42578125" style="365" customWidth="1"/>
    <col min="11773" max="11773" width="0" style="365" hidden="1" customWidth="1"/>
    <col min="11774" max="11774" width="14" style="365" customWidth="1"/>
    <col min="11775" max="11775" width="14.28515625" style="365" bestFit="1" customWidth="1"/>
    <col min="11776" max="11776" width="0" style="365" hidden="1" customWidth="1"/>
    <col min="11777" max="11777" width="15.5703125" style="365" customWidth="1"/>
    <col min="11778" max="11778" width="44.5703125" style="365" customWidth="1"/>
    <col min="11779" max="11779" width="14.28515625" style="365" bestFit="1" customWidth="1"/>
    <col min="11780" max="11780" width="0" style="365" hidden="1" customWidth="1"/>
    <col min="11781" max="11781" width="18.140625" style="365" customWidth="1"/>
    <col min="11782" max="11782" width="0" style="365" hidden="1" customWidth="1"/>
    <col min="11783" max="11783" width="14" style="365" customWidth="1"/>
    <col min="11784" max="11784" width="0" style="365" hidden="1" customWidth="1"/>
    <col min="11785" max="11785" width="20.85546875" style="365" customWidth="1"/>
    <col min="11786" max="11786" width="0" style="365" hidden="1" customWidth="1"/>
    <col min="11787" max="11787" width="13.28515625" style="365" customWidth="1"/>
    <col min="11788" max="11788" width="0" style="365" hidden="1" customWidth="1"/>
    <col min="11789" max="11789" width="15" style="365" customWidth="1"/>
    <col min="11790" max="11790" width="0" style="365" hidden="1" customWidth="1"/>
    <col min="11791" max="11791" width="13.28515625" style="365" customWidth="1"/>
    <col min="11792" max="11792" width="0" style="365" hidden="1" customWidth="1"/>
    <col min="11793" max="11793" width="20.140625" style="365" customWidth="1"/>
    <col min="11794" max="11794" width="14.42578125" style="365" bestFit="1" customWidth="1"/>
    <col min="11795" max="11795" width="14" style="365" bestFit="1" customWidth="1"/>
    <col min="11796" max="11796" width="12.28515625" style="365" bestFit="1" customWidth="1"/>
    <col min="11797" max="11821" width="9.140625" style="365" customWidth="1"/>
    <col min="11822" max="12016" width="8.85546875" style="365"/>
    <col min="12017" max="12017" width="44.5703125" style="365" customWidth="1"/>
    <col min="12018" max="12018" width="14.28515625" style="365" bestFit="1" customWidth="1"/>
    <col min="12019" max="12019" width="1.7109375" style="365" customWidth="1"/>
    <col min="12020" max="12020" width="14.85546875" style="365" customWidth="1"/>
    <col min="12021" max="12021" width="0" style="365" hidden="1" customWidth="1"/>
    <col min="12022" max="12022" width="17.42578125" style="365" customWidth="1"/>
    <col min="12023" max="12023" width="0" style="365" hidden="1" customWidth="1"/>
    <col min="12024" max="12024" width="12.85546875" style="365" customWidth="1"/>
    <col min="12025" max="12025" width="0" style="365" hidden="1" customWidth="1"/>
    <col min="12026" max="12026" width="14.42578125" style="365" customWidth="1"/>
    <col min="12027" max="12027" width="0" style="365" hidden="1" customWidth="1"/>
    <col min="12028" max="12028" width="17.42578125" style="365" customWidth="1"/>
    <col min="12029" max="12029" width="0" style="365" hidden="1" customWidth="1"/>
    <col min="12030" max="12030" width="14" style="365" customWidth="1"/>
    <col min="12031" max="12031" width="14.28515625" style="365" bestFit="1" customWidth="1"/>
    <col min="12032" max="12032" width="0" style="365" hidden="1" customWidth="1"/>
    <col min="12033" max="12033" width="15.5703125" style="365" customWidth="1"/>
    <col min="12034" max="12034" width="44.5703125" style="365" customWidth="1"/>
    <col min="12035" max="12035" width="14.28515625" style="365" bestFit="1" customWidth="1"/>
    <col min="12036" max="12036" width="0" style="365" hidden="1" customWidth="1"/>
    <col min="12037" max="12037" width="18.140625" style="365" customWidth="1"/>
    <col min="12038" max="12038" width="0" style="365" hidden="1" customWidth="1"/>
    <col min="12039" max="12039" width="14" style="365" customWidth="1"/>
    <col min="12040" max="12040" width="0" style="365" hidden="1" customWidth="1"/>
    <col min="12041" max="12041" width="20.85546875" style="365" customWidth="1"/>
    <col min="12042" max="12042" width="0" style="365" hidden="1" customWidth="1"/>
    <col min="12043" max="12043" width="13.28515625" style="365" customWidth="1"/>
    <col min="12044" max="12044" width="0" style="365" hidden="1" customWidth="1"/>
    <col min="12045" max="12045" width="15" style="365" customWidth="1"/>
    <col min="12046" max="12046" width="0" style="365" hidden="1" customWidth="1"/>
    <col min="12047" max="12047" width="13.28515625" style="365" customWidth="1"/>
    <col min="12048" max="12048" width="0" style="365" hidden="1" customWidth="1"/>
    <col min="12049" max="12049" width="20.140625" style="365" customWidth="1"/>
    <col min="12050" max="12050" width="14.42578125" style="365" bestFit="1" customWidth="1"/>
    <col min="12051" max="12051" width="14" style="365" bestFit="1" customWidth="1"/>
    <col min="12052" max="12052" width="12.28515625" style="365" bestFit="1" customWidth="1"/>
    <col min="12053" max="12077" width="9.140625" style="365" customWidth="1"/>
    <col min="12078" max="12272" width="8.85546875" style="365"/>
    <col min="12273" max="12273" width="44.5703125" style="365" customWidth="1"/>
    <col min="12274" max="12274" width="14.28515625" style="365" bestFit="1" customWidth="1"/>
    <col min="12275" max="12275" width="1.7109375" style="365" customWidth="1"/>
    <col min="12276" max="12276" width="14.85546875" style="365" customWidth="1"/>
    <col min="12277" max="12277" width="0" style="365" hidden="1" customWidth="1"/>
    <col min="12278" max="12278" width="17.42578125" style="365" customWidth="1"/>
    <col min="12279" max="12279" width="0" style="365" hidden="1" customWidth="1"/>
    <col min="12280" max="12280" width="12.85546875" style="365" customWidth="1"/>
    <col min="12281" max="12281" width="0" style="365" hidden="1" customWidth="1"/>
    <col min="12282" max="12282" width="14.42578125" style="365" customWidth="1"/>
    <col min="12283" max="12283" width="0" style="365" hidden="1" customWidth="1"/>
    <col min="12284" max="12284" width="17.42578125" style="365" customWidth="1"/>
    <col min="12285" max="12285" width="0" style="365" hidden="1" customWidth="1"/>
    <col min="12286" max="12286" width="14" style="365" customWidth="1"/>
    <col min="12287" max="12287" width="14.28515625" style="365" bestFit="1" customWidth="1"/>
    <col min="12288" max="12288" width="0" style="365" hidden="1" customWidth="1"/>
    <col min="12289" max="12289" width="15.5703125" style="365" customWidth="1"/>
    <col min="12290" max="12290" width="44.5703125" style="365" customWidth="1"/>
    <col min="12291" max="12291" width="14.28515625" style="365" bestFit="1" customWidth="1"/>
    <col min="12292" max="12292" width="0" style="365" hidden="1" customWidth="1"/>
    <col min="12293" max="12293" width="18.140625" style="365" customWidth="1"/>
    <col min="12294" max="12294" width="0" style="365" hidden="1" customWidth="1"/>
    <col min="12295" max="12295" width="14" style="365" customWidth="1"/>
    <col min="12296" max="12296" width="0" style="365" hidden="1" customWidth="1"/>
    <col min="12297" max="12297" width="20.85546875" style="365" customWidth="1"/>
    <col min="12298" max="12298" width="0" style="365" hidden="1" customWidth="1"/>
    <col min="12299" max="12299" width="13.28515625" style="365" customWidth="1"/>
    <col min="12300" max="12300" width="0" style="365" hidden="1" customWidth="1"/>
    <col min="12301" max="12301" width="15" style="365" customWidth="1"/>
    <col min="12302" max="12302" width="0" style="365" hidden="1" customWidth="1"/>
    <col min="12303" max="12303" width="13.28515625" style="365" customWidth="1"/>
    <col min="12304" max="12304" width="0" style="365" hidden="1" customWidth="1"/>
    <col min="12305" max="12305" width="20.140625" style="365" customWidth="1"/>
    <col min="12306" max="12306" width="14.42578125" style="365" bestFit="1" customWidth="1"/>
    <col min="12307" max="12307" width="14" style="365" bestFit="1" customWidth="1"/>
    <col min="12308" max="12308" width="12.28515625" style="365" bestFit="1" customWidth="1"/>
    <col min="12309" max="12333" width="9.140625" style="365" customWidth="1"/>
    <col min="12334" max="12528" width="8.85546875" style="365"/>
    <col min="12529" max="12529" width="44.5703125" style="365" customWidth="1"/>
    <col min="12530" max="12530" width="14.28515625" style="365" bestFit="1" customWidth="1"/>
    <col min="12531" max="12531" width="1.7109375" style="365" customWidth="1"/>
    <col min="12532" max="12532" width="14.85546875" style="365" customWidth="1"/>
    <col min="12533" max="12533" width="0" style="365" hidden="1" customWidth="1"/>
    <col min="12534" max="12534" width="17.42578125" style="365" customWidth="1"/>
    <col min="12535" max="12535" width="0" style="365" hidden="1" customWidth="1"/>
    <col min="12536" max="12536" width="12.85546875" style="365" customWidth="1"/>
    <col min="12537" max="12537" width="0" style="365" hidden="1" customWidth="1"/>
    <col min="12538" max="12538" width="14.42578125" style="365" customWidth="1"/>
    <col min="12539" max="12539" width="0" style="365" hidden="1" customWidth="1"/>
    <col min="12540" max="12540" width="17.42578125" style="365" customWidth="1"/>
    <col min="12541" max="12541" width="0" style="365" hidden="1" customWidth="1"/>
    <col min="12542" max="12542" width="14" style="365" customWidth="1"/>
    <col min="12543" max="12543" width="14.28515625" style="365" bestFit="1" customWidth="1"/>
    <col min="12544" max="12544" width="0" style="365" hidden="1" customWidth="1"/>
    <col min="12545" max="12545" width="15.5703125" style="365" customWidth="1"/>
    <col min="12546" max="12546" width="44.5703125" style="365" customWidth="1"/>
    <col min="12547" max="12547" width="14.28515625" style="365" bestFit="1" customWidth="1"/>
    <col min="12548" max="12548" width="0" style="365" hidden="1" customWidth="1"/>
    <col min="12549" max="12549" width="18.140625" style="365" customWidth="1"/>
    <col min="12550" max="12550" width="0" style="365" hidden="1" customWidth="1"/>
    <col min="12551" max="12551" width="14" style="365" customWidth="1"/>
    <col min="12552" max="12552" width="0" style="365" hidden="1" customWidth="1"/>
    <col min="12553" max="12553" width="20.85546875" style="365" customWidth="1"/>
    <col min="12554" max="12554" width="0" style="365" hidden="1" customWidth="1"/>
    <col min="12555" max="12555" width="13.28515625" style="365" customWidth="1"/>
    <col min="12556" max="12556" width="0" style="365" hidden="1" customWidth="1"/>
    <col min="12557" max="12557" width="15" style="365" customWidth="1"/>
    <col min="12558" max="12558" width="0" style="365" hidden="1" customWidth="1"/>
    <col min="12559" max="12559" width="13.28515625" style="365" customWidth="1"/>
    <col min="12560" max="12560" width="0" style="365" hidden="1" customWidth="1"/>
    <col min="12561" max="12561" width="20.140625" style="365" customWidth="1"/>
    <col min="12562" max="12562" width="14.42578125" style="365" bestFit="1" customWidth="1"/>
    <col min="12563" max="12563" width="14" style="365" bestFit="1" customWidth="1"/>
    <col min="12564" max="12564" width="12.28515625" style="365" bestFit="1" customWidth="1"/>
    <col min="12565" max="12589" width="9.140625" style="365" customWidth="1"/>
    <col min="12590" max="12784" width="8.85546875" style="365"/>
    <col min="12785" max="12785" width="44.5703125" style="365" customWidth="1"/>
    <col min="12786" max="12786" width="14.28515625" style="365" bestFit="1" customWidth="1"/>
    <col min="12787" max="12787" width="1.7109375" style="365" customWidth="1"/>
    <col min="12788" max="12788" width="14.85546875" style="365" customWidth="1"/>
    <col min="12789" max="12789" width="0" style="365" hidden="1" customWidth="1"/>
    <col min="12790" max="12790" width="17.42578125" style="365" customWidth="1"/>
    <col min="12791" max="12791" width="0" style="365" hidden="1" customWidth="1"/>
    <col min="12792" max="12792" width="12.85546875" style="365" customWidth="1"/>
    <col min="12793" max="12793" width="0" style="365" hidden="1" customWidth="1"/>
    <col min="12794" max="12794" width="14.42578125" style="365" customWidth="1"/>
    <col min="12795" max="12795" width="0" style="365" hidden="1" customWidth="1"/>
    <col min="12796" max="12796" width="17.42578125" style="365" customWidth="1"/>
    <col min="12797" max="12797" width="0" style="365" hidden="1" customWidth="1"/>
    <col min="12798" max="12798" width="14" style="365" customWidth="1"/>
    <col min="12799" max="12799" width="14.28515625" style="365" bestFit="1" customWidth="1"/>
    <col min="12800" max="12800" width="0" style="365" hidden="1" customWidth="1"/>
    <col min="12801" max="12801" width="15.5703125" style="365" customWidth="1"/>
    <col min="12802" max="12802" width="44.5703125" style="365" customWidth="1"/>
    <col min="12803" max="12803" width="14.28515625" style="365" bestFit="1" customWidth="1"/>
    <col min="12804" max="12804" width="0" style="365" hidden="1" customWidth="1"/>
    <col min="12805" max="12805" width="18.140625" style="365" customWidth="1"/>
    <col min="12806" max="12806" width="0" style="365" hidden="1" customWidth="1"/>
    <col min="12807" max="12807" width="14" style="365" customWidth="1"/>
    <col min="12808" max="12808" width="0" style="365" hidden="1" customWidth="1"/>
    <col min="12809" max="12809" width="20.85546875" style="365" customWidth="1"/>
    <col min="12810" max="12810" width="0" style="365" hidden="1" customWidth="1"/>
    <col min="12811" max="12811" width="13.28515625" style="365" customWidth="1"/>
    <col min="12812" max="12812" width="0" style="365" hidden="1" customWidth="1"/>
    <col min="12813" max="12813" width="15" style="365" customWidth="1"/>
    <col min="12814" max="12814" width="0" style="365" hidden="1" customWidth="1"/>
    <col min="12815" max="12815" width="13.28515625" style="365" customWidth="1"/>
    <col min="12816" max="12816" width="0" style="365" hidden="1" customWidth="1"/>
    <col min="12817" max="12817" width="20.140625" style="365" customWidth="1"/>
    <col min="12818" max="12818" width="14.42578125" style="365" bestFit="1" customWidth="1"/>
    <col min="12819" max="12819" width="14" style="365" bestFit="1" customWidth="1"/>
    <col min="12820" max="12820" width="12.28515625" style="365" bestFit="1" customWidth="1"/>
    <col min="12821" max="12845" width="9.140625" style="365" customWidth="1"/>
    <col min="12846" max="13040" width="8.85546875" style="365"/>
    <col min="13041" max="13041" width="44.5703125" style="365" customWidth="1"/>
    <col min="13042" max="13042" width="14.28515625" style="365" bestFit="1" customWidth="1"/>
    <col min="13043" max="13043" width="1.7109375" style="365" customWidth="1"/>
    <col min="13044" max="13044" width="14.85546875" style="365" customWidth="1"/>
    <col min="13045" max="13045" width="0" style="365" hidden="1" customWidth="1"/>
    <col min="13046" max="13046" width="17.42578125" style="365" customWidth="1"/>
    <col min="13047" max="13047" width="0" style="365" hidden="1" customWidth="1"/>
    <col min="13048" max="13048" width="12.85546875" style="365" customWidth="1"/>
    <col min="13049" max="13049" width="0" style="365" hidden="1" customWidth="1"/>
    <col min="13050" max="13050" width="14.42578125" style="365" customWidth="1"/>
    <col min="13051" max="13051" width="0" style="365" hidden="1" customWidth="1"/>
    <col min="13052" max="13052" width="17.42578125" style="365" customWidth="1"/>
    <col min="13053" max="13053" width="0" style="365" hidden="1" customWidth="1"/>
    <col min="13054" max="13054" width="14" style="365" customWidth="1"/>
    <col min="13055" max="13055" width="14.28515625" style="365" bestFit="1" customWidth="1"/>
    <col min="13056" max="13056" width="0" style="365" hidden="1" customWidth="1"/>
    <col min="13057" max="13057" width="15.5703125" style="365" customWidth="1"/>
    <col min="13058" max="13058" width="44.5703125" style="365" customWidth="1"/>
    <col min="13059" max="13059" width="14.28515625" style="365" bestFit="1" customWidth="1"/>
    <col min="13060" max="13060" width="0" style="365" hidden="1" customWidth="1"/>
    <col min="13061" max="13061" width="18.140625" style="365" customWidth="1"/>
    <col min="13062" max="13062" width="0" style="365" hidden="1" customWidth="1"/>
    <col min="13063" max="13063" width="14" style="365" customWidth="1"/>
    <col min="13064" max="13064" width="0" style="365" hidden="1" customWidth="1"/>
    <col min="13065" max="13065" width="20.85546875" style="365" customWidth="1"/>
    <col min="13066" max="13066" width="0" style="365" hidden="1" customWidth="1"/>
    <col min="13067" max="13067" width="13.28515625" style="365" customWidth="1"/>
    <col min="13068" max="13068" width="0" style="365" hidden="1" customWidth="1"/>
    <col min="13069" max="13069" width="15" style="365" customWidth="1"/>
    <col min="13070" max="13070" width="0" style="365" hidden="1" customWidth="1"/>
    <col min="13071" max="13071" width="13.28515625" style="365" customWidth="1"/>
    <col min="13072" max="13072" width="0" style="365" hidden="1" customWidth="1"/>
    <col min="13073" max="13073" width="20.140625" style="365" customWidth="1"/>
    <col min="13074" max="13074" width="14.42578125" style="365" bestFit="1" customWidth="1"/>
    <col min="13075" max="13075" width="14" style="365" bestFit="1" customWidth="1"/>
    <col min="13076" max="13076" width="12.28515625" style="365" bestFit="1" customWidth="1"/>
    <col min="13077" max="13101" width="9.140625" style="365" customWidth="1"/>
    <col min="13102" max="13296" width="8.85546875" style="365"/>
    <col min="13297" max="13297" width="44.5703125" style="365" customWidth="1"/>
    <col min="13298" max="13298" width="14.28515625" style="365" bestFit="1" customWidth="1"/>
    <col min="13299" max="13299" width="1.7109375" style="365" customWidth="1"/>
    <col min="13300" max="13300" width="14.85546875" style="365" customWidth="1"/>
    <col min="13301" max="13301" width="0" style="365" hidden="1" customWidth="1"/>
    <col min="13302" max="13302" width="17.42578125" style="365" customWidth="1"/>
    <col min="13303" max="13303" width="0" style="365" hidden="1" customWidth="1"/>
    <col min="13304" max="13304" width="12.85546875" style="365" customWidth="1"/>
    <col min="13305" max="13305" width="0" style="365" hidden="1" customWidth="1"/>
    <col min="13306" max="13306" width="14.42578125" style="365" customWidth="1"/>
    <col min="13307" max="13307" width="0" style="365" hidden="1" customWidth="1"/>
    <col min="13308" max="13308" width="17.42578125" style="365" customWidth="1"/>
    <col min="13309" max="13309" width="0" style="365" hidden="1" customWidth="1"/>
    <col min="13310" max="13310" width="14" style="365" customWidth="1"/>
    <col min="13311" max="13311" width="14.28515625" style="365" bestFit="1" customWidth="1"/>
    <col min="13312" max="13312" width="0" style="365" hidden="1" customWidth="1"/>
    <col min="13313" max="13313" width="15.5703125" style="365" customWidth="1"/>
    <col min="13314" max="13314" width="44.5703125" style="365" customWidth="1"/>
    <col min="13315" max="13315" width="14.28515625" style="365" bestFit="1" customWidth="1"/>
    <col min="13316" max="13316" width="0" style="365" hidden="1" customWidth="1"/>
    <col min="13317" max="13317" width="18.140625" style="365" customWidth="1"/>
    <col min="13318" max="13318" width="0" style="365" hidden="1" customWidth="1"/>
    <col min="13319" max="13319" width="14" style="365" customWidth="1"/>
    <col min="13320" max="13320" width="0" style="365" hidden="1" customWidth="1"/>
    <col min="13321" max="13321" width="20.85546875" style="365" customWidth="1"/>
    <col min="13322" max="13322" width="0" style="365" hidden="1" customWidth="1"/>
    <col min="13323" max="13323" width="13.28515625" style="365" customWidth="1"/>
    <col min="13324" max="13324" width="0" style="365" hidden="1" customWidth="1"/>
    <col min="13325" max="13325" width="15" style="365" customWidth="1"/>
    <col min="13326" max="13326" width="0" style="365" hidden="1" customWidth="1"/>
    <col min="13327" max="13327" width="13.28515625" style="365" customWidth="1"/>
    <col min="13328" max="13328" width="0" style="365" hidden="1" customWidth="1"/>
    <col min="13329" max="13329" width="20.140625" style="365" customWidth="1"/>
    <col min="13330" max="13330" width="14.42578125" style="365" bestFit="1" customWidth="1"/>
    <col min="13331" max="13331" width="14" style="365" bestFit="1" customWidth="1"/>
    <col min="13332" max="13332" width="12.28515625" style="365" bestFit="1" customWidth="1"/>
    <col min="13333" max="13357" width="9.140625" style="365" customWidth="1"/>
    <col min="13358" max="13552" width="8.85546875" style="365"/>
    <col min="13553" max="13553" width="44.5703125" style="365" customWidth="1"/>
    <col min="13554" max="13554" width="14.28515625" style="365" bestFit="1" customWidth="1"/>
    <col min="13555" max="13555" width="1.7109375" style="365" customWidth="1"/>
    <col min="13556" max="13556" width="14.85546875" style="365" customWidth="1"/>
    <col min="13557" max="13557" width="0" style="365" hidden="1" customWidth="1"/>
    <col min="13558" max="13558" width="17.42578125" style="365" customWidth="1"/>
    <col min="13559" max="13559" width="0" style="365" hidden="1" customWidth="1"/>
    <col min="13560" max="13560" width="12.85546875" style="365" customWidth="1"/>
    <col min="13561" max="13561" width="0" style="365" hidden="1" customWidth="1"/>
    <col min="13562" max="13562" width="14.42578125" style="365" customWidth="1"/>
    <col min="13563" max="13563" width="0" style="365" hidden="1" customWidth="1"/>
    <col min="13564" max="13564" width="17.42578125" style="365" customWidth="1"/>
    <col min="13565" max="13565" width="0" style="365" hidden="1" customWidth="1"/>
    <col min="13566" max="13566" width="14" style="365" customWidth="1"/>
    <col min="13567" max="13567" width="14.28515625" style="365" bestFit="1" customWidth="1"/>
    <col min="13568" max="13568" width="0" style="365" hidden="1" customWidth="1"/>
    <col min="13569" max="13569" width="15.5703125" style="365" customWidth="1"/>
    <col min="13570" max="13570" width="44.5703125" style="365" customWidth="1"/>
    <col min="13571" max="13571" width="14.28515625" style="365" bestFit="1" customWidth="1"/>
    <col min="13572" max="13572" width="0" style="365" hidden="1" customWidth="1"/>
    <col min="13573" max="13573" width="18.140625" style="365" customWidth="1"/>
    <col min="13574" max="13574" width="0" style="365" hidden="1" customWidth="1"/>
    <col min="13575" max="13575" width="14" style="365" customWidth="1"/>
    <col min="13576" max="13576" width="0" style="365" hidden="1" customWidth="1"/>
    <col min="13577" max="13577" width="20.85546875" style="365" customWidth="1"/>
    <col min="13578" max="13578" width="0" style="365" hidden="1" customWidth="1"/>
    <col min="13579" max="13579" width="13.28515625" style="365" customWidth="1"/>
    <col min="13580" max="13580" width="0" style="365" hidden="1" customWidth="1"/>
    <col min="13581" max="13581" width="15" style="365" customWidth="1"/>
    <col min="13582" max="13582" width="0" style="365" hidden="1" customWidth="1"/>
    <col min="13583" max="13583" width="13.28515625" style="365" customWidth="1"/>
    <col min="13584" max="13584" width="0" style="365" hidden="1" customWidth="1"/>
    <col min="13585" max="13585" width="20.140625" style="365" customWidth="1"/>
    <col min="13586" max="13586" width="14.42578125" style="365" bestFit="1" customWidth="1"/>
    <col min="13587" max="13587" width="14" style="365" bestFit="1" customWidth="1"/>
    <col min="13588" max="13588" width="12.28515625" style="365" bestFit="1" customWidth="1"/>
    <col min="13589" max="13613" width="9.140625" style="365" customWidth="1"/>
    <col min="13614" max="13808" width="8.85546875" style="365"/>
    <col min="13809" max="13809" width="44.5703125" style="365" customWidth="1"/>
    <col min="13810" max="13810" width="14.28515625" style="365" bestFit="1" customWidth="1"/>
    <col min="13811" max="13811" width="1.7109375" style="365" customWidth="1"/>
    <col min="13812" max="13812" width="14.85546875" style="365" customWidth="1"/>
    <col min="13813" max="13813" width="0" style="365" hidden="1" customWidth="1"/>
    <col min="13814" max="13814" width="17.42578125" style="365" customWidth="1"/>
    <col min="13815" max="13815" width="0" style="365" hidden="1" customWidth="1"/>
    <col min="13816" max="13816" width="12.85546875" style="365" customWidth="1"/>
    <col min="13817" max="13817" width="0" style="365" hidden="1" customWidth="1"/>
    <col min="13818" max="13818" width="14.42578125" style="365" customWidth="1"/>
    <col min="13819" max="13819" width="0" style="365" hidden="1" customWidth="1"/>
    <col min="13820" max="13820" width="17.42578125" style="365" customWidth="1"/>
    <col min="13821" max="13821" width="0" style="365" hidden="1" customWidth="1"/>
    <col min="13822" max="13822" width="14" style="365" customWidth="1"/>
    <col min="13823" max="13823" width="14.28515625" style="365" bestFit="1" customWidth="1"/>
    <col min="13824" max="13824" width="0" style="365" hidden="1" customWidth="1"/>
    <col min="13825" max="13825" width="15.5703125" style="365" customWidth="1"/>
    <col min="13826" max="13826" width="44.5703125" style="365" customWidth="1"/>
    <col min="13827" max="13827" width="14.28515625" style="365" bestFit="1" customWidth="1"/>
    <col min="13828" max="13828" width="0" style="365" hidden="1" customWidth="1"/>
    <col min="13829" max="13829" width="18.140625" style="365" customWidth="1"/>
    <col min="13830" max="13830" width="0" style="365" hidden="1" customWidth="1"/>
    <col min="13831" max="13831" width="14" style="365" customWidth="1"/>
    <col min="13832" max="13832" width="0" style="365" hidden="1" customWidth="1"/>
    <col min="13833" max="13833" width="20.85546875" style="365" customWidth="1"/>
    <col min="13834" max="13834" width="0" style="365" hidden="1" customWidth="1"/>
    <col min="13835" max="13835" width="13.28515625" style="365" customWidth="1"/>
    <col min="13836" max="13836" width="0" style="365" hidden="1" customWidth="1"/>
    <col min="13837" max="13837" width="15" style="365" customWidth="1"/>
    <col min="13838" max="13838" width="0" style="365" hidden="1" customWidth="1"/>
    <col min="13839" max="13839" width="13.28515625" style="365" customWidth="1"/>
    <col min="13840" max="13840" width="0" style="365" hidden="1" customWidth="1"/>
    <col min="13841" max="13841" width="20.140625" style="365" customWidth="1"/>
    <col min="13842" max="13842" width="14.42578125" style="365" bestFit="1" customWidth="1"/>
    <col min="13843" max="13843" width="14" style="365" bestFit="1" customWidth="1"/>
    <col min="13844" max="13844" width="12.28515625" style="365" bestFit="1" customWidth="1"/>
    <col min="13845" max="13869" width="9.140625" style="365" customWidth="1"/>
    <col min="13870" max="14064" width="8.85546875" style="365"/>
    <col min="14065" max="14065" width="44.5703125" style="365" customWidth="1"/>
    <col min="14066" max="14066" width="14.28515625" style="365" bestFit="1" customWidth="1"/>
    <col min="14067" max="14067" width="1.7109375" style="365" customWidth="1"/>
    <col min="14068" max="14068" width="14.85546875" style="365" customWidth="1"/>
    <col min="14069" max="14069" width="0" style="365" hidden="1" customWidth="1"/>
    <col min="14070" max="14070" width="17.42578125" style="365" customWidth="1"/>
    <col min="14071" max="14071" width="0" style="365" hidden="1" customWidth="1"/>
    <col min="14072" max="14072" width="12.85546875" style="365" customWidth="1"/>
    <col min="14073" max="14073" width="0" style="365" hidden="1" customWidth="1"/>
    <col min="14074" max="14074" width="14.42578125" style="365" customWidth="1"/>
    <col min="14075" max="14075" width="0" style="365" hidden="1" customWidth="1"/>
    <col min="14076" max="14076" width="17.42578125" style="365" customWidth="1"/>
    <col min="14077" max="14077" width="0" style="365" hidden="1" customWidth="1"/>
    <col min="14078" max="14078" width="14" style="365" customWidth="1"/>
    <col min="14079" max="14079" width="14.28515625" style="365" bestFit="1" customWidth="1"/>
    <col min="14080" max="14080" width="0" style="365" hidden="1" customWidth="1"/>
    <col min="14081" max="14081" width="15.5703125" style="365" customWidth="1"/>
    <col min="14082" max="14082" width="44.5703125" style="365" customWidth="1"/>
    <col min="14083" max="14083" width="14.28515625" style="365" bestFit="1" customWidth="1"/>
    <col min="14084" max="14084" width="0" style="365" hidden="1" customWidth="1"/>
    <col min="14085" max="14085" width="18.140625" style="365" customWidth="1"/>
    <col min="14086" max="14086" width="0" style="365" hidden="1" customWidth="1"/>
    <col min="14087" max="14087" width="14" style="365" customWidth="1"/>
    <col min="14088" max="14088" width="0" style="365" hidden="1" customWidth="1"/>
    <col min="14089" max="14089" width="20.85546875" style="365" customWidth="1"/>
    <col min="14090" max="14090" width="0" style="365" hidden="1" customWidth="1"/>
    <col min="14091" max="14091" width="13.28515625" style="365" customWidth="1"/>
    <col min="14092" max="14092" width="0" style="365" hidden="1" customWidth="1"/>
    <col min="14093" max="14093" width="15" style="365" customWidth="1"/>
    <col min="14094" max="14094" width="0" style="365" hidden="1" customWidth="1"/>
    <col min="14095" max="14095" width="13.28515625" style="365" customWidth="1"/>
    <col min="14096" max="14096" width="0" style="365" hidden="1" customWidth="1"/>
    <col min="14097" max="14097" width="20.140625" style="365" customWidth="1"/>
    <col min="14098" max="14098" width="14.42578125" style="365" bestFit="1" customWidth="1"/>
    <col min="14099" max="14099" width="14" style="365" bestFit="1" customWidth="1"/>
    <col min="14100" max="14100" width="12.28515625" style="365" bestFit="1" customWidth="1"/>
    <col min="14101" max="14125" width="9.140625" style="365" customWidth="1"/>
    <col min="14126" max="14320" width="8.85546875" style="365"/>
    <col min="14321" max="14321" width="44.5703125" style="365" customWidth="1"/>
    <col min="14322" max="14322" width="14.28515625" style="365" bestFit="1" customWidth="1"/>
    <col min="14323" max="14323" width="1.7109375" style="365" customWidth="1"/>
    <col min="14324" max="14324" width="14.85546875" style="365" customWidth="1"/>
    <col min="14325" max="14325" width="0" style="365" hidden="1" customWidth="1"/>
    <col min="14326" max="14326" width="17.42578125" style="365" customWidth="1"/>
    <col min="14327" max="14327" width="0" style="365" hidden="1" customWidth="1"/>
    <col min="14328" max="14328" width="12.85546875" style="365" customWidth="1"/>
    <col min="14329" max="14329" width="0" style="365" hidden="1" customWidth="1"/>
    <col min="14330" max="14330" width="14.42578125" style="365" customWidth="1"/>
    <col min="14331" max="14331" width="0" style="365" hidden="1" customWidth="1"/>
    <col min="14332" max="14332" width="17.42578125" style="365" customWidth="1"/>
    <col min="14333" max="14333" width="0" style="365" hidden="1" customWidth="1"/>
    <col min="14334" max="14334" width="14" style="365" customWidth="1"/>
    <col min="14335" max="14335" width="14.28515625" style="365" bestFit="1" customWidth="1"/>
    <col min="14336" max="14336" width="0" style="365" hidden="1" customWidth="1"/>
    <col min="14337" max="14337" width="15.5703125" style="365" customWidth="1"/>
    <col min="14338" max="14338" width="44.5703125" style="365" customWidth="1"/>
    <col min="14339" max="14339" width="14.28515625" style="365" bestFit="1" customWidth="1"/>
    <col min="14340" max="14340" width="0" style="365" hidden="1" customWidth="1"/>
    <col min="14341" max="14341" width="18.140625" style="365" customWidth="1"/>
    <col min="14342" max="14342" width="0" style="365" hidden="1" customWidth="1"/>
    <col min="14343" max="14343" width="14" style="365" customWidth="1"/>
    <col min="14344" max="14344" width="0" style="365" hidden="1" customWidth="1"/>
    <col min="14345" max="14345" width="20.85546875" style="365" customWidth="1"/>
    <col min="14346" max="14346" width="0" style="365" hidden="1" customWidth="1"/>
    <col min="14347" max="14347" width="13.28515625" style="365" customWidth="1"/>
    <col min="14348" max="14348" width="0" style="365" hidden="1" customWidth="1"/>
    <col min="14349" max="14349" width="15" style="365" customWidth="1"/>
    <col min="14350" max="14350" width="0" style="365" hidden="1" customWidth="1"/>
    <col min="14351" max="14351" width="13.28515625" style="365" customWidth="1"/>
    <col min="14352" max="14352" width="0" style="365" hidden="1" customWidth="1"/>
    <col min="14353" max="14353" width="20.140625" style="365" customWidth="1"/>
    <col min="14354" max="14354" width="14.42578125" style="365" bestFit="1" customWidth="1"/>
    <col min="14355" max="14355" width="14" style="365" bestFit="1" customWidth="1"/>
    <col min="14356" max="14356" width="12.28515625" style="365" bestFit="1" customWidth="1"/>
    <col min="14357" max="14381" width="9.140625" style="365" customWidth="1"/>
    <col min="14382" max="14576" width="8.85546875" style="365"/>
    <col min="14577" max="14577" width="44.5703125" style="365" customWidth="1"/>
    <col min="14578" max="14578" width="14.28515625" style="365" bestFit="1" customWidth="1"/>
    <col min="14579" max="14579" width="1.7109375" style="365" customWidth="1"/>
    <col min="14580" max="14580" width="14.85546875" style="365" customWidth="1"/>
    <col min="14581" max="14581" width="0" style="365" hidden="1" customWidth="1"/>
    <col min="14582" max="14582" width="17.42578125" style="365" customWidth="1"/>
    <col min="14583" max="14583" width="0" style="365" hidden="1" customWidth="1"/>
    <col min="14584" max="14584" width="12.85546875" style="365" customWidth="1"/>
    <col min="14585" max="14585" width="0" style="365" hidden="1" customWidth="1"/>
    <col min="14586" max="14586" width="14.42578125" style="365" customWidth="1"/>
    <col min="14587" max="14587" width="0" style="365" hidden="1" customWidth="1"/>
    <col min="14588" max="14588" width="17.42578125" style="365" customWidth="1"/>
    <col min="14589" max="14589" width="0" style="365" hidden="1" customWidth="1"/>
    <col min="14590" max="14590" width="14" style="365" customWidth="1"/>
    <col min="14591" max="14591" width="14.28515625" style="365" bestFit="1" customWidth="1"/>
    <col min="14592" max="14592" width="0" style="365" hidden="1" customWidth="1"/>
    <col min="14593" max="14593" width="15.5703125" style="365" customWidth="1"/>
    <col min="14594" max="14594" width="44.5703125" style="365" customWidth="1"/>
    <col min="14595" max="14595" width="14.28515625" style="365" bestFit="1" customWidth="1"/>
    <col min="14596" max="14596" width="0" style="365" hidden="1" customWidth="1"/>
    <col min="14597" max="14597" width="18.140625" style="365" customWidth="1"/>
    <col min="14598" max="14598" width="0" style="365" hidden="1" customWidth="1"/>
    <col min="14599" max="14599" width="14" style="365" customWidth="1"/>
    <col min="14600" max="14600" width="0" style="365" hidden="1" customWidth="1"/>
    <col min="14601" max="14601" width="20.85546875" style="365" customWidth="1"/>
    <col min="14602" max="14602" width="0" style="365" hidden="1" customWidth="1"/>
    <col min="14603" max="14603" width="13.28515625" style="365" customWidth="1"/>
    <col min="14604" max="14604" width="0" style="365" hidden="1" customWidth="1"/>
    <col min="14605" max="14605" width="15" style="365" customWidth="1"/>
    <col min="14606" max="14606" width="0" style="365" hidden="1" customWidth="1"/>
    <col min="14607" max="14607" width="13.28515625" style="365" customWidth="1"/>
    <col min="14608" max="14608" width="0" style="365" hidden="1" customWidth="1"/>
    <col min="14609" max="14609" width="20.140625" style="365" customWidth="1"/>
    <col min="14610" max="14610" width="14.42578125" style="365" bestFit="1" customWidth="1"/>
    <col min="14611" max="14611" width="14" style="365" bestFit="1" customWidth="1"/>
    <col min="14612" max="14612" width="12.28515625" style="365" bestFit="1" customWidth="1"/>
    <col min="14613" max="14637" width="9.140625" style="365" customWidth="1"/>
    <col min="14638" max="14832" width="8.85546875" style="365"/>
    <col min="14833" max="14833" width="44.5703125" style="365" customWidth="1"/>
    <col min="14834" max="14834" width="14.28515625" style="365" bestFit="1" customWidth="1"/>
    <col min="14835" max="14835" width="1.7109375" style="365" customWidth="1"/>
    <col min="14836" max="14836" width="14.85546875" style="365" customWidth="1"/>
    <col min="14837" max="14837" width="0" style="365" hidden="1" customWidth="1"/>
    <col min="14838" max="14838" width="17.42578125" style="365" customWidth="1"/>
    <col min="14839" max="14839" width="0" style="365" hidden="1" customWidth="1"/>
    <col min="14840" max="14840" width="12.85546875" style="365" customWidth="1"/>
    <col min="14841" max="14841" width="0" style="365" hidden="1" customWidth="1"/>
    <col min="14842" max="14842" width="14.42578125" style="365" customWidth="1"/>
    <col min="14843" max="14843" width="0" style="365" hidden="1" customWidth="1"/>
    <col min="14844" max="14844" width="17.42578125" style="365" customWidth="1"/>
    <col min="14845" max="14845" width="0" style="365" hidden="1" customWidth="1"/>
    <col min="14846" max="14846" width="14" style="365" customWidth="1"/>
    <col min="14847" max="14847" width="14.28515625" style="365" bestFit="1" customWidth="1"/>
    <col min="14848" max="14848" width="0" style="365" hidden="1" customWidth="1"/>
    <col min="14849" max="14849" width="15.5703125" style="365" customWidth="1"/>
    <col min="14850" max="14850" width="44.5703125" style="365" customWidth="1"/>
    <col min="14851" max="14851" width="14.28515625" style="365" bestFit="1" customWidth="1"/>
    <col min="14852" max="14852" width="0" style="365" hidden="1" customWidth="1"/>
    <col min="14853" max="14853" width="18.140625" style="365" customWidth="1"/>
    <col min="14854" max="14854" width="0" style="365" hidden="1" customWidth="1"/>
    <col min="14855" max="14855" width="14" style="365" customWidth="1"/>
    <col min="14856" max="14856" width="0" style="365" hidden="1" customWidth="1"/>
    <col min="14857" max="14857" width="20.85546875" style="365" customWidth="1"/>
    <col min="14858" max="14858" width="0" style="365" hidden="1" customWidth="1"/>
    <col min="14859" max="14859" width="13.28515625" style="365" customWidth="1"/>
    <col min="14860" max="14860" width="0" style="365" hidden="1" customWidth="1"/>
    <col min="14861" max="14861" width="15" style="365" customWidth="1"/>
    <col min="14862" max="14862" width="0" style="365" hidden="1" customWidth="1"/>
    <col min="14863" max="14863" width="13.28515625" style="365" customWidth="1"/>
    <col min="14864" max="14864" width="0" style="365" hidden="1" customWidth="1"/>
    <col min="14865" max="14865" width="20.140625" style="365" customWidth="1"/>
    <col min="14866" max="14866" width="14.42578125" style="365" bestFit="1" customWidth="1"/>
    <col min="14867" max="14867" width="14" style="365" bestFit="1" customWidth="1"/>
    <col min="14868" max="14868" width="12.28515625" style="365" bestFit="1" customWidth="1"/>
    <col min="14869" max="14893" width="9.140625" style="365" customWidth="1"/>
    <col min="14894" max="15088" width="8.85546875" style="365"/>
    <col min="15089" max="15089" width="44.5703125" style="365" customWidth="1"/>
    <col min="15090" max="15090" width="14.28515625" style="365" bestFit="1" customWidth="1"/>
    <col min="15091" max="15091" width="1.7109375" style="365" customWidth="1"/>
    <col min="15092" max="15092" width="14.85546875" style="365" customWidth="1"/>
    <col min="15093" max="15093" width="0" style="365" hidden="1" customWidth="1"/>
    <col min="15094" max="15094" width="17.42578125" style="365" customWidth="1"/>
    <col min="15095" max="15095" width="0" style="365" hidden="1" customWidth="1"/>
    <col min="15096" max="15096" width="12.85546875" style="365" customWidth="1"/>
    <col min="15097" max="15097" width="0" style="365" hidden="1" customWidth="1"/>
    <col min="15098" max="15098" width="14.42578125" style="365" customWidth="1"/>
    <col min="15099" max="15099" width="0" style="365" hidden="1" customWidth="1"/>
    <col min="15100" max="15100" width="17.42578125" style="365" customWidth="1"/>
    <col min="15101" max="15101" width="0" style="365" hidden="1" customWidth="1"/>
    <col min="15102" max="15102" width="14" style="365" customWidth="1"/>
    <col min="15103" max="15103" width="14.28515625" style="365" bestFit="1" customWidth="1"/>
    <col min="15104" max="15104" width="0" style="365" hidden="1" customWidth="1"/>
    <col min="15105" max="15105" width="15.5703125" style="365" customWidth="1"/>
    <col min="15106" max="15106" width="44.5703125" style="365" customWidth="1"/>
    <col min="15107" max="15107" width="14.28515625" style="365" bestFit="1" customWidth="1"/>
    <col min="15108" max="15108" width="0" style="365" hidden="1" customWidth="1"/>
    <col min="15109" max="15109" width="18.140625" style="365" customWidth="1"/>
    <col min="15110" max="15110" width="0" style="365" hidden="1" customWidth="1"/>
    <col min="15111" max="15111" width="14" style="365" customWidth="1"/>
    <col min="15112" max="15112" width="0" style="365" hidden="1" customWidth="1"/>
    <col min="15113" max="15113" width="20.85546875" style="365" customWidth="1"/>
    <col min="15114" max="15114" width="0" style="365" hidden="1" customWidth="1"/>
    <col min="15115" max="15115" width="13.28515625" style="365" customWidth="1"/>
    <col min="15116" max="15116" width="0" style="365" hidden="1" customWidth="1"/>
    <col min="15117" max="15117" width="15" style="365" customWidth="1"/>
    <col min="15118" max="15118" width="0" style="365" hidden="1" customWidth="1"/>
    <col min="15119" max="15119" width="13.28515625" style="365" customWidth="1"/>
    <col min="15120" max="15120" width="0" style="365" hidden="1" customWidth="1"/>
    <col min="15121" max="15121" width="20.140625" style="365" customWidth="1"/>
    <col min="15122" max="15122" width="14.42578125" style="365" bestFit="1" customWidth="1"/>
    <col min="15123" max="15123" width="14" style="365" bestFit="1" customWidth="1"/>
    <col min="15124" max="15124" width="12.28515625" style="365" bestFit="1" customWidth="1"/>
    <col min="15125" max="15149" width="9.140625" style="365" customWidth="1"/>
    <col min="15150" max="15344" width="8.85546875" style="365"/>
    <col min="15345" max="15345" width="44.5703125" style="365" customWidth="1"/>
    <col min="15346" max="15346" width="14.28515625" style="365" bestFit="1" customWidth="1"/>
    <col min="15347" max="15347" width="1.7109375" style="365" customWidth="1"/>
    <col min="15348" max="15348" width="14.85546875" style="365" customWidth="1"/>
    <col min="15349" max="15349" width="0" style="365" hidden="1" customWidth="1"/>
    <col min="15350" max="15350" width="17.42578125" style="365" customWidth="1"/>
    <col min="15351" max="15351" width="0" style="365" hidden="1" customWidth="1"/>
    <col min="15352" max="15352" width="12.85546875" style="365" customWidth="1"/>
    <col min="15353" max="15353" width="0" style="365" hidden="1" customWidth="1"/>
    <col min="15354" max="15354" width="14.42578125" style="365" customWidth="1"/>
    <col min="15355" max="15355" width="0" style="365" hidden="1" customWidth="1"/>
    <col min="15356" max="15356" width="17.42578125" style="365" customWidth="1"/>
    <col min="15357" max="15357" width="0" style="365" hidden="1" customWidth="1"/>
    <col min="15358" max="15358" width="14" style="365" customWidth="1"/>
    <col min="15359" max="15359" width="14.28515625" style="365" bestFit="1" customWidth="1"/>
    <col min="15360" max="15360" width="0" style="365" hidden="1" customWidth="1"/>
    <col min="15361" max="15361" width="15.5703125" style="365" customWidth="1"/>
    <col min="15362" max="15362" width="44.5703125" style="365" customWidth="1"/>
    <col min="15363" max="15363" width="14.28515625" style="365" bestFit="1" customWidth="1"/>
    <col min="15364" max="15364" width="0" style="365" hidden="1" customWidth="1"/>
    <col min="15365" max="15365" width="18.140625" style="365" customWidth="1"/>
    <col min="15366" max="15366" width="0" style="365" hidden="1" customWidth="1"/>
    <col min="15367" max="15367" width="14" style="365" customWidth="1"/>
    <col min="15368" max="15368" width="0" style="365" hidden="1" customWidth="1"/>
    <col min="15369" max="15369" width="20.85546875" style="365" customWidth="1"/>
    <col min="15370" max="15370" width="0" style="365" hidden="1" customWidth="1"/>
    <col min="15371" max="15371" width="13.28515625" style="365" customWidth="1"/>
    <col min="15372" max="15372" width="0" style="365" hidden="1" customWidth="1"/>
    <col min="15373" max="15373" width="15" style="365" customWidth="1"/>
    <col min="15374" max="15374" width="0" style="365" hidden="1" customWidth="1"/>
    <col min="15375" max="15375" width="13.28515625" style="365" customWidth="1"/>
    <col min="15376" max="15376" width="0" style="365" hidden="1" customWidth="1"/>
    <col min="15377" max="15377" width="20.140625" style="365" customWidth="1"/>
    <col min="15378" max="15378" width="14.42578125" style="365" bestFit="1" customWidth="1"/>
    <col min="15379" max="15379" width="14" style="365" bestFit="1" customWidth="1"/>
    <col min="15380" max="15380" width="12.28515625" style="365" bestFit="1" customWidth="1"/>
    <col min="15381" max="15405" width="9.140625" style="365" customWidth="1"/>
    <col min="15406" max="15600" width="8.85546875" style="365"/>
    <col min="15601" max="15601" width="44.5703125" style="365" customWidth="1"/>
    <col min="15602" max="15602" width="14.28515625" style="365" bestFit="1" customWidth="1"/>
    <col min="15603" max="15603" width="1.7109375" style="365" customWidth="1"/>
    <col min="15604" max="15604" width="14.85546875" style="365" customWidth="1"/>
    <col min="15605" max="15605" width="0" style="365" hidden="1" customWidth="1"/>
    <col min="15606" max="15606" width="17.42578125" style="365" customWidth="1"/>
    <col min="15607" max="15607" width="0" style="365" hidden="1" customWidth="1"/>
    <col min="15608" max="15608" width="12.85546875" style="365" customWidth="1"/>
    <col min="15609" max="15609" width="0" style="365" hidden="1" customWidth="1"/>
    <col min="15610" max="15610" width="14.42578125" style="365" customWidth="1"/>
    <col min="15611" max="15611" width="0" style="365" hidden="1" customWidth="1"/>
    <col min="15612" max="15612" width="17.42578125" style="365" customWidth="1"/>
    <col min="15613" max="15613" width="0" style="365" hidden="1" customWidth="1"/>
    <col min="15614" max="15614" width="14" style="365" customWidth="1"/>
    <col min="15615" max="15615" width="14.28515625" style="365" bestFit="1" customWidth="1"/>
    <col min="15616" max="15616" width="0" style="365" hidden="1" customWidth="1"/>
    <col min="15617" max="15617" width="15.5703125" style="365" customWidth="1"/>
    <col min="15618" max="15618" width="44.5703125" style="365" customWidth="1"/>
    <col min="15619" max="15619" width="14.28515625" style="365" bestFit="1" customWidth="1"/>
    <col min="15620" max="15620" width="0" style="365" hidden="1" customWidth="1"/>
    <col min="15621" max="15621" width="18.140625" style="365" customWidth="1"/>
    <col min="15622" max="15622" width="0" style="365" hidden="1" customWidth="1"/>
    <col min="15623" max="15623" width="14" style="365" customWidth="1"/>
    <col min="15624" max="15624" width="0" style="365" hidden="1" customWidth="1"/>
    <col min="15625" max="15625" width="20.85546875" style="365" customWidth="1"/>
    <col min="15626" max="15626" width="0" style="365" hidden="1" customWidth="1"/>
    <col min="15627" max="15627" width="13.28515625" style="365" customWidth="1"/>
    <col min="15628" max="15628" width="0" style="365" hidden="1" customWidth="1"/>
    <col min="15629" max="15629" width="15" style="365" customWidth="1"/>
    <col min="15630" max="15630" width="0" style="365" hidden="1" customWidth="1"/>
    <col min="15631" max="15631" width="13.28515625" style="365" customWidth="1"/>
    <col min="15632" max="15632" width="0" style="365" hidden="1" customWidth="1"/>
    <col min="15633" max="15633" width="20.140625" style="365" customWidth="1"/>
    <col min="15634" max="15634" width="14.42578125" style="365" bestFit="1" customWidth="1"/>
    <col min="15635" max="15635" width="14" style="365" bestFit="1" customWidth="1"/>
    <col min="15636" max="15636" width="12.28515625" style="365" bestFit="1" customWidth="1"/>
    <col min="15637" max="15661" width="9.140625" style="365" customWidth="1"/>
    <col min="15662" max="15856" width="8.85546875" style="365"/>
    <col min="15857" max="15857" width="44.5703125" style="365" customWidth="1"/>
    <col min="15858" max="15858" width="14.28515625" style="365" bestFit="1" customWidth="1"/>
    <col min="15859" max="15859" width="1.7109375" style="365" customWidth="1"/>
    <col min="15860" max="15860" width="14.85546875" style="365" customWidth="1"/>
    <col min="15861" max="15861" width="0" style="365" hidden="1" customWidth="1"/>
    <col min="15862" max="15862" width="17.42578125" style="365" customWidth="1"/>
    <col min="15863" max="15863" width="0" style="365" hidden="1" customWidth="1"/>
    <col min="15864" max="15864" width="12.85546875" style="365" customWidth="1"/>
    <col min="15865" max="15865" width="0" style="365" hidden="1" customWidth="1"/>
    <col min="15866" max="15866" width="14.42578125" style="365" customWidth="1"/>
    <col min="15867" max="15867" width="0" style="365" hidden="1" customWidth="1"/>
    <col min="15868" max="15868" width="17.42578125" style="365" customWidth="1"/>
    <col min="15869" max="15869" width="0" style="365" hidden="1" customWidth="1"/>
    <col min="15870" max="15870" width="14" style="365" customWidth="1"/>
    <col min="15871" max="15871" width="14.28515625" style="365" bestFit="1" customWidth="1"/>
    <col min="15872" max="15872" width="0" style="365" hidden="1" customWidth="1"/>
    <col min="15873" max="15873" width="15.5703125" style="365" customWidth="1"/>
    <col min="15874" max="15874" width="44.5703125" style="365" customWidth="1"/>
    <col min="15875" max="15875" width="14.28515625" style="365" bestFit="1" customWidth="1"/>
    <col min="15876" max="15876" width="0" style="365" hidden="1" customWidth="1"/>
    <col min="15877" max="15877" width="18.140625" style="365" customWidth="1"/>
    <col min="15878" max="15878" width="0" style="365" hidden="1" customWidth="1"/>
    <col min="15879" max="15879" width="14" style="365" customWidth="1"/>
    <col min="15880" max="15880" width="0" style="365" hidden="1" customWidth="1"/>
    <col min="15881" max="15881" width="20.85546875" style="365" customWidth="1"/>
    <col min="15882" max="15882" width="0" style="365" hidden="1" customWidth="1"/>
    <col min="15883" max="15883" width="13.28515625" style="365" customWidth="1"/>
    <col min="15884" max="15884" width="0" style="365" hidden="1" customWidth="1"/>
    <col min="15885" max="15885" width="15" style="365" customWidth="1"/>
    <col min="15886" max="15886" width="0" style="365" hidden="1" customWidth="1"/>
    <col min="15887" max="15887" width="13.28515625" style="365" customWidth="1"/>
    <col min="15888" max="15888" width="0" style="365" hidden="1" customWidth="1"/>
    <col min="15889" max="15889" width="20.140625" style="365" customWidth="1"/>
    <col min="15890" max="15890" width="14.42578125" style="365" bestFit="1" customWidth="1"/>
    <col min="15891" max="15891" width="14" style="365" bestFit="1" customWidth="1"/>
    <col min="15892" max="15892" width="12.28515625" style="365" bestFit="1" customWidth="1"/>
    <col min="15893" max="15917" width="9.140625" style="365" customWidth="1"/>
    <col min="15918" max="16112" width="8.85546875" style="365"/>
    <col min="16113" max="16113" width="44.5703125" style="365" customWidth="1"/>
    <col min="16114" max="16114" width="14.28515625" style="365" bestFit="1" customWidth="1"/>
    <col min="16115" max="16115" width="1.7109375" style="365" customWidth="1"/>
    <col min="16116" max="16116" width="14.85546875" style="365" customWidth="1"/>
    <col min="16117" max="16117" width="0" style="365" hidden="1" customWidth="1"/>
    <col min="16118" max="16118" width="17.42578125" style="365" customWidth="1"/>
    <col min="16119" max="16119" width="0" style="365" hidden="1" customWidth="1"/>
    <col min="16120" max="16120" width="12.85546875" style="365" customWidth="1"/>
    <col min="16121" max="16121" width="0" style="365" hidden="1" customWidth="1"/>
    <col min="16122" max="16122" width="14.42578125" style="365" customWidth="1"/>
    <col min="16123" max="16123" width="0" style="365" hidden="1" customWidth="1"/>
    <col min="16124" max="16124" width="17.42578125" style="365" customWidth="1"/>
    <col min="16125" max="16125" width="0" style="365" hidden="1" customWidth="1"/>
    <col min="16126" max="16126" width="14" style="365" customWidth="1"/>
    <col min="16127" max="16127" width="14.28515625" style="365" bestFit="1" customWidth="1"/>
    <col min="16128" max="16128" width="0" style="365" hidden="1" customWidth="1"/>
    <col min="16129" max="16129" width="15.5703125" style="365" customWidth="1"/>
    <col min="16130" max="16130" width="44.5703125" style="365" customWidth="1"/>
    <col min="16131" max="16131" width="14.28515625" style="365" bestFit="1" customWidth="1"/>
    <col min="16132" max="16132" width="0" style="365" hidden="1" customWidth="1"/>
    <col min="16133" max="16133" width="18.140625" style="365" customWidth="1"/>
    <col min="16134" max="16134" width="0" style="365" hidden="1" customWidth="1"/>
    <col min="16135" max="16135" width="14" style="365" customWidth="1"/>
    <col min="16136" max="16136" width="0" style="365" hidden="1" customWidth="1"/>
    <col min="16137" max="16137" width="20.85546875" style="365" customWidth="1"/>
    <col min="16138" max="16138" width="0" style="365" hidden="1" customWidth="1"/>
    <col min="16139" max="16139" width="13.28515625" style="365" customWidth="1"/>
    <col min="16140" max="16140" width="0" style="365" hidden="1" customWidth="1"/>
    <col min="16141" max="16141" width="15" style="365" customWidth="1"/>
    <col min="16142" max="16142" width="0" style="365" hidden="1" customWidth="1"/>
    <col min="16143" max="16143" width="13.28515625" style="365" customWidth="1"/>
    <col min="16144" max="16144" width="0" style="365" hidden="1" customWidth="1"/>
    <col min="16145" max="16145" width="20.140625" style="365" customWidth="1"/>
    <col min="16146" max="16146" width="14.42578125" style="365" bestFit="1" customWidth="1"/>
    <col min="16147" max="16147" width="14" style="365" bestFit="1" customWidth="1"/>
    <col min="16148" max="16148" width="12.28515625" style="365" bestFit="1" customWidth="1"/>
    <col min="16149" max="16173" width="9.140625" style="365" customWidth="1"/>
    <col min="16174" max="16384" width="9.7109375" style="365"/>
  </cols>
  <sheetData>
    <row r="1" spans="1:45" s="354" customFormat="1" ht="7.5" hidden="1" customHeight="1">
      <c r="A1" s="1638"/>
      <c r="B1" s="1638"/>
      <c r="C1" s="1638"/>
      <c r="D1" s="1638"/>
      <c r="E1" s="1638"/>
      <c r="F1" s="1638"/>
      <c r="G1" s="1638"/>
      <c r="H1" s="1638"/>
      <c r="I1" s="1638"/>
      <c r="J1" s="1638"/>
      <c r="K1" s="1638"/>
      <c r="L1" s="1638"/>
      <c r="M1" s="1638"/>
      <c r="N1" s="1638"/>
      <c r="O1" s="1638"/>
      <c r="P1" s="1638"/>
      <c r="Q1" s="1638"/>
      <c r="R1" s="351"/>
      <c r="S1" s="351"/>
      <c r="T1" s="351"/>
      <c r="U1" s="351"/>
      <c r="V1" s="351"/>
      <c r="W1" s="351"/>
      <c r="X1" s="353"/>
      <c r="Y1" s="353"/>
      <c r="Z1" s="353"/>
      <c r="AA1" s="353"/>
      <c r="AB1" s="353"/>
      <c r="AC1" s="353"/>
      <c r="AD1" s="353"/>
      <c r="AE1" s="353"/>
      <c r="AF1" s="353"/>
      <c r="AG1" s="353"/>
      <c r="AH1" s="353"/>
      <c r="AI1" s="353"/>
      <c r="AJ1" s="353"/>
      <c r="AK1" s="353"/>
      <c r="AL1" s="353"/>
      <c r="AM1" s="353"/>
      <c r="AN1" s="353"/>
      <c r="AO1" s="353"/>
      <c r="AP1" s="353"/>
      <c r="AQ1" s="353"/>
      <c r="AR1" s="353"/>
      <c r="AS1" s="353"/>
    </row>
    <row r="2" spans="1:45" s="354" customFormat="1" ht="48">
      <c r="A2" s="1634" t="str">
        <f>'All Funds Sch A Left'!A2:J2</f>
        <v>FY 2013 Tentative All Funds Budget</v>
      </c>
      <c r="B2" s="1634"/>
      <c r="C2" s="1634"/>
      <c r="D2" s="1634"/>
      <c r="E2" s="1634"/>
      <c r="F2" s="1634"/>
      <c r="G2" s="1634"/>
      <c r="H2" s="1634"/>
      <c r="I2" s="1634"/>
      <c r="J2" s="1634"/>
      <c r="K2" s="1634"/>
      <c r="L2" s="1634"/>
      <c r="M2" s="1634"/>
      <c r="N2" s="1634"/>
      <c r="O2" s="1634"/>
      <c r="P2" s="1634"/>
      <c r="Q2" s="1634"/>
      <c r="R2" s="353"/>
      <c r="S2" s="353"/>
      <c r="T2" s="353"/>
      <c r="U2" s="353"/>
      <c r="V2" s="353"/>
      <c r="W2" s="353"/>
      <c r="X2" s="353"/>
      <c r="Y2" s="353"/>
      <c r="Z2" s="353"/>
      <c r="AA2" s="353"/>
      <c r="AB2" s="353"/>
      <c r="AC2" s="353"/>
      <c r="AD2" s="353"/>
      <c r="AE2" s="353"/>
      <c r="AF2" s="353"/>
      <c r="AG2" s="353"/>
      <c r="AH2" s="353"/>
      <c r="AI2" s="353"/>
      <c r="AJ2" s="353"/>
      <c r="AK2" s="353"/>
      <c r="AL2" s="353"/>
      <c r="AM2" s="353"/>
      <c r="AN2" s="353"/>
      <c r="AO2" s="353"/>
      <c r="AP2" s="353"/>
      <c r="AQ2" s="353"/>
      <c r="AR2" s="353"/>
      <c r="AS2" s="353"/>
    </row>
    <row r="3" spans="1:45" s="354" customFormat="1" ht="48">
      <c r="A3" s="718"/>
      <c r="B3" s="718"/>
      <c r="C3" s="718"/>
      <c r="D3" s="718"/>
      <c r="E3" s="718"/>
      <c r="F3" s="718"/>
      <c r="G3" s="718"/>
      <c r="H3" s="718"/>
      <c r="I3" s="718"/>
      <c r="J3" s="718"/>
      <c r="K3" s="718"/>
      <c r="L3" s="718"/>
      <c r="M3" s="718"/>
      <c r="N3" s="718"/>
      <c r="O3" s="718"/>
      <c r="P3" s="719"/>
      <c r="Q3" s="719"/>
      <c r="R3" s="745"/>
      <c r="S3" s="745"/>
      <c r="T3" s="353"/>
      <c r="U3" s="353"/>
      <c r="V3" s="353"/>
      <c r="W3" s="353"/>
      <c r="X3" s="353"/>
      <c r="Y3" s="353"/>
      <c r="Z3" s="353"/>
      <c r="AA3" s="353"/>
      <c r="AB3" s="353"/>
      <c r="AC3" s="353"/>
      <c r="AD3" s="353"/>
      <c r="AE3" s="353"/>
      <c r="AF3" s="353"/>
      <c r="AG3" s="353"/>
      <c r="AH3" s="353"/>
      <c r="AI3" s="353"/>
      <c r="AJ3" s="353"/>
      <c r="AK3" s="353"/>
      <c r="AL3" s="353"/>
      <c r="AM3" s="353"/>
      <c r="AN3" s="353"/>
      <c r="AO3" s="353"/>
      <c r="AP3" s="353"/>
      <c r="AQ3" s="353"/>
      <c r="AR3" s="353"/>
      <c r="AS3" s="353"/>
    </row>
    <row r="4" spans="1:45" s="354" customFormat="1" ht="15.75" customHeight="1">
      <c r="A4" s="1637" t="s">
        <v>58</v>
      </c>
      <c r="B4" s="1637"/>
      <c r="C4" s="1637"/>
      <c r="D4" s="1637"/>
      <c r="E4" s="1637"/>
      <c r="F4" s="1637"/>
      <c r="G4" s="1637"/>
      <c r="H4" s="1637"/>
      <c r="I4" s="1637"/>
      <c r="J4" s="1637"/>
      <c r="K4" s="1637"/>
      <c r="L4" s="1637"/>
      <c r="M4" s="1637"/>
      <c r="N4" s="1637"/>
      <c r="O4" s="1637"/>
      <c r="P4" s="1637"/>
      <c r="Q4" s="1637"/>
      <c r="R4" s="353"/>
      <c r="S4" s="353"/>
      <c r="T4" s="353"/>
      <c r="U4" s="353"/>
      <c r="V4" s="353"/>
      <c r="W4" s="353"/>
      <c r="X4" s="353"/>
      <c r="Y4" s="353"/>
      <c r="Z4" s="353"/>
      <c r="AA4" s="353"/>
      <c r="AB4" s="353"/>
      <c r="AC4" s="353"/>
      <c r="AD4" s="353"/>
      <c r="AE4" s="353"/>
      <c r="AF4" s="353"/>
      <c r="AG4" s="353"/>
      <c r="AH4" s="353"/>
      <c r="AI4" s="353"/>
      <c r="AJ4" s="353"/>
      <c r="AK4" s="353"/>
      <c r="AL4" s="353"/>
      <c r="AM4" s="353"/>
      <c r="AN4" s="353"/>
      <c r="AO4" s="353"/>
      <c r="AP4" s="353"/>
      <c r="AQ4" s="353"/>
      <c r="AR4" s="353"/>
      <c r="AS4" s="353"/>
    </row>
    <row r="5" spans="1:45" s="363" customFormat="1" ht="9.6" customHeight="1" thickBot="1">
      <c r="A5" s="360" t="s">
        <v>58</v>
      </c>
      <c r="B5" s="583"/>
      <c r="C5" s="358"/>
      <c r="D5" s="358"/>
      <c r="E5" s="358"/>
      <c r="F5" s="358"/>
      <c r="G5" s="358"/>
      <c r="H5" s="358"/>
      <c r="I5" s="358"/>
      <c r="J5" s="358"/>
      <c r="K5" s="358"/>
      <c r="L5" s="358"/>
      <c r="M5" s="358"/>
      <c r="N5" s="358"/>
      <c r="O5" s="358"/>
      <c r="P5" s="358"/>
      <c r="Q5" s="362"/>
      <c r="R5" s="362"/>
      <c r="S5" s="362"/>
    </row>
    <row r="6" spans="1:45" s="490" customFormat="1" ht="117" customHeight="1" thickTop="1" thickBot="1">
      <c r="A6" s="484"/>
      <c r="B6" s="584"/>
      <c r="C6" s="486"/>
      <c r="D6" s="580" t="s">
        <v>415</v>
      </c>
      <c r="E6" s="580" t="s">
        <v>416</v>
      </c>
      <c r="F6" s="581"/>
      <c r="G6" s="580" t="s">
        <v>417</v>
      </c>
      <c r="H6" s="581"/>
      <c r="I6" s="580" t="s">
        <v>575</v>
      </c>
      <c r="J6" s="581"/>
      <c r="K6" s="580" t="s">
        <v>419</v>
      </c>
      <c r="L6" s="581"/>
      <c r="M6" s="580" t="s">
        <v>420</v>
      </c>
      <c r="N6" s="581"/>
      <c r="O6" s="580" t="s">
        <v>421</v>
      </c>
      <c r="P6" s="581"/>
      <c r="Q6" s="582" t="s">
        <v>422</v>
      </c>
      <c r="R6" s="748" t="s">
        <v>687</v>
      </c>
      <c r="S6" s="582" t="s">
        <v>686</v>
      </c>
      <c r="T6" s="488"/>
      <c r="U6" s="488"/>
      <c r="V6" s="488"/>
      <c r="W6" s="488"/>
      <c r="X6" s="488"/>
      <c r="Y6" s="488"/>
      <c r="Z6" s="488"/>
      <c r="AA6" s="488"/>
      <c r="AB6" s="488"/>
      <c r="AC6" s="488"/>
      <c r="AD6" s="488"/>
      <c r="AE6" s="488"/>
      <c r="AF6" s="488"/>
      <c r="AG6" s="488"/>
      <c r="AH6" s="488"/>
      <c r="AI6" s="488"/>
      <c r="AJ6" s="488"/>
      <c r="AK6" s="488"/>
      <c r="AL6" s="488"/>
      <c r="AM6" s="488"/>
      <c r="AN6" s="488"/>
      <c r="AO6" s="488"/>
      <c r="AP6" s="488"/>
      <c r="AQ6" s="488"/>
      <c r="AR6" s="488"/>
      <c r="AS6" s="488"/>
    </row>
    <row r="7" spans="1:45" ht="28.15" customHeight="1" thickTop="1">
      <c r="A7" s="356"/>
      <c r="B7" s="402"/>
      <c r="C7" s="357"/>
      <c r="D7" s="373"/>
      <c r="E7" s="371"/>
      <c r="F7" s="372"/>
      <c r="G7" s="371"/>
      <c r="H7" s="372"/>
      <c r="I7" s="371"/>
      <c r="J7" s="372"/>
      <c r="K7" s="371"/>
      <c r="L7" s="372"/>
      <c r="M7" s="371"/>
      <c r="N7" s="372"/>
      <c r="O7" s="371"/>
      <c r="P7" s="372"/>
      <c r="Q7" s="374"/>
      <c r="R7" s="749"/>
      <c r="S7" s="374"/>
    </row>
    <row r="8" spans="1:45" s="417" customFormat="1" ht="15.95" customHeight="1">
      <c r="A8" s="417" t="s">
        <v>423</v>
      </c>
      <c r="B8" s="393"/>
      <c r="C8" s="449"/>
      <c r="D8" s="453"/>
      <c r="E8" s="452"/>
      <c r="F8" s="453"/>
      <c r="G8" s="452"/>
      <c r="H8" s="453"/>
      <c r="I8" s="455" t="s">
        <v>58</v>
      </c>
      <c r="J8" s="453"/>
      <c r="K8" s="455" t="s">
        <v>58</v>
      </c>
      <c r="L8" s="453"/>
      <c r="M8" s="455" t="s">
        <v>58</v>
      </c>
      <c r="N8" s="453"/>
      <c r="O8" s="455" t="s">
        <v>58</v>
      </c>
      <c r="P8" s="453"/>
      <c r="Q8" s="456"/>
      <c r="R8" s="750"/>
      <c r="S8" s="456"/>
      <c r="T8" s="454"/>
      <c r="U8" s="454"/>
      <c r="V8" s="454"/>
      <c r="W8" s="454"/>
      <c r="X8" s="454"/>
      <c r="Y8" s="454"/>
      <c r="Z8" s="454"/>
      <c r="AA8" s="454"/>
      <c r="AB8" s="454"/>
      <c r="AC8" s="454"/>
      <c r="AD8" s="454"/>
      <c r="AE8" s="454"/>
      <c r="AF8" s="454"/>
      <c r="AG8" s="454"/>
      <c r="AH8" s="454"/>
      <c r="AI8" s="454"/>
      <c r="AJ8" s="454"/>
      <c r="AK8" s="454"/>
      <c r="AL8" s="454"/>
      <c r="AM8" s="454"/>
      <c r="AN8" s="454"/>
      <c r="AO8" s="454"/>
      <c r="AP8" s="454"/>
      <c r="AQ8" s="454"/>
      <c r="AR8" s="454"/>
      <c r="AS8" s="454"/>
    </row>
    <row r="9" spans="1:45" s="417" customFormat="1" ht="20.100000000000001" customHeight="1">
      <c r="A9" s="417" t="s">
        <v>27</v>
      </c>
      <c r="B9" s="393"/>
      <c r="C9" s="417" t="s">
        <v>424</v>
      </c>
      <c r="D9" s="458">
        <f>Cemtery!L13+Cemtery!L9</f>
        <v>23929746.120000001</v>
      </c>
      <c r="E9" s="458">
        <f>'Arts Science District Garage'!L14+Cemtery!L9</f>
        <v>0</v>
      </c>
      <c r="F9" s="458"/>
      <c r="G9" s="458">
        <f>Sanitation!L16+Sanitation!L12</f>
        <v>7903598.3100000024</v>
      </c>
      <c r="H9" s="458"/>
      <c r="I9" s="458">
        <f>'Water and Sewer'!L15+'Central Region'!L15+'Water and Sewer'!L11+'Central Region'!L11</f>
        <v>56639343</v>
      </c>
      <c r="J9" s="458"/>
      <c r="K9" s="458">
        <f>Stormwater!L16+Stormwater!L12</f>
        <v>12213219</v>
      </c>
      <c r="L9" s="458"/>
      <c r="M9" s="458">
        <f>'Parking System'!L16+'Parking System'!L12</f>
        <v>13737004</v>
      </c>
      <c r="N9" s="458"/>
      <c r="O9" s="458">
        <f>Airport!L16+Airport!L12</f>
        <v>13880782</v>
      </c>
      <c r="P9" s="461"/>
      <c r="Q9" s="461" t="e">
        <f>SUM('All Funds Sch A Left'!D9:J9)+SUM('All Funds Sch A Right'!D9:O9)</f>
        <v>#REF!</v>
      </c>
      <c r="R9" s="751">
        <f>175915865.91+9414031.05</f>
        <v>185329896.96000001</v>
      </c>
      <c r="S9" s="461" t="e">
        <f>Q9-R9</f>
        <v>#REF!</v>
      </c>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row>
    <row r="10" spans="1:45" s="417" customFormat="1" ht="20.100000000000001" customHeight="1">
      <c r="A10" s="417" t="s">
        <v>690</v>
      </c>
      <c r="B10" s="393"/>
      <c r="D10" s="458"/>
      <c r="E10" s="458"/>
      <c r="F10" s="458"/>
      <c r="G10" s="458"/>
      <c r="H10" s="458"/>
      <c r="I10" s="458"/>
      <c r="J10" s="458"/>
      <c r="K10" s="458"/>
      <c r="L10" s="458"/>
      <c r="M10" s="458"/>
      <c r="N10" s="458"/>
      <c r="O10" s="458"/>
      <c r="P10" s="461"/>
      <c r="Q10" s="461">
        <f>SUM('All Funds Sch A Left'!D10:J10)+SUM('All Funds Sch A Right'!D10:O10)</f>
        <v>3000000</v>
      </c>
      <c r="R10" s="751"/>
      <c r="S10" s="461">
        <f>Q10-R10</f>
        <v>3000000</v>
      </c>
      <c r="T10" s="454"/>
      <c r="U10" s="454"/>
      <c r="V10" s="454"/>
      <c r="W10" s="454"/>
      <c r="X10" s="454"/>
      <c r="Y10" s="454"/>
      <c r="Z10" s="454"/>
      <c r="AA10" s="454"/>
      <c r="AB10" s="454"/>
      <c r="AC10" s="454"/>
      <c r="AD10" s="454"/>
      <c r="AE10" s="454"/>
      <c r="AF10" s="454"/>
      <c r="AG10" s="454"/>
      <c r="AH10" s="454"/>
      <c r="AI10" s="454"/>
      <c r="AJ10" s="454"/>
      <c r="AK10" s="454"/>
      <c r="AL10" s="454"/>
      <c r="AM10" s="454"/>
      <c r="AN10" s="454"/>
      <c r="AO10" s="454"/>
      <c r="AP10" s="454"/>
      <c r="AQ10" s="454"/>
      <c r="AR10" s="454"/>
      <c r="AS10" s="454"/>
    </row>
    <row r="11" spans="1:45" s="417" customFormat="1" ht="18.75">
      <c r="A11" s="417" t="s">
        <v>689</v>
      </c>
      <c r="B11" s="393"/>
      <c r="C11" s="417" t="s">
        <v>424</v>
      </c>
      <c r="D11" s="463">
        <f>SUM(D9:D10)</f>
        <v>23929746.120000001</v>
      </c>
      <c r="E11" s="463">
        <f t="shared" ref="E11:Q11" si="0">SUM(E9:E10)</f>
        <v>0</v>
      </c>
      <c r="F11" s="463">
        <f t="shared" si="0"/>
        <v>0</v>
      </c>
      <c r="G11" s="463">
        <f t="shared" si="0"/>
        <v>7903598.3100000024</v>
      </c>
      <c r="H11" s="463">
        <f t="shared" si="0"/>
        <v>0</v>
      </c>
      <c r="I11" s="463">
        <f t="shared" si="0"/>
        <v>56639343</v>
      </c>
      <c r="J11" s="463">
        <f t="shared" si="0"/>
        <v>0</v>
      </c>
      <c r="K11" s="463">
        <f t="shared" si="0"/>
        <v>12213219</v>
      </c>
      <c r="L11" s="463">
        <f t="shared" si="0"/>
        <v>0</v>
      </c>
      <c r="M11" s="463">
        <f t="shared" si="0"/>
        <v>13737004</v>
      </c>
      <c r="N11" s="463">
        <f t="shared" si="0"/>
        <v>0</v>
      </c>
      <c r="O11" s="463">
        <f t="shared" si="0"/>
        <v>13880782</v>
      </c>
      <c r="P11" s="463">
        <f t="shared" si="0"/>
        <v>0</v>
      </c>
      <c r="Q11" s="463" t="e">
        <f t="shared" si="0"/>
        <v>#REF!</v>
      </c>
      <c r="R11" s="752">
        <f>SUM(R9:R10)</f>
        <v>185329896.96000001</v>
      </c>
      <c r="S11" s="464" t="e">
        <f>Q11-R11</f>
        <v>#REF!</v>
      </c>
      <c r="T11" s="454"/>
      <c r="U11" s="454"/>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4"/>
    </row>
    <row r="12" spans="1:45" s="417" customFormat="1" ht="12" customHeight="1">
      <c r="B12" s="393"/>
      <c r="D12" s="458"/>
      <c r="E12" s="460"/>
      <c r="F12" s="454"/>
      <c r="G12" s="460"/>
      <c r="H12" s="458"/>
      <c r="I12" s="460"/>
      <c r="J12" s="458"/>
      <c r="K12" s="460"/>
      <c r="L12" s="458"/>
      <c r="M12" s="460"/>
      <c r="N12" s="458"/>
      <c r="O12" s="460"/>
      <c r="P12" s="461"/>
      <c r="Q12" s="467"/>
      <c r="R12" s="753"/>
      <c r="S12" s="467"/>
      <c r="T12" s="454"/>
      <c r="U12" s="454"/>
      <c r="V12" s="454"/>
      <c r="W12" s="454"/>
      <c r="X12" s="454"/>
      <c r="Y12" s="454"/>
      <c r="Z12" s="454"/>
      <c r="AA12" s="454"/>
      <c r="AB12" s="454"/>
      <c r="AC12" s="454"/>
      <c r="AD12" s="454"/>
      <c r="AE12" s="454"/>
      <c r="AF12" s="454"/>
      <c r="AG12" s="454"/>
      <c r="AH12" s="454"/>
      <c r="AI12" s="454"/>
      <c r="AJ12" s="454"/>
      <c r="AK12" s="454"/>
      <c r="AL12" s="454"/>
      <c r="AM12" s="454"/>
      <c r="AN12" s="454"/>
      <c r="AO12" s="454"/>
      <c r="AP12" s="454"/>
      <c r="AQ12" s="454"/>
      <c r="AR12" s="454"/>
      <c r="AS12" s="454"/>
    </row>
    <row r="13" spans="1:45" s="454" customFormat="1" ht="15.75" customHeight="1">
      <c r="A13" s="454" t="s">
        <v>426</v>
      </c>
      <c r="B13" s="585"/>
      <c r="D13" s="458"/>
      <c r="E13" s="460"/>
      <c r="G13" s="460"/>
      <c r="H13" s="458"/>
      <c r="I13" s="460"/>
      <c r="J13" s="458"/>
      <c r="K13" s="460"/>
      <c r="L13" s="458"/>
      <c r="M13" s="460"/>
      <c r="N13" s="458"/>
      <c r="O13" s="460"/>
      <c r="P13" s="461"/>
      <c r="Q13" s="467"/>
      <c r="R13" s="753"/>
      <c r="S13" s="467"/>
    </row>
    <row r="14" spans="1:45" s="454" customFormat="1" ht="16.5" customHeight="1">
      <c r="A14" s="454" t="s">
        <v>586</v>
      </c>
      <c r="B14" s="701" t="s">
        <v>585</v>
      </c>
      <c r="D14" s="458"/>
      <c r="E14" s="468"/>
      <c r="G14" s="468"/>
      <c r="H14" s="468"/>
      <c r="I14" s="468"/>
      <c r="J14" s="468"/>
      <c r="K14" s="468"/>
      <c r="L14" s="468"/>
      <c r="M14" s="468"/>
      <c r="N14" s="468"/>
      <c r="O14" s="468"/>
      <c r="Q14" s="461"/>
      <c r="R14" s="751"/>
      <c r="S14" s="461"/>
    </row>
    <row r="15" spans="1:45" s="454" customFormat="1" ht="20.100000000000001" customHeight="1">
      <c r="A15" s="454" t="s">
        <v>427</v>
      </c>
      <c r="B15" s="585">
        <f>'All Funds Sch A Left'!B15</f>
        <v>4.1193</v>
      </c>
      <c r="D15" s="460">
        <v>0</v>
      </c>
      <c r="E15" s="460">
        <v>0</v>
      </c>
      <c r="G15" s="460">
        <v>0</v>
      </c>
      <c r="H15" s="458"/>
      <c r="I15" s="458">
        <v>0</v>
      </c>
      <c r="J15" s="458"/>
      <c r="K15" s="458">
        <v>0</v>
      </c>
      <c r="L15" s="458"/>
      <c r="M15" s="458">
        <v>0</v>
      </c>
      <c r="N15" s="458"/>
      <c r="O15" s="458">
        <v>0</v>
      </c>
      <c r="P15" s="461"/>
      <c r="Q15" s="461" t="e">
        <f>SUM('All Funds Sch A Left'!D15:J15)+SUM('All Funds Sch A Right'!D15:O15)</f>
        <v>#REF!</v>
      </c>
      <c r="R15" s="751">
        <v>98786037</v>
      </c>
      <c r="S15" s="461" t="e">
        <f t="shared" ref="S15:S28" si="1">Q15-R15</f>
        <v>#REF!</v>
      </c>
    </row>
    <row r="16" spans="1:45" s="454" customFormat="1" ht="20.100000000000001" hidden="1" customHeight="1">
      <c r="A16" s="454" t="s">
        <v>428</v>
      </c>
      <c r="B16" s="585" t="s">
        <v>684</v>
      </c>
      <c r="D16" s="460">
        <v>0</v>
      </c>
      <c r="E16" s="460">
        <v>0</v>
      </c>
      <c r="G16" s="460">
        <v>0</v>
      </c>
      <c r="H16" s="458"/>
      <c r="I16" s="458">
        <v>0</v>
      </c>
      <c r="J16" s="458"/>
      <c r="K16" s="458">
        <v>0</v>
      </c>
      <c r="L16" s="458"/>
      <c r="M16" s="458">
        <v>0</v>
      </c>
      <c r="N16" s="458"/>
      <c r="O16" s="458">
        <v>0</v>
      </c>
      <c r="P16" s="461"/>
      <c r="Q16" s="461" t="e">
        <f>SUM(#REF!,D16:O16)</f>
        <v>#REF!</v>
      </c>
      <c r="R16" s="751">
        <v>0</v>
      </c>
      <c r="S16" s="461" t="e">
        <f t="shared" si="1"/>
        <v>#REF!</v>
      </c>
    </row>
    <row r="17" spans="1:20" s="454" customFormat="1" ht="20.100000000000001" hidden="1" customHeight="1">
      <c r="A17" s="454" t="s">
        <v>429</v>
      </c>
      <c r="B17" s="586" t="s">
        <v>429</v>
      </c>
      <c r="D17" s="460">
        <v>0</v>
      </c>
      <c r="E17" s="460">
        <v>0</v>
      </c>
      <c r="G17" s="460">
        <v>0</v>
      </c>
      <c r="H17" s="458"/>
      <c r="I17" s="460">
        <v>0</v>
      </c>
      <c r="J17" s="458"/>
      <c r="K17" s="460">
        <v>0</v>
      </c>
      <c r="L17" s="458"/>
      <c r="M17" s="460">
        <v>0</v>
      </c>
      <c r="N17" s="458"/>
      <c r="O17" s="460">
        <v>0</v>
      </c>
      <c r="P17" s="461"/>
      <c r="Q17" s="461" t="e">
        <f>SUM(#REF!,D17:O17)</f>
        <v>#REF!</v>
      </c>
      <c r="R17" s="751">
        <v>0</v>
      </c>
      <c r="S17" s="461" t="e">
        <f t="shared" si="1"/>
        <v>#REF!</v>
      </c>
    </row>
    <row r="18" spans="1:20" s="454" customFormat="1" ht="20.100000000000001" hidden="1" customHeight="1">
      <c r="A18" s="454" t="s">
        <v>430</v>
      </c>
      <c r="B18" s="585" t="s">
        <v>685</v>
      </c>
      <c r="D18" s="460">
        <v>0</v>
      </c>
      <c r="E18" s="460">
        <v>0</v>
      </c>
      <c r="G18" s="460">
        <v>0</v>
      </c>
      <c r="H18" s="458"/>
      <c r="I18" s="460">
        <v>0</v>
      </c>
      <c r="J18" s="458"/>
      <c r="K18" s="460">
        <v>0</v>
      </c>
      <c r="L18" s="458"/>
      <c r="M18" s="460">
        <v>0</v>
      </c>
      <c r="N18" s="458"/>
      <c r="O18" s="460">
        <v>0</v>
      </c>
      <c r="P18" s="461"/>
      <c r="Q18" s="461" t="e">
        <f>SUM(#REF!,D18:O18)</f>
        <v>#REF!</v>
      </c>
      <c r="R18" s="751">
        <v>0</v>
      </c>
      <c r="S18" s="461" t="e">
        <f t="shared" si="1"/>
        <v>#REF!</v>
      </c>
    </row>
    <row r="19" spans="1:20" s="454" customFormat="1" ht="20.100000000000001" customHeight="1">
      <c r="A19" s="454" t="s">
        <v>431</v>
      </c>
      <c r="B19" s="586">
        <f>'All Funds Sch A Left'!B19</f>
        <v>1</v>
      </c>
      <c r="D19" s="460">
        <v>0</v>
      </c>
      <c r="E19" s="460">
        <v>0</v>
      </c>
      <c r="G19" s="460">
        <v>0</v>
      </c>
      <c r="H19" s="458"/>
      <c r="I19" s="460">
        <v>0</v>
      </c>
      <c r="J19" s="458"/>
      <c r="K19" s="460">
        <v>0</v>
      </c>
      <c r="L19" s="458"/>
      <c r="M19" s="460">
        <v>0</v>
      </c>
      <c r="N19" s="458"/>
      <c r="O19" s="460">
        <v>0</v>
      </c>
      <c r="P19" s="461"/>
      <c r="Q19" s="461">
        <f>SUM('All Funds Sch A Left'!D19:J19)+SUM('All Funds Sch A Right'!D19:O19)</f>
        <v>80098.3</v>
      </c>
      <c r="R19" s="751">
        <v>71289</v>
      </c>
      <c r="S19" s="461">
        <f t="shared" si="1"/>
        <v>8809.3000000000029</v>
      </c>
    </row>
    <row r="20" spans="1:20" s="454" customFormat="1" ht="20.100000000000001" customHeight="1">
      <c r="A20" s="454" t="s">
        <v>432</v>
      </c>
      <c r="B20" s="586"/>
      <c r="D20" s="460">
        <v>0</v>
      </c>
      <c r="E20" s="460">
        <v>0</v>
      </c>
      <c r="G20" s="460">
        <v>0</v>
      </c>
      <c r="H20" s="458"/>
      <c r="I20" s="460">
        <v>0</v>
      </c>
      <c r="J20" s="458"/>
      <c r="K20" s="460">
        <v>0</v>
      </c>
      <c r="L20" s="458"/>
      <c r="M20" s="460">
        <v>0</v>
      </c>
      <c r="N20" s="458"/>
      <c r="O20" s="460">
        <v>0</v>
      </c>
      <c r="P20" s="461"/>
      <c r="Q20" s="461">
        <f>SUM('All Funds Sch A Left'!D20:J20)+SUM('All Funds Sch A Right'!D20:O20)</f>
        <v>4882276</v>
      </c>
      <c r="R20" s="751">
        <v>4882276</v>
      </c>
      <c r="S20" s="461">
        <f t="shared" si="1"/>
        <v>0</v>
      </c>
    </row>
    <row r="21" spans="1:20" s="454" customFormat="1" ht="20.100000000000001" customHeight="1">
      <c r="A21" s="454" t="s">
        <v>433</v>
      </c>
      <c r="B21" s="585"/>
      <c r="D21" s="460">
        <v>0</v>
      </c>
      <c r="E21" s="460">
        <v>0</v>
      </c>
      <c r="G21" s="460">
        <v>0</v>
      </c>
      <c r="H21" s="458"/>
      <c r="I21" s="458">
        <v>0</v>
      </c>
      <c r="J21" s="458"/>
      <c r="K21" s="458">
        <v>0</v>
      </c>
      <c r="L21" s="458"/>
      <c r="M21" s="458">
        <v>0</v>
      </c>
      <c r="N21" s="458"/>
      <c r="O21" s="458">
        <v>0</v>
      </c>
      <c r="P21" s="461"/>
      <c r="Q21" s="461">
        <f>SUM('All Funds Sch A Left'!D21:J21)+SUM('All Funds Sch A Right'!D21:O21)</f>
        <v>-1600000</v>
      </c>
      <c r="R21" s="751">
        <v>16900000</v>
      </c>
      <c r="S21" s="461">
        <f t="shared" si="1"/>
        <v>-18500000</v>
      </c>
    </row>
    <row r="22" spans="1:20" s="454" customFormat="1" ht="20.100000000000001" customHeight="1">
      <c r="A22" s="454" t="s">
        <v>434</v>
      </c>
      <c r="B22" s="585"/>
      <c r="D22" s="460">
        <v>0</v>
      </c>
      <c r="E22" s="460">
        <v>0</v>
      </c>
      <c r="G22" s="460">
        <v>0</v>
      </c>
      <c r="H22" s="458"/>
      <c r="I22" s="458">
        <v>0</v>
      </c>
      <c r="J22" s="458"/>
      <c r="K22" s="458">
        <v>0</v>
      </c>
      <c r="L22" s="458"/>
      <c r="M22" s="458">
        <v>0</v>
      </c>
      <c r="N22" s="458"/>
      <c r="O22" s="458">
        <v>0</v>
      </c>
      <c r="P22" s="461"/>
      <c r="Q22" s="461">
        <f>SUM('All Funds Sch A Left'!D22:J22)+SUM('All Funds Sch A Right'!D22:O22)</f>
        <v>551832</v>
      </c>
      <c r="R22" s="751">
        <v>35718663</v>
      </c>
      <c r="S22" s="461">
        <f t="shared" si="1"/>
        <v>-35166831</v>
      </c>
    </row>
    <row r="23" spans="1:20" s="454" customFormat="1" ht="20.100000000000001" customHeight="1">
      <c r="A23" s="454" t="s">
        <v>435</v>
      </c>
      <c r="B23" s="585"/>
      <c r="D23" s="460">
        <v>0</v>
      </c>
      <c r="E23" s="460">
        <v>0</v>
      </c>
      <c r="G23" s="460">
        <v>0</v>
      </c>
      <c r="H23" s="458"/>
      <c r="I23" s="458">
        <v>0</v>
      </c>
      <c r="J23" s="458"/>
      <c r="K23" s="458">
        <v>0</v>
      </c>
      <c r="L23" s="458"/>
      <c r="M23" s="458">
        <v>0</v>
      </c>
      <c r="N23" s="458"/>
      <c r="O23" s="458">
        <v>0</v>
      </c>
      <c r="P23" s="461"/>
      <c r="Q23" s="461" t="e">
        <f>SUM('All Funds Sch A Left'!D23:J23)+SUM('All Funds Sch A Right'!D23:O23)</f>
        <v>#REF!</v>
      </c>
      <c r="R23" s="751">
        <v>14092455</v>
      </c>
      <c r="S23" s="461" t="e">
        <f t="shared" si="1"/>
        <v>#REF!</v>
      </c>
    </row>
    <row r="24" spans="1:20" s="454" customFormat="1" ht="20.100000000000001" customHeight="1">
      <c r="A24" s="454" t="s">
        <v>408</v>
      </c>
      <c r="B24" s="585"/>
      <c r="D24" s="460">
        <v>0</v>
      </c>
      <c r="E24" s="460">
        <v>0</v>
      </c>
      <c r="G24" s="460">
        <v>0</v>
      </c>
      <c r="H24" s="458"/>
      <c r="I24" s="458">
        <v>0</v>
      </c>
      <c r="J24" s="458"/>
      <c r="K24" s="458">
        <v>0</v>
      </c>
      <c r="L24" s="458"/>
      <c r="M24" s="458">
        <v>0</v>
      </c>
      <c r="N24" s="458"/>
      <c r="O24" s="458">
        <v>0</v>
      </c>
      <c r="P24" s="461"/>
      <c r="Q24" s="461">
        <f>SUM('All Funds Sch A Left'!D24:J24)+SUM('All Funds Sch A Right'!D24:O24)</f>
        <v>18041609</v>
      </c>
      <c r="R24" s="751">
        <v>36142678</v>
      </c>
      <c r="S24" s="461">
        <f t="shared" si="1"/>
        <v>-18101069</v>
      </c>
    </row>
    <row r="25" spans="1:20" s="454" customFormat="1" ht="20.100000000000001" customHeight="1">
      <c r="A25" s="454" t="s">
        <v>114</v>
      </c>
      <c r="B25" s="585"/>
      <c r="D25" s="460">
        <v>0</v>
      </c>
      <c r="E25" s="458">
        <f>'Arts Science District Garage'!L8</f>
        <v>1155994.8400000001</v>
      </c>
      <c r="G25" s="458">
        <f>Sanitation!L9</f>
        <v>15162899</v>
      </c>
      <c r="H25" s="458"/>
      <c r="I25" s="458">
        <f>'Water and Sewer'!L8+'Central Region'!L8</f>
        <v>122220191</v>
      </c>
      <c r="J25" s="458"/>
      <c r="K25" s="458">
        <f>Stormwater!L8</f>
        <v>0</v>
      </c>
      <c r="L25" s="458"/>
      <c r="M25" s="458">
        <f>'Parking System'!L8</f>
        <v>11903785</v>
      </c>
      <c r="N25" s="458"/>
      <c r="O25" s="458">
        <f>Airport!L9</f>
        <v>3796401.65</v>
      </c>
      <c r="P25" s="461"/>
      <c r="Q25" s="461" t="e">
        <f>SUM('All Funds Sch A Left'!D25:J25)+SUM('All Funds Sch A Right'!D25:O25)</f>
        <v>#REF!</v>
      </c>
      <c r="R25" s="751">
        <v>174579217</v>
      </c>
      <c r="S25" s="461" t="e">
        <f t="shared" si="1"/>
        <v>#REF!</v>
      </c>
    </row>
    <row r="26" spans="1:20" s="454" customFormat="1" ht="20.100000000000001" customHeight="1">
      <c r="A26" s="454" t="s">
        <v>436</v>
      </c>
      <c r="B26" s="585"/>
      <c r="D26" s="460">
        <v>0</v>
      </c>
      <c r="E26" s="460">
        <v>0</v>
      </c>
      <c r="G26" s="460">
        <v>0</v>
      </c>
      <c r="H26" s="458"/>
      <c r="I26" s="458">
        <v>0</v>
      </c>
      <c r="J26" s="458"/>
      <c r="K26" s="458">
        <v>0</v>
      </c>
      <c r="L26" s="458"/>
      <c r="M26" s="458">
        <f>'Parking System'!L9</f>
        <v>3038435</v>
      </c>
      <c r="N26" s="458"/>
      <c r="O26" s="458">
        <v>0</v>
      </c>
      <c r="P26" s="461"/>
      <c r="Q26" s="461">
        <f>SUM('All Funds Sch A Left'!D26:J26)+SUM('All Funds Sch A Right'!D26:O26)</f>
        <v>3038435</v>
      </c>
      <c r="R26" s="751">
        <v>5580961</v>
      </c>
      <c r="S26" s="461">
        <f t="shared" si="1"/>
        <v>-2542526</v>
      </c>
    </row>
    <row r="27" spans="1:20" s="454" customFormat="1" ht="20.100000000000001" customHeight="1">
      <c r="A27" s="454" t="s">
        <v>437</v>
      </c>
      <c r="B27" s="585"/>
      <c r="D27" s="458">
        <f>Cemtery!L8</f>
        <v>2200000</v>
      </c>
      <c r="E27" s="458">
        <v>0</v>
      </c>
      <c r="G27" s="460" t="e">
        <f>Sanitation!#REF!</f>
        <v>#REF!</v>
      </c>
      <c r="H27" s="458"/>
      <c r="I27" s="458">
        <f>'Water and Sewer'!L9+'Central Region'!L9</f>
        <v>6500315</v>
      </c>
      <c r="J27" s="458"/>
      <c r="K27" s="458">
        <f>Stormwater!L10</f>
        <v>170400</v>
      </c>
      <c r="L27" s="458"/>
      <c r="M27" s="458">
        <f>'Parking System'!L10</f>
        <v>382891.66</v>
      </c>
      <c r="N27" s="458"/>
      <c r="O27" s="458">
        <f>Airport!L10</f>
        <v>3899193.27</v>
      </c>
      <c r="P27" s="461"/>
      <c r="Q27" s="461" t="e">
        <f>SUM('All Funds Sch A Left'!D27:J27)+SUM('All Funds Sch A Right'!D27:O27)</f>
        <v>#REF!</v>
      </c>
      <c r="R27" s="751">
        <v>81284191</v>
      </c>
      <c r="S27" s="461" t="e">
        <f t="shared" si="1"/>
        <v>#REF!</v>
      </c>
    </row>
    <row r="28" spans="1:20" s="454" customFormat="1" ht="20.100000000000001" customHeight="1">
      <c r="A28" s="454" t="s">
        <v>438</v>
      </c>
      <c r="B28" s="585"/>
      <c r="C28" s="454" t="s">
        <v>424</v>
      </c>
      <c r="D28" s="463">
        <f t="shared" ref="D28:P28" si="2">SUM(D14:D27)</f>
        <v>2200000</v>
      </c>
      <c r="E28" s="471">
        <f t="shared" si="2"/>
        <v>1155994.8400000001</v>
      </c>
      <c r="F28" s="471">
        <f t="shared" si="2"/>
        <v>0</v>
      </c>
      <c r="G28" s="471" t="e">
        <f t="shared" si="2"/>
        <v>#REF!</v>
      </c>
      <c r="H28" s="471">
        <f t="shared" si="2"/>
        <v>0</v>
      </c>
      <c r="I28" s="471">
        <f t="shared" si="2"/>
        <v>128720506</v>
      </c>
      <c r="J28" s="471">
        <f t="shared" si="2"/>
        <v>0</v>
      </c>
      <c r="K28" s="471">
        <f t="shared" si="2"/>
        <v>170400</v>
      </c>
      <c r="L28" s="471">
        <f t="shared" si="2"/>
        <v>0</v>
      </c>
      <c r="M28" s="471">
        <f t="shared" si="2"/>
        <v>15325111.66</v>
      </c>
      <c r="N28" s="471">
        <f t="shared" si="2"/>
        <v>0</v>
      </c>
      <c r="O28" s="471">
        <f t="shared" si="2"/>
        <v>7695594.9199999999</v>
      </c>
      <c r="P28" s="471">
        <f t="shared" si="2"/>
        <v>0</v>
      </c>
      <c r="Q28" s="464" t="e">
        <f>SUM('All Funds Sch A Left'!D29:J29)+SUM('All Funds Sch A Right'!D28:O28)</f>
        <v>#REF!</v>
      </c>
      <c r="R28" s="754">
        <f>SUM(R15:R27)</f>
        <v>468037767</v>
      </c>
      <c r="S28" s="471" t="e">
        <f t="shared" si="1"/>
        <v>#REF!</v>
      </c>
    </row>
    <row r="29" spans="1:20" s="454" customFormat="1" ht="15.95" customHeight="1">
      <c r="B29" s="585"/>
      <c r="D29" s="458"/>
      <c r="E29" s="468"/>
      <c r="G29" s="468"/>
      <c r="H29" s="468"/>
      <c r="I29" s="468"/>
      <c r="J29" s="468"/>
      <c r="K29" s="468"/>
      <c r="L29" s="468"/>
      <c r="M29" s="468"/>
      <c r="N29" s="468"/>
      <c r="O29" s="468"/>
      <c r="Q29" s="461"/>
      <c r="R29" s="751"/>
      <c r="S29" s="461"/>
    </row>
    <row r="30" spans="1:20" s="454" customFormat="1" ht="20.100000000000001" customHeight="1">
      <c r="A30" s="454" t="s">
        <v>439</v>
      </c>
      <c r="B30" s="585"/>
      <c r="C30" s="454" t="s">
        <v>424</v>
      </c>
      <c r="D30" s="470">
        <v>0</v>
      </c>
      <c r="E30" s="470">
        <v>0</v>
      </c>
      <c r="G30" s="470">
        <v>0</v>
      </c>
      <c r="H30" s="458"/>
      <c r="I30" s="470">
        <f>'Water and Sewer'!L10</f>
        <v>0</v>
      </c>
      <c r="J30" s="458"/>
      <c r="K30" s="470">
        <v>0</v>
      </c>
      <c r="L30" s="458"/>
      <c r="M30" s="470">
        <v>0</v>
      </c>
      <c r="N30" s="458"/>
      <c r="O30" s="473">
        <v>0</v>
      </c>
      <c r="P30" s="474"/>
      <c r="Q30" s="475" t="e">
        <f>SUM('All Funds Sch A Left'!D31:J31)+SUM('All Funds Sch A Right'!D30:O30)</f>
        <v>#REF!</v>
      </c>
      <c r="R30" s="755">
        <v>41979731.43</v>
      </c>
      <c r="S30" s="475" t="e">
        <f>Q30-R30</f>
        <v>#REF!</v>
      </c>
    </row>
    <row r="31" spans="1:20" s="454" customFormat="1" ht="10.5" customHeight="1">
      <c r="B31" s="585"/>
      <c r="D31" s="458"/>
      <c r="E31" s="458"/>
      <c r="G31" s="458"/>
      <c r="H31" s="458"/>
      <c r="I31" s="458"/>
      <c r="J31" s="458"/>
      <c r="K31" s="458"/>
      <c r="L31" s="458"/>
      <c r="M31" s="458"/>
      <c r="N31" s="458"/>
      <c r="O31" s="458"/>
      <c r="P31" s="461"/>
      <c r="Q31" s="461"/>
      <c r="R31" s="751"/>
      <c r="S31" s="461"/>
    </row>
    <row r="32" spans="1:20" s="454" customFormat="1" ht="21.95" customHeight="1" thickBot="1">
      <c r="A32" s="713" t="s">
        <v>21</v>
      </c>
      <c r="B32" s="716"/>
      <c r="C32" s="454" t="s">
        <v>424</v>
      </c>
      <c r="D32" s="477">
        <f>D11+D28+D30</f>
        <v>26129746.120000001</v>
      </c>
      <c r="E32" s="477">
        <f>E11+E28+E30</f>
        <v>1155994.8400000001</v>
      </c>
      <c r="G32" s="477" t="e">
        <f>G11+G28+G30</f>
        <v>#REF!</v>
      </c>
      <c r="H32" s="458"/>
      <c r="I32" s="477">
        <f>I11+I28+I30</f>
        <v>185359849</v>
      </c>
      <c r="J32" s="458"/>
      <c r="K32" s="477">
        <f>K11+K28+K30</f>
        <v>12383619</v>
      </c>
      <c r="L32" s="458"/>
      <c r="M32" s="477">
        <f>M11+M28+M30</f>
        <v>29062115.66</v>
      </c>
      <c r="N32" s="458"/>
      <c r="O32" s="477">
        <f>O11+O28+O30</f>
        <v>21576376.920000002</v>
      </c>
      <c r="P32" s="461"/>
      <c r="Q32" s="477" t="e">
        <f>Q11+Q28+Q30</f>
        <v>#REF!</v>
      </c>
      <c r="R32" s="756">
        <v>695347395.38999999</v>
      </c>
      <c r="S32" s="477" t="e">
        <f>Q32-R32</f>
        <v>#REF!</v>
      </c>
      <c r="T32" s="465"/>
    </row>
    <row r="33" spans="1:45" s="454" customFormat="1" ht="10.5" customHeight="1" thickTop="1">
      <c r="B33" s="585"/>
      <c r="D33" s="458"/>
      <c r="E33" s="458"/>
      <c r="F33" s="478"/>
      <c r="G33" s="458"/>
      <c r="H33" s="458"/>
      <c r="I33" s="458"/>
      <c r="J33" s="458"/>
      <c r="K33" s="458"/>
      <c r="L33" s="458"/>
      <c r="M33" s="458"/>
      <c r="N33" s="458"/>
      <c r="O33" s="458"/>
      <c r="P33" s="461"/>
      <c r="Q33" s="461"/>
      <c r="R33" s="751"/>
      <c r="S33" s="461"/>
      <c r="T33" s="479"/>
    </row>
    <row r="34" spans="1:45" s="454" customFormat="1" ht="14.1" customHeight="1">
      <c r="A34" s="685"/>
      <c r="B34" s="585"/>
      <c r="D34" s="458"/>
      <c r="E34" s="458"/>
      <c r="G34" s="458"/>
      <c r="H34" s="458"/>
      <c r="I34" s="458"/>
      <c r="J34" s="458"/>
      <c r="K34" s="458"/>
      <c r="L34" s="458"/>
      <c r="M34" s="458"/>
      <c r="N34" s="458"/>
      <c r="O34" s="458"/>
      <c r="P34" s="461"/>
      <c r="Q34" s="461"/>
      <c r="R34" s="751"/>
      <c r="S34" s="461"/>
    </row>
    <row r="35" spans="1:45" s="454" customFormat="1" ht="6.95" hidden="1" customHeight="1">
      <c r="B35" s="585"/>
      <c r="D35" s="458"/>
      <c r="E35" s="458"/>
      <c r="G35" s="458"/>
      <c r="H35" s="458"/>
      <c r="I35" s="458"/>
      <c r="J35" s="458"/>
      <c r="K35" s="458"/>
      <c r="L35" s="458"/>
      <c r="M35" s="458"/>
      <c r="N35" s="458"/>
      <c r="O35" s="458"/>
      <c r="P35" s="461"/>
      <c r="Q35" s="461"/>
      <c r="R35" s="751"/>
      <c r="S35" s="461"/>
    </row>
    <row r="36" spans="1:45" s="454" customFormat="1" ht="17.25" hidden="1" customHeight="1">
      <c r="A36" s="454" t="s">
        <v>577</v>
      </c>
      <c r="B36" s="585"/>
      <c r="D36" s="458"/>
      <c r="E36" s="458"/>
      <c r="G36" s="458"/>
      <c r="H36" s="458"/>
      <c r="I36" s="458"/>
      <c r="J36" s="458"/>
      <c r="K36" s="458"/>
      <c r="L36" s="458"/>
      <c r="M36" s="458"/>
      <c r="N36" s="458"/>
      <c r="O36" s="458"/>
      <c r="P36" s="461"/>
      <c r="Q36" s="461"/>
      <c r="R36" s="751"/>
      <c r="S36" s="461"/>
    </row>
    <row r="37" spans="1:45" s="454" customFormat="1" ht="20.100000000000001" hidden="1" customHeight="1">
      <c r="A37" s="454" t="s">
        <v>440</v>
      </c>
      <c r="B37" s="585"/>
      <c r="C37" s="454" t="s">
        <v>424</v>
      </c>
      <c r="D37" s="460"/>
      <c r="E37" s="458">
        <v>0</v>
      </c>
      <c r="G37" s="458">
        <v>0</v>
      </c>
      <c r="H37" s="458"/>
      <c r="I37" s="458">
        <v>0</v>
      </c>
      <c r="J37" s="458"/>
      <c r="K37" s="458">
        <v>0</v>
      </c>
      <c r="L37" s="458"/>
      <c r="M37" s="458">
        <v>0</v>
      </c>
      <c r="N37" s="458"/>
      <c r="O37" s="458">
        <v>0</v>
      </c>
      <c r="P37" s="461"/>
      <c r="Q37" s="467">
        <f>SUM(A37:D37,E37:O37)</f>
        <v>0</v>
      </c>
      <c r="R37" s="753">
        <v>0</v>
      </c>
      <c r="S37" s="467"/>
    </row>
    <row r="38" spans="1:45" s="454" customFormat="1" ht="20.100000000000001" hidden="1" customHeight="1">
      <c r="A38" s="454" t="s">
        <v>441</v>
      </c>
      <c r="B38" s="585"/>
      <c r="D38" s="458"/>
      <c r="E38" s="458">
        <v>0</v>
      </c>
      <c r="G38" s="458">
        <v>0</v>
      </c>
      <c r="H38" s="458"/>
      <c r="I38" s="458">
        <v>0</v>
      </c>
      <c r="J38" s="458"/>
      <c r="K38" s="458">
        <v>0</v>
      </c>
      <c r="L38" s="458"/>
      <c r="M38" s="458">
        <v>0</v>
      </c>
      <c r="N38" s="458"/>
      <c r="O38" s="458"/>
      <c r="P38" s="461"/>
      <c r="Q38" s="467">
        <f>SUM(A38:D38,E38:O38)</f>
        <v>0</v>
      </c>
      <c r="R38" s="753">
        <v>0</v>
      </c>
      <c r="S38" s="467"/>
    </row>
    <row r="39" spans="1:45" s="454" customFormat="1" ht="20.100000000000001" customHeight="1">
      <c r="A39" s="454" t="s">
        <v>442</v>
      </c>
      <c r="B39" s="585"/>
      <c r="D39" s="458">
        <v>0</v>
      </c>
      <c r="E39" s="458">
        <v>0</v>
      </c>
      <c r="G39" s="458">
        <v>0</v>
      </c>
      <c r="H39" s="458"/>
      <c r="I39" s="458">
        <v>0</v>
      </c>
      <c r="J39" s="458"/>
      <c r="K39" s="458">
        <v>0</v>
      </c>
      <c r="L39" s="458"/>
      <c r="M39" s="458">
        <v>0</v>
      </c>
      <c r="N39" s="458"/>
      <c r="O39" s="458">
        <v>0</v>
      </c>
      <c r="P39" s="461"/>
      <c r="Q39" s="461" t="e">
        <f>SUM('All Funds Sch A Left'!D40:J40)+SUM('All Funds Sch A Right'!D39:O39)</f>
        <v>#REF!</v>
      </c>
      <c r="R39" s="751">
        <v>3553726.88</v>
      </c>
      <c r="S39" s="461" t="e">
        <f t="shared" ref="S39:S67" si="3">Q39-R39</f>
        <v>#REF!</v>
      </c>
    </row>
    <row r="40" spans="1:45" s="417" customFormat="1" ht="20.100000000000001" customHeight="1">
      <c r="A40" s="417" t="s">
        <v>443</v>
      </c>
      <c r="B40" s="393"/>
      <c r="D40" s="458">
        <v>0</v>
      </c>
      <c r="E40" s="458">
        <v>0</v>
      </c>
      <c r="F40" s="454"/>
      <c r="G40" s="458">
        <v>0</v>
      </c>
      <c r="H40" s="458"/>
      <c r="I40" s="458">
        <v>0</v>
      </c>
      <c r="J40" s="458"/>
      <c r="K40" s="458">
        <v>0</v>
      </c>
      <c r="L40" s="458"/>
      <c r="M40" s="458">
        <v>0</v>
      </c>
      <c r="N40" s="458"/>
      <c r="O40" s="458">
        <v>0</v>
      </c>
      <c r="P40" s="461"/>
      <c r="Q40" s="461" t="e">
        <f>SUM('All Funds Sch A Left'!D41:J41)+SUM('All Funds Sch A Right'!D40:O40)</f>
        <v>#REF!</v>
      </c>
      <c r="R40" s="751">
        <v>873900.74</v>
      </c>
      <c r="S40" s="461" t="e">
        <f t="shared" si="3"/>
        <v>#REF!</v>
      </c>
      <c r="T40" s="454"/>
      <c r="U40" s="454"/>
      <c r="V40" s="454"/>
      <c r="W40" s="454"/>
      <c r="X40" s="454"/>
      <c r="Y40" s="454"/>
      <c r="Z40" s="454"/>
      <c r="AA40" s="454"/>
      <c r="AB40" s="454"/>
      <c r="AC40" s="454"/>
      <c r="AD40" s="454"/>
      <c r="AE40" s="454"/>
      <c r="AF40" s="454"/>
      <c r="AG40" s="454"/>
      <c r="AH40" s="454"/>
      <c r="AI40" s="454"/>
      <c r="AJ40" s="454"/>
      <c r="AK40" s="454"/>
      <c r="AL40" s="454"/>
      <c r="AM40" s="454"/>
      <c r="AN40" s="454"/>
      <c r="AO40" s="454"/>
      <c r="AP40" s="454"/>
      <c r="AQ40" s="454"/>
      <c r="AR40" s="454"/>
      <c r="AS40" s="454"/>
    </row>
    <row r="41" spans="1:45" s="417" customFormat="1" ht="20.100000000000001" customHeight="1">
      <c r="A41" s="417" t="s">
        <v>444</v>
      </c>
      <c r="B41" s="393"/>
      <c r="D41" s="458">
        <v>0</v>
      </c>
      <c r="E41" s="458">
        <v>0</v>
      </c>
      <c r="F41" s="454"/>
      <c r="G41" s="458">
        <v>0</v>
      </c>
      <c r="H41" s="458"/>
      <c r="I41" s="458">
        <v>0</v>
      </c>
      <c r="J41" s="458"/>
      <c r="K41" s="458">
        <v>0</v>
      </c>
      <c r="L41" s="458"/>
      <c r="M41" s="458">
        <v>0</v>
      </c>
      <c r="N41" s="458"/>
      <c r="O41" s="458">
        <v>0</v>
      </c>
      <c r="P41" s="461"/>
      <c r="Q41" s="461" t="e">
        <f>SUM('All Funds Sch A Left'!D42:J42)+SUM('All Funds Sch A Right'!D41:O41)</f>
        <v>#REF!</v>
      </c>
      <c r="R41" s="751">
        <v>1168675</v>
      </c>
      <c r="S41" s="461" t="e">
        <f t="shared" si="3"/>
        <v>#REF!</v>
      </c>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row>
    <row r="42" spans="1:45" s="417" customFormat="1" ht="20.100000000000001" customHeight="1">
      <c r="A42" s="417" t="s">
        <v>445</v>
      </c>
      <c r="B42" s="393"/>
      <c r="D42" s="458">
        <v>0</v>
      </c>
      <c r="E42" s="458">
        <v>0</v>
      </c>
      <c r="F42" s="454"/>
      <c r="G42" s="458">
        <v>0</v>
      </c>
      <c r="H42" s="458"/>
      <c r="I42" s="458">
        <v>0</v>
      </c>
      <c r="J42" s="458"/>
      <c r="K42" s="458">
        <v>0</v>
      </c>
      <c r="L42" s="458"/>
      <c r="M42" s="458">
        <v>0</v>
      </c>
      <c r="N42" s="458"/>
      <c r="O42" s="458">
        <v>0</v>
      </c>
      <c r="P42" s="461"/>
      <c r="Q42" s="461" t="e">
        <f>SUM('All Funds Sch A Left'!D43:J43)+SUM('All Funds Sch A Right'!D42:O42)</f>
        <v>#REF!</v>
      </c>
      <c r="R42" s="751">
        <v>1120446.98</v>
      </c>
      <c r="S42" s="461" t="e">
        <f t="shared" si="3"/>
        <v>#REF!</v>
      </c>
      <c r="T42" s="454"/>
      <c r="U42" s="454"/>
      <c r="V42" s="454"/>
      <c r="W42" s="454"/>
      <c r="X42" s="454"/>
      <c r="Y42" s="454"/>
      <c r="Z42" s="454"/>
      <c r="AA42" s="454"/>
      <c r="AB42" s="454"/>
      <c r="AC42" s="454"/>
      <c r="AD42" s="454"/>
      <c r="AE42" s="454"/>
      <c r="AF42" s="454"/>
      <c r="AG42" s="454"/>
      <c r="AH42" s="454"/>
      <c r="AI42" s="454"/>
      <c r="AJ42" s="454"/>
      <c r="AK42" s="454"/>
      <c r="AL42" s="454"/>
      <c r="AM42" s="454"/>
      <c r="AN42" s="454"/>
      <c r="AO42" s="454"/>
      <c r="AP42" s="454"/>
      <c r="AQ42" s="454"/>
      <c r="AR42" s="454"/>
      <c r="AS42" s="454"/>
    </row>
    <row r="43" spans="1:45" s="417" customFormat="1" ht="20.100000000000001" customHeight="1">
      <c r="A43" s="417" t="s">
        <v>446</v>
      </c>
      <c r="B43" s="393"/>
      <c r="D43" s="458">
        <v>0</v>
      </c>
      <c r="E43" s="458">
        <v>0</v>
      </c>
      <c r="F43" s="454"/>
      <c r="G43" s="458">
        <v>0</v>
      </c>
      <c r="H43" s="458"/>
      <c r="I43" s="458">
        <v>0</v>
      </c>
      <c r="J43" s="458"/>
      <c r="K43" s="458">
        <v>0</v>
      </c>
      <c r="L43" s="458"/>
      <c r="M43" s="458">
        <v>0</v>
      </c>
      <c r="N43" s="458"/>
      <c r="O43" s="458">
        <v>0</v>
      </c>
      <c r="P43" s="461"/>
      <c r="Q43" s="461" t="e">
        <f>SUM('All Funds Sch A Left'!D44:J44)+SUM('All Funds Sch A Right'!D43:O43)</f>
        <v>#REF!</v>
      </c>
      <c r="R43" s="751">
        <v>4558483.5599999996</v>
      </c>
      <c r="S43" s="461" t="e">
        <f t="shared" si="3"/>
        <v>#REF!</v>
      </c>
      <c r="T43" s="454"/>
      <c r="U43" s="454"/>
      <c r="V43" s="454"/>
      <c r="W43" s="454"/>
      <c r="X43" s="454"/>
      <c r="Y43" s="454"/>
      <c r="Z43" s="454"/>
      <c r="AA43" s="454"/>
      <c r="AB43" s="454"/>
      <c r="AC43" s="454"/>
      <c r="AD43" s="454"/>
      <c r="AE43" s="454"/>
      <c r="AF43" s="454"/>
      <c r="AG43" s="454"/>
      <c r="AH43" s="454"/>
      <c r="AI43" s="454"/>
      <c r="AJ43" s="454"/>
      <c r="AK43" s="454"/>
      <c r="AL43" s="454"/>
      <c r="AM43" s="454"/>
      <c r="AN43" s="454"/>
      <c r="AO43" s="454"/>
      <c r="AP43" s="454"/>
      <c r="AQ43" s="454"/>
      <c r="AR43" s="454"/>
      <c r="AS43" s="454"/>
    </row>
    <row r="44" spans="1:45" ht="18" hidden="1" customHeight="1">
      <c r="A44" s="365"/>
      <c r="B44" s="395"/>
      <c r="C44" s="365"/>
      <c r="D44" s="458">
        <v>0</v>
      </c>
      <c r="E44" s="458">
        <v>0</v>
      </c>
      <c r="F44" s="454"/>
      <c r="G44" s="458">
        <v>0</v>
      </c>
      <c r="H44" s="458"/>
      <c r="I44" s="458">
        <v>0</v>
      </c>
      <c r="J44" s="458"/>
      <c r="K44" s="458">
        <v>0</v>
      </c>
      <c r="L44" s="458"/>
      <c r="M44" s="458">
        <v>0</v>
      </c>
      <c r="N44" s="458"/>
      <c r="O44" s="458">
        <v>0</v>
      </c>
      <c r="Q44" s="461">
        <f>SUM('All Funds Sch A Left'!D45:J45)+SUM('All Funds Sch A Right'!D44:O44)</f>
        <v>0</v>
      </c>
      <c r="R44" s="751">
        <v>0</v>
      </c>
      <c r="S44" s="461">
        <f t="shared" si="3"/>
        <v>0</v>
      </c>
    </row>
    <row r="45" spans="1:45" ht="18" hidden="1" customHeight="1">
      <c r="A45" s="417" t="s">
        <v>572</v>
      </c>
      <c r="B45" s="395"/>
      <c r="C45" s="365"/>
      <c r="D45" s="458">
        <v>0</v>
      </c>
      <c r="E45" s="458">
        <v>0</v>
      </c>
      <c r="F45" s="454"/>
      <c r="G45" s="458">
        <v>0</v>
      </c>
      <c r="H45" s="458"/>
      <c r="I45" s="458">
        <v>0</v>
      </c>
      <c r="J45" s="458"/>
      <c r="K45" s="458">
        <v>0</v>
      </c>
      <c r="L45" s="458"/>
      <c r="M45" s="458">
        <v>0</v>
      </c>
      <c r="N45" s="458"/>
      <c r="O45" s="458">
        <v>0</v>
      </c>
      <c r="Q45" s="461">
        <f>SUM('All Funds Sch A Left'!D46:J46)+SUM('All Funds Sch A Right'!D45:O45)</f>
        <v>0</v>
      </c>
      <c r="R45" s="751">
        <v>0</v>
      </c>
      <c r="S45" s="461">
        <f t="shared" si="3"/>
        <v>0</v>
      </c>
    </row>
    <row r="46" spans="1:45" ht="13.9" hidden="1" customHeight="1">
      <c r="A46" s="365"/>
      <c r="B46" s="395"/>
      <c r="C46" s="365"/>
      <c r="Q46" s="461">
        <f>SUM('All Funds Sch A Left'!D47:J47)+SUM('All Funds Sch A Right'!D46:O46)</f>
        <v>0</v>
      </c>
      <c r="R46" s="751">
        <v>0</v>
      </c>
      <c r="S46" s="461">
        <f t="shared" si="3"/>
        <v>0</v>
      </c>
    </row>
    <row r="47" spans="1:45" s="417" customFormat="1" ht="20.100000000000001" customHeight="1">
      <c r="A47" s="417" t="s">
        <v>448</v>
      </c>
      <c r="B47" s="393"/>
      <c r="D47" s="458">
        <v>0</v>
      </c>
      <c r="E47" s="458">
        <v>0</v>
      </c>
      <c r="F47" s="454"/>
      <c r="G47" s="458">
        <v>0</v>
      </c>
      <c r="H47" s="458"/>
      <c r="I47" s="458">
        <v>0</v>
      </c>
      <c r="J47" s="458"/>
      <c r="K47" s="458">
        <v>0</v>
      </c>
      <c r="L47" s="458"/>
      <c r="M47" s="458">
        <v>0</v>
      </c>
      <c r="N47" s="458"/>
      <c r="O47" s="458">
        <v>0</v>
      </c>
      <c r="P47" s="461"/>
      <c r="Q47" s="461" t="e">
        <f>SUM('All Funds Sch A Left'!D48:J48)+SUM('All Funds Sch A Right'!D47:O47)</f>
        <v>#REF!</v>
      </c>
      <c r="R47" s="751">
        <v>7321918.6900000004</v>
      </c>
      <c r="S47" s="461" t="e">
        <f t="shared" si="3"/>
        <v>#REF!</v>
      </c>
      <c r="T47" s="454"/>
      <c r="U47" s="454"/>
      <c r="V47" s="454"/>
      <c r="W47" s="454"/>
      <c r="X47" s="454"/>
      <c r="Y47" s="454"/>
      <c r="Z47" s="454"/>
      <c r="AA47" s="454"/>
      <c r="AB47" s="454"/>
      <c r="AC47" s="454"/>
      <c r="AD47" s="454"/>
      <c r="AE47" s="454"/>
      <c r="AF47" s="454"/>
      <c r="AG47" s="454"/>
      <c r="AH47" s="454"/>
      <c r="AI47" s="454"/>
      <c r="AJ47" s="454"/>
      <c r="AK47" s="454"/>
      <c r="AL47" s="454"/>
      <c r="AM47" s="454"/>
      <c r="AN47" s="454"/>
      <c r="AO47" s="454"/>
      <c r="AP47" s="454"/>
      <c r="AQ47" s="454"/>
      <c r="AR47" s="454"/>
      <c r="AS47" s="454"/>
    </row>
    <row r="48" spans="1:45" s="417" customFormat="1" ht="20.100000000000001" customHeight="1">
      <c r="A48" s="417" t="s">
        <v>449</v>
      </c>
      <c r="B48" s="393"/>
      <c r="D48" s="458">
        <v>0</v>
      </c>
      <c r="E48" s="458">
        <v>0</v>
      </c>
      <c r="F48" s="454"/>
      <c r="G48" s="458">
        <v>0</v>
      </c>
      <c r="H48" s="458"/>
      <c r="I48" s="458">
        <v>0</v>
      </c>
      <c r="J48" s="458"/>
      <c r="K48" s="458">
        <v>0</v>
      </c>
      <c r="L48" s="458"/>
      <c r="M48" s="458">
        <v>0</v>
      </c>
      <c r="N48" s="458"/>
      <c r="O48" s="458">
        <v>0</v>
      </c>
      <c r="P48" s="461"/>
      <c r="Q48" s="461" t="e">
        <f>SUM('All Funds Sch A Left'!D49:J49)+SUM('All Funds Sch A Right'!D48:O48)</f>
        <v>#REF!</v>
      </c>
      <c r="R48" s="751">
        <v>71763696.049999997</v>
      </c>
      <c r="S48" s="461" t="e">
        <f t="shared" si="3"/>
        <v>#REF!</v>
      </c>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4"/>
      <c r="AQ48" s="454"/>
      <c r="AR48" s="454"/>
      <c r="AS48" s="454"/>
    </row>
    <row r="49" spans="1:45" s="417" customFormat="1" ht="20.100000000000001" customHeight="1">
      <c r="A49" s="417" t="s">
        <v>450</v>
      </c>
      <c r="B49" s="393"/>
      <c r="D49" s="458">
        <v>0</v>
      </c>
      <c r="E49" s="458">
        <v>0</v>
      </c>
      <c r="F49" s="454"/>
      <c r="G49" s="458">
        <v>0</v>
      </c>
      <c r="H49" s="458"/>
      <c r="I49" s="458">
        <v>0</v>
      </c>
      <c r="J49" s="458"/>
      <c r="K49" s="458">
        <v>0</v>
      </c>
      <c r="L49" s="458"/>
      <c r="M49" s="458">
        <v>0</v>
      </c>
      <c r="N49" s="458"/>
      <c r="O49" s="458">
        <v>0</v>
      </c>
      <c r="P49" s="461"/>
      <c r="Q49" s="461" t="e">
        <f>SUM('All Funds Sch A Left'!D50:J50)+SUM('All Funds Sch A Right'!D49:O49)</f>
        <v>#REF!</v>
      </c>
      <c r="R49" s="751">
        <v>2395733.7999999998</v>
      </c>
      <c r="S49" s="461" t="e">
        <f t="shared" si="3"/>
        <v>#REF!</v>
      </c>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4"/>
      <c r="AQ49" s="454"/>
      <c r="AR49" s="454"/>
      <c r="AS49" s="454"/>
    </row>
    <row r="50" spans="1:45" s="417" customFormat="1" ht="20.100000000000001" customHeight="1">
      <c r="A50" s="417" t="s">
        <v>451</v>
      </c>
      <c r="B50" s="393"/>
      <c r="D50" s="458">
        <v>0</v>
      </c>
      <c r="E50" s="458">
        <v>0</v>
      </c>
      <c r="F50" s="454"/>
      <c r="G50" s="458">
        <v>0</v>
      </c>
      <c r="H50" s="458"/>
      <c r="I50" s="458">
        <v>0</v>
      </c>
      <c r="J50" s="458"/>
      <c r="K50" s="458">
        <v>0</v>
      </c>
      <c r="L50" s="458"/>
      <c r="M50" s="458">
        <v>0</v>
      </c>
      <c r="N50" s="458"/>
      <c r="O50" s="458">
        <v>0</v>
      </c>
      <c r="P50" s="461"/>
      <c r="Q50" s="461">
        <f>SUM('All Funds Sch A Left'!D51:J51)+SUM('All Funds Sch A Right'!D50:O50)</f>
        <v>0</v>
      </c>
      <c r="R50" s="751">
        <v>0</v>
      </c>
      <c r="S50" s="461">
        <f t="shared" si="3"/>
        <v>0</v>
      </c>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c r="AQ50" s="454"/>
      <c r="AR50" s="454"/>
      <c r="AS50" s="454"/>
    </row>
    <row r="51" spans="1:45" s="417" customFormat="1" ht="20.100000000000001" hidden="1" customHeight="1">
      <c r="A51" s="417" t="s">
        <v>452</v>
      </c>
      <c r="B51" s="393"/>
      <c r="D51" s="460"/>
      <c r="E51" s="458">
        <v>0</v>
      </c>
      <c r="F51" s="454"/>
      <c r="G51" s="458">
        <v>0</v>
      </c>
      <c r="H51" s="458"/>
      <c r="I51" s="458">
        <v>0</v>
      </c>
      <c r="J51" s="458"/>
      <c r="K51" s="458">
        <v>0</v>
      </c>
      <c r="L51" s="458"/>
      <c r="M51" s="458">
        <v>0</v>
      </c>
      <c r="N51" s="458"/>
      <c r="O51" s="458">
        <v>0</v>
      </c>
      <c r="P51" s="461"/>
      <c r="Q51" s="461">
        <f>SUM('All Funds Sch A Left'!D52:J52)+SUM('All Funds Sch A Right'!D51:O51)</f>
        <v>0</v>
      </c>
      <c r="R51" s="751">
        <v>0</v>
      </c>
      <c r="S51" s="461">
        <f t="shared" si="3"/>
        <v>0</v>
      </c>
      <c r="T51" s="454"/>
      <c r="U51" s="454"/>
      <c r="V51" s="454"/>
      <c r="W51" s="454"/>
      <c r="X51" s="454"/>
      <c r="Y51" s="454"/>
      <c r="Z51" s="454"/>
      <c r="AA51" s="454"/>
      <c r="AB51" s="454"/>
      <c r="AC51" s="454"/>
      <c r="AD51" s="454"/>
      <c r="AE51" s="454"/>
      <c r="AF51" s="454"/>
      <c r="AG51" s="454"/>
      <c r="AH51" s="454"/>
      <c r="AI51" s="454"/>
      <c r="AJ51" s="454"/>
      <c r="AK51" s="454"/>
      <c r="AL51" s="454"/>
      <c r="AM51" s="454"/>
      <c r="AN51" s="454"/>
      <c r="AO51" s="454"/>
      <c r="AP51" s="454"/>
      <c r="AQ51" s="454"/>
      <c r="AR51" s="454"/>
      <c r="AS51" s="454"/>
    </row>
    <row r="52" spans="1:45" s="417" customFormat="1" ht="20.100000000000001" hidden="1" customHeight="1">
      <c r="A52" s="417" t="s">
        <v>453</v>
      </c>
      <c r="B52" s="393"/>
      <c r="D52" s="460"/>
      <c r="E52" s="458">
        <v>0</v>
      </c>
      <c r="F52" s="454"/>
      <c r="G52" s="458">
        <v>0</v>
      </c>
      <c r="H52" s="458"/>
      <c r="I52" s="458">
        <v>0</v>
      </c>
      <c r="J52" s="458"/>
      <c r="K52" s="458">
        <v>0</v>
      </c>
      <c r="L52" s="458"/>
      <c r="M52" s="458">
        <v>0</v>
      </c>
      <c r="N52" s="458"/>
      <c r="O52" s="458">
        <v>0</v>
      </c>
      <c r="P52" s="461"/>
      <c r="Q52" s="461">
        <f>SUM('All Funds Sch A Left'!D53:J53)+SUM('All Funds Sch A Right'!D52:O52)</f>
        <v>0</v>
      </c>
      <c r="R52" s="751">
        <v>0</v>
      </c>
      <c r="S52" s="461">
        <f t="shared" si="3"/>
        <v>0</v>
      </c>
      <c r="T52" s="454"/>
      <c r="U52" s="454"/>
      <c r="V52" s="454"/>
      <c r="W52" s="454"/>
      <c r="X52" s="454"/>
      <c r="Y52" s="454"/>
      <c r="Z52" s="454"/>
      <c r="AA52" s="454"/>
      <c r="AB52" s="454"/>
      <c r="AC52" s="454"/>
      <c r="AD52" s="454"/>
      <c r="AE52" s="454"/>
      <c r="AF52" s="454"/>
      <c r="AG52" s="454"/>
      <c r="AH52" s="454"/>
      <c r="AI52" s="454"/>
      <c r="AJ52" s="454"/>
      <c r="AK52" s="454"/>
      <c r="AL52" s="454"/>
      <c r="AM52" s="454"/>
      <c r="AN52" s="454"/>
      <c r="AO52" s="454"/>
      <c r="AP52" s="454"/>
      <c r="AQ52" s="454"/>
      <c r="AR52" s="454"/>
      <c r="AS52" s="454"/>
    </row>
    <row r="53" spans="1:45" ht="13.9" hidden="1" customHeight="1">
      <c r="A53" s="365"/>
      <c r="B53" s="395"/>
      <c r="C53" s="365"/>
      <c r="Q53" s="461">
        <f>SUM('All Funds Sch A Left'!D54:J54)+SUM('All Funds Sch A Right'!D53:O53)</f>
        <v>0</v>
      </c>
      <c r="R53" s="751">
        <v>0</v>
      </c>
      <c r="S53" s="461">
        <f t="shared" si="3"/>
        <v>0</v>
      </c>
    </row>
    <row r="54" spans="1:45" ht="18" hidden="1" customHeight="1">
      <c r="A54" s="365"/>
      <c r="B54" s="395"/>
      <c r="C54" s="365"/>
      <c r="D54" s="389"/>
      <c r="E54" s="458">
        <v>0</v>
      </c>
      <c r="F54" s="454"/>
      <c r="G54" s="458">
        <v>0</v>
      </c>
      <c r="H54" s="458"/>
      <c r="I54" s="458">
        <v>0</v>
      </c>
      <c r="J54" s="458"/>
      <c r="K54" s="458">
        <v>0</v>
      </c>
      <c r="L54" s="458"/>
      <c r="M54" s="458">
        <v>0</v>
      </c>
      <c r="N54" s="458"/>
      <c r="O54" s="458">
        <v>0</v>
      </c>
      <c r="Q54" s="461">
        <f>SUM('All Funds Sch A Left'!D55:J55)+SUM('All Funds Sch A Right'!D54:O54)</f>
        <v>0</v>
      </c>
      <c r="R54" s="751">
        <v>0</v>
      </c>
      <c r="S54" s="461">
        <f t="shared" si="3"/>
        <v>0</v>
      </c>
    </row>
    <row r="55" spans="1:45" s="417" customFormat="1" ht="20.100000000000001" customHeight="1">
      <c r="A55" s="417" t="s">
        <v>454</v>
      </c>
      <c r="B55" s="393"/>
      <c r="D55" s="460">
        <f>Cemtery!L22</f>
        <v>1250259</v>
      </c>
      <c r="E55" s="458">
        <v>0</v>
      </c>
      <c r="F55" s="454"/>
      <c r="G55" s="458" t="e">
        <f>#REF!</f>
        <v>#REF!</v>
      </c>
      <c r="H55" s="458"/>
      <c r="I55" s="458">
        <v>0</v>
      </c>
      <c r="J55" s="458"/>
      <c r="K55" s="458">
        <v>0</v>
      </c>
      <c r="L55" s="458"/>
      <c r="M55" s="458">
        <v>0</v>
      </c>
      <c r="N55" s="458"/>
      <c r="O55" s="458">
        <v>0</v>
      </c>
      <c r="P55" s="461"/>
      <c r="Q55" s="461" t="e">
        <f>SUM('All Funds Sch A Left'!D56:J56)+SUM('All Funds Sch A Right'!D55:O55)</f>
        <v>#REF!</v>
      </c>
      <c r="R55" s="751">
        <v>50996137.359999999</v>
      </c>
      <c r="S55" s="461" t="e">
        <f t="shared" si="3"/>
        <v>#REF!</v>
      </c>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row>
    <row r="56" spans="1:45" s="417" customFormat="1" ht="20.100000000000001" hidden="1" customHeight="1">
      <c r="A56" s="417" t="s">
        <v>455</v>
      </c>
      <c r="B56" s="393"/>
      <c r="D56" s="460"/>
      <c r="E56" s="458">
        <v>0</v>
      </c>
      <c r="F56" s="454"/>
      <c r="G56" s="458">
        <v>0</v>
      </c>
      <c r="H56" s="458"/>
      <c r="I56" s="458">
        <v>0</v>
      </c>
      <c r="J56" s="458"/>
      <c r="K56" s="458">
        <v>0</v>
      </c>
      <c r="L56" s="458"/>
      <c r="M56" s="458">
        <v>0</v>
      </c>
      <c r="N56" s="458"/>
      <c r="O56" s="458">
        <v>0</v>
      </c>
      <c r="P56" s="461"/>
      <c r="Q56" s="461">
        <f>SUM('All Funds Sch A Left'!D57:J57)+SUM('All Funds Sch A Right'!D56:O56)</f>
        <v>0</v>
      </c>
      <c r="R56" s="751">
        <v>0</v>
      </c>
      <c r="S56" s="461">
        <f t="shared" si="3"/>
        <v>0</v>
      </c>
      <c r="T56" s="454"/>
      <c r="U56" s="454"/>
      <c r="V56" s="454"/>
      <c r="W56" s="454"/>
      <c r="X56" s="454"/>
      <c r="Y56" s="454"/>
      <c r="Z56" s="454"/>
      <c r="AA56" s="454"/>
      <c r="AB56" s="454"/>
      <c r="AC56" s="454"/>
      <c r="AD56" s="454"/>
      <c r="AE56" s="454"/>
      <c r="AF56" s="454"/>
      <c r="AG56" s="454"/>
      <c r="AH56" s="454"/>
      <c r="AI56" s="454"/>
      <c r="AJ56" s="454"/>
      <c r="AK56" s="454"/>
      <c r="AL56" s="454"/>
      <c r="AM56" s="454"/>
      <c r="AN56" s="454"/>
      <c r="AO56" s="454"/>
      <c r="AP56" s="454"/>
      <c r="AQ56" s="454"/>
      <c r="AR56" s="454"/>
      <c r="AS56" s="454"/>
    </row>
    <row r="57" spans="1:45" s="417" customFormat="1" ht="20.100000000000001" customHeight="1">
      <c r="A57" s="417" t="s">
        <v>456</v>
      </c>
      <c r="B57" s="393"/>
      <c r="D57" s="458">
        <v>0</v>
      </c>
      <c r="E57" s="458">
        <v>0</v>
      </c>
      <c r="F57" s="454"/>
      <c r="G57" s="458">
        <v>0</v>
      </c>
      <c r="H57" s="458"/>
      <c r="I57" s="458">
        <v>0</v>
      </c>
      <c r="J57" s="458"/>
      <c r="K57" s="458">
        <v>0</v>
      </c>
      <c r="L57" s="458"/>
      <c r="M57" s="458">
        <v>0</v>
      </c>
      <c r="N57" s="458"/>
      <c r="O57" s="458">
        <v>0</v>
      </c>
      <c r="P57" s="461"/>
      <c r="Q57" s="461" t="e">
        <f>SUM('All Funds Sch A Left'!D58:J58)+SUM('All Funds Sch A Right'!D57:O57)</f>
        <v>#REF!</v>
      </c>
      <c r="R57" s="751">
        <v>99188903.129999995</v>
      </c>
      <c r="S57" s="461" t="e">
        <f t="shared" si="3"/>
        <v>#REF!</v>
      </c>
      <c r="T57" s="454"/>
      <c r="U57" s="454"/>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c r="AS57" s="454"/>
    </row>
    <row r="58" spans="1:45" s="417" customFormat="1" ht="20.100000000000001" hidden="1" customHeight="1">
      <c r="A58" s="417" t="s">
        <v>457</v>
      </c>
      <c r="B58" s="393"/>
      <c r="D58" s="458">
        <v>0</v>
      </c>
      <c r="E58" s="458"/>
      <c r="F58" s="454"/>
      <c r="G58" s="458"/>
      <c r="H58" s="458"/>
      <c r="I58" s="458"/>
      <c r="J58" s="458"/>
      <c r="K58" s="458"/>
      <c r="L58" s="458"/>
      <c r="M58" s="458"/>
      <c r="N58" s="458"/>
      <c r="O58" s="458"/>
      <c r="P58" s="461"/>
      <c r="Q58" s="461">
        <f>SUM('All Funds Sch A Left'!D59:J59)+SUM('All Funds Sch A Right'!D58:O58)</f>
        <v>0</v>
      </c>
      <c r="R58" s="751">
        <v>0</v>
      </c>
      <c r="S58" s="461">
        <f t="shared" si="3"/>
        <v>0</v>
      </c>
      <c r="T58" s="454"/>
      <c r="U58" s="454"/>
      <c r="V58" s="454"/>
      <c r="W58" s="454"/>
      <c r="X58" s="454"/>
      <c r="Y58" s="454"/>
      <c r="Z58" s="454"/>
      <c r="AA58" s="454"/>
      <c r="AB58" s="454"/>
      <c r="AC58" s="454"/>
      <c r="AD58" s="454"/>
      <c r="AE58" s="454"/>
      <c r="AF58" s="454"/>
      <c r="AG58" s="454"/>
      <c r="AH58" s="454"/>
      <c r="AI58" s="454"/>
      <c r="AJ58" s="454"/>
      <c r="AK58" s="454"/>
      <c r="AL58" s="454"/>
      <c r="AM58" s="454"/>
      <c r="AN58" s="454"/>
      <c r="AO58" s="454"/>
      <c r="AP58" s="454"/>
      <c r="AQ58" s="454"/>
      <c r="AR58" s="454"/>
      <c r="AS58" s="454"/>
    </row>
    <row r="59" spans="1:45" s="417" customFormat="1" ht="20.100000000000001" hidden="1" customHeight="1">
      <c r="A59" s="417" t="s">
        <v>458</v>
      </c>
      <c r="B59" s="393"/>
      <c r="D59" s="458">
        <v>0</v>
      </c>
      <c r="E59" s="458"/>
      <c r="F59" s="454"/>
      <c r="G59" s="458"/>
      <c r="H59" s="458"/>
      <c r="I59" s="458"/>
      <c r="J59" s="458"/>
      <c r="K59" s="458"/>
      <c r="L59" s="458"/>
      <c r="M59" s="458"/>
      <c r="N59" s="458"/>
      <c r="O59" s="458"/>
      <c r="P59" s="461"/>
      <c r="Q59" s="461">
        <f>SUM('All Funds Sch A Left'!D60:J60)+SUM('All Funds Sch A Right'!D59:O59)</f>
        <v>0</v>
      </c>
      <c r="R59" s="751">
        <v>0</v>
      </c>
      <c r="S59" s="461">
        <f t="shared" si="3"/>
        <v>0</v>
      </c>
      <c r="T59" s="454"/>
      <c r="U59" s="454"/>
      <c r="V59" s="454"/>
      <c r="W59" s="454"/>
      <c r="X59" s="454"/>
      <c r="Y59" s="454"/>
      <c r="Z59" s="454"/>
      <c r="AA59" s="454"/>
      <c r="AB59" s="454"/>
      <c r="AC59" s="454"/>
      <c r="AD59" s="454"/>
      <c r="AE59" s="454"/>
      <c r="AF59" s="454"/>
      <c r="AG59" s="454"/>
      <c r="AH59" s="454"/>
      <c r="AI59" s="454"/>
      <c r="AJ59" s="454"/>
      <c r="AK59" s="454"/>
      <c r="AL59" s="454"/>
      <c r="AM59" s="454"/>
      <c r="AN59" s="454"/>
      <c r="AO59" s="454"/>
      <c r="AP59" s="454"/>
      <c r="AQ59" s="454"/>
      <c r="AR59" s="454"/>
      <c r="AS59" s="454"/>
    </row>
    <row r="60" spans="1:45" s="417" customFormat="1" ht="20.100000000000001" customHeight="1">
      <c r="A60" s="417" t="s">
        <v>459</v>
      </c>
      <c r="B60" s="393"/>
      <c r="D60" s="458">
        <v>0</v>
      </c>
      <c r="E60" s="458">
        <v>0</v>
      </c>
      <c r="F60" s="454"/>
      <c r="G60" s="458" t="e">
        <f>#REF!</f>
        <v>#REF!</v>
      </c>
      <c r="H60" s="458"/>
      <c r="I60" s="458">
        <f>'Water and Sewer'!L29+'Central Region'!L28-'Water and Sewer'!L27-'Central Region'!L26-'Water and Sewer'!L25-'Central Region'!L25</f>
        <v>98641940.849999994</v>
      </c>
      <c r="J60" s="458"/>
      <c r="K60" s="458">
        <f>Stormwater!L28-Stormwater!L26</f>
        <v>6029886.1600000001</v>
      </c>
      <c r="L60" s="458"/>
      <c r="M60" s="458">
        <v>0</v>
      </c>
      <c r="N60" s="458"/>
      <c r="O60" s="458">
        <v>0</v>
      </c>
      <c r="P60" s="461"/>
      <c r="Q60" s="461" t="e">
        <f>SUM('All Funds Sch A Left'!D61:J61)+SUM('All Funds Sch A Right'!D60:O60)</f>
        <v>#REF!</v>
      </c>
      <c r="R60" s="751">
        <v>108390598.88</v>
      </c>
      <c r="S60" s="461" t="e">
        <f t="shared" si="3"/>
        <v>#REF!</v>
      </c>
      <c r="T60" s="454"/>
      <c r="U60" s="454"/>
      <c r="V60" s="454"/>
      <c r="W60" s="454"/>
      <c r="X60" s="454"/>
      <c r="Y60" s="454"/>
      <c r="Z60" s="454"/>
      <c r="AA60" s="454"/>
      <c r="AB60" s="454"/>
      <c r="AC60" s="454"/>
      <c r="AD60" s="454"/>
      <c r="AE60" s="454"/>
      <c r="AF60" s="454"/>
      <c r="AG60" s="454"/>
      <c r="AH60" s="454"/>
      <c r="AI60" s="454"/>
      <c r="AJ60" s="454"/>
      <c r="AK60" s="454"/>
      <c r="AL60" s="454"/>
      <c r="AM60" s="454"/>
      <c r="AN60" s="454"/>
      <c r="AO60" s="454"/>
      <c r="AP60" s="454"/>
      <c r="AQ60" s="454"/>
      <c r="AR60" s="454"/>
      <c r="AS60" s="454"/>
    </row>
    <row r="61" spans="1:45" s="417" customFormat="1" ht="20.100000000000001" customHeight="1">
      <c r="A61" s="417" t="s">
        <v>570</v>
      </c>
      <c r="B61" s="393"/>
      <c r="D61" s="460">
        <v>0</v>
      </c>
      <c r="E61" s="458">
        <v>0</v>
      </c>
      <c r="F61" s="454"/>
      <c r="G61" s="458">
        <v>0</v>
      </c>
      <c r="H61" s="458"/>
      <c r="I61" s="458">
        <v>0</v>
      </c>
      <c r="J61" s="458"/>
      <c r="K61" s="458">
        <v>0</v>
      </c>
      <c r="L61" s="458"/>
      <c r="M61" s="458">
        <v>0</v>
      </c>
      <c r="N61" s="458"/>
      <c r="O61" s="458">
        <v>0</v>
      </c>
      <c r="P61" s="461"/>
      <c r="Q61" s="461" t="e">
        <f>SUM('All Funds Sch A Left'!D62:J62)+SUM('All Funds Sch A Right'!D61:O61)</f>
        <v>#REF!</v>
      </c>
      <c r="R61" s="751">
        <v>29691750.16</v>
      </c>
      <c r="S61" s="461" t="e">
        <f t="shared" si="3"/>
        <v>#REF!</v>
      </c>
      <c r="T61" s="454"/>
      <c r="U61" s="454"/>
      <c r="V61" s="454"/>
      <c r="W61" s="454"/>
      <c r="X61" s="454"/>
      <c r="Y61" s="454"/>
      <c r="Z61" s="454"/>
      <c r="AA61" s="454"/>
      <c r="AB61" s="454"/>
      <c r="AC61" s="454"/>
      <c r="AD61" s="454"/>
      <c r="AE61" s="454"/>
      <c r="AF61" s="454"/>
      <c r="AG61" s="454"/>
      <c r="AH61" s="454"/>
      <c r="AI61" s="454"/>
      <c r="AJ61" s="454"/>
      <c r="AK61" s="454"/>
      <c r="AL61" s="454"/>
      <c r="AM61" s="454"/>
      <c r="AN61" s="454"/>
      <c r="AO61" s="454"/>
      <c r="AP61" s="454"/>
      <c r="AQ61" s="454"/>
      <c r="AR61" s="454"/>
      <c r="AS61" s="454"/>
    </row>
    <row r="62" spans="1:45" s="417" customFormat="1" ht="20.100000000000001" customHeight="1">
      <c r="A62" s="417" t="s">
        <v>476</v>
      </c>
      <c r="B62" s="393"/>
      <c r="D62" s="458">
        <v>0</v>
      </c>
      <c r="E62" s="458">
        <f>'Arts Science District Garage'!L25</f>
        <v>1160554.8399999999</v>
      </c>
      <c r="F62" s="454"/>
      <c r="G62" s="458">
        <v>0</v>
      </c>
      <c r="H62" s="458"/>
      <c r="I62" s="458">
        <v>0</v>
      </c>
      <c r="J62" s="458"/>
      <c r="K62" s="458">
        <v>0</v>
      </c>
      <c r="L62" s="458"/>
      <c r="M62" s="458">
        <f>'Parking System'!L29-'Parking System'!L27</f>
        <v>21750117.719999999</v>
      </c>
      <c r="N62" s="458"/>
      <c r="O62" s="458">
        <f>Airport!L28-Airport!L26</f>
        <v>7966110.5999999996</v>
      </c>
      <c r="P62" s="461"/>
      <c r="Q62" s="461" t="e">
        <f>SUM('All Funds Sch A Left'!D63:J63)+SUM('All Funds Sch A Right'!D62:O62)</f>
        <v>#REF!</v>
      </c>
      <c r="R62" s="751">
        <v>25218207.129999999</v>
      </c>
      <c r="S62" s="461" t="e">
        <f t="shared" si="3"/>
        <v>#REF!</v>
      </c>
      <c r="T62" s="454"/>
      <c r="U62" s="454"/>
      <c r="V62" s="454"/>
      <c r="W62" s="454"/>
      <c r="X62" s="454"/>
      <c r="Y62" s="454"/>
      <c r="Z62" s="454"/>
      <c r="AA62" s="454"/>
      <c r="AB62" s="454"/>
      <c r="AC62" s="454"/>
      <c r="AD62" s="454"/>
      <c r="AE62" s="454"/>
      <c r="AF62" s="454"/>
      <c r="AG62" s="454"/>
      <c r="AH62" s="454"/>
      <c r="AI62" s="454"/>
      <c r="AJ62" s="454"/>
      <c r="AK62" s="454"/>
      <c r="AL62" s="454"/>
      <c r="AM62" s="454"/>
      <c r="AN62" s="454"/>
      <c r="AO62" s="454"/>
      <c r="AP62" s="454"/>
      <c r="AQ62" s="454"/>
      <c r="AR62" s="454"/>
      <c r="AS62" s="454"/>
    </row>
    <row r="63" spans="1:45" s="417" customFormat="1" ht="20.100000000000001" hidden="1" customHeight="1">
      <c r="A63" s="417" t="s">
        <v>16</v>
      </c>
      <c r="B63" s="393"/>
      <c r="D63" s="458"/>
      <c r="E63" s="458"/>
      <c r="F63" s="478"/>
      <c r="G63" s="458"/>
      <c r="H63" s="458"/>
      <c r="I63" s="458"/>
      <c r="J63" s="458"/>
      <c r="K63" s="458"/>
      <c r="L63" s="458"/>
      <c r="M63" s="458"/>
      <c r="N63" s="458"/>
      <c r="O63" s="458"/>
      <c r="P63" s="461"/>
      <c r="Q63" s="461">
        <f>SUM('All Funds Sch A Left'!D64:J64)+SUM('All Funds Sch A Right'!D63:O63)</f>
        <v>0</v>
      </c>
      <c r="R63" s="751">
        <v>0</v>
      </c>
      <c r="S63" s="461">
        <f t="shared" si="3"/>
        <v>0</v>
      </c>
      <c r="T63" s="454"/>
      <c r="U63" s="454"/>
      <c r="V63" s="454"/>
      <c r="W63" s="454"/>
      <c r="X63" s="454"/>
      <c r="Y63" s="454"/>
      <c r="Z63" s="454"/>
      <c r="AA63" s="454"/>
      <c r="AB63" s="454"/>
      <c r="AC63" s="454"/>
      <c r="AD63" s="454"/>
      <c r="AE63" s="454"/>
      <c r="AF63" s="454"/>
      <c r="AG63" s="454"/>
      <c r="AH63" s="454"/>
      <c r="AI63" s="454"/>
      <c r="AJ63" s="454"/>
      <c r="AK63" s="454"/>
      <c r="AL63" s="454"/>
      <c r="AM63" s="454"/>
      <c r="AN63" s="454"/>
      <c r="AO63" s="454"/>
      <c r="AP63" s="454"/>
      <c r="AQ63" s="454"/>
      <c r="AR63" s="454"/>
      <c r="AS63" s="454"/>
    </row>
    <row r="64" spans="1:45" s="417" customFormat="1" ht="20.100000000000001" hidden="1" customHeight="1">
      <c r="A64" s="417" t="s">
        <v>461</v>
      </c>
      <c r="B64" s="393"/>
      <c r="D64" s="458"/>
      <c r="E64" s="458"/>
      <c r="F64" s="478"/>
      <c r="G64" s="458"/>
      <c r="H64" s="458"/>
      <c r="I64" s="458"/>
      <c r="J64" s="458"/>
      <c r="K64" s="458"/>
      <c r="L64" s="458"/>
      <c r="M64" s="458"/>
      <c r="N64" s="458"/>
      <c r="O64" s="458"/>
      <c r="P64" s="461"/>
      <c r="Q64" s="461">
        <f>SUM('All Funds Sch A Left'!D65:J65)+SUM('All Funds Sch A Right'!D64:O64)</f>
        <v>0</v>
      </c>
      <c r="R64" s="751">
        <v>0</v>
      </c>
      <c r="S64" s="461">
        <f t="shared" si="3"/>
        <v>0</v>
      </c>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row>
    <row r="65" spans="1:45" s="363" customFormat="1" ht="18.75">
      <c r="A65" s="454" t="s">
        <v>16</v>
      </c>
      <c r="B65" s="588"/>
      <c r="D65" s="458">
        <v>0</v>
      </c>
      <c r="E65" s="458">
        <v>0</v>
      </c>
      <c r="F65" s="454"/>
      <c r="G65" s="458">
        <v>0</v>
      </c>
      <c r="H65" s="458"/>
      <c r="I65" s="458">
        <f>'Water and Sewer'!L25+'Central Region'!L25</f>
        <v>33116202</v>
      </c>
      <c r="J65" s="458"/>
      <c r="K65" s="458">
        <v>0</v>
      </c>
      <c r="L65" s="458"/>
      <c r="M65" s="458">
        <v>0</v>
      </c>
      <c r="N65" s="458"/>
      <c r="O65" s="458">
        <v>0</v>
      </c>
      <c r="Q65" s="461" t="e">
        <f>SUM('All Funds Sch A Left'!D66:J66)+SUM('All Funds Sch A Right'!D65:O65)</f>
        <v>#REF!</v>
      </c>
      <c r="R65" s="751">
        <v>54709093</v>
      </c>
      <c r="S65" s="461" t="e">
        <f t="shared" si="3"/>
        <v>#REF!</v>
      </c>
    </row>
    <row r="66" spans="1:45" s="417" customFormat="1" ht="20.100000000000001" customHeight="1">
      <c r="A66" s="417" t="s">
        <v>460</v>
      </c>
      <c r="B66" s="393"/>
      <c r="D66" s="460">
        <v>0</v>
      </c>
      <c r="E66" s="458">
        <v>0</v>
      </c>
      <c r="F66" s="454"/>
      <c r="G66" s="458">
        <v>0</v>
      </c>
      <c r="H66" s="458"/>
      <c r="I66" s="458">
        <v>0</v>
      </c>
      <c r="J66" s="458"/>
      <c r="K66" s="458">
        <v>0</v>
      </c>
      <c r="L66" s="458"/>
      <c r="M66" s="458">
        <v>0</v>
      </c>
      <c r="N66" s="458"/>
      <c r="O66" s="458">
        <v>0</v>
      </c>
      <c r="P66" s="461"/>
      <c r="Q66" s="461" t="e">
        <f>SUM('All Funds Sch A Left'!D67:J67)+SUM('All Funds Sch A Right'!D66:O66)</f>
        <v>#REF!</v>
      </c>
      <c r="R66" s="751">
        <v>9685776.6500000004</v>
      </c>
      <c r="S66" s="461" t="e">
        <f t="shared" si="3"/>
        <v>#REF!</v>
      </c>
      <c r="T66" s="454"/>
      <c r="U66" s="454"/>
      <c r="V66" s="454"/>
      <c r="W66" s="454"/>
      <c r="X66" s="454"/>
      <c r="Y66" s="454"/>
      <c r="Z66" s="454"/>
      <c r="AA66" s="454"/>
      <c r="AB66" s="454"/>
      <c r="AC66" s="454"/>
      <c r="AD66" s="454"/>
      <c r="AE66" s="454"/>
      <c r="AF66" s="454"/>
      <c r="AG66" s="454"/>
      <c r="AH66" s="454"/>
      <c r="AI66" s="454"/>
      <c r="AJ66" s="454"/>
      <c r="AK66" s="454"/>
      <c r="AL66" s="454"/>
      <c r="AM66" s="454"/>
      <c r="AN66" s="454"/>
      <c r="AO66" s="454"/>
      <c r="AP66" s="454"/>
      <c r="AQ66" s="454"/>
      <c r="AR66" s="454"/>
      <c r="AS66" s="454"/>
    </row>
    <row r="67" spans="1:45" s="417" customFormat="1" ht="20.100000000000001" customHeight="1">
      <c r="A67" s="417" t="s">
        <v>574</v>
      </c>
      <c r="B67" s="393"/>
      <c r="C67" s="417" t="s">
        <v>424</v>
      </c>
      <c r="D67" s="463">
        <f>SUM(D39:D66)</f>
        <v>1250259</v>
      </c>
      <c r="E67" s="463">
        <f t="shared" ref="E67:Q67" si="4">SUM(E39:E66)</f>
        <v>1160554.8399999999</v>
      </c>
      <c r="F67" s="463">
        <f t="shared" si="4"/>
        <v>0</v>
      </c>
      <c r="G67" s="463" t="e">
        <f t="shared" si="4"/>
        <v>#REF!</v>
      </c>
      <c r="H67" s="463">
        <f t="shared" si="4"/>
        <v>0</v>
      </c>
      <c r="I67" s="463">
        <f t="shared" si="4"/>
        <v>131758142.84999999</v>
      </c>
      <c r="J67" s="463">
        <f t="shared" si="4"/>
        <v>0</v>
      </c>
      <c r="K67" s="463">
        <f t="shared" si="4"/>
        <v>6029886.1600000001</v>
      </c>
      <c r="L67" s="463">
        <f t="shared" si="4"/>
        <v>0</v>
      </c>
      <c r="M67" s="463">
        <f t="shared" si="4"/>
        <v>21750117.719999999</v>
      </c>
      <c r="N67" s="463">
        <f t="shared" si="4"/>
        <v>0</v>
      </c>
      <c r="O67" s="463">
        <f t="shared" si="4"/>
        <v>7966110.5999999996</v>
      </c>
      <c r="P67" s="463">
        <f t="shared" si="4"/>
        <v>0</v>
      </c>
      <c r="Q67" s="463" t="e">
        <f t="shared" si="4"/>
        <v>#REF!</v>
      </c>
      <c r="R67" s="757">
        <v>470637048.00999999</v>
      </c>
      <c r="S67" s="463" t="e">
        <f t="shared" si="3"/>
        <v>#REF!</v>
      </c>
      <c r="T67" s="454"/>
      <c r="U67" s="454"/>
      <c r="V67" s="454"/>
      <c r="W67" s="454"/>
      <c r="X67" s="454"/>
      <c r="Y67" s="454"/>
      <c r="Z67" s="454"/>
      <c r="AA67" s="454"/>
      <c r="AB67" s="454"/>
      <c r="AC67" s="454"/>
      <c r="AD67" s="454"/>
      <c r="AE67" s="454"/>
      <c r="AF67" s="454"/>
      <c r="AG67" s="454"/>
      <c r="AH67" s="454"/>
      <c r="AI67" s="454"/>
      <c r="AJ67" s="454"/>
      <c r="AK67" s="454"/>
      <c r="AL67" s="454"/>
      <c r="AM67" s="454"/>
      <c r="AN67" s="454"/>
      <c r="AO67" s="454"/>
      <c r="AP67" s="454"/>
      <c r="AQ67" s="454"/>
      <c r="AR67" s="454"/>
      <c r="AS67" s="454"/>
    </row>
    <row r="68" spans="1:45" s="417" customFormat="1" ht="12.75" customHeight="1">
      <c r="B68" s="393"/>
      <c r="D68" s="458"/>
      <c r="E68" s="458"/>
      <c r="F68" s="454"/>
      <c r="G68" s="458"/>
      <c r="H68" s="458"/>
      <c r="I68" s="458"/>
      <c r="J68" s="458"/>
      <c r="K68" s="458"/>
      <c r="L68" s="458"/>
      <c r="M68" s="458"/>
      <c r="N68" s="458"/>
      <c r="O68" s="458"/>
      <c r="P68" s="461"/>
      <c r="Q68" s="461"/>
      <c r="R68" s="751"/>
      <c r="S68" s="461"/>
      <c r="T68" s="454"/>
      <c r="U68" s="454"/>
      <c r="V68" s="454"/>
      <c r="W68" s="454"/>
      <c r="X68" s="454"/>
      <c r="Y68" s="454"/>
      <c r="Z68" s="454"/>
      <c r="AA68" s="454"/>
      <c r="AB68" s="454"/>
      <c r="AC68" s="454"/>
      <c r="AD68" s="454"/>
      <c r="AE68" s="454"/>
      <c r="AF68" s="454"/>
      <c r="AG68" s="454"/>
      <c r="AH68" s="454"/>
      <c r="AI68" s="454"/>
      <c r="AJ68" s="454"/>
      <c r="AK68" s="454"/>
      <c r="AL68" s="454"/>
      <c r="AM68" s="454"/>
      <c r="AN68" s="454"/>
      <c r="AO68" s="454"/>
      <c r="AP68" s="454"/>
      <c r="AQ68" s="454"/>
      <c r="AR68" s="454"/>
      <c r="AS68" s="454"/>
    </row>
    <row r="69" spans="1:45" s="417" customFormat="1" ht="14.25" customHeight="1">
      <c r="A69" s="417" t="s">
        <v>462</v>
      </c>
      <c r="B69" s="393"/>
      <c r="D69" s="458"/>
      <c r="E69" s="458"/>
      <c r="F69" s="454"/>
      <c r="G69" s="458"/>
      <c r="H69" s="458"/>
      <c r="I69" s="458"/>
      <c r="J69" s="458"/>
      <c r="K69" s="458"/>
      <c r="L69" s="458"/>
      <c r="M69" s="458"/>
      <c r="N69" s="458"/>
      <c r="O69" s="458"/>
      <c r="P69" s="461"/>
      <c r="Q69" s="461"/>
      <c r="R69" s="751"/>
      <c r="S69" s="461"/>
      <c r="T69" s="454"/>
      <c r="U69" s="454"/>
      <c r="V69" s="454"/>
      <c r="W69" s="454"/>
      <c r="X69" s="454"/>
      <c r="Y69" s="454"/>
      <c r="Z69" s="454"/>
      <c r="AA69" s="454"/>
      <c r="AB69" s="454"/>
      <c r="AC69" s="454"/>
      <c r="AD69" s="454"/>
      <c r="AE69" s="454"/>
      <c r="AF69" s="454"/>
      <c r="AG69" s="454"/>
      <c r="AH69" s="454"/>
      <c r="AI69" s="454"/>
      <c r="AJ69" s="454"/>
      <c r="AK69" s="454"/>
      <c r="AL69" s="454"/>
      <c r="AM69" s="454"/>
      <c r="AN69" s="454"/>
      <c r="AO69" s="454"/>
      <c r="AP69" s="454"/>
      <c r="AQ69" s="454"/>
      <c r="AR69" s="454"/>
      <c r="AS69" s="454"/>
    </row>
    <row r="70" spans="1:45" s="417" customFormat="1" ht="18" customHeight="1">
      <c r="A70" s="417" t="s">
        <v>463</v>
      </c>
      <c r="B70" s="393"/>
      <c r="D70" s="458">
        <v>0</v>
      </c>
      <c r="E70" s="458">
        <v>0</v>
      </c>
      <c r="F70" s="454"/>
      <c r="G70" s="458">
        <v>0</v>
      </c>
      <c r="H70" s="458">
        <v>0</v>
      </c>
      <c r="I70" s="458">
        <v>0</v>
      </c>
      <c r="J70" s="458">
        <v>0</v>
      </c>
      <c r="K70" s="458">
        <v>0</v>
      </c>
      <c r="L70" s="458">
        <v>0</v>
      </c>
      <c r="M70" s="458">
        <v>0</v>
      </c>
      <c r="N70" s="458">
        <v>0</v>
      </c>
      <c r="O70" s="458">
        <v>0</v>
      </c>
      <c r="P70" s="458">
        <v>0</v>
      </c>
      <c r="Q70" s="461" t="e">
        <f>SUM('All Funds Sch A Left'!D71:J71)+SUM('All Funds Sch A Right'!D70:O70)</f>
        <v>#REF!</v>
      </c>
      <c r="R70" s="751">
        <v>10711391.43</v>
      </c>
      <c r="S70" s="461" t="e">
        <f>Q70-R70</f>
        <v>#REF!</v>
      </c>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row>
    <row r="71" spans="1:45" s="417" customFormat="1" ht="18" customHeight="1">
      <c r="A71" s="417" t="s">
        <v>464</v>
      </c>
      <c r="B71" s="393"/>
      <c r="D71" s="458">
        <v>0</v>
      </c>
      <c r="E71" s="458">
        <v>0</v>
      </c>
      <c r="F71" s="454"/>
      <c r="G71" s="458">
        <v>0</v>
      </c>
      <c r="H71" s="458"/>
      <c r="I71" s="458">
        <v>0</v>
      </c>
      <c r="J71" s="458"/>
      <c r="K71" s="458">
        <v>0</v>
      </c>
      <c r="L71" s="458"/>
      <c r="M71" s="458">
        <v>0</v>
      </c>
      <c r="N71" s="458"/>
      <c r="O71" s="458">
        <v>0</v>
      </c>
      <c r="P71" s="461"/>
      <c r="Q71" s="461">
        <f>SUM('All Funds Sch A Left'!D72:J72)+SUM('All Funds Sch A Right'!D71:O71)</f>
        <v>0</v>
      </c>
      <c r="R71" s="751">
        <v>455656</v>
      </c>
      <c r="S71" s="461">
        <f>Q71-R71</f>
        <v>-455656</v>
      </c>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row>
    <row r="72" spans="1:45" s="417" customFormat="1" ht="18" customHeight="1">
      <c r="A72" s="417" t="s">
        <v>465</v>
      </c>
      <c r="B72" s="393"/>
      <c r="D72" s="458">
        <v>0</v>
      </c>
      <c r="E72" s="470">
        <v>0</v>
      </c>
      <c r="F72" s="454"/>
      <c r="G72" s="470">
        <v>0</v>
      </c>
      <c r="H72" s="458"/>
      <c r="I72" s="470">
        <f>'Water and Sewer'!L27+'Central Region'!L26</f>
        <v>6227268</v>
      </c>
      <c r="J72" s="458"/>
      <c r="K72" s="470">
        <f>Stormwater!L26</f>
        <v>0</v>
      </c>
      <c r="L72" s="458"/>
      <c r="M72" s="470">
        <f>'Parking System'!L27</f>
        <v>0</v>
      </c>
      <c r="N72" s="458"/>
      <c r="O72" s="470">
        <f>Airport!L26</f>
        <v>585868</v>
      </c>
      <c r="P72" s="461"/>
      <c r="Q72" s="461" t="e">
        <f>SUM('All Funds Sch A Left'!D73:J73)+SUM('All Funds Sch A Right'!D72:O72)</f>
        <v>#REF!</v>
      </c>
      <c r="R72" s="751">
        <v>23132081.399999999</v>
      </c>
      <c r="S72" s="461" t="e">
        <f>Q72-R72</f>
        <v>#REF!</v>
      </c>
      <c r="T72" s="454"/>
      <c r="U72" s="454"/>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4"/>
    </row>
    <row r="73" spans="1:45" s="417" customFormat="1" ht="18" customHeight="1">
      <c r="A73" s="417" t="s">
        <v>587</v>
      </c>
      <c r="B73" s="393"/>
      <c r="C73" s="417" t="s">
        <v>424</v>
      </c>
      <c r="D73" s="463">
        <f>SUM(D70:D72)</f>
        <v>0</v>
      </c>
      <c r="E73" s="463">
        <f>SUM(E70:E72)</f>
        <v>0</v>
      </c>
      <c r="F73" s="454"/>
      <c r="G73" s="463">
        <f>SUM(G70:G72)</f>
        <v>0</v>
      </c>
      <c r="H73" s="458">
        <f>SUM(H37:H72)</f>
        <v>0</v>
      </c>
      <c r="I73" s="463">
        <f>SUM(I70:I72)</f>
        <v>6227268</v>
      </c>
      <c r="J73" s="458">
        <f>SUM(J37:J72)</f>
        <v>0</v>
      </c>
      <c r="K73" s="463">
        <f>SUM(K70:K72)</f>
        <v>0</v>
      </c>
      <c r="L73" s="458">
        <f>SUM(L37:L72)</f>
        <v>0</v>
      </c>
      <c r="M73" s="463">
        <f>SUM(M70:M72)</f>
        <v>0</v>
      </c>
      <c r="N73" s="458">
        <f>SUM(N37:N72)</f>
        <v>0</v>
      </c>
      <c r="O73" s="463">
        <f>SUM(O70:O72)</f>
        <v>585868</v>
      </c>
      <c r="P73" s="461">
        <f>SUM(P37:P72)</f>
        <v>0</v>
      </c>
      <c r="Q73" s="464" t="e">
        <f>SUM(Q70:Q72)</f>
        <v>#REF!</v>
      </c>
      <c r="R73" s="752">
        <v>34299128.829999998</v>
      </c>
      <c r="S73" s="464" t="e">
        <f>Q73-R73</f>
        <v>#REF!</v>
      </c>
      <c r="T73" s="454"/>
      <c r="U73" s="454"/>
      <c r="V73" s="454"/>
      <c r="W73" s="454"/>
      <c r="X73" s="454"/>
      <c r="Y73" s="454"/>
      <c r="Z73" s="454"/>
      <c r="AA73" s="454"/>
      <c r="AB73" s="454"/>
      <c r="AC73" s="454"/>
      <c r="AD73" s="454"/>
      <c r="AE73" s="454"/>
      <c r="AF73" s="454"/>
      <c r="AG73" s="454"/>
      <c r="AH73" s="454"/>
      <c r="AI73" s="454"/>
      <c r="AJ73" s="454"/>
      <c r="AK73" s="454"/>
      <c r="AL73" s="454"/>
      <c r="AM73" s="454"/>
      <c r="AN73" s="454"/>
      <c r="AO73" s="454"/>
      <c r="AP73" s="454"/>
      <c r="AQ73" s="454"/>
      <c r="AR73" s="454"/>
      <c r="AS73" s="454"/>
    </row>
    <row r="74" spans="1:45" s="417" customFormat="1" ht="18.75">
      <c r="B74" s="393"/>
      <c r="D74" s="458"/>
      <c r="E74" s="458"/>
      <c r="F74" s="454"/>
      <c r="G74" s="458"/>
      <c r="H74" s="458"/>
      <c r="I74" s="458"/>
      <c r="J74" s="458"/>
      <c r="K74" s="458"/>
      <c r="L74" s="458"/>
      <c r="M74" s="458"/>
      <c r="N74" s="458"/>
      <c r="O74" s="458"/>
      <c r="P74" s="461"/>
      <c r="Q74" s="461"/>
      <c r="R74" s="751"/>
      <c r="S74" s="461"/>
      <c r="T74" s="454"/>
      <c r="U74" s="454"/>
      <c r="V74" s="454"/>
      <c r="W74" s="454"/>
      <c r="X74" s="454"/>
      <c r="Y74" s="454"/>
      <c r="Z74" s="454"/>
      <c r="AA74" s="454"/>
      <c r="AB74" s="454"/>
      <c r="AC74" s="454"/>
      <c r="AD74" s="454"/>
      <c r="AE74" s="454"/>
      <c r="AF74" s="454"/>
      <c r="AG74" s="454"/>
      <c r="AH74" s="454"/>
      <c r="AI74" s="454"/>
      <c r="AJ74" s="454"/>
      <c r="AK74" s="454"/>
      <c r="AL74" s="454"/>
      <c r="AM74" s="454"/>
      <c r="AN74" s="454"/>
      <c r="AO74" s="454"/>
      <c r="AP74" s="454"/>
      <c r="AQ74" s="454"/>
      <c r="AR74" s="454"/>
      <c r="AS74" s="454"/>
    </row>
    <row r="75" spans="1:45" s="417" customFormat="1" ht="17.25" customHeight="1">
      <c r="A75" s="417" t="s">
        <v>466</v>
      </c>
      <c r="B75" s="393"/>
      <c r="D75" s="458"/>
      <c r="E75" s="458"/>
      <c r="F75" s="454"/>
      <c r="G75" s="458"/>
      <c r="H75" s="458"/>
      <c r="I75" s="458"/>
      <c r="J75" s="458"/>
      <c r="K75" s="458"/>
      <c r="L75" s="458"/>
      <c r="M75" s="458"/>
      <c r="N75" s="458"/>
      <c r="O75" s="458"/>
      <c r="P75" s="461"/>
      <c r="Q75" s="461"/>
      <c r="R75" s="751"/>
      <c r="S75" s="461"/>
      <c r="T75" s="454"/>
      <c r="U75" s="454"/>
      <c r="V75" s="454"/>
      <c r="W75" s="454"/>
      <c r="X75" s="454"/>
      <c r="Y75" s="454"/>
      <c r="Z75" s="454"/>
      <c r="AA75" s="454"/>
      <c r="AB75" s="454"/>
      <c r="AC75" s="454"/>
      <c r="AD75" s="454"/>
      <c r="AE75" s="454"/>
      <c r="AF75" s="454"/>
      <c r="AG75" s="454"/>
      <c r="AH75" s="454"/>
      <c r="AI75" s="454"/>
      <c r="AJ75" s="454"/>
      <c r="AK75" s="454"/>
      <c r="AL75" s="454"/>
      <c r="AM75" s="454"/>
      <c r="AN75" s="454"/>
      <c r="AO75" s="454"/>
      <c r="AP75" s="454"/>
      <c r="AQ75" s="454"/>
      <c r="AR75" s="454"/>
      <c r="AS75" s="454"/>
    </row>
    <row r="76" spans="1:45" s="417" customFormat="1" ht="18" customHeight="1">
      <c r="A76" s="417" t="s">
        <v>36</v>
      </c>
      <c r="B76" s="393"/>
      <c r="D76" s="458">
        <v>0</v>
      </c>
      <c r="E76" s="458">
        <v>0</v>
      </c>
      <c r="F76" s="454"/>
      <c r="G76" s="458">
        <f>Sanitation!L31</f>
        <v>0</v>
      </c>
      <c r="H76" s="458"/>
      <c r="I76" s="458">
        <f>'Water and Sewer'!L33+'Central Region'!L32</f>
        <v>0</v>
      </c>
      <c r="J76" s="458"/>
      <c r="K76" s="458">
        <f>Stormwater!L32</f>
        <v>13107307</v>
      </c>
      <c r="L76" s="458"/>
      <c r="M76" s="458">
        <f>'Parking System'!L33</f>
        <v>3533101.8649315084</v>
      </c>
      <c r="N76" s="458"/>
      <c r="O76" s="460">
        <f>Airport!L31</f>
        <v>13024398</v>
      </c>
      <c r="P76" s="461"/>
      <c r="Q76" s="461" t="e">
        <f>SUM('All Funds Sch A Left'!D77:J77)+SUM('All Funds Sch A Right'!D76:O76)</f>
        <v>#REF!</v>
      </c>
      <c r="R76" s="751">
        <v>111256184.67</v>
      </c>
      <c r="S76" s="461" t="e">
        <f>Q76-R76</f>
        <v>#REF!</v>
      </c>
      <c r="T76" s="454"/>
      <c r="U76" s="454"/>
      <c r="V76" s="454"/>
      <c r="W76" s="454"/>
      <c r="X76" s="454"/>
      <c r="Y76" s="454"/>
      <c r="Z76" s="454"/>
      <c r="AA76" s="454"/>
      <c r="AB76" s="454"/>
      <c r="AC76" s="454"/>
      <c r="AD76" s="454"/>
      <c r="AE76" s="454"/>
      <c r="AF76" s="454"/>
      <c r="AG76" s="454"/>
      <c r="AH76" s="454"/>
      <c r="AI76" s="454"/>
      <c r="AJ76" s="454"/>
      <c r="AK76" s="454"/>
      <c r="AL76" s="454"/>
      <c r="AM76" s="454"/>
      <c r="AN76" s="454"/>
      <c r="AO76" s="454"/>
      <c r="AP76" s="454"/>
      <c r="AQ76" s="454"/>
      <c r="AR76" s="454"/>
      <c r="AS76" s="454"/>
    </row>
    <row r="77" spans="1:45" s="417" customFormat="1" ht="18" customHeight="1">
      <c r="A77" s="417" t="s">
        <v>37</v>
      </c>
      <c r="B77" s="393"/>
      <c r="D77" s="458">
        <v>0</v>
      </c>
      <c r="E77" s="458">
        <f>0</f>
        <v>0</v>
      </c>
      <c r="F77" s="458">
        <f>0</f>
        <v>0</v>
      </c>
      <c r="G77" s="458">
        <f>0</f>
        <v>0</v>
      </c>
      <c r="H77" s="458">
        <f>0</f>
        <v>0</v>
      </c>
      <c r="I77" s="458">
        <f>0</f>
        <v>0</v>
      </c>
      <c r="J77" s="458">
        <f>0</f>
        <v>0</v>
      </c>
      <c r="K77" s="458">
        <f>0</f>
        <v>0</v>
      </c>
      <c r="L77" s="458">
        <f>0</f>
        <v>0</v>
      </c>
      <c r="M77" s="458">
        <f>0</f>
        <v>0</v>
      </c>
      <c r="N77" s="458">
        <f>0</f>
        <v>0</v>
      </c>
      <c r="O77" s="458">
        <f>0</f>
        <v>0</v>
      </c>
      <c r="P77" s="458">
        <f>0</f>
        <v>0</v>
      </c>
      <c r="Q77" s="461">
        <f>SUM('All Funds Sch A Left'!D78:J78)+SUM('All Funds Sch A Right'!D77:O77)</f>
        <v>0</v>
      </c>
      <c r="R77" s="753">
        <v>0</v>
      </c>
      <c r="S77" s="461">
        <f>Q77-R77</f>
        <v>0</v>
      </c>
      <c r="T77" s="454"/>
      <c r="U77" s="454"/>
      <c r="V77" s="454"/>
      <c r="W77" s="454"/>
      <c r="X77" s="454"/>
      <c r="Y77" s="454"/>
      <c r="Z77" s="454"/>
      <c r="AA77" s="454"/>
      <c r="AB77" s="454"/>
      <c r="AC77" s="454"/>
      <c r="AD77" s="454"/>
      <c r="AE77" s="454"/>
      <c r="AF77" s="454"/>
      <c r="AG77" s="454"/>
      <c r="AH77" s="454"/>
      <c r="AI77" s="454"/>
      <c r="AJ77" s="454"/>
      <c r="AK77" s="454"/>
      <c r="AL77" s="454"/>
      <c r="AM77" s="454"/>
      <c r="AN77" s="454"/>
      <c r="AO77" s="454"/>
      <c r="AP77" s="454"/>
      <c r="AQ77" s="454"/>
      <c r="AR77" s="454"/>
      <c r="AS77" s="454"/>
    </row>
    <row r="78" spans="1:45" s="417" customFormat="1" ht="18" customHeight="1">
      <c r="A78" s="417" t="s">
        <v>690</v>
      </c>
      <c r="B78" s="393"/>
      <c r="D78" s="458">
        <v>0</v>
      </c>
      <c r="E78" s="458">
        <v>0</v>
      </c>
      <c r="F78" s="458"/>
      <c r="G78" s="458">
        <v>0</v>
      </c>
      <c r="H78" s="458"/>
      <c r="I78" s="458">
        <v>0</v>
      </c>
      <c r="J78" s="458"/>
      <c r="K78" s="458">
        <v>0</v>
      </c>
      <c r="L78" s="458"/>
      <c r="M78" s="458">
        <v>0</v>
      </c>
      <c r="N78" s="458"/>
      <c r="O78" s="458">
        <v>0</v>
      </c>
      <c r="P78" s="458"/>
      <c r="Q78" s="461">
        <f>SUM('All Funds Sch A Left'!D79:J79)+SUM('All Funds Sch A Right'!D78:O78)</f>
        <v>888679</v>
      </c>
      <c r="R78" s="753"/>
      <c r="S78" s="461">
        <f>Q78-R78</f>
        <v>888679</v>
      </c>
      <c r="T78" s="454"/>
      <c r="U78" s="454"/>
      <c r="V78" s="454"/>
      <c r="W78" s="454"/>
      <c r="X78" s="454"/>
      <c r="Y78" s="454"/>
      <c r="Z78" s="454"/>
      <c r="AA78" s="454"/>
      <c r="AB78" s="454"/>
      <c r="AC78" s="454"/>
      <c r="AD78" s="454"/>
      <c r="AE78" s="454"/>
      <c r="AF78" s="454"/>
      <c r="AG78" s="454"/>
      <c r="AH78" s="454"/>
      <c r="AI78" s="454"/>
      <c r="AJ78" s="454"/>
      <c r="AK78" s="454"/>
      <c r="AL78" s="454"/>
      <c r="AM78" s="454"/>
      <c r="AN78" s="454"/>
      <c r="AO78" s="454"/>
      <c r="AP78" s="454"/>
      <c r="AQ78" s="454"/>
      <c r="AR78" s="454"/>
      <c r="AS78" s="454"/>
    </row>
    <row r="79" spans="1:45" s="417" customFormat="1" ht="18" customHeight="1">
      <c r="A79" s="417" t="s">
        <v>749</v>
      </c>
      <c r="B79" s="393"/>
      <c r="D79" s="458">
        <f>Cemtery!L25</f>
        <v>24879487.120000001</v>
      </c>
      <c r="E79" s="470">
        <v>0</v>
      </c>
      <c r="F79" s="454"/>
      <c r="G79" s="458">
        <f>Sanitation!L30</f>
        <v>2310762.31</v>
      </c>
      <c r="H79" s="458"/>
      <c r="I79" s="470">
        <f>'Water and Sewer'!L32+'Central Region'!L31</f>
        <v>47374438.145342462</v>
      </c>
      <c r="J79" s="458"/>
      <c r="K79" s="470">
        <v>0</v>
      </c>
      <c r="L79" s="458"/>
      <c r="M79" s="458">
        <f>'Parking System'!L32</f>
        <v>3778896.0750684929</v>
      </c>
      <c r="N79" s="458"/>
      <c r="O79" s="470">
        <v>0</v>
      </c>
      <c r="P79" s="461"/>
      <c r="Q79" s="461" t="e">
        <f>SUM('All Funds Sch A Left'!D80:J80)+SUM('All Funds Sch A Right'!D79:O79)</f>
        <v>#REF!</v>
      </c>
      <c r="R79" s="751">
        <v>79155032.519999996</v>
      </c>
      <c r="S79" s="461" t="e">
        <f>Q79-R79</f>
        <v>#REF!</v>
      </c>
      <c r="T79" s="454"/>
      <c r="U79" s="454"/>
      <c r="V79" s="454"/>
      <c r="W79" s="454"/>
      <c r="X79" s="454"/>
      <c r="Y79" s="454"/>
      <c r="Z79" s="454"/>
      <c r="AA79" s="454"/>
      <c r="AB79" s="454"/>
      <c r="AC79" s="454"/>
      <c r="AD79" s="454"/>
      <c r="AE79" s="454"/>
      <c r="AF79" s="454"/>
      <c r="AG79" s="454"/>
      <c r="AH79" s="454"/>
      <c r="AI79" s="454"/>
      <c r="AJ79" s="454"/>
      <c r="AK79" s="454"/>
      <c r="AL79" s="454"/>
      <c r="AM79" s="454"/>
      <c r="AN79" s="454"/>
      <c r="AO79" s="454"/>
      <c r="AP79" s="454"/>
      <c r="AQ79" s="454"/>
      <c r="AR79" s="454"/>
      <c r="AS79" s="454"/>
    </row>
    <row r="80" spans="1:45" s="417" customFormat="1" ht="18" customHeight="1">
      <c r="A80" s="417" t="s">
        <v>468</v>
      </c>
      <c r="B80" s="393"/>
      <c r="C80" s="417" t="s">
        <v>424</v>
      </c>
      <c r="D80" s="463">
        <f>SUM(D76:D79)</f>
        <v>24879487.120000001</v>
      </c>
      <c r="E80" s="463">
        <f>SUM(E76:E79)</f>
        <v>0</v>
      </c>
      <c r="F80" s="454"/>
      <c r="G80" s="463">
        <f>SUM(G76:G79)</f>
        <v>2310762.31</v>
      </c>
      <c r="H80" s="458"/>
      <c r="I80" s="463">
        <f>SUM(I76:I79)</f>
        <v>47374438.145342462</v>
      </c>
      <c r="J80" s="458"/>
      <c r="K80" s="463">
        <f>SUM(K76:K79)</f>
        <v>13107307</v>
      </c>
      <c r="L80" s="458"/>
      <c r="M80" s="463">
        <f>SUM(M76:M79)</f>
        <v>7311997.9400000013</v>
      </c>
      <c r="N80" s="458"/>
      <c r="O80" s="463">
        <f>SUM(O76:O79)</f>
        <v>13024398</v>
      </c>
      <c r="P80" s="461"/>
      <c r="Q80" s="464" t="e">
        <f>SUM(Q76:Q79)</f>
        <v>#REF!</v>
      </c>
      <c r="R80" s="752">
        <v>190411217.19</v>
      </c>
      <c r="S80" s="464" t="e">
        <f>Q80-R80</f>
        <v>#REF!</v>
      </c>
      <c r="T80" s="454"/>
      <c r="U80" s="454"/>
      <c r="V80" s="454"/>
      <c r="W80" s="454"/>
      <c r="X80" s="454"/>
      <c r="Y80" s="454"/>
      <c r="Z80" s="454"/>
      <c r="AA80" s="454"/>
      <c r="AB80" s="454"/>
      <c r="AC80" s="454"/>
      <c r="AD80" s="454"/>
      <c r="AE80" s="454"/>
      <c r="AF80" s="454"/>
      <c r="AG80" s="454"/>
      <c r="AH80" s="454"/>
      <c r="AI80" s="454"/>
      <c r="AJ80" s="454"/>
      <c r="AK80" s="454"/>
      <c r="AL80" s="454"/>
      <c r="AM80" s="454"/>
      <c r="AN80" s="454"/>
      <c r="AO80" s="454"/>
      <c r="AP80" s="454"/>
      <c r="AQ80" s="454"/>
      <c r="AR80" s="454"/>
      <c r="AS80" s="454"/>
    </row>
    <row r="81" spans="1:45" s="417" customFormat="1" ht="8.25" customHeight="1">
      <c r="B81" s="393"/>
      <c r="D81" s="454"/>
      <c r="E81" s="454"/>
      <c r="F81" s="454"/>
      <c r="G81" s="454"/>
      <c r="H81" s="454"/>
      <c r="I81" s="454"/>
      <c r="J81" s="454"/>
      <c r="K81" s="454"/>
      <c r="L81" s="454"/>
      <c r="M81" s="454"/>
      <c r="N81" s="454"/>
      <c r="O81" s="454"/>
      <c r="P81" s="461"/>
      <c r="Q81" s="467"/>
      <c r="R81" s="753"/>
      <c r="S81" s="467"/>
      <c r="T81" s="454"/>
      <c r="U81" s="454"/>
      <c r="V81" s="454"/>
      <c r="W81" s="454"/>
      <c r="X81" s="454"/>
      <c r="Y81" s="454"/>
      <c r="Z81" s="454"/>
      <c r="AA81" s="454"/>
      <c r="AB81" s="454"/>
      <c r="AC81" s="454"/>
      <c r="AD81" s="454"/>
      <c r="AE81" s="454"/>
      <c r="AF81" s="454"/>
      <c r="AG81" s="454"/>
      <c r="AH81" s="454"/>
      <c r="AI81" s="454"/>
      <c r="AJ81" s="454"/>
      <c r="AK81" s="454"/>
      <c r="AL81" s="454"/>
      <c r="AM81" s="454"/>
      <c r="AN81" s="454"/>
      <c r="AO81" s="454"/>
      <c r="AP81" s="454"/>
      <c r="AQ81" s="454"/>
      <c r="AR81" s="454"/>
      <c r="AS81" s="454"/>
    </row>
    <row r="82" spans="1:45" s="417" customFormat="1" ht="21.95" customHeight="1" thickBot="1">
      <c r="A82" s="476" t="s">
        <v>25</v>
      </c>
      <c r="B82" s="587"/>
      <c r="C82" s="417" t="s">
        <v>424</v>
      </c>
      <c r="D82" s="482">
        <f>D67+D73+D80</f>
        <v>26129746.120000001</v>
      </c>
      <c r="E82" s="480">
        <f>E67+E73+E80</f>
        <v>1160554.8399999999</v>
      </c>
      <c r="F82" s="454"/>
      <c r="G82" s="480" t="e">
        <f>G67+G73+G80</f>
        <v>#REF!</v>
      </c>
      <c r="H82" s="481">
        <f>H72+H76</f>
        <v>0</v>
      </c>
      <c r="I82" s="480">
        <f>I67+I73+I80</f>
        <v>185359848.99534246</v>
      </c>
      <c r="J82" s="481">
        <f>J72+J76</f>
        <v>0</v>
      </c>
      <c r="K82" s="480">
        <f>K67+K73+K80</f>
        <v>19137193.16</v>
      </c>
      <c r="L82" s="481">
        <f>L72+L76</f>
        <v>0</v>
      </c>
      <c r="M82" s="480">
        <f>M67+M73+M80</f>
        <v>29062115.66</v>
      </c>
      <c r="N82" s="481">
        <f>N72+N76</f>
        <v>0</v>
      </c>
      <c r="O82" s="480">
        <f>O67+O73+O80</f>
        <v>21576376.600000001</v>
      </c>
      <c r="P82" s="481">
        <f>P73+P79</f>
        <v>0</v>
      </c>
      <c r="Q82" s="480" t="e">
        <f>Q67+Q73+Q80</f>
        <v>#REF!</v>
      </c>
      <c r="R82" s="758">
        <v>695347395.38999999</v>
      </c>
      <c r="S82" s="480" t="e">
        <f>Q82-R82</f>
        <v>#REF!</v>
      </c>
      <c r="T82" s="454"/>
      <c r="U82" s="454"/>
      <c r="V82" s="454"/>
      <c r="W82" s="454"/>
      <c r="X82" s="454"/>
      <c r="Y82" s="454"/>
      <c r="Z82" s="454"/>
      <c r="AA82" s="454"/>
      <c r="AB82" s="454"/>
      <c r="AC82" s="454"/>
      <c r="AD82" s="454"/>
      <c r="AE82" s="454"/>
      <c r="AF82" s="454"/>
      <c r="AG82" s="454"/>
      <c r="AH82" s="454"/>
      <c r="AI82" s="454"/>
      <c r="AJ82" s="454"/>
      <c r="AK82" s="454"/>
      <c r="AL82" s="454"/>
      <c r="AM82" s="454"/>
      <c r="AN82" s="454"/>
      <c r="AO82" s="454"/>
      <c r="AP82" s="454"/>
      <c r="AQ82" s="454"/>
      <c r="AR82" s="454"/>
      <c r="AS82" s="454"/>
    </row>
    <row r="83" spans="1:45" ht="21" customHeight="1" thickTop="1">
      <c r="A83" s="361"/>
      <c r="B83" s="583"/>
      <c r="C83" s="361"/>
      <c r="D83" s="361"/>
      <c r="E83" s="361"/>
      <c r="F83" s="361"/>
      <c r="G83" s="361"/>
      <c r="H83" s="361"/>
      <c r="I83" s="361"/>
      <c r="J83" s="361"/>
      <c r="K83" s="361"/>
      <c r="L83" s="361"/>
      <c r="M83" s="361"/>
      <c r="N83" s="361"/>
      <c r="O83" s="361"/>
      <c r="P83" s="361"/>
      <c r="Q83" s="375"/>
      <c r="R83" s="375"/>
      <c r="S83" s="375"/>
    </row>
    <row r="84" spans="1:45" ht="21" customHeight="1">
      <c r="A84" s="361"/>
      <c r="B84" s="583"/>
      <c r="C84" s="361"/>
      <c r="D84" s="361"/>
      <c r="E84" s="361"/>
      <c r="F84" s="361"/>
      <c r="G84" s="361"/>
      <c r="H84" s="361"/>
      <c r="I84" s="361"/>
      <c r="J84" s="361"/>
      <c r="K84" s="361"/>
      <c r="L84" s="361"/>
      <c r="M84" s="361"/>
      <c r="N84" s="361"/>
      <c r="O84" s="361"/>
      <c r="P84" s="361"/>
      <c r="Q84" s="375"/>
      <c r="R84" s="375"/>
      <c r="S84" s="375"/>
    </row>
    <row r="85" spans="1:45" ht="9.9499999999999993" customHeight="1">
      <c r="A85" s="361"/>
      <c r="B85" s="583"/>
      <c r="C85" s="361"/>
      <c r="D85" s="361"/>
      <c r="E85" s="361"/>
      <c r="F85" s="361"/>
      <c r="G85" s="361"/>
      <c r="H85" s="361"/>
      <c r="I85" s="361"/>
      <c r="J85" s="361"/>
      <c r="K85" s="361"/>
      <c r="L85" s="361"/>
      <c r="M85" s="361"/>
      <c r="N85" s="361"/>
      <c r="O85" s="361"/>
      <c r="P85" s="361"/>
      <c r="Q85" s="375"/>
      <c r="R85" s="375"/>
      <c r="S85" s="375"/>
    </row>
    <row r="86" spans="1:45" s="742" customFormat="1">
      <c r="A86" s="742" t="s">
        <v>469</v>
      </c>
      <c r="B86" s="743"/>
      <c r="D86" s="742">
        <f>D32-D82</f>
        <v>0</v>
      </c>
      <c r="E86" s="742">
        <f>E32-E82</f>
        <v>-4559.9999999997672</v>
      </c>
      <c r="G86" s="742" t="e">
        <f>G32-G82</f>
        <v>#REF!</v>
      </c>
      <c r="H86" s="742">
        <f>H32-H82</f>
        <v>0</v>
      </c>
      <c r="I86" s="742">
        <f>I32-I82</f>
        <v>4.6575367450714111E-3</v>
      </c>
      <c r="J86" s="742">
        <f>J32-J82</f>
        <v>0</v>
      </c>
      <c r="K86" s="742">
        <f>K32-K82</f>
        <v>-6753574.1600000001</v>
      </c>
      <c r="M86" s="742">
        <f>M32-M82</f>
        <v>0</v>
      </c>
      <c r="O86" s="742">
        <f>O32-O82</f>
        <v>0.32000000029802322</v>
      </c>
      <c r="Q86" s="742" t="e">
        <f>Q32-Q82</f>
        <v>#REF!</v>
      </c>
      <c r="R86" s="384">
        <v>0</v>
      </c>
      <c r="S86" s="384"/>
    </row>
    <row r="87" spans="1:45">
      <c r="D87" s="744" t="s">
        <v>58</v>
      </c>
      <c r="E87" s="744" t="s">
        <v>58</v>
      </c>
      <c r="N87" s="387"/>
      <c r="O87" s="387"/>
      <c r="P87" s="387"/>
      <c r="Q87" s="388"/>
      <c r="R87" s="388"/>
      <c r="S87" s="388"/>
    </row>
    <row r="88" spans="1:45">
      <c r="E88" s="363" t="s">
        <v>58</v>
      </c>
      <c r="I88" s="363" t="s">
        <v>58</v>
      </c>
      <c r="J88" s="363">
        <f>1387568+2587532+2641313+3973151+13140857</f>
        <v>23730421</v>
      </c>
      <c r="N88" s="387"/>
      <c r="O88" s="387"/>
      <c r="P88" s="387"/>
      <c r="Q88" s="388" t="s">
        <v>58</v>
      </c>
      <c r="R88" s="388" t="s">
        <v>58</v>
      </c>
      <c r="S88" s="388"/>
    </row>
    <row r="89" spans="1:45">
      <c r="N89" s="387"/>
      <c r="O89" s="387"/>
      <c r="P89" s="387"/>
      <c r="Q89" s="388"/>
      <c r="R89" s="388"/>
      <c r="S89" s="388"/>
    </row>
    <row r="90" spans="1:45">
      <c r="G90" s="376" t="s">
        <v>58</v>
      </c>
    </row>
    <row r="94" spans="1:45">
      <c r="K94" s="376" t="s">
        <v>58</v>
      </c>
      <c r="M94" s="379" t="s">
        <v>58</v>
      </c>
    </row>
    <row r="95" spans="1:45">
      <c r="G95" s="572" t="s">
        <v>470</v>
      </c>
      <c r="H95" s="572"/>
      <c r="I95" s="572"/>
      <c r="J95" s="572"/>
      <c r="K95" s="572"/>
      <c r="L95" s="572"/>
      <c r="M95" s="572"/>
      <c r="N95" s="572"/>
      <c r="O95" s="572"/>
    </row>
    <row r="97" spans="1:45" ht="63.75" thickBot="1">
      <c r="G97" s="366" t="s">
        <v>417</v>
      </c>
      <c r="H97" s="367"/>
      <c r="I97" s="366" t="s">
        <v>418</v>
      </c>
      <c r="J97" s="367"/>
      <c r="K97" s="366" t="s">
        <v>419</v>
      </c>
      <c r="L97" s="367"/>
      <c r="M97" s="366" t="s">
        <v>471</v>
      </c>
      <c r="N97" s="367"/>
      <c r="O97" s="366" t="s">
        <v>421</v>
      </c>
    </row>
    <row r="98" spans="1:45">
      <c r="G98" s="376" t="e">
        <f>G82</f>
        <v>#REF!</v>
      </c>
      <c r="I98" s="376">
        <f>I82</f>
        <v>185359848.99534246</v>
      </c>
      <c r="K98" s="376">
        <f>K82</f>
        <v>19137193.16</v>
      </c>
      <c r="M98" s="376">
        <f>M82</f>
        <v>29062115.66</v>
      </c>
      <c r="O98" s="376">
        <f>O82</f>
        <v>21576376.600000001</v>
      </c>
      <c r="Q98" s="389" t="e">
        <f>SUM(G98:O99)</f>
        <v>#REF!</v>
      </c>
      <c r="R98" s="389">
        <v>290058692.88</v>
      </c>
    </row>
    <row r="100" spans="1:45">
      <c r="M100" s="363" t="s">
        <v>472</v>
      </c>
      <c r="Q100" s="389">
        <f>'Central Region'!L34</f>
        <v>31293467.995342463</v>
      </c>
      <c r="R100" s="389">
        <v>30885875.850000001</v>
      </c>
    </row>
    <row r="102" spans="1:45" ht="13.5" thickBot="1">
      <c r="M102" s="363" t="s">
        <v>473</v>
      </c>
      <c r="Q102" s="392" t="e">
        <f>Q98-Q100</f>
        <v>#REF!</v>
      </c>
      <c r="R102" s="392">
        <v>259172817.03</v>
      </c>
      <c r="S102" s="392"/>
    </row>
    <row r="103" spans="1:45" ht="13.5" thickTop="1"/>
    <row r="104" spans="1:45">
      <c r="M104" s="363" t="s">
        <v>474</v>
      </c>
      <c r="Q104" s="389" t="e">
        <f>Q82</f>
        <v>#REF!</v>
      </c>
      <c r="R104" s="389">
        <v>695347395.38999999</v>
      </c>
    </row>
    <row r="105" spans="1:45" s="394" customFormat="1">
      <c r="B105" s="395"/>
      <c r="M105" s="395"/>
      <c r="N105" s="395"/>
      <c r="O105" s="395"/>
      <c r="P105" s="395"/>
      <c r="Q105" s="395"/>
      <c r="R105" s="395"/>
      <c r="S105" s="395"/>
      <c r="T105" s="396"/>
      <c r="U105" s="396"/>
      <c r="V105" s="396"/>
      <c r="W105" s="396"/>
      <c r="X105" s="396"/>
      <c r="Y105" s="396"/>
      <c r="Z105" s="396"/>
      <c r="AA105" s="396"/>
      <c r="AB105" s="396"/>
      <c r="AC105" s="396"/>
      <c r="AD105" s="396"/>
      <c r="AE105" s="396"/>
      <c r="AF105" s="396"/>
      <c r="AG105" s="396"/>
      <c r="AH105" s="396"/>
      <c r="AI105" s="396"/>
      <c r="AJ105" s="396"/>
      <c r="AK105" s="396"/>
      <c r="AL105" s="396"/>
      <c r="AM105" s="396"/>
      <c r="AN105" s="396"/>
      <c r="AO105" s="396"/>
      <c r="AP105" s="396"/>
      <c r="AQ105" s="396"/>
      <c r="AR105" s="396"/>
      <c r="AS105" s="396"/>
    </row>
    <row r="106" spans="1:45" s="394" customFormat="1" ht="13.5" thickBot="1">
      <c r="A106" s="395"/>
      <c r="B106" s="395"/>
      <c r="C106" s="395"/>
      <c r="D106" s="395"/>
      <c r="E106" s="395"/>
      <c r="F106" s="395"/>
      <c r="G106" s="395"/>
      <c r="H106" s="395"/>
      <c r="I106" s="395"/>
      <c r="J106" s="395"/>
      <c r="K106" s="395"/>
      <c r="L106" s="395"/>
      <c r="M106" s="363" t="s">
        <v>475</v>
      </c>
      <c r="N106" s="363"/>
      <c r="O106" s="363"/>
      <c r="P106" s="363"/>
      <c r="Q106" s="399" t="e">
        <f>Q102/Q104</f>
        <v>#REF!</v>
      </c>
      <c r="R106" s="399">
        <v>0.37272422209137285</v>
      </c>
      <c r="S106" s="399"/>
      <c r="T106" s="396"/>
      <c r="U106" s="396"/>
      <c r="V106" s="396"/>
      <c r="W106" s="396"/>
      <c r="X106" s="396"/>
      <c r="Y106" s="396"/>
      <c r="Z106" s="396"/>
      <c r="AA106" s="396"/>
      <c r="AB106" s="396"/>
      <c r="AC106" s="396"/>
      <c r="AD106" s="396"/>
      <c r="AE106" s="396"/>
      <c r="AF106" s="396"/>
      <c r="AG106" s="396"/>
      <c r="AH106" s="396"/>
      <c r="AI106" s="396"/>
      <c r="AJ106" s="396"/>
      <c r="AK106" s="396"/>
      <c r="AL106" s="396"/>
      <c r="AM106" s="396"/>
      <c r="AN106" s="396"/>
      <c r="AO106" s="396"/>
      <c r="AP106" s="396"/>
      <c r="AQ106" s="396"/>
      <c r="AR106" s="396"/>
      <c r="AS106" s="396"/>
    </row>
    <row r="107" spans="1:45" ht="13.5" thickTop="1"/>
  </sheetData>
  <mergeCells count="3">
    <mergeCell ref="A4:Q4"/>
    <mergeCell ref="A2:Q2"/>
    <mergeCell ref="A1:Q1"/>
  </mergeCells>
  <printOptions horizontalCentered="1"/>
  <pageMargins left="0.5" right="0.5" top="0.5" bottom="0.5" header="0.3" footer="0.3"/>
  <pageSetup scale="53" fitToWidth="2" fitToHeight="2"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BI105"/>
  <sheetViews>
    <sheetView showGridLines="0" zoomScale="70" zoomScaleNormal="70" workbookViewId="0">
      <pane xSplit="3" ySplit="7" topLeftCell="D8" activePane="bottomRight" state="frozen"/>
      <selection activeCell="Q42" sqref="Q42"/>
      <selection pane="topRight" activeCell="Q42" sqref="Q42"/>
      <selection pane="bottomLeft" activeCell="Q42" sqref="Q42"/>
      <selection pane="bottomRight" activeCell="U28" sqref="U28"/>
    </sheetView>
  </sheetViews>
  <sheetFormatPr defaultRowHeight="12.75"/>
  <cols>
    <col min="1" max="1" width="37.28515625" style="365" hidden="1" customWidth="1"/>
    <col min="2" max="2" width="10" style="365" hidden="1" customWidth="1"/>
    <col min="3" max="3" width="2.7109375" style="365" hidden="1" customWidth="1"/>
    <col min="4" max="4" width="17" style="377" hidden="1" customWidth="1"/>
    <col min="5" max="5" width="1" style="365" hidden="1" customWidth="1"/>
    <col min="6" max="6" width="21.7109375" style="363" hidden="1" customWidth="1"/>
    <col min="7" max="7" width="1.140625" style="363" hidden="1" customWidth="1"/>
    <col min="8" max="8" width="13.42578125" style="363" hidden="1" customWidth="1"/>
    <col min="9" max="9" width="1.140625" style="363" hidden="1" customWidth="1"/>
    <col min="10" max="10" width="19.140625" style="363" hidden="1" customWidth="1"/>
    <col min="11" max="11" width="0.7109375" style="363" hidden="1" customWidth="1"/>
    <col min="12" max="12" width="18.42578125" style="363" hidden="1" customWidth="1"/>
    <col min="13" max="13" width="1.140625" style="386" hidden="1" customWidth="1"/>
    <col min="14" max="14" width="18.140625" style="363" hidden="1" customWidth="1"/>
    <col min="15" max="15" width="15.5703125" style="363" hidden="1" customWidth="1"/>
    <col min="16" max="16" width="0.85546875" style="363" hidden="1" customWidth="1"/>
    <col min="17" max="17" width="44.28515625" style="363" customWidth="1"/>
    <col min="18" max="18" width="9.7109375" style="588" customWidth="1"/>
    <col min="19" max="19" width="2.5703125" style="363" customWidth="1"/>
    <col min="20" max="20" width="16.85546875" style="363" customWidth="1"/>
    <col min="21" max="21" width="14.5703125" style="363" customWidth="1"/>
    <col min="22" max="22" width="1.140625" style="363" hidden="1" customWidth="1"/>
    <col min="23" max="23" width="16.5703125" style="363" customWidth="1"/>
    <col min="24" max="24" width="0.5703125" style="363" hidden="1" customWidth="1"/>
    <col min="25" max="25" width="17.85546875" style="363" customWidth="1"/>
    <col min="26" max="26" width="0.85546875" style="363" hidden="1" customWidth="1"/>
    <col min="27" max="27" width="16.7109375" style="363" bestFit="1" customWidth="1"/>
    <col min="28" max="28" width="0.85546875" style="363" hidden="1" customWidth="1"/>
    <col min="29" max="29" width="15.7109375" style="363" customWidth="1"/>
    <col min="30" max="30" width="14.5703125" style="363" hidden="1" customWidth="1"/>
    <col min="31" max="31" width="16" style="363" customWidth="1"/>
    <col min="32" max="32" width="0.7109375" style="363" hidden="1" customWidth="1"/>
    <col min="33" max="33" width="19.28515625" style="389" customWidth="1"/>
    <col min="34" max="34" width="16" style="363" bestFit="1" customWidth="1"/>
    <col min="35" max="35" width="19.5703125" style="364" bestFit="1" customWidth="1"/>
    <col min="36" max="36" width="16" style="363" bestFit="1" customWidth="1"/>
    <col min="37" max="61" width="9.140625" style="363" customWidth="1"/>
    <col min="62" max="256" width="8.85546875" style="365"/>
    <col min="257" max="257" width="44.5703125" style="365" customWidth="1"/>
    <col min="258" max="258" width="14.28515625" style="365" bestFit="1" customWidth="1"/>
    <col min="259" max="259" width="1.7109375" style="365" customWidth="1"/>
    <col min="260" max="260" width="14.85546875" style="365" customWidth="1"/>
    <col min="261" max="261" width="0" style="365" hidden="1" customWidth="1"/>
    <col min="262" max="262" width="17.42578125" style="365" customWidth="1"/>
    <col min="263" max="263" width="0" style="365" hidden="1" customWidth="1"/>
    <col min="264" max="264" width="12.85546875" style="365" customWidth="1"/>
    <col min="265" max="265" width="0" style="365" hidden="1" customWidth="1"/>
    <col min="266" max="266" width="14.42578125" style="365" customWidth="1"/>
    <col min="267" max="267" width="0" style="365" hidden="1" customWidth="1"/>
    <col min="268" max="268" width="17.42578125" style="365" customWidth="1"/>
    <col min="269" max="269" width="0" style="365" hidden="1" customWidth="1"/>
    <col min="270" max="270" width="14" style="365" customWidth="1"/>
    <col min="271" max="271" width="14.28515625" style="365" bestFit="1" customWidth="1"/>
    <col min="272" max="272" width="0" style="365" hidden="1" customWidth="1"/>
    <col min="273" max="273" width="15.5703125" style="365" customWidth="1"/>
    <col min="274" max="274" width="44.5703125" style="365" customWidth="1"/>
    <col min="275" max="275" width="14.28515625" style="365" bestFit="1" customWidth="1"/>
    <col min="276" max="276" width="0" style="365" hidden="1" customWidth="1"/>
    <col min="277" max="277" width="18.140625" style="365" customWidth="1"/>
    <col min="278" max="278" width="0" style="365" hidden="1" customWidth="1"/>
    <col min="279" max="279" width="14" style="365" customWidth="1"/>
    <col min="280" max="280" width="0" style="365" hidden="1" customWidth="1"/>
    <col min="281" max="281" width="20.85546875" style="365" customWidth="1"/>
    <col min="282" max="282" width="0" style="365" hidden="1" customWidth="1"/>
    <col min="283" max="283" width="13.28515625" style="365" customWidth="1"/>
    <col min="284" max="284" width="0" style="365" hidden="1" customWidth="1"/>
    <col min="285" max="285" width="15" style="365" customWidth="1"/>
    <col min="286" max="286" width="0" style="365" hidden="1" customWidth="1"/>
    <col min="287" max="287" width="13.28515625" style="365" customWidth="1"/>
    <col min="288" max="288" width="0" style="365" hidden="1" customWidth="1"/>
    <col min="289" max="289" width="20.140625" style="365" customWidth="1"/>
    <col min="290" max="290" width="14.42578125" style="365" bestFit="1" customWidth="1"/>
    <col min="291" max="291" width="14" style="365" bestFit="1" customWidth="1"/>
    <col min="292" max="292" width="12.28515625" style="365" bestFit="1" customWidth="1"/>
    <col min="293" max="317" width="9.140625" style="365" customWidth="1"/>
    <col min="318" max="512" width="8.85546875" style="365"/>
    <col min="513" max="513" width="44.5703125" style="365" customWidth="1"/>
    <col min="514" max="514" width="14.28515625" style="365" bestFit="1" customWidth="1"/>
    <col min="515" max="515" width="1.7109375" style="365" customWidth="1"/>
    <col min="516" max="516" width="14.85546875" style="365" customWidth="1"/>
    <col min="517" max="517" width="0" style="365" hidden="1" customWidth="1"/>
    <col min="518" max="518" width="17.42578125" style="365" customWidth="1"/>
    <col min="519" max="519" width="0" style="365" hidden="1" customWidth="1"/>
    <col min="520" max="520" width="12.85546875" style="365" customWidth="1"/>
    <col min="521" max="521" width="0" style="365" hidden="1" customWidth="1"/>
    <col min="522" max="522" width="14.42578125" style="365" customWidth="1"/>
    <col min="523" max="523" width="0" style="365" hidden="1" customWidth="1"/>
    <col min="524" max="524" width="17.42578125" style="365" customWidth="1"/>
    <col min="525" max="525" width="0" style="365" hidden="1" customWidth="1"/>
    <col min="526" max="526" width="14" style="365" customWidth="1"/>
    <col min="527" max="527" width="14.28515625" style="365" bestFit="1" customWidth="1"/>
    <col min="528" max="528" width="0" style="365" hidden="1" customWidth="1"/>
    <col min="529" max="529" width="15.5703125" style="365" customWidth="1"/>
    <col min="530" max="530" width="44.5703125" style="365" customWidth="1"/>
    <col min="531" max="531" width="14.28515625" style="365" bestFit="1" customWidth="1"/>
    <col min="532" max="532" width="0" style="365" hidden="1" customWidth="1"/>
    <col min="533" max="533" width="18.140625" style="365" customWidth="1"/>
    <col min="534" max="534" width="0" style="365" hidden="1" customWidth="1"/>
    <col min="535" max="535" width="14" style="365" customWidth="1"/>
    <col min="536" max="536" width="0" style="365" hidden="1" customWidth="1"/>
    <col min="537" max="537" width="20.85546875" style="365" customWidth="1"/>
    <col min="538" max="538" width="0" style="365" hidden="1" customWidth="1"/>
    <col min="539" max="539" width="13.28515625" style="365" customWidth="1"/>
    <col min="540" max="540" width="0" style="365" hidden="1" customWidth="1"/>
    <col min="541" max="541" width="15" style="365" customWidth="1"/>
    <col min="542" max="542" width="0" style="365" hidden="1" customWidth="1"/>
    <col min="543" max="543" width="13.28515625" style="365" customWidth="1"/>
    <col min="544" max="544" width="0" style="365" hidden="1" customWidth="1"/>
    <col min="545" max="545" width="20.140625" style="365" customWidth="1"/>
    <col min="546" max="546" width="14.42578125" style="365" bestFit="1" customWidth="1"/>
    <col min="547" max="547" width="14" style="365" bestFit="1" customWidth="1"/>
    <col min="548" max="548" width="12.28515625" style="365" bestFit="1" customWidth="1"/>
    <col min="549" max="573" width="9.140625" style="365" customWidth="1"/>
    <col min="574" max="768" width="8.85546875" style="365"/>
    <col min="769" max="769" width="44.5703125" style="365" customWidth="1"/>
    <col min="770" max="770" width="14.28515625" style="365" bestFit="1" customWidth="1"/>
    <col min="771" max="771" width="1.7109375" style="365" customWidth="1"/>
    <col min="772" max="772" width="14.85546875" style="365" customWidth="1"/>
    <col min="773" max="773" width="0" style="365" hidden="1" customWidth="1"/>
    <col min="774" max="774" width="17.42578125" style="365" customWidth="1"/>
    <col min="775" max="775" width="0" style="365" hidden="1" customWidth="1"/>
    <col min="776" max="776" width="12.85546875" style="365" customWidth="1"/>
    <col min="777" max="777" width="0" style="365" hidden="1" customWidth="1"/>
    <col min="778" max="778" width="14.42578125" style="365" customWidth="1"/>
    <col min="779" max="779" width="0" style="365" hidden="1" customWidth="1"/>
    <col min="780" max="780" width="17.42578125" style="365" customWidth="1"/>
    <col min="781" max="781" width="0" style="365" hidden="1" customWidth="1"/>
    <col min="782" max="782" width="14" style="365" customWidth="1"/>
    <col min="783" max="783" width="14.28515625" style="365" bestFit="1" customWidth="1"/>
    <col min="784" max="784" width="0" style="365" hidden="1" customWidth="1"/>
    <col min="785" max="785" width="15.5703125" style="365" customWidth="1"/>
    <col min="786" max="786" width="44.5703125" style="365" customWidth="1"/>
    <col min="787" max="787" width="14.28515625" style="365" bestFit="1" customWidth="1"/>
    <col min="788" max="788" width="0" style="365" hidden="1" customWidth="1"/>
    <col min="789" max="789" width="18.140625" style="365" customWidth="1"/>
    <col min="790" max="790" width="0" style="365" hidden="1" customWidth="1"/>
    <col min="791" max="791" width="14" style="365" customWidth="1"/>
    <col min="792" max="792" width="0" style="365" hidden="1" customWidth="1"/>
    <col min="793" max="793" width="20.85546875" style="365" customWidth="1"/>
    <col min="794" max="794" width="0" style="365" hidden="1" customWidth="1"/>
    <col min="795" max="795" width="13.28515625" style="365" customWidth="1"/>
    <col min="796" max="796" width="0" style="365" hidden="1" customWidth="1"/>
    <col min="797" max="797" width="15" style="365" customWidth="1"/>
    <col min="798" max="798" width="0" style="365" hidden="1" customWidth="1"/>
    <col min="799" max="799" width="13.28515625" style="365" customWidth="1"/>
    <col min="800" max="800" width="0" style="365" hidden="1" customWidth="1"/>
    <col min="801" max="801" width="20.140625" style="365" customWidth="1"/>
    <col min="802" max="802" width="14.42578125" style="365" bestFit="1" customWidth="1"/>
    <col min="803" max="803" width="14" style="365" bestFit="1" customWidth="1"/>
    <col min="804" max="804" width="12.28515625" style="365" bestFit="1" customWidth="1"/>
    <col min="805" max="829" width="9.140625" style="365" customWidth="1"/>
    <col min="830" max="1024" width="9.7109375" style="365"/>
    <col min="1025" max="1025" width="44.5703125" style="365" customWidth="1"/>
    <col min="1026" max="1026" width="14.28515625" style="365" bestFit="1" customWidth="1"/>
    <col min="1027" max="1027" width="1.7109375" style="365" customWidth="1"/>
    <col min="1028" max="1028" width="14.85546875" style="365" customWidth="1"/>
    <col min="1029" max="1029" width="0" style="365" hidden="1" customWidth="1"/>
    <col min="1030" max="1030" width="17.42578125" style="365" customWidth="1"/>
    <col min="1031" max="1031" width="0" style="365" hidden="1" customWidth="1"/>
    <col min="1032" max="1032" width="12.85546875" style="365" customWidth="1"/>
    <col min="1033" max="1033" width="0" style="365" hidden="1" customWidth="1"/>
    <col min="1034" max="1034" width="14.42578125" style="365" customWidth="1"/>
    <col min="1035" max="1035" width="0" style="365" hidden="1" customWidth="1"/>
    <col min="1036" max="1036" width="17.42578125" style="365" customWidth="1"/>
    <col min="1037" max="1037" width="0" style="365" hidden="1" customWidth="1"/>
    <col min="1038" max="1038" width="14" style="365" customWidth="1"/>
    <col min="1039" max="1039" width="14.28515625" style="365" bestFit="1" customWidth="1"/>
    <col min="1040" max="1040" width="0" style="365" hidden="1" customWidth="1"/>
    <col min="1041" max="1041" width="15.5703125" style="365" customWidth="1"/>
    <col min="1042" max="1042" width="44.5703125" style="365" customWidth="1"/>
    <col min="1043" max="1043" width="14.28515625" style="365" bestFit="1" customWidth="1"/>
    <col min="1044" max="1044" width="0" style="365" hidden="1" customWidth="1"/>
    <col min="1045" max="1045" width="18.140625" style="365" customWidth="1"/>
    <col min="1046" max="1046" width="0" style="365" hidden="1" customWidth="1"/>
    <col min="1047" max="1047" width="14" style="365" customWidth="1"/>
    <col min="1048" max="1048" width="0" style="365" hidden="1" customWidth="1"/>
    <col min="1049" max="1049" width="20.85546875" style="365" customWidth="1"/>
    <col min="1050" max="1050" width="0" style="365" hidden="1" customWidth="1"/>
    <col min="1051" max="1051" width="13.28515625" style="365" customWidth="1"/>
    <col min="1052" max="1052" width="0" style="365" hidden="1" customWidth="1"/>
    <col min="1053" max="1053" width="15" style="365" customWidth="1"/>
    <col min="1054" max="1054" width="0" style="365" hidden="1" customWidth="1"/>
    <col min="1055" max="1055" width="13.28515625" style="365" customWidth="1"/>
    <col min="1056" max="1056" width="0" style="365" hidden="1" customWidth="1"/>
    <col min="1057" max="1057" width="20.140625" style="365" customWidth="1"/>
    <col min="1058" max="1058" width="14.42578125" style="365" bestFit="1" customWidth="1"/>
    <col min="1059" max="1059" width="14" style="365" bestFit="1" customWidth="1"/>
    <col min="1060" max="1060" width="12.28515625" style="365" bestFit="1" customWidth="1"/>
    <col min="1061" max="1085" width="9.140625" style="365" customWidth="1"/>
    <col min="1086" max="1280" width="8.85546875" style="365"/>
    <col min="1281" max="1281" width="44.5703125" style="365" customWidth="1"/>
    <col min="1282" max="1282" width="14.28515625" style="365" bestFit="1" customWidth="1"/>
    <col min="1283" max="1283" width="1.7109375" style="365" customWidth="1"/>
    <col min="1284" max="1284" width="14.85546875" style="365" customWidth="1"/>
    <col min="1285" max="1285" width="0" style="365" hidden="1" customWidth="1"/>
    <col min="1286" max="1286" width="17.42578125" style="365" customWidth="1"/>
    <col min="1287" max="1287" width="0" style="365" hidden="1" customWidth="1"/>
    <col min="1288" max="1288" width="12.85546875" style="365" customWidth="1"/>
    <col min="1289" max="1289" width="0" style="365" hidden="1" customWidth="1"/>
    <col min="1290" max="1290" width="14.42578125" style="365" customWidth="1"/>
    <col min="1291" max="1291" width="0" style="365" hidden="1" customWidth="1"/>
    <col min="1292" max="1292" width="17.42578125" style="365" customWidth="1"/>
    <col min="1293" max="1293" width="0" style="365" hidden="1" customWidth="1"/>
    <col min="1294" max="1294" width="14" style="365" customWidth="1"/>
    <col min="1295" max="1295" width="14.28515625" style="365" bestFit="1" customWidth="1"/>
    <col min="1296" max="1296" width="0" style="365" hidden="1" customWidth="1"/>
    <col min="1297" max="1297" width="15.5703125" style="365" customWidth="1"/>
    <col min="1298" max="1298" width="44.5703125" style="365" customWidth="1"/>
    <col min="1299" max="1299" width="14.28515625" style="365" bestFit="1" customWidth="1"/>
    <col min="1300" max="1300" width="0" style="365" hidden="1" customWidth="1"/>
    <col min="1301" max="1301" width="18.140625" style="365" customWidth="1"/>
    <col min="1302" max="1302" width="0" style="365" hidden="1" customWidth="1"/>
    <col min="1303" max="1303" width="14" style="365" customWidth="1"/>
    <col min="1304" max="1304" width="0" style="365" hidden="1" customWidth="1"/>
    <col min="1305" max="1305" width="20.85546875" style="365" customWidth="1"/>
    <col min="1306" max="1306" width="0" style="365" hidden="1" customWidth="1"/>
    <col min="1307" max="1307" width="13.28515625" style="365" customWidth="1"/>
    <col min="1308" max="1308" width="0" style="365" hidden="1" customWidth="1"/>
    <col min="1309" max="1309" width="15" style="365" customWidth="1"/>
    <col min="1310" max="1310" width="0" style="365" hidden="1" customWidth="1"/>
    <col min="1311" max="1311" width="13.28515625" style="365" customWidth="1"/>
    <col min="1312" max="1312" width="0" style="365" hidden="1" customWidth="1"/>
    <col min="1313" max="1313" width="20.140625" style="365" customWidth="1"/>
    <col min="1314" max="1314" width="14.42578125" style="365" bestFit="1" customWidth="1"/>
    <col min="1315" max="1315" width="14" style="365" bestFit="1" customWidth="1"/>
    <col min="1316" max="1316" width="12.28515625" style="365" bestFit="1" customWidth="1"/>
    <col min="1317" max="1341" width="9.140625" style="365" customWidth="1"/>
    <col min="1342" max="1536" width="8.85546875" style="365"/>
    <col min="1537" max="1537" width="44.5703125" style="365" customWidth="1"/>
    <col min="1538" max="1538" width="14.28515625" style="365" bestFit="1" customWidth="1"/>
    <col min="1539" max="1539" width="1.7109375" style="365" customWidth="1"/>
    <col min="1540" max="1540" width="14.85546875" style="365" customWidth="1"/>
    <col min="1541" max="1541" width="0" style="365" hidden="1" customWidth="1"/>
    <col min="1542" max="1542" width="17.42578125" style="365" customWidth="1"/>
    <col min="1543" max="1543" width="0" style="365" hidden="1" customWidth="1"/>
    <col min="1544" max="1544" width="12.85546875" style="365" customWidth="1"/>
    <col min="1545" max="1545" width="0" style="365" hidden="1" customWidth="1"/>
    <col min="1546" max="1546" width="14.42578125" style="365" customWidth="1"/>
    <col min="1547" max="1547" width="0" style="365" hidden="1" customWidth="1"/>
    <col min="1548" max="1548" width="17.42578125" style="365" customWidth="1"/>
    <col min="1549" max="1549" width="0" style="365" hidden="1" customWidth="1"/>
    <col min="1550" max="1550" width="14" style="365" customWidth="1"/>
    <col min="1551" max="1551" width="14.28515625" style="365" bestFit="1" customWidth="1"/>
    <col min="1552" max="1552" width="0" style="365" hidden="1" customWidth="1"/>
    <col min="1553" max="1553" width="15.5703125" style="365" customWidth="1"/>
    <col min="1554" max="1554" width="44.5703125" style="365" customWidth="1"/>
    <col min="1555" max="1555" width="14.28515625" style="365" bestFit="1" customWidth="1"/>
    <col min="1556" max="1556" width="0" style="365" hidden="1" customWidth="1"/>
    <col min="1557" max="1557" width="18.140625" style="365" customWidth="1"/>
    <col min="1558" max="1558" width="0" style="365" hidden="1" customWidth="1"/>
    <col min="1559" max="1559" width="14" style="365" customWidth="1"/>
    <col min="1560" max="1560" width="0" style="365" hidden="1" customWidth="1"/>
    <col min="1561" max="1561" width="20.85546875" style="365" customWidth="1"/>
    <col min="1562" max="1562" width="0" style="365" hidden="1" customWidth="1"/>
    <col min="1563" max="1563" width="13.28515625" style="365" customWidth="1"/>
    <col min="1564" max="1564" width="0" style="365" hidden="1" customWidth="1"/>
    <col min="1565" max="1565" width="15" style="365" customWidth="1"/>
    <col min="1566" max="1566" width="0" style="365" hidden="1" customWidth="1"/>
    <col min="1567" max="1567" width="13.28515625" style="365" customWidth="1"/>
    <col min="1568" max="1568" width="0" style="365" hidden="1" customWidth="1"/>
    <col min="1569" max="1569" width="20.140625" style="365" customWidth="1"/>
    <col min="1570" max="1570" width="14.42578125" style="365" bestFit="1" customWidth="1"/>
    <col min="1571" max="1571" width="14" style="365" bestFit="1" customWidth="1"/>
    <col min="1572" max="1572" width="12.28515625" style="365" bestFit="1" customWidth="1"/>
    <col min="1573" max="1597" width="9.140625" style="365" customWidth="1"/>
    <col min="1598" max="1792" width="8.85546875" style="365"/>
    <col min="1793" max="1793" width="44.5703125" style="365" customWidth="1"/>
    <col min="1794" max="1794" width="14.28515625" style="365" bestFit="1" customWidth="1"/>
    <col min="1795" max="1795" width="1.7109375" style="365" customWidth="1"/>
    <col min="1796" max="1796" width="14.85546875" style="365" customWidth="1"/>
    <col min="1797" max="1797" width="0" style="365" hidden="1" customWidth="1"/>
    <col min="1798" max="1798" width="17.42578125" style="365" customWidth="1"/>
    <col min="1799" max="1799" width="0" style="365" hidden="1" customWidth="1"/>
    <col min="1800" max="1800" width="12.85546875" style="365" customWidth="1"/>
    <col min="1801" max="1801" width="0" style="365" hidden="1" customWidth="1"/>
    <col min="1802" max="1802" width="14.42578125" style="365" customWidth="1"/>
    <col min="1803" max="1803" width="0" style="365" hidden="1" customWidth="1"/>
    <col min="1804" max="1804" width="17.42578125" style="365" customWidth="1"/>
    <col min="1805" max="1805" width="0" style="365" hidden="1" customWidth="1"/>
    <col min="1806" max="1806" width="14" style="365" customWidth="1"/>
    <col min="1807" max="1807" width="14.28515625" style="365" bestFit="1" customWidth="1"/>
    <col min="1808" max="1808" width="0" style="365" hidden="1" customWidth="1"/>
    <col min="1809" max="1809" width="15.5703125" style="365" customWidth="1"/>
    <col min="1810" max="1810" width="44.5703125" style="365" customWidth="1"/>
    <col min="1811" max="1811" width="14.28515625" style="365" bestFit="1" customWidth="1"/>
    <col min="1812" max="1812" width="0" style="365" hidden="1" customWidth="1"/>
    <col min="1813" max="1813" width="18.140625" style="365" customWidth="1"/>
    <col min="1814" max="1814" width="0" style="365" hidden="1" customWidth="1"/>
    <col min="1815" max="1815" width="14" style="365" customWidth="1"/>
    <col min="1816" max="1816" width="0" style="365" hidden="1" customWidth="1"/>
    <col min="1817" max="1817" width="20.85546875" style="365" customWidth="1"/>
    <col min="1818" max="1818" width="0" style="365" hidden="1" customWidth="1"/>
    <col min="1819" max="1819" width="13.28515625" style="365" customWidth="1"/>
    <col min="1820" max="1820" width="0" style="365" hidden="1" customWidth="1"/>
    <col min="1821" max="1821" width="15" style="365" customWidth="1"/>
    <col min="1822" max="1822" width="0" style="365" hidden="1" customWidth="1"/>
    <col min="1823" max="1823" width="13.28515625" style="365" customWidth="1"/>
    <col min="1824" max="1824" width="0" style="365" hidden="1" customWidth="1"/>
    <col min="1825" max="1825" width="20.140625" style="365" customWidth="1"/>
    <col min="1826" max="1826" width="14.42578125" style="365" bestFit="1" customWidth="1"/>
    <col min="1827" max="1827" width="14" style="365" bestFit="1" customWidth="1"/>
    <col min="1828" max="1828" width="12.28515625" style="365" bestFit="1" customWidth="1"/>
    <col min="1829" max="1853" width="9.140625" style="365" customWidth="1"/>
    <col min="1854" max="2048" width="9.7109375" style="365"/>
    <col min="2049" max="2049" width="44.5703125" style="365" customWidth="1"/>
    <col min="2050" max="2050" width="14.28515625" style="365" bestFit="1" customWidth="1"/>
    <col min="2051" max="2051" width="1.7109375" style="365" customWidth="1"/>
    <col min="2052" max="2052" width="14.85546875" style="365" customWidth="1"/>
    <col min="2053" max="2053" width="0" style="365" hidden="1" customWidth="1"/>
    <col min="2054" max="2054" width="17.42578125" style="365" customWidth="1"/>
    <col min="2055" max="2055" width="0" style="365" hidden="1" customWidth="1"/>
    <col min="2056" max="2056" width="12.85546875" style="365" customWidth="1"/>
    <col min="2057" max="2057" width="0" style="365" hidden="1" customWidth="1"/>
    <col min="2058" max="2058" width="14.42578125" style="365" customWidth="1"/>
    <col min="2059" max="2059" width="0" style="365" hidden="1" customWidth="1"/>
    <col min="2060" max="2060" width="17.42578125" style="365" customWidth="1"/>
    <col min="2061" max="2061" width="0" style="365" hidden="1" customWidth="1"/>
    <col min="2062" max="2062" width="14" style="365" customWidth="1"/>
    <col min="2063" max="2063" width="14.28515625" style="365" bestFit="1" customWidth="1"/>
    <col min="2064" max="2064" width="0" style="365" hidden="1" customWidth="1"/>
    <col min="2065" max="2065" width="15.5703125" style="365" customWidth="1"/>
    <col min="2066" max="2066" width="44.5703125" style="365" customWidth="1"/>
    <col min="2067" max="2067" width="14.28515625" style="365" bestFit="1" customWidth="1"/>
    <col min="2068" max="2068" width="0" style="365" hidden="1" customWidth="1"/>
    <col min="2069" max="2069" width="18.140625" style="365" customWidth="1"/>
    <col min="2070" max="2070" width="0" style="365" hidden="1" customWidth="1"/>
    <col min="2071" max="2071" width="14" style="365" customWidth="1"/>
    <col min="2072" max="2072" width="0" style="365" hidden="1" customWidth="1"/>
    <col min="2073" max="2073" width="20.85546875" style="365" customWidth="1"/>
    <col min="2074" max="2074" width="0" style="365" hidden="1" customWidth="1"/>
    <col min="2075" max="2075" width="13.28515625" style="365" customWidth="1"/>
    <col min="2076" max="2076" width="0" style="365" hidden="1" customWidth="1"/>
    <col min="2077" max="2077" width="15" style="365" customWidth="1"/>
    <col min="2078" max="2078" width="0" style="365" hidden="1" customWidth="1"/>
    <col min="2079" max="2079" width="13.28515625" style="365" customWidth="1"/>
    <col min="2080" max="2080" width="0" style="365" hidden="1" customWidth="1"/>
    <col min="2081" max="2081" width="20.140625" style="365" customWidth="1"/>
    <col min="2082" max="2082" width="14.42578125" style="365" bestFit="1" customWidth="1"/>
    <col min="2083" max="2083" width="14" style="365" bestFit="1" customWidth="1"/>
    <col min="2084" max="2084" width="12.28515625" style="365" bestFit="1" customWidth="1"/>
    <col min="2085" max="2109" width="9.140625" style="365" customWidth="1"/>
    <col min="2110" max="2304" width="8.85546875" style="365"/>
    <col min="2305" max="2305" width="44.5703125" style="365" customWidth="1"/>
    <col min="2306" max="2306" width="14.28515625" style="365" bestFit="1" customWidth="1"/>
    <col min="2307" max="2307" width="1.7109375" style="365" customWidth="1"/>
    <col min="2308" max="2308" width="14.85546875" style="365" customWidth="1"/>
    <col min="2309" max="2309" width="0" style="365" hidden="1" customWidth="1"/>
    <col min="2310" max="2310" width="17.42578125" style="365" customWidth="1"/>
    <col min="2311" max="2311" width="0" style="365" hidden="1" customWidth="1"/>
    <col min="2312" max="2312" width="12.85546875" style="365" customWidth="1"/>
    <col min="2313" max="2313" width="0" style="365" hidden="1" customWidth="1"/>
    <col min="2314" max="2314" width="14.42578125" style="365" customWidth="1"/>
    <col min="2315" max="2315" width="0" style="365" hidden="1" customWidth="1"/>
    <col min="2316" max="2316" width="17.42578125" style="365" customWidth="1"/>
    <col min="2317" max="2317" width="0" style="365" hidden="1" customWidth="1"/>
    <col min="2318" max="2318" width="14" style="365" customWidth="1"/>
    <col min="2319" max="2319" width="14.28515625" style="365" bestFit="1" customWidth="1"/>
    <col min="2320" max="2320" width="0" style="365" hidden="1" customWidth="1"/>
    <col min="2321" max="2321" width="15.5703125" style="365" customWidth="1"/>
    <col min="2322" max="2322" width="44.5703125" style="365" customWidth="1"/>
    <col min="2323" max="2323" width="14.28515625" style="365" bestFit="1" customWidth="1"/>
    <col min="2324" max="2324" width="0" style="365" hidden="1" customWidth="1"/>
    <col min="2325" max="2325" width="18.140625" style="365" customWidth="1"/>
    <col min="2326" max="2326" width="0" style="365" hidden="1" customWidth="1"/>
    <col min="2327" max="2327" width="14" style="365" customWidth="1"/>
    <col min="2328" max="2328" width="0" style="365" hidden="1" customWidth="1"/>
    <col min="2329" max="2329" width="20.85546875" style="365" customWidth="1"/>
    <col min="2330" max="2330" width="0" style="365" hidden="1" customWidth="1"/>
    <col min="2331" max="2331" width="13.28515625" style="365" customWidth="1"/>
    <col min="2332" max="2332" width="0" style="365" hidden="1" customWidth="1"/>
    <col min="2333" max="2333" width="15" style="365" customWidth="1"/>
    <col min="2334" max="2334" width="0" style="365" hidden="1" customWidth="1"/>
    <col min="2335" max="2335" width="13.28515625" style="365" customWidth="1"/>
    <col min="2336" max="2336" width="0" style="365" hidden="1" customWidth="1"/>
    <col min="2337" max="2337" width="20.140625" style="365" customWidth="1"/>
    <col min="2338" max="2338" width="14.42578125" style="365" bestFit="1" customWidth="1"/>
    <col min="2339" max="2339" width="14" style="365" bestFit="1" customWidth="1"/>
    <col min="2340" max="2340" width="12.28515625" style="365" bestFit="1" customWidth="1"/>
    <col min="2341" max="2365" width="9.140625" style="365" customWidth="1"/>
    <col min="2366" max="2560" width="8.85546875" style="365"/>
    <col min="2561" max="2561" width="44.5703125" style="365" customWidth="1"/>
    <col min="2562" max="2562" width="14.28515625" style="365" bestFit="1" customWidth="1"/>
    <col min="2563" max="2563" width="1.7109375" style="365" customWidth="1"/>
    <col min="2564" max="2564" width="14.85546875" style="365" customWidth="1"/>
    <col min="2565" max="2565" width="0" style="365" hidden="1" customWidth="1"/>
    <col min="2566" max="2566" width="17.42578125" style="365" customWidth="1"/>
    <col min="2567" max="2567" width="0" style="365" hidden="1" customWidth="1"/>
    <col min="2568" max="2568" width="12.85546875" style="365" customWidth="1"/>
    <col min="2569" max="2569" width="0" style="365" hidden="1" customWidth="1"/>
    <col min="2570" max="2570" width="14.42578125" style="365" customWidth="1"/>
    <col min="2571" max="2571" width="0" style="365" hidden="1" customWidth="1"/>
    <col min="2572" max="2572" width="17.42578125" style="365" customWidth="1"/>
    <col min="2573" max="2573" width="0" style="365" hidden="1" customWidth="1"/>
    <col min="2574" max="2574" width="14" style="365" customWidth="1"/>
    <col min="2575" max="2575" width="14.28515625" style="365" bestFit="1" customWidth="1"/>
    <col min="2576" max="2576" width="0" style="365" hidden="1" customWidth="1"/>
    <col min="2577" max="2577" width="15.5703125" style="365" customWidth="1"/>
    <col min="2578" max="2578" width="44.5703125" style="365" customWidth="1"/>
    <col min="2579" max="2579" width="14.28515625" style="365" bestFit="1" customWidth="1"/>
    <col min="2580" max="2580" width="0" style="365" hidden="1" customWidth="1"/>
    <col min="2581" max="2581" width="18.140625" style="365" customWidth="1"/>
    <col min="2582" max="2582" width="0" style="365" hidden="1" customWidth="1"/>
    <col min="2583" max="2583" width="14" style="365" customWidth="1"/>
    <col min="2584" max="2584" width="0" style="365" hidden="1" customWidth="1"/>
    <col min="2585" max="2585" width="20.85546875" style="365" customWidth="1"/>
    <col min="2586" max="2586" width="0" style="365" hidden="1" customWidth="1"/>
    <col min="2587" max="2587" width="13.28515625" style="365" customWidth="1"/>
    <col min="2588" max="2588" width="0" style="365" hidden="1" customWidth="1"/>
    <col min="2589" max="2589" width="15" style="365" customWidth="1"/>
    <col min="2590" max="2590" width="0" style="365" hidden="1" customWidth="1"/>
    <col min="2591" max="2591" width="13.28515625" style="365" customWidth="1"/>
    <col min="2592" max="2592" width="0" style="365" hidden="1" customWidth="1"/>
    <col min="2593" max="2593" width="20.140625" style="365" customWidth="1"/>
    <col min="2594" max="2594" width="14.42578125" style="365" bestFit="1" customWidth="1"/>
    <col min="2595" max="2595" width="14" style="365" bestFit="1" customWidth="1"/>
    <col min="2596" max="2596" width="12.28515625" style="365" bestFit="1" customWidth="1"/>
    <col min="2597" max="2621" width="9.140625" style="365" customWidth="1"/>
    <col min="2622" max="2816" width="8.85546875" style="365"/>
    <col min="2817" max="2817" width="44.5703125" style="365" customWidth="1"/>
    <col min="2818" max="2818" width="14.28515625" style="365" bestFit="1" customWidth="1"/>
    <col min="2819" max="2819" width="1.7109375" style="365" customWidth="1"/>
    <col min="2820" max="2820" width="14.85546875" style="365" customWidth="1"/>
    <col min="2821" max="2821" width="0" style="365" hidden="1" customWidth="1"/>
    <col min="2822" max="2822" width="17.42578125" style="365" customWidth="1"/>
    <col min="2823" max="2823" width="0" style="365" hidden="1" customWidth="1"/>
    <col min="2824" max="2824" width="12.85546875" style="365" customWidth="1"/>
    <col min="2825" max="2825" width="0" style="365" hidden="1" customWidth="1"/>
    <col min="2826" max="2826" width="14.42578125" style="365" customWidth="1"/>
    <col min="2827" max="2827" width="0" style="365" hidden="1" customWidth="1"/>
    <col min="2828" max="2828" width="17.42578125" style="365" customWidth="1"/>
    <col min="2829" max="2829" width="0" style="365" hidden="1" customWidth="1"/>
    <col min="2830" max="2830" width="14" style="365" customWidth="1"/>
    <col min="2831" max="2831" width="14.28515625" style="365" bestFit="1" customWidth="1"/>
    <col min="2832" max="2832" width="0" style="365" hidden="1" customWidth="1"/>
    <col min="2833" max="2833" width="15.5703125" style="365" customWidth="1"/>
    <col min="2834" max="2834" width="44.5703125" style="365" customWidth="1"/>
    <col min="2835" max="2835" width="14.28515625" style="365" bestFit="1" customWidth="1"/>
    <col min="2836" max="2836" width="0" style="365" hidden="1" customWidth="1"/>
    <col min="2837" max="2837" width="18.140625" style="365" customWidth="1"/>
    <col min="2838" max="2838" width="0" style="365" hidden="1" customWidth="1"/>
    <col min="2839" max="2839" width="14" style="365" customWidth="1"/>
    <col min="2840" max="2840" width="0" style="365" hidden="1" customWidth="1"/>
    <col min="2841" max="2841" width="20.85546875" style="365" customWidth="1"/>
    <col min="2842" max="2842" width="0" style="365" hidden="1" customWidth="1"/>
    <col min="2843" max="2843" width="13.28515625" style="365" customWidth="1"/>
    <col min="2844" max="2844" width="0" style="365" hidden="1" customWidth="1"/>
    <col min="2845" max="2845" width="15" style="365" customWidth="1"/>
    <col min="2846" max="2846" width="0" style="365" hidden="1" customWidth="1"/>
    <col min="2847" max="2847" width="13.28515625" style="365" customWidth="1"/>
    <col min="2848" max="2848" width="0" style="365" hidden="1" customWidth="1"/>
    <col min="2849" max="2849" width="20.140625" style="365" customWidth="1"/>
    <col min="2850" max="2850" width="14.42578125" style="365" bestFit="1" customWidth="1"/>
    <col min="2851" max="2851" width="14" style="365" bestFit="1" customWidth="1"/>
    <col min="2852" max="2852" width="12.28515625" style="365" bestFit="1" customWidth="1"/>
    <col min="2853" max="2877" width="9.140625" style="365" customWidth="1"/>
    <col min="2878" max="3072" width="9.7109375" style="365"/>
    <col min="3073" max="3073" width="44.5703125" style="365" customWidth="1"/>
    <col min="3074" max="3074" width="14.28515625" style="365" bestFit="1" customWidth="1"/>
    <col min="3075" max="3075" width="1.7109375" style="365" customWidth="1"/>
    <col min="3076" max="3076" width="14.85546875" style="365" customWidth="1"/>
    <col min="3077" max="3077" width="0" style="365" hidden="1" customWidth="1"/>
    <col min="3078" max="3078" width="17.42578125" style="365" customWidth="1"/>
    <col min="3079" max="3079" width="0" style="365" hidden="1" customWidth="1"/>
    <col min="3080" max="3080" width="12.85546875" style="365" customWidth="1"/>
    <col min="3081" max="3081" width="0" style="365" hidden="1" customWidth="1"/>
    <col min="3082" max="3082" width="14.42578125" style="365" customWidth="1"/>
    <col min="3083" max="3083" width="0" style="365" hidden="1" customWidth="1"/>
    <col min="3084" max="3084" width="17.42578125" style="365" customWidth="1"/>
    <col min="3085" max="3085" width="0" style="365" hidden="1" customWidth="1"/>
    <col min="3086" max="3086" width="14" style="365" customWidth="1"/>
    <col min="3087" max="3087" width="14.28515625" style="365" bestFit="1" customWidth="1"/>
    <col min="3088" max="3088" width="0" style="365" hidden="1" customWidth="1"/>
    <col min="3089" max="3089" width="15.5703125" style="365" customWidth="1"/>
    <col min="3090" max="3090" width="44.5703125" style="365" customWidth="1"/>
    <col min="3091" max="3091" width="14.28515625" style="365" bestFit="1" customWidth="1"/>
    <col min="3092" max="3092" width="0" style="365" hidden="1" customWidth="1"/>
    <col min="3093" max="3093" width="18.140625" style="365" customWidth="1"/>
    <col min="3094" max="3094" width="0" style="365" hidden="1" customWidth="1"/>
    <col min="3095" max="3095" width="14" style="365" customWidth="1"/>
    <col min="3096" max="3096" width="0" style="365" hidden="1" customWidth="1"/>
    <col min="3097" max="3097" width="20.85546875" style="365" customWidth="1"/>
    <col min="3098" max="3098" width="0" style="365" hidden="1" customWidth="1"/>
    <col min="3099" max="3099" width="13.28515625" style="365" customWidth="1"/>
    <col min="3100" max="3100" width="0" style="365" hidden="1" customWidth="1"/>
    <col min="3101" max="3101" width="15" style="365" customWidth="1"/>
    <col min="3102" max="3102" width="0" style="365" hidden="1" customWidth="1"/>
    <col min="3103" max="3103" width="13.28515625" style="365" customWidth="1"/>
    <col min="3104" max="3104" width="0" style="365" hidden="1" customWidth="1"/>
    <col min="3105" max="3105" width="20.140625" style="365" customWidth="1"/>
    <col min="3106" max="3106" width="14.42578125" style="365" bestFit="1" customWidth="1"/>
    <col min="3107" max="3107" width="14" style="365" bestFit="1" customWidth="1"/>
    <col min="3108" max="3108" width="12.28515625" style="365" bestFit="1" customWidth="1"/>
    <col min="3109" max="3133" width="9.140625" style="365" customWidth="1"/>
    <col min="3134" max="3328" width="8.85546875" style="365"/>
    <col min="3329" max="3329" width="44.5703125" style="365" customWidth="1"/>
    <col min="3330" max="3330" width="14.28515625" style="365" bestFit="1" customWidth="1"/>
    <col min="3331" max="3331" width="1.7109375" style="365" customWidth="1"/>
    <col min="3332" max="3332" width="14.85546875" style="365" customWidth="1"/>
    <col min="3333" max="3333" width="0" style="365" hidden="1" customWidth="1"/>
    <col min="3334" max="3334" width="17.42578125" style="365" customWidth="1"/>
    <col min="3335" max="3335" width="0" style="365" hidden="1" customWidth="1"/>
    <col min="3336" max="3336" width="12.85546875" style="365" customWidth="1"/>
    <col min="3337" max="3337" width="0" style="365" hidden="1" customWidth="1"/>
    <col min="3338" max="3338" width="14.42578125" style="365" customWidth="1"/>
    <col min="3339" max="3339" width="0" style="365" hidden="1" customWidth="1"/>
    <col min="3340" max="3340" width="17.42578125" style="365" customWidth="1"/>
    <col min="3341" max="3341" width="0" style="365" hidden="1" customWidth="1"/>
    <col min="3342" max="3342" width="14" style="365" customWidth="1"/>
    <col min="3343" max="3343" width="14.28515625" style="365" bestFit="1" customWidth="1"/>
    <col min="3344" max="3344" width="0" style="365" hidden="1" customWidth="1"/>
    <col min="3345" max="3345" width="15.5703125" style="365" customWidth="1"/>
    <col min="3346" max="3346" width="44.5703125" style="365" customWidth="1"/>
    <col min="3347" max="3347" width="14.28515625" style="365" bestFit="1" customWidth="1"/>
    <col min="3348" max="3348" width="0" style="365" hidden="1" customWidth="1"/>
    <col min="3349" max="3349" width="18.140625" style="365" customWidth="1"/>
    <col min="3350" max="3350" width="0" style="365" hidden="1" customWidth="1"/>
    <col min="3351" max="3351" width="14" style="365" customWidth="1"/>
    <col min="3352" max="3352" width="0" style="365" hidden="1" customWidth="1"/>
    <col min="3353" max="3353" width="20.85546875" style="365" customWidth="1"/>
    <col min="3354" max="3354" width="0" style="365" hidden="1" customWidth="1"/>
    <col min="3355" max="3355" width="13.28515625" style="365" customWidth="1"/>
    <col min="3356" max="3356" width="0" style="365" hidden="1" customWidth="1"/>
    <col min="3357" max="3357" width="15" style="365" customWidth="1"/>
    <col min="3358" max="3358" width="0" style="365" hidden="1" customWidth="1"/>
    <col min="3359" max="3359" width="13.28515625" style="365" customWidth="1"/>
    <col min="3360" max="3360" width="0" style="365" hidden="1" customWidth="1"/>
    <col min="3361" max="3361" width="20.140625" style="365" customWidth="1"/>
    <col min="3362" max="3362" width="14.42578125" style="365" bestFit="1" customWidth="1"/>
    <col min="3363" max="3363" width="14" style="365" bestFit="1" customWidth="1"/>
    <col min="3364" max="3364" width="12.28515625" style="365" bestFit="1" customWidth="1"/>
    <col min="3365" max="3389" width="9.140625" style="365" customWidth="1"/>
    <col min="3390" max="3584" width="8.85546875" style="365"/>
    <col min="3585" max="3585" width="44.5703125" style="365" customWidth="1"/>
    <col min="3586" max="3586" width="14.28515625" style="365" bestFit="1" customWidth="1"/>
    <col min="3587" max="3587" width="1.7109375" style="365" customWidth="1"/>
    <col min="3588" max="3588" width="14.85546875" style="365" customWidth="1"/>
    <col min="3589" max="3589" width="0" style="365" hidden="1" customWidth="1"/>
    <col min="3590" max="3590" width="17.42578125" style="365" customWidth="1"/>
    <col min="3591" max="3591" width="0" style="365" hidden="1" customWidth="1"/>
    <col min="3592" max="3592" width="12.85546875" style="365" customWidth="1"/>
    <col min="3593" max="3593" width="0" style="365" hidden="1" customWidth="1"/>
    <col min="3594" max="3594" width="14.42578125" style="365" customWidth="1"/>
    <col min="3595" max="3595" width="0" style="365" hidden="1" customWidth="1"/>
    <col min="3596" max="3596" width="17.42578125" style="365" customWidth="1"/>
    <col min="3597" max="3597" width="0" style="365" hidden="1" customWidth="1"/>
    <col min="3598" max="3598" width="14" style="365" customWidth="1"/>
    <col min="3599" max="3599" width="14.28515625" style="365" bestFit="1" customWidth="1"/>
    <col min="3600" max="3600" width="0" style="365" hidden="1" customWidth="1"/>
    <col min="3601" max="3601" width="15.5703125" style="365" customWidth="1"/>
    <col min="3602" max="3602" width="44.5703125" style="365" customWidth="1"/>
    <col min="3603" max="3603" width="14.28515625" style="365" bestFit="1" customWidth="1"/>
    <col min="3604" max="3604" width="0" style="365" hidden="1" customWidth="1"/>
    <col min="3605" max="3605" width="18.140625" style="365" customWidth="1"/>
    <col min="3606" max="3606" width="0" style="365" hidden="1" customWidth="1"/>
    <col min="3607" max="3607" width="14" style="365" customWidth="1"/>
    <col min="3608" max="3608" width="0" style="365" hidden="1" customWidth="1"/>
    <col min="3609" max="3609" width="20.85546875" style="365" customWidth="1"/>
    <col min="3610" max="3610" width="0" style="365" hidden="1" customWidth="1"/>
    <col min="3611" max="3611" width="13.28515625" style="365" customWidth="1"/>
    <col min="3612" max="3612" width="0" style="365" hidden="1" customWidth="1"/>
    <col min="3613" max="3613" width="15" style="365" customWidth="1"/>
    <col min="3614" max="3614" width="0" style="365" hidden="1" customWidth="1"/>
    <col min="3615" max="3615" width="13.28515625" style="365" customWidth="1"/>
    <col min="3616" max="3616" width="0" style="365" hidden="1" customWidth="1"/>
    <col min="3617" max="3617" width="20.140625" style="365" customWidth="1"/>
    <col min="3618" max="3618" width="14.42578125" style="365" bestFit="1" customWidth="1"/>
    <col min="3619" max="3619" width="14" style="365" bestFit="1" customWidth="1"/>
    <col min="3620" max="3620" width="12.28515625" style="365" bestFit="1" customWidth="1"/>
    <col min="3621" max="3645" width="9.140625" style="365" customWidth="1"/>
    <col min="3646" max="3840" width="8.85546875" style="365"/>
    <col min="3841" max="3841" width="44.5703125" style="365" customWidth="1"/>
    <col min="3842" max="3842" width="14.28515625" style="365" bestFit="1" customWidth="1"/>
    <col min="3843" max="3843" width="1.7109375" style="365" customWidth="1"/>
    <col min="3844" max="3844" width="14.85546875" style="365" customWidth="1"/>
    <col min="3845" max="3845" width="0" style="365" hidden="1" customWidth="1"/>
    <col min="3846" max="3846" width="17.42578125" style="365" customWidth="1"/>
    <col min="3847" max="3847" width="0" style="365" hidden="1" customWidth="1"/>
    <col min="3848" max="3848" width="12.85546875" style="365" customWidth="1"/>
    <col min="3849" max="3849" width="0" style="365" hidden="1" customWidth="1"/>
    <col min="3850" max="3850" width="14.42578125" style="365" customWidth="1"/>
    <col min="3851" max="3851" width="0" style="365" hidden="1" customWidth="1"/>
    <col min="3852" max="3852" width="17.42578125" style="365" customWidth="1"/>
    <col min="3853" max="3853" width="0" style="365" hidden="1" customWidth="1"/>
    <col min="3854" max="3854" width="14" style="365" customWidth="1"/>
    <col min="3855" max="3855" width="14.28515625" style="365" bestFit="1" customWidth="1"/>
    <col min="3856" max="3856" width="0" style="365" hidden="1" customWidth="1"/>
    <col min="3857" max="3857" width="15.5703125" style="365" customWidth="1"/>
    <col min="3858" max="3858" width="44.5703125" style="365" customWidth="1"/>
    <col min="3859" max="3859" width="14.28515625" style="365" bestFit="1" customWidth="1"/>
    <col min="3860" max="3860" width="0" style="365" hidden="1" customWidth="1"/>
    <col min="3861" max="3861" width="18.140625" style="365" customWidth="1"/>
    <col min="3862" max="3862" width="0" style="365" hidden="1" customWidth="1"/>
    <col min="3863" max="3863" width="14" style="365" customWidth="1"/>
    <col min="3864" max="3864" width="0" style="365" hidden="1" customWidth="1"/>
    <col min="3865" max="3865" width="20.85546875" style="365" customWidth="1"/>
    <col min="3866" max="3866" width="0" style="365" hidden="1" customWidth="1"/>
    <col min="3867" max="3867" width="13.28515625" style="365" customWidth="1"/>
    <col min="3868" max="3868" width="0" style="365" hidden="1" customWidth="1"/>
    <col min="3869" max="3869" width="15" style="365" customWidth="1"/>
    <col min="3870" max="3870" width="0" style="365" hidden="1" customWidth="1"/>
    <col min="3871" max="3871" width="13.28515625" style="365" customWidth="1"/>
    <col min="3872" max="3872" width="0" style="365" hidden="1" customWidth="1"/>
    <col min="3873" max="3873" width="20.140625" style="365" customWidth="1"/>
    <col min="3874" max="3874" width="14.42578125" style="365" bestFit="1" customWidth="1"/>
    <col min="3875" max="3875" width="14" style="365" bestFit="1" customWidth="1"/>
    <col min="3876" max="3876" width="12.28515625" style="365" bestFit="1" customWidth="1"/>
    <col min="3877" max="3901" width="9.140625" style="365" customWidth="1"/>
    <col min="3902" max="4096" width="9.7109375" style="365"/>
    <col min="4097" max="4097" width="44.5703125" style="365" customWidth="1"/>
    <col min="4098" max="4098" width="14.28515625" style="365" bestFit="1" customWidth="1"/>
    <col min="4099" max="4099" width="1.7109375" style="365" customWidth="1"/>
    <col min="4100" max="4100" width="14.85546875" style="365" customWidth="1"/>
    <col min="4101" max="4101" width="0" style="365" hidden="1" customWidth="1"/>
    <col min="4102" max="4102" width="17.42578125" style="365" customWidth="1"/>
    <col min="4103" max="4103" width="0" style="365" hidden="1" customWidth="1"/>
    <col min="4104" max="4104" width="12.85546875" style="365" customWidth="1"/>
    <col min="4105" max="4105" width="0" style="365" hidden="1" customWidth="1"/>
    <col min="4106" max="4106" width="14.42578125" style="365" customWidth="1"/>
    <col min="4107" max="4107" width="0" style="365" hidden="1" customWidth="1"/>
    <col min="4108" max="4108" width="17.42578125" style="365" customWidth="1"/>
    <col min="4109" max="4109" width="0" style="365" hidden="1" customWidth="1"/>
    <col min="4110" max="4110" width="14" style="365" customWidth="1"/>
    <col min="4111" max="4111" width="14.28515625" style="365" bestFit="1" customWidth="1"/>
    <col min="4112" max="4112" width="0" style="365" hidden="1" customWidth="1"/>
    <col min="4113" max="4113" width="15.5703125" style="365" customWidth="1"/>
    <col min="4114" max="4114" width="44.5703125" style="365" customWidth="1"/>
    <col min="4115" max="4115" width="14.28515625" style="365" bestFit="1" customWidth="1"/>
    <col min="4116" max="4116" width="0" style="365" hidden="1" customWidth="1"/>
    <col min="4117" max="4117" width="18.140625" style="365" customWidth="1"/>
    <col min="4118" max="4118" width="0" style="365" hidden="1" customWidth="1"/>
    <col min="4119" max="4119" width="14" style="365" customWidth="1"/>
    <col min="4120" max="4120" width="0" style="365" hidden="1" customWidth="1"/>
    <col min="4121" max="4121" width="20.85546875" style="365" customWidth="1"/>
    <col min="4122" max="4122" width="0" style="365" hidden="1" customWidth="1"/>
    <col min="4123" max="4123" width="13.28515625" style="365" customWidth="1"/>
    <col min="4124" max="4124" width="0" style="365" hidden="1" customWidth="1"/>
    <col min="4125" max="4125" width="15" style="365" customWidth="1"/>
    <col min="4126" max="4126" width="0" style="365" hidden="1" customWidth="1"/>
    <col min="4127" max="4127" width="13.28515625" style="365" customWidth="1"/>
    <col min="4128" max="4128" width="0" style="365" hidden="1" customWidth="1"/>
    <col min="4129" max="4129" width="20.140625" style="365" customWidth="1"/>
    <col min="4130" max="4130" width="14.42578125" style="365" bestFit="1" customWidth="1"/>
    <col min="4131" max="4131" width="14" style="365" bestFit="1" customWidth="1"/>
    <col min="4132" max="4132" width="12.28515625" style="365" bestFit="1" customWidth="1"/>
    <col min="4133" max="4157" width="9.140625" style="365" customWidth="1"/>
    <col min="4158" max="4352" width="8.85546875" style="365"/>
    <col min="4353" max="4353" width="44.5703125" style="365" customWidth="1"/>
    <col min="4354" max="4354" width="14.28515625" style="365" bestFit="1" customWidth="1"/>
    <col min="4355" max="4355" width="1.7109375" style="365" customWidth="1"/>
    <col min="4356" max="4356" width="14.85546875" style="365" customWidth="1"/>
    <col min="4357" max="4357" width="0" style="365" hidden="1" customWidth="1"/>
    <col min="4358" max="4358" width="17.42578125" style="365" customWidth="1"/>
    <col min="4359" max="4359" width="0" style="365" hidden="1" customWidth="1"/>
    <col min="4360" max="4360" width="12.85546875" style="365" customWidth="1"/>
    <col min="4361" max="4361" width="0" style="365" hidden="1" customWidth="1"/>
    <col min="4362" max="4362" width="14.42578125" style="365" customWidth="1"/>
    <col min="4363" max="4363" width="0" style="365" hidden="1" customWidth="1"/>
    <col min="4364" max="4364" width="17.42578125" style="365" customWidth="1"/>
    <col min="4365" max="4365" width="0" style="365" hidden="1" customWidth="1"/>
    <col min="4366" max="4366" width="14" style="365" customWidth="1"/>
    <col min="4367" max="4367" width="14.28515625" style="365" bestFit="1" customWidth="1"/>
    <col min="4368" max="4368" width="0" style="365" hidden="1" customWidth="1"/>
    <col min="4369" max="4369" width="15.5703125" style="365" customWidth="1"/>
    <col min="4370" max="4370" width="44.5703125" style="365" customWidth="1"/>
    <col min="4371" max="4371" width="14.28515625" style="365" bestFit="1" customWidth="1"/>
    <col min="4372" max="4372" width="0" style="365" hidden="1" customWidth="1"/>
    <col min="4373" max="4373" width="18.140625" style="365" customWidth="1"/>
    <col min="4374" max="4374" width="0" style="365" hidden="1" customWidth="1"/>
    <col min="4375" max="4375" width="14" style="365" customWidth="1"/>
    <col min="4376" max="4376" width="0" style="365" hidden="1" customWidth="1"/>
    <col min="4377" max="4377" width="20.85546875" style="365" customWidth="1"/>
    <col min="4378" max="4378" width="0" style="365" hidden="1" customWidth="1"/>
    <col min="4379" max="4379" width="13.28515625" style="365" customWidth="1"/>
    <col min="4380" max="4380" width="0" style="365" hidden="1" customWidth="1"/>
    <col min="4381" max="4381" width="15" style="365" customWidth="1"/>
    <col min="4382" max="4382" width="0" style="365" hidden="1" customWidth="1"/>
    <col min="4383" max="4383" width="13.28515625" style="365" customWidth="1"/>
    <col min="4384" max="4384" width="0" style="365" hidden="1" customWidth="1"/>
    <col min="4385" max="4385" width="20.140625" style="365" customWidth="1"/>
    <col min="4386" max="4386" width="14.42578125" style="365" bestFit="1" customWidth="1"/>
    <col min="4387" max="4387" width="14" style="365" bestFit="1" customWidth="1"/>
    <col min="4388" max="4388" width="12.28515625" style="365" bestFit="1" customWidth="1"/>
    <col min="4389" max="4413" width="9.140625" style="365" customWidth="1"/>
    <col min="4414" max="4608" width="8.85546875" style="365"/>
    <col min="4609" max="4609" width="44.5703125" style="365" customWidth="1"/>
    <col min="4610" max="4610" width="14.28515625" style="365" bestFit="1" customWidth="1"/>
    <col min="4611" max="4611" width="1.7109375" style="365" customWidth="1"/>
    <col min="4612" max="4612" width="14.85546875" style="365" customWidth="1"/>
    <col min="4613" max="4613" width="0" style="365" hidden="1" customWidth="1"/>
    <col min="4614" max="4614" width="17.42578125" style="365" customWidth="1"/>
    <col min="4615" max="4615" width="0" style="365" hidden="1" customWidth="1"/>
    <col min="4616" max="4616" width="12.85546875" style="365" customWidth="1"/>
    <col min="4617" max="4617" width="0" style="365" hidden="1" customWidth="1"/>
    <col min="4618" max="4618" width="14.42578125" style="365" customWidth="1"/>
    <col min="4619" max="4619" width="0" style="365" hidden="1" customWidth="1"/>
    <col min="4620" max="4620" width="17.42578125" style="365" customWidth="1"/>
    <col min="4621" max="4621" width="0" style="365" hidden="1" customWidth="1"/>
    <col min="4622" max="4622" width="14" style="365" customWidth="1"/>
    <col min="4623" max="4623" width="14.28515625" style="365" bestFit="1" customWidth="1"/>
    <col min="4624" max="4624" width="0" style="365" hidden="1" customWidth="1"/>
    <col min="4625" max="4625" width="15.5703125" style="365" customWidth="1"/>
    <col min="4626" max="4626" width="44.5703125" style="365" customWidth="1"/>
    <col min="4627" max="4627" width="14.28515625" style="365" bestFit="1" customWidth="1"/>
    <col min="4628" max="4628" width="0" style="365" hidden="1" customWidth="1"/>
    <col min="4629" max="4629" width="18.140625" style="365" customWidth="1"/>
    <col min="4630" max="4630" width="0" style="365" hidden="1" customWidth="1"/>
    <col min="4631" max="4631" width="14" style="365" customWidth="1"/>
    <col min="4632" max="4632" width="0" style="365" hidden="1" customWidth="1"/>
    <col min="4633" max="4633" width="20.85546875" style="365" customWidth="1"/>
    <col min="4634" max="4634" width="0" style="365" hidden="1" customWidth="1"/>
    <col min="4635" max="4635" width="13.28515625" style="365" customWidth="1"/>
    <col min="4636" max="4636" width="0" style="365" hidden="1" customWidth="1"/>
    <col min="4637" max="4637" width="15" style="365" customWidth="1"/>
    <col min="4638" max="4638" width="0" style="365" hidden="1" customWidth="1"/>
    <col min="4639" max="4639" width="13.28515625" style="365" customWidth="1"/>
    <col min="4640" max="4640" width="0" style="365" hidden="1" customWidth="1"/>
    <col min="4641" max="4641" width="20.140625" style="365" customWidth="1"/>
    <col min="4642" max="4642" width="14.42578125" style="365" bestFit="1" customWidth="1"/>
    <col min="4643" max="4643" width="14" style="365" bestFit="1" customWidth="1"/>
    <col min="4644" max="4644" width="12.28515625" style="365" bestFit="1" customWidth="1"/>
    <col min="4645" max="4669" width="9.140625" style="365" customWidth="1"/>
    <col min="4670" max="4864" width="8.85546875" style="365"/>
    <col min="4865" max="4865" width="44.5703125" style="365" customWidth="1"/>
    <col min="4866" max="4866" width="14.28515625" style="365" bestFit="1" customWidth="1"/>
    <col min="4867" max="4867" width="1.7109375" style="365" customWidth="1"/>
    <col min="4868" max="4868" width="14.85546875" style="365" customWidth="1"/>
    <col min="4869" max="4869" width="0" style="365" hidden="1" customWidth="1"/>
    <col min="4870" max="4870" width="17.42578125" style="365" customWidth="1"/>
    <col min="4871" max="4871" width="0" style="365" hidden="1" customWidth="1"/>
    <col min="4872" max="4872" width="12.85546875" style="365" customWidth="1"/>
    <col min="4873" max="4873" width="0" style="365" hidden="1" customWidth="1"/>
    <col min="4874" max="4874" width="14.42578125" style="365" customWidth="1"/>
    <col min="4875" max="4875" width="0" style="365" hidden="1" customWidth="1"/>
    <col min="4876" max="4876" width="17.42578125" style="365" customWidth="1"/>
    <col min="4877" max="4877" width="0" style="365" hidden="1" customWidth="1"/>
    <col min="4878" max="4878" width="14" style="365" customWidth="1"/>
    <col min="4879" max="4879" width="14.28515625" style="365" bestFit="1" customWidth="1"/>
    <col min="4880" max="4880" width="0" style="365" hidden="1" customWidth="1"/>
    <col min="4881" max="4881" width="15.5703125" style="365" customWidth="1"/>
    <col min="4882" max="4882" width="44.5703125" style="365" customWidth="1"/>
    <col min="4883" max="4883" width="14.28515625" style="365" bestFit="1" customWidth="1"/>
    <col min="4884" max="4884" width="0" style="365" hidden="1" customWidth="1"/>
    <col min="4885" max="4885" width="18.140625" style="365" customWidth="1"/>
    <col min="4886" max="4886" width="0" style="365" hidden="1" customWidth="1"/>
    <col min="4887" max="4887" width="14" style="365" customWidth="1"/>
    <col min="4888" max="4888" width="0" style="365" hidden="1" customWidth="1"/>
    <col min="4889" max="4889" width="20.85546875" style="365" customWidth="1"/>
    <col min="4890" max="4890" width="0" style="365" hidden="1" customWidth="1"/>
    <col min="4891" max="4891" width="13.28515625" style="365" customWidth="1"/>
    <col min="4892" max="4892" width="0" style="365" hidden="1" customWidth="1"/>
    <col min="4893" max="4893" width="15" style="365" customWidth="1"/>
    <col min="4894" max="4894" width="0" style="365" hidden="1" customWidth="1"/>
    <col min="4895" max="4895" width="13.28515625" style="365" customWidth="1"/>
    <col min="4896" max="4896" width="0" style="365" hidden="1" customWidth="1"/>
    <col min="4897" max="4897" width="20.140625" style="365" customWidth="1"/>
    <col min="4898" max="4898" width="14.42578125" style="365" bestFit="1" customWidth="1"/>
    <col min="4899" max="4899" width="14" style="365" bestFit="1" customWidth="1"/>
    <col min="4900" max="4900" width="12.28515625" style="365" bestFit="1" customWidth="1"/>
    <col min="4901" max="4925" width="9.140625" style="365" customWidth="1"/>
    <col min="4926" max="5120" width="9.7109375" style="365"/>
    <col min="5121" max="5121" width="44.5703125" style="365" customWidth="1"/>
    <col min="5122" max="5122" width="14.28515625" style="365" bestFit="1" customWidth="1"/>
    <col min="5123" max="5123" width="1.7109375" style="365" customWidth="1"/>
    <col min="5124" max="5124" width="14.85546875" style="365" customWidth="1"/>
    <col min="5125" max="5125" width="0" style="365" hidden="1" customWidth="1"/>
    <col min="5126" max="5126" width="17.42578125" style="365" customWidth="1"/>
    <col min="5127" max="5127" width="0" style="365" hidden="1" customWidth="1"/>
    <col min="5128" max="5128" width="12.85546875" style="365" customWidth="1"/>
    <col min="5129" max="5129" width="0" style="365" hidden="1" customWidth="1"/>
    <col min="5130" max="5130" width="14.42578125" style="365" customWidth="1"/>
    <col min="5131" max="5131" width="0" style="365" hidden="1" customWidth="1"/>
    <col min="5132" max="5132" width="17.42578125" style="365" customWidth="1"/>
    <col min="5133" max="5133" width="0" style="365" hidden="1" customWidth="1"/>
    <col min="5134" max="5134" width="14" style="365" customWidth="1"/>
    <col min="5135" max="5135" width="14.28515625" style="365" bestFit="1" customWidth="1"/>
    <col min="5136" max="5136" width="0" style="365" hidden="1" customWidth="1"/>
    <col min="5137" max="5137" width="15.5703125" style="365" customWidth="1"/>
    <col min="5138" max="5138" width="44.5703125" style="365" customWidth="1"/>
    <col min="5139" max="5139" width="14.28515625" style="365" bestFit="1" customWidth="1"/>
    <col min="5140" max="5140" width="0" style="365" hidden="1" customWidth="1"/>
    <col min="5141" max="5141" width="18.140625" style="365" customWidth="1"/>
    <col min="5142" max="5142" width="0" style="365" hidden="1" customWidth="1"/>
    <col min="5143" max="5143" width="14" style="365" customWidth="1"/>
    <col min="5144" max="5144" width="0" style="365" hidden="1" customWidth="1"/>
    <col min="5145" max="5145" width="20.85546875" style="365" customWidth="1"/>
    <col min="5146" max="5146" width="0" style="365" hidden="1" customWidth="1"/>
    <col min="5147" max="5147" width="13.28515625" style="365" customWidth="1"/>
    <col min="5148" max="5148" width="0" style="365" hidden="1" customWidth="1"/>
    <col min="5149" max="5149" width="15" style="365" customWidth="1"/>
    <col min="5150" max="5150" width="0" style="365" hidden="1" customWidth="1"/>
    <col min="5151" max="5151" width="13.28515625" style="365" customWidth="1"/>
    <col min="5152" max="5152" width="0" style="365" hidden="1" customWidth="1"/>
    <col min="5153" max="5153" width="20.140625" style="365" customWidth="1"/>
    <col min="5154" max="5154" width="14.42578125" style="365" bestFit="1" customWidth="1"/>
    <col min="5155" max="5155" width="14" style="365" bestFit="1" customWidth="1"/>
    <col min="5156" max="5156" width="12.28515625" style="365" bestFit="1" customWidth="1"/>
    <col min="5157" max="5181" width="9.140625" style="365" customWidth="1"/>
    <col min="5182" max="5376" width="8.85546875" style="365"/>
    <col min="5377" max="5377" width="44.5703125" style="365" customWidth="1"/>
    <col min="5378" max="5378" width="14.28515625" style="365" bestFit="1" customWidth="1"/>
    <col min="5379" max="5379" width="1.7109375" style="365" customWidth="1"/>
    <col min="5380" max="5380" width="14.85546875" style="365" customWidth="1"/>
    <col min="5381" max="5381" width="0" style="365" hidden="1" customWidth="1"/>
    <col min="5382" max="5382" width="17.42578125" style="365" customWidth="1"/>
    <col min="5383" max="5383" width="0" style="365" hidden="1" customWidth="1"/>
    <col min="5384" max="5384" width="12.85546875" style="365" customWidth="1"/>
    <col min="5385" max="5385" width="0" style="365" hidden="1" customWidth="1"/>
    <col min="5386" max="5386" width="14.42578125" style="365" customWidth="1"/>
    <col min="5387" max="5387" width="0" style="365" hidden="1" customWidth="1"/>
    <col min="5388" max="5388" width="17.42578125" style="365" customWidth="1"/>
    <col min="5389" max="5389" width="0" style="365" hidden="1" customWidth="1"/>
    <col min="5390" max="5390" width="14" style="365" customWidth="1"/>
    <col min="5391" max="5391" width="14.28515625" style="365" bestFit="1" customWidth="1"/>
    <col min="5392" max="5392" width="0" style="365" hidden="1" customWidth="1"/>
    <col min="5393" max="5393" width="15.5703125" style="365" customWidth="1"/>
    <col min="5394" max="5394" width="44.5703125" style="365" customWidth="1"/>
    <col min="5395" max="5395" width="14.28515625" style="365" bestFit="1" customWidth="1"/>
    <col min="5396" max="5396" width="0" style="365" hidden="1" customWidth="1"/>
    <col min="5397" max="5397" width="18.140625" style="365" customWidth="1"/>
    <col min="5398" max="5398" width="0" style="365" hidden="1" customWidth="1"/>
    <col min="5399" max="5399" width="14" style="365" customWidth="1"/>
    <col min="5400" max="5400" width="0" style="365" hidden="1" customWidth="1"/>
    <col min="5401" max="5401" width="20.85546875" style="365" customWidth="1"/>
    <col min="5402" max="5402" width="0" style="365" hidden="1" customWidth="1"/>
    <col min="5403" max="5403" width="13.28515625" style="365" customWidth="1"/>
    <col min="5404" max="5404" width="0" style="365" hidden="1" customWidth="1"/>
    <col min="5405" max="5405" width="15" style="365" customWidth="1"/>
    <col min="5406" max="5406" width="0" style="365" hidden="1" customWidth="1"/>
    <col min="5407" max="5407" width="13.28515625" style="365" customWidth="1"/>
    <col min="5408" max="5408" width="0" style="365" hidden="1" customWidth="1"/>
    <col min="5409" max="5409" width="20.140625" style="365" customWidth="1"/>
    <col min="5410" max="5410" width="14.42578125" style="365" bestFit="1" customWidth="1"/>
    <col min="5411" max="5411" width="14" style="365" bestFit="1" customWidth="1"/>
    <col min="5412" max="5412" width="12.28515625" style="365" bestFit="1" customWidth="1"/>
    <col min="5413" max="5437" width="9.140625" style="365" customWidth="1"/>
    <col min="5438" max="5632" width="8.85546875" style="365"/>
    <col min="5633" max="5633" width="44.5703125" style="365" customWidth="1"/>
    <col min="5634" max="5634" width="14.28515625" style="365" bestFit="1" customWidth="1"/>
    <col min="5635" max="5635" width="1.7109375" style="365" customWidth="1"/>
    <col min="5636" max="5636" width="14.85546875" style="365" customWidth="1"/>
    <col min="5637" max="5637" width="0" style="365" hidden="1" customWidth="1"/>
    <col min="5638" max="5638" width="17.42578125" style="365" customWidth="1"/>
    <col min="5639" max="5639" width="0" style="365" hidden="1" customWidth="1"/>
    <col min="5640" max="5640" width="12.85546875" style="365" customWidth="1"/>
    <col min="5641" max="5641" width="0" style="365" hidden="1" customWidth="1"/>
    <col min="5642" max="5642" width="14.42578125" style="365" customWidth="1"/>
    <col min="5643" max="5643" width="0" style="365" hidden="1" customWidth="1"/>
    <col min="5644" max="5644" width="17.42578125" style="365" customWidth="1"/>
    <col min="5645" max="5645" width="0" style="365" hidden="1" customWidth="1"/>
    <col min="5646" max="5646" width="14" style="365" customWidth="1"/>
    <col min="5647" max="5647" width="14.28515625" style="365" bestFit="1" customWidth="1"/>
    <col min="5648" max="5648" width="0" style="365" hidden="1" customWidth="1"/>
    <col min="5649" max="5649" width="15.5703125" style="365" customWidth="1"/>
    <col min="5650" max="5650" width="44.5703125" style="365" customWidth="1"/>
    <col min="5651" max="5651" width="14.28515625" style="365" bestFit="1" customWidth="1"/>
    <col min="5652" max="5652" width="0" style="365" hidden="1" customWidth="1"/>
    <col min="5653" max="5653" width="18.140625" style="365" customWidth="1"/>
    <col min="5654" max="5654" width="0" style="365" hidden="1" customWidth="1"/>
    <col min="5655" max="5655" width="14" style="365" customWidth="1"/>
    <col min="5656" max="5656" width="0" style="365" hidden="1" customWidth="1"/>
    <col min="5657" max="5657" width="20.85546875" style="365" customWidth="1"/>
    <col min="5658" max="5658" width="0" style="365" hidden="1" customWidth="1"/>
    <col min="5659" max="5659" width="13.28515625" style="365" customWidth="1"/>
    <col min="5660" max="5660" width="0" style="365" hidden="1" customWidth="1"/>
    <col min="5661" max="5661" width="15" style="365" customWidth="1"/>
    <col min="5662" max="5662" width="0" style="365" hidden="1" customWidth="1"/>
    <col min="5663" max="5663" width="13.28515625" style="365" customWidth="1"/>
    <col min="5664" max="5664" width="0" style="365" hidden="1" customWidth="1"/>
    <col min="5665" max="5665" width="20.140625" style="365" customWidth="1"/>
    <col min="5666" max="5666" width="14.42578125" style="365" bestFit="1" customWidth="1"/>
    <col min="5667" max="5667" width="14" style="365" bestFit="1" customWidth="1"/>
    <col min="5668" max="5668" width="12.28515625" style="365" bestFit="1" customWidth="1"/>
    <col min="5669" max="5693" width="9.140625" style="365" customWidth="1"/>
    <col min="5694" max="5888" width="8.85546875" style="365"/>
    <col min="5889" max="5889" width="44.5703125" style="365" customWidth="1"/>
    <col min="5890" max="5890" width="14.28515625" style="365" bestFit="1" customWidth="1"/>
    <col min="5891" max="5891" width="1.7109375" style="365" customWidth="1"/>
    <col min="5892" max="5892" width="14.85546875" style="365" customWidth="1"/>
    <col min="5893" max="5893" width="0" style="365" hidden="1" customWidth="1"/>
    <col min="5894" max="5894" width="17.42578125" style="365" customWidth="1"/>
    <col min="5895" max="5895" width="0" style="365" hidden="1" customWidth="1"/>
    <col min="5896" max="5896" width="12.85546875" style="365" customWidth="1"/>
    <col min="5897" max="5897" width="0" style="365" hidden="1" customWidth="1"/>
    <col min="5898" max="5898" width="14.42578125" style="365" customWidth="1"/>
    <col min="5899" max="5899" width="0" style="365" hidden="1" customWidth="1"/>
    <col min="5900" max="5900" width="17.42578125" style="365" customWidth="1"/>
    <col min="5901" max="5901" width="0" style="365" hidden="1" customWidth="1"/>
    <col min="5902" max="5902" width="14" style="365" customWidth="1"/>
    <col min="5903" max="5903" width="14.28515625" style="365" bestFit="1" customWidth="1"/>
    <col min="5904" max="5904" width="0" style="365" hidden="1" customWidth="1"/>
    <col min="5905" max="5905" width="15.5703125" style="365" customWidth="1"/>
    <col min="5906" max="5906" width="44.5703125" style="365" customWidth="1"/>
    <col min="5907" max="5907" width="14.28515625" style="365" bestFit="1" customWidth="1"/>
    <col min="5908" max="5908" width="0" style="365" hidden="1" customWidth="1"/>
    <col min="5909" max="5909" width="18.140625" style="365" customWidth="1"/>
    <col min="5910" max="5910" width="0" style="365" hidden="1" customWidth="1"/>
    <col min="5911" max="5911" width="14" style="365" customWidth="1"/>
    <col min="5912" max="5912" width="0" style="365" hidden="1" customWidth="1"/>
    <col min="5913" max="5913" width="20.85546875" style="365" customWidth="1"/>
    <col min="5914" max="5914" width="0" style="365" hidden="1" customWidth="1"/>
    <col min="5915" max="5915" width="13.28515625" style="365" customWidth="1"/>
    <col min="5916" max="5916" width="0" style="365" hidden="1" customWidth="1"/>
    <col min="5917" max="5917" width="15" style="365" customWidth="1"/>
    <col min="5918" max="5918" width="0" style="365" hidden="1" customWidth="1"/>
    <col min="5919" max="5919" width="13.28515625" style="365" customWidth="1"/>
    <col min="5920" max="5920" width="0" style="365" hidden="1" customWidth="1"/>
    <col min="5921" max="5921" width="20.140625" style="365" customWidth="1"/>
    <col min="5922" max="5922" width="14.42578125" style="365" bestFit="1" customWidth="1"/>
    <col min="5923" max="5923" width="14" style="365" bestFit="1" customWidth="1"/>
    <col min="5924" max="5924" width="12.28515625" style="365" bestFit="1" customWidth="1"/>
    <col min="5925" max="5949" width="9.140625" style="365" customWidth="1"/>
    <col min="5950" max="6144" width="9.7109375" style="365"/>
    <col min="6145" max="6145" width="44.5703125" style="365" customWidth="1"/>
    <col min="6146" max="6146" width="14.28515625" style="365" bestFit="1" customWidth="1"/>
    <col min="6147" max="6147" width="1.7109375" style="365" customWidth="1"/>
    <col min="6148" max="6148" width="14.85546875" style="365" customWidth="1"/>
    <col min="6149" max="6149" width="0" style="365" hidden="1" customWidth="1"/>
    <col min="6150" max="6150" width="17.42578125" style="365" customWidth="1"/>
    <col min="6151" max="6151" width="0" style="365" hidden="1" customWidth="1"/>
    <col min="6152" max="6152" width="12.85546875" style="365" customWidth="1"/>
    <col min="6153" max="6153" width="0" style="365" hidden="1" customWidth="1"/>
    <col min="6154" max="6154" width="14.42578125" style="365" customWidth="1"/>
    <col min="6155" max="6155" width="0" style="365" hidden="1" customWidth="1"/>
    <col min="6156" max="6156" width="17.42578125" style="365" customWidth="1"/>
    <col min="6157" max="6157" width="0" style="365" hidden="1" customWidth="1"/>
    <col min="6158" max="6158" width="14" style="365" customWidth="1"/>
    <col min="6159" max="6159" width="14.28515625" style="365" bestFit="1" customWidth="1"/>
    <col min="6160" max="6160" width="0" style="365" hidden="1" customWidth="1"/>
    <col min="6161" max="6161" width="15.5703125" style="365" customWidth="1"/>
    <col min="6162" max="6162" width="44.5703125" style="365" customWidth="1"/>
    <col min="6163" max="6163" width="14.28515625" style="365" bestFit="1" customWidth="1"/>
    <col min="6164" max="6164" width="0" style="365" hidden="1" customWidth="1"/>
    <col min="6165" max="6165" width="18.140625" style="365" customWidth="1"/>
    <col min="6166" max="6166" width="0" style="365" hidden="1" customWidth="1"/>
    <col min="6167" max="6167" width="14" style="365" customWidth="1"/>
    <col min="6168" max="6168" width="0" style="365" hidden="1" customWidth="1"/>
    <col min="6169" max="6169" width="20.85546875" style="365" customWidth="1"/>
    <col min="6170" max="6170" width="0" style="365" hidden="1" customWidth="1"/>
    <col min="6171" max="6171" width="13.28515625" style="365" customWidth="1"/>
    <col min="6172" max="6172" width="0" style="365" hidden="1" customWidth="1"/>
    <col min="6173" max="6173" width="15" style="365" customWidth="1"/>
    <col min="6174" max="6174" width="0" style="365" hidden="1" customWidth="1"/>
    <col min="6175" max="6175" width="13.28515625" style="365" customWidth="1"/>
    <col min="6176" max="6176" width="0" style="365" hidden="1" customWidth="1"/>
    <col min="6177" max="6177" width="20.140625" style="365" customWidth="1"/>
    <col min="6178" max="6178" width="14.42578125" style="365" bestFit="1" customWidth="1"/>
    <col min="6179" max="6179" width="14" style="365" bestFit="1" customWidth="1"/>
    <col min="6180" max="6180" width="12.28515625" style="365" bestFit="1" customWidth="1"/>
    <col min="6181" max="6205" width="9.140625" style="365" customWidth="1"/>
    <col min="6206" max="6400" width="8.85546875" style="365"/>
    <col min="6401" max="6401" width="44.5703125" style="365" customWidth="1"/>
    <col min="6402" max="6402" width="14.28515625" style="365" bestFit="1" customWidth="1"/>
    <col min="6403" max="6403" width="1.7109375" style="365" customWidth="1"/>
    <col min="6404" max="6404" width="14.85546875" style="365" customWidth="1"/>
    <col min="6405" max="6405" width="0" style="365" hidden="1" customWidth="1"/>
    <col min="6406" max="6406" width="17.42578125" style="365" customWidth="1"/>
    <col min="6407" max="6407" width="0" style="365" hidden="1" customWidth="1"/>
    <col min="6408" max="6408" width="12.85546875" style="365" customWidth="1"/>
    <col min="6409" max="6409" width="0" style="365" hidden="1" customWidth="1"/>
    <col min="6410" max="6410" width="14.42578125" style="365" customWidth="1"/>
    <col min="6411" max="6411" width="0" style="365" hidden="1" customWidth="1"/>
    <col min="6412" max="6412" width="17.42578125" style="365" customWidth="1"/>
    <col min="6413" max="6413" width="0" style="365" hidden="1" customWidth="1"/>
    <col min="6414" max="6414" width="14" style="365" customWidth="1"/>
    <col min="6415" max="6415" width="14.28515625" style="365" bestFit="1" customWidth="1"/>
    <col min="6416" max="6416" width="0" style="365" hidden="1" customWidth="1"/>
    <col min="6417" max="6417" width="15.5703125" style="365" customWidth="1"/>
    <col min="6418" max="6418" width="44.5703125" style="365" customWidth="1"/>
    <col min="6419" max="6419" width="14.28515625" style="365" bestFit="1" customWidth="1"/>
    <col min="6420" max="6420" width="0" style="365" hidden="1" customWidth="1"/>
    <col min="6421" max="6421" width="18.140625" style="365" customWidth="1"/>
    <col min="6422" max="6422" width="0" style="365" hidden="1" customWidth="1"/>
    <col min="6423" max="6423" width="14" style="365" customWidth="1"/>
    <col min="6424" max="6424" width="0" style="365" hidden="1" customWidth="1"/>
    <col min="6425" max="6425" width="20.85546875" style="365" customWidth="1"/>
    <col min="6426" max="6426" width="0" style="365" hidden="1" customWidth="1"/>
    <col min="6427" max="6427" width="13.28515625" style="365" customWidth="1"/>
    <col min="6428" max="6428" width="0" style="365" hidden="1" customWidth="1"/>
    <col min="6429" max="6429" width="15" style="365" customWidth="1"/>
    <col min="6430" max="6430" width="0" style="365" hidden="1" customWidth="1"/>
    <col min="6431" max="6431" width="13.28515625" style="365" customWidth="1"/>
    <col min="6432" max="6432" width="0" style="365" hidden="1" customWidth="1"/>
    <col min="6433" max="6433" width="20.140625" style="365" customWidth="1"/>
    <col min="6434" max="6434" width="14.42578125" style="365" bestFit="1" customWidth="1"/>
    <col min="6435" max="6435" width="14" style="365" bestFit="1" customWidth="1"/>
    <col min="6436" max="6436" width="12.28515625" style="365" bestFit="1" customWidth="1"/>
    <col min="6437" max="6461" width="9.140625" style="365" customWidth="1"/>
    <col min="6462" max="6656" width="8.85546875" style="365"/>
    <col min="6657" max="6657" width="44.5703125" style="365" customWidth="1"/>
    <col min="6658" max="6658" width="14.28515625" style="365" bestFit="1" customWidth="1"/>
    <col min="6659" max="6659" width="1.7109375" style="365" customWidth="1"/>
    <col min="6660" max="6660" width="14.85546875" style="365" customWidth="1"/>
    <col min="6661" max="6661" width="0" style="365" hidden="1" customWidth="1"/>
    <col min="6662" max="6662" width="17.42578125" style="365" customWidth="1"/>
    <col min="6663" max="6663" width="0" style="365" hidden="1" customWidth="1"/>
    <col min="6664" max="6664" width="12.85546875" style="365" customWidth="1"/>
    <col min="6665" max="6665" width="0" style="365" hidden="1" customWidth="1"/>
    <col min="6666" max="6666" width="14.42578125" style="365" customWidth="1"/>
    <col min="6667" max="6667" width="0" style="365" hidden="1" customWidth="1"/>
    <col min="6668" max="6668" width="17.42578125" style="365" customWidth="1"/>
    <col min="6669" max="6669" width="0" style="365" hidden="1" customWidth="1"/>
    <col min="6670" max="6670" width="14" style="365" customWidth="1"/>
    <col min="6671" max="6671" width="14.28515625" style="365" bestFit="1" customWidth="1"/>
    <col min="6672" max="6672" width="0" style="365" hidden="1" customWidth="1"/>
    <col min="6673" max="6673" width="15.5703125" style="365" customWidth="1"/>
    <col min="6674" max="6674" width="44.5703125" style="365" customWidth="1"/>
    <col min="6675" max="6675" width="14.28515625" style="365" bestFit="1" customWidth="1"/>
    <col min="6676" max="6676" width="0" style="365" hidden="1" customWidth="1"/>
    <col min="6677" max="6677" width="18.140625" style="365" customWidth="1"/>
    <col min="6678" max="6678" width="0" style="365" hidden="1" customWidth="1"/>
    <col min="6679" max="6679" width="14" style="365" customWidth="1"/>
    <col min="6680" max="6680" width="0" style="365" hidden="1" customWidth="1"/>
    <col min="6681" max="6681" width="20.85546875" style="365" customWidth="1"/>
    <col min="6682" max="6682" width="0" style="365" hidden="1" customWidth="1"/>
    <col min="6683" max="6683" width="13.28515625" style="365" customWidth="1"/>
    <col min="6684" max="6684" width="0" style="365" hidden="1" customWidth="1"/>
    <col min="6685" max="6685" width="15" style="365" customWidth="1"/>
    <col min="6686" max="6686" width="0" style="365" hidden="1" customWidth="1"/>
    <col min="6687" max="6687" width="13.28515625" style="365" customWidth="1"/>
    <col min="6688" max="6688" width="0" style="365" hidden="1" customWidth="1"/>
    <col min="6689" max="6689" width="20.140625" style="365" customWidth="1"/>
    <col min="6690" max="6690" width="14.42578125" style="365" bestFit="1" customWidth="1"/>
    <col min="6691" max="6691" width="14" style="365" bestFit="1" customWidth="1"/>
    <col min="6692" max="6692" width="12.28515625" style="365" bestFit="1" customWidth="1"/>
    <col min="6693" max="6717" width="9.140625" style="365" customWidth="1"/>
    <col min="6718" max="6912" width="8.85546875" style="365"/>
    <col min="6913" max="6913" width="44.5703125" style="365" customWidth="1"/>
    <col min="6914" max="6914" width="14.28515625" style="365" bestFit="1" customWidth="1"/>
    <col min="6915" max="6915" width="1.7109375" style="365" customWidth="1"/>
    <col min="6916" max="6916" width="14.85546875" style="365" customWidth="1"/>
    <col min="6917" max="6917" width="0" style="365" hidden="1" customWidth="1"/>
    <col min="6918" max="6918" width="17.42578125" style="365" customWidth="1"/>
    <col min="6919" max="6919" width="0" style="365" hidden="1" customWidth="1"/>
    <col min="6920" max="6920" width="12.85546875" style="365" customWidth="1"/>
    <col min="6921" max="6921" width="0" style="365" hidden="1" customWidth="1"/>
    <col min="6922" max="6922" width="14.42578125" style="365" customWidth="1"/>
    <col min="6923" max="6923" width="0" style="365" hidden="1" customWidth="1"/>
    <col min="6924" max="6924" width="17.42578125" style="365" customWidth="1"/>
    <col min="6925" max="6925" width="0" style="365" hidden="1" customWidth="1"/>
    <col min="6926" max="6926" width="14" style="365" customWidth="1"/>
    <col min="6927" max="6927" width="14.28515625" style="365" bestFit="1" customWidth="1"/>
    <col min="6928" max="6928" width="0" style="365" hidden="1" customWidth="1"/>
    <col min="6929" max="6929" width="15.5703125" style="365" customWidth="1"/>
    <col min="6930" max="6930" width="44.5703125" style="365" customWidth="1"/>
    <col min="6931" max="6931" width="14.28515625" style="365" bestFit="1" customWidth="1"/>
    <col min="6932" max="6932" width="0" style="365" hidden="1" customWidth="1"/>
    <col min="6933" max="6933" width="18.140625" style="365" customWidth="1"/>
    <col min="6934" max="6934" width="0" style="365" hidden="1" customWidth="1"/>
    <col min="6935" max="6935" width="14" style="365" customWidth="1"/>
    <col min="6936" max="6936" width="0" style="365" hidden="1" customWidth="1"/>
    <col min="6937" max="6937" width="20.85546875" style="365" customWidth="1"/>
    <col min="6938" max="6938" width="0" style="365" hidden="1" customWidth="1"/>
    <col min="6939" max="6939" width="13.28515625" style="365" customWidth="1"/>
    <col min="6940" max="6940" width="0" style="365" hidden="1" customWidth="1"/>
    <col min="6941" max="6941" width="15" style="365" customWidth="1"/>
    <col min="6942" max="6942" width="0" style="365" hidden="1" customWidth="1"/>
    <col min="6943" max="6943" width="13.28515625" style="365" customWidth="1"/>
    <col min="6944" max="6944" width="0" style="365" hidden="1" customWidth="1"/>
    <col min="6945" max="6945" width="20.140625" style="365" customWidth="1"/>
    <col min="6946" max="6946" width="14.42578125" style="365" bestFit="1" customWidth="1"/>
    <col min="6947" max="6947" width="14" style="365" bestFit="1" customWidth="1"/>
    <col min="6948" max="6948" width="12.28515625" style="365" bestFit="1" customWidth="1"/>
    <col min="6949" max="6973" width="9.140625" style="365" customWidth="1"/>
    <col min="6974" max="7168" width="9.7109375" style="365"/>
    <col min="7169" max="7169" width="44.5703125" style="365" customWidth="1"/>
    <col min="7170" max="7170" width="14.28515625" style="365" bestFit="1" customWidth="1"/>
    <col min="7171" max="7171" width="1.7109375" style="365" customWidth="1"/>
    <col min="7172" max="7172" width="14.85546875" style="365" customWidth="1"/>
    <col min="7173" max="7173" width="0" style="365" hidden="1" customWidth="1"/>
    <col min="7174" max="7174" width="17.42578125" style="365" customWidth="1"/>
    <col min="7175" max="7175" width="0" style="365" hidden="1" customWidth="1"/>
    <col min="7176" max="7176" width="12.85546875" style="365" customWidth="1"/>
    <col min="7177" max="7177" width="0" style="365" hidden="1" customWidth="1"/>
    <col min="7178" max="7178" width="14.42578125" style="365" customWidth="1"/>
    <col min="7179" max="7179" width="0" style="365" hidden="1" customWidth="1"/>
    <col min="7180" max="7180" width="17.42578125" style="365" customWidth="1"/>
    <col min="7181" max="7181" width="0" style="365" hidden="1" customWidth="1"/>
    <col min="7182" max="7182" width="14" style="365" customWidth="1"/>
    <col min="7183" max="7183" width="14.28515625" style="365" bestFit="1" customWidth="1"/>
    <col min="7184" max="7184" width="0" style="365" hidden="1" customWidth="1"/>
    <col min="7185" max="7185" width="15.5703125" style="365" customWidth="1"/>
    <col min="7186" max="7186" width="44.5703125" style="365" customWidth="1"/>
    <col min="7187" max="7187" width="14.28515625" style="365" bestFit="1" customWidth="1"/>
    <col min="7188" max="7188" width="0" style="365" hidden="1" customWidth="1"/>
    <col min="7189" max="7189" width="18.140625" style="365" customWidth="1"/>
    <col min="7190" max="7190" width="0" style="365" hidden="1" customWidth="1"/>
    <col min="7191" max="7191" width="14" style="365" customWidth="1"/>
    <col min="7192" max="7192" width="0" style="365" hidden="1" customWidth="1"/>
    <col min="7193" max="7193" width="20.85546875" style="365" customWidth="1"/>
    <col min="7194" max="7194" width="0" style="365" hidden="1" customWidth="1"/>
    <col min="7195" max="7195" width="13.28515625" style="365" customWidth="1"/>
    <col min="7196" max="7196" width="0" style="365" hidden="1" customWidth="1"/>
    <col min="7197" max="7197" width="15" style="365" customWidth="1"/>
    <col min="7198" max="7198" width="0" style="365" hidden="1" customWidth="1"/>
    <col min="7199" max="7199" width="13.28515625" style="365" customWidth="1"/>
    <col min="7200" max="7200" width="0" style="365" hidden="1" customWidth="1"/>
    <col min="7201" max="7201" width="20.140625" style="365" customWidth="1"/>
    <col min="7202" max="7202" width="14.42578125" style="365" bestFit="1" customWidth="1"/>
    <col min="7203" max="7203" width="14" style="365" bestFit="1" customWidth="1"/>
    <col min="7204" max="7204" width="12.28515625" style="365" bestFit="1" customWidth="1"/>
    <col min="7205" max="7229" width="9.140625" style="365" customWidth="1"/>
    <col min="7230" max="7424" width="8.85546875" style="365"/>
    <col min="7425" max="7425" width="44.5703125" style="365" customWidth="1"/>
    <col min="7426" max="7426" width="14.28515625" style="365" bestFit="1" customWidth="1"/>
    <col min="7427" max="7427" width="1.7109375" style="365" customWidth="1"/>
    <col min="7428" max="7428" width="14.85546875" style="365" customWidth="1"/>
    <col min="7429" max="7429" width="0" style="365" hidden="1" customWidth="1"/>
    <col min="7430" max="7430" width="17.42578125" style="365" customWidth="1"/>
    <col min="7431" max="7431" width="0" style="365" hidden="1" customWidth="1"/>
    <col min="7432" max="7432" width="12.85546875" style="365" customWidth="1"/>
    <col min="7433" max="7433" width="0" style="365" hidden="1" customWidth="1"/>
    <col min="7434" max="7434" width="14.42578125" style="365" customWidth="1"/>
    <col min="7435" max="7435" width="0" style="365" hidden="1" customWidth="1"/>
    <col min="7436" max="7436" width="17.42578125" style="365" customWidth="1"/>
    <col min="7437" max="7437" width="0" style="365" hidden="1" customWidth="1"/>
    <col min="7438" max="7438" width="14" style="365" customWidth="1"/>
    <col min="7439" max="7439" width="14.28515625" style="365" bestFit="1" customWidth="1"/>
    <col min="7440" max="7440" width="0" style="365" hidden="1" customWidth="1"/>
    <col min="7441" max="7441" width="15.5703125" style="365" customWidth="1"/>
    <col min="7442" max="7442" width="44.5703125" style="365" customWidth="1"/>
    <col min="7443" max="7443" width="14.28515625" style="365" bestFit="1" customWidth="1"/>
    <col min="7444" max="7444" width="0" style="365" hidden="1" customWidth="1"/>
    <col min="7445" max="7445" width="18.140625" style="365" customWidth="1"/>
    <col min="7446" max="7446" width="0" style="365" hidden="1" customWidth="1"/>
    <col min="7447" max="7447" width="14" style="365" customWidth="1"/>
    <col min="7448" max="7448" width="0" style="365" hidden="1" customWidth="1"/>
    <col min="7449" max="7449" width="20.85546875" style="365" customWidth="1"/>
    <col min="7450" max="7450" width="0" style="365" hidden="1" customWidth="1"/>
    <col min="7451" max="7451" width="13.28515625" style="365" customWidth="1"/>
    <col min="7452" max="7452" width="0" style="365" hidden="1" customWidth="1"/>
    <col min="7453" max="7453" width="15" style="365" customWidth="1"/>
    <col min="7454" max="7454" width="0" style="365" hidden="1" customWidth="1"/>
    <col min="7455" max="7455" width="13.28515625" style="365" customWidth="1"/>
    <col min="7456" max="7456" width="0" style="365" hidden="1" customWidth="1"/>
    <col min="7457" max="7457" width="20.140625" style="365" customWidth="1"/>
    <col min="7458" max="7458" width="14.42578125" style="365" bestFit="1" customWidth="1"/>
    <col min="7459" max="7459" width="14" style="365" bestFit="1" customWidth="1"/>
    <col min="7460" max="7460" width="12.28515625" style="365" bestFit="1" customWidth="1"/>
    <col min="7461" max="7485" width="9.140625" style="365" customWidth="1"/>
    <col min="7486" max="7680" width="8.85546875" style="365"/>
    <col min="7681" max="7681" width="44.5703125" style="365" customWidth="1"/>
    <col min="7682" max="7682" width="14.28515625" style="365" bestFit="1" customWidth="1"/>
    <col min="7683" max="7683" width="1.7109375" style="365" customWidth="1"/>
    <col min="7684" max="7684" width="14.85546875" style="365" customWidth="1"/>
    <col min="7685" max="7685" width="0" style="365" hidden="1" customWidth="1"/>
    <col min="7686" max="7686" width="17.42578125" style="365" customWidth="1"/>
    <col min="7687" max="7687" width="0" style="365" hidden="1" customWidth="1"/>
    <col min="7688" max="7688" width="12.85546875" style="365" customWidth="1"/>
    <col min="7689" max="7689" width="0" style="365" hidden="1" customWidth="1"/>
    <col min="7690" max="7690" width="14.42578125" style="365" customWidth="1"/>
    <col min="7691" max="7691" width="0" style="365" hidden="1" customWidth="1"/>
    <col min="7692" max="7692" width="17.42578125" style="365" customWidth="1"/>
    <col min="7693" max="7693" width="0" style="365" hidden="1" customWidth="1"/>
    <col min="7694" max="7694" width="14" style="365" customWidth="1"/>
    <col min="7695" max="7695" width="14.28515625" style="365" bestFit="1" customWidth="1"/>
    <col min="7696" max="7696" width="0" style="365" hidden="1" customWidth="1"/>
    <col min="7697" max="7697" width="15.5703125" style="365" customWidth="1"/>
    <col min="7698" max="7698" width="44.5703125" style="365" customWidth="1"/>
    <col min="7699" max="7699" width="14.28515625" style="365" bestFit="1" customWidth="1"/>
    <col min="7700" max="7700" width="0" style="365" hidden="1" customWidth="1"/>
    <col min="7701" max="7701" width="18.140625" style="365" customWidth="1"/>
    <col min="7702" max="7702" width="0" style="365" hidden="1" customWidth="1"/>
    <col min="7703" max="7703" width="14" style="365" customWidth="1"/>
    <col min="7704" max="7704" width="0" style="365" hidden="1" customWidth="1"/>
    <col min="7705" max="7705" width="20.85546875" style="365" customWidth="1"/>
    <col min="7706" max="7706" width="0" style="365" hidden="1" customWidth="1"/>
    <col min="7707" max="7707" width="13.28515625" style="365" customWidth="1"/>
    <col min="7708" max="7708" width="0" style="365" hidden="1" customWidth="1"/>
    <col min="7709" max="7709" width="15" style="365" customWidth="1"/>
    <col min="7710" max="7710" width="0" style="365" hidden="1" customWidth="1"/>
    <col min="7711" max="7711" width="13.28515625" style="365" customWidth="1"/>
    <col min="7712" max="7712" width="0" style="365" hidden="1" customWidth="1"/>
    <col min="7713" max="7713" width="20.140625" style="365" customWidth="1"/>
    <col min="7714" max="7714" width="14.42578125" style="365" bestFit="1" customWidth="1"/>
    <col min="7715" max="7715" width="14" style="365" bestFit="1" customWidth="1"/>
    <col min="7716" max="7716" width="12.28515625" style="365" bestFit="1" customWidth="1"/>
    <col min="7717" max="7741" width="9.140625" style="365" customWidth="1"/>
    <col min="7742" max="7936" width="8.85546875" style="365"/>
    <col min="7937" max="7937" width="44.5703125" style="365" customWidth="1"/>
    <col min="7938" max="7938" width="14.28515625" style="365" bestFit="1" customWidth="1"/>
    <col min="7939" max="7939" width="1.7109375" style="365" customWidth="1"/>
    <col min="7940" max="7940" width="14.85546875" style="365" customWidth="1"/>
    <col min="7941" max="7941" width="0" style="365" hidden="1" customWidth="1"/>
    <col min="7942" max="7942" width="17.42578125" style="365" customWidth="1"/>
    <col min="7943" max="7943" width="0" style="365" hidden="1" customWidth="1"/>
    <col min="7944" max="7944" width="12.85546875" style="365" customWidth="1"/>
    <col min="7945" max="7945" width="0" style="365" hidden="1" customWidth="1"/>
    <col min="7946" max="7946" width="14.42578125" style="365" customWidth="1"/>
    <col min="7947" max="7947" width="0" style="365" hidden="1" customWidth="1"/>
    <col min="7948" max="7948" width="17.42578125" style="365" customWidth="1"/>
    <col min="7949" max="7949" width="0" style="365" hidden="1" customWidth="1"/>
    <col min="7950" max="7950" width="14" style="365" customWidth="1"/>
    <col min="7951" max="7951" width="14.28515625" style="365" bestFit="1" customWidth="1"/>
    <col min="7952" max="7952" width="0" style="365" hidden="1" customWidth="1"/>
    <col min="7953" max="7953" width="15.5703125" style="365" customWidth="1"/>
    <col min="7954" max="7954" width="44.5703125" style="365" customWidth="1"/>
    <col min="7955" max="7955" width="14.28515625" style="365" bestFit="1" customWidth="1"/>
    <col min="7956" max="7956" width="0" style="365" hidden="1" customWidth="1"/>
    <col min="7957" max="7957" width="18.140625" style="365" customWidth="1"/>
    <col min="7958" max="7958" width="0" style="365" hidden="1" customWidth="1"/>
    <col min="7959" max="7959" width="14" style="365" customWidth="1"/>
    <col min="7960" max="7960" width="0" style="365" hidden="1" customWidth="1"/>
    <col min="7961" max="7961" width="20.85546875" style="365" customWidth="1"/>
    <col min="7962" max="7962" width="0" style="365" hidden="1" customWidth="1"/>
    <col min="7963" max="7963" width="13.28515625" style="365" customWidth="1"/>
    <col min="7964" max="7964" width="0" style="365" hidden="1" customWidth="1"/>
    <col min="7965" max="7965" width="15" style="365" customWidth="1"/>
    <col min="7966" max="7966" width="0" style="365" hidden="1" customWidth="1"/>
    <col min="7967" max="7967" width="13.28515625" style="365" customWidth="1"/>
    <col min="7968" max="7968" width="0" style="365" hidden="1" customWidth="1"/>
    <col min="7969" max="7969" width="20.140625" style="365" customWidth="1"/>
    <col min="7970" max="7970" width="14.42578125" style="365" bestFit="1" customWidth="1"/>
    <col min="7971" max="7971" width="14" style="365" bestFit="1" customWidth="1"/>
    <col min="7972" max="7972" width="12.28515625" style="365" bestFit="1" customWidth="1"/>
    <col min="7973" max="7997" width="9.140625" style="365" customWidth="1"/>
    <col min="7998" max="8192" width="9.7109375" style="365"/>
    <col min="8193" max="8193" width="44.5703125" style="365" customWidth="1"/>
    <col min="8194" max="8194" width="14.28515625" style="365" bestFit="1" customWidth="1"/>
    <col min="8195" max="8195" width="1.7109375" style="365" customWidth="1"/>
    <col min="8196" max="8196" width="14.85546875" style="365" customWidth="1"/>
    <col min="8197" max="8197" width="0" style="365" hidden="1" customWidth="1"/>
    <col min="8198" max="8198" width="17.42578125" style="365" customWidth="1"/>
    <col min="8199" max="8199" width="0" style="365" hidden="1" customWidth="1"/>
    <col min="8200" max="8200" width="12.85546875" style="365" customWidth="1"/>
    <col min="8201" max="8201" width="0" style="365" hidden="1" customWidth="1"/>
    <col min="8202" max="8202" width="14.42578125" style="365" customWidth="1"/>
    <col min="8203" max="8203" width="0" style="365" hidden="1" customWidth="1"/>
    <col min="8204" max="8204" width="17.42578125" style="365" customWidth="1"/>
    <col min="8205" max="8205" width="0" style="365" hidden="1" customWidth="1"/>
    <col min="8206" max="8206" width="14" style="365" customWidth="1"/>
    <col min="8207" max="8207" width="14.28515625" style="365" bestFit="1" customWidth="1"/>
    <col min="8208" max="8208" width="0" style="365" hidden="1" customWidth="1"/>
    <col min="8209" max="8209" width="15.5703125" style="365" customWidth="1"/>
    <col min="8210" max="8210" width="44.5703125" style="365" customWidth="1"/>
    <col min="8211" max="8211" width="14.28515625" style="365" bestFit="1" customWidth="1"/>
    <col min="8212" max="8212" width="0" style="365" hidden="1" customWidth="1"/>
    <col min="8213" max="8213" width="18.140625" style="365" customWidth="1"/>
    <col min="8214" max="8214" width="0" style="365" hidden="1" customWidth="1"/>
    <col min="8215" max="8215" width="14" style="365" customWidth="1"/>
    <col min="8216" max="8216" width="0" style="365" hidden="1" customWidth="1"/>
    <col min="8217" max="8217" width="20.85546875" style="365" customWidth="1"/>
    <col min="8218" max="8218" width="0" style="365" hidden="1" customWidth="1"/>
    <col min="8219" max="8219" width="13.28515625" style="365" customWidth="1"/>
    <col min="8220" max="8220" width="0" style="365" hidden="1" customWidth="1"/>
    <col min="8221" max="8221" width="15" style="365" customWidth="1"/>
    <col min="8222" max="8222" width="0" style="365" hidden="1" customWidth="1"/>
    <col min="8223" max="8223" width="13.28515625" style="365" customWidth="1"/>
    <col min="8224" max="8224" width="0" style="365" hidden="1" customWidth="1"/>
    <col min="8225" max="8225" width="20.140625" style="365" customWidth="1"/>
    <col min="8226" max="8226" width="14.42578125" style="365" bestFit="1" customWidth="1"/>
    <col min="8227" max="8227" width="14" style="365" bestFit="1" customWidth="1"/>
    <col min="8228" max="8228" width="12.28515625" style="365" bestFit="1" customWidth="1"/>
    <col min="8229" max="8253" width="9.140625" style="365" customWidth="1"/>
    <col min="8254" max="8448" width="8.85546875" style="365"/>
    <col min="8449" max="8449" width="44.5703125" style="365" customWidth="1"/>
    <col min="8450" max="8450" width="14.28515625" style="365" bestFit="1" customWidth="1"/>
    <col min="8451" max="8451" width="1.7109375" style="365" customWidth="1"/>
    <col min="8452" max="8452" width="14.85546875" style="365" customWidth="1"/>
    <col min="8453" max="8453" width="0" style="365" hidden="1" customWidth="1"/>
    <col min="8454" max="8454" width="17.42578125" style="365" customWidth="1"/>
    <col min="8455" max="8455" width="0" style="365" hidden="1" customWidth="1"/>
    <col min="8456" max="8456" width="12.85546875" style="365" customWidth="1"/>
    <col min="8457" max="8457" width="0" style="365" hidden="1" customWidth="1"/>
    <col min="8458" max="8458" width="14.42578125" style="365" customWidth="1"/>
    <col min="8459" max="8459" width="0" style="365" hidden="1" customWidth="1"/>
    <col min="8460" max="8460" width="17.42578125" style="365" customWidth="1"/>
    <col min="8461" max="8461" width="0" style="365" hidden="1" customWidth="1"/>
    <col min="8462" max="8462" width="14" style="365" customWidth="1"/>
    <col min="8463" max="8463" width="14.28515625" style="365" bestFit="1" customWidth="1"/>
    <col min="8464" max="8464" width="0" style="365" hidden="1" customWidth="1"/>
    <col min="8465" max="8465" width="15.5703125" style="365" customWidth="1"/>
    <col min="8466" max="8466" width="44.5703125" style="365" customWidth="1"/>
    <col min="8467" max="8467" width="14.28515625" style="365" bestFit="1" customWidth="1"/>
    <col min="8468" max="8468" width="0" style="365" hidden="1" customWidth="1"/>
    <col min="8469" max="8469" width="18.140625" style="365" customWidth="1"/>
    <col min="8470" max="8470" width="0" style="365" hidden="1" customWidth="1"/>
    <col min="8471" max="8471" width="14" style="365" customWidth="1"/>
    <col min="8472" max="8472" width="0" style="365" hidden="1" customWidth="1"/>
    <col min="8473" max="8473" width="20.85546875" style="365" customWidth="1"/>
    <col min="8474" max="8474" width="0" style="365" hidden="1" customWidth="1"/>
    <col min="8475" max="8475" width="13.28515625" style="365" customWidth="1"/>
    <col min="8476" max="8476" width="0" style="365" hidden="1" customWidth="1"/>
    <col min="8477" max="8477" width="15" style="365" customWidth="1"/>
    <col min="8478" max="8478" width="0" style="365" hidden="1" customWidth="1"/>
    <col min="8479" max="8479" width="13.28515625" style="365" customWidth="1"/>
    <col min="8480" max="8480" width="0" style="365" hidden="1" customWidth="1"/>
    <col min="8481" max="8481" width="20.140625" style="365" customWidth="1"/>
    <col min="8482" max="8482" width="14.42578125" style="365" bestFit="1" customWidth="1"/>
    <col min="8483" max="8483" width="14" style="365" bestFit="1" customWidth="1"/>
    <col min="8484" max="8484" width="12.28515625" style="365" bestFit="1" customWidth="1"/>
    <col min="8485" max="8509" width="9.140625" style="365" customWidth="1"/>
    <col min="8510" max="8704" width="8.85546875" style="365"/>
    <col min="8705" max="8705" width="44.5703125" style="365" customWidth="1"/>
    <col min="8706" max="8706" width="14.28515625" style="365" bestFit="1" customWidth="1"/>
    <col min="8707" max="8707" width="1.7109375" style="365" customWidth="1"/>
    <col min="8708" max="8708" width="14.85546875" style="365" customWidth="1"/>
    <col min="8709" max="8709" width="0" style="365" hidden="1" customWidth="1"/>
    <col min="8710" max="8710" width="17.42578125" style="365" customWidth="1"/>
    <col min="8711" max="8711" width="0" style="365" hidden="1" customWidth="1"/>
    <col min="8712" max="8712" width="12.85546875" style="365" customWidth="1"/>
    <col min="8713" max="8713" width="0" style="365" hidden="1" customWidth="1"/>
    <col min="8714" max="8714" width="14.42578125" style="365" customWidth="1"/>
    <col min="8715" max="8715" width="0" style="365" hidden="1" customWidth="1"/>
    <col min="8716" max="8716" width="17.42578125" style="365" customWidth="1"/>
    <col min="8717" max="8717" width="0" style="365" hidden="1" customWidth="1"/>
    <col min="8718" max="8718" width="14" style="365" customWidth="1"/>
    <col min="8719" max="8719" width="14.28515625" style="365" bestFit="1" customWidth="1"/>
    <col min="8720" max="8720" width="0" style="365" hidden="1" customWidth="1"/>
    <col min="8721" max="8721" width="15.5703125" style="365" customWidth="1"/>
    <col min="8722" max="8722" width="44.5703125" style="365" customWidth="1"/>
    <col min="8723" max="8723" width="14.28515625" style="365" bestFit="1" customWidth="1"/>
    <col min="8724" max="8724" width="0" style="365" hidden="1" customWidth="1"/>
    <col min="8725" max="8725" width="18.140625" style="365" customWidth="1"/>
    <col min="8726" max="8726" width="0" style="365" hidden="1" customWidth="1"/>
    <col min="8727" max="8727" width="14" style="365" customWidth="1"/>
    <col min="8728" max="8728" width="0" style="365" hidden="1" customWidth="1"/>
    <col min="8729" max="8729" width="20.85546875" style="365" customWidth="1"/>
    <col min="8730" max="8730" width="0" style="365" hidden="1" customWidth="1"/>
    <col min="8731" max="8731" width="13.28515625" style="365" customWidth="1"/>
    <col min="8732" max="8732" width="0" style="365" hidden="1" customWidth="1"/>
    <col min="8733" max="8733" width="15" style="365" customWidth="1"/>
    <col min="8734" max="8734" width="0" style="365" hidden="1" customWidth="1"/>
    <col min="8735" max="8735" width="13.28515625" style="365" customWidth="1"/>
    <col min="8736" max="8736" width="0" style="365" hidden="1" customWidth="1"/>
    <col min="8737" max="8737" width="20.140625" style="365" customWidth="1"/>
    <col min="8738" max="8738" width="14.42578125" style="365" bestFit="1" customWidth="1"/>
    <col min="8739" max="8739" width="14" style="365" bestFit="1" customWidth="1"/>
    <col min="8740" max="8740" width="12.28515625" style="365" bestFit="1" customWidth="1"/>
    <col min="8741" max="8765" width="9.140625" style="365" customWidth="1"/>
    <col min="8766" max="8960" width="8.85546875" style="365"/>
    <col min="8961" max="8961" width="44.5703125" style="365" customWidth="1"/>
    <col min="8962" max="8962" width="14.28515625" style="365" bestFit="1" customWidth="1"/>
    <col min="8963" max="8963" width="1.7109375" style="365" customWidth="1"/>
    <col min="8964" max="8964" width="14.85546875" style="365" customWidth="1"/>
    <col min="8965" max="8965" width="0" style="365" hidden="1" customWidth="1"/>
    <col min="8966" max="8966" width="17.42578125" style="365" customWidth="1"/>
    <col min="8967" max="8967" width="0" style="365" hidden="1" customWidth="1"/>
    <col min="8968" max="8968" width="12.85546875" style="365" customWidth="1"/>
    <col min="8969" max="8969" width="0" style="365" hidden="1" customWidth="1"/>
    <col min="8970" max="8970" width="14.42578125" style="365" customWidth="1"/>
    <col min="8971" max="8971" width="0" style="365" hidden="1" customWidth="1"/>
    <col min="8972" max="8972" width="17.42578125" style="365" customWidth="1"/>
    <col min="8973" max="8973" width="0" style="365" hidden="1" customWidth="1"/>
    <col min="8974" max="8974" width="14" style="365" customWidth="1"/>
    <col min="8975" max="8975" width="14.28515625" style="365" bestFit="1" customWidth="1"/>
    <col min="8976" max="8976" width="0" style="365" hidden="1" customWidth="1"/>
    <col min="8977" max="8977" width="15.5703125" style="365" customWidth="1"/>
    <col min="8978" max="8978" width="44.5703125" style="365" customWidth="1"/>
    <col min="8979" max="8979" width="14.28515625" style="365" bestFit="1" customWidth="1"/>
    <col min="8980" max="8980" width="0" style="365" hidden="1" customWidth="1"/>
    <col min="8981" max="8981" width="18.140625" style="365" customWidth="1"/>
    <col min="8982" max="8982" width="0" style="365" hidden="1" customWidth="1"/>
    <col min="8983" max="8983" width="14" style="365" customWidth="1"/>
    <col min="8984" max="8984" width="0" style="365" hidden="1" customWidth="1"/>
    <col min="8985" max="8985" width="20.85546875" style="365" customWidth="1"/>
    <col min="8986" max="8986" width="0" style="365" hidden="1" customWidth="1"/>
    <col min="8987" max="8987" width="13.28515625" style="365" customWidth="1"/>
    <col min="8988" max="8988" width="0" style="365" hidden="1" customWidth="1"/>
    <col min="8989" max="8989" width="15" style="365" customWidth="1"/>
    <col min="8990" max="8990" width="0" style="365" hidden="1" customWidth="1"/>
    <col min="8991" max="8991" width="13.28515625" style="365" customWidth="1"/>
    <col min="8992" max="8992" width="0" style="365" hidden="1" customWidth="1"/>
    <col min="8993" max="8993" width="20.140625" style="365" customWidth="1"/>
    <col min="8994" max="8994" width="14.42578125" style="365" bestFit="1" customWidth="1"/>
    <col min="8995" max="8995" width="14" style="365" bestFit="1" customWidth="1"/>
    <col min="8996" max="8996" width="12.28515625" style="365" bestFit="1" customWidth="1"/>
    <col min="8997" max="9021" width="9.140625" style="365" customWidth="1"/>
    <col min="9022" max="9216" width="9.7109375" style="365"/>
    <col min="9217" max="9217" width="44.5703125" style="365" customWidth="1"/>
    <col min="9218" max="9218" width="14.28515625" style="365" bestFit="1" customWidth="1"/>
    <col min="9219" max="9219" width="1.7109375" style="365" customWidth="1"/>
    <col min="9220" max="9220" width="14.85546875" style="365" customWidth="1"/>
    <col min="9221" max="9221" width="0" style="365" hidden="1" customWidth="1"/>
    <col min="9222" max="9222" width="17.42578125" style="365" customWidth="1"/>
    <col min="9223" max="9223" width="0" style="365" hidden="1" customWidth="1"/>
    <col min="9224" max="9224" width="12.85546875" style="365" customWidth="1"/>
    <col min="9225" max="9225" width="0" style="365" hidden="1" customWidth="1"/>
    <col min="9226" max="9226" width="14.42578125" style="365" customWidth="1"/>
    <col min="9227" max="9227" width="0" style="365" hidden="1" customWidth="1"/>
    <col min="9228" max="9228" width="17.42578125" style="365" customWidth="1"/>
    <col min="9229" max="9229" width="0" style="365" hidden="1" customWidth="1"/>
    <col min="9230" max="9230" width="14" style="365" customWidth="1"/>
    <col min="9231" max="9231" width="14.28515625" style="365" bestFit="1" customWidth="1"/>
    <col min="9232" max="9232" width="0" style="365" hidden="1" customWidth="1"/>
    <col min="9233" max="9233" width="15.5703125" style="365" customWidth="1"/>
    <col min="9234" max="9234" width="44.5703125" style="365" customWidth="1"/>
    <col min="9235" max="9235" width="14.28515625" style="365" bestFit="1" customWidth="1"/>
    <col min="9236" max="9236" width="0" style="365" hidden="1" customWidth="1"/>
    <col min="9237" max="9237" width="18.140625" style="365" customWidth="1"/>
    <col min="9238" max="9238" width="0" style="365" hidden="1" customWidth="1"/>
    <col min="9239" max="9239" width="14" style="365" customWidth="1"/>
    <col min="9240" max="9240" width="0" style="365" hidden="1" customWidth="1"/>
    <col min="9241" max="9241" width="20.85546875" style="365" customWidth="1"/>
    <col min="9242" max="9242" width="0" style="365" hidden="1" customWidth="1"/>
    <col min="9243" max="9243" width="13.28515625" style="365" customWidth="1"/>
    <col min="9244" max="9244" width="0" style="365" hidden="1" customWidth="1"/>
    <col min="9245" max="9245" width="15" style="365" customWidth="1"/>
    <col min="9246" max="9246" width="0" style="365" hidden="1" customWidth="1"/>
    <col min="9247" max="9247" width="13.28515625" style="365" customWidth="1"/>
    <col min="9248" max="9248" width="0" style="365" hidden="1" customWidth="1"/>
    <col min="9249" max="9249" width="20.140625" style="365" customWidth="1"/>
    <col min="9250" max="9250" width="14.42578125" style="365" bestFit="1" customWidth="1"/>
    <col min="9251" max="9251" width="14" style="365" bestFit="1" customWidth="1"/>
    <col min="9252" max="9252" width="12.28515625" style="365" bestFit="1" customWidth="1"/>
    <col min="9253" max="9277" width="9.140625" style="365" customWidth="1"/>
    <col min="9278" max="9472" width="8.85546875" style="365"/>
    <col min="9473" max="9473" width="44.5703125" style="365" customWidth="1"/>
    <col min="9474" max="9474" width="14.28515625" style="365" bestFit="1" customWidth="1"/>
    <col min="9475" max="9475" width="1.7109375" style="365" customWidth="1"/>
    <col min="9476" max="9476" width="14.85546875" style="365" customWidth="1"/>
    <col min="9477" max="9477" width="0" style="365" hidden="1" customWidth="1"/>
    <col min="9478" max="9478" width="17.42578125" style="365" customWidth="1"/>
    <col min="9479" max="9479" width="0" style="365" hidden="1" customWidth="1"/>
    <col min="9480" max="9480" width="12.85546875" style="365" customWidth="1"/>
    <col min="9481" max="9481" width="0" style="365" hidden="1" customWidth="1"/>
    <col min="9482" max="9482" width="14.42578125" style="365" customWidth="1"/>
    <col min="9483" max="9483" width="0" style="365" hidden="1" customWidth="1"/>
    <col min="9484" max="9484" width="17.42578125" style="365" customWidth="1"/>
    <col min="9485" max="9485" width="0" style="365" hidden="1" customWidth="1"/>
    <col min="9486" max="9486" width="14" style="365" customWidth="1"/>
    <col min="9487" max="9487" width="14.28515625" style="365" bestFit="1" customWidth="1"/>
    <col min="9488" max="9488" width="0" style="365" hidden="1" customWidth="1"/>
    <col min="9489" max="9489" width="15.5703125" style="365" customWidth="1"/>
    <col min="9490" max="9490" width="44.5703125" style="365" customWidth="1"/>
    <col min="9491" max="9491" width="14.28515625" style="365" bestFit="1" customWidth="1"/>
    <col min="9492" max="9492" width="0" style="365" hidden="1" customWidth="1"/>
    <col min="9493" max="9493" width="18.140625" style="365" customWidth="1"/>
    <col min="9494" max="9494" width="0" style="365" hidden="1" customWidth="1"/>
    <col min="9495" max="9495" width="14" style="365" customWidth="1"/>
    <col min="9496" max="9496" width="0" style="365" hidden="1" customWidth="1"/>
    <col min="9497" max="9497" width="20.85546875" style="365" customWidth="1"/>
    <col min="9498" max="9498" width="0" style="365" hidden="1" customWidth="1"/>
    <col min="9499" max="9499" width="13.28515625" style="365" customWidth="1"/>
    <col min="9500" max="9500" width="0" style="365" hidden="1" customWidth="1"/>
    <col min="9501" max="9501" width="15" style="365" customWidth="1"/>
    <col min="9502" max="9502" width="0" style="365" hidden="1" customWidth="1"/>
    <col min="9503" max="9503" width="13.28515625" style="365" customWidth="1"/>
    <col min="9504" max="9504" width="0" style="365" hidden="1" customWidth="1"/>
    <col min="9505" max="9505" width="20.140625" style="365" customWidth="1"/>
    <col min="9506" max="9506" width="14.42578125" style="365" bestFit="1" customWidth="1"/>
    <col min="9507" max="9507" width="14" style="365" bestFit="1" customWidth="1"/>
    <col min="9508" max="9508" width="12.28515625" style="365" bestFit="1" customWidth="1"/>
    <col min="9509" max="9533" width="9.140625" style="365" customWidth="1"/>
    <col min="9534" max="9728" width="8.85546875" style="365"/>
    <col min="9729" max="9729" width="44.5703125" style="365" customWidth="1"/>
    <col min="9730" max="9730" width="14.28515625" style="365" bestFit="1" customWidth="1"/>
    <col min="9731" max="9731" width="1.7109375" style="365" customWidth="1"/>
    <col min="9732" max="9732" width="14.85546875" style="365" customWidth="1"/>
    <col min="9733" max="9733" width="0" style="365" hidden="1" customWidth="1"/>
    <col min="9734" max="9734" width="17.42578125" style="365" customWidth="1"/>
    <col min="9735" max="9735" width="0" style="365" hidden="1" customWidth="1"/>
    <col min="9736" max="9736" width="12.85546875" style="365" customWidth="1"/>
    <col min="9737" max="9737" width="0" style="365" hidden="1" customWidth="1"/>
    <col min="9738" max="9738" width="14.42578125" style="365" customWidth="1"/>
    <col min="9739" max="9739" width="0" style="365" hidden="1" customWidth="1"/>
    <col min="9740" max="9740" width="17.42578125" style="365" customWidth="1"/>
    <col min="9741" max="9741" width="0" style="365" hidden="1" customWidth="1"/>
    <col min="9742" max="9742" width="14" style="365" customWidth="1"/>
    <col min="9743" max="9743" width="14.28515625" style="365" bestFit="1" customWidth="1"/>
    <col min="9744" max="9744" width="0" style="365" hidden="1" customWidth="1"/>
    <col min="9745" max="9745" width="15.5703125" style="365" customWidth="1"/>
    <col min="9746" max="9746" width="44.5703125" style="365" customWidth="1"/>
    <col min="9747" max="9747" width="14.28515625" style="365" bestFit="1" customWidth="1"/>
    <col min="9748" max="9748" width="0" style="365" hidden="1" customWidth="1"/>
    <col min="9749" max="9749" width="18.140625" style="365" customWidth="1"/>
    <col min="9750" max="9750" width="0" style="365" hidden="1" customWidth="1"/>
    <col min="9751" max="9751" width="14" style="365" customWidth="1"/>
    <col min="9752" max="9752" width="0" style="365" hidden="1" customWidth="1"/>
    <col min="9753" max="9753" width="20.85546875" style="365" customWidth="1"/>
    <col min="9754" max="9754" width="0" style="365" hidden="1" customWidth="1"/>
    <col min="9755" max="9755" width="13.28515625" style="365" customWidth="1"/>
    <col min="9756" max="9756" width="0" style="365" hidden="1" customWidth="1"/>
    <col min="9757" max="9757" width="15" style="365" customWidth="1"/>
    <col min="9758" max="9758" width="0" style="365" hidden="1" customWidth="1"/>
    <col min="9759" max="9759" width="13.28515625" style="365" customWidth="1"/>
    <col min="9760" max="9760" width="0" style="365" hidden="1" customWidth="1"/>
    <col min="9761" max="9761" width="20.140625" style="365" customWidth="1"/>
    <col min="9762" max="9762" width="14.42578125" style="365" bestFit="1" customWidth="1"/>
    <col min="9763" max="9763" width="14" style="365" bestFit="1" customWidth="1"/>
    <col min="9764" max="9764" width="12.28515625" style="365" bestFit="1" customWidth="1"/>
    <col min="9765" max="9789" width="9.140625" style="365" customWidth="1"/>
    <col min="9790" max="9984" width="8.85546875" style="365"/>
    <col min="9985" max="9985" width="44.5703125" style="365" customWidth="1"/>
    <col min="9986" max="9986" width="14.28515625" style="365" bestFit="1" customWidth="1"/>
    <col min="9987" max="9987" width="1.7109375" style="365" customWidth="1"/>
    <col min="9988" max="9988" width="14.85546875" style="365" customWidth="1"/>
    <col min="9989" max="9989" width="0" style="365" hidden="1" customWidth="1"/>
    <col min="9990" max="9990" width="17.42578125" style="365" customWidth="1"/>
    <col min="9991" max="9991" width="0" style="365" hidden="1" customWidth="1"/>
    <col min="9992" max="9992" width="12.85546875" style="365" customWidth="1"/>
    <col min="9993" max="9993" width="0" style="365" hidden="1" customWidth="1"/>
    <col min="9994" max="9994" width="14.42578125" style="365" customWidth="1"/>
    <col min="9995" max="9995" width="0" style="365" hidden="1" customWidth="1"/>
    <col min="9996" max="9996" width="17.42578125" style="365" customWidth="1"/>
    <col min="9997" max="9997" width="0" style="365" hidden="1" customWidth="1"/>
    <col min="9998" max="9998" width="14" style="365" customWidth="1"/>
    <col min="9999" max="9999" width="14.28515625" style="365" bestFit="1" customWidth="1"/>
    <col min="10000" max="10000" width="0" style="365" hidden="1" customWidth="1"/>
    <col min="10001" max="10001" width="15.5703125" style="365" customWidth="1"/>
    <col min="10002" max="10002" width="44.5703125" style="365" customWidth="1"/>
    <col min="10003" max="10003" width="14.28515625" style="365" bestFit="1" customWidth="1"/>
    <col min="10004" max="10004" width="0" style="365" hidden="1" customWidth="1"/>
    <col min="10005" max="10005" width="18.140625" style="365" customWidth="1"/>
    <col min="10006" max="10006" width="0" style="365" hidden="1" customWidth="1"/>
    <col min="10007" max="10007" width="14" style="365" customWidth="1"/>
    <col min="10008" max="10008" width="0" style="365" hidden="1" customWidth="1"/>
    <col min="10009" max="10009" width="20.85546875" style="365" customWidth="1"/>
    <col min="10010" max="10010" width="0" style="365" hidden="1" customWidth="1"/>
    <col min="10011" max="10011" width="13.28515625" style="365" customWidth="1"/>
    <col min="10012" max="10012" width="0" style="365" hidden="1" customWidth="1"/>
    <col min="10013" max="10013" width="15" style="365" customWidth="1"/>
    <col min="10014" max="10014" width="0" style="365" hidden="1" customWidth="1"/>
    <col min="10015" max="10015" width="13.28515625" style="365" customWidth="1"/>
    <col min="10016" max="10016" width="0" style="365" hidden="1" customWidth="1"/>
    <col min="10017" max="10017" width="20.140625" style="365" customWidth="1"/>
    <col min="10018" max="10018" width="14.42578125" style="365" bestFit="1" customWidth="1"/>
    <col min="10019" max="10019" width="14" style="365" bestFit="1" customWidth="1"/>
    <col min="10020" max="10020" width="12.28515625" style="365" bestFit="1" customWidth="1"/>
    <col min="10021" max="10045" width="9.140625" style="365" customWidth="1"/>
    <col min="10046" max="10240" width="9.7109375" style="365"/>
    <col min="10241" max="10241" width="44.5703125" style="365" customWidth="1"/>
    <col min="10242" max="10242" width="14.28515625" style="365" bestFit="1" customWidth="1"/>
    <col min="10243" max="10243" width="1.7109375" style="365" customWidth="1"/>
    <col min="10244" max="10244" width="14.85546875" style="365" customWidth="1"/>
    <col min="10245" max="10245" width="0" style="365" hidden="1" customWidth="1"/>
    <col min="10246" max="10246" width="17.42578125" style="365" customWidth="1"/>
    <col min="10247" max="10247" width="0" style="365" hidden="1" customWidth="1"/>
    <col min="10248" max="10248" width="12.85546875" style="365" customWidth="1"/>
    <col min="10249" max="10249" width="0" style="365" hidden="1" customWidth="1"/>
    <col min="10250" max="10250" width="14.42578125" style="365" customWidth="1"/>
    <col min="10251" max="10251" width="0" style="365" hidden="1" customWidth="1"/>
    <col min="10252" max="10252" width="17.42578125" style="365" customWidth="1"/>
    <col min="10253" max="10253" width="0" style="365" hidden="1" customWidth="1"/>
    <col min="10254" max="10254" width="14" style="365" customWidth="1"/>
    <col min="10255" max="10255" width="14.28515625" style="365" bestFit="1" customWidth="1"/>
    <col min="10256" max="10256" width="0" style="365" hidden="1" customWidth="1"/>
    <col min="10257" max="10257" width="15.5703125" style="365" customWidth="1"/>
    <col min="10258" max="10258" width="44.5703125" style="365" customWidth="1"/>
    <col min="10259" max="10259" width="14.28515625" style="365" bestFit="1" customWidth="1"/>
    <col min="10260" max="10260" width="0" style="365" hidden="1" customWidth="1"/>
    <col min="10261" max="10261" width="18.140625" style="365" customWidth="1"/>
    <col min="10262" max="10262" width="0" style="365" hidden="1" customWidth="1"/>
    <col min="10263" max="10263" width="14" style="365" customWidth="1"/>
    <col min="10264" max="10264" width="0" style="365" hidden="1" customWidth="1"/>
    <col min="10265" max="10265" width="20.85546875" style="365" customWidth="1"/>
    <col min="10266" max="10266" width="0" style="365" hidden="1" customWidth="1"/>
    <col min="10267" max="10267" width="13.28515625" style="365" customWidth="1"/>
    <col min="10268" max="10268" width="0" style="365" hidden="1" customWidth="1"/>
    <col min="10269" max="10269" width="15" style="365" customWidth="1"/>
    <col min="10270" max="10270" width="0" style="365" hidden="1" customWidth="1"/>
    <col min="10271" max="10271" width="13.28515625" style="365" customWidth="1"/>
    <col min="10272" max="10272" width="0" style="365" hidden="1" customWidth="1"/>
    <col min="10273" max="10273" width="20.140625" style="365" customWidth="1"/>
    <col min="10274" max="10274" width="14.42578125" style="365" bestFit="1" customWidth="1"/>
    <col min="10275" max="10275" width="14" style="365" bestFit="1" customWidth="1"/>
    <col min="10276" max="10276" width="12.28515625" style="365" bestFit="1" customWidth="1"/>
    <col min="10277" max="10301" width="9.140625" style="365" customWidth="1"/>
    <col min="10302" max="10496" width="8.85546875" style="365"/>
    <col min="10497" max="10497" width="44.5703125" style="365" customWidth="1"/>
    <col min="10498" max="10498" width="14.28515625" style="365" bestFit="1" customWidth="1"/>
    <col min="10499" max="10499" width="1.7109375" style="365" customWidth="1"/>
    <col min="10500" max="10500" width="14.85546875" style="365" customWidth="1"/>
    <col min="10501" max="10501" width="0" style="365" hidden="1" customWidth="1"/>
    <col min="10502" max="10502" width="17.42578125" style="365" customWidth="1"/>
    <col min="10503" max="10503" width="0" style="365" hidden="1" customWidth="1"/>
    <col min="10504" max="10504" width="12.85546875" style="365" customWidth="1"/>
    <col min="10505" max="10505" width="0" style="365" hidden="1" customWidth="1"/>
    <col min="10506" max="10506" width="14.42578125" style="365" customWidth="1"/>
    <col min="10507" max="10507" width="0" style="365" hidden="1" customWidth="1"/>
    <col min="10508" max="10508" width="17.42578125" style="365" customWidth="1"/>
    <col min="10509" max="10509" width="0" style="365" hidden="1" customWidth="1"/>
    <col min="10510" max="10510" width="14" style="365" customWidth="1"/>
    <col min="10511" max="10511" width="14.28515625" style="365" bestFit="1" customWidth="1"/>
    <col min="10512" max="10512" width="0" style="365" hidden="1" customWidth="1"/>
    <col min="10513" max="10513" width="15.5703125" style="365" customWidth="1"/>
    <col min="10514" max="10514" width="44.5703125" style="365" customWidth="1"/>
    <col min="10515" max="10515" width="14.28515625" style="365" bestFit="1" customWidth="1"/>
    <col min="10516" max="10516" width="0" style="365" hidden="1" customWidth="1"/>
    <col min="10517" max="10517" width="18.140625" style="365" customWidth="1"/>
    <col min="10518" max="10518" width="0" style="365" hidden="1" customWidth="1"/>
    <col min="10519" max="10519" width="14" style="365" customWidth="1"/>
    <col min="10520" max="10520" width="0" style="365" hidden="1" customWidth="1"/>
    <col min="10521" max="10521" width="20.85546875" style="365" customWidth="1"/>
    <col min="10522" max="10522" width="0" style="365" hidden="1" customWidth="1"/>
    <col min="10523" max="10523" width="13.28515625" style="365" customWidth="1"/>
    <col min="10524" max="10524" width="0" style="365" hidden="1" customWidth="1"/>
    <col min="10525" max="10525" width="15" style="365" customWidth="1"/>
    <col min="10526" max="10526" width="0" style="365" hidden="1" customWidth="1"/>
    <col min="10527" max="10527" width="13.28515625" style="365" customWidth="1"/>
    <col min="10528" max="10528" width="0" style="365" hidden="1" customWidth="1"/>
    <col min="10529" max="10529" width="20.140625" style="365" customWidth="1"/>
    <col min="10530" max="10530" width="14.42578125" style="365" bestFit="1" customWidth="1"/>
    <col min="10531" max="10531" width="14" style="365" bestFit="1" customWidth="1"/>
    <col min="10532" max="10532" width="12.28515625" style="365" bestFit="1" customWidth="1"/>
    <col min="10533" max="10557" width="9.140625" style="365" customWidth="1"/>
    <col min="10558" max="10752" width="8.85546875" style="365"/>
    <col min="10753" max="10753" width="44.5703125" style="365" customWidth="1"/>
    <col min="10754" max="10754" width="14.28515625" style="365" bestFit="1" customWidth="1"/>
    <col min="10755" max="10755" width="1.7109375" style="365" customWidth="1"/>
    <col min="10756" max="10756" width="14.85546875" style="365" customWidth="1"/>
    <col min="10757" max="10757" width="0" style="365" hidden="1" customWidth="1"/>
    <col min="10758" max="10758" width="17.42578125" style="365" customWidth="1"/>
    <col min="10759" max="10759" width="0" style="365" hidden="1" customWidth="1"/>
    <col min="10760" max="10760" width="12.85546875" style="365" customWidth="1"/>
    <col min="10761" max="10761" width="0" style="365" hidden="1" customWidth="1"/>
    <col min="10762" max="10762" width="14.42578125" style="365" customWidth="1"/>
    <col min="10763" max="10763" width="0" style="365" hidden="1" customWidth="1"/>
    <col min="10764" max="10764" width="17.42578125" style="365" customWidth="1"/>
    <col min="10765" max="10765" width="0" style="365" hidden="1" customWidth="1"/>
    <col min="10766" max="10766" width="14" style="365" customWidth="1"/>
    <col min="10767" max="10767" width="14.28515625" style="365" bestFit="1" customWidth="1"/>
    <col min="10768" max="10768" width="0" style="365" hidden="1" customWidth="1"/>
    <col min="10769" max="10769" width="15.5703125" style="365" customWidth="1"/>
    <col min="10770" max="10770" width="44.5703125" style="365" customWidth="1"/>
    <col min="10771" max="10771" width="14.28515625" style="365" bestFit="1" customWidth="1"/>
    <col min="10772" max="10772" width="0" style="365" hidden="1" customWidth="1"/>
    <col min="10773" max="10773" width="18.140625" style="365" customWidth="1"/>
    <col min="10774" max="10774" width="0" style="365" hidden="1" customWidth="1"/>
    <col min="10775" max="10775" width="14" style="365" customWidth="1"/>
    <col min="10776" max="10776" width="0" style="365" hidden="1" customWidth="1"/>
    <col min="10777" max="10777" width="20.85546875" style="365" customWidth="1"/>
    <col min="10778" max="10778" width="0" style="365" hidden="1" customWidth="1"/>
    <col min="10779" max="10779" width="13.28515625" style="365" customWidth="1"/>
    <col min="10780" max="10780" width="0" style="365" hidden="1" customWidth="1"/>
    <col min="10781" max="10781" width="15" style="365" customWidth="1"/>
    <col min="10782" max="10782" width="0" style="365" hidden="1" customWidth="1"/>
    <col min="10783" max="10783" width="13.28515625" style="365" customWidth="1"/>
    <col min="10784" max="10784" width="0" style="365" hidden="1" customWidth="1"/>
    <col min="10785" max="10785" width="20.140625" style="365" customWidth="1"/>
    <col min="10786" max="10786" width="14.42578125" style="365" bestFit="1" customWidth="1"/>
    <col min="10787" max="10787" width="14" style="365" bestFit="1" customWidth="1"/>
    <col min="10788" max="10788" width="12.28515625" style="365" bestFit="1" customWidth="1"/>
    <col min="10789" max="10813" width="9.140625" style="365" customWidth="1"/>
    <col min="10814" max="11008" width="8.85546875" style="365"/>
    <col min="11009" max="11009" width="44.5703125" style="365" customWidth="1"/>
    <col min="11010" max="11010" width="14.28515625" style="365" bestFit="1" customWidth="1"/>
    <col min="11011" max="11011" width="1.7109375" style="365" customWidth="1"/>
    <col min="11012" max="11012" width="14.85546875" style="365" customWidth="1"/>
    <col min="11013" max="11013" width="0" style="365" hidden="1" customWidth="1"/>
    <col min="11014" max="11014" width="17.42578125" style="365" customWidth="1"/>
    <col min="11015" max="11015" width="0" style="365" hidden="1" customWidth="1"/>
    <col min="11016" max="11016" width="12.85546875" style="365" customWidth="1"/>
    <col min="11017" max="11017" width="0" style="365" hidden="1" customWidth="1"/>
    <col min="11018" max="11018" width="14.42578125" style="365" customWidth="1"/>
    <col min="11019" max="11019" width="0" style="365" hidden="1" customWidth="1"/>
    <col min="11020" max="11020" width="17.42578125" style="365" customWidth="1"/>
    <col min="11021" max="11021" width="0" style="365" hidden="1" customWidth="1"/>
    <col min="11022" max="11022" width="14" style="365" customWidth="1"/>
    <col min="11023" max="11023" width="14.28515625" style="365" bestFit="1" customWidth="1"/>
    <col min="11024" max="11024" width="0" style="365" hidden="1" customWidth="1"/>
    <col min="11025" max="11025" width="15.5703125" style="365" customWidth="1"/>
    <col min="11026" max="11026" width="44.5703125" style="365" customWidth="1"/>
    <col min="11027" max="11027" width="14.28515625" style="365" bestFit="1" customWidth="1"/>
    <col min="11028" max="11028" width="0" style="365" hidden="1" customWidth="1"/>
    <col min="11029" max="11029" width="18.140625" style="365" customWidth="1"/>
    <col min="11030" max="11030" width="0" style="365" hidden="1" customWidth="1"/>
    <col min="11031" max="11031" width="14" style="365" customWidth="1"/>
    <col min="11032" max="11032" width="0" style="365" hidden="1" customWidth="1"/>
    <col min="11033" max="11033" width="20.85546875" style="365" customWidth="1"/>
    <col min="11034" max="11034" width="0" style="365" hidden="1" customWidth="1"/>
    <col min="11035" max="11035" width="13.28515625" style="365" customWidth="1"/>
    <col min="11036" max="11036" width="0" style="365" hidden="1" customWidth="1"/>
    <col min="11037" max="11037" width="15" style="365" customWidth="1"/>
    <col min="11038" max="11038" width="0" style="365" hidden="1" customWidth="1"/>
    <col min="11039" max="11039" width="13.28515625" style="365" customWidth="1"/>
    <col min="11040" max="11040" width="0" style="365" hidden="1" customWidth="1"/>
    <col min="11041" max="11041" width="20.140625" style="365" customWidth="1"/>
    <col min="11042" max="11042" width="14.42578125" style="365" bestFit="1" customWidth="1"/>
    <col min="11043" max="11043" width="14" style="365" bestFit="1" customWidth="1"/>
    <col min="11044" max="11044" width="12.28515625" style="365" bestFit="1" customWidth="1"/>
    <col min="11045" max="11069" width="9.140625" style="365" customWidth="1"/>
    <col min="11070" max="11264" width="9.7109375" style="365"/>
    <col min="11265" max="11265" width="44.5703125" style="365" customWidth="1"/>
    <col min="11266" max="11266" width="14.28515625" style="365" bestFit="1" customWidth="1"/>
    <col min="11267" max="11267" width="1.7109375" style="365" customWidth="1"/>
    <col min="11268" max="11268" width="14.85546875" style="365" customWidth="1"/>
    <col min="11269" max="11269" width="0" style="365" hidden="1" customWidth="1"/>
    <col min="11270" max="11270" width="17.42578125" style="365" customWidth="1"/>
    <col min="11271" max="11271" width="0" style="365" hidden="1" customWidth="1"/>
    <col min="11272" max="11272" width="12.85546875" style="365" customWidth="1"/>
    <col min="11273" max="11273" width="0" style="365" hidden="1" customWidth="1"/>
    <col min="11274" max="11274" width="14.42578125" style="365" customWidth="1"/>
    <col min="11275" max="11275" width="0" style="365" hidden="1" customWidth="1"/>
    <col min="11276" max="11276" width="17.42578125" style="365" customWidth="1"/>
    <col min="11277" max="11277" width="0" style="365" hidden="1" customWidth="1"/>
    <col min="11278" max="11278" width="14" style="365" customWidth="1"/>
    <col min="11279" max="11279" width="14.28515625" style="365" bestFit="1" customWidth="1"/>
    <col min="11280" max="11280" width="0" style="365" hidden="1" customWidth="1"/>
    <col min="11281" max="11281" width="15.5703125" style="365" customWidth="1"/>
    <col min="11282" max="11282" width="44.5703125" style="365" customWidth="1"/>
    <col min="11283" max="11283" width="14.28515625" style="365" bestFit="1" customWidth="1"/>
    <col min="11284" max="11284" width="0" style="365" hidden="1" customWidth="1"/>
    <col min="11285" max="11285" width="18.140625" style="365" customWidth="1"/>
    <col min="11286" max="11286" width="0" style="365" hidden="1" customWidth="1"/>
    <col min="11287" max="11287" width="14" style="365" customWidth="1"/>
    <col min="11288" max="11288" width="0" style="365" hidden="1" customWidth="1"/>
    <col min="11289" max="11289" width="20.85546875" style="365" customWidth="1"/>
    <col min="11290" max="11290" width="0" style="365" hidden="1" customWidth="1"/>
    <col min="11291" max="11291" width="13.28515625" style="365" customWidth="1"/>
    <col min="11292" max="11292" width="0" style="365" hidden="1" customWidth="1"/>
    <col min="11293" max="11293" width="15" style="365" customWidth="1"/>
    <col min="11294" max="11294" width="0" style="365" hidden="1" customWidth="1"/>
    <col min="11295" max="11295" width="13.28515625" style="365" customWidth="1"/>
    <col min="11296" max="11296" width="0" style="365" hidden="1" customWidth="1"/>
    <col min="11297" max="11297" width="20.140625" style="365" customWidth="1"/>
    <col min="11298" max="11298" width="14.42578125" style="365" bestFit="1" customWidth="1"/>
    <col min="11299" max="11299" width="14" style="365" bestFit="1" customWidth="1"/>
    <col min="11300" max="11300" width="12.28515625" style="365" bestFit="1" customWidth="1"/>
    <col min="11301" max="11325" width="9.140625" style="365" customWidth="1"/>
    <col min="11326" max="11520" width="8.85546875" style="365"/>
    <col min="11521" max="11521" width="44.5703125" style="365" customWidth="1"/>
    <col min="11522" max="11522" width="14.28515625" style="365" bestFit="1" customWidth="1"/>
    <col min="11523" max="11523" width="1.7109375" style="365" customWidth="1"/>
    <col min="11524" max="11524" width="14.85546875" style="365" customWidth="1"/>
    <col min="11525" max="11525" width="0" style="365" hidden="1" customWidth="1"/>
    <col min="11526" max="11526" width="17.42578125" style="365" customWidth="1"/>
    <col min="11527" max="11527" width="0" style="365" hidden="1" customWidth="1"/>
    <col min="11528" max="11528" width="12.85546875" style="365" customWidth="1"/>
    <col min="11529" max="11529" width="0" style="365" hidden="1" customWidth="1"/>
    <col min="11530" max="11530" width="14.42578125" style="365" customWidth="1"/>
    <col min="11531" max="11531" width="0" style="365" hidden="1" customWidth="1"/>
    <col min="11532" max="11532" width="17.42578125" style="365" customWidth="1"/>
    <col min="11533" max="11533" width="0" style="365" hidden="1" customWidth="1"/>
    <col min="11534" max="11534" width="14" style="365" customWidth="1"/>
    <col min="11535" max="11535" width="14.28515625" style="365" bestFit="1" customWidth="1"/>
    <col min="11536" max="11536" width="0" style="365" hidden="1" customWidth="1"/>
    <col min="11537" max="11537" width="15.5703125" style="365" customWidth="1"/>
    <col min="11538" max="11538" width="44.5703125" style="365" customWidth="1"/>
    <col min="11539" max="11539" width="14.28515625" style="365" bestFit="1" customWidth="1"/>
    <col min="11540" max="11540" width="0" style="365" hidden="1" customWidth="1"/>
    <col min="11541" max="11541" width="18.140625" style="365" customWidth="1"/>
    <col min="11542" max="11542" width="0" style="365" hidden="1" customWidth="1"/>
    <col min="11543" max="11543" width="14" style="365" customWidth="1"/>
    <col min="11544" max="11544" width="0" style="365" hidden="1" customWidth="1"/>
    <col min="11545" max="11545" width="20.85546875" style="365" customWidth="1"/>
    <col min="11546" max="11546" width="0" style="365" hidden="1" customWidth="1"/>
    <col min="11547" max="11547" width="13.28515625" style="365" customWidth="1"/>
    <col min="11548" max="11548" width="0" style="365" hidden="1" customWidth="1"/>
    <col min="11549" max="11549" width="15" style="365" customWidth="1"/>
    <col min="11550" max="11550" width="0" style="365" hidden="1" customWidth="1"/>
    <col min="11551" max="11551" width="13.28515625" style="365" customWidth="1"/>
    <col min="11552" max="11552" width="0" style="365" hidden="1" customWidth="1"/>
    <col min="11553" max="11553" width="20.140625" style="365" customWidth="1"/>
    <col min="11554" max="11554" width="14.42578125" style="365" bestFit="1" customWidth="1"/>
    <col min="11555" max="11555" width="14" style="365" bestFit="1" customWidth="1"/>
    <col min="11556" max="11556" width="12.28515625" style="365" bestFit="1" customWidth="1"/>
    <col min="11557" max="11581" width="9.140625" style="365" customWidth="1"/>
    <col min="11582" max="11776" width="8.85546875" style="365"/>
    <col min="11777" max="11777" width="44.5703125" style="365" customWidth="1"/>
    <col min="11778" max="11778" width="14.28515625" style="365" bestFit="1" customWidth="1"/>
    <col min="11779" max="11779" width="1.7109375" style="365" customWidth="1"/>
    <col min="11780" max="11780" width="14.85546875" style="365" customWidth="1"/>
    <col min="11781" max="11781" width="0" style="365" hidden="1" customWidth="1"/>
    <col min="11782" max="11782" width="17.42578125" style="365" customWidth="1"/>
    <col min="11783" max="11783" width="0" style="365" hidden="1" customWidth="1"/>
    <col min="11784" max="11784" width="12.85546875" style="365" customWidth="1"/>
    <col min="11785" max="11785" width="0" style="365" hidden="1" customWidth="1"/>
    <col min="11786" max="11786" width="14.42578125" style="365" customWidth="1"/>
    <col min="11787" max="11787" width="0" style="365" hidden="1" customWidth="1"/>
    <col min="11788" max="11788" width="17.42578125" style="365" customWidth="1"/>
    <col min="11789" max="11789" width="0" style="365" hidden="1" customWidth="1"/>
    <col min="11790" max="11790" width="14" style="365" customWidth="1"/>
    <col min="11791" max="11791" width="14.28515625" style="365" bestFit="1" customWidth="1"/>
    <col min="11792" max="11792" width="0" style="365" hidden="1" customWidth="1"/>
    <col min="11793" max="11793" width="15.5703125" style="365" customWidth="1"/>
    <col min="11794" max="11794" width="44.5703125" style="365" customWidth="1"/>
    <col min="11795" max="11795" width="14.28515625" style="365" bestFit="1" customWidth="1"/>
    <col min="11796" max="11796" width="0" style="365" hidden="1" customWidth="1"/>
    <col min="11797" max="11797" width="18.140625" style="365" customWidth="1"/>
    <col min="11798" max="11798" width="0" style="365" hidden="1" customWidth="1"/>
    <col min="11799" max="11799" width="14" style="365" customWidth="1"/>
    <col min="11800" max="11800" width="0" style="365" hidden="1" customWidth="1"/>
    <col min="11801" max="11801" width="20.85546875" style="365" customWidth="1"/>
    <col min="11802" max="11802" width="0" style="365" hidden="1" customWidth="1"/>
    <col min="11803" max="11803" width="13.28515625" style="365" customWidth="1"/>
    <col min="11804" max="11804" width="0" style="365" hidden="1" customWidth="1"/>
    <col min="11805" max="11805" width="15" style="365" customWidth="1"/>
    <col min="11806" max="11806" width="0" style="365" hidden="1" customWidth="1"/>
    <col min="11807" max="11807" width="13.28515625" style="365" customWidth="1"/>
    <col min="11808" max="11808" width="0" style="365" hidden="1" customWidth="1"/>
    <col min="11809" max="11809" width="20.140625" style="365" customWidth="1"/>
    <col min="11810" max="11810" width="14.42578125" style="365" bestFit="1" customWidth="1"/>
    <col min="11811" max="11811" width="14" style="365" bestFit="1" customWidth="1"/>
    <col min="11812" max="11812" width="12.28515625" style="365" bestFit="1" customWidth="1"/>
    <col min="11813" max="11837" width="9.140625" style="365" customWidth="1"/>
    <col min="11838" max="12032" width="8.85546875" style="365"/>
    <col min="12033" max="12033" width="44.5703125" style="365" customWidth="1"/>
    <col min="12034" max="12034" width="14.28515625" style="365" bestFit="1" customWidth="1"/>
    <col min="12035" max="12035" width="1.7109375" style="365" customWidth="1"/>
    <col min="12036" max="12036" width="14.85546875" style="365" customWidth="1"/>
    <col min="12037" max="12037" width="0" style="365" hidden="1" customWidth="1"/>
    <col min="12038" max="12038" width="17.42578125" style="365" customWidth="1"/>
    <col min="12039" max="12039" width="0" style="365" hidden="1" customWidth="1"/>
    <col min="12040" max="12040" width="12.85546875" style="365" customWidth="1"/>
    <col min="12041" max="12041" width="0" style="365" hidden="1" customWidth="1"/>
    <col min="12042" max="12042" width="14.42578125" style="365" customWidth="1"/>
    <col min="12043" max="12043" width="0" style="365" hidden="1" customWidth="1"/>
    <col min="12044" max="12044" width="17.42578125" style="365" customWidth="1"/>
    <col min="12045" max="12045" width="0" style="365" hidden="1" customWidth="1"/>
    <col min="12046" max="12046" width="14" style="365" customWidth="1"/>
    <col min="12047" max="12047" width="14.28515625" style="365" bestFit="1" customWidth="1"/>
    <col min="12048" max="12048" width="0" style="365" hidden="1" customWidth="1"/>
    <col min="12049" max="12049" width="15.5703125" style="365" customWidth="1"/>
    <col min="12050" max="12050" width="44.5703125" style="365" customWidth="1"/>
    <col min="12051" max="12051" width="14.28515625" style="365" bestFit="1" customWidth="1"/>
    <col min="12052" max="12052" width="0" style="365" hidden="1" customWidth="1"/>
    <col min="12053" max="12053" width="18.140625" style="365" customWidth="1"/>
    <col min="12054" max="12054" width="0" style="365" hidden="1" customWidth="1"/>
    <col min="12055" max="12055" width="14" style="365" customWidth="1"/>
    <col min="12056" max="12056" width="0" style="365" hidden="1" customWidth="1"/>
    <col min="12057" max="12057" width="20.85546875" style="365" customWidth="1"/>
    <col min="12058" max="12058" width="0" style="365" hidden="1" customWidth="1"/>
    <col min="12059" max="12059" width="13.28515625" style="365" customWidth="1"/>
    <col min="12060" max="12060" width="0" style="365" hidden="1" customWidth="1"/>
    <col min="12061" max="12061" width="15" style="365" customWidth="1"/>
    <col min="12062" max="12062" width="0" style="365" hidden="1" customWidth="1"/>
    <col min="12063" max="12063" width="13.28515625" style="365" customWidth="1"/>
    <col min="12064" max="12064" width="0" style="365" hidden="1" customWidth="1"/>
    <col min="12065" max="12065" width="20.140625" style="365" customWidth="1"/>
    <col min="12066" max="12066" width="14.42578125" style="365" bestFit="1" customWidth="1"/>
    <col min="12067" max="12067" width="14" style="365" bestFit="1" customWidth="1"/>
    <col min="12068" max="12068" width="12.28515625" style="365" bestFit="1" customWidth="1"/>
    <col min="12069" max="12093" width="9.140625" style="365" customWidth="1"/>
    <col min="12094" max="12288" width="9.7109375" style="365"/>
    <col min="12289" max="12289" width="44.5703125" style="365" customWidth="1"/>
    <col min="12290" max="12290" width="14.28515625" style="365" bestFit="1" customWidth="1"/>
    <col min="12291" max="12291" width="1.7109375" style="365" customWidth="1"/>
    <col min="12292" max="12292" width="14.85546875" style="365" customWidth="1"/>
    <col min="12293" max="12293" width="0" style="365" hidden="1" customWidth="1"/>
    <col min="12294" max="12294" width="17.42578125" style="365" customWidth="1"/>
    <col min="12295" max="12295" width="0" style="365" hidden="1" customWidth="1"/>
    <col min="12296" max="12296" width="12.85546875" style="365" customWidth="1"/>
    <col min="12297" max="12297" width="0" style="365" hidden="1" customWidth="1"/>
    <col min="12298" max="12298" width="14.42578125" style="365" customWidth="1"/>
    <col min="12299" max="12299" width="0" style="365" hidden="1" customWidth="1"/>
    <col min="12300" max="12300" width="17.42578125" style="365" customWidth="1"/>
    <col min="12301" max="12301" width="0" style="365" hidden="1" customWidth="1"/>
    <col min="12302" max="12302" width="14" style="365" customWidth="1"/>
    <col min="12303" max="12303" width="14.28515625" style="365" bestFit="1" customWidth="1"/>
    <col min="12304" max="12304" width="0" style="365" hidden="1" customWidth="1"/>
    <col min="12305" max="12305" width="15.5703125" style="365" customWidth="1"/>
    <col min="12306" max="12306" width="44.5703125" style="365" customWidth="1"/>
    <col min="12307" max="12307" width="14.28515625" style="365" bestFit="1" customWidth="1"/>
    <col min="12308" max="12308" width="0" style="365" hidden="1" customWidth="1"/>
    <col min="12309" max="12309" width="18.140625" style="365" customWidth="1"/>
    <col min="12310" max="12310" width="0" style="365" hidden="1" customWidth="1"/>
    <col min="12311" max="12311" width="14" style="365" customWidth="1"/>
    <col min="12312" max="12312" width="0" style="365" hidden="1" customWidth="1"/>
    <col min="12313" max="12313" width="20.85546875" style="365" customWidth="1"/>
    <col min="12314" max="12314" width="0" style="365" hidden="1" customWidth="1"/>
    <col min="12315" max="12315" width="13.28515625" style="365" customWidth="1"/>
    <col min="12316" max="12316" width="0" style="365" hidden="1" customWidth="1"/>
    <col min="12317" max="12317" width="15" style="365" customWidth="1"/>
    <col min="12318" max="12318" width="0" style="365" hidden="1" customWidth="1"/>
    <col min="12319" max="12319" width="13.28515625" style="365" customWidth="1"/>
    <col min="12320" max="12320" width="0" style="365" hidden="1" customWidth="1"/>
    <col min="12321" max="12321" width="20.140625" style="365" customWidth="1"/>
    <col min="12322" max="12322" width="14.42578125" style="365" bestFit="1" customWidth="1"/>
    <col min="12323" max="12323" width="14" style="365" bestFit="1" customWidth="1"/>
    <col min="12324" max="12324" width="12.28515625" style="365" bestFit="1" customWidth="1"/>
    <col min="12325" max="12349" width="9.140625" style="365" customWidth="1"/>
    <col min="12350" max="12544" width="8.85546875" style="365"/>
    <col min="12545" max="12545" width="44.5703125" style="365" customWidth="1"/>
    <col min="12546" max="12546" width="14.28515625" style="365" bestFit="1" customWidth="1"/>
    <col min="12547" max="12547" width="1.7109375" style="365" customWidth="1"/>
    <col min="12548" max="12548" width="14.85546875" style="365" customWidth="1"/>
    <col min="12549" max="12549" width="0" style="365" hidden="1" customWidth="1"/>
    <col min="12550" max="12550" width="17.42578125" style="365" customWidth="1"/>
    <col min="12551" max="12551" width="0" style="365" hidden="1" customWidth="1"/>
    <col min="12552" max="12552" width="12.85546875" style="365" customWidth="1"/>
    <col min="12553" max="12553" width="0" style="365" hidden="1" customWidth="1"/>
    <col min="12554" max="12554" width="14.42578125" style="365" customWidth="1"/>
    <col min="12555" max="12555" width="0" style="365" hidden="1" customWidth="1"/>
    <col min="12556" max="12556" width="17.42578125" style="365" customWidth="1"/>
    <col min="12557" max="12557" width="0" style="365" hidden="1" customWidth="1"/>
    <col min="12558" max="12558" width="14" style="365" customWidth="1"/>
    <col min="12559" max="12559" width="14.28515625" style="365" bestFit="1" customWidth="1"/>
    <col min="12560" max="12560" width="0" style="365" hidden="1" customWidth="1"/>
    <col min="12561" max="12561" width="15.5703125" style="365" customWidth="1"/>
    <col min="12562" max="12562" width="44.5703125" style="365" customWidth="1"/>
    <col min="12563" max="12563" width="14.28515625" style="365" bestFit="1" customWidth="1"/>
    <col min="12564" max="12564" width="0" style="365" hidden="1" customWidth="1"/>
    <col min="12565" max="12565" width="18.140625" style="365" customWidth="1"/>
    <col min="12566" max="12566" width="0" style="365" hidden="1" customWidth="1"/>
    <col min="12567" max="12567" width="14" style="365" customWidth="1"/>
    <col min="12568" max="12568" width="0" style="365" hidden="1" customWidth="1"/>
    <col min="12569" max="12569" width="20.85546875" style="365" customWidth="1"/>
    <col min="12570" max="12570" width="0" style="365" hidden="1" customWidth="1"/>
    <col min="12571" max="12571" width="13.28515625" style="365" customWidth="1"/>
    <col min="12572" max="12572" width="0" style="365" hidden="1" customWidth="1"/>
    <col min="12573" max="12573" width="15" style="365" customWidth="1"/>
    <col min="12574" max="12574" width="0" style="365" hidden="1" customWidth="1"/>
    <col min="12575" max="12575" width="13.28515625" style="365" customWidth="1"/>
    <col min="12576" max="12576" width="0" style="365" hidden="1" customWidth="1"/>
    <col min="12577" max="12577" width="20.140625" style="365" customWidth="1"/>
    <col min="12578" max="12578" width="14.42578125" style="365" bestFit="1" customWidth="1"/>
    <col min="12579" max="12579" width="14" style="365" bestFit="1" customWidth="1"/>
    <col min="12580" max="12580" width="12.28515625" style="365" bestFit="1" customWidth="1"/>
    <col min="12581" max="12605" width="9.140625" style="365" customWidth="1"/>
    <col min="12606" max="12800" width="8.85546875" style="365"/>
    <col min="12801" max="12801" width="44.5703125" style="365" customWidth="1"/>
    <col min="12802" max="12802" width="14.28515625" style="365" bestFit="1" customWidth="1"/>
    <col min="12803" max="12803" width="1.7109375" style="365" customWidth="1"/>
    <col min="12804" max="12804" width="14.85546875" style="365" customWidth="1"/>
    <col min="12805" max="12805" width="0" style="365" hidden="1" customWidth="1"/>
    <col min="12806" max="12806" width="17.42578125" style="365" customWidth="1"/>
    <col min="12807" max="12807" width="0" style="365" hidden="1" customWidth="1"/>
    <col min="12808" max="12808" width="12.85546875" style="365" customWidth="1"/>
    <col min="12809" max="12809" width="0" style="365" hidden="1" customWidth="1"/>
    <col min="12810" max="12810" width="14.42578125" style="365" customWidth="1"/>
    <col min="12811" max="12811" width="0" style="365" hidden="1" customWidth="1"/>
    <col min="12812" max="12812" width="17.42578125" style="365" customWidth="1"/>
    <col min="12813" max="12813" width="0" style="365" hidden="1" customWidth="1"/>
    <col min="12814" max="12814" width="14" style="365" customWidth="1"/>
    <col min="12815" max="12815" width="14.28515625" style="365" bestFit="1" customWidth="1"/>
    <col min="12816" max="12816" width="0" style="365" hidden="1" customWidth="1"/>
    <col min="12817" max="12817" width="15.5703125" style="365" customWidth="1"/>
    <col min="12818" max="12818" width="44.5703125" style="365" customWidth="1"/>
    <col min="12819" max="12819" width="14.28515625" style="365" bestFit="1" customWidth="1"/>
    <col min="12820" max="12820" width="0" style="365" hidden="1" customWidth="1"/>
    <col min="12821" max="12821" width="18.140625" style="365" customWidth="1"/>
    <col min="12822" max="12822" width="0" style="365" hidden="1" customWidth="1"/>
    <col min="12823" max="12823" width="14" style="365" customWidth="1"/>
    <col min="12824" max="12824" width="0" style="365" hidden="1" customWidth="1"/>
    <col min="12825" max="12825" width="20.85546875" style="365" customWidth="1"/>
    <col min="12826" max="12826" width="0" style="365" hidden="1" customWidth="1"/>
    <col min="12827" max="12827" width="13.28515625" style="365" customWidth="1"/>
    <col min="12828" max="12828" width="0" style="365" hidden="1" customWidth="1"/>
    <col min="12829" max="12829" width="15" style="365" customWidth="1"/>
    <col min="12830" max="12830" width="0" style="365" hidden="1" customWidth="1"/>
    <col min="12831" max="12831" width="13.28515625" style="365" customWidth="1"/>
    <col min="12832" max="12832" width="0" style="365" hidden="1" customWidth="1"/>
    <col min="12833" max="12833" width="20.140625" style="365" customWidth="1"/>
    <col min="12834" max="12834" width="14.42578125" style="365" bestFit="1" customWidth="1"/>
    <col min="12835" max="12835" width="14" style="365" bestFit="1" customWidth="1"/>
    <col min="12836" max="12836" width="12.28515625" style="365" bestFit="1" customWidth="1"/>
    <col min="12837" max="12861" width="9.140625" style="365" customWidth="1"/>
    <col min="12862" max="13056" width="8.85546875" style="365"/>
    <col min="13057" max="13057" width="44.5703125" style="365" customWidth="1"/>
    <col min="13058" max="13058" width="14.28515625" style="365" bestFit="1" customWidth="1"/>
    <col min="13059" max="13059" width="1.7109375" style="365" customWidth="1"/>
    <col min="13060" max="13060" width="14.85546875" style="365" customWidth="1"/>
    <col min="13061" max="13061" width="0" style="365" hidden="1" customWidth="1"/>
    <col min="13062" max="13062" width="17.42578125" style="365" customWidth="1"/>
    <col min="13063" max="13063" width="0" style="365" hidden="1" customWidth="1"/>
    <col min="13064" max="13064" width="12.85546875" style="365" customWidth="1"/>
    <col min="13065" max="13065" width="0" style="365" hidden="1" customWidth="1"/>
    <col min="13066" max="13066" width="14.42578125" style="365" customWidth="1"/>
    <col min="13067" max="13067" width="0" style="365" hidden="1" customWidth="1"/>
    <col min="13068" max="13068" width="17.42578125" style="365" customWidth="1"/>
    <col min="13069" max="13069" width="0" style="365" hidden="1" customWidth="1"/>
    <col min="13070" max="13070" width="14" style="365" customWidth="1"/>
    <col min="13071" max="13071" width="14.28515625" style="365" bestFit="1" customWidth="1"/>
    <col min="13072" max="13072" width="0" style="365" hidden="1" customWidth="1"/>
    <col min="13073" max="13073" width="15.5703125" style="365" customWidth="1"/>
    <col min="13074" max="13074" width="44.5703125" style="365" customWidth="1"/>
    <col min="13075" max="13075" width="14.28515625" style="365" bestFit="1" customWidth="1"/>
    <col min="13076" max="13076" width="0" style="365" hidden="1" customWidth="1"/>
    <col min="13077" max="13077" width="18.140625" style="365" customWidth="1"/>
    <col min="13078" max="13078" width="0" style="365" hidden="1" customWidth="1"/>
    <col min="13079" max="13079" width="14" style="365" customWidth="1"/>
    <col min="13080" max="13080" width="0" style="365" hidden="1" customWidth="1"/>
    <col min="13081" max="13081" width="20.85546875" style="365" customWidth="1"/>
    <col min="13082" max="13082" width="0" style="365" hidden="1" customWidth="1"/>
    <col min="13083" max="13083" width="13.28515625" style="365" customWidth="1"/>
    <col min="13084" max="13084" width="0" style="365" hidden="1" customWidth="1"/>
    <col min="13085" max="13085" width="15" style="365" customWidth="1"/>
    <col min="13086" max="13086" width="0" style="365" hidden="1" customWidth="1"/>
    <col min="13087" max="13087" width="13.28515625" style="365" customWidth="1"/>
    <col min="13088" max="13088" width="0" style="365" hidden="1" customWidth="1"/>
    <col min="13089" max="13089" width="20.140625" style="365" customWidth="1"/>
    <col min="13090" max="13090" width="14.42578125" style="365" bestFit="1" customWidth="1"/>
    <col min="13091" max="13091" width="14" style="365" bestFit="1" customWidth="1"/>
    <col min="13092" max="13092" width="12.28515625" style="365" bestFit="1" customWidth="1"/>
    <col min="13093" max="13117" width="9.140625" style="365" customWidth="1"/>
    <col min="13118" max="13312" width="9.7109375" style="365"/>
    <col min="13313" max="13313" width="44.5703125" style="365" customWidth="1"/>
    <col min="13314" max="13314" width="14.28515625" style="365" bestFit="1" customWidth="1"/>
    <col min="13315" max="13315" width="1.7109375" style="365" customWidth="1"/>
    <col min="13316" max="13316" width="14.85546875" style="365" customWidth="1"/>
    <col min="13317" max="13317" width="0" style="365" hidden="1" customWidth="1"/>
    <col min="13318" max="13318" width="17.42578125" style="365" customWidth="1"/>
    <col min="13319" max="13319" width="0" style="365" hidden="1" customWidth="1"/>
    <col min="13320" max="13320" width="12.85546875" style="365" customWidth="1"/>
    <col min="13321" max="13321" width="0" style="365" hidden="1" customWidth="1"/>
    <col min="13322" max="13322" width="14.42578125" style="365" customWidth="1"/>
    <col min="13323" max="13323" width="0" style="365" hidden="1" customWidth="1"/>
    <col min="13324" max="13324" width="17.42578125" style="365" customWidth="1"/>
    <col min="13325" max="13325" width="0" style="365" hidden="1" customWidth="1"/>
    <col min="13326" max="13326" width="14" style="365" customWidth="1"/>
    <col min="13327" max="13327" width="14.28515625" style="365" bestFit="1" customWidth="1"/>
    <col min="13328" max="13328" width="0" style="365" hidden="1" customWidth="1"/>
    <col min="13329" max="13329" width="15.5703125" style="365" customWidth="1"/>
    <col min="13330" max="13330" width="44.5703125" style="365" customWidth="1"/>
    <col min="13331" max="13331" width="14.28515625" style="365" bestFit="1" customWidth="1"/>
    <col min="13332" max="13332" width="0" style="365" hidden="1" customWidth="1"/>
    <col min="13333" max="13333" width="18.140625" style="365" customWidth="1"/>
    <col min="13334" max="13334" width="0" style="365" hidden="1" customWidth="1"/>
    <col min="13335" max="13335" width="14" style="365" customWidth="1"/>
    <col min="13336" max="13336" width="0" style="365" hidden="1" customWidth="1"/>
    <col min="13337" max="13337" width="20.85546875" style="365" customWidth="1"/>
    <col min="13338" max="13338" width="0" style="365" hidden="1" customWidth="1"/>
    <col min="13339" max="13339" width="13.28515625" style="365" customWidth="1"/>
    <col min="13340" max="13340" width="0" style="365" hidden="1" customWidth="1"/>
    <col min="13341" max="13341" width="15" style="365" customWidth="1"/>
    <col min="13342" max="13342" width="0" style="365" hidden="1" customWidth="1"/>
    <col min="13343" max="13343" width="13.28515625" style="365" customWidth="1"/>
    <col min="13344" max="13344" width="0" style="365" hidden="1" customWidth="1"/>
    <col min="13345" max="13345" width="20.140625" style="365" customWidth="1"/>
    <col min="13346" max="13346" width="14.42578125" style="365" bestFit="1" customWidth="1"/>
    <col min="13347" max="13347" width="14" style="365" bestFit="1" customWidth="1"/>
    <col min="13348" max="13348" width="12.28515625" style="365" bestFit="1" customWidth="1"/>
    <col min="13349" max="13373" width="9.140625" style="365" customWidth="1"/>
    <col min="13374" max="13568" width="8.85546875" style="365"/>
    <col min="13569" max="13569" width="44.5703125" style="365" customWidth="1"/>
    <col min="13570" max="13570" width="14.28515625" style="365" bestFit="1" customWidth="1"/>
    <col min="13571" max="13571" width="1.7109375" style="365" customWidth="1"/>
    <col min="13572" max="13572" width="14.85546875" style="365" customWidth="1"/>
    <col min="13573" max="13573" width="0" style="365" hidden="1" customWidth="1"/>
    <col min="13574" max="13574" width="17.42578125" style="365" customWidth="1"/>
    <col min="13575" max="13575" width="0" style="365" hidden="1" customWidth="1"/>
    <col min="13576" max="13576" width="12.85546875" style="365" customWidth="1"/>
    <col min="13577" max="13577" width="0" style="365" hidden="1" customWidth="1"/>
    <col min="13578" max="13578" width="14.42578125" style="365" customWidth="1"/>
    <col min="13579" max="13579" width="0" style="365" hidden="1" customWidth="1"/>
    <col min="13580" max="13580" width="17.42578125" style="365" customWidth="1"/>
    <col min="13581" max="13581" width="0" style="365" hidden="1" customWidth="1"/>
    <col min="13582" max="13582" width="14" style="365" customWidth="1"/>
    <col min="13583" max="13583" width="14.28515625" style="365" bestFit="1" customWidth="1"/>
    <col min="13584" max="13584" width="0" style="365" hidden="1" customWidth="1"/>
    <col min="13585" max="13585" width="15.5703125" style="365" customWidth="1"/>
    <col min="13586" max="13586" width="44.5703125" style="365" customWidth="1"/>
    <col min="13587" max="13587" width="14.28515625" style="365" bestFit="1" customWidth="1"/>
    <col min="13588" max="13588" width="0" style="365" hidden="1" customWidth="1"/>
    <col min="13589" max="13589" width="18.140625" style="365" customWidth="1"/>
    <col min="13590" max="13590" width="0" style="365" hidden="1" customWidth="1"/>
    <col min="13591" max="13591" width="14" style="365" customWidth="1"/>
    <col min="13592" max="13592" width="0" style="365" hidden="1" customWidth="1"/>
    <col min="13593" max="13593" width="20.85546875" style="365" customWidth="1"/>
    <col min="13594" max="13594" width="0" style="365" hidden="1" customWidth="1"/>
    <col min="13595" max="13595" width="13.28515625" style="365" customWidth="1"/>
    <col min="13596" max="13596" width="0" style="365" hidden="1" customWidth="1"/>
    <col min="13597" max="13597" width="15" style="365" customWidth="1"/>
    <col min="13598" max="13598" width="0" style="365" hidden="1" customWidth="1"/>
    <col min="13599" max="13599" width="13.28515625" style="365" customWidth="1"/>
    <col min="13600" max="13600" width="0" style="365" hidden="1" customWidth="1"/>
    <col min="13601" max="13601" width="20.140625" style="365" customWidth="1"/>
    <col min="13602" max="13602" width="14.42578125" style="365" bestFit="1" customWidth="1"/>
    <col min="13603" max="13603" width="14" style="365" bestFit="1" customWidth="1"/>
    <col min="13604" max="13604" width="12.28515625" style="365" bestFit="1" customWidth="1"/>
    <col min="13605" max="13629" width="9.140625" style="365" customWidth="1"/>
    <col min="13630" max="13824" width="8.85546875" style="365"/>
    <col min="13825" max="13825" width="44.5703125" style="365" customWidth="1"/>
    <col min="13826" max="13826" width="14.28515625" style="365" bestFit="1" customWidth="1"/>
    <col min="13827" max="13827" width="1.7109375" style="365" customWidth="1"/>
    <col min="13828" max="13828" width="14.85546875" style="365" customWidth="1"/>
    <col min="13829" max="13829" width="0" style="365" hidden="1" customWidth="1"/>
    <col min="13830" max="13830" width="17.42578125" style="365" customWidth="1"/>
    <col min="13831" max="13831" width="0" style="365" hidden="1" customWidth="1"/>
    <col min="13832" max="13832" width="12.85546875" style="365" customWidth="1"/>
    <col min="13833" max="13833" width="0" style="365" hidden="1" customWidth="1"/>
    <col min="13834" max="13834" width="14.42578125" style="365" customWidth="1"/>
    <col min="13835" max="13835" width="0" style="365" hidden="1" customWidth="1"/>
    <col min="13836" max="13836" width="17.42578125" style="365" customWidth="1"/>
    <col min="13837" max="13837" width="0" style="365" hidden="1" customWidth="1"/>
    <col min="13838" max="13838" width="14" style="365" customWidth="1"/>
    <col min="13839" max="13839" width="14.28515625" style="365" bestFit="1" customWidth="1"/>
    <col min="13840" max="13840" width="0" style="365" hidden="1" customWidth="1"/>
    <col min="13841" max="13841" width="15.5703125" style="365" customWidth="1"/>
    <col min="13842" max="13842" width="44.5703125" style="365" customWidth="1"/>
    <col min="13843" max="13843" width="14.28515625" style="365" bestFit="1" customWidth="1"/>
    <col min="13844" max="13844" width="0" style="365" hidden="1" customWidth="1"/>
    <col min="13845" max="13845" width="18.140625" style="365" customWidth="1"/>
    <col min="13846" max="13846" width="0" style="365" hidden="1" customWidth="1"/>
    <col min="13847" max="13847" width="14" style="365" customWidth="1"/>
    <col min="13848" max="13848" width="0" style="365" hidden="1" customWidth="1"/>
    <col min="13849" max="13849" width="20.85546875" style="365" customWidth="1"/>
    <col min="13850" max="13850" width="0" style="365" hidden="1" customWidth="1"/>
    <col min="13851" max="13851" width="13.28515625" style="365" customWidth="1"/>
    <col min="13852" max="13852" width="0" style="365" hidden="1" customWidth="1"/>
    <col min="13853" max="13853" width="15" style="365" customWidth="1"/>
    <col min="13854" max="13854" width="0" style="365" hidden="1" customWidth="1"/>
    <col min="13855" max="13855" width="13.28515625" style="365" customWidth="1"/>
    <col min="13856" max="13856" width="0" style="365" hidden="1" customWidth="1"/>
    <col min="13857" max="13857" width="20.140625" style="365" customWidth="1"/>
    <col min="13858" max="13858" width="14.42578125" style="365" bestFit="1" customWidth="1"/>
    <col min="13859" max="13859" width="14" style="365" bestFit="1" customWidth="1"/>
    <col min="13860" max="13860" width="12.28515625" style="365" bestFit="1" customWidth="1"/>
    <col min="13861" max="13885" width="9.140625" style="365" customWidth="1"/>
    <col min="13886" max="14080" width="8.85546875" style="365"/>
    <col min="14081" max="14081" width="44.5703125" style="365" customWidth="1"/>
    <col min="14082" max="14082" width="14.28515625" style="365" bestFit="1" customWidth="1"/>
    <col min="14083" max="14083" width="1.7109375" style="365" customWidth="1"/>
    <col min="14084" max="14084" width="14.85546875" style="365" customWidth="1"/>
    <col min="14085" max="14085" width="0" style="365" hidden="1" customWidth="1"/>
    <col min="14086" max="14086" width="17.42578125" style="365" customWidth="1"/>
    <col min="14087" max="14087" width="0" style="365" hidden="1" customWidth="1"/>
    <col min="14088" max="14088" width="12.85546875" style="365" customWidth="1"/>
    <col min="14089" max="14089" width="0" style="365" hidden="1" customWidth="1"/>
    <col min="14090" max="14090" width="14.42578125" style="365" customWidth="1"/>
    <col min="14091" max="14091" width="0" style="365" hidden="1" customWidth="1"/>
    <col min="14092" max="14092" width="17.42578125" style="365" customWidth="1"/>
    <col min="14093" max="14093" width="0" style="365" hidden="1" customWidth="1"/>
    <col min="14094" max="14094" width="14" style="365" customWidth="1"/>
    <col min="14095" max="14095" width="14.28515625" style="365" bestFit="1" customWidth="1"/>
    <col min="14096" max="14096" width="0" style="365" hidden="1" customWidth="1"/>
    <col min="14097" max="14097" width="15.5703125" style="365" customWidth="1"/>
    <col min="14098" max="14098" width="44.5703125" style="365" customWidth="1"/>
    <col min="14099" max="14099" width="14.28515625" style="365" bestFit="1" customWidth="1"/>
    <col min="14100" max="14100" width="0" style="365" hidden="1" customWidth="1"/>
    <col min="14101" max="14101" width="18.140625" style="365" customWidth="1"/>
    <col min="14102" max="14102" width="0" style="365" hidden="1" customWidth="1"/>
    <col min="14103" max="14103" width="14" style="365" customWidth="1"/>
    <col min="14104" max="14104" width="0" style="365" hidden="1" customWidth="1"/>
    <col min="14105" max="14105" width="20.85546875" style="365" customWidth="1"/>
    <col min="14106" max="14106" width="0" style="365" hidden="1" customWidth="1"/>
    <col min="14107" max="14107" width="13.28515625" style="365" customWidth="1"/>
    <col min="14108" max="14108" width="0" style="365" hidden="1" customWidth="1"/>
    <col min="14109" max="14109" width="15" style="365" customWidth="1"/>
    <col min="14110" max="14110" width="0" style="365" hidden="1" customWidth="1"/>
    <col min="14111" max="14111" width="13.28515625" style="365" customWidth="1"/>
    <col min="14112" max="14112" width="0" style="365" hidden="1" customWidth="1"/>
    <col min="14113" max="14113" width="20.140625" style="365" customWidth="1"/>
    <col min="14114" max="14114" width="14.42578125" style="365" bestFit="1" customWidth="1"/>
    <col min="14115" max="14115" width="14" style="365" bestFit="1" customWidth="1"/>
    <col min="14116" max="14116" width="12.28515625" style="365" bestFit="1" customWidth="1"/>
    <col min="14117" max="14141" width="9.140625" style="365" customWidth="1"/>
    <col min="14142" max="14336" width="9.7109375" style="365"/>
    <col min="14337" max="14337" width="44.5703125" style="365" customWidth="1"/>
    <col min="14338" max="14338" width="14.28515625" style="365" bestFit="1" customWidth="1"/>
    <col min="14339" max="14339" width="1.7109375" style="365" customWidth="1"/>
    <col min="14340" max="14340" width="14.85546875" style="365" customWidth="1"/>
    <col min="14341" max="14341" width="0" style="365" hidden="1" customWidth="1"/>
    <col min="14342" max="14342" width="17.42578125" style="365" customWidth="1"/>
    <col min="14343" max="14343" width="0" style="365" hidden="1" customWidth="1"/>
    <col min="14344" max="14344" width="12.85546875" style="365" customWidth="1"/>
    <col min="14345" max="14345" width="0" style="365" hidden="1" customWidth="1"/>
    <col min="14346" max="14346" width="14.42578125" style="365" customWidth="1"/>
    <col min="14347" max="14347" width="0" style="365" hidden="1" customWidth="1"/>
    <col min="14348" max="14348" width="17.42578125" style="365" customWidth="1"/>
    <col min="14349" max="14349" width="0" style="365" hidden="1" customWidth="1"/>
    <col min="14350" max="14350" width="14" style="365" customWidth="1"/>
    <col min="14351" max="14351" width="14.28515625" style="365" bestFit="1" customWidth="1"/>
    <col min="14352" max="14352" width="0" style="365" hidden="1" customWidth="1"/>
    <col min="14353" max="14353" width="15.5703125" style="365" customWidth="1"/>
    <col min="14354" max="14354" width="44.5703125" style="365" customWidth="1"/>
    <col min="14355" max="14355" width="14.28515625" style="365" bestFit="1" customWidth="1"/>
    <col min="14356" max="14356" width="0" style="365" hidden="1" customWidth="1"/>
    <col min="14357" max="14357" width="18.140625" style="365" customWidth="1"/>
    <col min="14358" max="14358" width="0" style="365" hidden="1" customWidth="1"/>
    <col min="14359" max="14359" width="14" style="365" customWidth="1"/>
    <col min="14360" max="14360" width="0" style="365" hidden="1" customWidth="1"/>
    <col min="14361" max="14361" width="20.85546875" style="365" customWidth="1"/>
    <col min="14362" max="14362" width="0" style="365" hidden="1" customWidth="1"/>
    <col min="14363" max="14363" width="13.28515625" style="365" customWidth="1"/>
    <col min="14364" max="14364" width="0" style="365" hidden="1" customWidth="1"/>
    <col min="14365" max="14365" width="15" style="365" customWidth="1"/>
    <col min="14366" max="14366" width="0" style="365" hidden="1" customWidth="1"/>
    <col min="14367" max="14367" width="13.28515625" style="365" customWidth="1"/>
    <col min="14368" max="14368" width="0" style="365" hidden="1" customWidth="1"/>
    <col min="14369" max="14369" width="20.140625" style="365" customWidth="1"/>
    <col min="14370" max="14370" width="14.42578125" style="365" bestFit="1" customWidth="1"/>
    <col min="14371" max="14371" width="14" style="365" bestFit="1" customWidth="1"/>
    <col min="14372" max="14372" width="12.28515625" style="365" bestFit="1" customWidth="1"/>
    <col min="14373" max="14397" width="9.140625" style="365" customWidth="1"/>
    <col min="14398" max="14592" width="8.85546875" style="365"/>
    <col min="14593" max="14593" width="44.5703125" style="365" customWidth="1"/>
    <col min="14594" max="14594" width="14.28515625" style="365" bestFit="1" customWidth="1"/>
    <col min="14595" max="14595" width="1.7109375" style="365" customWidth="1"/>
    <col min="14596" max="14596" width="14.85546875" style="365" customWidth="1"/>
    <col min="14597" max="14597" width="0" style="365" hidden="1" customWidth="1"/>
    <col min="14598" max="14598" width="17.42578125" style="365" customWidth="1"/>
    <col min="14599" max="14599" width="0" style="365" hidden="1" customWidth="1"/>
    <col min="14600" max="14600" width="12.85546875" style="365" customWidth="1"/>
    <col min="14601" max="14601" width="0" style="365" hidden="1" customWidth="1"/>
    <col min="14602" max="14602" width="14.42578125" style="365" customWidth="1"/>
    <col min="14603" max="14603" width="0" style="365" hidden="1" customWidth="1"/>
    <col min="14604" max="14604" width="17.42578125" style="365" customWidth="1"/>
    <col min="14605" max="14605" width="0" style="365" hidden="1" customWidth="1"/>
    <col min="14606" max="14606" width="14" style="365" customWidth="1"/>
    <col min="14607" max="14607" width="14.28515625" style="365" bestFit="1" customWidth="1"/>
    <col min="14608" max="14608" width="0" style="365" hidden="1" customWidth="1"/>
    <col min="14609" max="14609" width="15.5703125" style="365" customWidth="1"/>
    <col min="14610" max="14610" width="44.5703125" style="365" customWidth="1"/>
    <col min="14611" max="14611" width="14.28515625" style="365" bestFit="1" customWidth="1"/>
    <col min="14612" max="14612" width="0" style="365" hidden="1" customWidth="1"/>
    <col min="14613" max="14613" width="18.140625" style="365" customWidth="1"/>
    <col min="14614" max="14614" width="0" style="365" hidden="1" customWidth="1"/>
    <col min="14615" max="14615" width="14" style="365" customWidth="1"/>
    <col min="14616" max="14616" width="0" style="365" hidden="1" customWidth="1"/>
    <col min="14617" max="14617" width="20.85546875" style="365" customWidth="1"/>
    <col min="14618" max="14618" width="0" style="365" hidden="1" customWidth="1"/>
    <col min="14619" max="14619" width="13.28515625" style="365" customWidth="1"/>
    <col min="14620" max="14620" width="0" style="365" hidden="1" customWidth="1"/>
    <col min="14621" max="14621" width="15" style="365" customWidth="1"/>
    <col min="14622" max="14622" width="0" style="365" hidden="1" customWidth="1"/>
    <col min="14623" max="14623" width="13.28515625" style="365" customWidth="1"/>
    <col min="14624" max="14624" width="0" style="365" hidden="1" customWidth="1"/>
    <col min="14625" max="14625" width="20.140625" style="365" customWidth="1"/>
    <col min="14626" max="14626" width="14.42578125" style="365" bestFit="1" customWidth="1"/>
    <col min="14627" max="14627" width="14" style="365" bestFit="1" customWidth="1"/>
    <col min="14628" max="14628" width="12.28515625" style="365" bestFit="1" customWidth="1"/>
    <col min="14629" max="14653" width="9.140625" style="365" customWidth="1"/>
    <col min="14654" max="14848" width="8.85546875" style="365"/>
    <col min="14849" max="14849" width="44.5703125" style="365" customWidth="1"/>
    <col min="14850" max="14850" width="14.28515625" style="365" bestFit="1" customWidth="1"/>
    <col min="14851" max="14851" width="1.7109375" style="365" customWidth="1"/>
    <col min="14852" max="14852" width="14.85546875" style="365" customWidth="1"/>
    <col min="14853" max="14853" width="0" style="365" hidden="1" customWidth="1"/>
    <col min="14854" max="14854" width="17.42578125" style="365" customWidth="1"/>
    <col min="14855" max="14855" width="0" style="365" hidden="1" customWidth="1"/>
    <col min="14856" max="14856" width="12.85546875" style="365" customWidth="1"/>
    <col min="14857" max="14857" width="0" style="365" hidden="1" customWidth="1"/>
    <col min="14858" max="14858" width="14.42578125" style="365" customWidth="1"/>
    <col min="14859" max="14859" width="0" style="365" hidden="1" customWidth="1"/>
    <col min="14860" max="14860" width="17.42578125" style="365" customWidth="1"/>
    <col min="14861" max="14861" width="0" style="365" hidden="1" customWidth="1"/>
    <col min="14862" max="14862" width="14" style="365" customWidth="1"/>
    <col min="14863" max="14863" width="14.28515625" style="365" bestFit="1" customWidth="1"/>
    <col min="14864" max="14864" width="0" style="365" hidden="1" customWidth="1"/>
    <col min="14865" max="14865" width="15.5703125" style="365" customWidth="1"/>
    <col min="14866" max="14866" width="44.5703125" style="365" customWidth="1"/>
    <col min="14867" max="14867" width="14.28515625" style="365" bestFit="1" customWidth="1"/>
    <col min="14868" max="14868" width="0" style="365" hidden="1" customWidth="1"/>
    <col min="14869" max="14869" width="18.140625" style="365" customWidth="1"/>
    <col min="14870" max="14870" width="0" style="365" hidden="1" customWidth="1"/>
    <col min="14871" max="14871" width="14" style="365" customWidth="1"/>
    <col min="14872" max="14872" width="0" style="365" hidden="1" customWidth="1"/>
    <col min="14873" max="14873" width="20.85546875" style="365" customWidth="1"/>
    <col min="14874" max="14874" width="0" style="365" hidden="1" customWidth="1"/>
    <col min="14875" max="14875" width="13.28515625" style="365" customWidth="1"/>
    <col min="14876" max="14876" width="0" style="365" hidden="1" customWidth="1"/>
    <col min="14877" max="14877" width="15" style="365" customWidth="1"/>
    <col min="14878" max="14878" width="0" style="365" hidden="1" customWidth="1"/>
    <col min="14879" max="14879" width="13.28515625" style="365" customWidth="1"/>
    <col min="14880" max="14880" width="0" style="365" hidden="1" customWidth="1"/>
    <col min="14881" max="14881" width="20.140625" style="365" customWidth="1"/>
    <col min="14882" max="14882" width="14.42578125" style="365" bestFit="1" customWidth="1"/>
    <col min="14883" max="14883" width="14" style="365" bestFit="1" customWidth="1"/>
    <col min="14884" max="14884" width="12.28515625" style="365" bestFit="1" customWidth="1"/>
    <col min="14885" max="14909" width="9.140625" style="365" customWidth="1"/>
    <col min="14910" max="15104" width="8.85546875" style="365"/>
    <col min="15105" max="15105" width="44.5703125" style="365" customWidth="1"/>
    <col min="15106" max="15106" width="14.28515625" style="365" bestFit="1" customWidth="1"/>
    <col min="15107" max="15107" width="1.7109375" style="365" customWidth="1"/>
    <col min="15108" max="15108" width="14.85546875" style="365" customWidth="1"/>
    <col min="15109" max="15109" width="0" style="365" hidden="1" customWidth="1"/>
    <col min="15110" max="15110" width="17.42578125" style="365" customWidth="1"/>
    <col min="15111" max="15111" width="0" style="365" hidden="1" customWidth="1"/>
    <col min="15112" max="15112" width="12.85546875" style="365" customWidth="1"/>
    <col min="15113" max="15113" width="0" style="365" hidden="1" customWidth="1"/>
    <col min="15114" max="15114" width="14.42578125" style="365" customWidth="1"/>
    <col min="15115" max="15115" width="0" style="365" hidden="1" customWidth="1"/>
    <col min="15116" max="15116" width="17.42578125" style="365" customWidth="1"/>
    <col min="15117" max="15117" width="0" style="365" hidden="1" customWidth="1"/>
    <col min="15118" max="15118" width="14" style="365" customWidth="1"/>
    <col min="15119" max="15119" width="14.28515625" style="365" bestFit="1" customWidth="1"/>
    <col min="15120" max="15120" width="0" style="365" hidden="1" customWidth="1"/>
    <col min="15121" max="15121" width="15.5703125" style="365" customWidth="1"/>
    <col min="15122" max="15122" width="44.5703125" style="365" customWidth="1"/>
    <col min="15123" max="15123" width="14.28515625" style="365" bestFit="1" customWidth="1"/>
    <col min="15124" max="15124" width="0" style="365" hidden="1" customWidth="1"/>
    <col min="15125" max="15125" width="18.140625" style="365" customWidth="1"/>
    <col min="15126" max="15126" width="0" style="365" hidden="1" customWidth="1"/>
    <col min="15127" max="15127" width="14" style="365" customWidth="1"/>
    <col min="15128" max="15128" width="0" style="365" hidden="1" customWidth="1"/>
    <col min="15129" max="15129" width="20.85546875" style="365" customWidth="1"/>
    <col min="15130" max="15130" width="0" style="365" hidden="1" customWidth="1"/>
    <col min="15131" max="15131" width="13.28515625" style="365" customWidth="1"/>
    <col min="15132" max="15132" width="0" style="365" hidden="1" customWidth="1"/>
    <col min="15133" max="15133" width="15" style="365" customWidth="1"/>
    <col min="15134" max="15134" width="0" style="365" hidden="1" customWidth="1"/>
    <col min="15135" max="15135" width="13.28515625" style="365" customWidth="1"/>
    <col min="15136" max="15136" width="0" style="365" hidden="1" customWidth="1"/>
    <col min="15137" max="15137" width="20.140625" style="365" customWidth="1"/>
    <col min="15138" max="15138" width="14.42578125" style="365" bestFit="1" customWidth="1"/>
    <col min="15139" max="15139" width="14" style="365" bestFit="1" customWidth="1"/>
    <col min="15140" max="15140" width="12.28515625" style="365" bestFit="1" customWidth="1"/>
    <col min="15141" max="15165" width="9.140625" style="365" customWidth="1"/>
    <col min="15166" max="15360" width="9.7109375" style="365"/>
    <col min="15361" max="15361" width="44.5703125" style="365" customWidth="1"/>
    <col min="15362" max="15362" width="14.28515625" style="365" bestFit="1" customWidth="1"/>
    <col min="15363" max="15363" width="1.7109375" style="365" customWidth="1"/>
    <col min="15364" max="15364" width="14.85546875" style="365" customWidth="1"/>
    <col min="15365" max="15365" width="0" style="365" hidden="1" customWidth="1"/>
    <col min="15366" max="15366" width="17.42578125" style="365" customWidth="1"/>
    <col min="15367" max="15367" width="0" style="365" hidden="1" customWidth="1"/>
    <col min="15368" max="15368" width="12.85546875" style="365" customWidth="1"/>
    <col min="15369" max="15369" width="0" style="365" hidden="1" customWidth="1"/>
    <col min="15370" max="15370" width="14.42578125" style="365" customWidth="1"/>
    <col min="15371" max="15371" width="0" style="365" hidden="1" customWidth="1"/>
    <col min="15372" max="15372" width="17.42578125" style="365" customWidth="1"/>
    <col min="15373" max="15373" width="0" style="365" hidden="1" customWidth="1"/>
    <col min="15374" max="15374" width="14" style="365" customWidth="1"/>
    <col min="15375" max="15375" width="14.28515625" style="365" bestFit="1" customWidth="1"/>
    <col min="15376" max="15376" width="0" style="365" hidden="1" customWidth="1"/>
    <col min="15377" max="15377" width="15.5703125" style="365" customWidth="1"/>
    <col min="15378" max="15378" width="44.5703125" style="365" customWidth="1"/>
    <col min="15379" max="15379" width="14.28515625" style="365" bestFit="1" customWidth="1"/>
    <col min="15380" max="15380" width="0" style="365" hidden="1" customWidth="1"/>
    <col min="15381" max="15381" width="18.140625" style="365" customWidth="1"/>
    <col min="15382" max="15382" width="0" style="365" hidden="1" customWidth="1"/>
    <col min="15383" max="15383" width="14" style="365" customWidth="1"/>
    <col min="15384" max="15384" width="0" style="365" hidden="1" customWidth="1"/>
    <col min="15385" max="15385" width="20.85546875" style="365" customWidth="1"/>
    <col min="15386" max="15386" width="0" style="365" hidden="1" customWidth="1"/>
    <col min="15387" max="15387" width="13.28515625" style="365" customWidth="1"/>
    <col min="15388" max="15388" width="0" style="365" hidden="1" customWidth="1"/>
    <col min="15389" max="15389" width="15" style="365" customWidth="1"/>
    <col min="15390" max="15390" width="0" style="365" hidden="1" customWidth="1"/>
    <col min="15391" max="15391" width="13.28515625" style="365" customWidth="1"/>
    <col min="15392" max="15392" width="0" style="365" hidden="1" customWidth="1"/>
    <col min="15393" max="15393" width="20.140625" style="365" customWidth="1"/>
    <col min="15394" max="15394" width="14.42578125" style="365" bestFit="1" customWidth="1"/>
    <col min="15395" max="15395" width="14" style="365" bestFit="1" customWidth="1"/>
    <col min="15396" max="15396" width="12.28515625" style="365" bestFit="1" customWidth="1"/>
    <col min="15397" max="15421" width="9.140625" style="365" customWidth="1"/>
    <col min="15422" max="15616" width="8.85546875" style="365"/>
    <col min="15617" max="15617" width="44.5703125" style="365" customWidth="1"/>
    <col min="15618" max="15618" width="14.28515625" style="365" bestFit="1" customWidth="1"/>
    <col min="15619" max="15619" width="1.7109375" style="365" customWidth="1"/>
    <col min="15620" max="15620" width="14.85546875" style="365" customWidth="1"/>
    <col min="15621" max="15621" width="0" style="365" hidden="1" customWidth="1"/>
    <col min="15622" max="15622" width="17.42578125" style="365" customWidth="1"/>
    <col min="15623" max="15623" width="0" style="365" hidden="1" customWidth="1"/>
    <col min="15624" max="15624" width="12.85546875" style="365" customWidth="1"/>
    <col min="15625" max="15625" width="0" style="365" hidden="1" customWidth="1"/>
    <col min="15626" max="15626" width="14.42578125" style="365" customWidth="1"/>
    <col min="15627" max="15627" width="0" style="365" hidden="1" customWidth="1"/>
    <col min="15628" max="15628" width="17.42578125" style="365" customWidth="1"/>
    <col min="15629" max="15629" width="0" style="365" hidden="1" customWidth="1"/>
    <col min="15630" max="15630" width="14" style="365" customWidth="1"/>
    <col min="15631" max="15631" width="14.28515625" style="365" bestFit="1" customWidth="1"/>
    <col min="15632" max="15632" width="0" style="365" hidden="1" customWidth="1"/>
    <col min="15633" max="15633" width="15.5703125" style="365" customWidth="1"/>
    <col min="15634" max="15634" width="44.5703125" style="365" customWidth="1"/>
    <col min="15635" max="15635" width="14.28515625" style="365" bestFit="1" customWidth="1"/>
    <col min="15636" max="15636" width="0" style="365" hidden="1" customWidth="1"/>
    <col min="15637" max="15637" width="18.140625" style="365" customWidth="1"/>
    <col min="15638" max="15638" width="0" style="365" hidden="1" customWidth="1"/>
    <col min="15639" max="15639" width="14" style="365" customWidth="1"/>
    <col min="15640" max="15640" width="0" style="365" hidden="1" customWidth="1"/>
    <col min="15641" max="15641" width="20.85546875" style="365" customWidth="1"/>
    <col min="15642" max="15642" width="0" style="365" hidden="1" customWidth="1"/>
    <col min="15643" max="15643" width="13.28515625" style="365" customWidth="1"/>
    <col min="15644" max="15644" width="0" style="365" hidden="1" customWidth="1"/>
    <col min="15645" max="15645" width="15" style="365" customWidth="1"/>
    <col min="15646" max="15646" width="0" style="365" hidden="1" customWidth="1"/>
    <col min="15647" max="15647" width="13.28515625" style="365" customWidth="1"/>
    <col min="15648" max="15648" width="0" style="365" hidden="1" customWidth="1"/>
    <col min="15649" max="15649" width="20.140625" style="365" customWidth="1"/>
    <col min="15650" max="15650" width="14.42578125" style="365" bestFit="1" customWidth="1"/>
    <col min="15651" max="15651" width="14" style="365" bestFit="1" customWidth="1"/>
    <col min="15652" max="15652" width="12.28515625" style="365" bestFit="1" customWidth="1"/>
    <col min="15653" max="15677" width="9.140625" style="365" customWidth="1"/>
    <col min="15678" max="15872" width="8.85546875" style="365"/>
    <col min="15873" max="15873" width="44.5703125" style="365" customWidth="1"/>
    <col min="15874" max="15874" width="14.28515625" style="365" bestFit="1" customWidth="1"/>
    <col min="15875" max="15875" width="1.7109375" style="365" customWidth="1"/>
    <col min="15876" max="15876" width="14.85546875" style="365" customWidth="1"/>
    <col min="15877" max="15877" width="0" style="365" hidden="1" customWidth="1"/>
    <col min="15878" max="15878" width="17.42578125" style="365" customWidth="1"/>
    <col min="15879" max="15879" width="0" style="365" hidden="1" customWidth="1"/>
    <col min="15880" max="15880" width="12.85546875" style="365" customWidth="1"/>
    <col min="15881" max="15881" width="0" style="365" hidden="1" customWidth="1"/>
    <col min="15882" max="15882" width="14.42578125" style="365" customWidth="1"/>
    <col min="15883" max="15883" width="0" style="365" hidden="1" customWidth="1"/>
    <col min="15884" max="15884" width="17.42578125" style="365" customWidth="1"/>
    <col min="15885" max="15885" width="0" style="365" hidden="1" customWidth="1"/>
    <col min="15886" max="15886" width="14" style="365" customWidth="1"/>
    <col min="15887" max="15887" width="14.28515625" style="365" bestFit="1" customWidth="1"/>
    <col min="15888" max="15888" width="0" style="365" hidden="1" customWidth="1"/>
    <col min="15889" max="15889" width="15.5703125" style="365" customWidth="1"/>
    <col min="15890" max="15890" width="44.5703125" style="365" customWidth="1"/>
    <col min="15891" max="15891" width="14.28515625" style="365" bestFit="1" customWidth="1"/>
    <col min="15892" max="15892" width="0" style="365" hidden="1" customWidth="1"/>
    <col min="15893" max="15893" width="18.140625" style="365" customWidth="1"/>
    <col min="15894" max="15894" width="0" style="365" hidden="1" customWidth="1"/>
    <col min="15895" max="15895" width="14" style="365" customWidth="1"/>
    <col min="15896" max="15896" width="0" style="365" hidden="1" customWidth="1"/>
    <col min="15897" max="15897" width="20.85546875" style="365" customWidth="1"/>
    <col min="15898" max="15898" width="0" style="365" hidden="1" customWidth="1"/>
    <col min="15899" max="15899" width="13.28515625" style="365" customWidth="1"/>
    <col min="15900" max="15900" width="0" style="365" hidden="1" customWidth="1"/>
    <col min="15901" max="15901" width="15" style="365" customWidth="1"/>
    <col min="15902" max="15902" width="0" style="365" hidden="1" customWidth="1"/>
    <col min="15903" max="15903" width="13.28515625" style="365" customWidth="1"/>
    <col min="15904" max="15904" width="0" style="365" hidden="1" customWidth="1"/>
    <col min="15905" max="15905" width="20.140625" style="365" customWidth="1"/>
    <col min="15906" max="15906" width="14.42578125" style="365" bestFit="1" customWidth="1"/>
    <col min="15907" max="15907" width="14" style="365" bestFit="1" customWidth="1"/>
    <col min="15908" max="15908" width="12.28515625" style="365" bestFit="1" customWidth="1"/>
    <col min="15909" max="15933" width="9.140625" style="365" customWidth="1"/>
    <col min="15934" max="16128" width="8.85546875" style="365"/>
    <col min="16129" max="16129" width="44.5703125" style="365" customWidth="1"/>
    <col min="16130" max="16130" width="14.28515625" style="365" bestFit="1" customWidth="1"/>
    <col min="16131" max="16131" width="1.7109375" style="365" customWidth="1"/>
    <col min="16132" max="16132" width="14.85546875" style="365" customWidth="1"/>
    <col min="16133" max="16133" width="0" style="365" hidden="1" customWidth="1"/>
    <col min="16134" max="16134" width="17.42578125" style="365" customWidth="1"/>
    <col min="16135" max="16135" width="0" style="365" hidden="1" customWidth="1"/>
    <col min="16136" max="16136" width="12.85546875" style="365" customWidth="1"/>
    <col min="16137" max="16137" width="0" style="365" hidden="1" customWidth="1"/>
    <col min="16138" max="16138" width="14.42578125" style="365" customWidth="1"/>
    <col min="16139" max="16139" width="0" style="365" hidden="1" customWidth="1"/>
    <col min="16140" max="16140" width="17.42578125" style="365" customWidth="1"/>
    <col min="16141" max="16141" width="0" style="365" hidden="1" customWidth="1"/>
    <col min="16142" max="16142" width="14" style="365" customWidth="1"/>
    <col min="16143" max="16143" width="14.28515625" style="365" bestFit="1" customWidth="1"/>
    <col min="16144" max="16144" width="0" style="365" hidden="1" customWidth="1"/>
    <col min="16145" max="16145" width="15.5703125" style="365" customWidth="1"/>
    <col min="16146" max="16146" width="44.5703125" style="365" customWidth="1"/>
    <col min="16147" max="16147" width="14.28515625" style="365" bestFit="1" customWidth="1"/>
    <col min="16148" max="16148" width="0" style="365" hidden="1" customWidth="1"/>
    <col min="16149" max="16149" width="18.140625" style="365" customWidth="1"/>
    <col min="16150" max="16150" width="0" style="365" hidden="1" customWidth="1"/>
    <col min="16151" max="16151" width="14" style="365" customWidth="1"/>
    <col min="16152" max="16152" width="0" style="365" hidden="1" customWidth="1"/>
    <col min="16153" max="16153" width="20.85546875" style="365" customWidth="1"/>
    <col min="16154" max="16154" width="0" style="365" hidden="1" customWidth="1"/>
    <col min="16155" max="16155" width="13.28515625" style="365" customWidth="1"/>
    <col min="16156" max="16156" width="0" style="365" hidden="1" customWidth="1"/>
    <col min="16157" max="16157" width="15" style="365" customWidth="1"/>
    <col min="16158" max="16158" width="0" style="365" hidden="1" customWidth="1"/>
    <col min="16159" max="16159" width="13.28515625" style="365" customWidth="1"/>
    <col min="16160" max="16160" width="0" style="365" hidden="1" customWidth="1"/>
    <col min="16161" max="16161" width="20.140625" style="365" customWidth="1"/>
    <col min="16162" max="16162" width="14.42578125" style="365" bestFit="1" customWidth="1"/>
    <col min="16163" max="16163" width="14" style="365" bestFit="1" customWidth="1"/>
    <col min="16164" max="16164" width="12.28515625" style="365" bestFit="1" customWidth="1"/>
    <col min="16165" max="16189" width="9.140625" style="365" customWidth="1"/>
    <col min="16190" max="16384" width="9.7109375" style="365"/>
  </cols>
  <sheetData>
    <row r="1" spans="1:61" s="354" customFormat="1" ht="7.5" hidden="1" customHeight="1">
      <c r="A1" s="1632"/>
      <c r="B1" s="1632"/>
      <c r="C1" s="1632"/>
      <c r="D1" s="1632"/>
      <c r="E1" s="1632"/>
      <c r="F1" s="1632"/>
      <c r="G1" s="1632"/>
      <c r="H1" s="1632"/>
      <c r="I1" s="1632"/>
      <c r="J1" s="1632"/>
      <c r="K1" s="1632"/>
      <c r="L1" s="1632"/>
      <c r="M1" s="1632"/>
      <c r="N1" s="1633"/>
      <c r="O1" s="1632"/>
      <c r="P1" s="573"/>
      <c r="Q1" s="1638"/>
      <c r="R1" s="1638"/>
      <c r="S1" s="1638"/>
      <c r="T1" s="1638"/>
      <c r="U1" s="1638"/>
      <c r="V1" s="1638"/>
      <c r="W1" s="1638"/>
      <c r="X1" s="1638"/>
      <c r="Y1" s="1638"/>
      <c r="Z1" s="1638"/>
      <c r="AA1" s="1638"/>
      <c r="AB1" s="1638"/>
      <c r="AC1" s="1638"/>
      <c r="AD1" s="1638"/>
      <c r="AE1" s="1638"/>
      <c r="AF1" s="1638"/>
      <c r="AG1" s="1638"/>
      <c r="AH1" s="351"/>
      <c r="AI1" s="352"/>
      <c r="AJ1" s="351"/>
      <c r="AK1" s="351"/>
      <c r="AL1" s="351"/>
      <c r="AM1" s="351"/>
      <c r="AN1" s="353"/>
      <c r="AO1" s="353"/>
      <c r="AP1" s="353"/>
      <c r="AQ1" s="353"/>
      <c r="AR1" s="353"/>
      <c r="AS1" s="353"/>
      <c r="AT1" s="353"/>
      <c r="AU1" s="353"/>
      <c r="AV1" s="353"/>
      <c r="AW1" s="353"/>
      <c r="AX1" s="353"/>
      <c r="AY1" s="353"/>
      <c r="AZ1" s="353"/>
      <c r="BA1" s="353"/>
      <c r="BB1" s="353"/>
      <c r="BC1" s="353"/>
      <c r="BD1" s="353"/>
      <c r="BE1" s="353"/>
      <c r="BF1" s="353"/>
      <c r="BG1" s="353"/>
      <c r="BH1" s="353"/>
      <c r="BI1" s="353"/>
    </row>
    <row r="2" spans="1:61" s="354" customFormat="1" ht="48">
      <c r="A2" s="1634" t="s">
        <v>576</v>
      </c>
      <c r="B2" s="1634"/>
      <c r="C2" s="1634"/>
      <c r="D2" s="1634"/>
      <c r="E2" s="1634"/>
      <c r="F2" s="1634"/>
      <c r="G2" s="1634"/>
      <c r="H2" s="1634"/>
      <c r="I2" s="1634"/>
      <c r="J2" s="1634"/>
      <c r="K2" s="1634"/>
      <c r="L2" s="1634"/>
      <c r="M2" s="1634"/>
      <c r="N2" s="1634"/>
      <c r="O2" s="1634"/>
      <c r="P2" s="574"/>
      <c r="Q2" s="1634" t="str">
        <f>A2</f>
        <v>FY 2013 Proposed All Funds Budget</v>
      </c>
      <c r="R2" s="1634"/>
      <c r="S2" s="1634"/>
      <c r="T2" s="1634"/>
      <c r="U2" s="1634"/>
      <c r="V2" s="1634"/>
      <c r="W2" s="1634"/>
      <c r="X2" s="1634"/>
      <c r="Y2" s="1634"/>
      <c r="Z2" s="1634"/>
      <c r="AA2" s="1634"/>
      <c r="AB2" s="1634"/>
      <c r="AC2" s="1634"/>
      <c r="AD2" s="1634"/>
      <c r="AE2" s="1634"/>
      <c r="AF2" s="1636"/>
      <c r="AG2" s="1636"/>
      <c r="AH2" s="353"/>
      <c r="AI2" s="355"/>
      <c r="AJ2" s="353"/>
      <c r="AK2" s="353"/>
      <c r="AL2" s="353"/>
      <c r="AM2" s="353"/>
      <c r="AN2" s="353"/>
      <c r="AO2" s="353"/>
      <c r="AP2" s="353"/>
      <c r="AQ2" s="353"/>
      <c r="AR2" s="353"/>
      <c r="AS2" s="353"/>
      <c r="AT2" s="353"/>
      <c r="AU2" s="353"/>
      <c r="AV2" s="353"/>
      <c r="AW2" s="353"/>
      <c r="AX2" s="353"/>
      <c r="AY2" s="353"/>
      <c r="AZ2" s="353"/>
      <c r="BA2" s="353"/>
      <c r="BB2" s="353"/>
      <c r="BC2" s="353"/>
      <c r="BD2" s="353"/>
      <c r="BE2" s="353"/>
      <c r="BF2" s="353"/>
      <c r="BG2" s="353"/>
      <c r="BH2" s="353"/>
      <c r="BI2" s="353"/>
    </row>
    <row r="3" spans="1:61" s="354" customFormat="1" ht="48">
      <c r="A3" s="718"/>
      <c r="B3" s="1636" t="str">
        <f>PROPER(B1)</f>
        <v/>
      </c>
      <c r="C3" s="1636"/>
      <c r="D3" s="1636"/>
      <c r="E3" s="1636"/>
      <c r="F3" s="1636"/>
      <c r="G3" s="1636"/>
      <c r="H3" s="1636"/>
      <c r="I3" s="1636"/>
      <c r="J3" s="1636"/>
      <c r="K3" s="1636"/>
      <c r="L3" s="1636"/>
      <c r="M3" s="1636"/>
      <c r="N3" s="1636"/>
      <c r="O3" s="718"/>
      <c r="P3" s="574"/>
      <c r="Q3" s="718"/>
      <c r="R3" s="718"/>
      <c r="S3" s="718"/>
      <c r="T3" s="718"/>
      <c r="U3" s="718"/>
      <c r="V3" s="718"/>
      <c r="W3" s="718"/>
      <c r="X3" s="718"/>
      <c r="Y3" s="718"/>
      <c r="Z3" s="718"/>
      <c r="AA3" s="718"/>
      <c r="AB3" s="718"/>
      <c r="AC3" s="718"/>
      <c r="AD3" s="718"/>
      <c r="AE3" s="718"/>
      <c r="AF3" s="719"/>
      <c r="AG3" s="719"/>
      <c r="AH3" s="353"/>
      <c r="AI3" s="355"/>
      <c r="AJ3" s="353"/>
      <c r="AK3" s="353"/>
      <c r="AL3" s="353"/>
      <c r="AM3" s="353"/>
      <c r="AN3" s="353"/>
      <c r="AO3" s="353"/>
      <c r="AP3" s="353"/>
      <c r="AQ3" s="353"/>
      <c r="AR3" s="353"/>
      <c r="AS3" s="353"/>
      <c r="AT3" s="353"/>
      <c r="AU3" s="353"/>
      <c r="AV3" s="353"/>
      <c r="AW3" s="353"/>
      <c r="AX3" s="353"/>
      <c r="AY3" s="353"/>
      <c r="AZ3" s="353"/>
      <c r="BA3" s="353"/>
      <c r="BB3" s="353"/>
      <c r="BC3" s="353"/>
      <c r="BD3" s="353"/>
      <c r="BE3" s="353"/>
      <c r="BF3" s="353"/>
      <c r="BG3" s="353"/>
      <c r="BH3" s="353"/>
      <c r="BI3" s="353"/>
    </row>
    <row r="4" spans="1:61" s="354" customFormat="1" ht="15.75" customHeight="1">
      <c r="A4" s="1635"/>
      <c r="B4" s="1635"/>
      <c r="C4" s="1635"/>
      <c r="D4" s="1635"/>
      <c r="E4" s="1635"/>
      <c r="F4" s="1635"/>
      <c r="G4" s="1635"/>
      <c r="H4" s="1635"/>
      <c r="I4" s="1635"/>
      <c r="J4" s="1635"/>
      <c r="K4" s="1635"/>
      <c r="L4" s="1635"/>
      <c r="M4" s="1635"/>
      <c r="N4" s="1635"/>
      <c r="O4" s="1635"/>
      <c r="P4" s="575"/>
      <c r="Q4" s="1637">
        <f>A4</f>
        <v>0</v>
      </c>
      <c r="R4" s="1637"/>
      <c r="S4" s="1637"/>
      <c r="T4" s="1637"/>
      <c r="U4" s="1637"/>
      <c r="V4" s="1637"/>
      <c r="W4" s="1637"/>
      <c r="X4" s="1637"/>
      <c r="Y4" s="1637"/>
      <c r="Z4" s="1637"/>
      <c r="AA4" s="1637"/>
      <c r="AB4" s="1637"/>
      <c r="AC4" s="1637"/>
      <c r="AD4" s="1637"/>
      <c r="AE4" s="1637"/>
      <c r="AF4" s="1637"/>
      <c r="AG4" s="1637"/>
      <c r="AH4" s="353"/>
      <c r="AI4" s="355"/>
      <c r="AJ4" s="353"/>
      <c r="AK4" s="353"/>
      <c r="AL4" s="353"/>
      <c r="AM4" s="353"/>
      <c r="AN4" s="353"/>
      <c r="AO4" s="353"/>
      <c r="AP4" s="353"/>
      <c r="AQ4" s="353"/>
      <c r="AR4" s="353"/>
      <c r="AS4" s="353"/>
      <c r="AT4" s="353"/>
      <c r="AU4" s="353"/>
      <c r="AV4" s="353"/>
      <c r="AW4" s="353"/>
      <c r="AX4" s="353"/>
      <c r="AY4" s="353"/>
      <c r="AZ4" s="353"/>
      <c r="BA4" s="353"/>
      <c r="BB4" s="353"/>
      <c r="BC4" s="353"/>
      <c r="BD4" s="353"/>
      <c r="BE4" s="353"/>
      <c r="BF4" s="353"/>
      <c r="BG4" s="353"/>
      <c r="BH4" s="353"/>
      <c r="BI4" s="353"/>
    </row>
    <row r="5" spans="1:61" s="363" customFormat="1" ht="9.6" customHeight="1" thickBot="1">
      <c r="A5" s="360" t="s">
        <v>58</v>
      </c>
      <c r="B5" s="361"/>
      <c r="C5" s="577"/>
      <c r="D5" s="362"/>
      <c r="E5" s="358"/>
      <c r="F5" s="358"/>
      <c r="G5" s="358"/>
      <c r="H5" s="358"/>
      <c r="I5" s="358"/>
      <c r="J5" s="358"/>
      <c r="K5" s="358"/>
      <c r="L5" s="358"/>
      <c r="M5" s="359"/>
      <c r="N5" s="358"/>
      <c r="O5" s="358"/>
      <c r="P5" s="358"/>
      <c r="Q5" s="360" t="s">
        <v>58</v>
      </c>
      <c r="R5" s="583"/>
      <c r="S5" s="358"/>
      <c r="T5" s="358"/>
      <c r="U5" s="358"/>
      <c r="V5" s="358"/>
      <c r="W5" s="358"/>
      <c r="X5" s="358"/>
      <c r="Y5" s="358"/>
      <c r="Z5" s="358"/>
      <c r="AA5" s="358"/>
      <c r="AB5" s="358"/>
      <c r="AC5" s="358"/>
      <c r="AD5" s="358"/>
      <c r="AE5" s="358"/>
      <c r="AF5" s="358"/>
      <c r="AG5" s="362"/>
      <c r="AI5" s="364"/>
    </row>
    <row r="6" spans="1:61" s="490" customFormat="1" ht="117" customHeight="1" thickTop="1" thickBot="1">
      <c r="A6" s="484"/>
      <c r="B6" s="485"/>
      <c r="C6" s="486"/>
      <c r="D6" s="578" t="s">
        <v>573</v>
      </c>
      <c r="E6" s="579"/>
      <c r="F6" s="580" t="s">
        <v>410</v>
      </c>
      <c r="G6" s="581"/>
      <c r="H6" s="580" t="s">
        <v>154</v>
      </c>
      <c r="I6" s="580"/>
      <c r="J6" s="580" t="s">
        <v>411</v>
      </c>
      <c r="K6" s="581"/>
      <c r="L6" s="580" t="s">
        <v>412</v>
      </c>
      <c r="M6" s="580"/>
      <c r="N6" s="580" t="s">
        <v>413</v>
      </c>
      <c r="O6" s="580" t="s">
        <v>414</v>
      </c>
      <c r="P6" s="487"/>
      <c r="Q6" s="484"/>
      <c r="R6" s="584"/>
      <c r="S6" s="486"/>
      <c r="T6" s="580" t="s">
        <v>415</v>
      </c>
      <c r="U6" s="580" t="s">
        <v>416</v>
      </c>
      <c r="V6" s="581"/>
      <c r="W6" s="580" t="s">
        <v>417</v>
      </c>
      <c r="X6" s="581"/>
      <c r="Y6" s="580" t="s">
        <v>575</v>
      </c>
      <c r="Z6" s="581"/>
      <c r="AA6" s="580" t="s">
        <v>419</v>
      </c>
      <c r="AB6" s="581"/>
      <c r="AC6" s="580" t="s">
        <v>420</v>
      </c>
      <c r="AD6" s="581"/>
      <c r="AE6" s="580" t="s">
        <v>421</v>
      </c>
      <c r="AF6" s="581"/>
      <c r="AG6" s="582" t="s">
        <v>422</v>
      </c>
      <c r="AH6" s="488"/>
      <c r="AI6" s="489"/>
      <c r="AJ6" s="488"/>
      <c r="AK6" s="488"/>
      <c r="AL6" s="488"/>
      <c r="AM6" s="488"/>
      <c r="AN6" s="488"/>
      <c r="AO6" s="488"/>
      <c r="AP6" s="488"/>
      <c r="AQ6" s="488"/>
      <c r="AR6" s="488"/>
      <c r="AS6" s="488"/>
      <c r="AT6" s="488"/>
      <c r="AU6" s="488"/>
      <c r="AV6" s="488"/>
      <c r="AW6" s="488"/>
      <c r="AX6" s="488"/>
      <c r="AY6" s="488"/>
      <c r="AZ6" s="488"/>
      <c r="BA6" s="488"/>
      <c r="BB6" s="488"/>
      <c r="BC6" s="488"/>
      <c r="BD6" s="488"/>
      <c r="BE6" s="488"/>
      <c r="BF6" s="488"/>
      <c r="BG6" s="488"/>
      <c r="BH6" s="488"/>
      <c r="BI6" s="488"/>
    </row>
    <row r="7" spans="1:61" ht="28.15" customHeight="1" thickTop="1">
      <c r="A7" s="356"/>
      <c r="B7" s="356"/>
      <c r="C7" s="357"/>
      <c r="D7" s="369"/>
      <c r="E7" s="370"/>
      <c r="F7" s="371"/>
      <c r="G7" s="372"/>
      <c r="H7" s="371"/>
      <c r="I7" s="371"/>
      <c r="J7" s="371"/>
      <c r="K7" s="372"/>
      <c r="L7" s="371"/>
      <c r="M7" s="371"/>
      <c r="N7" s="371"/>
      <c r="O7" s="373"/>
      <c r="P7" s="373"/>
      <c r="Q7" s="356"/>
      <c r="R7" s="402"/>
      <c r="S7" s="357"/>
      <c r="T7" s="373"/>
      <c r="U7" s="371"/>
      <c r="V7" s="372"/>
      <c r="W7" s="371"/>
      <c r="X7" s="372"/>
      <c r="Y7" s="371"/>
      <c r="Z7" s="372"/>
      <c r="AA7" s="371"/>
      <c r="AB7" s="372"/>
      <c r="AC7" s="371"/>
      <c r="AD7" s="372"/>
      <c r="AE7" s="371"/>
      <c r="AF7" s="372"/>
      <c r="AG7" s="374"/>
    </row>
    <row r="8" spans="1:61" s="417" customFormat="1" ht="15.95" customHeight="1">
      <c r="A8" s="417" t="s">
        <v>423</v>
      </c>
      <c r="C8" s="449"/>
      <c r="D8" s="450"/>
      <c r="E8" s="451"/>
      <c r="F8" s="452"/>
      <c r="G8" s="453"/>
      <c r="H8" s="452"/>
      <c r="I8" s="452"/>
      <c r="J8" s="452"/>
      <c r="K8" s="453"/>
      <c r="L8" s="452"/>
      <c r="M8" s="452"/>
      <c r="N8" s="452"/>
      <c r="O8" s="453"/>
      <c r="P8" s="453"/>
      <c r="Q8" s="417" t="s">
        <v>423</v>
      </c>
      <c r="R8" s="393"/>
      <c r="S8" s="449"/>
      <c r="T8" s="453"/>
      <c r="U8" s="452"/>
      <c r="V8" s="453"/>
      <c r="W8" s="452"/>
      <c r="X8" s="453"/>
      <c r="Y8" s="455" t="s">
        <v>58</v>
      </c>
      <c r="Z8" s="453"/>
      <c r="AA8" s="455" t="s">
        <v>58</v>
      </c>
      <c r="AB8" s="453"/>
      <c r="AC8" s="455" t="s">
        <v>58</v>
      </c>
      <c r="AD8" s="453"/>
      <c r="AE8" s="455" t="s">
        <v>58</v>
      </c>
      <c r="AF8" s="453"/>
      <c r="AG8" s="456"/>
      <c r="AH8" s="454"/>
      <c r="AI8" s="457"/>
      <c r="AJ8" s="454"/>
      <c r="AK8" s="454"/>
      <c r="AL8" s="454"/>
      <c r="AM8" s="454"/>
      <c r="AN8" s="454"/>
      <c r="AO8" s="454"/>
      <c r="AP8" s="454"/>
      <c r="AQ8" s="454"/>
      <c r="AR8" s="454"/>
      <c r="AS8" s="454"/>
      <c r="AT8" s="454"/>
      <c r="AU8" s="454"/>
      <c r="AV8" s="454"/>
      <c r="AW8" s="454"/>
      <c r="AX8" s="454"/>
      <c r="AY8" s="454"/>
      <c r="AZ8" s="454"/>
      <c r="BA8" s="454"/>
      <c r="BB8" s="454"/>
      <c r="BC8" s="454"/>
      <c r="BD8" s="454"/>
      <c r="BE8" s="454"/>
      <c r="BF8" s="454"/>
      <c r="BG8" s="454"/>
      <c r="BH8" s="454"/>
      <c r="BI8" s="454"/>
    </row>
    <row r="9" spans="1:61" s="417" customFormat="1" ht="20.100000000000001" customHeight="1">
      <c r="A9" s="417" t="s">
        <v>488</v>
      </c>
      <c r="C9" s="417" t="s">
        <v>424</v>
      </c>
      <c r="D9" s="458">
        <f>'[1]GF Resources'!$G$64</f>
        <v>0</v>
      </c>
      <c r="E9" s="459"/>
      <c r="F9" s="458">
        <f>'CRA-Beach'!L15+'CRA-NW Progresso'!L16+'CRA-Central City'!L14</f>
        <v>-24714</v>
      </c>
      <c r="G9" s="458"/>
      <c r="H9" s="458">
        <f>'Sunrise Key'!L14</f>
        <v>99940.169999999984</v>
      </c>
      <c r="I9" s="458"/>
      <c r="J9" s="458">
        <f>'Beach Bus Improv District'!L13</f>
        <v>399899</v>
      </c>
      <c r="K9" s="458"/>
      <c r="L9" s="458">
        <f>'Housing and Community Dev'!L15</f>
        <v>38123</v>
      </c>
      <c r="M9" s="460"/>
      <c r="N9" s="611" t="e">
        <f>#REF!+#REF!+#REF!</f>
        <v>#REF!</v>
      </c>
      <c r="O9" s="458" t="e">
        <f>#REF!+#REF!+#REF!+#REF!+#REF!+#REF!+#REF!</f>
        <v>#REF!</v>
      </c>
      <c r="P9" s="458"/>
      <c r="Q9" s="417" t="s">
        <v>488</v>
      </c>
      <c r="R9" s="393"/>
      <c r="S9" s="417" t="s">
        <v>424</v>
      </c>
      <c r="T9" s="458">
        <f>Cemtery!L13</f>
        <v>23929746.120000001</v>
      </c>
      <c r="U9" s="458">
        <f>'Arts Science District Garage'!L14</f>
        <v>0</v>
      </c>
      <c r="V9" s="458"/>
      <c r="W9" s="458">
        <f>Sanitation!L16</f>
        <v>2310762.3100000024</v>
      </c>
      <c r="X9" s="458"/>
      <c r="Y9" s="458">
        <f>'Water and Sewer'!L15+'Central Region'!L15</f>
        <v>47374438.150000006</v>
      </c>
      <c r="Z9" s="458"/>
      <c r="AA9" s="458">
        <f>Stormwater!L16</f>
        <v>12213219</v>
      </c>
      <c r="AB9" s="458"/>
      <c r="AC9" s="458">
        <f>'Parking System'!L16</f>
        <v>7311997.9400000013</v>
      </c>
      <c r="AD9" s="458"/>
      <c r="AE9" s="458">
        <f>Airport!L16</f>
        <v>13024398</v>
      </c>
      <c r="AF9" s="461"/>
      <c r="AG9" s="461" t="e">
        <f>SUM(D9:O9,T9:AE9)</f>
        <v>#REF!</v>
      </c>
      <c r="AH9" s="454"/>
      <c r="AI9" s="457"/>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row>
    <row r="10" spans="1:61" s="417" customFormat="1" ht="18.75">
      <c r="A10" s="417" t="s">
        <v>583</v>
      </c>
      <c r="C10" s="417" t="s">
        <v>424</v>
      </c>
      <c r="D10" s="462">
        <f>SUM(D9:D9)</f>
        <v>0</v>
      </c>
      <c r="E10" s="459"/>
      <c r="F10" s="463">
        <f>SUM(F9:F9)</f>
        <v>-24714</v>
      </c>
      <c r="G10" s="458"/>
      <c r="H10" s="463">
        <f>SUM(H9:H9)</f>
        <v>99940.169999999984</v>
      </c>
      <c r="I10" s="460"/>
      <c r="J10" s="463">
        <f>SUM(J9:J9)</f>
        <v>399899</v>
      </c>
      <c r="K10" s="458"/>
      <c r="L10" s="463">
        <f>SUM(L9:L9)</f>
        <v>38123</v>
      </c>
      <c r="M10" s="460"/>
      <c r="N10" s="612" t="e">
        <f>SUM(N9:N9)</f>
        <v>#REF!</v>
      </c>
      <c r="O10" s="463" t="e">
        <f>SUM(O9:O9)</f>
        <v>#REF!</v>
      </c>
      <c r="P10" s="460"/>
      <c r="Q10" s="417" t="s">
        <v>425</v>
      </c>
      <c r="R10" s="393"/>
      <c r="S10" s="417" t="s">
        <v>424</v>
      </c>
      <c r="T10" s="463">
        <f>SUM(T9:T9)</f>
        <v>23929746.120000001</v>
      </c>
      <c r="U10" s="463">
        <f>SUM(U9:U9)</f>
        <v>0</v>
      </c>
      <c r="V10" s="454"/>
      <c r="W10" s="463">
        <f>SUM(W9:W9)</f>
        <v>2310762.3100000024</v>
      </c>
      <c r="X10" s="458"/>
      <c r="Y10" s="463">
        <f>SUM(Y9:Y9)</f>
        <v>47374438.150000006</v>
      </c>
      <c r="Z10" s="458"/>
      <c r="AA10" s="463">
        <f>SUM(AA9:AA9)</f>
        <v>12213219</v>
      </c>
      <c r="AB10" s="458"/>
      <c r="AC10" s="463">
        <f>SUM(AC9:AC9)</f>
        <v>7311997.9400000013</v>
      </c>
      <c r="AD10" s="458"/>
      <c r="AE10" s="463">
        <f>SUM(AE9:AE9)</f>
        <v>13024398</v>
      </c>
      <c r="AF10" s="461"/>
      <c r="AG10" s="464" t="e">
        <f>SUM(AG9:AG9)</f>
        <v>#REF!</v>
      </c>
      <c r="AH10" s="465"/>
      <c r="AI10" s="457"/>
      <c r="AJ10" s="454"/>
      <c r="AK10" s="454"/>
      <c r="AL10" s="454"/>
      <c r="AM10" s="454"/>
      <c r="AN10" s="454"/>
      <c r="AO10" s="454"/>
      <c r="AP10" s="454"/>
      <c r="AQ10" s="454"/>
      <c r="AR10" s="454"/>
      <c r="AS10" s="454"/>
      <c r="AT10" s="454"/>
      <c r="AU10" s="454"/>
      <c r="AV10" s="454"/>
      <c r="AW10" s="454"/>
      <c r="AX10" s="454"/>
      <c r="AY10" s="454"/>
      <c r="AZ10" s="454"/>
      <c r="BA10" s="454"/>
      <c r="BB10" s="454"/>
      <c r="BC10" s="454"/>
      <c r="BD10" s="454"/>
      <c r="BE10" s="454"/>
      <c r="BF10" s="454"/>
      <c r="BG10" s="454"/>
      <c r="BH10" s="454"/>
      <c r="BI10" s="454"/>
    </row>
    <row r="11" spans="1:61" s="417" customFormat="1" ht="12" customHeight="1">
      <c r="D11" s="466"/>
      <c r="E11" s="459"/>
      <c r="F11" s="460"/>
      <c r="G11" s="458"/>
      <c r="H11" s="460"/>
      <c r="I11" s="460"/>
      <c r="J11" s="460"/>
      <c r="K11" s="458"/>
      <c r="L11" s="460"/>
      <c r="M11" s="460"/>
      <c r="N11" s="613"/>
      <c r="O11" s="458"/>
      <c r="P11" s="458"/>
      <c r="R11" s="393"/>
      <c r="T11" s="458"/>
      <c r="U11" s="460"/>
      <c r="V11" s="454"/>
      <c r="W11" s="460"/>
      <c r="X11" s="458"/>
      <c r="Y11" s="460"/>
      <c r="Z11" s="458"/>
      <c r="AA11" s="460"/>
      <c r="AB11" s="458"/>
      <c r="AC11" s="460"/>
      <c r="AD11" s="458"/>
      <c r="AE11" s="460"/>
      <c r="AF11" s="461"/>
      <c r="AG11" s="467"/>
      <c r="AH11" s="454"/>
      <c r="AI11" s="457"/>
      <c r="AJ11" s="454"/>
      <c r="AK11" s="454"/>
      <c r="AL11" s="454"/>
      <c r="AM11" s="454"/>
      <c r="AN11" s="454"/>
      <c r="AO11" s="454"/>
      <c r="AP11" s="454"/>
      <c r="AQ11" s="454"/>
      <c r="AR11" s="454"/>
      <c r="AS11" s="454"/>
      <c r="AT11" s="454"/>
      <c r="AU11" s="454"/>
      <c r="AV11" s="454"/>
      <c r="AW11" s="454"/>
      <c r="AX11" s="454"/>
      <c r="AY11" s="454"/>
      <c r="AZ11" s="454"/>
      <c r="BA11" s="454"/>
      <c r="BB11" s="454"/>
      <c r="BC11" s="454"/>
      <c r="BD11" s="454"/>
      <c r="BE11" s="454"/>
      <c r="BF11" s="454"/>
      <c r="BG11" s="454"/>
      <c r="BH11" s="454"/>
      <c r="BI11" s="454"/>
    </row>
    <row r="12" spans="1:61" s="454" customFormat="1" ht="15.75" customHeight="1">
      <c r="A12" s="454" t="s">
        <v>426</v>
      </c>
      <c r="D12" s="460"/>
      <c r="E12" s="458"/>
      <c r="F12" s="460"/>
      <c r="G12" s="458"/>
      <c r="H12" s="460"/>
      <c r="I12" s="460"/>
      <c r="J12" s="460"/>
      <c r="K12" s="458"/>
      <c r="L12" s="460"/>
      <c r="M12" s="460"/>
      <c r="N12" s="613"/>
      <c r="O12" s="458"/>
      <c r="P12" s="458"/>
      <c r="Q12" s="454" t="s">
        <v>426</v>
      </c>
      <c r="R12" s="585"/>
      <c r="T12" s="458"/>
      <c r="U12" s="460"/>
      <c r="W12" s="460"/>
      <c r="X12" s="458"/>
      <c r="Y12" s="460"/>
      <c r="Z12" s="458"/>
      <c r="AA12" s="460"/>
      <c r="AB12" s="458"/>
      <c r="AC12" s="460"/>
      <c r="AD12" s="458"/>
      <c r="AE12" s="460"/>
      <c r="AF12" s="461"/>
      <c r="AG12" s="467"/>
      <c r="AI12" s="457"/>
    </row>
    <row r="13" spans="1:61" s="454" customFormat="1" ht="16.5" customHeight="1">
      <c r="A13" s="454" t="s">
        <v>584</v>
      </c>
      <c r="B13" s="700" t="s">
        <v>585</v>
      </c>
      <c r="D13" s="458"/>
      <c r="E13" s="458"/>
      <c r="F13" s="458"/>
      <c r="G13" s="458"/>
      <c r="H13" s="458"/>
      <c r="I13" s="458"/>
      <c r="J13" s="458"/>
      <c r="K13" s="458"/>
      <c r="L13" s="458"/>
      <c r="M13" s="460"/>
      <c r="N13" s="611"/>
      <c r="O13" s="458"/>
      <c r="P13" s="458"/>
      <c r="Q13" s="454" t="s">
        <v>586</v>
      </c>
      <c r="R13" s="701" t="s">
        <v>585</v>
      </c>
      <c r="T13" s="458"/>
      <c r="U13" s="468"/>
      <c r="W13" s="468"/>
      <c r="X13" s="468"/>
      <c r="Y13" s="468"/>
      <c r="Z13" s="468"/>
      <c r="AA13" s="468"/>
      <c r="AB13" s="468"/>
      <c r="AC13" s="468"/>
      <c r="AD13" s="468"/>
      <c r="AE13" s="468"/>
      <c r="AG13" s="461"/>
      <c r="AI13" s="457"/>
    </row>
    <row r="14" spans="1:61" s="454" customFormat="1" ht="20.100000000000001" customHeight="1">
      <c r="A14" s="454" t="s">
        <v>582</v>
      </c>
      <c r="B14" s="468">
        <v>4.1193</v>
      </c>
      <c r="D14" s="460">
        <f>'[1]GF Resources'!$G$7</f>
        <v>1107945</v>
      </c>
      <c r="E14" s="458"/>
      <c r="F14" s="460">
        <v>0</v>
      </c>
      <c r="G14" s="460">
        <v>0</v>
      </c>
      <c r="H14" s="460">
        <v>0</v>
      </c>
      <c r="I14" s="460">
        <v>0</v>
      </c>
      <c r="J14" s="460">
        <v>0</v>
      </c>
      <c r="K14" s="460">
        <v>0</v>
      </c>
      <c r="L14" s="460">
        <v>0</v>
      </c>
      <c r="M14" s="460">
        <v>0</v>
      </c>
      <c r="N14" s="613">
        <v>0</v>
      </c>
      <c r="O14" s="460" t="e">
        <f>#REF!+#REF!+#REF!</f>
        <v>#REF!</v>
      </c>
      <c r="P14" s="460">
        <v>0</v>
      </c>
      <c r="Q14" s="454" t="s">
        <v>427</v>
      </c>
      <c r="R14" s="585">
        <f>B14</f>
        <v>4.1193</v>
      </c>
      <c r="T14" s="460">
        <v>0</v>
      </c>
      <c r="U14" s="460">
        <v>0</v>
      </c>
      <c r="W14" s="460">
        <v>0</v>
      </c>
      <c r="X14" s="458"/>
      <c r="Y14" s="458">
        <v>0</v>
      </c>
      <c r="Z14" s="458"/>
      <c r="AA14" s="458">
        <v>0</v>
      </c>
      <c r="AB14" s="458"/>
      <c r="AC14" s="458">
        <v>0</v>
      </c>
      <c r="AD14" s="458"/>
      <c r="AE14" s="458">
        <v>0</v>
      </c>
      <c r="AF14" s="461"/>
      <c r="AG14" s="461" t="e">
        <f t="shared" ref="AG14:AG27" si="0">SUM(D14:O14,T14:AE14)</f>
        <v>#REF!</v>
      </c>
      <c r="AI14" s="457"/>
    </row>
    <row r="15" spans="1:61" s="454" customFormat="1" ht="20.100000000000001" hidden="1" customHeight="1">
      <c r="A15" s="454" t="s">
        <v>428</v>
      </c>
      <c r="B15" s="468">
        <v>0.1125</v>
      </c>
      <c r="D15" s="460"/>
      <c r="E15" s="458"/>
      <c r="F15" s="460">
        <v>0</v>
      </c>
      <c r="G15" s="458"/>
      <c r="H15" s="460"/>
      <c r="I15" s="458"/>
      <c r="J15" s="460">
        <v>0</v>
      </c>
      <c r="K15" s="458"/>
      <c r="L15" s="460">
        <v>0</v>
      </c>
      <c r="M15" s="460"/>
      <c r="N15" s="613">
        <v>0</v>
      </c>
      <c r="O15" s="460">
        <v>0</v>
      </c>
      <c r="P15" s="460">
        <v>0</v>
      </c>
      <c r="Q15" s="454" t="s">
        <v>428</v>
      </c>
      <c r="R15" s="585" t="s">
        <v>684</v>
      </c>
      <c r="T15" s="460">
        <v>0</v>
      </c>
      <c r="U15" s="460">
        <v>0</v>
      </c>
      <c r="W15" s="460">
        <v>0</v>
      </c>
      <c r="X15" s="458"/>
      <c r="Y15" s="458">
        <v>0</v>
      </c>
      <c r="Z15" s="458"/>
      <c r="AA15" s="458">
        <v>0</v>
      </c>
      <c r="AB15" s="458"/>
      <c r="AC15" s="458">
        <v>0</v>
      </c>
      <c r="AD15" s="458"/>
      <c r="AE15" s="458">
        <v>0</v>
      </c>
      <c r="AF15" s="461"/>
      <c r="AG15" s="461">
        <f t="shared" si="0"/>
        <v>0</v>
      </c>
      <c r="AI15" s="457"/>
    </row>
    <row r="16" spans="1:61" s="454" customFormat="1" ht="20.100000000000001" hidden="1" customHeight="1">
      <c r="A16" s="454" t="s">
        <v>429</v>
      </c>
      <c r="B16" s="576">
        <v>5.7000000000000002E-2</v>
      </c>
      <c r="D16" s="460"/>
      <c r="E16" s="458"/>
      <c r="F16" s="460">
        <v>0</v>
      </c>
      <c r="G16" s="458"/>
      <c r="H16" s="460"/>
      <c r="I16" s="458"/>
      <c r="J16" s="460">
        <v>0</v>
      </c>
      <c r="K16" s="458"/>
      <c r="L16" s="460">
        <v>0</v>
      </c>
      <c r="M16" s="460"/>
      <c r="N16" s="613">
        <v>0</v>
      </c>
      <c r="O16" s="460">
        <v>0</v>
      </c>
      <c r="P16" s="460">
        <v>0</v>
      </c>
      <c r="Q16" s="454" t="s">
        <v>429</v>
      </c>
      <c r="R16" s="586" t="s">
        <v>429</v>
      </c>
      <c r="T16" s="460">
        <v>0</v>
      </c>
      <c r="U16" s="460">
        <v>0</v>
      </c>
      <c r="W16" s="460">
        <v>0</v>
      </c>
      <c r="X16" s="458"/>
      <c r="Y16" s="460">
        <v>0</v>
      </c>
      <c r="Z16" s="458"/>
      <c r="AA16" s="460">
        <v>0</v>
      </c>
      <c r="AB16" s="458"/>
      <c r="AC16" s="460">
        <v>0</v>
      </c>
      <c r="AD16" s="458"/>
      <c r="AE16" s="460">
        <v>0</v>
      </c>
      <c r="AF16" s="461"/>
      <c r="AG16" s="461">
        <f t="shared" si="0"/>
        <v>0</v>
      </c>
      <c r="AI16" s="457"/>
    </row>
    <row r="17" spans="1:36" s="454" customFormat="1" ht="20.100000000000001" hidden="1" customHeight="1">
      <c r="A17" s="454" t="s">
        <v>430</v>
      </c>
      <c r="B17" s="468">
        <v>4.9799999999999997E-2</v>
      </c>
      <c r="D17" s="460"/>
      <c r="E17" s="458"/>
      <c r="F17" s="460">
        <v>0</v>
      </c>
      <c r="G17" s="458"/>
      <c r="H17" s="460"/>
      <c r="I17" s="458"/>
      <c r="J17" s="460">
        <v>0</v>
      </c>
      <c r="K17" s="458"/>
      <c r="L17" s="460">
        <v>0</v>
      </c>
      <c r="M17" s="460"/>
      <c r="N17" s="613">
        <v>0</v>
      </c>
      <c r="O17" s="460">
        <v>0</v>
      </c>
      <c r="P17" s="460">
        <v>0</v>
      </c>
      <c r="Q17" s="454" t="s">
        <v>430</v>
      </c>
      <c r="R17" s="585" t="s">
        <v>685</v>
      </c>
      <c r="T17" s="460">
        <v>0</v>
      </c>
      <c r="U17" s="460">
        <v>0</v>
      </c>
      <c r="W17" s="460">
        <v>0</v>
      </c>
      <c r="X17" s="458"/>
      <c r="Y17" s="460">
        <v>0</v>
      </c>
      <c r="Z17" s="458"/>
      <c r="AA17" s="460">
        <v>0</v>
      </c>
      <c r="AB17" s="458"/>
      <c r="AC17" s="460">
        <v>0</v>
      </c>
      <c r="AD17" s="458"/>
      <c r="AE17" s="460">
        <v>0</v>
      </c>
      <c r="AF17" s="461"/>
      <c r="AG17" s="461">
        <f t="shared" si="0"/>
        <v>0</v>
      </c>
      <c r="AI17" s="457"/>
    </row>
    <row r="18" spans="1:36" s="454" customFormat="1" ht="20.100000000000001" customHeight="1">
      <c r="A18" s="454" t="s">
        <v>581</v>
      </c>
      <c r="B18" s="576">
        <v>1</v>
      </c>
      <c r="D18" s="461">
        <v>0</v>
      </c>
      <c r="E18" s="458"/>
      <c r="F18" s="460">
        <v>0</v>
      </c>
      <c r="G18" s="458"/>
      <c r="H18" s="458">
        <f>'Sunrise Key'!L8</f>
        <v>80098.3</v>
      </c>
      <c r="I18" s="458"/>
      <c r="J18" s="460">
        <v>0</v>
      </c>
      <c r="K18" s="458"/>
      <c r="L18" s="460">
        <v>0</v>
      </c>
      <c r="M18" s="460"/>
      <c r="N18" s="613">
        <v>0</v>
      </c>
      <c r="O18" s="460">
        <v>0</v>
      </c>
      <c r="P18" s="460">
        <v>0</v>
      </c>
      <c r="Q18" s="454" t="s">
        <v>431</v>
      </c>
      <c r="R18" s="586">
        <f>B18</f>
        <v>1</v>
      </c>
      <c r="T18" s="460">
        <v>0</v>
      </c>
      <c r="U18" s="460">
        <v>0</v>
      </c>
      <c r="W18" s="460">
        <v>0</v>
      </c>
      <c r="X18" s="458"/>
      <c r="Y18" s="460">
        <v>0</v>
      </c>
      <c r="Z18" s="458"/>
      <c r="AA18" s="460">
        <v>0</v>
      </c>
      <c r="AB18" s="458"/>
      <c r="AC18" s="460">
        <v>0</v>
      </c>
      <c r="AD18" s="458"/>
      <c r="AE18" s="460">
        <v>0</v>
      </c>
      <c r="AF18" s="461"/>
      <c r="AG18" s="461">
        <f t="shared" si="0"/>
        <v>80098.3</v>
      </c>
      <c r="AI18" s="457"/>
    </row>
    <row r="19" spans="1:36" s="454" customFormat="1" ht="20.100000000000001" customHeight="1">
      <c r="A19" s="454" t="s">
        <v>580</v>
      </c>
      <c r="B19" s="684"/>
      <c r="D19" s="460">
        <f>'[1]GF Resources'!$G$14</f>
        <v>4882276</v>
      </c>
      <c r="E19" s="458"/>
      <c r="F19" s="460">
        <v>0</v>
      </c>
      <c r="G19" s="458"/>
      <c r="H19" s="460">
        <v>0</v>
      </c>
      <c r="I19" s="458"/>
      <c r="J19" s="460">
        <v>0</v>
      </c>
      <c r="K19" s="458"/>
      <c r="L19" s="460">
        <v>0</v>
      </c>
      <c r="M19" s="460"/>
      <c r="N19" s="613">
        <v>0</v>
      </c>
      <c r="O19" s="460">
        <v>0</v>
      </c>
      <c r="P19" s="460">
        <v>0</v>
      </c>
      <c r="Q19" s="454" t="s">
        <v>432</v>
      </c>
      <c r="R19" s="586"/>
      <c r="T19" s="460">
        <v>0</v>
      </c>
      <c r="U19" s="460">
        <v>0</v>
      </c>
      <c r="W19" s="460">
        <v>0</v>
      </c>
      <c r="X19" s="458"/>
      <c r="Y19" s="460">
        <v>0</v>
      </c>
      <c r="Z19" s="458"/>
      <c r="AA19" s="460">
        <v>0</v>
      </c>
      <c r="AB19" s="458"/>
      <c r="AC19" s="460">
        <v>0</v>
      </c>
      <c r="AD19" s="458"/>
      <c r="AE19" s="460">
        <v>0</v>
      </c>
      <c r="AF19" s="461"/>
      <c r="AG19" s="461">
        <f t="shared" si="0"/>
        <v>4882276</v>
      </c>
      <c r="AI19" s="457"/>
    </row>
    <row r="20" spans="1:36" s="454" customFormat="1" ht="20.100000000000001" customHeight="1">
      <c r="A20" s="454" t="s">
        <v>579</v>
      </c>
      <c r="D20" s="460">
        <f>'[1]GF Resources'!$G$15</f>
        <v>-1600000</v>
      </c>
      <c r="E20" s="458"/>
      <c r="F20" s="460">
        <v>0</v>
      </c>
      <c r="G20" s="458"/>
      <c r="H20" s="460">
        <v>0</v>
      </c>
      <c r="I20" s="458"/>
      <c r="J20" s="460">
        <v>0</v>
      </c>
      <c r="K20" s="458"/>
      <c r="L20" s="460">
        <v>0</v>
      </c>
      <c r="M20" s="460"/>
      <c r="N20" s="613">
        <v>0</v>
      </c>
      <c r="O20" s="460">
        <v>0</v>
      </c>
      <c r="P20" s="460">
        <v>0</v>
      </c>
      <c r="Q20" s="454" t="s">
        <v>433</v>
      </c>
      <c r="R20" s="585"/>
      <c r="T20" s="460">
        <v>0</v>
      </c>
      <c r="U20" s="460">
        <v>0</v>
      </c>
      <c r="W20" s="460">
        <v>0</v>
      </c>
      <c r="X20" s="458"/>
      <c r="Y20" s="458">
        <v>0</v>
      </c>
      <c r="Z20" s="458"/>
      <c r="AA20" s="458">
        <v>0</v>
      </c>
      <c r="AB20" s="458"/>
      <c r="AC20" s="458">
        <v>0</v>
      </c>
      <c r="AD20" s="458"/>
      <c r="AE20" s="458">
        <v>0</v>
      </c>
      <c r="AF20" s="461"/>
      <c r="AG20" s="461">
        <f t="shared" si="0"/>
        <v>-1600000</v>
      </c>
      <c r="AI20" s="457"/>
    </row>
    <row r="21" spans="1:36" s="454" customFormat="1" ht="20.100000000000001" customHeight="1">
      <c r="A21" s="454" t="s">
        <v>578</v>
      </c>
      <c r="D21" s="460">
        <f>'[1]GF Resources'!$G$16</f>
        <v>551832</v>
      </c>
      <c r="E21" s="458"/>
      <c r="F21" s="460">
        <v>0</v>
      </c>
      <c r="G21" s="458"/>
      <c r="H21" s="460">
        <v>0</v>
      </c>
      <c r="I21" s="458"/>
      <c r="J21" s="460">
        <v>0</v>
      </c>
      <c r="K21" s="458"/>
      <c r="L21" s="460">
        <v>0</v>
      </c>
      <c r="M21" s="460"/>
      <c r="N21" s="613">
        <v>0</v>
      </c>
      <c r="O21" s="460">
        <v>0</v>
      </c>
      <c r="P21" s="460">
        <v>0</v>
      </c>
      <c r="Q21" s="454" t="s">
        <v>434</v>
      </c>
      <c r="R21" s="585"/>
      <c r="T21" s="460">
        <v>0</v>
      </c>
      <c r="U21" s="460">
        <v>0</v>
      </c>
      <c r="W21" s="460">
        <v>0</v>
      </c>
      <c r="X21" s="458"/>
      <c r="Y21" s="458">
        <v>0</v>
      </c>
      <c r="Z21" s="458"/>
      <c r="AA21" s="458">
        <v>0</v>
      </c>
      <c r="AB21" s="458"/>
      <c r="AC21" s="458">
        <v>0</v>
      </c>
      <c r="AD21" s="458"/>
      <c r="AE21" s="458">
        <v>0</v>
      </c>
      <c r="AF21" s="461"/>
      <c r="AG21" s="461">
        <f t="shared" si="0"/>
        <v>551832</v>
      </c>
      <c r="AI21" s="457"/>
    </row>
    <row r="22" spans="1:36" s="454" customFormat="1" ht="20.100000000000001" customHeight="1">
      <c r="A22" s="454" t="s">
        <v>435</v>
      </c>
      <c r="D22" s="460">
        <f>'[1]GF Resources'!$G$22</f>
        <v>0</v>
      </c>
      <c r="E22" s="458"/>
      <c r="F22" s="460">
        <v>0</v>
      </c>
      <c r="G22" s="458"/>
      <c r="H22" s="460">
        <v>0</v>
      </c>
      <c r="I22" s="458"/>
      <c r="J22" s="460">
        <v>0</v>
      </c>
      <c r="K22" s="458"/>
      <c r="L22" s="460">
        <v>0</v>
      </c>
      <c r="M22" s="460"/>
      <c r="N22" s="613" t="e">
        <f>#REF!+#REF!+#REF!</f>
        <v>#REF!</v>
      </c>
      <c r="O22" s="460">
        <v>0</v>
      </c>
      <c r="P22" s="460">
        <v>0</v>
      </c>
      <c r="Q22" s="454" t="s">
        <v>435</v>
      </c>
      <c r="R22" s="585"/>
      <c r="T22" s="460">
        <v>0</v>
      </c>
      <c r="U22" s="460">
        <v>0</v>
      </c>
      <c r="W22" s="460">
        <v>0</v>
      </c>
      <c r="X22" s="458"/>
      <c r="Y22" s="458">
        <v>0</v>
      </c>
      <c r="Z22" s="458"/>
      <c r="AA22" s="458">
        <v>0</v>
      </c>
      <c r="AB22" s="458"/>
      <c r="AC22" s="458">
        <v>0</v>
      </c>
      <c r="AD22" s="458"/>
      <c r="AE22" s="458">
        <v>0</v>
      </c>
      <c r="AF22" s="461"/>
      <c r="AG22" s="461" t="e">
        <f t="shared" si="0"/>
        <v>#REF!</v>
      </c>
      <c r="AI22" s="457"/>
    </row>
    <row r="23" spans="1:36" s="454" customFormat="1" ht="20.100000000000001" customHeight="1">
      <c r="A23" s="454" t="s">
        <v>408</v>
      </c>
      <c r="D23" s="460">
        <f>'[1]GF Resources'!$G$28</f>
        <v>481915</v>
      </c>
      <c r="E23" s="458"/>
      <c r="F23" s="458">
        <f>'CRA-Beach'!L8+'CRA-NW Progresso'!L8</f>
        <v>8187921</v>
      </c>
      <c r="G23" s="458"/>
      <c r="H23" s="460">
        <v>0</v>
      </c>
      <c r="I23" s="458"/>
      <c r="J23" s="460">
        <v>0</v>
      </c>
      <c r="K23" s="458"/>
      <c r="L23" s="458">
        <f>'Housing and Community Dev'!L8</f>
        <v>9371773</v>
      </c>
      <c r="M23" s="460"/>
      <c r="N23" s="611">
        <v>0</v>
      </c>
      <c r="O23" s="460">
        <v>0</v>
      </c>
      <c r="P23" s="460">
        <v>0</v>
      </c>
      <c r="Q23" s="454" t="s">
        <v>408</v>
      </c>
      <c r="R23" s="585"/>
      <c r="T23" s="460">
        <v>0</v>
      </c>
      <c r="U23" s="460">
        <v>0</v>
      </c>
      <c r="W23" s="460">
        <v>0</v>
      </c>
      <c r="X23" s="458"/>
      <c r="Y23" s="458">
        <v>0</v>
      </c>
      <c r="Z23" s="458"/>
      <c r="AA23" s="458">
        <v>0</v>
      </c>
      <c r="AB23" s="458"/>
      <c r="AC23" s="458">
        <v>0</v>
      </c>
      <c r="AD23" s="458"/>
      <c r="AE23" s="458">
        <v>0</v>
      </c>
      <c r="AF23" s="461"/>
      <c r="AG23" s="461">
        <f t="shared" si="0"/>
        <v>18041609</v>
      </c>
      <c r="AI23" s="457"/>
    </row>
    <row r="24" spans="1:36" s="454" customFormat="1" ht="20.100000000000001" customHeight="1">
      <c r="A24" s="454" t="s">
        <v>114</v>
      </c>
      <c r="D24" s="460">
        <f>'[1]GF Resources'!$G$40</f>
        <v>0</v>
      </c>
      <c r="E24" s="458"/>
      <c r="F24" s="460">
        <v>0</v>
      </c>
      <c r="G24" s="458"/>
      <c r="H24" s="460">
        <v>0</v>
      </c>
      <c r="I24" s="458"/>
      <c r="J24" s="460">
        <v>0</v>
      </c>
      <c r="K24" s="458"/>
      <c r="L24" s="460">
        <v>0</v>
      </c>
      <c r="M24" s="460"/>
      <c r="N24" s="613" t="e">
        <f>#REF!</f>
        <v>#REF!</v>
      </c>
      <c r="O24" s="460">
        <v>0</v>
      </c>
      <c r="P24" s="460">
        <v>0</v>
      </c>
      <c r="Q24" s="454" t="s">
        <v>114</v>
      </c>
      <c r="R24" s="585"/>
      <c r="T24" s="460">
        <v>0</v>
      </c>
      <c r="U24" s="458">
        <f>'Arts Science District Garage'!L8</f>
        <v>1155994.8400000001</v>
      </c>
      <c r="W24" s="458">
        <f>Sanitation!L9</f>
        <v>15162899</v>
      </c>
      <c r="X24" s="458"/>
      <c r="Y24" s="458">
        <f>'Water and Sewer'!L8+'Central Region'!L8</f>
        <v>122220191</v>
      </c>
      <c r="Z24" s="458"/>
      <c r="AA24" s="458">
        <f>Stormwater!L8</f>
        <v>0</v>
      </c>
      <c r="AB24" s="458"/>
      <c r="AC24" s="458">
        <f>'Parking System'!L8</f>
        <v>11903785</v>
      </c>
      <c r="AD24" s="458"/>
      <c r="AE24" s="458">
        <f>Airport!L9</f>
        <v>3796401.65</v>
      </c>
      <c r="AF24" s="461"/>
      <c r="AG24" s="461" t="e">
        <f t="shared" si="0"/>
        <v>#REF!</v>
      </c>
      <c r="AI24" s="457"/>
    </row>
    <row r="25" spans="1:36" s="454" customFormat="1" ht="20.100000000000001" customHeight="1">
      <c r="A25" s="454" t="s">
        <v>436</v>
      </c>
      <c r="D25" s="460">
        <f>'[1]GF Resources'!$G$45</f>
        <v>0</v>
      </c>
      <c r="E25" s="458"/>
      <c r="F25" s="460">
        <v>0</v>
      </c>
      <c r="G25" s="458"/>
      <c r="H25" s="460">
        <v>0</v>
      </c>
      <c r="I25" s="458"/>
      <c r="J25" s="460">
        <v>0</v>
      </c>
      <c r="K25" s="458"/>
      <c r="L25" s="460">
        <v>0</v>
      </c>
      <c r="M25" s="460"/>
      <c r="N25" s="613">
        <v>0</v>
      </c>
      <c r="O25" s="460">
        <v>0</v>
      </c>
      <c r="P25" s="460">
        <v>0</v>
      </c>
      <c r="Q25" s="454" t="s">
        <v>436</v>
      </c>
      <c r="R25" s="585"/>
      <c r="T25" s="460">
        <v>0</v>
      </c>
      <c r="U25" s="460">
        <v>0</v>
      </c>
      <c r="W25" s="460">
        <v>0</v>
      </c>
      <c r="X25" s="458"/>
      <c r="Y25" s="458">
        <v>0</v>
      </c>
      <c r="Z25" s="458"/>
      <c r="AA25" s="458">
        <v>0</v>
      </c>
      <c r="AB25" s="458"/>
      <c r="AC25" s="458">
        <f>'Parking System'!L9</f>
        <v>3038435</v>
      </c>
      <c r="AD25" s="458"/>
      <c r="AE25" s="458">
        <v>0</v>
      </c>
      <c r="AF25" s="461"/>
      <c r="AG25" s="461">
        <f t="shared" si="0"/>
        <v>3038435</v>
      </c>
      <c r="AI25" s="457"/>
    </row>
    <row r="26" spans="1:36" s="454" customFormat="1" ht="20.100000000000001" customHeight="1">
      <c r="A26" s="454" t="s">
        <v>437</v>
      </c>
      <c r="D26" s="460">
        <f>'[1]GF Resources'!$G$54</f>
        <v>0</v>
      </c>
      <c r="E26" s="458"/>
      <c r="F26" s="458">
        <f>'CRA-Beach'!L9+'CRA-NW Progresso'!L10</f>
        <v>191468</v>
      </c>
      <c r="G26" s="458"/>
      <c r="H26" s="458">
        <f>'Sunrise Key'!L9</f>
        <v>210</v>
      </c>
      <c r="I26" s="458"/>
      <c r="J26" s="458">
        <f>'Beach Bus Improv District'!L8</f>
        <v>704082</v>
      </c>
      <c r="K26" s="458"/>
      <c r="L26" s="460">
        <v>0</v>
      </c>
      <c r="M26" s="460"/>
      <c r="N26" s="613" t="e">
        <f>#REF!+#REF!+#REF!</f>
        <v>#REF!</v>
      </c>
      <c r="O26" s="460">
        <v>0</v>
      </c>
      <c r="P26" s="458"/>
      <c r="Q26" s="454" t="s">
        <v>437</v>
      </c>
      <c r="R26" s="585"/>
      <c r="T26" s="458">
        <f>Cemtery!L8</f>
        <v>2200000</v>
      </c>
      <c r="U26" s="458">
        <v>0</v>
      </c>
      <c r="W26" s="460" t="e">
        <f>Sanitation!#REF!</f>
        <v>#REF!</v>
      </c>
      <c r="X26" s="458"/>
      <c r="Y26" s="458">
        <f>'Water and Sewer'!L9+'Central Region'!L9</f>
        <v>6500315</v>
      </c>
      <c r="Z26" s="458"/>
      <c r="AA26" s="458">
        <f>Stormwater!L10</f>
        <v>170400</v>
      </c>
      <c r="AB26" s="458"/>
      <c r="AC26" s="458">
        <f>'Parking System'!L10</f>
        <v>382891.66</v>
      </c>
      <c r="AD26" s="458"/>
      <c r="AE26" s="458">
        <f>Airport!L10</f>
        <v>3899193.27</v>
      </c>
      <c r="AF26" s="461"/>
      <c r="AG26" s="461" t="e">
        <f t="shared" si="0"/>
        <v>#REF!</v>
      </c>
      <c r="AI26" s="457"/>
    </row>
    <row r="27" spans="1:36" s="454" customFormat="1" ht="20.100000000000001" customHeight="1">
      <c r="A27" s="454" t="s">
        <v>319</v>
      </c>
      <c r="D27" s="460">
        <f>'[1]GF Resources'!$G$63</f>
        <v>0</v>
      </c>
      <c r="E27" s="458"/>
      <c r="F27" s="458">
        <f>'CRA-Beach'!L11+'CRA-NW Progresso'!L12</f>
        <v>4818784</v>
      </c>
      <c r="G27" s="458"/>
      <c r="H27" s="458">
        <f>'Sunrise Key'!L10</f>
        <v>0</v>
      </c>
      <c r="I27" s="458"/>
      <c r="J27" s="458">
        <f>'Beach Bus Improv District'!L9</f>
        <v>0</v>
      </c>
      <c r="K27" s="458"/>
      <c r="L27" s="460">
        <f>'Housing and Community Dev'!L11</f>
        <v>0</v>
      </c>
      <c r="M27" s="460"/>
      <c r="N27" s="613" t="e">
        <f>#REF!+#REF!+#REF!</f>
        <v>#REF!</v>
      </c>
      <c r="O27" s="458">
        <v>0</v>
      </c>
      <c r="P27" s="458"/>
      <c r="Q27" s="454" t="s">
        <v>319</v>
      </c>
      <c r="R27" s="585"/>
      <c r="T27" s="458">
        <f>Cemtery!L9</f>
        <v>0</v>
      </c>
      <c r="U27" s="458">
        <f>Cemtery!L9</f>
        <v>0</v>
      </c>
      <c r="W27" s="470">
        <f>Sanitation!L12</f>
        <v>5592836</v>
      </c>
      <c r="X27" s="458"/>
      <c r="Y27" s="458">
        <f>'Water and Sewer'!L11+'Central Region'!L11</f>
        <v>9264904.849999994</v>
      </c>
      <c r="Z27" s="458"/>
      <c r="AA27" s="458">
        <f>Stormwater!L12</f>
        <v>0</v>
      </c>
      <c r="AB27" s="458"/>
      <c r="AC27" s="458">
        <f>'Parking System'!L12</f>
        <v>6425006.0599999987</v>
      </c>
      <c r="AD27" s="458"/>
      <c r="AE27" s="458">
        <f>Airport!L12</f>
        <v>856384</v>
      </c>
      <c r="AF27" s="461"/>
      <c r="AG27" s="461" t="e">
        <f t="shared" si="0"/>
        <v>#REF!</v>
      </c>
      <c r="AI27" s="457"/>
    </row>
    <row r="28" spans="1:36" s="454" customFormat="1" ht="20.100000000000001" customHeight="1">
      <c r="A28" s="685" t="s">
        <v>438</v>
      </c>
      <c r="C28" s="454" t="s">
        <v>424</v>
      </c>
      <c r="D28" s="463">
        <f>SUM(D13:D27)</f>
        <v>5423968</v>
      </c>
      <c r="E28" s="463">
        <f t="shared" ref="E28:P28" si="1">SUM(E13:E27)</f>
        <v>0</v>
      </c>
      <c r="F28" s="463">
        <f t="shared" si="1"/>
        <v>13198173</v>
      </c>
      <c r="G28" s="463">
        <f t="shared" si="1"/>
        <v>0</v>
      </c>
      <c r="H28" s="463">
        <f t="shared" si="1"/>
        <v>80308.3</v>
      </c>
      <c r="I28" s="463">
        <f t="shared" si="1"/>
        <v>0</v>
      </c>
      <c r="J28" s="463">
        <f t="shared" si="1"/>
        <v>704082</v>
      </c>
      <c r="K28" s="463">
        <f t="shared" si="1"/>
        <v>0</v>
      </c>
      <c r="L28" s="463">
        <f t="shared" si="1"/>
        <v>9371773</v>
      </c>
      <c r="M28" s="463">
        <f t="shared" si="1"/>
        <v>0</v>
      </c>
      <c r="N28" s="612" t="e">
        <f t="shared" si="1"/>
        <v>#REF!</v>
      </c>
      <c r="O28" s="463" t="e">
        <f t="shared" si="1"/>
        <v>#REF!</v>
      </c>
      <c r="P28" s="463">
        <f t="shared" si="1"/>
        <v>0</v>
      </c>
      <c r="Q28" s="454" t="s">
        <v>438</v>
      </c>
      <c r="R28" s="585"/>
      <c r="S28" s="454" t="s">
        <v>424</v>
      </c>
      <c r="T28" s="463">
        <f>SUM(T13:T27)</f>
        <v>2200000</v>
      </c>
      <c r="U28" s="471">
        <f>SUM(U13:U27)</f>
        <v>1155994.8400000001</v>
      </c>
      <c r="V28" s="471">
        <f t="shared" ref="V28:AG28" si="2">SUM(V13:V27)</f>
        <v>0</v>
      </c>
      <c r="W28" s="471" t="e">
        <f t="shared" si="2"/>
        <v>#REF!</v>
      </c>
      <c r="X28" s="471">
        <f t="shared" si="2"/>
        <v>0</v>
      </c>
      <c r="Y28" s="471">
        <f t="shared" si="2"/>
        <v>137985410.84999999</v>
      </c>
      <c r="Z28" s="471">
        <f t="shared" si="2"/>
        <v>0</v>
      </c>
      <c r="AA28" s="471">
        <f t="shared" si="2"/>
        <v>170400</v>
      </c>
      <c r="AB28" s="471">
        <f t="shared" si="2"/>
        <v>0</v>
      </c>
      <c r="AC28" s="471">
        <f t="shared" si="2"/>
        <v>21750117.719999999</v>
      </c>
      <c r="AD28" s="471">
        <f t="shared" si="2"/>
        <v>0</v>
      </c>
      <c r="AE28" s="471">
        <f t="shared" si="2"/>
        <v>8551978.9199999999</v>
      </c>
      <c r="AF28" s="471">
        <f t="shared" si="2"/>
        <v>0</v>
      </c>
      <c r="AG28" s="471" t="e">
        <f t="shared" si="2"/>
        <v>#REF!</v>
      </c>
      <c r="AH28" s="465"/>
      <c r="AI28" s="457"/>
    </row>
    <row r="29" spans="1:36" s="454" customFormat="1" ht="15.95" customHeight="1">
      <c r="D29" s="458"/>
      <c r="E29" s="458"/>
      <c r="F29" s="458"/>
      <c r="G29" s="458"/>
      <c r="H29" s="458"/>
      <c r="I29" s="458"/>
      <c r="J29" s="458"/>
      <c r="K29" s="458"/>
      <c r="L29" s="458"/>
      <c r="M29" s="460"/>
      <c r="N29" s="611"/>
      <c r="O29" s="458"/>
      <c r="P29" s="458"/>
      <c r="R29" s="585"/>
      <c r="T29" s="458"/>
      <c r="U29" s="468"/>
      <c r="W29" s="468"/>
      <c r="X29" s="468"/>
      <c r="Y29" s="468"/>
      <c r="Z29" s="468"/>
      <c r="AA29" s="468"/>
      <c r="AB29" s="468"/>
      <c r="AC29" s="468"/>
      <c r="AD29" s="468"/>
      <c r="AE29" s="468"/>
      <c r="AG29" s="461"/>
      <c r="AI29" s="457"/>
    </row>
    <row r="30" spans="1:36" s="454" customFormat="1" ht="20.100000000000001" customHeight="1">
      <c r="A30" s="454" t="s">
        <v>439</v>
      </c>
      <c r="C30" s="454" t="s">
        <v>424</v>
      </c>
      <c r="D30" s="470">
        <f>'[1]GF Resources'!$G$59</f>
        <v>0</v>
      </c>
      <c r="E30" s="458"/>
      <c r="F30" s="470">
        <f>'CRA-Beach'!L10+'CRA-NW Progresso'!L11</f>
        <v>4496529</v>
      </c>
      <c r="G30" s="458"/>
      <c r="H30" s="470">
        <v>0</v>
      </c>
      <c r="I30" s="460"/>
      <c r="J30" s="470">
        <v>0</v>
      </c>
      <c r="K30" s="458"/>
      <c r="L30" s="470">
        <v>0</v>
      </c>
      <c r="M30" s="460"/>
      <c r="N30" s="614">
        <v>0</v>
      </c>
      <c r="O30" s="470" t="e">
        <f>#REF!+#REF!</f>
        <v>#REF!</v>
      </c>
      <c r="P30" s="460"/>
      <c r="Q30" s="454" t="s">
        <v>439</v>
      </c>
      <c r="R30" s="585"/>
      <c r="S30" s="454" t="s">
        <v>424</v>
      </c>
      <c r="T30" s="470">
        <v>0</v>
      </c>
      <c r="U30" s="470">
        <v>0</v>
      </c>
      <c r="W30" s="470">
        <v>0</v>
      </c>
      <c r="X30" s="458"/>
      <c r="Y30" s="470">
        <f>'Water and Sewer'!L10</f>
        <v>0</v>
      </c>
      <c r="Z30" s="458"/>
      <c r="AA30" s="470">
        <v>0</v>
      </c>
      <c r="AB30" s="458"/>
      <c r="AC30" s="470">
        <v>0</v>
      </c>
      <c r="AD30" s="458"/>
      <c r="AE30" s="473">
        <v>0</v>
      </c>
      <c r="AF30" s="474"/>
      <c r="AG30" s="475" t="e">
        <f>SUM(D30:O30,T30:AE30)</f>
        <v>#REF!</v>
      </c>
      <c r="AI30" s="457"/>
    </row>
    <row r="31" spans="1:36" s="454" customFormat="1" ht="10.5" customHeight="1">
      <c r="D31" s="458"/>
      <c r="E31" s="458"/>
      <c r="F31" s="458"/>
      <c r="G31" s="458"/>
      <c r="H31" s="458"/>
      <c r="I31" s="458"/>
      <c r="J31" s="458"/>
      <c r="K31" s="458"/>
      <c r="L31" s="458"/>
      <c r="M31" s="460"/>
      <c r="N31" s="611"/>
      <c r="O31" s="458"/>
      <c r="P31" s="458"/>
      <c r="R31" s="585"/>
      <c r="T31" s="458"/>
      <c r="U31" s="458"/>
      <c r="W31" s="458"/>
      <c r="X31" s="458"/>
      <c r="Y31" s="458"/>
      <c r="Z31" s="458"/>
      <c r="AA31" s="458"/>
      <c r="AB31" s="458"/>
      <c r="AC31" s="458"/>
      <c r="AD31" s="458"/>
      <c r="AE31" s="458"/>
      <c r="AF31" s="461"/>
      <c r="AG31" s="461"/>
      <c r="AI31" s="457"/>
    </row>
    <row r="32" spans="1:36" s="454" customFormat="1" ht="21.95" customHeight="1" thickBot="1">
      <c r="A32" s="713" t="s">
        <v>21</v>
      </c>
      <c r="B32" s="714"/>
      <c r="C32" s="454" t="s">
        <v>424</v>
      </c>
      <c r="D32" s="477">
        <f>D10+D28+D30</f>
        <v>5423968</v>
      </c>
      <c r="E32" s="715"/>
      <c r="F32" s="477">
        <f>F10+F28+F30</f>
        <v>17669988</v>
      </c>
      <c r="G32" s="458"/>
      <c r="H32" s="477">
        <f>H10+H28+H30</f>
        <v>180248.46999999997</v>
      </c>
      <c r="I32" s="460"/>
      <c r="J32" s="477">
        <f>J10+J28+J30</f>
        <v>1103981</v>
      </c>
      <c r="K32" s="458"/>
      <c r="L32" s="477">
        <f>L10+L28+L30</f>
        <v>9409896</v>
      </c>
      <c r="M32" s="460"/>
      <c r="N32" s="615" t="e">
        <f>N10+N28+N30</f>
        <v>#REF!</v>
      </c>
      <c r="O32" s="477" t="e">
        <f>O10+O28+O30</f>
        <v>#REF!</v>
      </c>
      <c r="P32" s="460"/>
      <c r="Q32" s="713" t="s">
        <v>21</v>
      </c>
      <c r="R32" s="716"/>
      <c r="S32" s="454" t="s">
        <v>424</v>
      </c>
      <c r="T32" s="477">
        <f>T10+T28+T30</f>
        <v>26129746.120000001</v>
      </c>
      <c r="U32" s="477">
        <f>U10+U28+U30</f>
        <v>1155994.8400000001</v>
      </c>
      <c r="W32" s="477" t="e">
        <f>W10+W28+W30</f>
        <v>#REF!</v>
      </c>
      <c r="X32" s="458"/>
      <c r="Y32" s="477">
        <f>Y10+Y28+Y30</f>
        <v>185359849</v>
      </c>
      <c r="Z32" s="458"/>
      <c r="AA32" s="477">
        <f>AA10+AA28+AA30</f>
        <v>12383619</v>
      </c>
      <c r="AB32" s="458"/>
      <c r="AC32" s="477">
        <f>AC10+AC28+AC30</f>
        <v>29062115.66</v>
      </c>
      <c r="AD32" s="458"/>
      <c r="AE32" s="477">
        <f>AE10+AE28+AE30</f>
        <v>21576376.920000002</v>
      </c>
      <c r="AF32" s="461"/>
      <c r="AG32" s="477" t="e">
        <f>AG10+AG28+AG30</f>
        <v>#REF!</v>
      </c>
      <c r="AH32" s="465"/>
      <c r="AI32" s="457"/>
      <c r="AJ32" s="465"/>
    </row>
    <row r="33" spans="1:61" s="454" customFormat="1" ht="10.5" customHeight="1" thickTop="1">
      <c r="D33" s="458"/>
      <c r="E33" s="458"/>
      <c r="F33" s="458"/>
      <c r="G33" s="458"/>
      <c r="H33" s="458"/>
      <c r="I33" s="458"/>
      <c r="J33" s="458"/>
      <c r="K33" s="458"/>
      <c r="L33" s="458"/>
      <c r="M33" s="460"/>
      <c r="N33" s="458"/>
      <c r="O33" s="458"/>
      <c r="P33" s="458"/>
      <c r="R33" s="585"/>
      <c r="T33" s="458"/>
      <c r="U33" s="458"/>
      <c r="V33" s="478"/>
      <c r="W33" s="458"/>
      <c r="X33" s="458"/>
      <c r="Y33" s="458"/>
      <c r="Z33" s="458"/>
      <c r="AA33" s="458"/>
      <c r="AB33" s="458"/>
      <c r="AC33" s="458"/>
      <c r="AD33" s="458"/>
      <c r="AE33" s="458"/>
      <c r="AF33" s="461"/>
      <c r="AG33" s="461"/>
      <c r="AI33" s="457"/>
      <c r="AJ33" s="479"/>
    </row>
    <row r="34" spans="1:61" s="454" customFormat="1" ht="14.1" customHeight="1">
      <c r="A34" s="685"/>
      <c r="D34" s="460"/>
      <c r="E34" s="458"/>
      <c r="F34" s="458"/>
      <c r="G34" s="458"/>
      <c r="H34" s="458"/>
      <c r="I34" s="458"/>
      <c r="J34" s="458"/>
      <c r="K34" s="458"/>
      <c r="L34" s="458"/>
      <c r="M34" s="460"/>
      <c r="N34" s="458"/>
      <c r="O34" s="458"/>
      <c r="P34" s="458"/>
      <c r="Q34" s="685"/>
      <c r="R34" s="585"/>
      <c r="T34" s="458"/>
      <c r="U34" s="458"/>
      <c r="W34" s="458"/>
      <c r="X34" s="458"/>
      <c r="Y34" s="458"/>
      <c r="Z34" s="458"/>
      <c r="AA34" s="458"/>
      <c r="AB34" s="458"/>
      <c r="AC34" s="458"/>
      <c r="AD34" s="458"/>
      <c r="AE34" s="458"/>
      <c r="AF34" s="461"/>
      <c r="AG34" s="461"/>
      <c r="AI34" s="457"/>
    </row>
    <row r="35" spans="1:61" s="454" customFormat="1" ht="6.95" hidden="1" customHeight="1">
      <c r="D35" s="458"/>
      <c r="E35" s="458"/>
      <c r="F35" s="458"/>
      <c r="G35" s="458"/>
      <c r="H35" s="458"/>
      <c r="I35" s="458"/>
      <c r="J35" s="458"/>
      <c r="K35" s="458"/>
      <c r="L35" s="458"/>
      <c r="M35" s="460"/>
      <c r="N35" s="458"/>
      <c r="O35" s="458"/>
      <c r="P35" s="458"/>
      <c r="R35" s="585"/>
      <c r="T35" s="458"/>
      <c r="U35" s="458"/>
      <c r="W35" s="458"/>
      <c r="X35" s="458"/>
      <c r="Y35" s="458"/>
      <c r="Z35" s="458"/>
      <c r="AA35" s="458"/>
      <c r="AB35" s="458"/>
      <c r="AC35" s="458"/>
      <c r="AD35" s="458"/>
      <c r="AE35" s="458"/>
      <c r="AF35" s="461"/>
      <c r="AG35" s="461"/>
      <c r="AI35" s="457"/>
    </row>
    <row r="36" spans="1:61" s="454" customFormat="1" ht="17.25" hidden="1" customHeight="1">
      <c r="A36" s="454" t="s">
        <v>577</v>
      </c>
      <c r="D36" s="458"/>
      <c r="E36" s="458"/>
      <c r="F36" s="458"/>
      <c r="G36" s="458"/>
      <c r="H36" s="458"/>
      <c r="I36" s="458"/>
      <c r="J36" s="458"/>
      <c r="K36" s="458"/>
      <c r="L36" s="458"/>
      <c r="M36" s="460"/>
      <c r="N36" s="458"/>
      <c r="O36" s="458"/>
      <c r="P36" s="458"/>
      <c r="Q36" s="454" t="s">
        <v>577</v>
      </c>
      <c r="R36" s="585"/>
      <c r="T36" s="458"/>
      <c r="U36" s="458"/>
      <c r="W36" s="458"/>
      <c r="X36" s="458"/>
      <c r="Y36" s="458"/>
      <c r="Z36" s="458"/>
      <c r="AA36" s="458"/>
      <c r="AB36" s="458"/>
      <c r="AC36" s="458"/>
      <c r="AD36" s="458"/>
      <c r="AE36" s="458"/>
      <c r="AF36" s="461"/>
      <c r="AG36" s="461"/>
      <c r="AI36" s="457"/>
    </row>
    <row r="37" spans="1:61" s="454" customFormat="1" ht="20.100000000000001" hidden="1" customHeight="1">
      <c r="A37" s="454" t="s">
        <v>440</v>
      </c>
      <c r="C37" s="454" t="s">
        <v>424</v>
      </c>
      <c r="D37" s="458"/>
      <c r="E37" s="458"/>
      <c r="F37" s="460"/>
      <c r="G37" s="458"/>
      <c r="H37" s="460"/>
      <c r="I37" s="458"/>
      <c r="J37" s="460"/>
      <c r="K37" s="458"/>
      <c r="L37" s="460"/>
      <c r="M37" s="460"/>
      <c r="N37" s="460"/>
      <c r="O37" s="460"/>
      <c r="P37" s="460"/>
      <c r="Q37" s="454" t="s">
        <v>440</v>
      </c>
      <c r="R37" s="585"/>
      <c r="S37" s="454" t="s">
        <v>424</v>
      </c>
      <c r="T37" s="460"/>
      <c r="U37" s="458">
        <v>0</v>
      </c>
      <c r="W37" s="458">
        <v>0</v>
      </c>
      <c r="X37" s="458"/>
      <c r="Y37" s="458">
        <v>0</v>
      </c>
      <c r="Z37" s="458"/>
      <c r="AA37" s="458">
        <v>0</v>
      </c>
      <c r="AB37" s="458"/>
      <c r="AC37" s="458">
        <v>0</v>
      </c>
      <c r="AD37" s="458"/>
      <c r="AE37" s="458">
        <v>0</v>
      </c>
      <c r="AF37" s="461"/>
      <c r="AG37" s="467">
        <f>SUM(D37:T37,U37:AE37)</f>
        <v>0</v>
      </c>
      <c r="AI37" s="457"/>
    </row>
    <row r="38" spans="1:61" s="454" customFormat="1" ht="20.100000000000001" hidden="1" customHeight="1">
      <c r="A38" s="454" t="s">
        <v>441</v>
      </c>
      <c r="D38" s="458"/>
      <c r="E38" s="458"/>
      <c r="F38" s="460"/>
      <c r="G38" s="458"/>
      <c r="H38" s="460"/>
      <c r="I38" s="458"/>
      <c r="J38" s="460"/>
      <c r="K38" s="458"/>
      <c r="L38" s="460"/>
      <c r="M38" s="460"/>
      <c r="N38" s="460"/>
      <c r="O38" s="460"/>
      <c r="P38" s="460"/>
      <c r="Q38" s="454" t="s">
        <v>441</v>
      </c>
      <c r="R38" s="585"/>
      <c r="T38" s="458"/>
      <c r="U38" s="458">
        <v>0</v>
      </c>
      <c r="W38" s="458">
        <v>0</v>
      </c>
      <c r="X38" s="458"/>
      <c r="Y38" s="458">
        <v>0</v>
      </c>
      <c r="Z38" s="458"/>
      <c r="AA38" s="458">
        <v>0</v>
      </c>
      <c r="AB38" s="458"/>
      <c r="AC38" s="458">
        <v>0</v>
      </c>
      <c r="AD38" s="458"/>
      <c r="AE38" s="458"/>
      <c r="AF38" s="461"/>
      <c r="AG38" s="467">
        <f>SUM(D38:T38,U38:AE38)</f>
        <v>0</v>
      </c>
      <c r="AI38" s="457"/>
    </row>
    <row r="39" spans="1:61" s="454" customFormat="1" ht="20.100000000000001" customHeight="1">
      <c r="A39" s="454" t="s">
        <v>442</v>
      </c>
      <c r="D39" s="458">
        <v>3553726.88</v>
      </c>
      <c r="E39" s="458">
        <v>0</v>
      </c>
      <c r="F39" s="458">
        <v>0</v>
      </c>
      <c r="G39" s="458">
        <v>0</v>
      </c>
      <c r="H39" s="458">
        <v>0</v>
      </c>
      <c r="I39" s="458">
        <v>0</v>
      </c>
      <c r="J39" s="458">
        <v>0</v>
      </c>
      <c r="K39" s="458">
        <v>0</v>
      </c>
      <c r="L39" s="458">
        <v>0</v>
      </c>
      <c r="M39" s="458">
        <v>0</v>
      </c>
      <c r="N39" s="458">
        <v>0</v>
      </c>
      <c r="O39" s="458">
        <v>0</v>
      </c>
      <c r="P39" s="458">
        <v>0</v>
      </c>
      <c r="Q39" s="454" t="s">
        <v>442</v>
      </c>
      <c r="R39" s="585"/>
      <c r="T39" s="458">
        <v>0</v>
      </c>
      <c r="U39" s="458">
        <v>0</v>
      </c>
      <c r="W39" s="458">
        <v>0</v>
      </c>
      <c r="X39" s="458"/>
      <c r="Y39" s="458">
        <v>0</v>
      </c>
      <c r="Z39" s="458"/>
      <c r="AA39" s="458">
        <v>0</v>
      </c>
      <c r="AB39" s="458"/>
      <c r="AC39" s="458">
        <v>0</v>
      </c>
      <c r="AD39" s="458"/>
      <c r="AE39" s="458">
        <v>0</v>
      </c>
      <c r="AF39" s="461"/>
      <c r="AG39" s="461">
        <f t="shared" ref="AG39:AG66" si="3">SUM(D39:O39,T39:AE39)</f>
        <v>3553726.88</v>
      </c>
      <c r="AI39" s="457"/>
    </row>
    <row r="40" spans="1:61" s="417" customFormat="1" ht="20.100000000000001" customHeight="1">
      <c r="A40" s="417" t="s">
        <v>443</v>
      </c>
      <c r="D40" s="458">
        <v>873900.74</v>
      </c>
      <c r="E40" s="458">
        <v>0</v>
      </c>
      <c r="F40" s="458">
        <v>0</v>
      </c>
      <c r="G40" s="458">
        <v>0</v>
      </c>
      <c r="H40" s="458">
        <v>0</v>
      </c>
      <c r="I40" s="458">
        <v>0</v>
      </c>
      <c r="J40" s="458">
        <v>0</v>
      </c>
      <c r="K40" s="458">
        <v>0</v>
      </c>
      <c r="L40" s="458">
        <v>0</v>
      </c>
      <c r="M40" s="458">
        <v>0</v>
      </c>
      <c r="N40" s="458">
        <v>0</v>
      </c>
      <c r="O40" s="458">
        <v>0</v>
      </c>
      <c r="P40" s="458">
        <v>0</v>
      </c>
      <c r="Q40" s="417" t="s">
        <v>443</v>
      </c>
      <c r="R40" s="393"/>
      <c r="T40" s="458">
        <v>0</v>
      </c>
      <c r="U40" s="458">
        <v>0</v>
      </c>
      <c r="V40" s="454"/>
      <c r="W40" s="458">
        <v>0</v>
      </c>
      <c r="X40" s="458"/>
      <c r="Y40" s="458">
        <v>0</v>
      </c>
      <c r="Z40" s="458"/>
      <c r="AA40" s="458">
        <v>0</v>
      </c>
      <c r="AB40" s="458"/>
      <c r="AC40" s="458">
        <v>0</v>
      </c>
      <c r="AD40" s="458"/>
      <c r="AE40" s="458">
        <v>0</v>
      </c>
      <c r="AF40" s="461"/>
      <c r="AG40" s="461">
        <f t="shared" si="3"/>
        <v>873900.74</v>
      </c>
      <c r="AH40" s="454"/>
      <c r="AI40" s="457"/>
      <c r="AJ40" s="454"/>
      <c r="AK40" s="454"/>
      <c r="AL40" s="454"/>
      <c r="AM40" s="454"/>
      <c r="AN40" s="454"/>
      <c r="AO40" s="454"/>
      <c r="AP40" s="454"/>
      <c r="AQ40" s="454"/>
      <c r="AR40" s="454"/>
      <c r="AS40" s="454"/>
      <c r="AT40" s="454"/>
      <c r="AU40" s="454"/>
      <c r="AV40" s="454"/>
      <c r="AW40" s="454"/>
      <c r="AX40" s="454"/>
      <c r="AY40" s="454"/>
      <c r="AZ40" s="454"/>
      <c r="BA40" s="454"/>
      <c r="BB40" s="454"/>
      <c r="BC40" s="454"/>
      <c r="BD40" s="454"/>
      <c r="BE40" s="454"/>
      <c r="BF40" s="454"/>
      <c r="BG40" s="454"/>
      <c r="BH40" s="454"/>
      <c r="BI40" s="454"/>
    </row>
    <row r="41" spans="1:61" s="417" customFormat="1" ht="20.100000000000001" customHeight="1">
      <c r="A41" s="417" t="s">
        <v>444</v>
      </c>
      <c r="D41" s="458">
        <v>1168675</v>
      </c>
      <c r="E41" s="458">
        <v>0</v>
      </c>
      <c r="F41" s="458">
        <v>0</v>
      </c>
      <c r="G41" s="458">
        <v>0</v>
      </c>
      <c r="H41" s="458">
        <v>0</v>
      </c>
      <c r="I41" s="458">
        <v>0</v>
      </c>
      <c r="J41" s="458">
        <v>0</v>
      </c>
      <c r="K41" s="458">
        <v>0</v>
      </c>
      <c r="L41" s="458">
        <v>0</v>
      </c>
      <c r="M41" s="458">
        <v>0</v>
      </c>
      <c r="N41" s="458">
        <v>0</v>
      </c>
      <c r="O41" s="458">
        <v>0</v>
      </c>
      <c r="P41" s="458">
        <v>0</v>
      </c>
      <c r="Q41" s="417" t="s">
        <v>444</v>
      </c>
      <c r="R41" s="393"/>
      <c r="T41" s="458">
        <v>0</v>
      </c>
      <c r="U41" s="458">
        <v>0</v>
      </c>
      <c r="V41" s="454"/>
      <c r="W41" s="458">
        <v>0</v>
      </c>
      <c r="X41" s="458"/>
      <c r="Y41" s="458">
        <v>0</v>
      </c>
      <c r="Z41" s="458"/>
      <c r="AA41" s="458">
        <v>0</v>
      </c>
      <c r="AB41" s="458"/>
      <c r="AC41" s="458">
        <v>0</v>
      </c>
      <c r="AD41" s="458"/>
      <c r="AE41" s="458">
        <v>0</v>
      </c>
      <c r="AF41" s="461"/>
      <c r="AG41" s="461">
        <f t="shared" si="3"/>
        <v>1168675</v>
      </c>
      <c r="AH41" s="454"/>
      <c r="AI41" s="457"/>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row>
    <row r="42" spans="1:61" s="417" customFormat="1" ht="20.100000000000001" customHeight="1">
      <c r="A42" s="417" t="s">
        <v>445</v>
      </c>
      <c r="D42" s="458">
        <f>1120446.98</f>
        <v>1120446.98</v>
      </c>
      <c r="E42" s="458">
        <v>0</v>
      </c>
      <c r="F42" s="458">
        <v>0</v>
      </c>
      <c r="G42" s="458">
        <v>0</v>
      </c>
      <c r="H42" s="458">
        <v>0</v>
      </c>
      <c r="I42" s="458">
        <v>0</v>
      </c>
      <c r="J42" s="458">
        <v>0</v>
      </c>
      <c r="K42" s="458">
        <v>0</v>
      </c>
      <c r="L42" s="458">
        <v>0</v>
      </c>
      <c r="M42" s="458">
        <v>0</v>
      </c>
      <c r="N42" s="458">
        <v>0</v>
      </c>
      <c r="O42" s="458">
        <v>0</v>
      </c>
      <c r="P42" s="458">
        <v>0</v>
      </c>
      <c r="Q42" s="417" t="s">
        <v>445</v>
      </c>
      <c r="R42" s="393"/>
      <c r="T42" s="458">
        <v>0</v>
      </c>
      <c r="U42" s="458">
        <v>0</v>
      </c>
      <c r="V42" s="454"/>
      <c r="W42" s="458">
        <v>0</v>
      </c>
      <c r="X42" s="458"/>
      <c r="Y42" s="458">
        <v>0</v>
      </c>
      <c r="Z42" s="458"/>
      <c r="AA42" s="458">
        <v>0</v>
      </c>
      <c r="AB42" s="458"/>
      <c r="AC42" s="458">
        <v>0</v>
      </c>
      <c r="AD42" s="458"/>
      <c r="AE42" s="458">
        <v>0</v>
      </c>
      <c r="AF42" s="461"/>
      <c r="AG42" s="461">
        <f t="shared" si="3"/>
        <v>1120446.98</v>
      </c>
      <c r="AH42" s="454"/>
      <c r="AI42" s="457"/>
      <c r="AJ42" s="454"/>
      <c r="AK42" s="454"/>
      <c r="AL42" s="454"/>
      <c r="AM42" s="454"/>
      <c r="AN42" s="454"/>
      <c r="AO42" s="454"/>
      <c r="AP42" s="454"/>
      <c r="AQ42" s="454"/>
      <c r="AR42" s="454"/>
      <c r="AS42" s="454"/>
      <c r="AT42" s="454"/>
      <c r="AU42" s="454"/>
      <c r="AV42" s="454"/>
      <c r="AW42" s="454"/>
      <c r="AX42" s="454"/>
      <c r="AY42" s="454"/>
      <c r="AZ42" s="454"/>
      <c r="BA42" s="454"/>
      <c r="BB42" s="454"/>
      <c r="BC42" s="454"/>
      <c r="BD42" s="454"/>
      <c r="BE42" s="454"/>
      <c r="BF42" s="454"/>
      <c r="BG42" s="454"/>
      <c r="BH42" s="454"/>
      <c r="BI42" s="454"/>
    </row>
    <row r="43" spans="1:61" s="417" customFormat="1" ht="20.100000000000001" customHeight="1">
      <c r="A43" s="417" t="s">
        <v>446</v>
      </c>
      <c r="D43" s="458">
        <v>4558483.5599999996</v>
      </c>
      <c r="E43" s="458">
        <v>0</v>
      </c>
      <c r="F43" s="458">
        <v>0</v>
      </c>
      <c r="G43" s="458">
        <v>0</v>
      </c>
      <c r="H43" s="458">
        <v>0</v>
      </c>
      <c r="I43" s="458">
        <v>0</v>
      </c>
      <c r="J43" s="458">
        <v>0</v>
      </c>
      <c r="K43" s="458">
        <v>0</v>
      </c>
      <c r="L43" s="458">
        <v>0</v>
      </c>
      <c r="M43" s="458">
        <v>0</v>
      </c>
      <c r="N43" s="458">
        <v>0</v>
      </c>
      <c r="O43" s="458">
        <v>0</v>
      </c>
      <c r="P43" s="458">
        <v>0</v>
      </c>
      <c r="Q43" s="417" t="s">
        <v>446</v>
      </c>
      <c r="R43" s="393"/>
      <c r="T43" s="458">
        <v>0</v>
      </c>
      <c r="U43" s="458">
        <v>0</v>
      </c>
      <c r="V43" s="454"/>
      <c r="W43" s="458">
        <v>0</v>
      </c>
      <c r="X43" s="458"/>
      <c r="Y43" s="458">
        <v>0</v>
      </c>
      <c r="Z43" s="458"/>
      <c r="AA43" s="458">
        <v>0</v>
      </c>
      <c r="AB43" s="458"/>
      <c r="AC43" s="458">
        <v>0</v>
      </c>
      <c r="AD43" s="458"/>
      <c r="AE43" s="458">
        <v>0</v>
      </c>
      <c r="AF43" s="461"/>
      <c r="AG43" s="461">
        <f t="shared" si="3"/>
        <v>4558483.5599999996</v>
      </c>
      <c r="AH43" s="454"/>
      <c r="AI43" s="457"/>
      <c r="AJ43" s="454"/>
      <c r="AK43" s="454"/>
      <c r="AL43" s="454"/>
      <c r="AM43" s="454"/>
      <c r="AN43" s="454"/>
      <c r="AO43" s="454"/>
      <c r="AP43" s="454"/>
      <c r="AQ43" s="454"/>
      <c r="AR43" s="454"/>
      <c r="AS43" s="454"/>
      <c r="AT43" s="454"/>
      <c r="AU43" s="454"/>
      <c r="AV43" s="454"/>
      <c r="AW43" s="454"/>
      <c r="AX43" s="454"/>
      <c r="AY43" s="454"/>
      <c r="AZ43" s="454"/>
      <c r="BA43" s="454"/>
      <c r="BB43" s="454"/>
      <c r="BC43" s="454"/>
      <c r="BD43" s="454"/>
      <c r="BE43" s="454"/>
      <c r="BF43" s="454"/>
      <c r="BG43" s="454"/>
      <c r="BH43" s="454"/>
      <c r="BI43" s="454"/>
    </row>
    <row r="44" spans="1:61" ht="18" hidden="1" customHeight="1">
      <c r="D44" s="458">
        <v>0</v>
      </c>
      <c r="E44" s="458">
        <v>0</v>
      </c>
      <c r="F44" s="458">
        <v>0</v>
      </c>
      <c r="G44" s="458">
        <v>0</v>
      </c>
      <c r="H44" s="458">
        <v>0</v>
      </c>
      <c r="I44" s="458">
        <v>0</v>
      </c>
      <c r="J44" s="458">
        <v>0</v>
      </c>
      <c r="K44" s="458">
        <v>0</v>
      </c>
      <c r="L44" s="458">
        <v>0</v>
      </c>
      <c r="M44" s="458">
        <v>0</v>
      </c>
      <c r="N44" s="458">
        <v>0</v>
      </c>
      <c r="O44" s="458">
        <v>0</v>
      </c>
      <c r="P44" s="458">
        <v>0</v>
      </c>
      <c r="Q44" s="365"/>
      <c r="R44" s="395"/>
      <c r="S44" s="365"/>
      <c r="T44" s="458">
        <v>0</v>
      </c>
      <c r="U44" s="458">
        <v>0</v>
      </c>
      <c r="V44" s="454"/>
      <c r="W44" s="458">
        <v>0</v>
      </c>
      <c r="X44" s="458"/>
      <c r="Y44" s="458">
        <v>0</v>
      </c>
      <c r="Z44" s="458"/>
      <c r="AA44" s="458">
        <v>0</v>
      </c>
      <c r="AB44" s="458"/>
      <c r="AC44" s="458">
        <v>0</v>
      </c>
      <c r="AD44" s="458"/>
      <c r="AE44" s="458">
        <v>0</v>
      </c>
      <c r="AG44" s="461">
        <f t="shared" si="3"/>
        <v>0</v>
      </c>
    </row>
    <row r="45" spans="1:61" ht="18" hidden="1" customHeight="1">
      <c r="A45" s="417" t="s">
        <v>572</v>
      </c>
      <c r="D45" s="458">
        <v>0</v>
      </c>
      <c r="E45" s="458"/>
      <c r="F45" s="458">
        <v>0</v>
      </c>
      <c r="G45" s="458"/>
      <c r="H45" s="458">
        <v>0</v>
      </c>
      <c r="I45" s="458"/>
      <c r="J45" s="458">
        <v>0</v>
      </c>
      <c r="K45" s="458"/>
      <c r="L45" s="458">
        <v>0</v>
      </c>
      <c r="M45" s="458"/>
      <c r="N45" s="458">
        <v>0</v>
      </c>
      <c r="O45" s="458">
        <v>0</v>
      </c>
      <c r="P45" s="458"/>
      <c r="Q45" s="417" t="s">
        <v>572</v>
      </c>
      <c r="R45" s="395"/>
      <c r="S45" s="365"/>
      <c r="T45" s="458">
        <v>0</v>
      </c>
      <c r="U45" s="458">
        <v>0</v>
      </c>
      <c r="V45" s="454"/>
      <c r="W45" s="458">
        <v>0</v>
      </c>
      <c r="X45" s="458"/>
      <c r="Y45" s="458">
        <v>0</v>
      </c>
      <c r="Z45" s="458"/>
      <c r="AA45" s="458">
        <v>0</v>
      </c>
      <c r="AB45" s="458"/>
      <c r="AC45" s="458">
        <v>0</v>
      </c>
      <c r="AD45" s="458"/>
      <c r="AE45" s="458">
        <v>0</v>
      </c>
      <c r="AG45" s="461">
        <f t="shared" si="3"/>
        <v>0</v>
      </c>
    </row>
    <row r="46" spans="1:61" ht="13.9" hidden="1" customHeight="1">
      <c r="Q46" s="365"/>
      <c r="R46" s="395"/>
      <c r="S46" s="365"/>
      <c r="AG46" s="461">
        <f t="shared" si="3"/>
        <v>0</v>
      </c>
    </row>
    <row r="47" spans="1:61" s="417" customFormat="1" ht="20.100000000000001" customHeight="1">
      <c r="A47" s="417" t="s">
        <v>448</v>
      </c>
      <c r="D47" s="458">
        <v>7321918.6900000004</v>
      </c>
      <c r="E47" s="458">
        <v>0</v>
      </c>
      <c r="F47" s="458">
        <v>0</v>
      </c>
      <c r="G47" s="458">
        <v>0</v>
      </c>
      <c r="H47" s="458">
        <v>0</v>
      </c>
      <c r="I47" s="458">
        <v>0</v>
      </c>
      <c r="J47" s="458">
        <v>0</v>
      </c>
      <c r="K47" s="458">
        <v>0</v>
      </c>
      <c r="L47" s="458">
        <v>0</v>
      </c>
      <c r="M47" s="458">
        <v>0</v>
      </c>
      <c r="N47" s="458">
        <v>0</v>
      </c>
      <c r="O47" s="458">
        <v>0</v>
      </c>
      <c r="P47" s="458">
        <v>0</v>
      </c>
      <c r="Q47" s="417" t="s">
        <v>448</v>
      </c>
      <c r="R47" s="393"/>
      <c r="T47" s="458">
        <v>0</v>
      </c>
      <c r="U47" s="458">
        <v>0</v>
      </c>
      <c r="V47" s="454"/>
      <c r="W47" s="458">
        <v>0</v>
      </c>
      <c r="X47" s="458"/>
      <c r="Y47" s="458">
        <v>0</v>
      </c>
      <c r="Z47" s="458"/>
      <c r="AA47" s="458">
        <v>0</v>
      </c>
      <c r="AB47" s="458"/>
      <c r="AC47" s="458">
        <v>0</v>
      </c>
      <c r="AD47" s="458"/>
      <c r="AE47" s="458">
        <v>0</v>
      </c>
      <c r="AF47" s="461"/>
      <c r="AG47" s="461">
        <f t="shared" si="3"/>
        <v>7321918.6900000004</v>
      </c>
      <c r="AH47" s="454"/>
      <c r="AI47" s="457"/>
      <c r="AJ47" s="454"/>
      <c r="AK47" s="454"/>
      <c r="AL47" s="454"/>
      <c r="AM47" s="454"/>
      <c r="AN47" s="454"/>
      <c r="AO47" s="454"/>
      <c r="AP47" s="454"/>
      <c r="AQ47" s="454"/>
      <c r="AR47" s="454"/>
      <c r="AS47" s="454"/>
      <c r="AT47" s="454"/>
      <c r="AU47" s="454"/>
      <c r="AV47" s="454"/>
      <c r="AW47" s="454"/>
      <c r="AX47" s="454"/>
      <c r="AY47" s="454"/>
      <c r="AZ47" s="454"/>
      <c r="BA47" s="454"/>
      <c r="BB47" s="454"/>
      <c r="BC47" s="454"/>
      <c r="BD47" s="454"/>
      <c r="BE47" s="454"/>
      <c r="BF47" s="454"/>
      <c r="BG47" s="454"/>
      <c r="BH47" s="454"/>
      <c r="BI47" s="454"/>
    </row>
    <row r="48" spans="1:61" s="417" customFormat="1" ht="20.100000000000001" customHeight="1">
      <c r="A48" s="417" t="s">
        <v>449</v>
      </c>
      <c r="D48" s="458">
        <v>71763696.049999997</v>
      </c>
      <c r="E48" s="458">
        <v>0</v>
      </c>
      <c r="F48" s="458">
        <v>0</v>
      </c>
      <c r="G48" s="458">
        <v>0</v>
      </c>
      <c r="H48" s="458">
        <v>0</v>
      </c>
      <c r="I48" s="458">
        <v>0</v>
      </c>
      <c r="J48" s="458">
        <v>0</v>
      </c>
      <c r="K48" s="458">
        <v>0</v>
      </c>
      <c r="L48" s="458">
        <v>0</v>
      </c>
      <c r="M48" s="458">
        <v>0</v>
      </c>
      <c r="N48" s="458">
        <v>0</v>
      </c>
      <c r="O48" s="458">
        <v>0</v>
      </c>
      <c r="P48" s="458">
        <v>0</v>
      </c>
      <c r="Q48" s="417" t="s">
        <v>449</v>
      </c>
      <c r="R48" s="393"/>
      <c r="T48" s="458">
        <v>0</v>
      </c>
      <c r="U48" s="458">
        <v>0</v>
      </c>
      <c r="V48" s="454"/>
      <c r="W48" s="458">
        <v>0</v>
      </c>
      <c r="X48" s="458"/>
      <c r="Y48" s="458">
        <v>0</v>
      </c>
      <c r="Z48" s="458"/>
      <c r="AA48" s="458">
        <v>0</v>
      </c>
      <c r="AB48" s="458"/>
      <c r="AC48" s="458">
        <v>0</v>
      </c>
      <c r="AD48" s="458"/>
      <c r="AE48" s="458">
        <v>0</v>
      </c>
      <c r="AF48" s="461"/>
      <c r="AG48" s="461">
        <f t="shared" si="3"/>
        <v>71763696.049999997</v>
      </c>
      <c r="AH48" s="454"/>
      <c r="AI48" s="457"/>
      <c r="AJ48" s="454"/>
      <c r="AK48" s="454"/>
      <c r="AL48" s="454"/>
      <c r="AM48" s="454"/>
      <c r="AN48" s="454"/>
      <c r="AO48" s="454"/>
      <c r="AP48" s="454"/>
      <c r="AQ48" s="454"/>
      <c r="AR48" s="454"/>
      <c r="AS48" s="454"/>
      <c r="AT48" s="454"/>
      <c r="AU48" s="454"/>
      <c r="AV48" s="454"/>
      <c r="AW48" s="454"/>
      <c r="AX48" s="454"/>
      <c r="AY48" s="454"/>
      <c r="AZ48" s="454"/>
      <c r="BA48" s="454"/>
      <c r="BB48" s="454"/>
      <c r="BC48" s="454"/>
      <c r="BD48" s="454"/>
      <c r="BE48" s="454"/>
      <c r="BF48" s="454"/>
      <c r="BG48" s="454"/>
      <c r="BH48" s="454"/>
      <c r="BI48" s="454"/>
    </row>
    <row r="49" spans="1:61" s="417" customFormat="1" ht="20.100000000000001" customHeight="1">
      <c r="A49" s="417" t="s">
        <v>450</v>
      </c>
      <c r="D49" s="458">
        <f>2445733.8-50000</f>
        <v>2395733.7999999998</v>
      </c>
      <c r="E49" s="458">
        <v>0</v>
      </c>
      <c r="F49" s="458">
        <v>0</v>
      </c>
      <c r="G49" s="458">
        <v>0</v>
      </c>
      <c r="H49" s="458">
        <v>0</v>
      </c>
      <c r="I49" s="458">
        <v>0</v>
      </c>
      <c r="J49" s="458">
        <v>0</v>
      </c>
      <c r="K49" s="458">
        <v>0</v>
      </c>
      <c r="L49" s="458">
        <v>0</v>
      </c>
      <c r="M49" s="458">
        <v>0</v>
      </c>
      <c r="N49" s="458">
        <v>0</v>
      </c>
      <c r="O49" s="458">
        <v>0</v>
      </c>
      <c r="P49" s="458">
        <v>0</v>
      </c>
      <c r="Q49" s="417" t="s">
        <v>450</v>
      </c>
      <c r="R49" s="393"/>
      <c r="T49" s="458">
        <v>0</v>
      </c>
      <c r="U49" s="458">
        <v>0</v>
      </c>
      <c r="V49" s="454"/>
      <c r="W49" s="458">
        <v>0</v>
      </c>
      <c r="X49" s="458"/>
      <c r="Y49" s="458">
        <v>0</v>
      </c>
      <c r="Z49" s="458"/>
      <c r="AA49" s="458">
        <v>0</v>
      </c>
      <c r="AB49" s="458"/>
      <c r="AC49" s="458">
        <v>0</v>
      </c>
      <c r="AD49" s="458"/>
      <c r="AE49" s="458">
        <v>0</v>
      </c>
      <c r="AF49" s="461"/>
      <c r="AG49" s="461">
        <f t="shared" si="3"/>
        <v>2395733.7999999998</v>
      </c>
      <c r="AH49" s="454"/>
      <c r="AI49" s="457"/>
      <c r="AJ49" s="454"/>
      <c r="AK49" s="454"/>
      <c r="AL49" s="454"/>
      <c r="AM49" s="454"/>
      <c r="AN49" s="454"/>
      <c r="AO49" s="454"/>
      <c r="AP49" s="454"/>
      <c r="AQ49" s="454"/>
      <c r="AR49" s="454"/>
      <c r="AS49" s="454"/>
      <c r="AT49" s="454"/>
      <c r="AU49" s="454"/>
      <c r="AV49" s="454"/>
      <c r="AW49" s="454"/>
      <c r="AX49" s="454"/>
      <c r="AY49" s="454"/>
      <c r="AZ49" s="454"/>
      <c r="BA49" s="454"/>
      <c r="BB49" s="454"/>
      <c r="BC49" s="454"/>
      <c r="BD49" s="454"/>
      <c r="BE49" s="454"/>
      <c r="BF49" s="454"/>
      <c r="BG49" s="454"/>
      <c r="BH49" s="454"/>
      <c r="BI49" s="454"/>
    </row>
    <row r="50" spans="1:61" s="417" customFormat="1" ht="20.100000000000001" customHeight="1">
      <c r="A50" s="417" t="s">
        <v>451</v>
      </c>
      <c r="D50" s="458">
        <v>0</v>
      </c>
      <c r="E50" s="458">
        <v>0</v>
      </c>
      <c r="F50" s="458">
        <v>0</v>
      </c>
      <c r="G50" s="458">
        <v>0</v>
      </c>
      <c r="H50" s="458">
        <v>0</v>
      </c>
      <c r="I50" s="458">
        <v>0</v>
      </c>
      <c r="J50" s="458">
        <v>0</v>
      </c>
      <c r="K50" s="458">
        <v>0</v>
      </c>
      <c r="L50" s="458">
        <v>0</v>
      </c>
      <c r="M50" s="458">
        <v>0</v>
      </c>
      <c r="N50" s="458">
        <v>0</v>
      </c>
      <c r="O50" s="458">
        <v>0</v>
      </c>
      <c r="P50" s="458">
        <v>0</v>
      </c>
      <c r="Q50" s="417" t="s">
        <v>451</v>
      </c>
      <c r="R50" s="393"/>
      <c r="T50" s="458">
        <v>0</v>
      </c>
      <c r="U50" s="458">
        <v>0</v>
      </c>
      <c r="V50" s="454"/>
      <c r="W50" s="458">
        <v>0</v>
      </c>
      <c r="X50" s="458"/>
      <c r="Y50" s="458">
        <v>0</v>
      </c>
      <c r="Z50" s="458"/>
      <c r="AA50" s="458">
        <v>0</v>
      </c>
      <c r="AB50" s="458"/>
      <c r="AC50" s="458">
        <v>0</v>
      </c>
      <c r="AD50" s="458"/>
      <c r="AE50" s="458">
        <v>0</v>
      </c>
      <c r="AF50" s="461"/>
      <c r="AG50" s="461">
        <f t="shared" si="3"/>
        <v>0</v>
      </c>
      <c r="AH50" s="454"/>
      <c r="AI50" s="457"/>
      <c r="AJ50" s="454"/>
      <c r="AK50" s="454"/>
      <c r="AL50" s="454"/>
      <c r="AM50" s="454"/>
      <c r="AN50" s="454"/>
      <c r="AO50" s="454"/>
      <c r="AP50" s="454"/>
      <c r="AQ50" s="454"/>
      <c r="AR50" s="454"/>
      <c r="AS50" s="454"/>
      <c r="AT50" s="454"/>
      <c r="AU50" s="454"/>
      <c r="AV50" s="454"/>
      <c r="AW50" s="454"/>
      <c r="AX50" s="454"/>
      <c r="AY50" s="454"/>
      <c r="AZ50" s="454"/>
      <c r="BA50" s="454"/>
      <c r="BB50" s="454"/>
      <c r="BC50" s="454"/>
      <c r="BD50" s="454"/>
      <c r="BE50" s="454"/>
      <c r="BF50" s="454"/>
      <c r="BG50" s="454"/>
      <c r="BH50" s="454"/>
      <c r="BI50" s="454"/>
    </row>
    <row r="51" spans="1:61" s="417" customFormat="1" ht="20.100000000000001" hidden="1" customHeight="1">
      <c r="A51" s="417" t="s">
        <v>452</v>
      </c>
      <c r="D51" s="458"/>
      <c r="E51" s="459"/>
      <c r="F51" s="460"/>
      <c r="G51" s="458"/>
      <c r="H51" s="460"/>
      <c r="I51" s="458"/>
      <c r="J51" s="458">
        <v>0</v>
      </c>
      <c r="K51" s="458">
        <v>0</v>
      </c>
      <c r="L51" s="458">
        <v>0</v>
      </c>
      <c r="M51" s="458">
        <v>0</v>
      </c>
      <c r="N51" s="458">
        <v>0</v>
      </c>
      <c r="O51" s="458">
        <v>0</v>
      </c>
      <c r="P51" s="460"/>
      <c r="Q51" s="417" t="s">
        <v>452</v>
      </c>
      <c r="R51" s="393"/>
      <c r="T51" s="460"/>
      <c r="U51" s="458">
        <v>0</v>
      </c>
      <c r="V51" s="454"/>
      <c r="W51" s="458">
        <v>0</v>
      </c>
      <c r="X51" s="458"/>
      <c r="Y51" s="458">
        <v>0</v>
      </c>
      <c r="Z51" s="458"/>
      <c r="AA51" s="458">
        <v>0</v>
      </c>
      <c r="AB51" s="458"/>
      <c r="AC51" s="458">
        <v>0</v>
      </c>
      <c r="AD51" s="458"/>
      <c r="AE51" s="458">
        <v>0</v>
      </c>
      <c r="AF51" s="461"/>
      <c r="AG51" s="461">
        <f t="shared" si="3"/>
        <v>0</v>
      </c>
      <c r="AH51" s="454"/>
      <c r="AI51" s="457"/>
      <c r="AJ51" s="454"/>
      <c r="AK51" s="454"/>
      <c r="AL51" s="454"/>
      <c r="AM51" s="454"/>
      <c r="AN51" s="454"/>
      <c r="AO51" s="454"/>
      <c r="AP51" s="454"/>
      <c r="AQ51" s="454"/>
      <c r="AR51" s="454"/>
      <c r="AS51" s="454"/>
      <c r="AT51" s="454"/>
      <c r="AU51" s="454"/>
      <c r="AV51" s="454"/>
      <c r="AW51" s="454"/>
      <c r="AX51" s="454"/>
      <c r="AY51" s="454"/>
      <c r="AZ51" s="454"/>
      <c r="BA51" s="454"/>
      <c r="BB51" s="454"/>
      <c r="BC51" s="454"/>
      <c r="BD51" s="454"/>
      <c r="BE51" s="454"/>
      <c r="BF51" s="454"/>
      <c r="BG51" s="454"/>
      <c r="BH51" s="454"/>
      <c r="BI51" s="454"/>
    </row>
    <row r="52" spans="1:61" s="417" customFormat="1" ht="20.100000000000001" hidden="1" customHeight="1">
      <c r="A52" s="417" t="s">
        <v>453</v>
      </c>
      <c r="D52" s="458"/>
      <c r="E52" s="459"/>
      <c r="F52" s="460"/>
      <c r="G52" s="458"/>
      <c r="H52" s="460"/>
      <c r="I52" s="458"/>
      <c r="J52" s="458">
        <v>0</v>
      </c>
      <c r="K52" s="458">
        <v>0</v>
      </c>
      <c r="L52" s="458">
        <v>0</v>
      </c>
      <c r="M52" s="458">
        <v>0</v>
      </c>
      <c r="N52" s="458">
        <v>0</v>
      </c>
      <c r="O52" s="458">
        <v>0</v>
      </c>
      <c r="P52" s="460"/>
      <c r="Q52" s="417" t="s">
        <v>453</v>
      </c>
      <c r="R52" s="393"/>
      <c r="T52" s="460"/>
      <c r="U52" s="458">
        <v>0</v>
      </c>
      <c r="V52" s="454"/>
      <c r="W52" s="458">
        <v>0</v>
      </c>
      <c r="X52" s="458"/>
      <c r="Y52" s="458">
        <v>0</v>
      </c>
      <c r="Z52" s="458"/>
      <c r="AA52" s="458">
        <v>0</v>
      </c>
      <c r="AB52" s="458"/>
      <c r="AC52" s="458">
        <v>0</v>
      </c>
      <c r="AD52" s="458"/>
      <c r="AE52" s="458">
        <v>0</v>
      </c>
      <c r="AF52" s="461"/>
      <c r="AG52" s="461">
        <f t="shared" si="3"/>
        <v>0</v>
      </c>
      <c r="AH52" s="454"/>
      <c r="AI52" s="457"/>
      <c r="AJ52" s="454"/>
      <c r="AK52" s="454"/>
      <c r="AL52" s="454"/>
      <c r="AM52" s="454"/>
      <c r="AN52" s="454"/>
      <c r="AO52" s="454"/>
      <c r="AP52" s="454"/>
      <c r="AQ52" s="454"/>
      <c r="AR52" s="454"/>
      <c r="AS52" s="454"/>
      <c r="AT52" s="454"/>
      <c r="AU52" s="454"/>
      <c r="AV52" s="454"/>
      <c r="AW52" s="454"/>
      <c r="AX52" s="454"/>
      <c r="AY52" s="454"/>
      <c r="AZ52" s="454"/>
      <c r="BA52" s="454"/>
      <c r="BB52" s="454"/>
      <c r="BC52" s="454"/>
      <c r="BD52" s="454"/>
      <c r="BE52" s="454"/>
      <c r="BF52" s="454"/>
      <c r="BG52" s="454"/>
      <c r="BH52" s="454"/>
      <c r="BI52" s="454"/>
    </row>
    <row r="53" spans="1:61" ht="13.9" hidden="1" customHeight="1">
      <c r="Q53" s="365"/>
      <c r="R53" s="395"/>
      <c r="S53" s="365"/>
      <c r="AG53" s="461">
        <f t="shared" si="3"/>
        <v>0</v>
      </c>
    </row>
    <row r="54" spans="1:61" ht="18" hidden="1" customHeight="1">
      <c r="E54" s="377"/>
      <c r="F54" s="389"/>
      <c r="G54" s="389"/>
      <c r="H54" s="389"/>
      <c r="I54" s="389"/>
      <c r="J54" s="458">
        <v>0</v>
      </c>
      <c r="K54" s="458">
        <v>0</v>
      </c>
      <c r="L54" s="458">
        <v>0</v>
      </c>
      <c r="M54" s="458">
        <v>0</v>
      </c>
      <c r="N54" s="458">
        <v>0</v>
      </c>
      <c r="O54" s="458">
        <v>0</v>
      </c>
      <c r="P54" s="389"/>
      <c r="Q54" s="365"/>
      <c r="R54" s="395"/>
      <c r="S54" s="365"/>
      <c r="T54" s="389"/>
      <c r="U54" s="458">
        <v>0</v>
      </c>
      <c r="V54" s="454"/>
      <c r="W54" s="458">
        <v>0</v>
      </c>
      <c r="X54" s="458"/>
      <c r="Y54" s="458">
        <v>0</v>
      </c>
      <c r="Z54" s="458"/>
      <c r="AA54" s="458">
        <v>0</v>
      </c>
      <c r="AB54" s="458"/>
      <c r="AC54" s="458">
        <v>0</v>
      </c>
      <c r="AD54" s="458"/>
      <c r="AE54" s="458">
        <v>0</v>
      </c>
      <c r="AG54" s="461">
        <f t="shared" si="3"/>
        <v>0</v>
      </c>
    </row>
    <row r="55" spans="1:61" s="417" customFormat="1" ht="20.100000000000001" customHeight="1">
      <c r="A55" s="417" t="s">
        <v>454</v>
      </c>
      <c r="D55" s="458">
        <v>41446319.479999997</v>
      </c>
      <c r="E55" s="458">
        <v>0</v>
      </c>
      <c r="F55" s="458">
        <v>0</v>
      </c>
      <c r="G55" s="458">
        <v>0</v>
      </c>
      <c r="H55" s="458">
        <v>0</v>
      </c>
      <c r="I55" s="458">
        <v>0</v>
      </c>
      <c r="J55" s="458">
        <v>0</v>
      </c>
      <c r="K55" s="458">
        <v>0</v>
      </c>
      <c r="L55" s="458">
        <v>0</v>
      </c>
      <c r="M55" s="458">
        <v>0</v>
      </c>
      <c r="N55" s="458">
        <v>0</v>
      </c>
      <c r="O55" s="458">
        <v>0</v>
      </c>
      <c r="P55" s="460"/>
      <c r="Q55" s="417" t="s">
        <v>454</v>
      </c>
      <c r="R55" s="393"/>
      <c r="T55" s="460">
        <f>Cemtery!L22</f>
        <v>1250259</v>
      </c>
      <c r="U55" s="458">
        <v>0</v>
      </c>
      <c r="V55" s="454"/>
      <c r="W55" s="458">
        <v>8660325.8800000008</v>
      </c>
      <c r="X55" s="458"/>
      <c r="Y55" s="458">
        <v>0</v>
      </c>
      <c r="Z55" s="458"/>
      <c r="AA55" s="458">
        <v>0</v>
      </c>
      <c r="AB55" s="458"/>
      <c r="AC55" s="458">
        <v>0</v>
      </c>
      <c r="AD55" s="458"/>
      <c r="AE55" s="458">
        <v>0</v>
      </c>
      <c r="AF55" s="461"/>
      <c r="AG55" s="461">
        <f t="shared" si="3"/>
        <v>51356904.359999999</v>
      </c>
      <c r="AH55" s="454"/>
      <c r="AI55" s="457"/>
      <c r="AJ55" s="454"/>
      <c r="AK55" s="454"/>
      <c r="AL55" s="454"/>
      <c r="AM55" s="454"/>
      <c r="AN55" s="454"/>
      <c r="AO55" s="454"/>
      <c r="AP55" s="454"/>
      <c r="AQ55" s="454"/>
      <c r="AR55" s="454"/>
      <c r="AS55" s="454"/>
      <c r="AT55" s="454"/>
      <c r="AU55" s="454"/>
      <c r="AV55" s="454"/>
      <c r="AW55" s="454"/>
      <c r="AX55" s="454"/>
      <c r="AY55" s="454"/>
      <c r="AZ55" s="454"/>
      <c r="BA55" s="454"/>
      <c r="BB55" s="454"/>
      <c r="BC55" s="454"/>
      <c r="BD55" s="454"/>
      <c r="BE55" s="454"/>
      <c r="BF55" s="454"/>
      <c r="BG55" s="454"/>
      <c r="BH55" s="454"/>
      <c r="BI55" s="454"/>
    </row>
    <row r="56" spans="1:61" s="417" customFormat="1" ht="20.100000000000001" hidden="1" customHeight="1">
      <c r="A56" s="417" t="s">
        <v>455</v>
      </c>
      <c r="D56" s="458"/>
      <c r="E56" s="459"/>
      <c r="F56" s="460"/>
      <c r="G56" s="458"/>
      <c r="H56" s="460"/>
      <c r="I56" s="458"/>
      <c r="J56" s="460"/>
      <c r="K56" s="458"/>
      <c r="L56" s="458"/>
      <c r="M56" s="460"/>
      <c r="N56" s="458"/>
      <c r="O56" s="460"/>
      <c r="P56" s="460"/>
      <c r="Q56" s="417" t="s">
        <v>455</v>
      </c>
      <c r="R56" s="393"/>
      <c r="T56" s="460"/>
      <c r="U56" s="458">
        <v>0</v>
      </c>
      <c r="V56" s="454"/>
      <c r="W56" s="458">
        <v>0</v>
      </c>
      <c r="X56" s="458"/>
      <c r="Y56" s="458">
        <v>0</v>
      </c>
      <c r="Z56" s="458"/>
      <c r="AA56" s="458">
        <v>0</v>
      </c>
      <c r="AB56" s="458"/>
      <c r="AC56" s="458">
        <v>0</v>
      </c>
      <c r="AD56" s="458"/>
      <c r="AE56" s="458">
        <v>0</v>
      </c>
      <c r="AF56" s="461"/>
      <c r="AG56" s="461">
        <f t="shared" si="3"/>
        <v>0</v>
      </c>
      <c r="AH56" s="454"/>
      <c r="AI56" s="457"/>
      <c r="AJ56" s="454"/>
      <c r="AK56" s="454"/>
      <c r="AL56" s="454"/>
      <c r="AM56" s="454"/>
      <c r="AN56" s="454"/>
      <c r="AO56" s="454"/>
      <c r="AP56" s="454"/>
      <c r="AQ56" s="454"/>
      <c r="AR56" s="454"/>
      <c r="AS56" s="454"/>
      <c r="AT56" s="454"/>
      <c r="AU56" s="454"/>
      <c r="AV56" s="454"/>
      <c r="AW56" s="454"/>
      <c r="AX56" s="454"/>
      <c r="AY56" s="454"/>
      <c r="AZ56" s="454"/>
      <c r="BA56" s="454"/>
      <c r="BB56" s="454"/>
      <c r="BC56" s="454"/>
      <c r="BD56" s="454"/>
      <c r="BE56" s="454"/>
      <c r="BF56" s="454"/>
      <c r="BG56" s="454"/>
      <c r="BH56" s="454"/>
      <c r="BI56" s="454"/>
    </row>
    <row r="57" spans="1:61" s="417" customFormat="1" ht="20.100000000000001" customHeight="1">
      <c r="A57" s="417" t="s">
        <v>456</v>
      </c>
      <c r="D57" s="458">
        <f>99126823.08+62080.05</f>
        <v>99188903.129999995</v>
      </c>
      <c r="E57" s="458">
        <v>0</v>
      </c>
      <c r="F57" s="458">
        <v>0</v>
      </c>
      <c r="G57" s="458">
        <v>0</v>
      </c>
      <c r="H57" s="458">
        <v>0</v>
      </c>
      <c r="I57" s="458">
        <v>0</v>
      </c>
      <c r="J57" s="458">
        <v>0</v>
      </c>
      <c r="K57" s="458">
        <v>0</v>
      </c>
      <c r="L57" s="458">
        <v>0</v>
      </c>
      <c r="M57" s="458">
        <v>0</v>
      </c>
      <c r="N57" s="458">
        <v>0</v>
      </c>
      <c r="O57" s="458">
        <v>0</v>
      </c>
      <c r="P57" s="458">
        <v>0</v>
      </c>
      <c r="Q57" s="417" t="s">
        <v>456</v>
      </c>
      <c r="R57" s="393"/>
      <c r="T57" s="458">
        <v>0</v>
      </c>
      <c r="U57" s="458">
        <v>0</v>
      </c>
      <c r="V57" s="454"/>
      <c r="W57" s="458">
        <v>0</v>
      </c>
      <c r="X57" s="458"/>
      <c r="Y57" s="458">
        <v>0</v>
      </c>
      <c r="Z57" s="458"/>
      <c r="AA57" s="458">
        <v>0</v>
      </c>
      <c r="AB57" s="458"/>
      <c r="AC57" s="458">
        <v>0</v>
      </c>
      <c r="AD57" s="458"/>
      <c r="AE57" s="458">
        <v>0</v>
      </c>
      <c r="AF57" s="461"/>
      <c r="AG57" s="461">
        <f t="shared" si="3"/>
        <v>99188903.129999995</v>
      </c>
      <c r="AH57" s="454"/>
      <c r="AI57" s="457"/>
      <c r="AJ57" s="454"/>
      <c r="AK57" s="454"/>
      <c r="AL57" s="454"/>
      <c r="AM57" s="454"/>
      <c r="AN57" s="454"/>
      <c r="AO57" s="454"/>
      <c r="AP57" s="454"/>
      <c r="AQ57" s="454"/>
      <c r="AR57" s="454"/>
      <c r="AS57" s="454"/>
      <c r="AT57" s="454"/>
      <c r="AU57" s="454"/>
      <c r="AV57" s="454"/>
      <c r="AW57" s="454"/>
      <c r="AX57" s="454"/>
      <c r="AY57" s="454"/>
      <c r="AZ57" s="454"/>
      <c r="BA57" s="454"/>
      <c r="BB57" s="454"/>
      <c r="BC57" s="454"/>
      <c r="BD57" s="454"/>
      <c r="BE57" s="454"/>
      <c r="BF57" s="454"/>
      <c r="BG57" s="454"/>
      <c r="BH57" s="454"/>
      <c r="BI57" s="454"/>
    </row>
    <row r="58" spans="1:61" s="417" customFormat="1" ht="20.100000000000001" hidden="1" customHeight="1">
      <c r="A58" s="417" t="s">
        <v>457</v>
      </c>
      <c r="D58" s="458">
        <v>0</v>
      </c>
      <c r="E58" s="458">
        <v>0</v>
      </c>
      <c r="F58" s="458">
        <v>0</v>
      </c>
      <c r="G58" s="458">
        <v>0</v>
      </c>
      <c r="H58" s="458">
        <v>0</v>
      </c>
      <c r="I58" s="458">
        <v>0</v>
      </c>
      <c r="J58" s="458">
        <v>0</v>
      </c>
      <c r="K58" s="458">
        <v>0</v>
      </c>
      <c r="L58" s="458">
        <v>0</v>
      </c>
      <c r="M58" s="458">
        <v>0</v>
      </c>
      <c r="N58" s="458">
        <v>0</v>
      </c>
      <c r="O58" s="458">
        <v>0</v>
      </c>
      <c r="P58" s="458">
        <v>0</v>
      </c>
      <c r="Q58" s="417" t="s">
        <v>457</v>
      </c>
      <c r="R58" s="393"/>
      <c r="T58" s="458">
        <v>0</v>
      </c>
      <c r="U58" s="458"/>
      <c r="V58" s="454"/>
      <c r="W58" s="458"/>
      <c r="X58" s="458"/>
      <c r="Y58" s="458"/>
      <c r="Z58" s="458"/>
      <c r="AA58" s="458"/>
      <c r="AB58" s="458"/>
      <c r="AC58" s="458"/>
      <c r="AD58" s="458"/>
      <c r="AE58" s="458"/>
      <c r="AF58" s="461"/>
      <c r="AG58" s="461">
        <f t="shared" si="3"/>
        <v>0</v>
      </c>
      <c r="AH58" s="454"/>
      <c r="AI58" s="457"/>
      <c r="AJ58" s="454"/>
      <c r="AK58" s="454"/>
      <c r="AL58" s="454"/>
      <c r="AM58" s="454"/>
      <c r="AN58" s="454"/>
      <c r="AO58" s="454"/>
      <c r="AP58" s="454"/>
      <c r="AQ58" s="454"/>
      <c r="AR58" s="454"/>
      <c r="AS58" s="454"/>
      <c r="AT58" s="454"/>
      <c r="AU58" s="454"/>
      <c r="AV58" s="454"/>
      <c r="AW58" s="454"/>
      <c r="AX58" s="454"/>
      <c r="AY58" s="454"/>
      <c r="AZ58" s="454"/>
      <c r="BA58" s="454"/>
      <c r="BB58" s="454"/>
      <c r="BC58" s="454"/>
      <c r="BD58" s="454"/>
      <c r="BE58" s="454"/>
      <c r="BF58" s="454"/>
      <c r="BG58" s="454"/>
      <c r="BH58" s="454"/>
      <c r="BI58" s="454"/>
    </row>
    <row r="59" spans="1:61" s="417" customFormat="1" ht="20.100000000000001" hidden="1" customHeight="1">
      <c r="A59" s="417" t="s">
        <v>458</v>
      </c>
      <c r="D59" s="458">
        <v>0</v>
      </c>
      <c r="E59" s="458">
        <v>0</v>
      </c>
      <c r="F59" s="458">
        <v>0</v>
      </c>
      <c r="G59" s="458">
        <v>0</v>
      </c>
      <c r="H59" s="458">
        <v>0</v>
      </c>
      <c r="I59" s="458">
        <v>0</v>
      </c>
      <c r="J59" s="458">
        <v>0</v>
      </c>
      <c r="K59" s="458">
        <v>0</v>
      </c>
      <c r="L59" s="458">
        <v>0</v>
      </c>
      <c r="M59" s="458">
        <v>0</v>
      </c>
      <c r="N59" s="458">
        <v>0</v>
      </c>
      <c r="O59" s="458">
        <v>0</v>
      </c>
      <c r="P59" s="458">
        <v>0</v>
      </c>
      <c r="Q59" s="417" t="s">
        <v>458</v>
      </c>
      <c r="R59" s="393"/>
      <c r="T59" s="458">
        <v>0</v>
      </c>
      <c r="U59" s="458"/>
      <c r="V59" s="454"/>
      <c r="W59" s="458"/>
      <c r="X59" s="458"/>
      <c r="Y59" s="458"/>
      <c r="Z59" s="458"/>
      <c r="AA59" s="458"/>
      <c r="AB59" s="458"/>
      <c r="AC59" s="458"/>
      <c r="AD59" s="458"/>
      <c r="AE59" s="458"/>
      <c r="AF59" s="461"/>
      <c r="AG59" s="461">
        <f t="shared" si="3"/>
        <v>0</v>
      </c>
      <c r="AH59" s="454"/>
      <c r="AI59" s="457"/>
      <c r="AJ59" s="454"/>
      <c r="AK59" s="454"/>
      <c r="AL59" s="454"/>
      <c r="AM59" s="454"/>
      <c r="AN59" s="454"/>
      <c r="AO59" s="454"/>
      <c r="AP59" s="454"/>
      <c r="AQ59" s="454"/>
      <c r="AR59" s="454"/>
      <c r="AS59" s="454"/>
      <c r="AT59" s="454"/>
      <c r="AU59" s="454"/>
      <c r="AV59" s="454"/>
      <c r="AW59" s="454"/>
      <c r="AX59" s="454"/>
      <c r="AY59" s="454"/>
      <c r="AZ59" s="454"/>
      <c r="BA59" s="454"/>
      <c r="BB59" s="454"/>
      <c r="BC59" s="454"/>
      <c r="BD59" s="454"/>
      <c r="BE59" s="454"/>
      <c r="BF59" s="454"/>
      <c r="BG59" s="454"/>
      <c r="BH59" s="454"/>
      <c r="BI59" s="454"/>
    </row>
    <row r="60" spans="1:61" s="417" customFormat="1" ht="20.100000000000001" customHeight="1">
      <c r="A60" s="417" t="s">
        <v>459</v>
      </c>
      <c r="D60" s="458">
        <v>6358485</v>
      </c>
      <c r="E60" s="458">
        <v>0</v>
      </c>
      <c r="F60" s="458">
        <v>0</v>
      </c>
      <c r="G60" s="458">
        <v>0</v>
      </c>
      <c r="H60" s="458">
        <v>0</v>
      </c>
      <c r="I60" s="458">
        <v>0</v>
      </c>
      <c r="J60" s="458">
        <v>0</v>
      </c>
      <c r="K60" s="458">
        <v>0</v>
      </c>
      <c r="L60" s="458">
        <v>0</v>
      </c>
      <c r="M60" s="458">
        <v>0</v>
      </c>
      <c r="N60" s="458">
        <v>0</v>
      </c>
      <c r="O60" s="458">
        <v>0</v>
      </c>
      <c r="P60" s="458">
        <v>0</v>
      </c>
      <c r="Q60" s="417" t="s">
        <v>459</v>
      </c>
      <c r="R60" s="393"/>
      <c r="T60" s="458">
        <v>0</v>
      </c>
      <c r="U60" s="458">
        <v>0</v>
      </c>
      <c r="V60" s="454"/>
      <c r="W60" s="458">
        <f>Sanitation!L27-8660325.88</f>
        <v>15198962.119999999</v>
      </c>
      <c r="X60" s="458"/>
      <c r="Y60" s="458">
        <f>'Water and Sewer'!L29+'Central Region'!L28-'Water and Sewer'!L27-'Central Region'!L26-'Water and Sewer'!L25-'Central Region'!L25</f>
        <v>98641940.849999994</v>
      </c>
      <c r="Z60" s="458"/>
      <c r="AA60" s="458">
        <f>Stormwater!L28-Stormwater!L26</f>
        <v>6029886.1600000001</v>
      </c>
      <c r="AB60" s="458"/>
      <c r="AC60" s="458">
        <v>0</v>
      </c>
      <c r="AD60" s="458"/>
      <c r="AE60" s="458">
        <v>0</v>
      </c>
      <c r="AF60" s="461"/>
      <c r="AG60" s="461">
        <f t="shared" si="3"/>
        <v>126229274.13</v>
      </c>
      <c r="AH60" s="454"/>
      <c r="AI60" s="457"/>
      <c r="AJ60" s="454"/>
      <c r="AK60" s="454"/>
      <c r="AL60" s="454"/>
      <c r="AM60" s="454"/>
      <c r="AN60" s="454"/>
      <c r="AO60" s="454"/>
      <c r="AP60" s="454"/>
      <c r="AQ60" s="454"/>
      <c r="AR60" s="454"/>
      <c r="AS60" s="454"/>
      <c r="AT60" s="454"/>
      <c r="AU60" s="454"/>
      <c r="AV60" s="454"/>
      <c r="AW60" s="454"/>
      <c r="AX60" s="454"/>
      <c r="AY60" s="454"/>
      <c r="AZ60" s="454"/>
      <c r="BA60" s="454"/>
      <c r="BB60" s="454"/>
      <c r="BC60" s="454"/>
      <c r="BD60" s="454"/>
      <c r="BE60" s="454"/>
      <c r="BF60" s="454"/>
      <c r="BG60" s="454"/>
      <c r="BH60" s="454"/>
      <c r="BI60" s="454"/>
    </row>
    <row r="61" spans="1:61" s="417" customFormat="1" ht="20.100000000000001" customHeight="1">
      <c r="A61" s="417" t="s">
        <v>570</v>
      </c>
      <c r="D61" s="458">
        <v>7428813</v>
      </c>
      <c r="E61" s="459"/>
      <c r="F61" s="458">
        <f>'CRA-Beach'!L28+'CRA-NW Progresso'!L29-'CRA-Beach'!L27-'CRA-NW Progresso'!L25</f>
        <v>12213467</v>
      </c>
      <c r="G61" s="458"/>
      <c r="H61" s="460">
        <v>0</v>
      </c>
      <c r="I61" s="458"/>
      <c r="J61" s="458">
        <f>'Beach Bus Improv District'!L21</f>
        <v>699107</v>
      </c>
      <c r="K61" s="458"/>
      <c r="L61" s="460">
        <f>'Housing and Community Dev'!L27-'Housing and Community Dev'!L26</f>
        <v>9371773</v>
      </c>
      <c r="M61" s="460"/>
      <c r="N61" s="460" t="e">
        <f>#REF!+#REF!+#REF!-#REF!</f>
        <v>#REF!</v>
      </c>
      <c r="O61" s="460">
        <v>0</v>
      </c>
      <c r="P61" s="460"/>
      <c r="Q61" s="417" t="s">
        <v>570</v>
      </c>
      <c r="R61" s="393"/>
      <c r="T61" s="460">
        <v>0</v>
      </c>
      <c r="U61" s="458">
        <v>0</v>
      </c>
      <c r="V61" s="454"/>
      <c r="W61" s="458">
        <v>0</v>
      </c>
      <c r="X61" s="458"/>
      <c r="Y61" s="458">
        <v>0</v>
      </c>
      <c r="Z61" s="458"/>
      <c r="AA61" s="458">
        <v>0</v>
      </c>
      <c r="AB61" s="458"/>
      <c r="AC61" s="458">
        <v>0</v>
      </c>
      <c r="AD61" s="458"/>
      <c r="AE61" s="458">
        <v>0</v>
      </c>
      <c r="AF61" s="461"/>
      <c r="AG61" s="461" t="e">
        <f t="shared" si="3"/>
        <v>#REF!</v>
      </c>
      <c r="AH61" s="454"/>
      <c r="AI61" s="457"/>
      <c r="AJ61" s="454"/>
      <c r="AK61" s="454"/>
      <c r="AL61" s="454"/>
      <c r="AM61" s="454"/>
      <c r="AN61" s="454"/>
      <c r="AO61" s="454"/>
      <c r="AP61" s="454"/>
      <c r="AQ61" s="454"/>
      <c r="AR61" s="454"/>
      <c r="AS61" s="454"/>
      <c r="AT61" s="454"/>
      <c r="AU61" s="454"/>
      <c r="AV61" s="454"/>
      <c r="AW61" s="454"/>
      <c r="AX61" s="454"/>
      <c r="AY61" s="454"/>
      <c r="AZ61" s="454"/>
      <c r="BA61" s="454"/>
      <c r="BB61" s="454"/>
      <c r="BC61" s="454"/>
      <c r="BD61" s="454"/>
      <c r="BE61" s="454"/>
      <c r="BF61" s="454"/>
      <c r="BG61" s="454"/>
      <c r="BH61" s="454"/>
      <c r="BI61" s="454"/>
    </row>
    <row r="62" spans="1:61" s="417" customFormat="1" ht="20.100000000000001" customHeight="1">
      <c r="A62" s="417" t="s">
        <v>476</v>
      </c>
      <c r="D62" s="458">
        <v>1518438.05</v>
      </c>
      <c r="E62" s="458">
        <v>0</v>
      </c>
      <c r="F62" s="458">
        <v>0</v>
      </c>
      <c r="G62" s="458">
        <v>0</v>
      </c>
      <c r="H62" s="458">
        <v>0</v>
      </c>
      <c r="I62" s="458">
        <v>0</v>
      </c>
      <c r="J62" s="458">
        <v>0</v>
      </c>
      <c r="K62" s="458">
        <v>0</v>
      </c>
      <c r="L62" s="458">
        <v>0</v>
      </c>
      <c r="M62" s="458">
        <v>0</v>
      </c>
      <c r="N62" s="458">
        <v>0</v>
      </c>
      <c r="O62" s="458">
        <v>0</v>
      </c>
      <c r="P62" s="458">
        <v>0</v>
      </c>
      <c r="Q62" s="417" t="s">
        <v>476</v>
      </c>
      <c r="R62" s="393"/>
      <c r="T62" s="458">
        <v>0</v>
      </c>
      <c r="U62" s="458">
        <f>'Arts Science District Garage'!L25</f>
        <v>1160554.8399999999</v>
      </c>
      <c r="V62" s="454"/>
      <c r="W62" s="458">
        <v>0</v>
      </c>
      <c r="X62" s="458"/>
      <c r="Y62" s="458">
        <v>0</v>
      </c>
      <c r="Z62" s="458"/>
      <c r="AA62" s="458">
        <v>0</v>
      </c>
      <c r="AB62" s="458"/>
      <c r="AC62" s="458">
        <f>'Parking System'!L29-'Parking System'!L27</f>
        <v>21750117.719999999</v>
      </c>
      <c r="AD62" s="458"/>
      <c r="AE62" s="458">
        <f>Airport!L28-Airport!L26</f>
        <v>7966110.5999999996</v>
      </c>
      <c r="AF62" s="461"/>
      <c r="AG62" s="461">
        <f t="shared" si="3"/>
        <v>32395221.210000001</v>
      </c>
      <c r="AH62" s="454"/>
      <c r="AI62" s="457"/>
      <c r="AJ62" s="454"/>
      <c r="AK62" s="454"/>
      <c r="AL62" s="454"/>
      <c r="AM62" s="454"/>
      <c r="AN62" s="454"/>
      <c r="AO62" s="454"/>
      <c r="AP62" s="454"/>
      <c r="AQ62" s="454"/>
      <c r="AR62" s="454"/>
      <c r="AS62" s="454"/>
      <c r="AT62" s="454"/>
      <c r="AU62" s="454"/>
      <c r="AV62" s="454"/>
      <c r="AW62" s="454"/>
      <c r="AX62" s="454"/>
      <c r="AY62" s="454"/>
      <c r="AZ62" s="454"/>
      <c r="BA62" s="454"/>
      <c r="BB62" s="454"/>
      <c r="BC62" s="454"/>
      <c r="BD62" s="454"/>
      <c r="BE62" s="454"/>
      <c r="BF62" s="454"/>
      <c r="BG62" s="454"/>
      <c r="BH62" s="454"/>
      <c r="BI62" s="454"/>
    </row>
    <row r="63" spans="1:61" s="417" customFormat="1" ht="20.100000000000001" hidden="1" customHeight="1">
      <c r="A63" s="417" t="s">
        <v>16</v>
      </c>
      <c r="D63" s="458"/>
      <c r="E63" s="459"/>
      <c r="F63" s="460"/>
      <c r="G63" s="458"/>
      <c r="H63" s="460"/>
      <c r="I63" s="458"/>
      <c r="J63" s="460"/>
      <c r="K63" s="458"/>
      <c r="L63" s="460"/>
      <c r="M63" s="460"/>
      <c r="N63" s="460"/>
      <c r="O63" s="458"/>
      <c r="P63" s="458"/>
      <c r="Q63" s="417" t="s">
        <v>16</v>
      </c>
      <c r="R63" s="393"/>
      <c r="T63" s="458"/>
      <c r="U63" s="458"/>
      <c r="V63" s="478"/>
      <c r="W63" s="458"/>
      <c r="X63" s="458"/>
      <c r="Y63" s="458"/>
      <c r="Z63" s="458"/>
      <c r="AA63" s="458"/>
      <c r="AB63" s="458"/>
      <c r="AC63" s="458"/>
      <c r="AD63" s="458"/>
      <c r="AE63" s="458"/>
      <c r="AF63" s="461"/>
      <c r="AG63" s="461">
        <f t="shared" si="3"/>
        <v>0</v>
      </c>
      <c r="AH63" s="454"/>
      <c r="AI63" s="457"/>
      <c r="AJ63" s="454"/>
      <c r="AK63" s="454"/>
      <c r="AL63" s="454"/>
      <c r="AM63" s="454"/>
      <c r="AN63" s="454"/>
      <c r="AO63" s="454"/>
      <c r="AP63" s="454"/>
      <c r="AQ63" s="454"/>
      <c r="AR63" s="454"/>
      <c r="AS63" s="454"/>
      <c r="AT63" s="454"/>
      <c r="AU63" s="454"/>
      <c r="AV63" s="454"/>
      <c r="AW63" s="454"/>
      <c r="AX63" s="454"/>
      <c r="AY63" s="454"/>
      <c r="AZ63" s="454"/>
      <c r="BA63" s="454"/>
      <c r="BB63" s="454"/>
      <c r="BC63" s="454"/>
      <c r="BD63" s="454"/>
      <c r="BE63" s="454"/>
      <c r="BF63" s="454"/>
      <c r="BG63" s="454"/>
      <c r="BH63" s="454"/>
      <c r="BI63" s="454"/>
    </row>
    <row r="64" spans="1:61" s="417" customFormat="1" ht="20.100000000000001" hidden="1" customHeight="1">
      <c r="A64" s="417" t="s">
        <v>461</v>
      </c>
      <c r="D64" s="460" t="s">
        <v>58</v>
      </c>
      <c r="E64" s="459"/>
      <c r="F64" s="460"/>
      <c r="G64" s="458"/>
      <c r="H64" s="460"/>
      <c r="I64" s="458"/>
      <c r="J64" s="460"/>
      <c r="K64" s="458"/>
      <c r="L64" s="460"/>
      <c r="M64" s="460"/>
      <c r="N64" s="460"/>
      <c r="O64" s="458"/>
      <c r="P64" s="458"/>
      <c r="Q64" s="417" t="s">
        <v>461</v>
      </c>
      <c r="R64" s="393"/>
      <c r="T64" s="458"/>
      <c r="U64" s="458"/>
      <c r="V64" s="478"/>
      <c r="W64" s="458"/>
      <c r="X64" s="458"/>
      <c r="Y64" s="458"/>
      <c r="Z64" s="458"/>
      <c r="AA64" s="458"/>
      <c r="AB64" s="458"/>
      <c r="AC64" s="458"/>
      <c r="AD64" s="458"/>
      <c r="AE64" s="458"/>
      <c r="AF64" s="461"/>
      <c r="AG64" s="461">
        <f t="shared" si="3"/>
        <v>0</v>
      </c>
      <c r="AH64" s="454"/>
      <c r="AI64" s="457"/>
      <c r="AJ64" s="454"/>
      <c r="AK64" s="454"/>
      <c r="AL64" s="454"/>
      <c r="AM64" s="454"/>
      <c r="AN64" s="454"/>
      <c r="AO64" s="454"/>
      <c r="AP64" s="454"/>
      <c r="AQ64" s="454"/>
      <c r="AR64" s="454"/>
      <c r="AS64" s="454"/>
      <c r="AT64" s="454"/>
      <c r="AU64" s="454"/>
      <c r="AV64" s="454"/>
      <c r="AW64" s="454"/>
      <c r="AX64" s="454"/>
      <c r="AY64" s="454"/>
      <c r="AZ64" s="454"/>
      <c r="BA64" s="454"/>
      <c r="BB64" s="454"/>
      <c r="BC64" s="454"/>
      <c r="BD64" s="454"/>
      <c r="BE64" s="454"/>
      <c r="BF64" s="454"/>
      <c r="BG64" s="454"/>
      <c r="BH64" s="454"/>
      <c r="BI64" s="454"/>
    </row>
    <row r="65" spans="1:61" s="363" customFormat="1" ht="18.75">
      <c r="A65" s="454" t="s">
        <v>16</v>
      </c>
      <c r="D65" s="458">
        <v>0</v>
      </c>
      <c r="E65" s="458"/>
      <c r="F65" s="458">
        <v>0</v>
      </c>
      <c r="G65" s="458"/>
      <c r="H65" s="458">
        <v>0</v>
      </c>
      <c r="I65" s="458"/>
      <c r="J65" s="458">
        <v>0</v>
      </c>
      <c r="K65" s="458"/>
      <c r="L65" s="458">
        <v>0</v>
      </c>
      <c r="M65" s="458"/>
      <c r="N65" s="458">
        <v>0</v>
      </c>
      <c r="O65" s="458" t="e">
        <f>#REF!+#REF!+#REF!+#REF!+#REF!</f>
        <v>#REF!</v>
      </c>
      <c r="P65" s="458"/>
      <c r="Q65" s="454" t="s">
        <v>16</v>
      </c>
      <c r="R65" s="588"/>
      <c r="T65" s="458">
        <v>0</v>
      </c>
      <c r="U65" s="458">
        <v>0</v>
      </c>
      <c r="V65" s="454"/>
      <c r="W65" s="458">
        <v>0</v>
      </c>
      <c r="X65" s="458"/>
      <c r="Y65" s="458">
        <f>'Water and Sewer'!L25+'Central Region'!L25</f>
        <v>33116202</v>
      </c>
      <c r="Z65" s="458"/>
      <c r="AA65" s="458">
        <v>0</v>
      </c>
      <c r="AB65" s="458"/>
      <c r="AC65" s="458">
        <v>0</v>
      </c>
      <c r="AD65" s="458"/>
      <c r="AE65" s="458">
        <v>0</v>
      </c>
      <c r="AG65" s="461" t="e">
        <f t="shared" si="3"/>
        <v>#REF!</v>
      </c>
      <c r="AI65" s="364"/>
    </row>
    <row r="66" spans="1:61" s="417" customFormat="1" ht="20.100000000000001" customHeight="1">
      <c r="A66" s="417" t="s">
        <v>460</v>
      </c>
      <c r="D66" s="458">
        <f>9504235+102041</f>
        <v>9606276</v>
      </c>
      <c r="E66" s="459"/>
      <c r="F66" s="460">
        <v>0</v>
      </c>
      <c r="G66" s="458"/>
      <c r="H66" s="458">
        <f>'Sunrise Key'!L21</f>
        <v>80308.3</v>
      </c>
      <c r="I66" s="458"/>
      <c r="J66" s="458">
        <v>0</v>
      </c>
      <c r="K66" s="458">
        <v>0</v>
      </c>
      <c r="L66" s="458">
        <v>0</v>
      </c>
      <c r="M66" s="458">
        <v>0</v>
      </c>
      <c r="N66" s="458">
        <v>0</v>
      </c>
      <c r="O66" s="458">
        <v>0</v>
      </c>
      <c r="P66" s="460"/>
      <c r="Q66" s="417" t="s">
        <v>460</v>
      </c>
      <c r="R66" s="393"/>
      <c r="T66" s="460">
        <v>0</v>
      </c>
      <c r="U66" s="458">
        <v>0</v>
      </c>
      <c r="V66" s="454"/>
      <c r="W66" s="458">
        <v>0</v>
      </c>
      <c r="X66" s="458"/>
      <c r="Y66" s="458">
        <v>0</v>
      </c>
      <c r="Z66" s="458"/>
      <c r="AA66" s="458">
        <v>0</v>
      </c>
      <c r="AB66" s="458"/>
      <c r="AC66" s="458">
        <v>0</v>
      </c>
      <c r="AD66" s="458"/>
      <c r="AE66" s="458">
        <v>0</v>
      </c>
      <c r="AF66" s="461"/>
      <c r="AG66" s="461">
        <f t="shared" si="3"/>
        <v>9686584.3000000007</v>
      </c>
      <c r="AH66" s="454"/>
      <c r="AI66" s="457"/>
      <c r="AJ66" s="454"/>
      <c r="AK66" s="454"/>
      <c r="AL66" s="454"/>
      <c r="AM66" s="454"/>
      <c r="AN66" s="454"/>
      <c r="AO66" s="454"/>
      <c r="AP66" s="454"/>
      <c r="AQ66" s="454"/>
      <c r="AR66" s="454"/>
      <c r="AS66" s="454"/>
      <c r="AT66" s="454"/>
      <c r="AU66" s="454"/>
      <c r="AV66" s="454"/>
      <c r="AW66" s="454"/>
      <c r="AX66" s="454"/>
      <c r="AY66" s="454"/>
      <c r="AZ66" s="454"/>
      <c r="BA66" s="454"/>
      <c r="BB66" s="454"/>
      <c r="BC66" s="454"/>
      <c r="BD66" s="454"/>
      <c r="BE66" s="454"/>
      <c r="BF66" s="454"/>
      <c r="BG66" s="454"/>
      <c r="BH66" s="454"/>
      <c r="BI66" s="454"/>
    </row>
    <row r="67" spans="1:61" s="417" customFormat="1" ht="20.100000000000001" customHeight="1">
      <c r="A67" s="417" t="s">
        <v>574</v>
      </c>
      <c r="C67" s="417" t="s">
        <v>424</v>
      </c>
      <c r="D67" s="463">
        <f>SUM(D39:D66)+2</f>
        <v>258303818.36000001</v>
      </c>
      <c r="E67" s="463">
        <f t="shared" ref="E67:P67" si="4">SUM(E39:E66)</f>
        <v>0</v>
      </c>
      <c r="F67" s="463">
        <f t="shared" si="4"/>
        <v>12213467</v>
      </c>
      <c r="G67" s="463">
        <f t="shared" si="4"/>
        <v>0</v>
      </c>
      <c r="H67" s="463">
        <f t="shared" si="4"/>
        <v>80308.3</v>
      </c>
      <c r="I67" s="463">
        <f t="shared" si="4"/>
        <v>0</v>
      </c>
      <c r="J67" s="463">
        <f t="shared" si="4"/>
        <v>699107</v>
      </c>
      <c r="K67" s="463">
        <f t="shared" si="4"/>
        <v>0</v>
      </c>
      <c r="L67" s="463">
        <f t="shared" si="4"/>
        <v>9371773</v>
      </c>
      <c r="M67" s="463">
        <f t="shared" si="4"/>
        <v>0</v>
      </c>
      <c r="N67" s="463" t="e">
        <f t="shared" si="4"/>
        <v>#REF!</v>
      </c>
      <c r="O67" s="463" t="e">
        <f t="shared" si="4"/>
        <v>#REF!</v>
      </c>
      <c r="P67" s="463">
        <f t="shared" si="4"/>
        <v>0</v>
      </c>
      <c r="Q67" s="417" t="s">
        <v>574</v>
      </c>
      <c r="R67" s="393"/>
      <c r="S67" s="417" t="s">
        <v>424</v>
      </c>
      <c r="T67" s="463">
        <f>SUM(T39:T66)</f>
        <v>1250259</v>
      </c>
      <c r="U67" s="463">
        <f t="shared" ref="U67:AG67" si="5">SUM(U39:U66)</f>
        <v>1160554.8399999999</v>
      </c>
      <c r="V67" s="463">
        <f t="shared" si="5"/>
        <v>0</v>
      </c>
      <c r="W67" s="463">
        <f t="shared" si="5"/>
        <v>23859288</v>
      </c>
      <c r="X67" s="463">
        <f t="shared" si="5"/>
        <v>0</v>
      </c>
      <c r="Y67" s="463">
        <f t="shared" si="5"/>
        <v>131758142.84999999</v>
      </c>
      <c r="Z67" s="463">
        <f t="shared" si="5"/>
        <v>0</v>
      </c>
      <c r="AA67" s="463">
        <f t="shared" si="5"/>
        <v>6029886.1600000001</v>
      </c>
      <c r="AB67" s="463">
        <f t="shared" si="5"/>
        <v>0</v>
      </c>
      <c r="AC67" s="463">
        <f t="shared" si="5"/>
        <v>21750117.719999999</v>
      </c>
      <c r="AD67" s="463">
        <f t="shared" si="5"/>
        <v>0</v>
      </c>
      <c r="AE67" s="463">
        <f t="shared" si="5"/>
        <v>7966110.5999999996</v>
      </c>
      <c r="AF67" s="463">
        <f t="shared" si="5"/>
        <v>0</v>
      </c>
      <c r="AG67" s="463" t="e">
        <f t="shared" si="5"/>
        <v>#REF!</v>
      </c>
      <c r="AH67" s="465"/>
      <c r="AI67" s="457"/>
      <c r="AJ67" s="454"/>
      <c r="AK67" s="454"/>
      <c r="AL67" s="454"/>
      <c r="AM67" s="454"/>
      <c r="AN67" s="454"/>
      <c r="AO67" s="454"/>
      <c r="AP67" s="454"/>
      <c r="AQ67" s="454"/>
      <c r="AR67" s="454"/>
      <c r="AS67" s="454"/>
      <c r="AT67" s="454"/>
      <c r="AU67" s="454"/>
      <c r="AV67" s="454"/>
      <c r="AW67" s="454"/>
      <c r="AX67" s="454"/>
      <c r="AY67" s="454"/>
      <c r="AZ67" s="454"/>
      <c r="BA67" s="454"/>
      <c r="BB67" s="454"/>
      <c r="BC67" s="454"/>
      <c r="BD67" s="454"/>
      <c r="BE67" s="454"/>
      <c r="BF67" s="454"/>
      <c r="BG67" s="454"/>
      <c r="BH67" s="454"/>
      <c r="BI67" s="454"/>
    </row>
    <row r="68" spans="1:61" s="417" customFormat="1" ht="12.75" customHeight="1">
      <c r="D68" s="459"/>
      <c r="E68" s="459"/>
      <c r="F68" s="458"/>
      <c r="G68" s="458"/>
      <c r="H68" s="458"/>
      <c r="I68" s="458"/>
      <c r="J68" s="458"/>
      <c r="K68" s="458"/>
      <c r="L68" s="458"/>
      <c r="M68" s="460"/>
      <c r="N68" s="458"/>
      <c r="O68" s="458"/>
      <c r="P68" s="458"/>
      <c r="R68" s="393"/>
      <c r="T68" s="458"/>
      <c r="U68" s="458"/>
      <c r="V68" s="454"/>
      <c r="W68" s="458"/>
      <c r="X68" s="458"/>
      <c r="Y68" s="458"/>
      <c r="Z68" s="458"/>
      <c r="AA68" s="458"/>
      <c r="AB68" s="458"/>
      <c r="AC68" s="458"/>
      <c r="AD68" s="458"/>
      <c r="AE68" s="458"/>
      <c r="AF68" s="461"/>
      <c r="AG68" s="461"/>
      <c r="AH68" s="454"/>
      <c r="AI68" s="457"/>
      <c r="AJ68" s="454"/>
      <c r="AK68" s="454"/>
      <c r="AL68" s="454"/>
      <c r="AM68" s="454"/>
      <c r="AN68" s="454"/>
      <c r="AO68" s="454"/>
      <c r="AP68" s="454"/>
      <c r="AQ68" s="454"/>
      <c r="AR68" s="454"/>
      <c r="AS68" s="454"/>
      <c r="AT68" s="454"/>
      <c r="AU68" s="454"/>
      <c r="AV68" s="454"/>
      <c r="AW68" s="454"/>
      <c r="AX68" s="454"/>
      <c r="AY68" s="454"/>
      <c r="AZ68" s="454"/>
      <c r="BA68" s="454"/>
      <c r="BB68" s="454"/>
      <c r="BC68" s="454"/>
      <c r="BD68" s="454"/>
      <c r="BE68" s="454"/>
      <c r="BF68" s="454"/>
      <c r="BG68" s="454"/>
      <c r="BH68" s="454"/>
      <c r="BI68" s="454"/>
    </row>
    <row r="69" spans="1:61" s="417" customFormat="1" ht="14.25" customHeight="1">
      <c r="A69" s="417" t="s">
        <v>462</v>
      </c>
      <c r="D69" s="459"/>
      <c r="E69" s="459"/>
      <c r="F69" s="565"/>
      <c r="G69" s="458"/>
      <c r="H69" s="458"/>
      <c r="I69" s="458"/>
      <c r="J69" s="458"/>
      <c r="K69" s="458"/>
      <c r="L69" s="458"/>
      <c r="M69" s="460"/>
      <c r="N69" s="458"/>
      <c r="O69" s="458"/>
      <c r="P69" s="458"/>
      <c r="Q69" s="417" t="s">
        <v>462</v>
      </c>
      <c r="R69" s="393"/>
      <c r="T69" s="458"/>
      <c r="U69" s="458"/>
      <c r="V69" s="454"/>
      <c r="W69" s="458"/>
      <c r="X69" s="458"/>
      <c r="Y69" s="458"/>
      <c r="Z69" s="458"/>
      <c r="AA69" s="458"/>
      <c r="AB69" s="458"/>
      <c r="AC69" s="458"/>
      <c r="AD69" s="458"/>
      <c r="AE69" s="458"/>
      <c r="AF69" s="461"/>
      <c r="AG69" s="461"/>
      <c r="AH69" s="454"/>
      <c r="AI69" s="457"/>
      <c r="AJ69" s="454"/>
      <c r="AK69" s="454"/>
      <c r="AL69" s="454"/>
      <c r="AM69" s="454"/>
      <c r="AN69" s="454"/>
      <c r="AO69" s="454"/>
      <c r="AP69" s="454"/>
      <c r="AQ69" s="454"/>
      <c r="AR69" s="454"/>
      <c r="AS69" s="454"/>
      <c r="AT69" s="454"/>
      <c r="AU69" s="454"/>
      <c r="AV69" s="454"/>
      <c r="AW69" s="454"/>
      <c r="AX69" s="454"/>
      <c r="AY69" s="454"/>
      <c r="AZ69" s="454"/>
      <c r="BA69" s="454"/>
      <c r="BB69" s="454"/>
      <c r="BC69" s="454"/>
      <c r="BD69" s="454"/>
      <c r="BE69" s="454"/>
      <c r="BF69" s="454"/>
      <c r="BG69" s="454"/>
      <c r="BH69" s="454"/>
      <c r="BI69" s="454"/>
    </row>
    <row r="70" spans="1:61" s="417" customFormat="1" ht="18" customHeight="1">
      <c r="A70" s="417" t="s">
        <v>463</v>
      </c>
      <c r="D70" s="458">
        <f>'[1]GF Expend'!$G$54</f>
        <v>2661304</v>
      </c>
      <c r="E70" s="459"/>
      <c r="F70" s="458" t="e">
        <f>#REF!</f>
        <v>#REF!</v>
      </c>
      <c r="G70" s="458">
        <v>0</v>
      </c>
      <c r="H70" s="458">
        <v>0</v>
      </c>
      <c r="I70" s="458">
        <v>0</v>
      </c>
      <c r="J70" s="458">
        <v>0</v>
      </c>
      <c r="K70" s="458">
        <v>0</v>
      </c>
      <c r="L70" s="458">
        <v>0</v>
      </c>
      <c r="M70" s="458">
        <v>0</v>
      </c>
      <c r="N70" s="458" t="e">
        <f>#REF!</f>
        <v>#REF!</v>
      </c>
      <c r="O70" s="458">
        <v>0</v>
      </c>
      <c r="P70" s="458">
        <v>0</v>
      </c>
      <c r="Q70" s="417" t="s">
        <v>463</v>
      </c>
      <c r="R70" s="393"/>
      <c r="T70" s="458">
        <v>0</v>
      </c>
      <c r="U70" s="458">
        <v>0</v>
      </c>
      <c r="V70" s="454"/>
      <c r="W70" s="458">
        <v>0</v>
      </c>
      <c r="X70" s="458">
        <v>0</v>
      </c>
      <c r="Y70" s="458">
        <v>0</v>
      </c>
      <c r="Z70" s="458">
        <v>0</v>
      </c>
      <c r="AA70" s="458">
        <v>0</v>
      </c>
      <c r="AB70" s="458">
        <v>0</v>
      </c>
      <c r="AC70" s="458">
        <v>0</v>
      </c>
      <c r="AD70" s="458">
        <v>0</v>
      </c>
      <c r="AE70" s="458">
        <v>0</v>
      </c>
      <c r="AF70" s="458">
        <v>0</v>
      </c>
      <c r="AG70" s="461" t="e">
        <f>SUM(D70:O70,T70:AE70)</f>
        <v>#REF!</v>
      </c>
      <c r="AH70" s="454"/>
      <c r="AI70" s="457"/>
      <c r="AJ70" s="454"/>
      <c r="AK70" s="454"/>
      <c r="AL70" s="454"/>
      <c r="AM70" s="454"/>
      <c r="AN70" s="454"/>
      <c r="AO70" s="454"/>
      <c r="AP70" s="454"/>
      <c r="AQ70" s="454"/>
      <c r="AR70" s="454"/>
      <c r="AS70" s="454"/>
      <c r="AT70" s="454"/>
      <c r="AU70" s="454"/>
      <c r="AV70" s="454"/>
      <c r="AW70" s="454"/>
      <c r="AX70" s="454"/>
      <c r="AY70" s="454"/>
      <c r="AZ70" s="454"/>
      <c r="BA70" s="454"/>
      <c r="BB70" s="454"/>
      <c r="BC70" s="454"/>
      <c r="BD70" s="454"/>
      <c r="BE70" s="454"/>
      <c r="BF70" s="454"/>
      <c r="BG70" s="454"/>
      <c r="BH70" s="454"/>
      <c r="BI70" s="454"/>
    </row>
    <row r="71" spans="1:61" s="417" customFormat="1" ht="18" customHeight="1">
      <c r="A71" s="417" t="s">
        <v>464</v>
      </c>
      <c r="D71" s="458">
        <f>'[1]GF Expend'!$G$55</f>
        <v>0</v>
      </c>
      <c r="E71" s="459"/>
      <c r="F71" s="458">
        <v>0</v>
      </c>
      <c r="G71" s="458">
        <v>0</v>
      </c>
      <c r="H71" s="458">
        <v>0</v>
      </c>
      <c r="I71" s="458">
        <v>0</v>
      </c>
      <c r="J71" s="458">
        <v>0</v>
      </c>
      <c r="K71" s="458">
        <v>0</v>
      </c>
      <c r="L71" s="458">
        <v>0</v>
      </c>
      <c r="M71" s="458">
        <v>0</v>
      </c>
      <c r="N71" s="458">
        <v>0</v>
      </c>
      <c r="O71" s="458">
        <v>0</v>
      </c>
      <c r="P71" s="458">
        <v>0</v>
      </c>
      <c r="Q71" s="417" t="s">
        <v>464</v>
      </c>
      <c r="R71" s="393"/>
      <c r="T71" s="458">
        <v>0</v>
      </c>
      <c r="U71" s="458">
        <v>0</v>
      </c>
      <c r="V71" s="454"/>
      <c r="W71" s="458">
        <v>0</v>
      </c>
      <c r="X71" s="458"/>
      <c r="Y71" s="458">
        <v>0</v>
      </c>
      <c r="Z71" s="458"/>
      <c r="AA71" s="458">
        <v>0</v>
      </c>
      <c r="AB71" s="458"/>
      <c r="AC71" s="458">
        <v>0</v>
      </c>
      <c r="AD71" s="458"/>
      <c r="AE71" s="458">
        <v>0</v>
      </c>
      <c r="AF71" s="461"/>
      <c r="AG71" s="461">
        <f>SUM(D71:O71,T71:AE71)</f>
        <v>0</v>
      </c>
      <c r="AH71" s="454"/>
      <c r="AI71" s="457"/>
      <c r="AJ71" s="454"/>
      <c r="AK71" s="454"/>
      <c r="AL71" s="454"/>
      <c r="AM71" s="454"/>
      <c r="AN71" s="454"/>
      <c r="AO71" s="454"/>
      <c r="AP71" s="454"/>
      <c r="AQ71" s="454"/>
      <c r="AR71" s="454"/>
      <c r="AS71" s="454"/>
      <c r="AT71" s="454"/>
      <c r="AU71" s="454"/>
      <c r="AV71" s="454"/>
      <c r="AW71" s="454"/>
      <c r="AX71" s="454"/>
      <c r="AY71" s="454"/>
      <c r="AZ71" s="454"/>
      <c r="BA71" s="454"/>
      <c r="BB71" s="454"/>
      <c r="BC71" s="454"/>
      <c r="BD71" s="454"/>
      <c r="BE71" s="454"/>
      <c r="BF71" s="454"/>
      <c r="BG71" s="454"/>
      <c r="BH71" s="454"/>
      <c r="BI71" s="454"/>
    </row>
    <row r="72" spans="1:61" s="417" customFormat="1" ht="18" customHeight="1">
      <c r="A72" s="417" t="s">
        <v>465</v>
      </c>
      <c r="D72" s="472">
        <f>'[1]GF Expend'!$G$56</f>
        <v>0</v>
      </c>
      <c r="E72" s="459"/>
      <c r="F72" s="458" t="e">
        <f>'CRA-Beach'!L27+'CRA-NW Progresso'!L25-#REF!</f>
        <v>#REF!</v>
      </c>
      <c r="G72" s="458">
        <v>0</v>
      </c>
      <c r="H72" s="458">
        <v>0</v>
      </c>
      <c r="I72" s="458">
        <v>0</v>
      </c>
      <c r="J72" s="458">
        <v>0</v>
      </c>
      <c r="K72" s="458">
        <v>0</v>
      </c>
      <c r="L72" s="458">
        <f>'Housing and Community Dev'!L26</f>
        <v>0</v>
      </c>
      <c r="M72" s="458">
        <v>0</v>
      </c>
      <c r="N72" s="458">
        <v>0</v>
      </c>
      <c r="O72" s="458">
        <v>0</v>
      </c>
      <c r="P72" s="458">
        <v>0</v>
      </c>
      <c r="Q72" s="417" t="s">
        <v>465</v>
      </c>
      <c r="R72" s="393"/>
      <c r="T72" s="458">
        <v>0</v>
      </c>
      <c r="U72" s="470">
        <v>0</v>
      </c>
      <c r="V72" s="454"/>
      <c r="W72" s="470">
        <v>0</v>
      </c>
      <c r="X72" s="458"/>
      <c r="Y72" s="470">
        <f>'Water and Sewer'!L27+'Central Region'!L26</f>
        <v>6227268</v>
      </c>
      <c r="Z72" s="458"/>
      <c r="AA72" s="470">
        <f>Stormwater!L26</f>
        <v>0</v>
      </c>
      <c r="AB72" s="458"/>
      <c r="AC72" s="470">
        <f>'Parking System'!L27</f>
        <v>0</v>
      </c>
      <c r="AD72" s="458"/>
      <c r="AE72" s="470">
        <f>Airport!L26</f>
        <v>585868</v>
      </c>
      <c r="AF72" s="461"/>
      <c r="AG72" s="461" t="e">
        <f>SUM(D72:O72,T72:AE72)</f>
        <v>#REF!</v>
      </c>
      <c r="AH72" s="454"/>
      <c r="AI72" s="457"/>
      <c r="AJ72" s="454"/>
      <c r="AK72" s="454"/>
      <c r="AL72" s="454"/>
      <c r="AM72" s="454"/>
      <c r="AN72" s="454"/>
      <c r="AO72" s="454"/>
      <c r="AP72" s="454"/>
      <c r="AQ72" s="454"/>
      <c r="AR72" s="454"/>
      <c r="AS72" s="454"/>
      <c r="AT72" s="454"/>
      <c r="AU72" s="454"/>
      <c r="AV72" s="454"/>
      <c r="AW72" s="454"/>
      <c r="AX72" s="454"/>
      <c r="AY72" s="454"/>
      <c r="AZ72" s="454"/>
      <c r="BA72" s="454"/>
      <c r="BB72" s="454"/>
      <c r="BC72" s="454"/>
      <c r="BD72" s="454"/>
      <c r="BE72" s="454"/>
      <c r="BF72" s="454"/>
      <c r="BG72" s="454"/>
      <c r="BH72" s="454"/>
      <c r="BI72" s="454"/>
    </row>
    <row r="73" spans="1:61" s="417" customFormat="1" ht="18" customHeight="1">
      <c r="A73" s="417" t="s">
        <v>587</v>
      </c>
      <c r="C73" s="417" t="s">
        <v>424</v>
      </c>
      <c r="D73" s="462">
        <f>SUM(D70:D72)</f>
        <v>2661304</v>
      </c>
      <c r="E73" s="459"/>
      <c r="F73" s="463" t="e">
        <f>SUM(F70:F72)</f>
        <v>#REF!</v>
      </c>
      <c r="G73" s="458">
        <f>SUM(G37:G72)</f>
        <v>0</v>
      </c>
      <c r="H73" s="463">
        <f>SUM(H70:H72)</f>
        <v>0</v>
      </c>
      <c r="I73" s="460"/>
      <c r="J73" s="463">
        <f>SUM(J70:J72)</f>
        <v>0</v>
      </c>
      <c r="K73" s="458">
        <f>SUM(K37:K72)</f>
        <v>0</v>
      </c>
      <c r="L73" s="463">
        <f>SUM(L70:L72)</f>
        <v>0</v>
      </c>
      <c r="M73" s="460"/>
      <c r="N73" s="463" t="e">
        <f>SUM(N70:N72)</f>
        <v>#REF!</v>
      </c>
      <c r="O73" s="463">
        <f>SUM(O70:O72)</f>
        <v>0</v>
      </c>
      <c r="P73" s="460"/>
      <c r="Q73" s="417" t="s">
        <v>587</v>
      </c>
      <c r="R73" s="393"/>
      <c r="S73" s="417" t="s">
        <v>424</v>
      </c>
      <c r="T73" s="463">
        <f>SUM(T70:T72)</f>
        <v>0</v>
      </c>
      <c r="U73" s="463">
        <f>SUM(U70:U72)</f>
        <v>0</v>
      </c>
      <c r="V73" s="454"/>
      <c r="W73" s="463">
        <f>SUM(W70:W72)</f>
        <v>0</v>
      </c>
      <c r="X73" s="458">
        <f>SUM(X37:X72)</f>
        <v>0</v>
      </c>
      <c r="Y73" s="463">
        <f>SUM(Y70:Y72)</f>
        <v>6227268</v>
      </c>
      <c r="Z73" s="458">
        <f>SUM(Z37:Z72)</f>
        <v>0</v>
      </c>
      <c r="AA73" s="463">
        <f>SUM(AA70:AA72)</f>
        <v>0</v>
      </c>
      <c r="AB73" s="458">
        <f>SUM(AB37:AB72)</f>
        <v>0</v>
      </c>
      <c r="AC73" s="463">
        <f>SUM(AC70:AC72)</f>
        <v>0</v>
      </c>
      <c r="AD73" s="458">
        <f>SUM(AD37:AD72)</f>
        <v>0</v>
      </c>
      <c r="AE73" s="463">
        <f>SUM(AE70:AE72)</f>
        <v>585868</v>
      </c>
      <c r="AF73" s="461">
        <f>SUM(AF37:AF72)</f>
        <v>0</v>
      </c>
      <c r="AG73" s="464" t="e">
        <f>SUM(AG70:AG72)</f>
        <v>#REF!</v>
      </c>
      <c r="AH73" s="454"/>
      <c r="AI73" s="457"/>
      <c r="AJ73" s="454"/>
      <c r="AK73" s="454"/>
      <c r="AL73" s="454"/>
      <c r="AM73" s="454"/>
      <c r="AN73" s="454"/>
      <c r="AO73" s="454"/>
      <c r="AP73" s="454"/>
      <c r="AQ73" s="454"/>
      <c r="AR73" s="454"/>
      <c r="AS73" s="454"/>
      <c r="AT73" s="454"/>
      <c r="AU73" s="454"/>
      <c r="AV73" s="454"/>
      <c r="AW73" s="454"/>
      <c r="AX73" s="454"/>
      <c r="AY73" s="454"/>
      <c r="AZ73" s="454"/>
      <c r="BA73" s="454"/>
      <c r="BB73" s="454"/>
      <c r="BC73" s="454"/>
      <c r="BD73" s="454"/>
      <c r="BE73" s="454"/>
      <c r="BF73" s="454"/>
      <c r="BG73" s="454"/>
      <c r="BH73" s="454"/>
      <c r="BI73" s="454"/>
    </row>
    <row r="74" spans="1:61" s="417" customFormat="1" ht="18.75">
      <c r="D74" s="459"/>
      <c r="E74" s="459"/>
      <c r="F74" s="458"/>
      <c r="G74" s="458"/>
      <c r="H74" s="458"/>
      <c r="I74" s="458"/>
      <c r="J74" s="458"/>
      <c r="K74" s="458"/>
      <c r="L74" s="458"/>
      <c r="M74" s="460"/>
      <c r="N74" s="458"/>
      <c r="O74" s="458"/>
      <c r="P74" s="458"/>
      <c r="R74" s="393"/>
      <c r="T74" s="458"/>
      <c r="U74" s="458"/>
      <c r="V74" s="454"/>
      <c r="W74" s="458"/>
      <c r="X74" s="458"/>
      <c r="Y74" s="458"/>
      <c r="Z74" s="458"/>
      <c r="AA74" s="458"/>
      <c r="AB74" s="458"/>
      <c r="AC74" s="458"/>
      <c r="AD74" s="458"/>
      <c r="AE74" s="458"/>
      <c r="AF74" s="461"/>
      <c r="AG74" s="461"/>
      <c r="AH74" s="454"/>
      <c r="AI74" s="457"/>
      <c r="AJ74" s="454"/>
      <c r="AK74" s="454"/>
      <c r="AL74" s="454"/>
      <c r="AM74" s="454"/>
      <c r="AN74" s="454"/>
      <c r="AO74" s="454"/>
      <c r="AP74" s="454"/>
      <c r="AQ74" s="454"/>
      <c r="AR74" s="454"/>
      <c r="AS74" s="454"/>
      <c r="AT74" s="454"/>
      <c r="AU74" s="454"/>
      <c r="AV74" s="454"/>
      <c r="AW74" s="454"/>
      <c r="AX74" s="454"/>
      <c r="AY74" s="454"/>
      <c r="AZ74" s="454"/>
      <c r="BA74" s="454"/>
      <c r="BB74" s="454"/>
      <c r="BC74" s="454"/>
      <c r="BD74" s="454"/>
      <c r="BE74" s="454"/>
      <c r="BF74" s="454"/>
      <c r="BG74" s="454"/>
      <c r="BH74" s="454"/>
      <c r="BI74" s="454"/>
    </row>
    <row r="75" spans="1:61" s="417" customFormat="1" ht="17.25" customHeight="1">
      <c r="A75" s="417" t="s">
        <v>466</v>
      </c>
      <c r="D75" s="459"/>
      <c r="E75" s="459"/>
      <c r="F75" s="458"/>
      <c r="G75" s="458"/>
      <c r="H75" s="458"/>
      <c r="I75" s="458"/>
      <c r="J75" s="458"/>
      <c r="K75" s="458"/>
      <c r="L75" s="458"/>
      <c r="M75" s="460"/>
      <c r="N75" s="458"/>
      <c r="O75" s="458"/>
      <c r="P75" s="458"/>
      <c r="Q75" s="417" t="s">
        <v>466</v>
      </c>
      <c r="R75" s="393"/>
      <c r="T75" s="458"/>
      <c r="U75" s="458"/>
      <c r="V75" s="454"/>
      <c r="W75" s="458"/>
      <c r="X75" s="458"/>
      <c r="Y75" s="458"/>
      <c r="Z75" s="458"/>
      <c r="AA75" s="458"/>
      <c r="AB75" s="458"/>
      <c r="AC75" s="458"/>
      <c r="AD75" s="458"/>
      <c r="AE75" s="458"/>
      <c r="AF75" s="461"/>
      <c r="AG75" s="461"/>
      <c r="AH75" s="454"/>
      <c r="AI75" s="457"/>
      <c r="AJ75" s="454"/>
      <c r="AK75" s="454"/>
      <c r="AL75" s="454"/>
      <c r="AM75" s="454"/>
      <c r="AN75" s="454"/>
      <c r="AO75" s="454"/>
      <c r="AP75" s="454"/>
      <c r="AQ75" s="454"/>
      <c r="AR75" s="454"/>
      <c r="AS75" s="454"/>
      <c r="AT75" s="454"/>
      <c r="AU75" s="454"/>
      <c r="AV75" s="454"/>
      <c r="AW75" s="454"/>
      <c r="AX75" s="454"/>
      <c r="AY75" s="454"/>
      <c r="AZ75" s="454"/>
      <c r="BA75" s="454"/>
      <c r="BB75" s="454"/>
      <c r="BC75" s="454"/>
      <c r="BD75" s="454"/>
      <c r="BE75" s="454"/>
      <c r="BF75" s="454"/>
      <c r="BG75" s="454"/>
      <c r="BH75" s="454"/>
      <c r="BI75" s="454"/>
    </row>
    <row r="76" spans="1:61" s="417" customFormat="1" ht="18" customHeight="1">
      <c r="A76" s="417" t="s">
        <v>36</v>
      </c>
      <c r="D76" s="458">
        <f>'[1]GF Expend'!$G$60</f>
        <v>0</v>
      </c>
      <c r="E76" s="459"/>
      <c r="F76" s="458">
        <f>'CRA-NW Progresso'!L32</f>
        <v>0</v>
      </c>
      <c r="G76" s="458"/>
      <c r="H76" s="458">
        <f>'Sunrise Key'!L24</f>
        <v>99940.169999999969</v>
      </c>
      <c r="I76" s="458"/>
      <c r="J76" s="458">
        <f>'Beach Bus Improv District'!L25</f>
        <v>404874</v>
      </c>
      <c r="K76" s="458"/>
      <c r="L76" s="458">
        <v>0</v>
      </c>
      <c r="M76" s="460"/>
      <c r="N76" s="458" t="e">
        <f>#REF!+#REF!+#REF!</f>
        <v>#REF!</v>
      </c>
      <c r="O76" s="458">
        <v>0</v>
      </c>
      <c r="P76" s="458"/>
      <c r="Q76" s="417" t="s">
        <v>36</v>
      </c>
      <c r="R76" s="393"/>
      <c r="T76" s="458">
        <v>0</v>
      </c>
      <c r="U76" s="458">
        <v>0</v>
      </c>
      <c r="V76" s="454"/>
      <c r="W76" s="458">
        <f>Sanitation!L31</f>
        <v>0</v>
      </c>
      <c r="X76" s="458"/>
      <c r="Y76" s="458">
        <f>'Water and Sewer'!L33+'Central Region'!L32</f>
        <v>0</v>
      </c>
      <c r="Z76" s="458"/>
      <c r="AA76" s="458">
        <f>Stormwater!L32</f>
        <v>13107307</v>
      </c>
      <c r="AB76" s="458"/>
      <c r="AC76" s="458">
        <f>'Parking System'!L33</f>
        <v>3533101.8649315084</v>
      </c>
      <c r="AD76" s="458"/>
      <c r="AE76" s="460">
        <f>Airport!L31</f>
        <v>13024398</v>
      </c>
      <c r="AF76" s="461"/>
      <c r="AG76" s="461" t="e">
        <f>SUM(D76:O76,T76:AE76)</f>
        <v>#REF!</v>
      </c>
      <c r="AH76" s="454"/>
      <c r="AI76" s="457"/>
      <c r="AJ76" s="454"/>
      <c r="AK76" s="454"/>
      <c r="AL76" s="454"/>
      <c r="AM76" s="454"/>
      <c r="AN76" s="454"/>
      <c r="AO76" s="454"/>
      <c r="AP76" s="454"/>
      <c r="AQ76" s="454"/>
      <c r="AR76" s="454"/>
      <c r="AS76" s="454"/>
      <c r="AT76" s="454"/>
      <c r="AU76" s="454"/>
      <c r="AV76" s="454"/>
      <c r="AW76" s="454"/>
      <c r="AX76" s="454"/>
      <c r="AY76" s="454"/>
      <c r="AZ76" s="454"/>
      <c r="BA76" s="454"/>
      <c r="BB76" s="454"/>
      <c r="BC76" s="454"/>
      <c r="BD76" s="454"/>
      <c r="BE76" s="454"/>
      <c r="BF76" s="454"/>
      <c r="BG76" s="454"/>
      <c r="BH76" s="454"/>
      <c r="BI76" s="454"/>
    </row>
    <row r="77" spans="1:61" s="417" customFormat="1" ht="18" customHeight="1">
      <c r="A77" s="417" t="s">
        <v>37</v>
      </c>
      <c r="D77" s="458">
        <v>0</v>
      </c>
      <c r="E77" s="459"/>
      <c r="F77" s="458">
        <v>0</v>
      </c>
      <c r="G77" s="458">
        <v>0</v>
      </c>
      <c r="H77" s="458">
        <v>0</v>
      </c>
      <c r="I77" s="458">
        <v>0</v>
      </c>
      <c r="J77" s="458">
        <v>0</v>
      </c>
      <c r="K77" s="458">
        <v>0</v>
      </c>
      <c r="L77" s="458">
        <v>0</v>
      </c>
      <c r="M77" s="458">
        <v>0</v>
      </c>
      <c r="N77" s="458">
        <v>0</v>
      </c>
      <c r="O77" s="458">
        <v>0</v>
      </c>
      <c r="P77" s="458">
        <v>0</v>
      </c>
      <c r="Q77" s="417" t="s">
        <v>37</v>
      </c>
      <c r="R77" s="393"/>
      <c r="T77" s="458">
        <v>0</v>
      </c>
      <c r="U77" s="458">
        <f>0</f>
        <v>0</v>
      </c>
      <c r="V77" s="458">
        <f>0</f>
        <v>0</v>
      </c>
      <c r="W77" s="458">
        <f>0</f>
        <v>0</v>
      </c>
      <c r="X77" s="458">
        <f>0</f>
        <v>0</v>
      </c>
      <c r="Y77" s="458">
        <f>0</f>
        <v>0</v>
      </c>
      <c r="Z77" s="458">
        <f>0</f>
        <v>0</v>
      </c>
      <c r="AA77" s="458">
        <f>0</f>
        <v>0</v>
      </c>
      <c r="AB77" s="458">
        <f>0</f>
        <v>0</v>
      </c>
      <c r="AC77" s="458">
        <f>0</f>
        <v>0</v>
      </c>
      <c r="AD77" s="458">
        <f>0</f>
        <v>0</v>
      </c>
      <c r="AE77" s="458">
        <f>0</f>
        <v>0</v>
      </c>
      <c r="AF77" s="458">
        <f>0</f>
        <v>0</v>
      </c>
      <c r="AG77" s="467">
        <f>SUM(D77:T77,U77:AE77)</f>
        <v>0</v>
      </c>
      <c r="AH77" s="454"/>
      <c r="AI77" s="457"/>
      <c r="AJ77" s="454"/>
      <c r="AK77" s="454"/>
      <c r="AL77" s="454"/>
      <c r="AM77" s="454"/>
      <c r="AN77" s="454"/>
      <c r="AO77" s="454"/>
      <c r="AP77" s="454"/>
      <c r="AQ77" s="454"/>
      <c r="AR77" s="454"/>
      <c r="AS77" s="454"/>
      <c r="AT77" s="454"/>
      <c r="AU77" s="454"/>
      <c r="AV77" s="454"/>
      <c r="AW77" s="454"/>
      <c r="AX77" s="454"/>
      <c r="AY77" s="454"/>
      <c r="AZ77" s="454"/>
      <c r="BA77" s="454"/>
      <c r="BB77" s="454"/>
      <c r="BC77" s="454"/>
      <c r="BD77" s="454"/>
      <c r="BE77" s="454"/>
      <c r="BF77" s="454"/>
      <c r="BG77" s="454"/>
      <c r="BH77" s="454"/>
      <c r="BI77" s="454"/>
    </row>
    <row r="78" spans="1:61" s="417" customFormat="1" ht="18" customHeight="1">
      <c r="A78" s="417" t="s">
        <v>467</v>
      </c>
      <c r="D78" s="470">
        <f>'[1]GF Expend'!$G$64</f>
        <v>3914956</v>
      </c>
      <c r="E78" s="459"/>
      <c r="F78" s="470">
        <v>0</v>
      </c>
      <c r="G78" s="458"/>
      <c r="H78" s="458">
        <v>0</v>
      </c>
      <c r="I78" s="460"/>
      <c r="J78" s="458">
        <v>0</v>
      </c>
      <c r="K78" s="458"/>
      <c r="L78" s="458">
        <v>0</v>
      </c>
      <c r="M78" s="460"/>
      <c r="N78" s="458" t="e">
        <f>#REF!+#REF!+#REF!</f>
        <v>#REF!</v>
      </c>
      <c r="O78" s="470" t="e">
        <f>#REF!+#REF!+#REF!+#REF!</f>
        <v>#REF!</v>
      </c>
      <c r="P78" s="458"/>
      <c r="Q78" s="417" t="s">
        <v>467</v>
      </c>
      <c r="R78" s="393"/>
      <c r="T78" s="458">
        <f>Cemtery!L25</f>
        <v>24879487.120000001</v>
      </c>
      <c r="U78" s="470">
        <v>0</v>
      </c>
      <c r="V78" s="454"/>
      <c r="W78" s="458">
        <f>Sanitation!L30</f>
        <v>2310762.31</v>
      </c>
      <c r="X78" s="458"/>
      <c r="Y78" s="470">
        <f>'Water and Sewer'!L32+'Central Region'!L31</f>
        <v>47374438.145342462</v>
      </c>
      <c r="Z78" s="458"/>
      <c r="AA78" s="470">
        <v>0</v>
      </c>
      <c r="AB78" s="458"/>
      <c r="AC78" s="458">
        <f>'Parking System'!L32</f>
        <v>3778896.0750684929</v>
      </c>
      <c r="AD78" s="458"/>
      <c r="AE78" s="470">
        <v>0</v>
      </c>
      <c r="AF78" s="461"/>
      <c r="AG78" s="461" t="e">
        <f>SUM(D78:O78,T78:AE78)</f>
        <v>#REF!</v>
      </c>
      <c r="AH78" s="454"/>
      <c r="AI78" s="457"/>
      <c r="AJ78" s="454"/>
      <c r="AK78" s="454"/>
      <c r="AL78" s="454"/>
      <c r="AM78" s="454"/>
      <c r="AN78" s="454"/>
      <c r="AO78" s="454"/>
      <c r="AP78" s="454"/>
      <c r="AQ78" s="454"/>
      <c r="AR78" s="454"/>
      <c r="AS78" s="454"/>
      <c r="AT78" s="454"/>
      <c r="AU78" s="454"/>
      <c r="AV78" s="454"/>
      <c r="AW78" s="454"/>
      <c r="AX78" s="454"/>
      <c r="AY78" s="454"/>
      <c r="AZ78" s="454"/>
      <c r="BA78" s="454"/>
      <c r="BB78" s="454"/>
      <c r="BC78" s="454"/>
      <c r="BD78" s="454"/>
      <c r="BE78" s="454"/>
      <c r="BF78" s="454"/>
      <c r="BG78" s="454"/>
      <c r="BH78" s="454"/>
      <c r="BI78" s="454"/>
    </row>
    <row r="79" spans="1:61" s="417" customFormat="1" ht="18" customHeight="1">
      <c r="A79" s="417" t="s">
        <v>468</v>
      </c>
      <c r="D79" s="462">
        <f>SUM(D76:D78)</f>
        <v>3914956</v>
      </c>
      <c r="E79" s="459"/>
      <c r="F79" s="463">
        <f>SUM(F76:F78)</f>
        <v>0</v>
      </c>
      <c r="G79" s="458"/>
      <c r="H79" s="463">
        <f>SUM(H76:H78)</f>
        <v>99940.169999999969</v>
      </c>
      <c r="I79" s="460"/>
      <c r="J79" s="463">
        <f>SUM(J76:J78)</f>
        <v>404874</v>
      </c>
      <c r="K79" s="458"/>
      <c r="L79" s="463">
        <f>SUM(L76:L78)</f>
        <v>0</v>
      </c>
      <c r="M79" s="460"/>
      <c r="N79" s="463" t="e">
        <f>SUM(N76:N78)</f>
        <v>#REF!</v>
      </c>
      <c r="O79" s="463" t="e">
        <f>SUM(O76:O78)</f>
        <v>#REF!</v>
      </c>
      <c r="P79" s="460"/>
      <c r="Q79" s="417" t="s">
        <v>468</v>
      </c>
      <c r="R79" s="393"/>
      <c r="T79" s="463">
        <f>SUM(T76:T78)</f>
        <v>24879487.120000001</v>
      </c>
      <c r="U79" s="463">
        <f>SUM(U76:U78)</f>
        <v>0</v>
      </c>
      <c r="V79" s="454"/>
      <c r="W79" s="463">
        <f>SUM(W76:W78)</f>
        <v>2310762.31</v>
      </c>
      <c r="X79" s="458"/>
      <c r="Y79" s="463">
        <f>SUM(Y76:Y78)</f>
        <v>47374438.145342462</v>
      </c>
      <c r="Z79" s="458"/>
      <c r="AA79" s="463">
        <f>SUM(AA76:AA78)</f>
        <v>13107307</v>
      </c>
      <c r="AB79" s="458"/>
      <c r="AC79" s="463">
        <f>SUM(AC76:AC78)</f>
        <v>7311997.9400000013</v>
      </c>
      <c r="AD79" s="458"/>
      <c r="AE79" s="463">
        <f>SUM(AE76:AE78)</f>
        <v>13024398</v>
      </c>
      <c r="AF79" s="461"/>
      <c r="AG79" s="464" t="e">
        <f>SUM(AG76:AG78)</f>
        <v>#REF!</v>
      </c>
      <c r="AH79" s="454"/>
      <c r="AI79" s="457"/>
      <c r="AJ79" s="454"/>
      <c r="AK79" s="454"/>
      <c r="AL79" s="454"/>
      <c r="AM79" s="454"/>
      <c r="AN79" s="454"/>
      <c r="AO79" s="454"/>
      <c r="AP79" s="454"/>
      <c r="AQ79" s="454"/>
      <c r="AR79" s="454"/>
      <c r="AS79" s="454"/>
      <c r="AT79" s="454"/>
      <c r="AU79" s="454"/>
      <c r="AV79" s="454"/>
      <c r="AW79" s="454"/>
      <c r="AX79" s="454"/>
      <c r="AY79" s="454"/>
      <c r="AZ79" s="454"/>
      <c r="BA79" s="454"/>
      <c r="BB79" s="454"/>
      <c r="BC79" s="454"/>
      <c r="BD79" s="454"/>
      <c r="BE79" s="454"/>
      <c r="BF79" s="454"/>
      <c r="BG79" s="454"/>
      <c r="BH79" s="454"/>
      <c r="BI79" s="454"/>
    </row>
    <row r="80" spans="1:61" s="417" customFormat="1" ht="8.25" customHeight="1">
      <c r="D80" s="469"/>
      <c r="F80" s="454"/>
      <c r="G80" s="454"/>
      <c r="H80" s="454"/>
      <c r="I80" s="454"/>
      <c r="J80" s="454"/>
      <c r="K80" s="454"/>
      <c r="L80" s="454"/>
      <c r="M80" s="478"/>
      <c r="N80" s="454"/>
      <c r="O80" s="454"/>
      <c r="P80" s="454"/>
      <c r="R80" s="393"/>
      <c r="T80" s="454"/>
      <c r="U80" s="454"/>
      <c r="V80" s="454"/>
      <c r="W80" s="454"/>
      <c r="X80" s="454"/>
      <c r="Y80" s="454"/>
      <c r="Z80" s="454"/>
      <c r="AA80" s="454"/>
      <c r="AB80" s="454"/>
      <c r="AC80" s="454"/>
      <c r="AD80" s="454"/>
      <c r="AE80" s="454"/>
      <c r="AF80" s="461"/>
      <c r="AG80" s="467"/>
      <c r="AH80" s="454"/>
      <c r="AI80" s="457"/>
      <c r="AJ80" s="454"/>
      <c r="AK80" s="454"/>
      <c r="AL80" s="454"/>
      <c r="AM80" s="454"/>
      <c r="AN80" s="454"/>
      <c r="AO80" s="454"/>
      <c r="AP80" s="454"/>
      <c r="AQ80" s="454"/>
      <c r="AR80" s="454"/>
      <c r="AS80" s="454"/>
      <c r="AT80" s="454"/>
      <c r="AU80" s="454"/>
      <c r="AV80" s="454"/>
      <c r="AW80" s="454"/>
      <c r="AX80" s="454"/>
      <c r="AY80" s="454"/>
      <c r="AZ80" s="454"/>
      <c r="BA80" s="454"/>
      <c r="BB80" s="454"/>
      <c r="BC80" s="454"/>
      <c r="BD80" s="454"/>
      <c r="BE80" s="454"/>
      <c r="BF80" s="454"/>
      <c r="BG80" s="454"/>
      <c r="BH80" s="454"/>
      <c r="BI80" s="454"/>
    </row>
    <row r="81" spans="1:61" s="417" customFormat="1" ht="21.95" customHeight="1" thickBot="1">
      <c r="A81" s="476" t="s">
        <v>25</v>
      </c>
      <c r="B81" s="449"/>
      <c r="C81" s="417" t="s">
        <v>424</v>
      </c>
      <c r="D81" s="480">
        <f>D67+D73+D79-1</f>
        <v>264880077.36000001</v>
      </c>
      <c r="E81" s="469"/>
      <c r="F81" s="480" t="e">
        <f>F67+F73+F79</f>
        <v>#REF!</v>
      </c>
      <c r="G81" s="481">
        <f>G72+G76</f>
        <v>0</v>
      </c>
      <c r="H81" s="480">
        <f>H67+H73+H79</f>
        <v>180248.46999999997</v>
      </c>
      <c r="I81" s="467"/>
      <c r="J81" s="480">
        <f>J67+J73+J79</f>
        <v>1103981</v>
      </c>
      <c r="K81" s="481">
        <f>K72+K76</f>
        <v>0</v>
      </c>
      <c r="L81" s="480">
        <f>L67+L73+L79</f>
        <v>9371773</v>
      </c>
      <c r="M81" s="467"/>
      <c r="N81" s="480" t="e">
        <f>N67+N73+N79</f>
        <v>#REF!</v>
      </c>
      <c r="O81" s="482" t="e">
        <f>O67+O73+O79</f>
        <v>#REF!</v>
      </c>
      <c r="P81" s="483"/>
      <c r="Q81" s="476" t="s">
        <v>25</v>
      </c>
      <c r="R81" s="587"/>
      <c r="S81" s="417" t="s">
        <v>424</v>
      </c>
      <c r="T81" s="482">
        <f>T67+T73+T79</f>
        <v>26129746.120000001</v>
      </c>
      <c r="U81" s="480">
        <f>U67+U73+U79</f>
        <v>1160554.8399999999</v>
      </c>
      <c r="V81" s="454"/>
      <c r="W81" s="480">
        <f>W67+W73+W79</f>
        <v>26170050.309999999</v>
      </c>
      <c r="X81" s="481">
        <f>X72+X76</f>
        <v>0</v>
      </c>
      <c r="Y81" s="480">
        <f>Y67+Y73+Y79</f>
        <v>185359848.99534246</v>
      </c>
      <c r="Z81" s="481">
        <f>Z72+Z76</f>
        <v>0</v>
      </c>
      <c r="AA81" s="480">
        <f>AA67+AA73+AA79</f>
        <v>19137193.16</v>
      </c>
      <c r="AB81" s="481">
        <f>AB72+AB76</f>
        <v>0</v>
      </c>
      <c r="AC81" s="480">
        <f>AC67+AC73+AC79</f>
        <v>29062115.66</v>
      </c>
      <c r="AD81" s="481">
        <f>AD72+AD76</f>
        <v>0</v>
      </c>
      <c r="AE81" s="480">
        <f>AE67+AE73+AE79</f>
        <v>21576376.600000001</v>
      </c>
      <c r="AF81" s="481">
        <f>AF73+AF78</f>
        <v>0</v>
      </c>
      <c r="AG81" s="480" t="e">
        <f>AG67+AG73+AG79+0.36+1</f>
        <v>#REF!</v>
      </c>
      <c r="AH81" s="465" t="s">
        <v>58</v>
      </c>
      <c r="AI81" s="457"/>
      <c r="AJ81" s="454"/>
      <c r="AK81" s="454"/>
      <c r="AL81" s="454"/>
      <c r="AM81" s="454"/>
      <c r="AN81" s="454"/>
      <c r="AO81" s="454"/>
      <c r="AP81" s="454"/>
      <c r="AQ81" s="454"/>
      <c r="AR81" s="454"/>
      <c r="AS81" s="454"/>
      <c r="AT81" s="454"/>
      <c r="AU81" s="454"/>
      <c r="AV81" s="454"/>
      <c r="AW81" s="454"/>
      <c r="AX81" s="454"/>
      <c r="AY81" s="454"/>
      <c r="AZ81" s="454"/>
      <c r="BA81" s="454"/>
      <c r="BB81" s="454"/>
      <c r="BC81" s="454"/>
      <c r="BD81" s="454"/>
      <c r="BE81" s="454"/>
      <c r="BF81" s="454"/>
      <c r="BG81" s="454"/>
      <c r="BH81" s="454"/>
      <c r="BI81" s="454"/>
    </row>
    <row r="82" spans="1:61" ht="21" customHeight="1" thickTop="1">
      <c r="A82" s="356"/>
      <c r="B82" s="356"/>
      <c r="C82" s="356"/>
      <c r="D82" s="380"/>
      <c r="E82" s="356"/>
      <c r="F82" s="361"/>
      <c r="G82" s="361"/>
      <c r="H82" s="361"/>
      <c r="I82" s="361"/>
      <c r="J82" s="361"/>
      <c r="K82" s="361"/>
      <c r="L82" s="361"/>
      <c r="M82" s="378"/>
      <c r="N82" s="361"/>
      <c r="O82" s="361"/>
      <c r="P82" s="361"/>
      <c r="Q82" s="361"/>
      <c r="R82" s="583"/>
      <c r="S82" s="361"/>
      <c r="T82" s="361"/>
      <c r="U82" s="361"/>
      <c r="V82" s="361"/>
      <c r="W82" s="361"/>
      <c r="X82" s="361"/>
      <c r="Y82" s="361"/>
      <c r="Z82" s="361"/>
      <c r="AA82" s="361"/>
      <c r="AB82" s="361"/>
      <c r="AC82" s="361"/>
      <c r="AD82" s="361"/>
      <c r="AE82" s="361"/>
      <c r="AF82" s="361"/>
      <c r="AG82" s="375"/>
    </row>
    <row r="83" spans="1:61" ht="9.9499999999999993" customHeight="1">
      <c r="A83" s="356"/>
      <c r="B83" s="356"/>
      <c r="C83" s="356"/>
      <c r="D83" s="380"/>
      <c r="E83" s="356"/>
      <c r="F83" s="361"/>
      <c r="G83" s="361"/>
      <c r="H83" s="361"/>
      <c r="I83" s="361"/>
      <c r="J83" s="361"/>
      <c r="K83" s="361"/>
      <c r="L83" s="361"/>
      <c r="M83" s="378"/>
      <c r="N83" s="361"/>
      <c r="O83" s="361"/>
      <c r="P83" s="361"/>
      <c r="Q83" s="361"/>
      <c r="R83" s="583"/>
      <c r="S83" s="361"/>
      <c r="T83" s="361"/>
      <c r="U83" s="361"/>
      <c r="V83" s="361"/>
      <c r="W83" s="361"/>
      <c r="X83" s="361"/>
      <c r="Y83" s="361"/>
      <c r="Z83" s="361"/>
      <c r="AA83" s="361"/>
      <c r="AB83" s="361"/>
      <c r="AC83" s="361"/>
      <c r="AD83" s="361"/>
      <c r="AE83" s="361"/>
      <c r="AF83" s="361"/>
      <c r="AG83" s="375"/>
    </row>
    <row r="84" spans="1:61" s="381" customFormat="1">
      <c r="A84" s="381" t="s">
        <v>469</v>
      </c>
      <c r="D84" s="566">
        <f>D32-D81</f>
        <v>-259456109.36000001</v>
      </c>
      <c r="F84" s="382" t="e">
        <f>F32-F81</f>
        <v>#REF!</v>
      </c>
      <c r="G84" s="382"/>
      <c r="H84" s="382">
        <f>H32-H81</f>
        <v>0</v>
      </c>
      <c r="I84" s="382"/>
      <c r="J84" s="382">
        <f>J32-J81</f>
        <v>0</v>
      </c>
      <c r="K84" s="382"/>
      <c r="L84" s="382">
        <f>L32-L81</f>
        <v>38123</v>
      </c>
      <c r="M84" s="383"/>
      <c r="N84" s="382" t="e">
        <f>N32-N81</f>
        <v>#REF!</v>
      </c>
      <c r="O84" s="382" t="e">
        <f>O32-O81</f>
        <v>#REF!</v>
      </c>
      <c r="P84" s="382"/>
      <c r="Q84" s="382" t="s">
        <v>469</v>
      </c>
      <c r="R84" s="589"/>
      <c r="S84" s="382"/>
      <c r="T84" s="382">
        <f>T32-T81</f>
        <v>0</v>
      </c>
      <c r="U84" s="382">
        <f>U32-U81</f>
        <v>-4559.9999999997672</v>
      </c>
      <c r="V84" s="382"/>
      <c r="W84" s="382" t="e">
        <f>W32-W81</f>
        <v>#REF!</v>
      </c>
      <c r="X84" s="382">
        <f>X32-X81</f>
        <v>0</v>
      </c>
      <c r="Y84" s="382">
        <f>Y32-Y81</f>
        <v>4.6575367450714111E-3</v>
      </c>
      <c r="Z84" s="382">
        <f>Z32-Z81</f>
        <v>0</v>
      </c>
      <c r="AA84" s="382">
        <f>AA32-AA81</f>
        <v>-6753574.1600000001</v>
      </c>
      <c r="AB84" s="382"/>
      <c r="AC84" s="382">
        <f>AC32-AC81</f>
        <v>0</v>
      </c>
      <c r="AD84" s="382"/>
      <c r="AE84" s="382">
        <f>AE32-AE81</f>
        <v>0.32000000029802322</v>
      </c>
      <c r="AF84" s="382"/>
      <c r="AG84" s="384" t="e">
        <f>AG32-AG81</f>
        <v>#REF!</v>
      </c>
      <c r="AH84" s="384" t="s">
        <v>58</v>
      </c>
      <c r="AI84" s="385"/>
      <c r="AJ84" s="382"/>
      <c r="AK84" s="382"/>
      <c r="AL84" s="382"/>
      <c r="AM84" s="382"/>
      <c r="AN84" s="382"/>
      <c r="AO84" s="382"/>
      <c r="AP84" s="382"/>
      <c r="AQ84" s="382"/>
      <c r="AR84" s="382"/>
      <c r="AS84" s="382"/>
      <c r="AT84" s="382"/>
      <c r="AU84" s="382"/>
      <c r="AV84" s="382"/>
      <c r="AW84" s="382"/>
      <c r="AX84" s="382"/>
      <c r="AY84" s="382"/>
      <c r="AZ84" s="382"/>
      <c r="BA84" s="382"/>
      <c r="BB84" s="382"/>
      <c r="BC84" s="382"/>
      <c r="BD84" s="382"/>
      <c r="BE84" s="382"/>
      <c r="BF84" s="382"/>
      <c r="BG84" s="382"/>
      <c r="BH84" s="382"/>
      <c r="BI84" s="382"/>
    </row>
    <row r="85" spans="1:61">
      <c r="D85" s="571">
        <f>D76/D67</f>
        <v>0</v>
      </c>
      <c r="H85" s="376"/>
      <c r="AD85" s="387"/>
      <c r="AE85" s="387"/>
      <c r="AF85" s="387"/>
      <c r="AG85" s="388"/>
    </row>
    <row r="86" spans="1:61">
      <c r="D86" s="567" t="s">
        <v>58</v>
      </c>
      <c r="AD86" s="387"/>
      <c r="AE86" s="387"/>
      <c r="AF86" s="387"/>
      <c r="AG86" s="388" t="s">
        <v>58</v>
      </c>
    </row>
    <row r="87" spans="1:61">
      <c r="AD87" s="387"/>
      <c r="AE87" s="387"/>
      <c r="AF87" s="387"/>
      <c r="AG87" s="388"/>
    </row>
    <row r="88" spans="1:61">
      <c r="D88" s="567" t="s">
        <v>58</v>
      </c>
      <c r="F88" s="376" t="s">
        <v>58</v>
      </c>
      <c r="W88" s="376" t="s">
        <v>58</v>
      </c>
    </row>
    <row r="90" spans="1:61">
      <c r="D90" s="377" t="s">
        <v>58</v>
      </c>
    </row>
    <row r="91" spans="1:61">
      <c r="F91" s="390" t="s">
        <v>58</v>
      </c>
    </row>
    <row r="92" spans="1:61" ht="23.25">
      <c r="D92" s="568" t="s">
        <v>58</v>
      </c>
      <c r="AA92" s="376" t="s">
        <v>58</v>
      </c>
      <c r="AC92" s="379" t="s">
        <v>58</v>
      </c>
    </row>
    <row r="93" spans="1:61">
      <c r="D93" s="377" t="s">
        <v>58</v>
      </c>
      <c r="W93" s="572" t="s">
        <v>470</v>
      </c>
      <c r="X93" s="572"/>
      <c r="Y93" s="572"/>
      <c r="Z93" s="572"/>
      <c r="AA93" s="572"/>
      <c r="AB93" s="572"/>
      <c r="AC93" s="572"/>
      <c r="AD93" s="572"/>
      <c r="AE93" s="572"/>
    </row>
    <row r="95" spans="1:61" ht="63.75" thickBot="1">
      <c r="W95" s="366" t="s">
        <v>417</v>
      </c>
      <c r="X95" s="367"/>
      <c r="Y95" s="366" t="s">
        <v>418</v>
      </c>
      <c r="Z95" s="367"/>
      <c r="AA95" s="366" t="s">
        <v>419</v>
      </c>
      <c r="AB95" s="367"/>
      <c r="AC95" s="366" t="s">
        <v>471</v>
      </c>
      <c r="AD95" s="367"/>
      <c r="AE95" s="366" t="s">
        <v>421</v>
      </c>
    </row>
    <row r="96" spans="1:61">
      <c r="W96" s="376">
        <f>W81</f>
        <v>26170050.309999999</v>
      </c>
      <c r="Y96" s="376">
        <f>Y81</f>
        <v>185359848.99534246</v>
      </c>
      <c r="AA96" s="376">
        <f>AA81</f>
        <v>19137193.16</v>
      </c>
      <c r="AC96" s="376">
        <f>AC81</f>
        <v>29062115.66</v>
      </c>
      <c r="AE96" s="376">
        <f>AE81</f>
        <v>21576376.600000001</v>
      </c>
      <c r="AG96" s="389">
        <f>SUM(W96:AE97)</f>
        <v>281305584.72534245</v>
      </c>
    </row>
    <row r="98" spans="1:61" ht="21">
      <c r="F98" s="391" t="s">
        <v>58</v>
      </c>
      <c r="AC98" s="363" t="s">
        <v>472</v>
      </c>
      <c r="AG98" s="389">
        <f>'Central Region'!L34</f>
        <v>31293467.995342463</v>
      </c>
    </row>
    <row r="100" spans="1:61" ht="13.5" thickBot="1">
      <c r="AC100" s="363" t="s">
        <v>473</v>
      </c>
      <c r="AG100" s="392">
        <f>AG96-AG98</f>
        <v>250012116.72999999</v>
      </c>
    </row>
    <row r="101" spans="1:61" ht="13.5" thickTop="1"/>
    <row r="102" spans="1:61">
      <c r="AC102" s="363" t="s">
        <v>474</v>
      </c>
      <c r="AG102" s="389" t="e">
        <f>AG81</f>
        <v>#REF!</v>
      </c>
    </row>
    <row r="103" spans="1:61" s="394" customFormat="1" ht="18.75">
      <c r="A103" s="393"/>
      <c r="B103" s="393"/>
      <c r="C103" s="393"/>
      <c r="D103" s="569"/>
      <c r="E103" s="393"/>
      <c r="F103" s="393"/>
      <c r="G103" s="393"/>
      <c r="H103" s="393"/>
      <c r="I103" s="393"/>
      <c r="J103" s="393"/>
      <c r="R103" s="395"/>
      <c r="AC103" s="395"/>
      <c r="AD103" s="395"/>
      <c r="AE103" s="395"/>
      <c r="AF103" s="395"/>
      <c r="AG103" s="395"/>
      <c r="AH103" s="396"/>
      <c r="AI103" s="397"/>
      <c r="AJ103" s="396"/>
      <c r="AK103" s="396"/>
      <c r="AL103" s="396"/>
      <c r="AM103" s="396"/>
      <c r="AN103" s="396"/>
      <c r="AO103" s="396"/>
      <c r="AP103" s="396"/>
      <c r="AQ103" s="396"/>
      <c r="AR103" s="396"/>
      <c r="AS103" s="396"/>
      <c r="AT103" s="396"/>
      <c r="AU103" s="396"/>
      <c r="AV103" s="396"/>
      <c r="AW103" s="396"/>
      <c r="AX103" s="396"/>
      <c r="AY103" s="396"/>
      <c r="AZ103" s="396"/>
      <c r="BA103" s="396"/>
      <c r="BB103" s="396"/>
      <c r="BC103" s="396"/>
      <c r="BD103" s="396"/>
      <c r="BE103" s="396"/>
      <c r="BF103" s="396"/>
      <c r="BG103" s="396"/>
      <c r="BH103" s="396"/>
      <c r="BI103" s="396"/>
    </row>
    <row r="104" spans="1:61" s="394" customFormat="1" ht="19.5" thickBot="1">
      <c r="A104" s="398"/>
      <c r="B104" s="398"/>
      <c r="C104" s="398"/>
      <c r="D104" s="570"/>
      <c r="E104" s="398"/>
      <c r="F104" s="398"/>
      <c r="G104" s="398"/>
      <c r="H104" s="398"/>
      <c r="I104" s="398"/>
      <c r="J104" s="398"/>
      <c r="K104" s="395"/>
      <c r="L104" s="395"/>
      <c r="M104" s="395"/>
      <c r="N104" s="395"/>
      <c r="O104" s="395"/>
      <c r="P104" s="395"/>
      <c r="Q104" s="395"/>
      <c r="R104" s="395"/>
      <c r="S104" s="395"/>
      <c r="T104" s="395"/>
      <c r="U104" s="395"/>
      <c r="V104" s="395"/>
      <c r="W104" s="395"/>
      <c r="X104" s="395"/>
      <c r="Y104" s="395"/>
      <c r="Z104" s="395"/>
      <c r="AA104" s="395"/>
      <c r="AB104" s="395"/>
      <c r="AC104" s="363" t="s">
        <v>475</v>
      </c>
      <c r="AD104" s="363"/>
      <c r="AE104" s="363"/>
      <c r="AF104" s="363"/>
      <c r="AG104" s="399" t="e">
        <f>AG100/AG102</f>
        <v>#REF!</v>
      </c>
      <c r="AH104" s="396"/>
      <c r="AI104" s="397"/>
      <c r="AJ104" s="396"/>
      <c r="AK104" s="396"/>
      <c r="AL104" s="396"/>
      <c r="AM104" s="396"/>
      <c r="AN104" s="396"/>
      <c r="AO104" s="396"/>
      <c r="AP104" s="396"/>
      <c r="AQ104" s="396"/>
      <c r="AR104" s="396"/>
      <c r="AS104" s="396"/>
      <c r="AT104" s="396"/>
      <c r="AU104" s="396"/>
      <c r="AV104" s="396"/>
      <c r="AW104" s="396"/>
      <c r="AX104" s="396"/>
      <c r="AY104" s="396"/>
      <c r="AZ104" s="396"/>
      <c r="BA104" s="396"/>
      <c r="BB104" s="396"/>
      <c r="BC104" s="396"/>
      <c r="BD104" s="396"/>
      <c r="BE104" s="396"/>
      <c r="BF104" s="396"/>
      <c r="BG104" s="396"/>
      <c r="BH104" s="396"/>
      <c r="BI104" s="396"/>
    </row>
    <row r="105" spans="1:61" ht="13.5" thickTop="1"/>
  </sheetData>
  <mergeCells count="8">
    <mergeCell ref="A4:O4"/>
    <mergeCell ref="Q4:AG4"/>
    <mergeCell ref="A1:O1"/>
    <mergeCell ref="Q1:AG1"/>
    <mergeCell ref="A2:O2"/>
    <mergeCell ref="Q2:AE2"/>
    <mergeCell ref="AF2:AG2"/>
    <mergeCell ref="B3:N3"/>
  </mergeCells>
  <printOptions horizontalCentered="1"/>
  <pageMargins left="0.5" right="0.5" top="0.5" bottom="0.5" header="0.3" footer="0.3"/>
  <pageSetup scale="53" fitToWidth="2" fitToHeight="2" orientation="portrait" r:id="rId1"/>
  <colBreaks count="1" manualBreakCount="1">
    <brk id="16" max="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fitToPage="1"/>
  </sheetPr>
  <dimension ref="A1:AL295"/>
  <sheetViews>
    <sheetView showGridLines="0" topLeftCell="A2" zoomScale="70" zoomScaleNormal="70" workbookViewId="0">
      <pane xSplit="3" ySplit="7" topLeftCell="J9" activePane="bottomRight" state="frozen"/>
      <selection activeCell="A2" sqref="A2"/>
      <selection pane="topRight" activeCell="D2" sqref="D2"/>
      <selection pane="bottomLeft" activeCell="A9" sqref="A9"/>
      <selection pane="bottomRight" activeCell="P33" sqref="P33"/>
    </sheetView>
  </sheetViews>
  <sheetFormatPr defaultRowHeight="12.75"/>
  <cols>
    <col min="1" max="1" width="44.28515625" style="365" customWidth="1"/>
    <col min="2" max="2" width="9" style="365" customWidth="1"/>
    <col min="3" max="3" width="2.28515625" style="365" bestFit="1" customWidth="1"/>
    <col min="4" max="4" width="25.5703125" style="922" bestFit="1" customWidth="1"/>
    <col min="5" max="5" width="22" style="912" customWidth="1"/>
    <col min="6" max="6" width="16.140625" style="912" customWidth="1"/>
    <col min="7" max="7" width="21.28515625" style="912" bestFit="1" customWidth="1"/>
    <col min="8" max="9" width="19.42578125" style="912" bestFit="1" customWidth="1"/>
    <col min="10" max="10" width="20.5703125" style="912" bestFit="1" customWidth="1"/>
    <col min="11" max="11" width="18.7109375" style="912" customWidth="1"/>
    <col min="12" max="12" width="20.7109375" style="912" bestFit="1" customWidth="1"/>
    <col min="13" max="13" width="19.42578125" style="912" bestFit="1" customWidth="1"/>
    <col min="14" max="14" width="19.5703125" style="932" bestFit="1" customWidth="1"/>
    <col min="15" max="15" width="16" style="363" hidden="1" customWidth="1"/>
    <col min="16" max="16" width="20.28515625" style="912" customWidth="1"/>
    <col min="17" max="17" width="6" style="363" hidden="1" customWidth="1"/>
    <col min="18" max="18" width="22" style="912" customWidth="1"/>
    <col min="19" max="19" width="6" style="363" hidden="1" customWidth="1"/>
    <col min="20" max="20" width="19.42578125" style="912" customWidth="1"/>
    <col min="21" max="21" width="6" style="363" hidden="1" customWidth="1"/>
    <col min="22" max="22" width="19.42578125" style="912" customWidth="1"/>
    <col min="23" max="23" width="9.140625" style="363" hidden="1" customWidth="1"/>
    <col min="24" max="24" width="19.42578125" style="912" customWidth="1"/>
    <col min="25" max="25" width="6" style="363" hidden="1" customWidth="1"/>
    <col min="26" max="26" width="23.42578125" style="912" customWidth="1"/>
    <col min="27" max="27" width="16.7109375" style="363" bestFit="1" customWidth="1"/>
    <col min="28" max="38" width="9.140625" style="363" customWidth="1"/>
    <col min="39" max="233" width="8.85546875" style="365"/>
    <col min="234" max="234" width="44.5703125" style="365" customWidth="1"/>
    <col min="235" max="235" width="14.28515625" style="365" bestFit="1" customWidth="1"/>
    <col min="236" max="236" width="1.7109375" style="365" customWidth="1"/>
    <col min="237" max="237" width="14.85546875" style="365" customWidth="1"/>
    <col min="238" max="238" width="0" style="365" hidden="1" customWidth="1"/>
    <col min="239" max="239" width="17.42578125" style="365" customWidth="1"/>
    <col min="240" max="240" width="0" style="365" hidden="1" customWidth="1"/>
    <col min="241" max="241" width="12.85546875" style="365" customWidth="1"/>
    <col min="242" max="242" width="0" style="365" hidden="1" customWidth="1"/>
    <col min="243" max="243" width="14.42578125" style="365" customWidth="1"/>
    <col min="244" max="244" width="0" style="365" hidden="1" customWidth="1"/>
    <col min="245" max="245" width="17.42578125" style="365" customWidth="1"/>
    <col min="246" max="246" width="0" style="365" hidden="1" customWidth="1"/>
    <col min="247" max="247" width="14" style="365" customWidth="1"/>
    <col min="248" max="248" width="14.28515625" style="365" bestFit="1" customWidth="1"/>
    <col min="249" max="249" width="0" style="365" hidden="1" customWidth="1"/>
    <col min="250" max="250" width="15.5703125" style="365" customWidth="1"/>
    <col min="251" max="251" width="44.5703125" style="365" customWidth="1"/>
    <col min="252" max="252" width="14.28515625" style="365" bestFit="1" customWidth="1"/>
    <col min="253" max="253" width="0" style="365" hidden="1" customWidth="1"/>
    <col min="254" max="254" width="18.140625" style="365" customWidth="1"/>
    <col min="255" max="255" width="0" style="365" hidden="1" customWidth="1"/>
    <col min="256" max="256" width="14" style="365" customWidth="1"/>
    <col min="257" max="257" width="0" style="365" hidden="1" customWidth="1"/>
    <col min="258" max="258" width="20.85546875" style="365" customWidth="1"/>
    <col min="259" max="259" width="0" style="365" hidden="1" customWidth="1"/>
    <col min="260" max="260" width="13.28515625" style="365" customWidth="1"/>
    <col min="261" max="261" width="0" style="365" hidden="1" customWidth="1"/>
    <col min="262" max="262" width="15" style="365" customWidth="1"/>
    <col min="263" max="263" width="0" style="365" hidden="1" customWidth="1"/>
    <col min="264" max="264" width="13.28515625" style="365" customWidth="1"/>
    <col min="265" max="265" width="0" style="365" hidden="1" customWidth="1"/>
    <col min="266" max="266" width="20.140625" style="365" customWidth="1"/>
    <col min="267" max="267" width="14.42578125" style="365" bestFit="1" customWidth="1"/>
    <col min="268" max="268" width="14" style="365" bestFit="1" customWidth="1"/>
    <col min="269" max="269" width="12.28515625" style="365" bestFit="1" customWidth="1"/>
    <col min="270" max="294" width="9.140625" style="365" customWidth="1"/>
    <col min="295" max="489" width="8.85546875" style="365"/>
    <col min="490" max="490" width="44.5703125" style="365" customWidth="1"/>
    <col min="491" max="491" width="14.28515625" style="365" bestFit="1" customWidth="1"/>
    <col min="492" max="492" width="1.7109375" style="365" customWidth="1"/>
    <col min="493" max="493" width="14.85546875" style="365" customWidth="1"/>
    <col min="494" max="494" width="0" style="365" hidden="1" customWidth="1"/>
    <col min="495" max="495" width="17.42578125" style="365" customWidth="1"/>
    <col min="496" max="496" width="0" style="365" hidden="1" customWidth="1"/>
    <col min="497" max="497" width="12.85546875" style="365" customWidth="1"/>
    <col min="498" max="498" width="0" style="365" hidden="1" customWidth="1"/>
    <col min="499" max="499" width="14.42578125" style="365" customWidth="1"/>
    <col min="500" max="500" width="0" style="365" hidden="1" customWidth="1"/>
    <col min="501" max="501" width="17.42578125" style="365" customWidth="1"/>
    <col min="502" max="502" width="0" style="365" hidden="1" customWidth="1"/>
    <col min="503" max="503" width="14" style="365" customWidth="1"/>
    <col min="504" max="504" width="14.28515625" style="365" bestFit="1" customWidth="1"/>
    <col min="505" max="505" width="0" style="365" hidden="1" customWidth="1"/>
    <col min="506" max="506" width="15.5703125" style="365" customWidth="1"/>
    <col min="507" max="507" width="44.5703125" style="365" customWidth="1"/>
    <col min="508" max="508" width="14.28515625" style="365" bestFit="1" customWidth="1"/>
    <col min="509" max="509" width="0" style="365" hidden="1" customWidth="1"/>
    <col min="510" max="510" width="18.140625" style="365" customWidth="1"/>
    <col min="511" max="511" width="0" style="365" hidden="1" customWidth="1"/>
    <col min="512" max="512" width="14" style="365" customWidth="1"/>
    <col min="513" max="513" width="0" style="365" hidden="1" customWidth="1"/>
    <col min="514" max="514" width="20.85546875" style="365" customWidth="1"/>
    <col min="515" max="515" width="0" style="365" hidden="1" customWidth="1"/>
    <col min="516" max="516" width="13.28515625" style="365" customWidth="1"/>
    <col min="517" max="517" width="0" style="365" hidden="1" customWidth="1"/>
    <col min="518" max="518" width="15" style="365" customWidth="1"/>
    <col min="519" max="519" width="0" style="365" hidden="1" customWidth="1"/>
    <col min="520" max="520" width="13.28515625" style="365" customWidth="1"/>
    <col min="521" max="521" width="0" style="365" hidden="1" customWidth="1"/>
    <col min="522" max="522" width="20.140625" style="365" customWidth="1"/>
    <col min="523" max="523" width="14.42578125" style="365" bestFit="1" customWidth="1"/>
    <col min="524" max="524" width="14" style="365" bestFit="1" customWidth="1"/>
    <col min="525" max="525" width="12.28515625" style="365" bestFit="1" customWidth="1"/>
    <col min="526" max="550" width="9.140625" style="365" customWidth="1"/>
    <col min="551" max="745" width="8.85546875" style="365"/>
    <col min="746" max="746" width="44.5703125" style="365" customWidth="1"/>
    <col min="747" max="747" width="14.28515625" style="365" bestFit="1" customWidth="1"/>
    <col min="748" max="748" width="1.7109375" style="365" customWidth="1"/>
    <col min="749" max="749" width="14.85546875" style="365" customWidth="1"/>
    <col min="750" max="750" width="0" style="365" hidden="1" customWidth="1"/>
    <col min="751" max="751" width="17.42578125" style="365" customWidth="1"/>
    <col min="752" max="752" width="0" style="365" hidden="1" customWidth="1"/>
    <col min="753" max="753" width="12.85546875" style="365" customWidth="1"/>
    <col min="754" max="754" width="0" style="365" hidden="1" customWidth="1"/>
    <col min="755" max="755" width="14.42578125" style="365" customWidth="1"/>
    <col min="756" max="756" width="0" style="365" hidden="1" customWidth="1"/>
    <col min="757" max="757" width="17.42578125" style="365" customWidth="1"/>
    <col min="758" max="758" width="0" style="365" hidden="1" customWidth="1"/>
    <col min="759" max="759" width="14" style="365" customWidth="1"/>
    <col min="760" max="760" width="14.28515625" style="365" bestFit="1" customWidth="1"/>
    <col min="761" max="761" width="0" style="365" hidden="1" customWidth="1"/>
    <col min="762" max="762" width="15.5703125" style="365" customWidth="1"/>
    <col min="763" max="763" width="44.5703125" style="365" customWidth="1"/>
    <col min="764" max="764" width="14.28515625" style="365" bestFit="1" customWidth="1"/>
    <col min="765" max="765" width="0" style="365" hidden="1" customWidth="1"/>
    <col min="766" max="766" width="18.140625" style="365" customWidth="1"/>
    <col min="767" max="767" width="0" style="365" hidden="1" customWidth="1"/>
    <col min="768" max="768" width="14" style="365" customWidth="1"/>
    <col min="769" max="769" width="0" style="365" hidden="1" customWidth="1"/>
    <col min="770" max="770" width="20.85546875" style="365" customWidth="1"/>
    <col min="771" max="771" width="0" style="365" hidden="1" customWidth="1"/>
    <col min="772" max="772" width="13.28515625" style="365" customWidth="1"/>
    <col min="773" max="773" width="0" style="365" hidden="1" customWidth="1"/>
    <col min="774" max="774" width="15" style="365" customWidth="1"/>
    <col min="775" max="775" width="0" style="365" hidden="1" customWidth="1"/>
    <col min="776" max="776" width="13.28515625" style="365" customWidth="1"/>
    <col min="777" max="777" width="0" style="365" hidden="1" customWidth="1"/>
    <col min="778" max="778" width="20.140625" style="365" customWidth="1"/>
    <col min="779" max="779" width="14.42578125" style="365" bestFit="1" customWidth="1"/>
    <col min="780" max="780" width="14" style="365" bestFit="1" customWidth="1"/>
    <col min="781" max="781" width="12.28515625" style="365" bestFit="1" customWidth="1"/>
    <col min="782" max="806" width="9.140625" style="365" customWidth="1"/>
    <col min="807" max="1001" width="8.85546875" style="365"/>
    <col min="1002" max="1002" width="44.5703125" style="365" customWidth="1"/>
    <col min="1003" max="1003" width="14.28515625" style="365" bestFit="1" customWidth="1"/>
    <col min="1004" max="1004" width="1.7109375" style="365" customWidth="1"/>
    <col min="1005" max="1005" width="14.85546875" style="365" customWidth="1"/>
    <col min="1006" max="1006" width="0" style="365" hidden="1" customWidth="1"/>
    <col min="1007" max="1007" width="17.42578125" style="365" customWidth="1"/>
    <col min="1008" max="1008" width="0" style="365" hidden="1" customWidth="1"/>
    <col min="1009" max="1009" width="12.85546875" style="365" customWidth="1"/>
    <col min="1010" max="1010" width="0" style="365" hidden="1" customWidth="1"/>
    <col min="1011" max="1011" width="14.42578125" style="365" customWidth="1"/>
    <col min="1012" max="1012" width="0" style="365" hidden="1" customWidth="1"/>
    <col min="1013" max="1013" width="17.42578125" style="365" customWidth="1"/>
    <col min="1014" max="1014" width="0" style="365" hidden="1" customWidth="1"/>
    <col min="1015" max="1015" width="14" style="365" customWidth="1"/>
    <col min="1016" max="1016" width="14.28515625" style="365" bestFit="1" customWidth="1"/>
    <col min="1017" max="1017" width="0" style="365" hidden="1" customWidth="1"/>
    <col min="1018" max="1018" width="15.5703125" style="365" customWidth="1"/>
    <col min="1019" max="1019" width="44.5703125" style="365" customWidth="1"/>
    <col min="1020" max="1020" width="14.28515625" style="365" bestFit="1" customWidth="1"/>
    <col min="1021" max="1021" width="0" style="365" hidden="1" customWidth="1"/>
    <col min="1022" max="1022" width="18.140625" style="365" customWidth="1"/>
    <col min="1023" max="1023" width="0" style="365" hidden="1" customWidth="1"/>
    <col min="1024" max="1024" width="14" style="365" customWidth="1"/>
    <col min="1025" max="1025" width="0" style="365" hidden="1" customWidth="1"/>
    <col min="1026" max="1026" width="20.85546875" style="365" customWidth="1"/>
    <col min="1027" max="1027" width="0" style="365" hidden="1" customWidth="1"/>
    <col min="1028" max="1028" width="13.28515625" style="365" customWidth="1"/>
    <col min="1029" max="1029" width="0" style="365" hidden="1" customWidth="1"/>
    <col min="1030" max="1030" width="15" style="365" customWidth="1"/>
    <col min="1031" max="1031" width="0" style="365" hidden="1" customWidth="1"/>
    <col min="1032" max="1032" width="13.28515625" style="365" customWidth="1"/>
    <col min="1033" max="1033" width="0" style="365" hidden="1" customWidth="1"/>
    <col min="1034" max="1034" width="20.140625" style="365" customWidth="1"/>
    <col min="1035" max="1035" width="14.42578125" style="365" bestFit="1" customWidth="1"/>
    <col min="1036" max="1036" width="14" style="365" bestFit="1" customWidth="1"/>
    <col min="1037" max="1037" width="12.28515625" style="365" bestFit="1" customWidth="1"/>
    <col min="1038" max="1062" width="9.140625" style="365" customWidth="1"/>
    <col min="1063" max="1257" width="8.85546875" style="365"/>
    <col min="1258" max="1258" width="44.5703125" style="365" customWidth="1"/>
    <col min="1259" max="1259" width="14.28515625" style="365" bestFit="1" customWidth="1"/>
    <col min="1260" max="1260" width="1.7109375" style="365" customWidth="1"/>
    <col min="1261" max="1261" width="14.85546875" style="365" customWidth="1"/>
    <col min="1262" max="1262" width="0" style="365" hidden="1" customWidth="1"/>
    <col min="1263" max="1263" width="17.42578125" style="365" customWidth="1"/>
    <col min="1264" max="1264" width="0" style="365" hidden="1" customWidth="1"/>
    <col min="1265" max="1265" width="12.85546875" style="365" customWidth="1"/>
    <col min="1266" max="1266" width="0" style="365" hidden="1" customWidth="1"/>
    <col min="1267" max="1267" width="14.42578125" style="365" customWidth="1"/>
    <col min="1268" max="1268" width="0" style="365" hidden="1" customWidth="1"/>
    <col min="1269" max="1269" width="17.42578125" style="365" customWidth="1"/>
    <col min="1270" max="1270" width="0" style="365" hidden="1" customWidth="1"/>
    <col min="1271" max="1271" width="14" style="365" customWidth="1"/>
    <col min="1272" max="1272" width="14.28515625" style="365" bestFit="1" customWidth="1"/>
    <col min="1273" max="1273" width="0" style="365" hidden="1" customWidth="1"/>
    <col min="1274" max="1274" width="15.5703125" style="365" customWidth="1"/>
    <col min="1275" max="1275" width="44.5703125" style="365" customWidth="1"/>
    <col min="1276" max="1276" width="14.28515625" style="365" bestFit="1" customWidth="1"/>
    <col min="1277" max="1277" width="0" style="365" hidden="1" customWidth="1"/>
    <col min="1278" max="1278" width="18.140625" style="365" customWidth="1"/>
    <col min="1279" max="1279" width="0" style="365" hidden="1" customWidth="1"/>
    <col min="1280" max="1280" width="14" style="365" customWidth="1"/>
    <col min="1281" max="1281" width="0" style="365" hidden="1" customWidth="1"/>
    <col min="1282" max="1282" width="20.85546875" style="365" customWidth="1"/>
    <col min="1283" max="1283" width="0" style="365" hidden="1" customWidth="1"/>
    <col min="1284" max="1284" width="13.28515625" style="365" customWidth="1"/>
    <col min="1285" max="1285" width="0" style="365" hidden="1" customWidth="1"/>
    <col min="1286" max="1286" width="15" style="365" customWidth="1"/>
    <col min="1287" max="1287" width="0" style="365" hidden="1" customWidth="1"/>
    <col min="1288" max="1288" width="13.28515625" style="365" customWidth="1"/>
    <col min="1289" max="1289" width="0" style="365" hidden="1" customWidth="1"/>
    <col min="1290" max="1290" width="20.140625" style="365" customWidth="1"/>
    <col min="1291" max="1291" width="14.42578125" style="365" bestFit="1" customWidth="1"/>
    <col min="1292" max="1292" width="14" style="365" bestFit="1" customWidth="1"/>
    <col min="1293" max="1293" width="12.28515625" style="365" bestFit="1" customWidth="1"/>
    <col min="1294" max="1318" width="9.140625" style="365" customWidth="1"/>
    <col min="1319" max="1513" width="8.85546875" style="365"/>
    <col min="1514" max="1514" width="44.5703125" style="365" customWidth="1"/>
    <col min="1515" max="1515" width="14.28515625" style="365" bestFit="1" customWidth="1"/>
    <col min="1516" max="1516" width="1.7109375" style="365" customWidth="1"/>
    <col min="1517" max="1517" width="14.85546875" style="365" customWidth="1"/>
    <col min="1518" max="1518" width="0" style="365" hidden="1" customWidth="1"/>
    <col min="1519" max="1519" width="17.42578125" style="365" customWidth="1"/>
    <col min="1520" max="1520" width="0" style="365" hidden="1" customWidth="1"/>
    <col min="1521" max="1521" width="12.85546875" style="365" customWidth="1"/>
    <col min="1522" max="1522" width="0" style="365" hidden="1" customWidth="1"/>
    <col min="1523" max="1523" width="14.42578125" style="365" customWidth="1"/>
    <col min="1524" max="1524" width="0" style="365" hidden="1" customWidth="1"/>
    <col min="1525" max="1525" width="17.42578125" style="365" customWidth="1"/>
    <col min="1526" max="1526" width="0" style="365" hidden="1" customWidth="1"/>
    <col min="1527" max="1527" width="14" style="365" customWidth="1"/>
    <col min="1528" max="1528" width="14.28515625" style="365" bestFit="1" customWidth="1"/>
    <col min="1529" max="1529" width="0" style="365" hidden="1" customWidth="1"/>
    <col min="1530" max="1530" width="15.5703125" style="365" customWidth="1"/>
    <col min="1531" max="1531" width="44.5703125" style="365" customWidth="1"/>
    <col min="1532" max="1532" width="14.28515625" style="365" bestFit="1" customWidth="1"/>
    <col min="1533" max="1533" width="0" style="365" hidden="1" customWidth="1"/>
    <col min="1534" max="1534" width="18.140625" style="365" customWidth="1"/>
    <col min="1535" max="1535" width="0" style="365" hidden="1" customWidth="1"/>
    <col min="1536" max="1536" width="14" style="365" customWidth="1"/>
    <col min="1537" max="1537" width="0" style="365" hidden="1" customWidth="1"/>
    <col min="1538" max="1538" width="20.85546875" style="365" customWidth="1"/>
    <col min="1539" max="1539" width="0" style="365" hidden="1" customWidth="1"/>
    <col min="1540" max="1540" width="13.28515625" style="365" customWidth="1"/>
    <col min="1541" max="1541" width="0" style="365" hidden="1" customWidth="1"/>
    <col min="1542" max="1542" width="15" style="365" customWidth="1"/>
    <col min="1543" max="1543" width="0" style="365" hidden="1" customWidth="1"/>
    <col min="1544" max="1544" width="13.28515625" style="365" customWidth="1"/>
    <col min="1545" max="1545" width="0" style="365" hidden="1" customWidth="1"/>
    <col min="1546" max="1546" width="20.140625" style="365" customWidth="1"/>
    <col min="1547" max="1547" width="14.42578125" style="365" bestFit="1" customWidth="1"/>
    <col min="1548" max="1548" width="14" style="365" bestFit="1" customWidth="1"/>
    <col min="1549" max="1549" width="12.28515625" style="365" bestFit="1" customWidth="1"/>
    <col min="1550" max="1574" width="9.140625" style="365" customWidth="1"/>
    <col min="1575" max="1769" width="8.85546875" style="365"/>
    <col min="1770" max="1770" width="44.5703125" style="365" customWidth="1"/>
    <col min="1771" max="1771" width="14.28515625" style="365" bestFit="1" customWidth="1"/>
    <col min="1772" max="1772" width="1.7109375" style="365" customWidth="1"/>
    <col min="1773" max="1773" width="14.85546875" style="365" customWidth="1"/>
    <col min="1774" max="1774" width="0" style="365" hidden="1" customWidth="1"/>
    <col min="1775" max="1775" width="17.42578125" style="365" customWidth="1"/>
    <col min="1776" max="1776" width="0" style="365" hidden="1" customWidth="1"/>
    <col min="1777" max="1777" width="12.85546875" style="365" customWidth="1"/>
    <col min="1778" max="1778" width="0" style="365" hidden="1" customWidth="1"/>
    <col min="1779" max="1779" width="14.42578125" style="365" customWidth="1"/>
    <col min="1780" max="1780" width="0" style="365" hidden="1" customWidth="1"/>
    <col min="1781" max="1781" width="17.42578125" style="365" customWidth="1"/>
    <col min="1782" max="1782" width="0" style="365" hidden="1" customWidth="1"/>
    <col min="1783" max="1783" width="14" style="365" customWidth="1"/>
    <col min="1784" max="1784" width="14.28515625" style="365" bestFit="1" customWidth="1"/>
    <col min="1785" max="1785" width="0" style="365" hidden="1" customWidth="1"/>
    <col min="1786" max="1786" width="15.5703125" style="365" customWidth="1"/>
    <col min="1787" max="1787" width="44.5703125" style="365" customWidth="1"/>
    <col min="1788" max="1788" width="14.28515625" style="365" bestFit="1" customWidth="1"/>
    <col min="1789" max="1789" width="0" style="365" hidden="1" customWidth="1"/>
    <col min="1790" max="1790" width="18.140625" style="365" customWidth="1"/>
    <col min="1791" max="1791" width="0" style="365" hidden="1" customWidth="1"/>
    <col min="1792" max="1792" width="14" style="365" customWidth="1"/>
    <col min="1793" max="1793" width="0" style="365" hidden="1" customWidth="1"/>
    <col min="1794" max="1794" width="20.85546875" style="365" customWidth="1"/>
    <col min="1795" max="1795" width="0" style="365" hidden="1" customWidth="1"/>
    <col min="1796" max="1796" width="13.28515625" style="365" customWidth="1"/>
    <col min="1797" max="1797" width="0" style="365" hidden="1" customWidth="1"/>
    <col min="1798" max="1798" width="15" style="365" customWidth="1"/>
    <col min="1799" max="1799" width="0" style="365" hidden="1" customWidth="1"/>
    <col min="1800" max="1800" width="13.28515625" style="365" customWidth="1"/>
    <col min="1801" max="1801" width="0" style="365" hidden="1" customWidth="1"/>
    <col min="1802" max="1802" width="20.140625" style="365" customWidth="1"/>
    <col min="1803" max="1803" width="14.42578125" style="365" bestFit="1" customWidth="1"/>
    <col min="1804" max="1804" width="14" style="365" bestFit="1" customWidth="1"/>
    <col min="1805" max="1805" width="12.28515625" style="365" bestFit="1" customWidth="1"/>
    <col min="1806" max="1830" width="9.140625" style="365" customWidth="1"/>
    <col min="1831" max="2025" width="8.85546875" style="365"/>
    <col min="2026" max="2026" width="44.5703125" style="365" customWidth="1"/>
    <col min="2027" max="2027" width="14.28515625" style="365" bestFit="1" customWidth="1"/>
    <col min="2028" max="2028" width="1.7109375" style="365" customWidth="1"/>
    <col min="2029" max="2029" width="14.85546875" style="365" customWidth="1"/>
    <col min="2030" max="2030" width="0" style="365" hidden="1" customWidth="1"/>
    <col min="2031" max="2031" width="17.42578125" style="365" customWidth="1"/>
    <col min="2032" max="2032" width="0" style="365" hidden="1" customWidth="1"/>
    <col min="2033" max="2033" width="12.85546875" style="365" customWidth="1"/>
    <col min="2034" max="2034" width="0" style="365" hidden="1" customWidth="1"/>
    <col min="2035" max="2035" width="14.42578125" style="365" customWidth="1"/>
    <col min="2036" max="2036" width="0" style="365" hidden="1" customWidth="1"/>
    <col min="2037" max="2037" width="17.42578125" style="365" customWidth="1"/>
    <col min="2038" max="2038" width="0" style="365" hidden="1" customWidth="1"/>
    <col min="2039" max="2039" width="14" style="365" customWidth="1"/>
    <col min="2040" max="2040" width="14.28515625" style="365" bestFit="1" customWidth="1"/>
    <col min="2041" max="2041" width="0" style="365" hidden="1" customWidth="1"/>
    <col min="2042" max="2042" width="15.5703125" style="365" customWidth="1"/>
    <col min="2043" max="2043" width="44.5703125" style="365" customWidth="1"/>
    <col min="2044" max="2044" width="14.28515625" style="365" bestFit="1" customWidth="1"/>
    <col min="2045" max="2045" width="0" style="365" hidden="1" customWidth="1"/>
    <col min="2046" max="2046" width="18.140625" style="365" customWidth="1"/>
    <col min="2047" max="2047" width="0" style="365" hidden="1" customWidth="1"/>
    <col min="2048" max="2048" width="14" style="365" customWidth="1"/>
    <col min="2049" max="2049" width="0" style="365" hidden="1" customWidth="1"/>
    <col min="2050" max="2050" width="20.85546875" style="365" customWidth="1"/>
    <col min="2051" max="2051" width="0" style="365" hidden="1" customWidth="1"/>
    <col min="2052" max="2052" width="13.28515625" style="365" customWidth="1"/>
    <col min="2053" max="2053" width="0" style="365" hidden="1" customWidth="1"/>
    <col min="2054" max="2054" width="15" style="365" customWidth="1"/>
    <col min="2055" max="2055" width="0" style="365" hidden="1" customWidth="1"/>
    <col min="2056" max="2056" width="13.28515625" style="365" customWidth="1"/>
    <col min="2057" max="2057" width="0" style="365" hidden="1" customWidth="1"/>
    <col min="2058" max="2058" width="20.140625" style="365" customWidth="1"/>
    <col min="2059" max="2059" width="14.42578125" style="365" bestFit="1" customWidth="1"/>
    <col min="2060" max="2060" width="14" style="365" bestFit="1" customWidth="1"/>
    <col min="2061" max="2061" width="12.28515625" style="365" bestFit="1" customWidth="1"/>
    <col min="2062" max="2086" width="9.140625" style="365" customWidth="1"/>
    <col min="2087" max="2281" width="8.85546875" style="365"/>
    <col min="2282" max="2282" width="44.5703125" style="365" customWidth="1"/>
    <col min="2283" max="2283" width="14.28515625" style="365" bestFit="1" customWidth="1"/>
    <col min="2284" max="2284" width="1.7109375" style="365" customWidth="1"/>
    <col min="2285" max="2285" width="14.85546875" style="365" customWidth="1"/>
    <col min="2286" max="2286" width="0" style="365" hidden="1" customWidth="1"/>
    <col min="2287" max="2287" width="17.42578125" style="365" customWidth="1"/>
    <col min="2288" max="2288" width="0" style="365" hidden="1" customWidth="1"/>
    <col min="2289" max="2289" width="12.85546875" style="365" customWidth="1"/>
    <col min="2290" max="2290" width="0" style="365" hidden="1" customWidth="1"/>
    <col min="2291" max="2291" width="14.42578125" style="365" customWidth="1"/>
    <col min="2292" max="2292" width="0" style="365" hidden="1" customWidth="1"/>
    <col min="2293" max="2293" width="17.42578125" style="365" customWidth="1"/>
    <col min="2294" max="2294" width="0" style="365" hidden="1" customWidth="1"/>
    <col min="2295" max="2295" width="14" style="365" customWidth="1"/>
    <col min="2296" max="2296" width="14.28515625" style="365" bestFit="1" customWidth="1"/>
    <col min="2297" max="2297" width="0" style="365" hidden="1" customWidth="1"/>
    <col min="2298" max="2298" width="15.5703125" style="365" customWidth="1"/>
    <col min="2299" max="2299" width="44.5703125" style="365" customWidth="1"/>
    <col min="2300" max="2300" width="14.28515625" style="365" bestFit="1" customWidth="1"/>
    <col min="2301" max="2301" width="0" style="365" hidden="1" customWidth="1"/>
    <col min="2302" max="2302" width="18.140625" style="365" customWidth="1"/>
    <col min="2303" max="2303" width="0" style="365" hidden="1" customWidth="1"/>
    <col min="2304" max="2304" width="14" style="365" customWidth="1"/>
    <col min="2305" max="2305" width="0" style="365" hidden="1" customWidth="1"/>
    <col min="2306" max="2306" width="20.85546875" style="365" customWidth="1"/>
    <col min="2307" max="2307" width="0" style="365" hidden="1" customWidth="1"/>
    <col min="2308" max="2308" width="13.28515625" style="365" customWidth="1"/>
    <col min="2309" max="2309" width="0" style="365" hidden="1" customWidth="1"/>
    <col min="2310" max="2310" width="15" style="365" customWidth="1"/>
    <col min="2311" max="2311" width="0" style="365" hidden="1" customWidth="1"/>
    <col min="2312" max="2312" width="13.28515625" style="365" customWidth="1"/>
    <col min="2313" max="2313" width="0" style="365" hidden="1" customWidth="1"/>
    <col min="2314" max="2314" width="20.140625" style="365" customWidth="1"/>
    <col min="2315" max="2315" width="14.42578125" style="365" bestFit="1" customWidth="1"/>
    <col min="2316" max="2316" width="14" style="365" bestFit="1" customWidth="1"/>
    <col min="2317" max="2317" width="12.28515625" style="365" bestFit="1" customWidth="1"/>
    <col min="2318" max="2342" width="9.140625" style="365" customWidth="1"/>
    <col min="2343" max="2537" width="8.85546875" style="365"/>
    <col min="2538" max="2538" width="44.5703125" style="365" customWidth="1"/>
    <col min="2539" max="2539" width="14.28515625" style="365" bestFit="1" customWidth="1"/>
    <col min="2540" max="2540" width="1.7109375" style="365" customWidth="1"/>
    <col min="2541" max="2541" width="14.85546875" style="365" customWidth="1"/>
    <col min="2542" max="2542" width="0" style="365" hidden="1" customWidth="1"/>
    <col min="2543" max="2543" width="17.42578125" style="365" customWidth="1"/>
    <col min="2544" max="2544" width="0" style="365" hidden="1" customWidth="1"/>
    <col min="2545" max="2545" width="12.85546875" style="365" customWidth="1"/>
    <col min="2546" max="2546" width="0" style="365" hidden="1" customWidth="1"/>
    <col min="2547" max="2547" width="14.42578125" style="365" customWidth="1"/>
    <col min="2548" max="2548" width="0" style="365" hidden="1" customWidth="1"/>
    <col min="2549" max="2549" width="17.42578125" style="365" customWidth="1"/>
    <col min="2550" max="2550" width="0" style="365" hidden="1" customWidth="1"/>
    <col min="2551" max="2551" width="14" style="365" customWidth="1"/>
    <col min="2552" max="2552" width="14.28515625" style="365" bestFit="1" customWidth="1"/>
    <col min="2553" max="2553" width="0" style="365" hidden="1" customWidth="1"/>
    <col min="2554" max="2554" width="15.5703125" style="365" customWidth="1"/>
    <col min="2555" max="2555" width="44.5703125" style="365" customWidth="1"/>
    <col min="2556" max="2556" width="14.28515625" style="365" bestFit="1" customWidth="1"/>
    <col min="2557" max="2557" width="0" style="365" hidden="1" customWidth="1"/>
    <col min="2558" max="2558" width="18.140625" style="365" customWidth="1"/>
    <col min="2559" max="2559" width="0" style="365" hidden="1" customWidth="1"/>
    <col min="2560" max="2560" width="14" style="365" customWidth="1"/>
    <col min="2561" max="2561" width="0" style="365" hidden="1" customWidth="1"/>
    <col min="2562" max="2562" width="20.85546875" style="365" customWidth="1"/>
    <col min="2563" max="2563" width="0" style="365" hidden="1" customWidth="1"/>
    <col min="2564" max="2564" width="13.28515625" style="365" customWidth="1"/>
    <col min="2565" max="2565" width="0" style="365" hidden="1" customWidth="1"/>
    <col min="2566" max="2566" width="15" style="365" customWidth="1"/>
    <col min="2567" max="2567" width="0" style="365" hidden="1" customWidth="1"/>
    <col min="2568" max="2568" width="13.28515625" style="365" customWidth="1"/>
    <col min="2569" max="2569" width="0" style="365" hidden="1" customWidth="1"/>
    <col min="2570" max="2570" width="20.140625" style="365" customWidth="1"/>
    <col min="2571" max="2571" width="14.42578125" style="365" bestFit="1" customWidth="1"/>
    <col min="2572" max="2572" width="14" style="365" bestFit="1" customWidth="1"/>
    <col min="2573" max="2573" width="12.28515625" style="365" bestFit="1" customWidth="1"/>
    <col min="2574" max="2598" width="9.140625" style="365" customWidth="1"/>
    <col min="2599" max="2793" width="8.85546875" style="365"/>
    <col min="2794" max="2794" width="44.5703125" style="365" customWidth="1"/>
    <col min="2795" max="2795" width="14.28515625" style="365" bestFit="1" customWidth="1"/>
    <col min="2796" max="2796" width="1.7109375" style="365" customWidth="1"/>
    <col min="2797" max="2797" width="14.85546875" style="365" customWidth="1"/>
    <col min="2798" max="2798" width="0" style="365" hidden="1" customWidth="1"/>
    <col min="2799" max="2799" width="17.42578125" style="365" customWidth="1"/>
    <col min="2800" max="2800" width="0" style="365" hidden="1" customWidth="1"/>
    <col min="2801" max="2801" width="12.85546875" style="365" customWidth="1"/>
    <col min="2802" max="2802" width="0" style="365" hidden="1" customWidth="1"/>
    <col min="2803" max="2803" width="14.42578125" style="365" customWidth="1"/>
    <col min="2804" max="2804" width="0" style="365" hidden="1" customWidth="1"/>
    <col min="2805" max="2805" width="17.42578125" style="365" customWidth="1"/>
    <col min="2806" max="2806" width="0" style="365" hidden="1" customWidth="1"/>
    <col min="2807" max="2807" width="14" style="365" customWidth="1"/>
    <col min="2808" max="2808" width="14.28515625" style="365" bestFit="1" customWidth="1"/>
    <col min="2809" max="2809" width="0" style="365" hidden="1" customWidth="1"/>
    <col min="2810" max="2810" width="15.5703125" style="365" customWidth="1"/>
    <col min="2811" max="2811" width="44.5703125" style="365" customWidth="1"/>
    <col min="2812" max="2812" width="14.28515625" style="365" bestFit="1" customWidth="1"/>
    <col min="2813" max="2813" width="0" style="365" hidden="1" customWidth="1"/>
    <col min="2814" max="2814" width="18.140625" style="365" customWidth="1"/>
    <col min="2815" max="2815" width="0" style="365" hidden="1" customWidth="1"/>
    <col min="2816" max="2816" width="14" style="365" customWidth="1"/>
    <col min="2817" max="2817" width="0" style="365" hidden="1" customWidth="1"/>
    <col min="2818" max="2818" width="20.85546875" style="365" customWidth="1"/>
    <col min="2819" max="2819" width="0" style="365" hidden="1" customWidth="1"/>
    <col min="2820" max="2820" width="13.28515625" style="365" customWidth="1"/>
    <col min="2821" max="2821" width="0" style="365" hidden="1" customWidth="1"/>
    <col min="2822" max="2822" width="15" style="365" customWidth="1"/>
    <col min="2823" max="2823" width="0" style="365" hidden="1" customWidth="1"/>
    <col min="2824" max="2824" width="13.28515625" style="365" customWidth="1"/>
    <col min="2825" max="2825" width="0" style="365" hidden="1" customWidth="1"/>
    <col min="2826" max="2826" width="20.140625" style="365" customWidth="1"/>
    <col min="2827" max="2827" width="14.42578125" style="365" bestFit="1" customWidth="1"/>
    <col min="2828" max="2828" width="14" style="365" bestFit="1" customWidth="1"/>
    <col min="2829" max="2829" width="12.28515625" style="365" bestFit="1" customWidth="1"/>
    <col min="2830" max="2854" width="9.140625" style="365" customWidth="1"/>
    <col min="2855" max="3049" width="8.85546875" style="365"/>
    <col min="3050" max="3050" width="44.5703125" style="365" customWidth="1"/>
    <col min="3051" max="3051" width="14.28515625" style="365" bestFit="1" customWidth="1"/>
    <col min="3052" max="3052" width="1.7109375" style="365" customWidth="1"/>
    <col min="3053" max="3053" width="14.85546875" style="365" customWidth="1"/>
    <col min="3054" max="3054" width="0" style="365" hidden="1" customWidth="1"/>
    <col min="3055" max="3055" width="17.42578125" style="365" customWidth="1"/>
    <col min="3056" max="3056" width="0" style="365" hidden="1" customWidth="1"/>
    <col min="3057" max="3057" width="12.85546875" style="365" customWidth="1"/>
    <col min="3058" max="3058" width="0" style="365" hidden="1" customWidth="1"/>
    <col min="3059" max="3059" width="14.42578125" style="365" customWidth="1"/>
    <col min="3060" max="3060" width="0" style="365" hidden="1" customWidth="1"/>
    <col min="3061" max="3061" width="17.42578125" style="365" customWidth="1"/>
    <col min="3062" max="3062" width="0" style="365" hidden="1" customWidth="1"/>
    <col min="3063" max="3063" width="14" style="365" customWidth="1"/>
    <col min="3064" max="3064" width="14.28515625" style="365" bestFit="1" customWidth="1"/>
    <col min="3065" max="3065" width="0" style="365" hidden="1" customWidth="1"/>
    <col min="3066" max="3066" width="15.5703125" style="365" customWidth="1"/>
    <col min="3067" max="3067" width="44.5703125" style="365" customWidth="1"/>
    <col min="3068" max="3068" width="14.28515625" style="365" bestFit="1" customWidth="1"/>
    <col min="3069" max="3069" width="0" style="365" hidden="1" customWidth="1"/>
    <col min="3070" max="3070" width="18.140625" style="365" customWidth="1"/>
    <col min="3071" max="3071" width="0" style="365" hidden="1" customWidth="1"/>
    <col min="3072" max="3072" width="14" style="365" customWidth="1"/>
    <col min="3073" max="3073" width="0" style="365" hidden="1" customWidth="1"/>
    <col min="3074" max="3074" width="20.85546875" style="365" customWidth="1"/>
    <col min="3075" max="3075" width="0" style="365" hidden="1" customWidth="1"/>
    <col min="3076" max="3076" width="13.28515625" style="365" customWidth="1"/>
    <col min="3077" max="3077" width="0" style="365" hidden="1" customWidth="1"/>
    <col min="3078" max="3078" width="15" style="365" customWidth="1"/>
    <col min="3079" max="3079" width="0" style="365" hidden="1" customWidth="1"/>
    <col min="3080" max="3080" width="13.28515625" style="365" customWidth="1"/>
    <col min="3081" max="3081" width="0" style="365" hidden="1" customWidth="1"/>
    <col min="3082" max="3082" width="20.140625" style="365" customWidth="1"/>
    <col min="3083" max="3083" width="14.42578125" style="365" bestFit="1" customWidth="1"/>
    <col min="3084" max="3084" width="14" style="365" bestFit="1" customWidth="1"/>
    <col min="3085" max="3085" width="12.28515625" style="365" bestFit="1" customWidth="1"/>
    <col min="3086" max="3110" width="9.140625" style="365" customWidth="1"/>
    <col min="3111" max="3305" width="8.85546875" style="365"/>
    <col min="3306" max="3306" width="44.5703125" style="365" customWidth="1"/>
    <col min="3307" max="3307" width="14.28515625" style="365" bestFit="1" customWidth="1"/>
    <col min="3308" max="3308" width="1.7109375" style="365" customWidth="1"/>
    <col min="3309" max="3309" width="14.85546875" style="365" customWidth="1"/>
    <col min="3310" max="3310" width="0" style="365" hidden="1" customWidth="1"/>
    <col min="3311" max="3311" width="17.42578125" style="365" customWidth="1"/>
    <col min="3312" max="3312" width="0" style="365" hidden="1" customWidth="1"/>
    <col min="3313" max="3313" width="12.85546875" style="365" customWidth="1"/>
    <col min="3314" max="3314" width="0" style="365" hidden="1" customWidth="1"/>
    <col min="3315" max="3315" width="14.42578125" style="365" customWidth="1"/>
    <col min="3316" max="3316" width="0" style="365" hidden="1" customWidth="1"/>
    <col min="3317" max="3317" width="17.42578125" style="365" customWidth="1"/>
    <col min="3318" max="3318" width="0" style="365" hidden="1" customWidth="1"/>
    <col min="3319" max="3319" width="14" style="365" customWidth="1"/>
    <col min="3320" max="3320" width="14.28515625" style="365" bestFit="1" customWidth="1"/>
    <col min="3321" max="3321" width="0" style="365" hidden="1" customWidth="1"/>
    <col min="3322" max="3322" width="15.5703125" style="365" customWidth="1"/>
    <col min="3323" max="3323" width="44.5703125" style="365" customWidth="1"/>
    <col min="3324" max="3324" width="14.28515625" style="365" bestFit="1" customWidth="1"/>
    <col min="3325" max="3325" width="0" style="365" hidden="1" customWidth="1"/>
    <col min="3326" max="3326" width="18.140625" style="365" customWidth="1"/>
    <col min="3327" max="3327" width="0" style="365" hidden="1" customWidth="1"/>
    <col min="3328" max="3328" width="14" style="365" customWidth="1"/>
    <col min="3329" max="3329" width="0" style="365" hidden="1" customWidth="1"/>
    <col min="3330" max="3330" width="20.85546875" style="365" customWidth="1"/>
    <col min="3331" max="3331" width="0" style="365" hidden="1" customWidth="1"/>
    <col min="3332" max="3332" width="13.28515625" style="365" customWidth="1"/>
    <col min="3333" max="3333" width="0" style="365" hidden="1" customWidth="1"/>
    <col min="3334" max="3334" width="15" style="365" customWidth="1"/>
    <col min="3335" max="3335" width="0" style="365" hidden="1" customWidth="1"/>
    <col min="3336" max="3336" width="13.28515625" style="365" customWidth="1"/>
    <col min="3337" max="3337" width="0" style="365" hidden="1" customWidth="1"/>
    <col min="3338" max="3338" width="20.140625" style="365" customWidth="1"/>
    <col min="3339" max="3339" width="14.42578125" style="365" bestFit="1" customWidth="1"/>
    <col min="3340" max="3340" width="14" style="365" bestFit="1" customWidth="1"/>
    <col min="3341" max="3341" width="12.28515625" style="365" bestFit="1" customWidth="1"/>
    <col min="3342" max="3366" width="9.140625" style="365" customWidth="1"/>
    <col min="3367" max="3561" width="8.85546875" style="365"/>
    <col min="3562" max="3562" width="44.5703125" style="365" customWidth="1"/>
    <col min="3563" max="3563" width="14.28515625" style="365" bestFit="1" customWidth="1"/>
    <col min="3564" max="3564" width="1.7109375" style="365" customWidth="1"/>
    <col min="3565" max="3565" width="14.85546875" style="365" customWidth="1"/>
    <col min="3566" max="3566" width="0" style="365" hidden="1" customWidth="1"/>
    <col min="3567" max="3567" width="17.42578125" style="365" customWidth="1"/>
    <col min="3568" max="3568" width="0" style="365" hidden="1" customWidth="1"/>
    <col min="3569" max="3569" width="12.85546875" style="365" customWidth="1"/>
    <col min="3570" max="3570" width="0" style="365" hidden="1" customWidth="1"/>
    <col min="3571" max="3571" width="14.42578125" style="365" customWidth="1"/>
    <col min="3572" max="3572" width="0" style="365" hidden="1" customWidth="1"/>
    <col min="3573" max="3573" width="17.42578125" style="365" customWidth="1"/>
    <col min="3574" max="3574" width="0" style="365" hidden="1" customWidth="1"/>
    <col min="3575" max="3575" width="14" style="365" customWidth="1"/>
    <col min="3576" max="3576" width="14.28515625" style="365" bestFit="1" customWidth="1"/>
    <col min="3577" max="3577" width="0" style="365" hidden="1" customWidth="1"/>
    <col min="3578" max="3578" width="15.5703125" style="365" customWidth="1"/>
    <col min="3579" max="3579" width="44.5703125" style="365" customWidth="1"/>
    <col min="3580" max="3580" width="14.28515625" style="365" bestFit="1" customWidth="1"/>
    <col min="3581" max="3581" width="0" style="365" hidden="1" customWidth="1"/>
    <col min="3582" max="3582" width="18.140625" style="365" customWidth="1"/>
    <col min="3583" max="3583" width="0" style="365" hidden="1" customWidth="1"/>
    <col min="3584" max="3584" width="14" style="365" customWidth="1"/>
    <col min="3585" max="3585" width="0" style="365" hidden="1" customWidth="1"/>
    <col min="3586" max="3586" width="20.85546875" style="365" customWidth="1"/>
    <col min="3587" max="3587" width="0" style="365" hidden="1" customWidth="1"/>
    <col min="3588" max="3588" width="13.28515625" style="365" customWidth="1"/>
    <col min="3589" max="3589" width="0" style="365" hidden="1" customWidth="1"/>
    <col min="3590" max="3590" width="15" style="365" customWidth="1"/>
    <col min="3591" max="3591" width="0" style="365" hidden="1" customWidth="1"/>
    <col min="3592" max="3592" width="13.28515625" style="365" customWidth="1"/>
    <col min="3593" max="3593" width="0" style="365" hidden="1" customWidth="1"/>
    <col min="3594" max="3594" width="20.140625" style="365" customWidth="1"/>
    <col min="3595" max="3595" width="14.42578125" style="365" bestFit="1" customWidth="1"/>
    <col min="3596" max="3596" width="14" style="365" bestFit="1" customWidth="1"/>
    <col min="3597" max="3597" width="12.28515625" style="365" bestFit="1" customWidth="1"/>
    <col min="3598" max="3622" width="9.140625" style="365" customWidth="1"/>
    <col min="3623" max="3817" width="8.85546875" style="365"/>
    <col min="3818" max="3818" width="44.5703125" style="365" customWidth="1"/>
    <col min="3819" max="3819" width="14.28515625" style="365" bestFit="1" customWidth="1"/>
    <col min="3820" max="3820" width="1.7109375" style="365" customWidth="1"/>
    <col min="3821" max="3821" width="14.85546875" style="365" customWidth="1"/>
    <col min="3822" max="3822" width="0" style="365" hidden="1" customWidth="1"/>
    <col min="3823" max="3823" width="17.42578125" style="365" customWidth="1"/>
    <col min="3824" max="3824" width="0" style="365" hidden="1" customWidth="1"/>
    <col min="3825" max="3825" width="12.85546875" style="365" customWidth="1"/>
    <col min="3826" max="3826" width="0" style="365" hidden="1" customWidth="1"/>
    <col min="3827" max="3827" width="14.42578125" style="365" customWidth="1"/>
    <col min="3828" max="3828" width="0" style="365" hidden="1" customWidth="1"/>
    <col min="3829" max="3829" width="17.42578125" style="365" customWidth="1"/>
    <col min="3830" max="3830" width="0" style="365" hidden="1" customWidth="1"/>
    <col min="3831" max="3831" width="14" style="365" customWidth="1"/>
    <col min="3832" max="3832" width="14.28515625" style="365" bestFit="1" customWidth="1"/>
    <col min="3833" max="3833" width="0" style="365" hidden="1" customWidth="1"/>
    <col min="3834" max="3834" width="15.5703125" style="365" customWidth="1"/>
    <col min="3835" max="3835" width="44.5703125" style="365" customWidth="1"/>
    <col min="3836" max="3836" width="14.28515625" style="365" bestFit="1" customWidth="1"/>
    <col min="3837" max="3837" width="0" style="365" hidden="1" customWidth="1"/>
    <col min="3838" max="3838" width="18.140625" style="365" customWidth="1"/>
    <col min="3839" max="3839" width="0" style="365" hidden="1" customWidth="1"/>
    <col min="3840" max="3840" width="14" style="365" customWidth="1"/>
    <col min="3841" max="3841" width="0" style="365" hidden="1" customWidth="1"/>
    <col min="3842" max="3842" width="20.85546875" style="365" customWidth="1"/>
    <col min="3843" max="3843" width="0" style="365" hidden="1" customWidth="1"/>
    <col min="3844" max="3844" width="13.28515625" style="365" customWidth="1"/>
    <col min="3845" max="3845" width="0" style="365" hidden="1" customWidth="1"/>
    <col min="3846" max="3846" width="15" style="365" customWidth="1"/>
    <col min="3847" max="3847" width="0" style="365" hidden="1" customWidth="1"/>
    <col min="3848" max="3848" width="13.28515625" style="365" customWidth="1"/>
    <col min="3849" max="3849" width="0" style="365" hidden="1" customWidth="1"/>
    <col min="3850" max="3850" width="20.140625" style="365" customWidth="1"/>
    <col min="3851" max="3851" width="14.42578125" style="365" bestFit="1" customWidth="1"/>
    <col min="3852" max="3852" width="14" style="365" bestFit="1" customWidth="1"/>
    <col min="3853" max="3853" width="12.28515625" style="365" bestFit="1" customWidth="1"/>
    <col min="3854" max="3878" width="9.140625" style="365" customWidth="1"/>
    <col min="3879" max="4073" width="8.85546875" style="365"/>
    <col min="4074" max="4074" width="44.5703125" style="365" customWidth="1"/>
    <col min="4075" max="4075" width="14.28515625" style="365" bestFit="1" customWidth="1"/>
    <col min="4076" max="4076" width="1.7109375" style="365" customWidth="1"/>
    <col min="4077" max="4077" width="14.85546875" style="365" customWidth="1"/>
    <col min="4078" max="4078" width="0" style="365" hidden="1" customWidth="1"/>
    <col min="4079" max="4079" width="17.42578125" style="365" customWidth="1"/>
    <col min="4080" max="4080" width="0" style="365" hidden="1" customWidth="1"/>
    <col min="4081" max="4081" width="12.85546875" style="365" customWidth="1"/>
    <col min="4082" max="4082" width="0" style="365" hidden="1" customWidth="1"/>
    <col min="4083" max="4083" width="14.42578125" style="365" customWidth="1"/>
    <col min="4084" max="4084" width="0" style="365" hidden="1" customWidth="1"/>
    <col min="4085" max="4085" width="17.42578125" style="365" customWidth="1"/>
    <col min="4086" max="4086" width="0" style="365" hidden="1" customWidth="1"/>
    <col min="4087" max="4087" width="14" style="365" customWidth="1"/>
    <col min="4088" max="4088" width="14.28515625" style="365" bestFit="1" customWidth="1"/>
    <col min="4089" max="4089" width="0" style="365" hidden="1" customWidth="1"/>
    <col min="4090" max="4090" width="15.5703125" style="365" customWidth="1"/>
    <col min="4091" max="4091" width="44.5703125" style="365" customWidth="1"/>
    <col min="4092" max="4092" width="14.28515625" style="365" bestFit="1" customWidth="1"/>
    <col min="4093" max="4093" width="0" style="365" hidden="1" customWidth="1"/>
    <col min="4094" max="4094" width="18.140625" style="365" customWidth="1"/>
    <col min="4095" max="4095" width="0" style="365" hidden="1" customWidth="1"/>
    <col min="4096" max="4096" width="14" style="365" customWidth="1"/>
    <col min="4097" max="4097" width="0" style="365" hidden="1" customWidth="1"/>
    <col min="4098" max="4098" width="20.85546875" style="365" customWidth="1"/>
    <col min="4099" max="4099" width="0" style="365" hidden="1" customWidth="1"/>
    <col min="4100" max="4100" width="13.28515625" style="365" customWidth="1"/>
    <col min="4101" max="4101" width="0" style="365" hidden="1" customWidth="1"/>
    <col min="4102" max="4102" width="15" style="365" customWidth="1"/>
    <col min="4103" max="4103" width="0" style="365" hidden="1" customWidth="1"/>
    <col min="4104" max="4104" width="13.28515625" style="365" customWidth="1"/>
    <col min="4105" max="4105" width="0" style="365" hidden="1" customWidth="1"/>
    <col min="4106" max="4106" width="20.140625" style="365" customWidth="1"/>
    <col min="4107" max="4107" width="14.42578125" style="365" bestFit="1" customWidth="1"/>
    <col min="4108" max="4108" width="14" style="365" bestFit="1" customWidth="1"/>
    <col min="4109" max="4109" width="12.28515625" style="365" bestFit="1" customWidth="1"/>
    <col min="4110" max="4134" width="9.140625" style="365" customWidth="1"/>
    <col min="4135" max="4329" width="8.85546875" style="365"/>
    <col min="4330" max="4330" width="44.5703125" style="365" customWidth="1"/>
    <col min="4331" max="4331" width="14.28515625" style="365" bestFit="1" customWidth="1"/>
    <col min="4332" max="4332" width="1.7109375" style="365" customWidth="1"/>
    <col min="4333" max="4333" width="14.85546875" style="365" customWidth="1"/>
    <col min="4334" max="4334" width="0" style="365" hidden="1" customWidth="1"/>
    <col min="4335" max="4335" width="17.42578125" style="365" customWidth="1"/>
    <col min="4336" max="4336" width="0" style="365" hidden="1" customWidth="1"/>
    <col min="4337" max="4337" width="12.85546875" style="365" customWidth="1"/>
    <col min="4338" max="4338" width="0" style="365" hidden="1" customWidth="1"/>
    <col min="4339" max="4339" width="14.42578125" style="365" customWidth="1"/>
    <col min="4340" max="4340" width="0" style="365" hidden="1" customWidth="1"/>
    <col min="4341" max="4341" width="17.42578125" style="365" customWidth="1"/>
    <col min="4342" max="4342" width="0" style="365" hidden="1" customWidth="1"/>
    <col min="4343" max="4343" width="14" style="365" customWidth="1"/>
    <col min="4344" max="4344" width="14.28515625" style="365" bestFit="1" customWidth="1"/>
    <col min="4345" max="4345" width="0" style="365" hidden="1" customWidth="1"/>
    <col min="4346" max="4346" width="15.5703125" style="365" customWidth="1"/>
    <col min="4347" max="4347" width="44.5703125" style="365" customWidth="1"/>
    <col min="4348" max="4348" width="14.28515625" style="365" bestFit="1" customWidth="1"/>
    <col min="4349" max="4349" width="0" style="365" hidden="1" customWidth="1"/>
    <col min="4350" max="4350" width="18.140625" style="365" customWidth="1"/>
    <col min="4351" max="4351" width="0" style="365" hidden="1" customWidth="1"/>
    <col min="4352" max="4352" width="14" style="365" customWidth="1"/>
    <col min="4353" max="4353" width="0" style="365" hidden="1" customWidth="1"/>
    <col min="4354" max="4354" width="20.85546875" style="365" customWidth="1"/>
    <col min="4355" max="4355" width="0" style="365" hidden="1" customWidth="1"/>
    <col min="4356" max="4356" width="13.28515625" style="365" customWidth="1"/>
    <col min="4357" max="4357" width="0" style="365" hidden="1" customWidth="1"/>
    <col min="4358" max="4358" width="15" style="365" customWidth="1"/>
    <col min="4359" max="4359" width="0" style="365" hidden="1" customWidth="1"/>
    <col min="4360" max="4360" width="13.28515625" style="365" customWidth="1"/>
    <col min="4361" max="4361" width="0" style="365" hidden="1" customWidth="1"/>
    <col min="4362" max="4362" width="20.140625" style="365" customWidth="1"/>
    <col min="4363" max="4363" width="14.42578125" style="365" bestFit="1" customWidth="1"/>
    <col min="4364" max="4364" width="14" style="365" bestFit="1" customWidth="1"/>
    <col min="4365" max="4365" width="12.28515625" style="365" bestFit="1" customWidth="1"/>
    <col min="4366" max="4390" width="9.140625" style="365" customWidth="1"/>
    <col min="4391" max="4585" width="8.85546875" style="365"/>
    <col min="4586" max="4586" width="44.5703125" style="365" customWidth="1"/>
    <col min="4587" max="4587" width="14.28515625" style="365" bestFit="1" customWidth="1"/>
    <col min="4588" max="4588" width="1.7109375" style="365" customWidth="1"/>
    <col min="4589" max="4589" width="14.85546875" style="365" customWidth="1"/>
    <col min="4590" max="4590" width="0" style="365" hidden="1" customWidth="1"/>
    <col min="4591" max="4591" width="17.42578125" style="365" customWidth="1"/>
    <col min="4592" max="4592" width="0" style="365" hidden="1" customWidth="1"/>
    <col min="4593" max="4593" width="12.85546875" style="365" customWidth="1"/>
    <col min="4594" max="4594" width="0" style="365" hidden="1" customWidth="1"/>
    <col min="4595" max="4595" width="14.42578125" style="365" customWidth="1"/>
    <col min="4596" max="4596" width="0" style="365" hidden="1" customWidth="1"/>
    <col min="4597" max="4597" width="17.42578125" style="365" customWidth="1"/>
    <col min="4598" max="4598" width="0" style="365" hidden="1" customWidth="1"/>
    <col min="4599" max="4599" width="14" style="365" customWidth="1"/>
    <col min="4600" max="4600" width="14.28515625" style="365" bestFit="1" customWidth="1"/>
    <col min="4601" max="4601" width="0" style="365" hidden="1" customWidth="1"/>
    <col min="4602" max="4602" width="15.5703125" style="365" customWidth="1"/>
    <col min="4603" max="4603" width="44.5703125" style="365" customWidth="1"/>
    <col min="4604" max="4604" width="14.28515625" style="365" bestFit="1" customWidth="1"/>
    <col min="4605" max="4605" width="0" style="365" hidden="1" customWidth="1"/>
    <col min="4606" max="4606" width="18.140625" style="365" customWidth="1"/>
    <col min="4607" max="4607" width="0" style="365" hidden="1" customWidth="1"/>
    <col min="4608" max="4608" width="14" style="365" customWidth="1"/>
    <col min="4609" max="4609" width="0" style="365" hidden="1" customWidth="1"/>
    <col min="4610" max="4610" width="20.85546875" style="365" customWidth="1"/>
    <col min="4611" max="4611" width="0" style="365" hidden="1" customWidth="1"/>
    <col min="4612" max="4612" width="13.28515625" style="365" customWidth="1"/>
    <col min="4613" max="4613" width="0" style="365" hidden="1" customWidth="1"/>
    <col min="4614" max="4614" width="15" style="365" customWidth="1"/>
    <col min="4615" max="4615" width="0" style="365" hidden="1" customWidth="1"/>
    <col min="4616" max="4616" width="13.28515625" style="365" customWidth="1"/>
    <col min="4617" max="4617" width="0" style="365" hidden="1" customWidth="1"/>
    <col min="4618" max="4618" width="20.140625" style="365" customWidth="1"/>
    <col min="4619" max="4619" width="14.42578125" style="365" bestFit="1" customWidth="1"/>
    <col min="4620" max="4620" width="14" style="365" bestFit="1" customWidth="1"/>
    <col min="4621" max="4621" width="12.28515625" style="365" bestFit="1" customWidth="1"/>
    <col min="4622" max="4646" width="9.140625" style="365" customWidth="1"/>
    <col min="4647" max="4841" width="8.85546875" style="365"/>
    <col min="4842" max="4842" width="44.5703125" style="365" customWidth="1"/>
    <col min="4843" max="4843" width="14.28515625" style="365" bestFit="1" customWidth="1"/>
    <col min="4844" max="4844" width="1.7109375" style="365" customWidth="1"/>
    <col min="4845" max="4845" width="14.85546875" style="365" customWidth="1"/>
    <col min="4846" max="4846" width="0" style="365" hidden="1" customWidth="1"/>
    <col min="4847" max="4847" width="17.42578125" style="365" customWidth="1"/>
    <col min="4848" max="4848" width="0" style="365" hidden="1" customWidth="1"/>
    <col min="4849" max="4849" width="12.85546875" style="365" customWidth="1"/>
    <col min="4850" max="4850" width="0" style="365" hidden="1" customWidth="1"/>
    <col min="4851" max="4851" width="14.42578125" style="365" customWidth="1"/>
    <col min="4852" max="4852" width="0" style="365" hidden="1" customWidth="1"/>
    <col min="4853" max="4853" width="17.42578125" style="365" customWidth="1"/>
    <col min="4854" max="4854" width="0" style="365" hidden="1" customWidth="1"/>
    <col min="4855" max="4855" width="14" style="365" customWidth="1"/>
    <col min="4856" max="4856" width="14.28515625" style="365" bestFit="1" customWidth="1"/>
    <col min="4857" max="4857" width="0" style="365" hidden="1" customWidth="1"/>
    <col min="4858" max="4858" width="15.5703125" style="365" customWidth="1"/>
    <col min="4859" max="4859" width="44.5703125" style="365" customWidth="1"/>
    <col min="4860" max="4860" width="14.28515625" style="365" bestFit="1" customWidth="1"/>
    <col min="4861" max="4861" width="0" style="365" hidden="1" customWidth="1"/>
    <col min="4862" max="4862" width="18.140625" style="365" customWidth="1"/>
    <col min="4863" max="4863" width="0" style="365" hidden="1" customWidth="1"/>
    <col min="4864" max="4864" width="14" style="365" customWidth="1"/>
    <col min="4865" max="4865" width="0" style="365" hidden="1" customWidth="1"/>
    <col min="4866" max="4866" width="20.85546875" style="365" customWidth="1"/>
    <col min="4867" max="4867" width="0" style="365" hidden="1" customWidth="1"/>
    <col min="4868" max="4868" width="13.28515625" style="365" customWidth="1"/>
    <col min="4869" max="4869" width="0" style="365" hidden="1" customWidth="1"/>
    <col min="4870" max="4870" width="15" style="365" customWidth="1"/>
    <col min="4871" max="4871" width="0" style="365" hidden="1" customWidth="1"/>
    <col min="4872" max="4872" width="13.28515625" style="365" customWidth="1"/>
    <col min="4873" max="4873" width="0" style="365" hidden="1" customWidth="1"/>
    <col min="4874" max="4874" width="20.140625" style="365" customWidth="1"/>
    <col min="4875" max="4875" width="14.42578125" style="365" bestFit="1" customWidth="1"/>
    <col min="4876" max="4876" width="14" style="365" bestFit="1" customWidth="1"/>
    <col min="4877" max="4877" width="12.28515625" style="365" bestFit="1" customWidth="1"/>
    <col min="4878" max="4902" width="9.140625" style="365" customWidth="1"/>
    <col min="4903" max="5097" width="8.85546875" style="365"/>
    <col min="5098" max="5098" width="44.5703125" style="365" customWidth="1"/>
    <col min="5099" max="5099" width="14.28515625" style="365" bestFit="1" customWidth="1"/>
    <col min="5100" max="5100" width="1.7109375" style="365" customWidth="1"/>
    <col min="5101" max="5101" width="14.85546875" style="365" customWidth="1"/>
    <col min="5102" max="5102" width="0" style="365" hidden="1" customWidth="1"/>
    <col min="5103" max="5103" width="17.42578125" style="365" customWidth="1"/>
    <col min="5104" max="5104" width="0" style="365" hidden="1" customWidth="1"/>
    <col min="5105" max="5105" width="12.85546875" style="365" customWidth="1"/>
    <col min="5106" max="5106" width="0" style="365" hidden="1" customWidth="1"/>
    <col min="5107" max="5107" width="14.42578125" style="365" customWidth="1"/>
    <col min="5108" max="5108" width="0" style="365" hidden="1" customWidth="1"/>
    <col min="5109" max="5109" width="17.42578125" style="365" customWidth="1"/>
    <col min="5110" max="5110" width="0" style="365" hidden="1" customWidth="1"/>
    <col min="5111" max="5111" width="14" style="365" customWidth="1"/>
    <col min="5112" max="5112" width="14.28515625" style="365" bestFit="1" customWidth="1"/>
    <col min="5113" max="5113" width="0" style="365" hidden="1" customWidth="1"/>
    <col min="5114" max="5114" width="15.5703125" style="365" customWidth="1"/>
    <col min="5115" max="5115" width="44.5703125" style="365" customWidth="1"/>
    <col min="5116" max="5116" width="14.28515625" style="365" bestFit="1" customWidth="1"/>
    <col min="5117" max="5117" width="0" style="365" hidden="1" customWidth="1"/>
    <col min="5118" max="5118" width="18.140625" style="365" customWidth="1"/>
    <col min="5119" max="5119" width="0" style="365" hidden="1" customWidth="1"/>
    <col min="5120" max="5120" width="14" style="365" customWidth="1"/>
    <col min="5121" max="5121" width="0" style="365" hidden="1" customWidth="1"/>
    <col min="5122" max="5122" width="20.85546875" style="365" customWidth="1"/>
    <col min="5123" max="5123" width="0" style="365" hidden="1" customWidth="1"/>
    <col min="5124" max="5124" width="13.28515625" style="365" customWidth="1"/>
    <col min="5125" max="5125" width="0" style="365" hidden="1" customWidth="1"/>
    <col min="5126" max="5126" width="15" style="365" customWidth="1"/>
    <col min="5127" max="5127" width="0" style="365" hidden="1" customWidth="1"/>
    <col min="5128" max="5128" width="13.28515625" style="365" customWidth="1"/>
    <col min="5129" max="5129" width="0" style="365" hidden="1" customWidth="1"/>
    <col min="5130" max="5130" width="20.140625" style="365" customWidth="1"/>
    <col min="5131" max="5131" width="14.42578125" style="365" bestFit="1" customWidth="1"/>
    <col min="5132" max="5132" width="14" style="365" bestFit="1" customWidth="1"/>
    <col min="5133" max="5133" width="12.28515625" style="365" bestFit="1" customWidth="1"/>
    <col min="5134" max="5158" width="9.140625" style="365" customWidth="1"/>
    <col min="5159" max="5353" width="8.85546875" style="365"/>
    <col min="5354" max="5354" width="44.5703125" style="365" customWidth="1"/>
    <col min="5355" max="5355" width="14.28515625" style="365" bestFit="1" customWidth="1"/>
    <col min="5356" max="5356" width="1.7109375" style="365" customWidth="1"/>
    <col min="5357" max="5357" width="14.85546875" style="365" customWidth="1"/>
    <col min="5358" max="5358" width="0" style="365" hidden="1" customWidth="1"/>
    <col min="5359" max="5359" width="17.42578125" style="365" customWidth="1"/>
    <col min="5360" max="5360" width="0" style="365" hidden="1" customWidth="1"/>
    <col min="5361" max="5361" width="12.85546875" style="365" customWidth="1"/>
    <col min="5362" max="5362" width="0" style="365" hidden="1" customWidth="1"/>
    <col min="5363" max="5363" width="14.42578125" style="365" customWidth="1"/>
    <col min="5364" max="5364" width="0" style="365" hidden="1" customWidth="1"/>
    <col min="5365" max="5365" width="17.42578125" style="365" customWidth="1"/>
    <col min="5366" max="5366" width="0" style="365" hidden="1" customWidth="1"/>
    <col min="5367" max="5367" width="14" style="365" customWidth="1"/>
    <col min="5368" max="5368" width="14.28515625" style="365" bestFit="1" customWidth="1"/>
    <col min="5369" max="5369" width="0" style="365" hidden="1" customWidth="1"/>
    <col min="5370" max="5370" width="15.5703125" style="365" customWidth="1"/>
    <col min="5371" max="5371" width="44.5703125" style="365" customWidth="1"/>
    <col min="5372" max="5372" width="14.28515625" style="365" bestFit="1" customWidth="1"/>
    <col min="5373" max="5373" width="0" style="365" hidden="1" customWidth="1"/>
    <col min="5374" max="5374" width="18.140625" style="365" customWidth="1"/>
    <col min="5375" max="5375" width="0" style="365" hidden="1" customWidth="1"/>
    <col min="5376" max="5376" width="14" style="365" customWidth="1"/>
    <col min="5377" max="5377" width="0" style="365" hidden="1" customWidth="1"/>
    <col min="5378" max="5378" width="20.85546875" style="365" customWidth="1"/>
    <col min="5379" max="5379" width="0" style="365" hidden="1" customWidth="1"/>
    <col min="5380" max="5380" width="13.28515625" style="365" customWidth="1"/>
    <col min="5381" max="5381" width="0" style="365" hidden="1" customWidth="1"/>
    <col min="5382" max="5382" width="15" style="365" customWidth="1"/>
    <col min="5383" max="5383" width="0" style="365" hidden="1" customWidth="1"/>
    <col min="5384" max="5384" width="13.28515625" style="365" customWidth="1"/>
    <col min="5385" max="5385" width="0" style="365" hidden="1" customWidth="1"/>
    <col min="5386" max="5386" width="20.140625" style="365" customWidth="1"/>
    <col min="5387" max="5387" width="14.42578125" style="365" bestFit="1" customWidth="1"/>
    <col min="5388" max="5388" width="14" style="365" bestFit="1" customWidth="1"/>
    <col min="5389" max="5389" width="12.28515625" style="365" bestFit="1" customWidth="1"/>
    <col min="5390" max="5414" width="9.140625" style="365" customWidth="1"/>
    <col min="5415" max="5609" width="8.85546875" style="365"/>
    <col min="5610" max="5610" width="44.5703125" style="365" customWidth="1"/>
    <col min="5611" max="5611" width="14.28515625" style="365" bestFit="1" customWidth="1"/>
    <col min="5612" max="5612" width="1.7109375" style="365" customWidth="1"/>
    <col min="5613" max="5613" width="14.85546875" style="365" customWidth="1"/>
    <col min="5614" max="5614" width="0" style="365" hidden="1" customWidth="1"/>
    <col min="5615" max="5615" width="17.42578125" style="365" customWidth="1"/>
    <col min="5616" max="5616" width="0" style="365" hidden="1" customWidth="1"/>
    <col min="5617" max="5617" width="12.85546875" style="365" customWidth="1"/>
    <col min="5618" max="5618" width="0" style="365" hidden="1" customWidth="1"/>
    <col min="5619" max="5619" width="14.42578125" style="365" customWidth="1"/>
    <col min="5620" max="5620" width="0" style="365" hidden="1" customWidth="1"/>
    <col min="5621" max="5621" width="17.42578125" style="365" customWidth="1"/>
    <col min="5622" max="5622" width="0" style="365" hidden="1" customWidth="1"/>
    <col min="5623" max="5623" width="14" style="365" customWidth="1"/>
    <col min="5624" max="5624" width="14.28515625" style="365" bestFit="1" customWidth="1"/>
    <col min="5625" max="5625" width="0" style="365" hidden="1" customWidth="1"/>
    <col min="5626" max="5626" width="15.5703125" style="365" customWidth="1"/>
    <col min="5627" max="5627" width="44.5703125" style="365" customWidth="1"/>
    <col min="5628" max="5628" width="14.28515625" style="365" bestFit="1" customWidth="1"/>
    <col min="5629" max="5629" width="0" style="365" hidden="1" customWidth="1"/>
    <col min="5630" max="5630" width="18.140625" style="365" customWidth="1"/>
    <col min="5631" max="5631" width="0" style="365" hidden="1" customWidth="1"/>
    <col min="5632" max="5632" width="14" style="365" customWidth="1"/>
    <col min="5633" max="5633" width="0" style="365" hidden="1" customWidth="1"/>
    <col min="5634" max="5634" width="20.85546875" style="365" customWidth="1"/>
    <col min="5635" max="5635" width="0" style="365" hidden="1" customWidth="1"/>
    <col min="5636" max="5636" width="13.28515625" style="365" customWidth="1"/>
    <col min="5637" max="5637" width="0" style="365" hidden="1" customWidth="1"/>
    <col min="5638" max="5638" width="15" style="365" customWidth="1"/>
    <col min="5639" max="5639" width="0" style="365" hidden="1" customWidth="1"/>
    <col min="5640" max="5640" width="13.28515625" style="365" customWidth="1"/>
    <col min="5641" max="5641" width="0" style="365" hidden="1" customWidth="1"/>
    <col min="5642" max="5642" width="20.140625" style="365" customWidth="1"/>
    <col min="5643" max="5643" width="14.42578125" style="365" bestFit="1" customWidth="1"/>
    <col min="5644" max="5644" width="14" style="365" bestFit="1" customWidth="1"/>
    <col min="5645" max="5645" width="12.28515625" style="365" bestFit="1" customWidth="1"/>
    <col min="5646" max="5670" width="9.140625" style="365" customWidth="1"/>
    <col min="5671" max="5865" width="8.85546875" style="365"/>
    <col min="5866" max="5866" width="44.5703125" style="365" customWidth="1"/>
    <col min="5867" max="5867" width="14.28515625" style="365" bestFit="1" customWidth="1"/>
    <col min="5868" max="5868" width="1.7109375" style="365" customWidth="1"/>
    <col min="5869" max="5869" width="14.85546875" style="365" customWidth="1"/>
    <col min="5870" max="5870" width="0" style="365" hidden="1" customWidth="1"/>
    <col min="5871" max="5871" width="17.42578125" style="365" customWidth="1"/>
    <col min="5872" max="5872" width="0" style="365" hidden="1" customWidth="1"/>
    <col min="5873" max="5873" width="12.85546875" style="365" customWidth="1"/>
    <col min="5874" max="5874" width="0" style="365" hidden="1" customWidth="1"/>
    <col min="5875" max="5875" width="14.42578125" style="365" customWidth="1"/>
    <col min="5876" max="5876" width="0" style="365" hidden="1" customWidth="1"/>
    <col min="5877" max="5877" width="17.42578125" style="365" customWidth="1"/>
    <col min="5878" max="5878" width="0" style="365" hidden="1" customWidth="1"/>
    <col min="5879" max="5879" width="14" style="365" customWidth="1"/>
    <col min="5880" max="5880" width="14.28515625" style="365" bestFit="1" customWidth="1"/>
    <col min="5881" max="5881" width="0" style="365" hidden="1" customWidth="1"/>
    <col min="5882" max="5882" width="15.5703125" style="365" customWidth="1"/>
    <col min="5883" max="5883" width="44.5703125" style="365" customWidth="1"/>
    <col min="5884" max="5884" width="14.28515625" style="365" bestFit="1" customWidth="1"/>
    <col min="5885" max="5885" width="0" style="365" hidden="1" customWidth="1"/>
    <col min="5886" max="5886" width="18.140625" style="365" customWidth="1"/>
    <col min="5887" max="5887" width="0" style="365" hidden="1" customWidth="1"/>
    <col min="5888" max="5888" width="14" style="365" customWidth="1"/>
    <col min="5889" max="5889" width="0" style="365" hidden="1" customWidth="1"/>
    <col min="5890" max="5890" width="20.85546875" style="365" customWidth="1"/>
    <col min="5891" max="5891" width="0" style="365" hidden="1" customWidth="1"/>
    <col min="5892" max="5892" width="13.28515625" style="365" customWidth="1"/>
    <col min="5893" max="5893" width="0" style="365" hidden="1" customWidth="1"/>
    <col min="5894" max="5894" width="15" style="365" customWidth="1"/>
    <col min="5895" max="5895" width="0" style="365" hidden="1" customWidth="1"/>
    <col min="5896" max="5896" width="13.28515625" style="365" customWidth="1"/>
    <col min="5897" max="5897" width="0" style="365" hidden="1" customWidth="1"/>
    <col min="5898" max="5898" width="20.140625" style="365" customWidth="1"/>
    <col min="5899" max="5899" width="14.42578125" style="365" bestFit="1" customWidth="1"/>
    <col min="5900" max="5900" width="14" style="365" bestFit="1" customWidth="1"/>
    <col min="5901" max="5901" width="12.28515625" style="365" bestFit="1" customWidth="1"/>
    <col min="5902" max="5926" width="9.140625" style="365" customWidth="1"/>
    <col min="5927" max="6121" width="8.85546875" style="365"/>
    <col min="6122" max="6122" width="44.5703125" style="365" customWidth="1"/>
    <col min="6123" max="6123" width="14.28515625" style="365" bestFit="1" customWidth="1"/>
    <col min="6124" max="6124" width="1.7109375" style="365" customWidth="1"/>
    <col min="6125" max="6125" width="14.85546875" style="365" customWidth="1"/>
    <col min="6126" max="6126" width="0" style="365" hidden="1" customWidth="1"/>
    <col min="6127" max="6127" width="17.42578125" style="365" customWidth="1"/>
    <col min="6128" max="6128" width="0" style="365" hidden="1" customWidth="1"/>
    <col min="6129" max="6129" width="12.85546875" style="365" customWidth="1"/>
    <col min="6130" max="6130" width="0" style="365" hidden="1" customWidth="1"/>
    <col min="6131" max="6131" width="14.42578125" style="365" customWidth="1"/>
    <col min="6132" max="6132" width="0" style="365" hidden="1" customWidth="1"/>
    <col min="6133" max="6133" width="17.42578125" style="365" customWidth="1"/>
    <col min="6134" max="6134" width="0" style="365" hidden="1" customWidth="1"/>
    <col min="6135" max="6135" width="14" style="365" customWidth="1"/>
    <col min="6136" max="6136" width="14.28515625" style="365" bestFit="1" customWidth="1"/>
    <col min="6137" max="6137" width="0" style="365" hidden="1" customWidth="1"/>
    <col min="6138" max="6138" width="15.5703125" style="365" customWidth="1"/>
    <col min="6139" max="6139" width="44.5703125" style="365" customWidth="1"/>
    <col min="6140" max="6140" width="14.28515625" style="365" bestFit="1" customWidth="1"/>
    <col min="6141" max="6141" width="0" style="365" hidden="1" customWidth="1"/>
    <col min="6142" max="6142" width="18.140625" style="365" customWidth="1"/>
    <col min="6143" max="6143" width="0" style="365" hidden="1" customWidth="1"/>
    <col min="6144" max="6144" width="14" style="365" customWidth="1"/>
    <col min="6145" max="6145" width="0" style="365" hidden="1" customWidth="1"/>
    <col min="6146" max="6146" width="20.85546875" style="365" customWidth="1"/>
    <col min="6147" max="6147" width="0" style="365" hidden="1" customWidth="1"/>
    <col min="6148" max="6148" width="13.28515625" style="365" customWidth="1"/>
    <col min="6149" max="6149" width="0" style="365" hidden="1" customWidth="1"/>
    <col min="6150" max="6150" width="15" style="365" customWidth="1"/>
    <col min="6151" max="6151" width="0" style="365" hidden="1" customWidth="1"/>
    <col min="6152" max="6152" width="13.28515625" style="365" customWidth="1"/>
    <col min="6153" max="6153" width="0" style="365" hidden="1" customWidth="1"/>
    <col min="6154" max="6154" width="20.140625" style="365" customWidth="1"/>
    <col min="6155" max="6155" width="14.42578125" style="365" bestFit="1" customWidth="1"/>
    <col min="6156" max="6156" width="14" style="365" bestFit="1" customWidth="1"/>
    <col min="6157" max="6157" width="12.28515625" style="365" bestFit="1" customWidth="1"/>
    <col min="6158" max="6182" width="9.140625" style="365" customWidth="1"/>
    <col min="6183" max="6377" width="8.85546875" style="365"/>
    <col min="6378" max="6378" width="44.5703125" style="365" customWidth="1"/>
    <col min="6379" max="6379" width="14.28515625" style="365" bestFit="1" customWidth="1"/>
    <col min="6380" max="6380" width="1.7109375" style="365" customWidth="1"/>
    <col min="6381" max="6381" width="14.85546875" style="365" customWidth="1"/>
    <col min="6382" max="6382" width="0" style="365" hidden="1" customWidth="1"/>
    <col min="6383" max="6383" width="17.42578125" style="365" customWidth="1"/>
    <col min="6384" max="6384" width="0" style="365" hidden="1" customWidth="1"/>
    <col min="6385" max="6385" width="12.85546875" style="365" customWidth="1"/>
    <col min="6386" max="6386" width="0" style="365" hidden="1" customWidth="1"/>
    <col min="6387" max="6387" width="14.42578125" style="365" customWidth="1"/>
    <col min="6388" max="6388" width="0" style="365" hidden="1" customWidth="1"/>
    <col min="6389" max="6389" width="17.42578125" style="365" customWidth="1"/>
    <col min="6390" max="6390" width="0" style="365" hidden="1" customWidth="1"/>
    <col min="6391" max="6391" width="14" style="365" customWidth="1"/>
    <col min="6392" max="6392" width="14.28515625" style="365" bestFit="1" customWidth="1"/>
    <col min="6393" max="6393" width="0" style="365" hidden="1" customWidth="1"/>
    <col min="6394" max="6394" width="15.5703125" style="365" customWidth="1"/>
    <col min="6395" max="6395" width="44.5703125" style="365" customWidth="1"/>
    <col min="6396" max="6396" width="14.28515625" style="365" bestFit="1" customWidth="1"/>
    <col min="6397" max="6397" width="0" style="365" hidden="1" customWidth="1"/>
    <col min="6398" max="6398" width="18.140625" style="365" customWidth="1"/>
    <col min="6399" max="6399" width="0" style="365" hidden="1" customWidth="1"/>
    <col min="6400" max="6400" width="14" style="365" customWidth="1"/>
    <col min="6401" max="6401" width="0" style="365" hidden="1" customWidth="1"/>
    <col min="6402" max="6402" width="20.85546875" style="365" customWidth="1"/>
    <col min="6403" max="6403" width="0" style="365" hidden="1" customWidth="1"/>
    <col min="6404" max="6404" width="13.28515625" style="365" customWidth="1"/>
    <col min="6405" max="6405" width="0" style="365" hidden="1" customWidth="1"/>
    <col min="6406" max="6406" width="15" style="365" customWidth="1"/>
    <col min="6407" max="6407" width="0" style="365" hidden="1" customWidth="1"/>
    <col min="6408" max="6408" width="13.28515625" style="365" customWidth="1"/>
    <col min="6409" max="6409" width="0" style="365" hidden="1" customWidth="1"/>
    <col min="6410" max="6410" width="20.140625" style="365" customWidth="1"/>
    <col min="6411" max="6411" width="14.42578125" style="365" bestFit="1" customWidth="1"/>
    <col min="6412" max="6412" width="14" style="365" bestFit="1" customWidth="1"/>
    <col min="6413" max="6413" width="12.28515625" style="365" bestFit="1" customWidth="1"/>
    <col min="6414" max="6438" width="9.140625" style="365" customWidth="1"/>
    <col min="6439" max="6633" width="8.85546875" style="365"/>
    <col min="6634" max="6634" width="44.5703125" style="365" customWidth="1"/>
    <col min="6635" max="6635" width="14.28515625" style="365" bestFit="1" customWidth="1"/>
    <col min="6636" max="6636" width="1.7109375" style="365" customWidth="1"/>
    <col min="6637" max="6637" width="14.85546875" style="365" customWidth="1"/>
    <col min="6638" max="6638" width="0" style="365" hidden="1" customWidth="1"/>
    <col min="6639" max="6639" width="17.42578125" style="365" customWidth="1"/>
    <col min="6640" max="6640" width="0" style="365" hidden="1" customWidth="1"/>
    <col min="6641" max="6641" width="12.85546875" style="365" customWidth="1"/>
    <col min="6642" max="6642" width="0" style="365" hidden="1" customWidth="1"/>
    <col min="6643" max="6643" width="14.42578125" style="365" customWidth="1"/>
    <col min="6644" max="6644" width="0" style="365" hidden="1" customWidth="1"/>
    <col min="6645" max="6645" width="17.42578125" style="365" customWidth="1"/>
    <col min="6646" max="6646" width="0" style="365" hidden="1" customWidth="1"/>
    <col min="6647" max="6647" width="14" style="365" customWidth="1"/>
    <col min="6648" max="6648" width="14.28515625" style="365" bestFit="1" customWidth="1"/>
    <col min="6649" max="6649" width="0" style="365" hidden="1" customWidth="1"/>
    <col min="6650" max="6650" width="15.5703125" style="365" customWidth="1"/>
    <col min="6651" max="6651" width="44.5703125" style="365" customWidth="1"/>
    <col min="6652" max="6652" width="14.28515625" style="365" bestFit="1" customWidth="1"/>
    <col min="6653" max="6653" width="0" style="365" hidden="1" customWidth="1"/>
    <col min="6654" max="6654" width="18.140625" style="365" customWidth="1"/>
    <col min="6655" max="6655" width="0" style="365" hidden="1" customWidth="1"/>
    <col min="6656" max="6656" width="14" style="365" customWidth="1"/>
    <col min="6657" max="6657" width="0" style="365" hidden="1" customWidth="1"/>
    <col min="6658" max="6658" width="20.85546875" style="365" customWidth="1"/>
    <col min="6659" max="6659" width="0" style="365" hidden="1" customWidth="1"/>
    <col min="6660" max="6660" width="13.28515625" style="365" customWidth="1"/>
    <col min="6661" max="6661" width="0" style="365" hidden="1" customWidth="1"/>
    <col min="6662" max="6662" width="15" style="365" customWidth="1"/>
    <col min="6663" max="6663" width="0" style="365" hidden="1" customWidth="1"/>
    <col min="6664" max="6664" width="13.28515625" style="365" customWidth="1"/>
    <col min="6665" max="6665" width="0" style="365" hidden="1" customWidth="1"/>
    <col min="6666" max="6666" width="20.140625" style="365" customWidth="1"/>
    <col min="6667" max="6667" width="14.42578125" style="365" bestFit="1" customWidth="1"/>
    <col min="6668" max="6668" width="14" style="365" bestFit="1" customWidth="1"/>
    <col min="6669" max="6669" width="12.28515625" style="365" bestFit="1" customWidth="1"/>
    <col min="6670" max="6694" width="9.140625" style="365" customWidth="1"/>
    <col min="6695" max="6889" width="8.85546875" style="365"/>
    <col min="6890" max="6890" width="44.5703125" style="365" customWidth="1"/>
    <col min="6891" max="6891" width="14.28515625" style="365" bestFit="1" customWidth="1"/>
    <col min="6892" max="6892" width="1.7109375" style="365" customWidth="1"/>
    <col min="6893" max="6893" width="14.85546875" style="365" customWidth="1"/>
    <col min="6894" max="6894" width="0" style="365" hidden="1" customWidth="1"/>
    <col min="6895" max="6895" width="17.42578125" style="365" customWidth="1"/>
    <col min="6896" max="6896" width="0" style="365" hidden="1" customWidth="1"/>
    <col min="6897" max="6897" width="12.85546875" style="365" customWidth="1"/>
    <col min="6898" max="6898" width="0" style="365" hidden="1" customWidth="1"/>
    <col min="6899" max="6899" width="14.42578125" style="365" customWidth="1"/>
    <col min="6900" max="6900" width="0" style="365" hidden="1" customWidth="1"/>
    <col min="6901" max="6901" width="17.42578125" style="365" customWidth="1"/>
    <col min="6902" max="6902" width="0" style="365" hidden="1" customWidth="1"/>
    <col min="6903" max="6903" width="14" style="365" customWidth="1"/>
    <col min="6904" max="6904" width="14.28515625" style="365" bestFit="1" customWidth="1"/>
    <col min="6905" max="6905" width="0" style="365" hidden="1" customWidth="1"/>
    <col min="6906" max="6906" width="15.5703125" style="365" customWidth="1"/>
    <col min="6907" max="6907" width="44.5703125" style="365" customWidth="1"/>
    <col min="6908" max="6908" width="14.28515625" style="365" bestFit="1" customWidth="1"/>
    <col min="6909" max="6909" width="0" style="365" hidden="1" customWidth="1"/>
    <col min="6910" max="6910" width="18.140625" style="365" customWidth="1"/>
    <col min="6911" max="6911" width="0" style="365" hidden="1" customWidth="1"/>
    <col min="6912" max="6912" width="14" style="365" customWidth="1"/>
    <col min="6913" max="6913" width="0" style="365" hidden="1" customWidth="1"/>
    <col min="6914" max="6914" width="20.85546875" style="365" customWidth="1"/>
    <col min="6915" max="6915" width="0" style="365" hidden="1" customWidth="1"/>
    <col min="6916" max="6916" width="13.28515625" style="365" customWidth="1"/>
    <col min="6917" max="6917" width="0" style="365" hidden="1" customWidth="1"/>
    <col min="6918" max="6918" width="15" style="365" customWidth="1"/>
    <col min="6919" max="6919" width="0" style="365" hidden="1" customWidth="1"/>
    <col min="6920" max="6920" width="13.28515625" style="365" customWidth="1"/>
    <col min="6921" max="6921" width="0" style="365" hidden="1" customWidth="1"/>
    <col min="6922" max="6922" width="20.140625" style="365" customWidth="1"/>
    <col min="6923" max="6923" width="14.42578125" style="365" bestFit="1" customWidth="1"/>
    <col min="6924" max="6924" width="14" style="365" bestFit="1" customWidth="1"/>
    <col min="6925" max="6925" width="12.28515625" style="365" bestFit="1" customWidth="1"/>
    <col min="6926" max="6950" width="9.140625" style="365" customWidth="1"/>
    <col min="6951" max="7145" width="8.85546875" style="365"/>
    <col min="7146" max="7146" width="44.5703125" style="365" customWidth="1"/>
    <col min="7147" max="7147" width="14.28515625" style="365" bestFit="1" customWidth="1"/>
    <col min="7148" max="7148" width="1.7109375" style="365" customWidth="1"/>
    <col min="7149" max="7149" width="14.85546875" style="365" customWidth="1"/>
    <col min="7150" max="7150" width="0" style="365" hidden="1" customWidth="1"/>
    <col min="7151" max="7151" width="17.42578125" style="365" customWidth="1"/>
    <col min="7152" max="7152" width="0" style="365" hidden="1" customWidth="1"/>
    <col min="7153" max="7153" width="12.85546875" style="365" customWidth="1"/>
    <col min="7154" max="7154" width="0" style="365" hidden="1" customWidth="1"/>
    <col min="7155" max="7155" width="14.42578125" style="365" customWidth="1"/>
    <col min="7156" max="7156" width="0" style="365" hidden="1" customWidth="1"/>
    <col min="7157" max="7157" width="17.42578125" style="365" customWidth="1"/>
    <col min="7158" max="7158" width="0" style="365" hidden="1" customWidth="1"/>
    <col min="7159" max="7159" width="14" style="365" customWidth="1"/>
    <col min="7160" max="7160" width="14.28515625" style="365" bestFit="1" customWidth="1"/>
    <col min="7161" max="7161" width="0" style="365" hidden="1" customWidth="1"/>
    <col min="7162" max="7162" width="15.5703125" style="365" customWidth="1"/>
    <col min="7163" max="7163" width="44.5703125" style="365" customWidth="1"/>
    <col min="7164" max="7164" width="14.28515625" style="365" bestFit="1" customWidth="1"/>
    <col min="7165" max="7165" width="0" style="365" hidden="1" customWidth="1"/>
    <col min="7166" max="7166" width="18.140625" style="365" customWidth="1"/>
    <col min="7167" max="7167" width="0" style="365" hidden="1" customWidth="1"/>
    <col min="7168" max="7168" width="14" style="365" customWidth="1"/>
    <col min="7169" max="7169" width="0" style="365" hidden="1" customWidth="1"/>
    <col min="7170" max="7170" width="20.85546875" style="365" customWidth="1"/>
    <col min="7171" max="7171" width="0" style="365" hidden="1" customWidth="1"/>
    <col min="7172" max="7172" width="13.28515625" style="365" customWidth="1"/>
    <col min="7173" max="7173" width="0" style="365" hidden="1" customWidth="1"/>
    <col min="7174" max="7174" width="15" style="365" customWidth="1"/>
    <col min="7175" max="7175" width="0" style="365" hidden="1" customWidth="1"/>
    <col min="7176" max="7176" width="13.28515625" style="365" customWidth="1"/>
    <col min="7177" max="7177" width="0" style="365" hidden="1" customWidth="1"/>
    <col min="7178" max="7178" width="20.140625" style="365" customWidth="1"/>
    <col min="7179" max="7179" width="14.42578125" style="365" bestFit="1" customWidth="1"/>
    <col min="7180" max="7180" width="14" style="365" bestFit="1" customWidth="1"/>
    <col min="7181" max="7181" width="12.28515625" style="365" bestFit="1" customWidth="1"/>
    <col min="7182" max="7206" width="9.140625" style="365" customWidth="1"/>
    <col min="7207" max="7401" width="8.85546875" style="365"/>
    <col min="7402" max="7402" width="44.5703125" style="365" customWidth="1"/>
    <col min="7403" max="7403" width="14.28515625" style="365" bestFit="1" customWidth="1"/>
    <col min="7404" max="7404" width="1.7109375" style="365" customWidth="1"/>
    <col min="7405" max="7405" width="14.85546875" style="365" customWidth="1"/>
    <col min="7406" max="7406" width="0" style="365" hidden="1" customWidth="1"/>
    <col min="7407" max="7407" width="17.42578125" style="365" customWidth="1"/>
    <col min="7408" max="7408" width="0" style="365" hidden="1" customWidth="1"/>
    <col min="7409" max="7409" width="12.85546875" style="365" customWidth="1"/>
    <col min="7410" max="7410" width="0" style="365" hidden="1" customWidth="1"/>
    <col min="7411" max="7411" width="14.42578125" style="365" customWidth="1"/>
    <col min="7412" max="7412" width="0" style="365" hidden="1" customWidth="1"/>
    <col min="7413" max="7413" width="17.42578125" style="365" customWidth="1"/>
    <col min="7414" max="7414" width="0" style="365" hidden="1" customWidth="1"/>
    <col min="7415" max="7415" width="14" style="365" customWidth="1"/>
    <col min="7416" max="7416" width="14.28515625" style="365" bestFit="1" customWidth="1"/>
    <col min="7417" max="7417" width="0" style="365" hidden="1" customWidth="1"/>
    <col min="7418" max="7418" width="15.5703125" style="365" customWidth="1"/>
    <col min="7419" max="7419" width="44.5703125" style="365" customWidth="1"/>
    <col min="7420" max="7420" width="14.28515625" style="365" bestFit="1" customWidth="1"/>
    <col min="7421" max="7421" width="0" style="365" hidden="1" customWidth="1"/>
    <col min="7422" max="7422" width="18.140625" style="365" customWidth="1"/>
    <col min="7423" max="7423" width="0" style="365" hidden="1" customWidth="1"/>
    <col min="7424" max="7424" width="14" style="365" customWidth="1"/>
    <col min="7425" max="7425" width="0" style="365" hidden="1" customWidth="1"/>
    <col min="7426" max="7426" width="20.85546875" style="365" customWidth="1"/>
    <col min="7427" max="7427" width="0" style="365" hidden="1" customWidth="1"/>
    <col min="7428" max="7428" width="13.28515625" style="365" customWidth="1"/>
    <col min="7429" max="7429" width="0" style="365" hidden="1" customWidth="1"/>
    <col min="7430" max="7430" width="15" style="365" customWidth="1"/>
    <col min="7431" max="7431" width="0" style="365" hidden="1" customWidth="1"/>
    <col min="7432" max="7432" width="13.28515625" style="365" customWidth="1"/>
    <col min="7433" max="7433" width="0" style="365" hidden="1" customWidth="1"/>
    <col min="7434" max="7434" width="20.140625" style="365" customWidth="1"/>
    <col min="7435" max="7435" width="14.42578125" style="365" bestFit="1" customWidth="1"/>
    <col min="7436" max="7436" width="14" style="365" bestFit="1" customWidth="1"/>
    <col min="7437" max="7437" width="12.28515625" style="365" bestFit="1" customWidth="1"/>
    <col min="7438" max="7462" width="9.140625" style="365" customWidth="1"/>
    <col min="7463" max="7657" width="8.85546875" style="365"/>
    <col min="7658" max="7658" width="44.5703125" style="365" customWidth="1"/>
    <col min="7659" max="7659" width="14.28515625" style="365" bestFit="1" customWidth="1"/>
    <col min="7660" max="7660" width="1.7109375" style="365" customWidth="1"/>
    <col min="7661" max="7661" width="14.85546875" style="365" customWidth="1"/>
    <col min="7662" max="7662" width="0" style="365" hidden="1" customWidth="1"/>
    <col min="7663" max="7663" width="17.42578125" style="365" customWidth="1"/>
    <col min="7664" max="7664" width="0" style="365" hidden="1" customWidth="1"/>
    <col min="7665" max="7665" width="12.85546875" style="365" customWidth="1"/>
    <col min="7666" max="7666" width="0" style="365" hidden="1" customWidth="1"/>
    <col min="7667" max="7667" width="14.42578125" style="365" customWidth="1"/>
    <col min="7668" max="7668" width="0" style="365" hidden="1" customWidth="1"/>
    <col min="7669" max="7669" width="17.42578125" style="365" customWidth="1"/>
    <col min="7670" max="7670" width="0" style="365" hidden="1" customWidth="1"/>
    <col min="7671" max="7671" width="14" style="365" customWidth="1"/>
    <col min="7672" max="7672" width="14.28515625" style="365" bestFit="1" customWidth="1"/>
    <col min="7673" max="7673" width="0" style="365" hidden="1" customWidth="1"/>
    <col min="7674" max="7674" width="15.5703125" style="365" customWidth="1"/>
    <col min="7675" max="7675" width="44.5703125" style="365" customWidth="1"/>
    <col min="7676" max="7676" width="14.28515625" style="365" bestFit="1" customWidth="1"/>
    <col min="7677" max="7677" width="0" style="365" hidden="1" customWidth="1"/>
    <col min="7678" max="7678" width="18.140625" style="365" customWidth="1"/>
    <col min="7679" max="7679" width="0" style="365" hidden="1" customWidth="1"/>
    <col min="7680" max="7680" width="14" style="365" customWidth="1"/>
    <col min="7681" max="7681" width="0" style="365" hidden="1" customWidth="1"/>
    <col min="7682" max="7682" width="20.85546875" style="365" customWidth="1"/>
    <col min="7683" max="7683" width="0" style="365" hidden="1" customWidth="1"/>
    <col min="7684" max="7684" width="13.28515625" style="365" customWidth="1"/>
    <col min="7685" max="7685" width="0" style="365" hidden="1" customWidth="1"/>
    <col min="7686" max="7686" width="15" style="365" customWidth="1"/>
    <col min="7687" max="7687" width="0" style="365" hidden="1" customWidth="1"/>
    <col min="7688" max="7688" width="13.28515625" style="365" customWidth="1"/>
    <col min="7689" max="7689" width="0" style="365" hidden="1" customWidth="1"/>
    <col min="7690" max="7690" width="20.140625" style="365" customWidth="1"/>
    <col min="7691" max="7691" width="14.42578125" style="365" bestFit="1" customWidth="1"/>
    <col min="7692" max="7692" width="14" style="365" bestFit="1" customWidth="1"/>
    <col min="7693" max="7693" width="12.28515625" style="365" bestFit="1" customWidth="1"/>
    <col min="7694" max="7718" width="9.140625" style="365" customWidth="1"/>
    <col min="7719" max="7913" width="8.85546875" style="365"/>
    <col min="7914" max="7914" width="44.5703125" style="365" customWidth="1"/>
    <col min="7915" max="7915" width="14.28515625" style="365" bestFit="1" customWidth="1"/>
    <col min="7916" max="7916" width="1.7109375" style="365" customWidth="1"/>
    <col min="7917" max="7917" width="14.85546875" style="365" customWidth="1"/>
    <col min="7918" max="7918" width="0" style="365" hidden="1" customWidth="1"/>
    <col min="7919" max="7919" width="17.42578125" style="365" customWidth="1"/>
    <col min="7920" max="7920" width="0" style="365" hidden="1" customWidth="1"/>
    <col min="7921" max="7921" width="12.85546875" style="365" customWidth="1"/>
    <col min="7922" max="7922" width="0" style="365" hidden="1" customWidth="1"/>
    <col min="7923" max="7923" width="14.42578125" style="365" customWidth="1"/>
    <col min="7924" max="7924" width="0" style="365" hidden="1" customWidth="1"/>
    <col min="7925" max="7925" width="17.42578125" style="365" customWidth="1"/>
    <col min="7926" max="7926" width="0" style="365" hidden="1" customWidth="1"/>
    <col min="7927" max="7927" width="14" style="365" customWidth="1"/>
    <col min="7928" max="7928" width="14.28515625" style="365" bestFit="1" customWidth="1"/>
    <col min="7929" max="7929" width="0" style="365" hidden="1" customWidth="1"/>
    <col min="7930" max="7930" width="15.5703125" style="365" customWidth="1"/>
    <col min="7931" max="7931" width="44.5703125" style="365" customWidth="1"/>
    <col min="7932" max="7932" width="14.28515625" style="365" bestFit="1" customWidth="1"/>
    <col min="7933" max="7933" width="0" style="365" hidden="1" customWidth="1"/>
    <col min="7934" max="7934" width="18.140625" style="365" customWidth="1"/>
    <col min="7935" max="7935" width="0" style="365" hidden="1" customWidth="1"/>
    <col min="7936" max="7936" width="14" style="365" customWidth="1"/>
    <col min="7937" max="7937" width="0" style="365" hidden="1" customWidth="1"/>
    <col min="7938" max="7938" width="20.85546875" style="365" customWidth="1"/>
    <col min="7939" max="7939" width="0" style="365" hidden="1" customWidth="1"/>
    <col min="7940" max="7940" width="13.28515625" style="365" customWidth="1"/>
    <col min="7941" max="7941" width="0" style="365" hidden="1" customWidth="1"/>
    <col min="7942" max="7942" width="15" style="365" customWidth="1"/>
    <col min="7943" max="7943" width="0" style="365" hidden="1" customWidth="1"/>
    <col min="7944" max="7944" width="13.28515625" style="365" customWidth="1"/>
    <col min="7945" max="7945" width="0" style="365" hidden="1" customWidth="1"/>
    <col min="7946" max="7946" width="20.140625" style="365" customWidth="1"/>
    <col min="7947" max="7947" width="14.42578125" style="365" bestFit="1" customWidth="1"/>
    <col min="7948" max="7948" width="14" style="365" bestFit="1" customWidth="1"/>
    <col min="7949" max="7949" width="12.28515625" style="365" bestFit="1" customWidth="1"/>
    <col min="7950" max="7974" width="9.140625" style="365" customWidth="1"/>
    <col min="7975" max="8169" width="8.85546875" style="365"/>
    <col min="8170" max="8170" width="44.5703125" style="365" customWidth="1"/>
    <col min="8171" max="8171" width="14.28515625" style="365" bestFit="1" customWidth="1"/>
    <col min="8172" max="8172" width="1.7109375" style="365" customWidth="1"/>
    <col min="8173" max="8173" width="14.85546875" style="365" customWidth="1"/>
    <col min="8174" max="8174" width="0" style="365" hidden="1" customWidth="1"/>
    <col min="8175" max="8175" width="17.42578125" style="365" customWidth="1"/>
    <col min="8176" max="8176" width="0" style="365" hidden="1" customWidth="1"/>
    <col min="8177" max="8177" width="12.85546875" style="365" customWidth="1"/>
    <col min="8178" max="8178" width="0" style="365" hidden="1" customWidth="1"/>
    <col min="8179" max="8179" width="14.42578125" style="365" customWidth="1"/>
    <col min="8180" max="8180" width="0" style="365" hidden="1" customWidth="1"/>
    <col min="8181" max="8181" width="17.42578125" style="365" customWidth="1"/>
    <col min="8182" max="8182" width="0" style="365" hidden="1" customWidth="1"/>
    <col min="8183" max="8183" width="14" style="365" customWidth="1"/>
    <col min="8184" max="8184" width="14.28515625" style="365" bestFit="1" customWidth="1"/>
    <col min="8185" max="8185" width="0" style="365" hidden="1" customWidth="1"/>
    <col min="8186" max="8186" width="15.5703125" style="365" customWidth="1"/>
    <col min="8187" max="8187" width="44.5703125" style="365" customWidth="1"/>
    <col min="8188" max="8188" width="14.28515625" style="365" bestFit="1" customWidth="1"/>
    <col min="8189" max="8189" width="0" style="365" hidden="1" customWidth="1"/>
    <col min="8190" max="8190" width="18.140625" style="365" customWidth="1"/>
    <col min="8191" max="8191" width="0" style="365" hidden="1" customWidth="1"/>
    <col min="8192" max="8192" width="14" style="365" customWidth="1"/>
    <col min="8193" max="8193" width="0" style="365" hidden="1" customWidth="1"/>
    <col min="8194" max="8194" width="20.85546875" style="365" customWidth="1"/>
    <col min="8195" max="8195" width="0" style="365" hidden="1" customWidth="1"/>
    <col min="8196" max="8196" width="13.28515625" style="365" customWidth="1"/>
    <col min="8197" max="8197" width="0" style="365" hidden="1" customWidth="1"/>
    <col min="8198" max="8198" width="15" style="365" customWidth="1"/>
    <col min="8199" max="8199" width="0" style="365" hidden="1" customWidth="1"/>
    <col min="8200" max="8200" width="13.28515625" style="365" customWidth="1"/>
    <col min="8201" max="8201" width="0" style="365" hidden="1" customWidth="1"/>
    <col min="8202" max="8202" width="20.140625" style="365" customWidth="1"/>
    <col min="8203" max="8203" width="14.42578125" style="365" bestFit="1" customWidth="1"/>
    <col min="8204" max="8204" width="14" style="365" bestFit="1" customWidth="1"/>
    <col min="8205" max="8205" width="12.28515625" style="365" bestFit="1" customWidth="1"/>
    <col min="8206" max="8230" width="9.140625" style="365" customWidth="1"/>
    <col min="8231" max="8425" width="8.85546875" style="365"/>
    <col min="8426" max="8426" width="44.5703125" style="365" customWidth="1"/>
    <col min="8427" max="8427" width="14.28515625" style="365" bestFit="1" customWidth="1"/>
    <col min="8428" max="8428" width="1.7109375" style="365" customWidth="1"/>
    <col min="8429" max="8429" width="14.85546875" style="365" customWidth="1"/>
    <col min="8430" max="8430" width="0" style="365" hidden="1" customWidth="1"/>
    <col min="8431" max="8431" width="17.42578125" style="365" customWidth="1"/>
    <col min="8432" max="8432" width="0" style="365" hidden="1" customWidth="1"/>
    <col min="8433" max="8433" width="12.85546875" style="365" customWidth="1"/>
    <col min="8434" max="8434" width="0" style="365" hidden="1" customWidth="1"/>
    <col min="8435" max="8435" width="14.42578125" style="365" customWidth="1"/>
    <col min="8436" max="8436" width="0" style="365" hidden="1" customWidth="1"/>
    <col min="8437" max="8437" width="17.42578125" style="365" customWidth="1"/>
    <col min="8438" max="8438" width="0" style="365" hidden="1" customWidth="1"/>
    <col min="8439" max="8439" width="14" style="365" customWidth="1"/>
    <col min="8440" max="8440" width="14.28515625" style="365" bestFit="1" customWidth="1"/>
    <col min="8441" max="8441" width="0" style="365" hidden="1" customWidth="1"/>
    <col min="8442" max="8442" width="15.5703125" style="365" customWidth="1"/>
    <col min="8443" max="8443" width="44.5703125" style="365" customWidth="1"/>
    <col min="8444" max="8444" width="14.28515625" style="365" bestFit="1" customWidth="1"/>
    <col min="8445" max="8445" width="0" style="365" hidden="1" customWidth="1"/>
    <col min="8446" max="8446" width="18.140625" style="365" customWidth="1"/>
    <col min="8447" max="8447" width="0" style="365" hidden="1" customWidth="1"/>
    <col min="8448" max="8448" width="14" style="365" customWidth="1"/>
    <col min="8449" max="8449" width="0" style="365" hidden="1" customWidth="1"/>
    <col min="8450" max="8450" width="20.85546875" style="365" customWidth="1"/>
    <col min="8451" max="8451" width="0" style="365" hidden="1" customWidth="1"/>
    <col min="8452" max="8452" width="13.28515625" style="365" customWidth="1"/>
    <col min="8453" max="8453" width="0" style="365" hidden="1" customWidth="1"/>
    <col min="8454" max="8454" width="15" style="365" customWidth="1"/>
    <col min="8455" max="8455" width="0" style="365" hidden="1" customWidth="1"/>
    <col min="8456" max="8456" width="13.28515625" style="365" customWidth="1"/>
    <col min="8457" max="8457" width="0" style="365" hidden="1" customWidth="1"/>
    <col min="8458" max="8458" width="20.140625" style="365" customWidth="1"/>
    <col min="8459" max="8459" width="14.42578125" style="365" bestFit="1" customWidth="1"/>
    <col min="8460" max="8460" width="14" style="365" bestFit="1" customWidth="1"/>
    <col min="8461" max="8461" width="12.28515625" style="365" bestFit="1" customWidth="1"/>
    <col min="8462" max="8486" width="9.140625" style="365" customWidth="1"/>
    <col min="8487" max="8681" width="8.85546875" style="365"/>
    <col min="8682" max="8682" width="44.5703125" style="365" customWidth="1"/>
    <col min="8683" max="8683" width="14.28515625" style="365" bestFit="1" customWidth="1"/>
    <col min="8684" max="8684" width="1.7109375" style="365" customWidth="1"/>
    <col min="8685" max="8685" width="14.85546875" style="365" customWidth="1"/>
    <col min="8686" max="8686" width="0" style="365" hidden="1" customWidth="1"/>
    <col min="8687" max="8687" width="17.42578125" style="365" customWidth="1"/>
    <col min="8688" max="8688" width="0" style="365" hidden="1" customWidth="1"/>
    <col min="8689" max="8689" width="12.85546875" style="365" customWidth="1"/>
    <col min="8690" max="8690" width="0" style="365" hidden="1" customWidth="1"/>
    <col min="8691" max="8691" width="14.42578125" style="365" customWidth="1"/>
    <col min="8692" max="8692" width="0" style="365" hidden="1" customWidth="1"/>
    <col min="8693" max="8693" width="17.42578125" style="365" customWidth="1"/>
    <col min="8694" max="8694" width="0" style="365" hidden="1" customWidth="1"/>
    <col min="8695" max="8695" width="14" style="365" customWidth="1"/>
    <col min="8696" max="8696" width="14.28515625" style="365" bestFit="1" customWidth="1"/>
    <col min="8697" max="8697" width="0" style="365" hidden="1" customWidth="1"/>
    <col min="8698" max="8698" width="15.5703125" style="365" customWidth="1"/>
    <col min="8699" max="8699" width="44.5703125" style="365" customWidth="1"/>
    <col min="8700" max="8700" width="14.28515625" style="365" bestFit="1" customWidth="1"/>
    <col min="8701" max="8701" width="0" style="365" hidden="1" customWidth="1"/>
    <col min="8702" max="8702" width="18.140625" style="365" customWidth="1"/>
    <col min="8703" max="8703" width="0" style="365" hidden="1" customWidth="1"/>
    <col min="8704" max="8704" width="14" style="365" customWidth="1"/>
    <col min="8705" max="8705" width="0" style="365" hidden="1" customWidth="1"/>
    <col min="8706" max="8706" width="20.85546875" style="365" customWidth="1"/>
    <col min="8707" max="8707" width="0" style="365" hidden="1" customWidth="1"/>
    <col min="8708" max="8708" width="13.28515625" style="365" customWidth="1"/>
    <col min="8709" max="8709" width="0" style="365" hidden="1" customWidth="1"/>
    <col min="8710" max="8710" width="15" style="365" customWidth="1"/>
    <col min="8711" max="8711" width="0" style="365" hidden="1" customWidth="1"/>
    <col min="8712" max="8712" width="13.28515625" style="365" customWidth="1"/>
    <col min="8713" max="8713" width="0" style="365" hidden="1" customWidth="1"/>
    <col min="8714" max="8714" width="20.140625" style="365" customWidth="1"/>
    <col min="8715" max="8715" width="14.42578125" style="365" bestFit="1" customWidth="1"/>
    <col min="8716" max="8716" width="14" style="365" bestFit="1" customWidth="1"/>
    <col min="8717" max="8717" width="12.28515625" style="365" bestFit="1" customWidth="1"/>
    <col min="8718" max="8742" width="9.140625" style="365" customWidth="1"/>
    <col min="8743" max="8937" width="8.85546875" style="365"/>
    <col min="8938" max="8938" width="44.5703125" style="365" customWidth="1"/>
    <col min="8939" max="8939" width="14.28515625" style="365" bestFit="1" customWidth="1"/>
    <col min="8940" max="8940" width="1.7109375" style="365" customWidth="1"/>
    <col min="8941" max="8941" width="14.85546875" style="365" customWidth="1"/>
    <col min="8942" max="8942" width="0" style="365" hidden="1" customWidth="1"/>
    <col min="8943" max="8943" width="17.42578125" style="365" customWidth="1"/>
    <col min="8944" max="8944" width="0" style="365" hidden="1" customWidth="1"/>
    <col min="8945" max="8945" width="12.85546875" style="365" customWidth="1"/>
    <col min="8946" max="8946" width="0" style="365" hidden="1" customWidth="1"/>
    <col min="8947" max="8947" width="14.42578125" style="365" customWidth="1"/>
    <col min="8948" max="8948" width="0" style="365" hidden="1" customWidth="1"/>
    <col min="8949" max="8949" width="17.42578125" style="365" customWidth="1"/>
    <col min="8950" max="8950" width="0" style="365" hidden="1" customWidth="1"/>
    <col min="8951" max="8951" width="14" style="365" customWidth="1"/>
    <col min="8952" max="8952" width="14.28515625" style="365" bestFit="1" customWidth="1"/>
    <col min="8953" max="8953" width="0" style="365" hidden="1" customWidth="1"/>
    <col min="8954" max="8954" width="15.5703125" style="365" customWidth="1"/>
    <col min="8955" max="8955" width="44.5703125" style="365" customWidth="1"/>
    <col min="8956" max="8956" width="14.28515625" style="365" bestFit="1" customWidth="1"/>
    <col min="8957" max="8957" width="0" style="365" hidden="1" customWidth="1"/>
    <col min="8958" max="8958" width="18.140625" style="365" customWidth="1"/>
    <col min="8959" max="8959" width="0" style="365" hidden="1" customWidth="1"/>
    <col min="8960" max="8960" width="14" style="365" customWidth="1"/>
    <col min="8961" max="8961" width="0" style="365" hidden="1" customWidth="1"/>
    <col min="8962" max="8962" width="20.85546875" style="365" customWidth="1"/>
    <col min="8963" max="8963" width="0" style="365" hidden="1" customWidth="1"/>
    <col min="8964" max="8964" width="13.28515625" style="365" customWidth="1"/>
    <col min="8965" max="8965" width="0" style="365" hidden="1" customWidth="1"/>
    <col min="8966" max="8966" width="15" style="365" customWidth="1"/>
    <col min="8967" max="8967" width="0" style="365" hidden="1" customWidth="1"/>
    <col min="8968" max="8968" width="13.28515625" style="365" customWidth="1"/>
    <col min="8969" max="8969" width="0" style="365" hidden="1" customWidth="1"/>
    <col min="8970" max="8970" width="20.140625" style="365" customWidth="1"/>
    <col min="8971" max="8971" width="14.42578125" style="365" bestFit="1" customWidth="1"/>
    <col min="8972" max="8972" width="14" style="365" bestFit="1" customWidth="1"/>
    <col min="8973" max="8973" width="12.28515625" style="365" bestFit="1" customWidth="1"/>
    <col min="8974" max="8998" width="9.140625" style="365" customWidth="1"/>
    <col min="8999" max="9193" width="8.85546875" style="365"/>
    <col min="9194" max="9194" width="44.5703125" style="365" customWidth="1"/>
    <col min="9195" max="9195" width="14.28515625" style="365" bestFit="1" customWidth="1"/>
    <col min="9196" max="9196" width="1.7109375" style="365" customWidth="1"/>
    <col min="9197" max="9197" width="14.85546875" style="365" customWidth="1"/>
    <col min="9198" max="9198" width="0" style="365" hidden="1" customWidth="1"/>
    <col min="9199" max="9199" width="17.42578125" style="365" customWidth="1"/>
    <col min="9200" max="9200" width="0" style="365" hidden="1" customWidth="1"/>
    <col min="9201" max="9201" width="12.85546875" style="365" customWidth="1"/>
    <col min="9202" max="9202" width="0" style="365" hidden="1" customWidth="1"/>
    <col min="9203" max="9203" width="14.42578125" style="365" customWidth="1"/>
    <col min="9204" max="9204" width="0" style="365" hidden="1" customWidth="1"/>
    <col min="9205" max="9205" width="17.42578125" style="365" customWidth="1"/>
    <col min="9206" max="9206" width="0" style="365" hidden="1" customWidth="1"/>
    <col min="9207" max="9207" width="14" style="365" customWidth="1"/>
    <col min="9208" max="9208" width="14.28515625" style="365" bestFit="1" customWidth="1"/>
    <col min="9209" max="9209" width="0" style="365" hidden="1" customWidth="1"/>
    <col min="9210" max="9210" width="15.5703125" style="365" customWidth="1"/>
    <col min="9211" max="9211" width="44.5703125" style="365" customWidth="1"/>
    <col min="9212" max="9212" width="14.28515625" style="365" bestFit="1" customWidth="1"/>
    <col min="9213" max="9213" width="0" style="365" hidden="1" customWidth="1"/>
    <col min="9214" max="9214" width="18.140625" style="365" customWidth="1"/>
    <col min="9215" max="9215" width="0" style="365" hidden="1" customWidth="1"/>
    <col min="9216" max="9216" width="14" style="365" customWidth="1"/>
    <col min="9217" max="9217" width="0" style="365" hidden="1" customWidth="1"/>
    <col min="9218" max="9218" width="20.85546875" style="365" customWidth="1"/>
    <col min="9219" max="9219" width="0" style="365" hidden="1" customWidth="1"/>
    <col min="9220" max="9220" width="13.28515625" style="365" customWidth="1"/>
    <col min="9221" max="9221" width="0" style="365" hidden="1" customWidth="1"/>
    <col min="9222" max="9222" width="15" style="365" customWidth="1"/>
    <col min="9223" max="9223" width="0" style="365" hidden="1" customWidth="1"/>
    <col min="9224" max="9224" width="13.28515625" style="365" customWidth="1"/>
    <col min="9225" max="9225" width="0" style="365" hidden="1" customWidth="1"/>
    <col min="9226" max="9226" width="20.140625" style="365" customWidth="1"/>
    <col min="9227" max="9227" width="14.42578125" style="365" bestFit="1" customWidth="1"/>
    <col min="9228" max="9228" width="14" style="365" bestFit="1" customWidth="1"/>
    <col min="9229" max="9229" width="12.28515625" style="365" bestFit="1" customWidth="1"/>
    <col min="9230" max="9254" width="9.140625" style="365" customWidth="1"/>
    <col min="9255" max="9449" width="8.85546875" style="365"/>
    <col min="9450" max="9450" width="44.5703125" style="365" customWidth="1"/>
    <col min="9451" max="9451" width="14.28515625" style="365" bestFit="1" customWidth="1"/>
    <col min="9452" max="9452" width="1.7109375" style="365" customWidth="1"/>
    <col min="9453" max="9453" width="14.85546875" style="365" customWidth="1"/>
    <col min="9454" max="9454" width="0" style="365" hidden="1" customWidth="1"/>
    <col min="9455" max="9455" width="17.42578125" style="365" customWidth="1"/>
    <col min="9456" max="9456" width="0" style="365" hidden="1" customWidth="1"/>
    <col min="9457" max="9457" width="12.85546875" style="365" customWidth="1"/>
    <col min="9458" max="9458" width="0" style="365" hidden="1" customWidth="1"/>
    <col min="9459" max="9459" width="14.42578125" style="365" customWidth="1"/>
    <col min="9460" max="9460" width="0" style="365" hidden="1" customWidth="1"/>
    <col min="9461" max="9461" width="17.42578125" style="365" customWidth="1"/>
    <col min="9462" max="9462" width="0" style="365" hidden="1" customWidth="1"/>
    <col min="9463" max="9463" width="14" style="365" customWidth="1"/>
    <col min="9464" max="9464" width="14.28515625" style="365" bestFit="1" customWidth="1"/>
    <col min="9465" max="9465" width="0" style="365" hidden="1" customWidth="1"/>
    <col min="9466" max="9466" width="15.5703125" style="365" customWidth="1"/>
    <col min="9467" max="9467" width="44.5703125" style="365" customWidth="1"/>
    <col min="9468" max="9468" width="14.28515625" style="365" bestFit="1" customWidth="1"/>
    <col min="9469" max="9469" width="0" style="365" hidden="1" customWidth="1"/>
    <col min="9470" max="9470" width="18.140625" style="365" customWidth="1"/>
    <col min="9471" max="9471" width="0" style="365" hidden="1" customWidth="1"/>
    <col min="9472" max="9472" width="14" style="365" customWidth="1"/>
    <col min="9473" max="9473" width="0" style="365" hidden="1" customWidth="1"/>
    <col min="9474" max="9474" width="20.85546875" style="365" customWidth="1"/>
    <col min="9475" max="9475" width="0" style="365" hidden="1" customWidth="1"/>
    <col min="9476" max="9476" width="13.28515625" style="365" customWidth="1"/>
    <col min="9477" max="9477" width="0" style="365" hidden="1" customWidth="1"/>
    <col min="9478" max="9478" width="15" style="365" customWidth="1"/>
    <col min="9479" max="9479" width="0" style="365" hidden="1" customWidth="1"/>
    <col min="9480" max="9480" width="13.28515625" style="365" customWidth="1"/>
    <col min="9481" max="9481" width="0" style="365" hidden="1" customWidth="1"/>
    <col min="9482" max="9482" width="20.140625" style="365" customWidth="1"/>
    <col min="9483" max="9483" width="14.42578125" style="365" bestFit="1" customWidth="1"/>
    <col min="9484" max="9484" width="14" style="365" bestFit="1" customWidth="1"/>
    <col min="9485" max="9485" width="12.28515625" style="365" bestFit="1" customWidth="1"/>
    <col min="9486" max="9510" width="9.140625" style="365" customWidth="1"/>
    <col min="9511" max="9705" width="8.85546875" style="365"/>
    <col min="9706" max="9706" width="44.5703125" style="365" customWidth="1"/>
    <col min="9707" max="9707" width="14.28515625" style="365" bestFit="1" customWidth="1"/>
    <col min="9708" max="9708" width="1.7109375" style="365" customWidth="1"/>
    <col min="9709" max="9709" width="14.85546875" style="365" customWidth="1"/>
    <col min="9710" max="9710" width="0" style="365" hidden="1" customWidth="1"/>
    <col min="9711" max="9711" width="17.42578125" style="365" customWidth="1"/>
    <col min="9712" max="9712" width="0" style="365" hidden="1" customWidth="1"/>
    <col min="9713" max="9713" width="12.85546875" style="365" customWidth="1"/>
    <col min="9714" max="9714" width="0" style="365" hidden="1" customWidth="1"/>
    <col min="9715" max="9715" width="14.42578125" style="365" customWidth="1"/>
    <col min="9716" max="9716" width="0" style="365" hidden="1" customWidth="1"/>
    <col min="9717" max="9717" width="17.42578125" style="365" customWidth="1"/>
    <col min="9718" max="9718" width="0" style="365" hidden="1" customWidth="1"/>
    <col min="9719" max="9719" width="14" style="365" customWidth="1"/>
    <col min="9720" max="9720" width="14.28515625" style="365" bestFit="1" customWidth="1"/>
    <col min="9721" max="9721" width="0" style="365" hidden="1" customWidth="1"/>
    <col min="9722" max="9722" width="15.5703125" style="365" customWidth="1"/>
    <col min="9723" max="9723" width="44.5703125" style="365" customWidth="1"/>
    <col min="9724" max="9724" width="14.28515625" style="365" bestFit="1" customWidth="1"/>
    <col min="9725" max="9725" width="0" style="365" hidden="1" customWidth="1"/>
    <col min="9726" max="9726" width="18.140625" style="365" customWidth="1"/>
    <col min="9727" max="9727" width="0" style="365" hidden="1" customWidth="1"/>
    <col min="9728" max="9728" width="14" style="365" customWidth="1"/>
    <col min="9729" max="9729" width="0" style="365" hidden="1" customWidth="1"/>
    <col min="9730" max="9730" width="20.85546875" style="365" customWidth="1"/>
    <col min="9731" max="9731" width="0" style="365" hidden="1" customWidth="1"/>
    <col min="9732" max="9732" width="13.28515625" style="365" customWidth="1"/>
    <col min="9733" max="9733" width="0" style="365" hidden="1" customWidth="1"/>
    <col min="9734" max="9734" width="15" style="365" customWidth="1"/>
    <col min="9735" max="9735" width="0" style="365" hidden="1" customWidth="1"/>
    <col min="9736" max="9736" width="13.28515625" style="365" customWidth="1"/>
    <col min="9737" max="9737" width="0" style="365" hidden="1" customWidth="1"/>
    <col min="9738" max="9738" width="20.140625" style="365" customWidth="1"/>
    <col min="9739" max="9739" width="14.42578125" style="365" bestFit="1" customWidth="1"/>
    <col min="9740" max="9740" width="14" style="365" bestFit="1" customWidth="1"/>
    <col min="9741" max="9741" width="12.28515625" style="365" bestFit="1" customWidth="1"/>
    <col min="9742" max="9766" width="9.140625" style="365" customWidth="1"/>
    <col min="9767" max="9961" width="8.85546875" style="365"/>
    <col min="9962" max="9962" width="44.5703125" style="365" customWidth="1"/>
    <col min="9963" max="9963" width="14.28515625" style="365" bestFit="1" customWidth="1"/>
    <col min="9964" max="9964" width="1.7109375" style="365" customWidth="1"/>
    <col min="9965" max="9965" width="14.85546875" style="365" customWidth="1"/>
    <col min="9966" max="9966" width="0" style="365" hidden="1" customWidth="1"/>
    <col min="9967" max="9967" width="17.42578125" style="365" customWidth="1"/>
    <col min="9968" max="9968" width="0" style="365" hidden="1" customWidth="1"/>
    <col min="9969" max="9969" width="12.85546875" style="365" customWidth="1"/>
    <col min="9970" max="9970" width="0" style="365" hidden="1" customWidth="1"/>
    <col min="9971" max="9971" width="14.42578125" style="365" customWidth="1"/>
    <col min="9972" max="9972" width="0" style="365" hidden="1" customWidth="1"/>
    <col min="9973" max="9973" width="17.42578125" style="365" customWidth="1"/>
    <col min="9974" max="9974" width="0" style="365" hidden="1" customWidth="1"/>
    <col min="9975" max="9975" width="14" style="365" customWidth="1"/>
    <col min="9976" max="9976" width="14.28515625" style="365" bestFit="1" customWidth="1"/>
    <col min="9977" max="9977" width="0" style="365" hidden="1" customWidth="1"/>
    <col min="9978" max="9978" width="15.5703125" style="365" customWidth="1"/>
    <col min="9979" max="9979" width="44.5703125" style="365" customWidth="1"/>
    <col min="9980" max="9980" width="14.28515625" style="365" bestFit="1" customWidth="1"/>
    <col min="9981" max="9981" width="0" style="365" hidden="1" customWidth="1"/>
    <col min="9982" max="9982" width="18.140625" style="365" customWidth="1"/>
    <col min="9983" max="9983" width="0" style="365" hidden="1" customWidth="1"/>
    <col min="9984" max="9984" width="14" style="365" customWidth="1"/>
    <col min="9985" max="9985" width="0" style="365" hidden="1" customWidth="1"/>
    <col min="9986" max="9986" width="20.85546875" style="365" customWidth="1"/>
    <col min="9987" max="9987" width="0" style="365" hidden="1" customWidth="1"/>
    <col min="9988" max="9988" width="13.28515625" style="365" customWidth="1"/>
    <col min="9989" max="9989" width="0" style="365" hidden="1" customWidth="1"/>
    <col min="9990" max="9990" width="15" style="365" customWidth="1"/>
    <col min="9991" max="9991" width="0" style="365" hidden="1" customWidth="1"/>
    <col min="9992" max="9992" width="13.28515625" style="365" customWidth="1"/>
    <col min="9993" max="9993" width="0" style="365" hidden="1" customWidth="1"/>
    <col min="9994" max="9994" width="20.140625" style="365" customWidth="1"/>
    <col min="9995" max="9995" width="14.42578125" style="365" bestFit="1" customWidth="1"/>
    <col min="9996" max="9996" width="14" style="365" bestFit="1" customWidth="1"/>
    <col min="9997" max="9997" width="12.28515625" style="365" bestFit="1" customWidth="1"/>
    <col min="9998" max="10022" width="9.140625" style="365" customWidth="1"/>
    <col min="10023" max="10217" width="8.85546875" style="365"/>
    <col min="10218" max="10218" width="44.5703125" style="365" customWidth="1"/>
    <col min="10219" max="10219" width="14.28515625" style="365" bestFit="1" customWidth="1"/>
    <col min="10220" max="10220" width="1.7109375" style="365" customWidth="1"/>
    <col min="10221" max="10221" width="14.85546875" style="365" customWidth="1"/>
    <col min="10222" max="10222" width="0" style="365" hidden="1" customWidth="1"/>
    <col min="10223" max="10223" width="17.42578125" style="365" customWidth="1"/>
    <col min="10224" max="10224" width="0" style="365" hidden="1" customWidth="1"/>
    <col min="10225" max="10225" width="12.85546875" style="365" customWidth="1"/>
    <col min="10226" max="10226" width="0" style="365" hidden="1" customWidth="1"/>
    <col min="10227" max="10227" width="14.42578125" style="365" customWidth="1"/>
    <col min="10228" max="10228" width="0" style="365" hidden="1" customWidth="1"/>
    <col min="10229" max="10229" width="17.42578125" style="365" customWidth="1"/>
    <col min="10230" max="10230" width="0" style="365" hidden="1" customWidth="1"/>
    <col min="10231" max="10231" width="14" style="365" customWidth="1"/>
    <col min="10232" max="10232" width="14.28515625" style="365" bestFit="1" customWidth="1"/>
    <col min="10233" max="10233" width="0" style="365" hidden="1" customWidth="1"/>
    <col min="10234" max="10234" width="15.5703125" style="365" customWidth="1"/>
    <col min="10235" max="10235" width="44.5703125" style="365" customWidth="1"/>
    <col min="10236" max="10236" width="14.28515625" style="365" bestFit="1" customWidth="1"/>
    <col min="10237" max="10237" width="0" style="365" hidden="1" customWidth="1"/>
    <col min="10238" max="10238" width="18.140625" style="365" customWidth="1"/>
    <col min="10239" max="10239" width="0" style="365" hidden="1" customWidth="1"/>
    <col min="10240" max="10240" width="14" style="365" customWidth="1"/>
    <col min="10241" max="10241" width="0" style="365" hidden="1" customWidth="1"/>
    <col min="10242" max="10242" width="20.85546875" style="365" customWidth="1"/>
    <col min="10243" max="10243" width="0" style="365" hidden="1" customWidth="1"/>
    <col min="10244" max="10244" width="13.28515625" style="365" customWidth="1"/>
    <col min="10245" max="10245" width="0" style="365" hidden="1" customWidth="1"/>
    <col min="10246" max="10246" width="15" style="365" customWidth="1"/>
    <col min="10247" max="10247" width="0" style="365" hidden="1" customWidth="1"/>
    <col min="10248" max="10248" width="13.28515625" style="365" customWidth="1"/>
    <col min="10249" max="10249" width="0" style="365" hidden="1" customWidth="1"/>
    <col min="10250" max="10250" width="20.140625" style="365" customWidth="1"/>
    <col min="10251" max="10251" width="14.42578125" style="365" bestFit="1" customWidth="1"/>
    <col min="10252" max="10252" width="14" style="365" bestFit="1" customWidth="1"/>
    <col min="10253" max="10253" width="12.28515625" style="365" bestFit="1" customWidth="1"/>
    <col min="10254" max="10278" width="9.140625" style="365" customWidth="1"/>
    <col min="10279" max="10473" width="8.85546875" style="365"/>
    <col min="10474" max="10474" width="44.5703125" style="365" customWidth="1"/>
    <col min="10475" max="10475" width="14.28515625" style="365" bestFit="1" customWidth="1"/>
    <col min="10476" max="10476" width="1.7109375" style="365" customWidth="1"/>
    <col min="10477" max="10477" width="14.85546875" style="365" customWidth="1"/>
    <col min="10478" max="10478" width="0" style="365" hidden="1" customWidth="1"/>
    <col min="10479" max="10479" width="17.42578125" style="365" customWidth="1"/>
    <col min="10480" max="10480" width="0" style="365" hidden="1" customWidth="1"/>
    <col min="10481" max="10481" width="12.85546875" style="365" customWidth="1"/>
    <col min="10482" max="10482" width="0" style="365" hidden="1" customWidth="1"/>
    <col min="10483" max="10483" width="14.42578125" style="365" customWidth="1"/>
    <col min="10484" max="10484" width="0" style="365" hidden="1" customWidth="1"/>
    <col min="10485" max="10485" width="17.42578125" style="365" customWidth="1"/>
    <col min="10486" max="10486" width="0" style="365" hidden="1" customWidth="1"/>
    <col min="10487" max="10487" width="14" style="365" customWidth="1"/>
    <col min="10488" max="10488" width="14.28515625" style="365" bestFit="1" customWidth="1"/>
    <col min="10489" max="10489" width="0" style="365" hidden="1" customWidth="1"/>
    <col min="10490" max="10490" width="15.5703125" style="365" customWidth="1"/>
    <col min="10491" max="10491" width="44.5703125" style="365" customWidth="1"/>
    <col min="10492" max="10492" width="14.28515625" style="365" bestFit="1" customWidth="1"/>
    <col min="10493" max="10493" width="0" style="365" hidden="1" customWidth="1"/>
    <col min="10494" max="10494" width="18.140625" style="365" customWidth="1"/>
    <col min="10495" max="10495" width="0" style="365" hidden="1" customWidth="1"/>
    <col min="10496" max="10496" width="14" style="365" customWidth="1"/>
    <col min="10497" max="10497" width="0" style="365" hidden="1" customWidth="1"/>
    <col min="10498" max="10498" width="20.85546875" style="365" customWidth="1"/>
    <col min="10499" max="10499" width="0" style="365" hidden="1" customWidth="1"/>
    <col min="10500" max="10500" width="13.28515625" style="365" customWidth="1"/>
    <col min="10501" max="10501" width="0" style="365" hidden="1" customWidth="1"/>
    <col min="10502" max="10502" width="15" style="365" customWidth="1"/>
    <col min="10503" max="10503" width="0" style="365" hidden="1" customWidth="1"/>
    <col min="10504" max="10504" width="13.28515625" style="365" customWidth="1"/>
    <col min="10505" max="10505" width="0" style="365" hidden="1" customWidth="1"/>
    <col min="10506" max="10506" width="20.140625" style="365" customWidth="1"/>
    <col min="10507" max="10507" width="14.42578125" style="365" bestFit="1" customWidth="1"/>
    <col min="10508" max="10508" width="14" style="365" bestFit="1" customWidth="1"/>
    <col min="10509" max="10509" width="12.28515625" style="365" bestFit="1" customWidth="1"/>
    <col min="10510" max="10534" width="9.140625" style="365" customWidth="1"/>
    <col min="10535" max="10729" width="8.85546875" style="365"/>
    <col min="10730" max="10730" width="44.5703125" style="365" customWidth="1"/>
    <col min="10731" max="10731" width="14.28515625" style="365" bestFit="1" customWidth="1"/>
    <col min="10732" max="10732" width="1.7109375" style="365" customWidth="1"/>
    <col min="10733" max="10733" width="14.85546875" style="365" customWidth="1"/>
    <col min="10734" max="10734" width="0" style="365" hidden="1" customWidth="1"/>
    <col min="10735" max="10735" width="17.42578125" style="365" customWidth="1"/>
    <col min="10736" max="10736" width="0" style="365" hidden="1" customWidth="1"/>
    <col min="10737" max="10737" width="12.85546875" style="365" customWidth="1"/>
    <col min="10738" max="10738" width="0" style="365" hidden="1" customWidth="1"/>
    <col min="10739" max="10739" width="14.42578125" style="365" customWidth="1"/>
    <col min="10740" max="10740" width="0" style="365" hidden="1" customWidth="1"/>
    <col min="10741" max="10741" width="17.42578125" style="365" customWidth="1"/>
    <col min="10742" max="10742" width="0" style="365" hidden="1" customWidth="1"/>
    <col min="10743" max="10743" width="14" style="365" customWidth="1"/>
    <col min="10744" max="10744" width="14.28515625" style="365" bestFit="1" customWidth="1"/>
    <col min="10745" max="10745" width="0" style="365" hidden="1" customWidth="1"/>
    <col min="10746" max="10746" width="15.5703125" style="365" customWidth="1"/>
    <col min="10747" max="10747" width="44.5703125" style="365" customWidth="1"/>
    <col min="10748" max="10748" width="14.28515625" style="365" bestFit="1" customWidth="1"/>
    <col min="10749" max="10749" width="0" style="365" hidden="1" customWidth="1"/>
    <col min="10750" max="10750" width="18.140625" style="365" customWidth="1"/>
    <col min="10751" max="10751" width="0" style="365" hidden="1" customWidth="1"/>
    <col min="10752" max="10752" width="14" style="365" customWidth="1"/>
    <col min="10753" max="10753" width="0" style="365" hidden="1" customWidth="1"/>
    <col min="10754" max="10754" width="20.85546875" style="365" customWidth="1"/>
    <col min="10755" max="10755" width="0" style="365" hidden="1" customWidth="1"/>
    <col min="10756" max="10756" width="13.28515625" style="365" customWidth="1"/>
    <col min="10757" max="10757" width="0" style="365" hidden="1" customWidth="1"/>
    <col min="10758" max="10758" width="15" style="365" customWidth="1"/>
    <col min="10759" max="10759" width="0" style="365" hidden="1" customWidth="1"/>
    <col min="10760" max="10760" width="13.28515625" style="365" customWidth="1"/>
    <col min="10761" max="10761" width="0" style="365" hidden="1" customWidth="1"/>
    <col min="10762" max="10762" width="20.140625" style="365" customWidth="1"/>
    <col min="10763" max="10763" width="14.42578125" style="365" bestFit="1" customWidth="1"/>
    <col min="10764" max="10764" width="14" style="365" bestFit="1" customWidth="1"/>
    <col min="10765" max="10765" width="12.28515625" style="365" bestFit="1" customWidth="1"/>
    <col min="10766" max="10790" width="9.140625" style="365" customWidth="1"/>
    <col min="10791" max="10985" width="8.85546875" style="365"/>
    <col min="10986" max="10986" width="44.5703125" style="365" customWidth="1"/>
    <col min="10987" max="10987" width="14.28515625" style="365" bestFit="1" customWidth="1"/>
    <col min="10988" max="10988" width="1.7109375" style="365" customWidth="1"/>
    <col min="10989" max="10989" width="14.85546875" style="365" customWidth="1"/>
    <col min="10990" max="10990" width="0" style="365" hidden="1" customWidth="1"/>
    <col min="10991" max="10991" width="17.42578125" style="365" customWidth="1"/>
    <col min="10992" max="10992" width="0" style="365" hidden="1" customWidth="1"/>
    <col min="10993" max="10993" width="12.85546875" style="365" customWidth="1"/>
    <col min="10994" max="10994" width="0" style="365" hidden="1" customWidth="1"/>
    <col min="10995" max="10995" width="14.42578125" style="365" customWidth="1"/>
    <col min="10996" max="10996" width="0" style="365" hidden="1" customWidth="1"/>
    <col min="10997" max="10997" width="17.42578125" style="365" customWidth="1"/>
    <col min="10998" max="10998" width="0" style="365" hidden="1" customWidth="1"/>
    <col min="10999" max="10999" width="14" style="365" customWidth="1"/>
    <col min="11000" max="11000" width="14.28515625" style="365" bestFit="1" customWidth="1"/>
    <col min="11001" max="11001" width="0" style="365" hidden="1" customWidth="1"/>
    <col min="11002" max="11002" width="15.5703125" style="365" customWidth="1"/>
    <col min="11003" max="11003" width="44.5703125" style="365" customWidth="1"/>
    <col min="11004" max="11004" width="14.28515625" style="365" bestFit="1" customWidth="1"/>
    <col min="11005" max="11005" width="0" style="365" hidden="1" customWidth="1"/>
    <col min="11006" max="11006" width="18.140625" style="365" customWidth="1"/>
    <col min="11007" max="11007" width="0" style="365" hidden="1" customWidth="1"/>
    <col min="11008" max="11008" width="14" style="365" customWidth="1"/>
    <col min="11009" max="11009" width="0" style="365" hidden="1" customWidth="1"/>
    <col min="11010" max="11010" width="20.85546875" style="365" customWidth="1"/>
    <col min="11011" max="11011" width="0" style="365" hidden="1" customWidth="1"/>
    <col min="11012" max="11012" width="13.28515625" style="365" customWidth="1"/>
    <col min="11013" max="11013" width="0" style="365" hidden="1" customWidth="1"/>
    <col min="11014" max="11014" width="15" style="365" customWidth="1"/>
    <col min="11015" max="11015" width="0" style="365" hidden="1" customWidth="1"/>
    <col min="11016" max="11016" width="13.28515625" style="365" customWidth="1"/>
    <col min="11017" max="11017" width="0" style="365" hidden="1" customWidth="1"/>
    <col min="11018" max="11018" width="20.140625" style="365" customWidth="1"/>
    <col min="11019" max="11019" width="14.42578125" style="365" bestFit="1" customWidth="1"/>
    <col min="11020" max="11020" width="14" style="365" bestFit="1" customWidth="1"/>
    <col min="11021" max="11021" width="12.28515625" style="365" bestFit="1" customWidth="1"/>
    <col min="11022" max="11046" width="9.140625" style="365" customWidth="1"/>
    <col min="11047" max="11241" width="8.85546875" style="365"/>
    <col min="11242" max="11242" width="44.5703125" style="365" customWidth="1"/>
    <col min="11243" max="11243" width="14.28515625" style="365" bestFit="1" customWidth="1"/>
    <col min="11244" max="11244" width="1.7109375" style="365" customWidth="1"/>
    <col min="11245" max="11245" width="14.85546875" style="365" customWidth="1"/>
    <col min="11246" max="11246" width="0" style="365" hidden="1" customWidth="1"/>
    <col min="11247" max="11247" width="17.42578125" style="365" customWidth="1"/>
    <col min="11248" max="11248" width="0" style="365" hidden="1" customWidth="1"/>
    <col min="11249" max="11249" width="12.85546875" style="365" customWidth="1"/>
    <col min="11250" max="11250" width="0" style="365" hidden="1" customWidth="1"/>
    <col min="11251" max="11251" width="14.42578125" style="365" customWidth="1"/>
    <col min="11252" max="11252" width="0" style="365" hidden="1" customWidth="1"/>
    <col min="11253" max="11253" width="17.42578125" style="365" customWidth="1"/>
    <col min="11254" max="11254" width="0" style="365" hidden="1" customWidth="1"/>
    <col min="11255" max="11255" width="14" style="365" customWidth="1"/>
    <col min="11256" max="11256" width="14.28515625" style="365" bestFit="1" customWidth="1"/>
    <col min="11257" max="11257" width="0" style="365" hidden="1" customWidth="1"/>
    <col min="11258" max="11258" width="15.5703125" style="365" customWidth="1"/>
    <col min="11259" max="11259" width="44.5703125" style="365" customWidth="1"/>
    <col min="11260" max="11260" width="14.28515625" style="365" bestFit="1" customWidth="1"/>
    <col min="11261" max="11261" width="0" style="365" hidden="1" customWidth="1"/>
    <col min="11262" max="11262" width="18.140625" style="365" customWidth="1"/>
    <col min="11263" max="11263" width="0" style="365" hidden="1" customWidth="1"/>
    <col min="11264" max="11264" width="14" style="365" customWidth="1"/>
    <col min="11265" max="11265" width="0" style="365" hidden="1" customWidth="1"/>
    <col min="11266" max="11266" width="20.85546875" style="365" customWidth="1"/>
    <col min="11267" max="11267" width="0" style="365" hidden="1" customWidth="1"/>
    <col min="11268" max="11268" width="13.28515625" style="365" customWidth="1"/>
    <col min="11269" max="11269" width="0" style="365" hidden="1" customWidth="1"/>
    <col min="11270" max="11270" width="15" style="365" customWidth="1"/>
    <col min="11271" max="11271" width="0" style="365" hidden="1" customWidth="1"/>
    <col min="11272" max="11272" width="13.28515625" style="365" customWidth="1"/>
    <col min="11273" max="11273" width="0" style="365" hidden="1" customWidth="1"/>
    <col min="11274" max="11274" width="20.140625" style="365" customWidth="1"/>
    <col min="11275" max="11275" width="14.42578125" style="365" bestFit="1" customWidth="1"/>
    <col min="11276" max="11276" width="14" style="365" bestFit="1" customWidth="1"/>
    <col min="11277" max="11277" width="12.28515625" style="365" bestFit="1" customWidth="1"/>
    <col min="11278" max="11302" width="9.140625" style="365" customWidth="1"/>
    <col min="11303" max="11497" width="8.85546875" style="365"/>
    <col min="11498" max="11498" width="44.5703125" style="365" customWidth="1"/>
    <col min="11499" max="11499" width="14.28515625" style="365" bestFit="1" customWidth="1"/>
    <col min="11500" max="11500" width="1.7109375" style="365" customWidth="1"/>
    <col min="11501" max="11501" width="14.85546875" style="365" customWidth="1"/>
    <col min="11502" max="11502" width="0" style="365" hidden="1" customWidth="1"/>
    <col min="11503" max="11503" width="17.42578125" style="365" customWidth="1"/>
    <col min="11504" max="11504" width="0" style="365" hidden="1" customWidth="1"/>
    <col min="11505" max="11505" width="12.85546875" style="365" customWidth="1"/>
    <col min="11506" max="11506" width="0" style="365" hidden="1" customWidth="1"/>
    <col min="11507" max="11507" width="14.42578125" style="365" customWidth="1"/>
    <col min="11508" max="11508" width="0" style="365" hidden="1" customWidth="1"/>
    <col min="11509" max="11509" width="17.42578125" style="365" customWidth="1"/>
    <col min="11510" max="11510" width="0" style="365" hidden="1" customWidth="1"/>
    <col min="11511" max="11511" width="14" style="365" customWidth="1"/>
    <col min="11512" max="11512" width="14.28515625" style="365" bestFit="1" customWidth="1"/>
    <col min="11513" max="11513" width="0" style="365" hidden="1" customWidth="1"/>
    <col min="11514" max="11514" width="15.5703125" style="365" customWidth="1"/>
    <col min="11515" max="11515" width="44.5703125" style="365" customWidth="1"/>
    <col min="11516" max="11516" width="14.28515625" style="365" bestFit="1" customWidth="1"/>
    <col min="11517" max="11517" width="0" style="365" hidden="1" customWidth="1"/>
    <col min="11518" max="11518" width="18.140625" style="365" customWidth="1"/>
    <col min="11519" max="11519" width="0" style="365" hidden="1" customWidth="1"/>
    <col min="11520" max="11520" width="14" style="365" customWidth="1"/>
    <col min="11521" max="11521" width="0" style="365" hidden="1" customWidth="1"/>
    <col min="11522" max="11522" width="20.85546875" style="365" customWidth="1"/>
    <col min="11523" max="11523" width="0" style="365" hidden="1" customWidth="1"/>
    <col min="11524" max="11524" width="13.28515625" style="365" customWidth="1"/>
    <col min="11525" max="11525" width="0" style="365" hidden="1" customWidth="1"/>
    <col min="11526" max="11526" width="15" style="365" customWidth="1"/>
    <col min="11527" max="11527" width="0" style="365" hidden="1" customWidth="1"/>
    <col min="11528" max="11528" width="13.28515625" style="365" customWidth="1"/>
    <col min="11529" max="11529" width="0" style="365" hidden="1" customWidth="1"/>
    <col min="11530" max="11530" width="20.140625" style="365" customWidth="1"/>
    <col min="11531" max="11531" width="14.42578125" style="365" bestFit="1" customWidth="1"/>
    <col min="11532" max="11532" width="14" style="365" bestFit="1" customWidth="1"/>
    <col min="11533" max="11533" width="12.28515625" style="365" bestFit="1" customWidth="1"/>
    <col min="11534" max="11558" width="9.140625" style="365" customWidth="1"/>
    <col min="11559" max="11753" width="8.85546875" style="365"/>
    <col min="11754" max="11754" width="44.5703125" style="365" customWidth="1"/>
    <col min="11755" max="11755" width="14.28515625" style="365" bestFit="1" customWidth="1"/>
    <col min="11756" max="11756" width="1.7109375" style="365" customWidth="1"/>
    <col min="11757" max="11757" width="14.85546875" style="365" customWidth="1"/>
    <col min="11758" max="11758" width="0" style="365" hidden="1" customWidth="1"/>
    <col min="11759" max="11759" width="17.42578125" style="365" customWidth="1"/>
    <col min="11760" max="11760" width="0" style="365" hidden="1" customWidth="1"/>
    <col min="11761" max="11761" width="12.85546875" style="365" customWidth="1"/>
    <col min="11762" max="11762" width="0" style="365" hidden="1" customWidth="1"/>
    <col min="11763" max="11763" width="14.42578125" style="365" customWidth="1"/>
    <col min="11764" max="11764" width="0" style="365" hidden="1" customWidth="1"/>
    <col min="11765" max="11765" width="17.42578125" style="365" customWidth="1"/>
    <col min="11766" max="11766" width="0" style="365" hidden="1" customWidth="1"/>
    <col min="11767" max="11767" width="14" style="365" customWidth="1"/>
    <col min="11768" max="11768" width="14.28515625" style="365" bestFit="1" customWidth="1"/>
    <col min="11769" max="11769" width="0" style="365" hidden="1" customWidth="1"/>
    <col min="11770" max="11770" width="15.5703125" style="365" customWidth="1"/>
    <col min="11771" max="11771" width="44.5703125" style="365" customWidth="1"/>
    <col min="11772" max="11772" width="14.28515625" style="365" bestFit="1" customWidth="1"/>
    <col min="11773" max="11773" width="0" style="365" hidden="1" customWidth="1"/>
    <col min="11774" max="11774" width="18.140625" style="365" customWidth="1"/>
    <col min="11775" max="11775" width="0" style="365" hidden="1" customWidth="1"/>
    <col min="11776" max="11776" width="14" style="365" customWidth="1"/>
    <col min="11777" max="11777" width="0" style="365" hidden="1" customWidth="1"/>
    <col min="11778" max="11778" width="20.85546875" style="365" customWidth="1"/>
    <col min="11779" max="11779" width="0" style="365" hidden="1" customWidth="1"/>
    <col min="11780" max="11780" width="13.28515625" style="365" customWidth="1"/>
    <col min="11781" max="11781" width="0" style="365" hidden="1" customWidth="1"/>
    <col min="11782" max="11782" width="15" style="365" customWidth="1"/>
    <col min="11783" max="11783" width="0" style="365" hidden="1" customWidth="1"/>
    <col min="11784" max="11784" width="13.28515625" style="365" customWidth="1"/>
    <col min="11785" max="11785" width="0" style="365" hidden="1" customWidth="1"/>
    <col min="11786" max="11786" width="20.140625" style="365" customWidth="1"/>
    <col min="11787" max="11787" width="14.42578125" style="365" bestFit="1" customWidth="1"/>
    <col min="11788" max="11788" width="14" style="365" bestFit="1" customWidth="1"/>
    <col min="11789" max="11789" width="12.28515625" style="365" bestFit="1" customWidth="1"/>
    <col min="11790" max="11814" width="9.140625" style="365" customWidth="1"/>
    <col min="11815" max="12009" width="8.85546875" style="365"/>
    <col min="12010" max="12010" width="44.5703125" style="365" customWidth="1"/>
    <col min="12011" max="12011" width="14.28515625" style="365" bestFit="1" customWidth="1"/>
    <col min="12012" max="12012" width="1.7109375" style="365" customWidth="1"/>
    <col min="12013" max="12013" width="14.85546875" style="365" customWidth="1"/>
    <col min="12014" max="12014" width="0" style="365" hidden="1" customWidth="1"/>
    <col min="12015" max="12015" width="17.42578125" style="365" customWidth="1"/>
    <col min="12016" max="12016" width="0" style="365" hidden="1" customWidth="1"/>
    <col min="12017" max="12017" width="12.85546875" style="365" customWidth="1"/>
    <col min="12018" max="12018" width="0" style="365" hidden="1" customWidth="1"/>
    <col min="12019" max="12019" width="14.42578125" style="365" customWidth="1"/>
    <col min="12020" max="12020" width="0" style="365" hidden="1" customWidth="1"/>
    <col min="12021" max="12021" width="17.42578125" style="365" customWidth="1"/>
    <col min="12022" max="12022" width="0" style="365" hidden="1" customWidth="1"/>
    <col min="12023" max="12023" width="14" style="365" customWidth="1"/>
    <col min="12024" max="12024" width="14.28515625" style="365" bestFit="1" customWidth="1"/>
    <col min="12025" max="12025" width="0" style="365" hidden="1" customWidth="1"/>
    <col min="12026" max="12026" width="15.5703125" style="365" customWidth="1"/>
    <col min="12027" max="12027" width="44.5703125" style="365" customWidth="1"/>
    <col min="12028" max="12028" width="14.28515625" style="365" bestFit="1" customWidth="1"/>
    <col min="12029" max="12029" width="0" style="365" hidden="1" customWidth="1"/>
    <col min="12030" max="12030" width="18.140625" style="365" customWidth="1"/>
    <col min="12031" max="12031" width="0" style="365" hidden="1" customWidth="1"/>
    <col min="12032" max="12032" width="14" style="365" customWidth="1"/>
    <col min="12033" max="12033" width="0" style="365" hidden="1" customWidth="1"/>
    <col min="12034" max="12034" width="20.85546875" style="365" customWidth="1"/>
    <col min="12035" max="12035" width="0" style="365" hidden="1" customWidth="1"/>
    <col min="12036" max="12036" width="13.28515625" style="365" customWidth="1"/>
    <col min="12037" max="12037" width="0" style="365" hidden="1" customWidth="1"/>
    <col min="12038" max="12038" width="15" style="365" customWidth="1"/>
    <col min="12039" max="12039" width="0" style="365" hidden="1" customWidth="1"/>
    <col min="12040" max="12040" width="13.28515625" style="365" customWidth="1"/>
    <col min="12041" max="12041" width="0" style="365" hidden="1" customWidth="1"/>
    <col min="12042" max="12042" width="20.140625" style="365" customWidth="1"/>
    <col min="12043" max="12043" width="14.42578125" style="365" bestFit="1" customWidth="1"/>
    <col min="12044" max="12044" width="14" style="365" bestFit="1" customWidth="1"/>
    <col min="12045" max="12045" width="12.28515625" style="365" bestFit="1" customWidth="1"/>
    <col min="12046" max="12070" width="9.140625" style="365" customWidth="1"/>
    <col min="12071" max="12265" width="8.85546875" style="365"/>
    <col min="12266" max="12266" width="44.5703125" style="365" customWidth="1"/>
    <col min="12267" max="12267" width="14.28515625" style="365" bestFit="1" customWidth="1"/>
    <col min="12268" max="12268" width="1.7109375" style="365" customWidth="1"/>
    <col min="12269" max="12269" width="14.85546875" style="365" customWidth="1"/>
    <col min="12270" max="12270" width="0" style="365" hidden="1" customWidth="1"/>
    <col min="12271" max="12271" width="17.42578125" style="365" customWidth="1"/>
    <col min="12272" max="12272" width="0" style="365" hidden="1" customWidth="1"/>
    <col min="12273" max="12273" width="12.85546875" style="365" customWidth="1"/>
    <col min="12274" max="12274" width="0" style="365" hidden="1" customWidth="1"/>
    <col min="12275" max="12275" width="14.42578125" style="365" customWidth="1"/>
    <col min="12276" max="12276" width="0" style="365" hidden="1" customWidth="1"/>
    <col min="12277" max="12277" width="17.42578125" style="365" customWidth="1"/>
    <col min="12278" max="12278" width="0" style="365" hidden="1" customWidth="1"/>
    <col min="12279" max="12279" width="14" style="365" customWidth="1"/>
    <col min="12280" max="12280" width="14.28515625" style="365" bestFit="1" customWidth="1"/>
    <col min="12281" max="12281" width="0" style="365" hidden="1" customWidth="1"/>
    <col min="12282" max="12282" width="15.5703125" style="365" customWidth="1"/>
    <col min="12283" max="12283" width="44.5703125" style="365" customWidth="1"/>
    <col min="12284" max="12284" width="14.28515625" style="365" bestFit="1" customWidth="1"/>
    <col min="12285" max="12285" width="0" style="365" hidden="1" customWidth="1"/>
    <col min="12286" max="12286" width="18.140625" style="365" customWidth="1"/>
    <col min="12287" max="12287" width="0" style="365" hidden="1" customWidth="1"/>
    <col min="12288" max="12288" width="14" style="365" customWidth="1"/>
    <col min="12289" max="12289" width="0" style="365" hidden="1" customWidth="1"/>
    <col min="12290" max="12290" width="20.85546875" style="365" customWidth="1"/>
    <col min="12291" max="12291" width="0" style="365" hidden="1" customWidth="1"/>
    <col min="12292" max="12292" width="13.28515625" style="365" customWidth="1"/>
    <col min="12293" max="12293" width="0" style="365" hidden="1" customWidth="1"/>
    <col min="12294" max="12294" width="15" style="365" customWidth="1"/>
    <col min="12295" max="12295" width="0" style="365" hidden="1" customWidth="1"/>
    <col min="12296" max="12296" width="13.28515625" style="365" customWidth="1"/>
    <col min="12297" max="12297" width="0" style="365" hidden="1" customWidth="1"/>
    <col min="12298" max="12298" width="20.140625" style="365" customWidth="1"/>
    <col min="12299" max="12299" width="14.42578125" style="365" bestFit="1" customWidth="1"/>
    <col min="12300" max="12300" width="14" style="365" bestFit="1" customWidth="1"/>
    <col min="12301" max="12301" width="12.28515625" style="365" bestFit="1" customWidth="1"/>
    <col min="12302" max="12326" width="9.140625" style="365" customWidth="1"/>
    <col min="12327" max="12521" width="8.85546875" style="365"/>
    <col min="12522" max="12522" width="44.5703125" style="365" customWidth="1"/>
    <col min="12523" max="12523" width="14.28515625" style="365" bestFit="1" customWidth="1"/>
    <col min="12524" max="12524" width="1.7109375" style="365" customWidth="1"/>
    <col min="12525" max="12525" width="14.85546875" style="365" customWidth="1"/>
    <col min="12526" max="12526" width="0" style="365" hidden="1" customWidth="1"/>
    <col min="12527" max="12527" width="17.42578125" style="365" customWidth="1"/>
    <col min="12528" max="12528" width="0" style="365" hidden="1" customWidth="1"/>
    <col min="12529" max="12529" width="12.85546875" style="365" customWidth="1"/>
    <col min="12530" max="12530" width="0" style="365" hidden="1" customWidth="1"/>
    <col min="12531" max="12531" width="14.42578125" style="365" customWidth="1"/>
    <col min="12532" max="12532" width="0" style="365" hidden="1" customWidth="1"/>
    <col min="12533" max="12533" width="17.42578125" style="365" customWidth="1"/>
    <col min="12534" max="12534" width="0" style="365" hidden="1" customWidth="1"/>
    <col min="12535" max="12535" width="14" style="365" customWidth="1"/>
    <col min="12536" max="12536" width="14.28515625" style="365" bestFit="1" customWidth="1"/>
    <col min="12537" max="12537" width="0" style="365" hidden="1" customWidth="1"/>
    <col min="12538" max="12538" width="15.5703125" style="365" customWidth="1"/>
    <col min="12539" max="12539" width="44.5703125" style="365" customWidth="1"/>
    <col min="12540" max="12540" width="14.28515625" style="365" bestFit="1" customWidth="1"/>
    <col min="12541" max="12541" width="0" style="365" hidden="1" customWidth="1"/>
    <col min="12542" max="12542" width="18.140625" style="365" customWidth="1"/>
    <col min="12543" max="12543" width="0" style="365" hidden="1" customWidth="1"/>
    <col min="12544" max="12544" width="14" style="365" customWidth="1"/>
    <col min="12545" max="12545" width="0" style="365" hidden="1" customWidth="1"/>
    <col min="12546" max="12546" width="20.85546875" style="365" customWidth="1"/>
    <col min="12547" max="12547" width="0" style="365" hidden="1" customWidth="1"/>
    <col min="12548" max="12548" width="13.28515625" style="365" customWidth="1"/>
    <col min="12549" max="12549" width="0" style="365" hidden="1" customWidth="1"/>
    <col min="12550" max="12550" width="15" style="365" customWidth="1"/>
    <col min="12551" max="12551" width="0" style="365" hidden="1" customWidth="1"/>
    <col min="12552" max="12552" width="13.28515625" style="365" customWidth="1"/>
    <col min="12553" max="12553" width="0" style="365" hidden="1" customWidth="1"/>
    <col min="12554" max="12554" width="20.140625" style="365" customWidth="1"/>
    <col min="12555" max="12555" width="14.42578125" style="365" bestFit="1" customWidth="1"/>
    <col min="12556" max="12556" width="14" style="365" bestFit="1" customWidth="1"/>
    <col min="12557" max="12557" width="12.28515625" style="365" bestFit="1" customWidth="1"/>
    <col min="12558" max="12582" width="9.140625" style="365" customWidth="1"/>
    <col min="12583" max="12777" width="8.85546875" style="365"/>
    <col min="12778" max="12778" width="44.5703125" style="365" customWidth="1"/>
    <col min="12779" max="12779" width="14.28515625" style="365" bestFit="1" customWidth="1"/>
    <col min="12780" max="12780" width="1.7109375" style="365" customWidth="1"/>
    <col min="12781" max="12781" width="14.85546875" style="365" customWidth="1"/>
    <col min="12782" max="12782" width="0" style="365" hidden="1" customWidth="1"/>
    <col min="12783" max="12783" width="17.42578125" style="365" customWidth="1"/>
    <col min="12784" max="12784" width="0" style="365" hidden="1" customWidth="1"/>
    <col min="12785" max="12785" width="12.85546875" style="365" customWidth="1"/>
    <col min="12786" max="12786" width="0" style="365" hidden="1" customWidth="1"/>
    <col min="12787" max="12787" width="14.42578125" style="365" customWidth="1"/>
    <col min="12788" max="12788" width="0" style="365" hidden="1" customWidth="1"/>
    <col min="12789" max="12789" width="17.42578125" style="365" customWidth="1"/>
    <col min="12790" max="12790" width="0" style="365" hidden="1" customWidth="1"/>
    <col min="12791" max="12791" width="14" style="365" customWidth="1"/>
    <col min="12792" max="12792" width="14.28515625" style="365" bestFit="1" customWidth="1"/>
    <col min="12793" max="12793" width="0" style="365" hidden="1" customWidth="1"/>
    <col min="12794" max="12794" width="15.5703125" style="365" customWidth="1"/>
    <col min="12795" max="12795" width="44.5703125" style="365" customWidth="1"/>
    <col min="12796" max="12796" width="14.28515625" style="365" bestFit="1" customWidth="1"/>
    <col min="12797" max="12797" width="0" style="365" hidden="1" customWidth="1"/>
    <col min="12798" max="12798" width="18.140625" style="365" customWidth="1"/>
    <col min="12799" max="12799" width="0" style="365" hidden="1" customWidth="1"/>
    <col min="12800" max="12800" width="14" style="365" customWidth="1"/>
    <col min="12801" max="12801" width="0" style="365" hidden="1" customWidth="1"/>
    <col min="12802" max="12802" width="20.85546875" style="365" customWidth="1"/>
    <col min="12803" max="12803" width="0" style="365" hidden="1" customWidth="1"/>
    <col min="12804" max="12804" width="13.28515625" style="365" customWidth="1"/>
    <col min="12805" max="12805" width="0" style="365" hidden="1" customWidth="1"/>
    <col min="12806" max="12806" width="15" style="365" customWidth="1"/>
    <col min="12807" max="12807" width="0" style="365" hidden="1" customWidth="1"/>
    <col min="12808" max="12808" width="13.28515625" style="365" customWidth="1"/>
    <col min="12809" max="12809" width="0" style="365" hidden="1" customWidth="1"/>
    <col min="12810" max="12810" width="20.140625" style="365" customWidth="1"/>
    <col min="12811" max="12811" width="14.42578125" style="365" bestFit="1" customWidth="1"/>
    <col min="12812" max="12812" width="14" style="365" bestFit="1" customWidth="1"/>
    <col min="12813" max="12813" width="12.28515625" style="365" bestFit="1" customWidth="1"/>
    <col min="12814" max="12838" width="9.140625" style="365" customWidth="1"/>
    <col min="12839" max="13033" width="8.85546875" style="365"/>
    <col min="13034" max="13034" width="44.5703125" style="365" customWidth="1"/>
    <col min="13035" max="13035" width="14.28515625" style="365" bestFit="1" customWidth="1"/>
    <col min="13036" max="13036" width="1.7109375" style="365" customWidth="1"/>
    <col min="13037" max="13037" width="14.85546875" style="365" customWidth="1"/>
    <col min="13038" max="13038" width="0" style="365" hidden="1" customWidth="1"/>
    <col min="13039" max="13039" width="17.42578125" style="365" customWidth="1"/>
    <col min="13040" max="13040" width="0" style="365" hidden="1" customWidth="1"/>
    <col min="13041" max="13041" width="12.85546875" style="365" customWidth="1"/>
    <col min="13042" max="13042" width="0" style="365" hidden="1" customWidth="1"/>
    <col min="13043" max="13043" width="14.42578125" style="365" customWidth="1"/>
    <col min="13044" max="13044" width="0" style="365" hidden="1" customWidth="1"/>
    <col min="13045" max="13045" width="17.42578125" style="365" customWidth="1"/>
    <col min="13046" max="13046" width="0" style="365" hidden="1" customWidth="1"/>
    <col min="13047" max="13047" width="14" style="365" customWidth="1"/>
    <col min="13048" max="13048" width="14.28515625" style="365" bestFit="1" customWidth="1"/>
    <col min="13049" max="13049" width="0" style="365" hidden="1" customWidth="1"/>
    <col min="13050" max="13050" width="15.5703125" style="365" customWidth="1"/>
    <col min="13051" max="13051" width="44.5703125" style="365" customWidth="1"/>
    <col min="13052" max="13052" width="14.28515625" style="365" bestFit="1" customWidth="1"/>
    <col min="13053" max="13053" width="0" style="365" hidden="1" customWidth="1"/>
    <col min="13054" max="13054" width="18.140625" style="365" customWidth="1"/>
    <col min="13055" max="13055" width="0" style="365" hidden="1" customWidth="1"/>
    <col min="13056" max="13056" width="14" style="365" customWidth="1"/>
    <col min="13057" max="13057" width="0" style="365" hidden="1" customWidth="1"/>
    <col min="13058" max="13058" width="20.85546875" style="365" customWidth="1"/>
    <col min="13059" max="13059" width="0" style="365" hidden="1" customWidth="1"/>
    <col min="13060" max="13060" width="13.28515625" style="365" customWidth="1"/>
    <col min="13061" max="13061" width="0" style="365" hidden="1" customWidth="1"/>
    <col min="13062" max="13062" width="15" style="365" customWidth="1"/>
    <col min="13063" max="13063" width="0" style="365" hidden="1" customWidth="1"/>
    <col min="13064" max="13064" width="13.28515625" style="365" customWidth="1"/>
    <col min="13065" max="13065" width="0" style="365" hidden="1" customWidth="1"/>
    <col min="13066" max="13066" width="20.140625" style="365" customWidth="1"/>
    <col min="13067" max="13067" width="14.42578125" style="365" bestFit="1" customWidth="1"/>
    <col min="13068" max="13068" width="14" style="365" bestFit="1" customWidth="1"/>
    <col min="13069" max="13069" width="12.28515625" style="365" bestFit="1" customWidth="1"/>
    <col min="13070" max="13094" width="9.140625" style="365" customWidth="1"/>
    <col min="13095" max="13289" width="8.85546875" style="365"/>
    <col min="13290" max="13290" width="44.5703125" style="365" customWidth="1"/>
    <col min="13291" max="13291" width="14.28515625" style="365" bestFit="1" customWidth="1"/>
    <col min="13292" max="13292" width="1.7109375" style="365" customWidth="1"/>
    <col min="13293" max="13293" width="14.85546875" style="365" customWidth="1"/>
    <col min="13294" max="13294" width="0" style="365" hidden="1" customWidth="1"/>
    <col min="13295" max="13295" width="17.42578125" style="365" customWidth="1"/>
    <col min="13296" max="13296" width="0" style="365" hidden="1" customWidth="1"/>
    <col min="13297" max="13297" width="12.85546875" style="365" customWidth="1"/>
    <col min="13298" max="13298" width="0" style="365" hidden="1" customWidth="1"/>
    <col min="13299" max="13299" width="14.42578125" style="365" customWidth="1"/>
    <col min="13300" max="13300" width="0" style="365" hidden="1" customWidth="1"/>
    <col min="13301" max="13301" width="17.42578125" style="365" customWidth="1"/>
    <col min="13302" max="13302" width="0" style="365" hidden="1" customWidth="1"/>
    <col min="13303" max="13303" width="14" style="365" customWidth="1"/>
    <col min="13304" max="13304" width="14.28515625" style="365" bestFit="1" customWidth="1"/>
    <col min="13305" max="13305" width="0" style="365" hidden="1" customWidth="1"/>
    <col min="13306" max="13306" width="15.5703125" style="365" customWidth="1"/>
    <col min="13307" max="13307" width="44.5703125" style="365" customWidth="1"/>
    <col min="13308" max="13308" width="14.28515625" style="365" bestFit="1" customWidth="1"/>
    <col min="13309" max="13309" width="0" style="365" hidden="1" customWidth="1"/>
    <col min="13310" max="13310" width="18.140625" style="365" customWidth="1"/>
    <col min="13311" max="13311" width="0" style="365" hidden="1" customWidth="1"/>
    <col min="13312" max="13312" width="14" style="365" customWidth="1"/>
    <col min="13313" max="13313" width="0" style="365" hidden="1" customWidth="1"/>
    <col min="13314" max="13314" width="20.85546875" style="365" customWidth="1"/>
    <col min="13315" max="13315" width="0" style="365" hidden="1" customWidth="1"/>
    <col min="13316" max="13316" width="13.28515625" style="365" customWidth="1"/>
    <col min="13317" max="13317" width="0" style="365" hidden="1" customWidth="1"/>
    <col min="13318" max="13318" width="15" style="365" customWidth="1"/>
    <col min="13319" max="13319" width="0" style="365" hidden="1" customWidth="1"/>
    <col min="13320" max="13320" width="13.28515625" style="365" customWidth="1"/>
    <col min="13321" max="13321" width="0" style="365" hidden="1" customWidth="1"/>
    <col min="13322" max="13322" width="20.140625" style="365" customWidth="1"/>
    <col min="13323" max="13323" width="14.42578125" style="365" bestFit="1" customWidth="1"/>
    <col min="13324" max="13324" width="14" style="365" bestFit="1" customWidth="1"/>
    <col min="13325" max="13325" width="12.28515625" style="365" bestFit="1" customWidth="1"/>
    <col min="13326" max="13350" width="9.140625" style="365" customWidth="1"/>
    <col min="13351" max="13545" width="8.85546875" style="365"/>
    <col min="13546" max="13546" width="44.5703125" style="365" customWidth="1"/>
    <col min="13547" max="13547" width="14.28515625" style="365" bestFit="1" customWidth="1"/>
    <col min="13548" max="13548" width="1.7109375" style="365" customWidth="1"/>
    <col min="13549" max="13549" width="14.85546875" style="365" customWidth="1"/>
    <col min="13550" max="13550" width="0" style="365" hidden="1" customWidth="1"/>
    <col min="13551" max="13551" width="17.42578125" style="365" customWidth="1"/>
    <col min="13552" max="13552" width="0" style="365" hidden="1" customWidth="1"/>
    <col min="13553" max="13553" width="12.85546875" style="365" customWidth="1"/>
    <col min="13554" max="13554" width="0" style="365" hidden="1" customWidth="1"/>
    <col min="13555" max="13555" width="14.42578125" style="365" customWidth="1"/>
    <col min="13556" max="13556" width="0" style="365" hidden="1" customWidth="1"/>
    <col min="13557" max="13557" width="17.42578125" style="365" customWidth="1"/>
    <col min="13558" max="13558" width="0" style="365" hidden="1" customWidth="1"/>
    <col min="13559" max="13559" width="14" style="365" customWidth="1"/>
    <col min="13560" max="13560" width="14.28515625" style="365" bestFit="1" customWidth="1"/>
    <col min="13561" max="13561" width="0" style="365" hidden="1" customWidth="1"/>
    <col min="13562" max="13562" width="15.5703125" style="365" customWidth="1"/>
    <col min="13563" max="13563" width="44.5703125" style="365" customWidth="1"/>
    <col min="13564" max="13564" width="14.28515625" style="365" bestFit="1" customWidth="1"/>
    <col min="13565" max="13565" width="0" style="365" hidden="1" customWidth="1"/>
    <col min="13566" max="13566" width="18.140625" style="365" customWidth="1"/>
    <col min="13567" max="13567" width="0" style="365" hidden="1" customWidth="1"/>
    <col min="13568" max="13568" width="14" style="365" customWidth="1"/>
    <col min="13569" max="13569" width="0" style="365" hidden="1" customWidth="1"/>
    <col min="13570" max="13570" width="20.85546875" style="365" customWidth="1"/>
    <col min="13571" max="13571" width="0" style="365" hidden="1" customWidth="1"/>
    <col min="13572" max="13572" width="13.28515625" style="365" customWidth="1"/>
    <col min="13573" max="13573" width="0" style="365" hidden="1" customWidth="1"/>
    <col min="13574" max="13574" width="15" style="365" customWidth="1"/>
    <col min="13575" max="13575" width="0" style="365" hidden="1" customWidth="1"/>
    <col min="13576" max="13576" width="13.28515625" style="365" customWidth="1"/>
    <col min="13577" max="13577" width="0" style="365" hidden="1" customWidth="1"/>
    <col min="13578" max="13578" width="20.140625" style="365" customWidth="1"/>
    <col min="13579" max="13579" width="14.42578125" style="365" bestFit="1" customWidth="1"/>
    <col min="13580" max="13580" width="14" style="365" bestFit="1" customWidth="1"/>
    <col min="13581" max="13581" width="12.28515625" style="365" bestFit="1" customWidth="1"/>
    <col min="13582" max="13606" width="9.140625" style="365" customWidth="1"/>
    <col min="13607" max="13801" width="8.85546875" style="365"/>
    <col min="13802" max="13802" width="44.5703125" style="365" customWidth="1"/>
    <col min="13803" max="13803" width="14.28515625" style="365" bestFit="1" customWidth="1"/>
    <col min="13804" max="13804" width="1.7109375" style="365" customWidth="1"/>
    <col min="13805" max="13805" width="14.85546875" style="365" customWidth="1"/>
    <col min="13806" max="13806" width="0" style="365" hidden="1" customWidth="1"/>
    <col min="13807" max="13807" width="17.42578125" style="365" customWidth="1"/>
    <col min="13808" max="13808" width="0" style="365" hidden="1" customWidth="1"/>
    <col min="13809" max="13809" width="12.85546875" style="365" customWidth="1"/>
    <col min="13810" max="13810" width="0" style="365" hidden="1" customWidth="1"/>
    <col min="13811" max="13811" width="14.42578125" style="365" customWidth="1"/>
    <col min="13812" max="13812" width="0" style="365" hidden="1" customWidth="1"/>
    <col min="13813" max="13813" width="17.42578125" style="365" customWidth="1"/>
    <col min="13814" max="13814" width="0" style="365" hidden="1" customWidth="1"/>
    <col min="13815" max="13815" width="14" style="365" customWidth="1"/>
    <col min="13816" max="13816" width="14.28515625" style="365" bestFit="1" customWidth="1"/>
    <col min="13817" max="13817" width="0" style="365" hidden="1" customWidth="1"/>
    <col min="13818" max="13818" width="15.5703125" style="365" customWidth="1"/>
    <col min="13819" max="13819" width="44.5703125" style="365" customWidth="1"/>
    <col min="13820" max="13820" width="14.28515625" style="365" bestFit="1" customWidth="1"/>
    <col min="13821" max="13821" width="0" style="365" hidden="1" customWidth="1"/>
    <col min="13822" max="13822" width="18.140625" style="365" customWidth="1"/>
    <col min="13823" max="13823" width="0" style="365" hidden="1" customWidth="1"/>
    <col min="13824" max="13824" width="14" style="365" customWidth="1"/>
    <col min="13825" max="13825" width="0" style="365" hidden="1" customWidth="1"/>
    <col min="13826" max="13826" width="20.85546875" style="365" customWidth="1"/>
    <col min="13827" max="13827" width="0" style="365" hidden="1" customWidth="1"/>
    <col min="13828" max="13828" width="13.28515625" style="365" customWidth="1"/>
    <col min="13829" max="13829" width="0" style="365" hidden="1" customWidth="1"/>
    <col min="13830" max="13830" width="15" style="365" customWidth="1"/>
    <col min="13831" max="13831" width="0" style="365" hidden="1" customWidth="1"/>
    <col min="13832" max="13832" width="13.28515625" style="365" customWidth="1"/>
    <col min="13833" max="13833" width="0" style="365" hidden="1" customWidth="1"/>
    <col min="13834" max="13834" width="20.140625" style="365" customWidth="1"/>
    <col min="13835" max="13835" width="14.42578125" style="365" bestFit="1" customWidth="1"/>
    <col min="13836" max="13836" width="14" style="365" bestFit="1" customWidth="1"/>
    <col min="13837" max="13837" width="12.28515625" style="365" bestFit="1" customWidth="1"/>
    <col min="13838" max="13862" width="9.140625" style="365" customWidth="1"/>
    <col min="13863" max="14057" width="8.85546875" style="365"/>
    <col min="14058" max="14058" width="44.5703125" style="365" customWidth="1"/>
    <col min="14059" max="14059" width="14.28515625" style="365" bestFit="1" customWidth="1"/>
    <col min="14060" max="14060" width="1.7109375" style="365" customWidth="1"/>
    <col min="14061" max="14061" width="14.85546875" style="365" customWidth="1"/>
    <col min="14062" max="14062" width="0" style="365" hidden="1" customWidth="1"/>
    <col min="14063" max="14063" width="17.42578125" style="365" customWidth="1"/>
    <col min="14064" max="14064" width="0" style="365" hidden="1" customWidth="1"/>
    <col min="14065" max="14065" width="12.85546875" style="365" customWidth="1"/>
    <col min="14066" max="14066" width="0" style="365" hidden="1" customWidth="1"/>
    <col min="14067" max="14067" width="14.42578125" style="365" customWidth="1"/>
    <col min="14068" max="14068" width="0" style="365" hidden="1" customWidth="1"/>
    <col min="14069" max="14069" width="17.42578125" style="365" customWidth="1"/>
    <col min="14070" max="14070" width="0" style="365" hidden="1" customWidth="1"/>
    <col min="14071" max="14071" width="14" style="365" customWidth="1"/>
    <col min="14072" max="14072" width="14.28515625" style="365" bestFit="1" customWidth="1"/>
    <col min="14073" max="14073" width="0" style="365" hidden="1" customWidth="1"/>
    <col min="14074" max="14074" width="15.5703125" style="365" customWidth="1"/>
    <col min="14075" max="14075" width="44.5703125" style="365" customWidth="1"/>
    <col min="14076" max="14076" width="14.28515625" style="365" bestFit="1" customWidth="1"/>
    <col min="14077" max="14077" width="0" style="365" hidden="1" customWidth="1"/>
    <col min="14078" max="14078" width="18.140625" style="365" customWidth="1"/>
    <col min="14079" max="14079" width="0" style="365" hidden="1" customWidth="1"/>
    <col min="14080" max="14080" width="14" style="365" customWidth="1"/>
    <col min="14081" max="14081" width="0" style="365" hidden="1" customWidth="1"/>
    <col min="14082" max="14082" width="20.85546875" style="365" customWidth="1"/>
    <col min="14083" max="14083" width="0" style="365" hidden="1" customWidth="1"/>
    <col min="14084" max="14084" width="13.28515625" style="365" customWidth="1"/>
    <col min="14085" max="14085" width="0" style="365" hidden="1" customWidth="1"/>
    <col min="14086" max="14086" width="15" style="365" customWidth="1"/>
    <col min="14087" max="14087" width="0" style="365" hidden="1" customWidth="1"/>
    <col min="14088" max="14088" width="13.28515625" style="365" customWidth="1"/>
    <col min="14089" max="14089" width="0" style="365" hidden="1" customWidth="1"/>
    <col min="14090" max="14090" width="20.140625" style="365" customWidth="1"/>
    <col min="14091" max="14091" width="14.42578125" style="365" bestFit="1" customWidth="1"/>
    <col min="14092" max="14092" width="14" style="365" bestFit="1" customWidth="1"/>
    <col min="14093" max="14093" width="12.28515625" style="365" bestFit="1" customWidth="1"/>
    <col min="14094" max="14118" width="9.140625" style="365" customWidth="1"/>
    <col min="14119" max="14313" width="8.85546875" style="365"/>
    <col min="14314" max="14314" width="44.5703125" style="365" customWidth="1"/>
    <col min="14315" max="14315" width="14.28515625" style="365" bestFit="1" customWidth="1"/>
    <col min="14316" max="14316" width="1.7109375" style="365" customWidth="1"/>
    <col min="14317" max="14317" width="14.85546875" style="365" customWidth="1"/>
    <col min="14318" max="14318" width="0" style="365" hidden="1" customWidth="1"/>
    <col min="14319" max="14319" width="17.42578125" style="365" customWidth="1"/>
    <col min="14320" max="14320" width="0" style="365" hidden="1" customWidth="1"/>
    <col min="14321" max="14321" width="12.85546875" style="365" customWidth="1"/>
    <col min="14322" max="14322" width="0" style="365" hidden="1" customWidth="1"/>
    <col min="14323" max="14323" width="14.42578125" style="365" customWidth="1"/>
    <col min="14324" max="14324" width="0" style="365" hidden="1" customWidth="1"/>
    <col min="14325" max="14325" width="17.42578125" style="365" customWidth="1"/>
    <col min="14326" max="14326" width="0" style="365" hidden="1" customWidth="1"/>
    <col min="14327" max="14327" width="14" style="365" customWidth="1"/>
    <col min="14328" max="14328" width="14.28515625" style="365" bestFit="1" customWidth="1"/>
    <col min="14329" max="14329" width="0" style="365" hidden="1" customWidth="1"/>
    <col min="14330" max="14330" width="15.5703125" style="365" customWidth="1"/>
    <col min="14331" max="14331" width="44.5703125" style="365" customWidth="1"/>
    <col min="14332" max="14332" width="14.28515625" style="365" bestFit="1" customWidth="1"/>
    <col min="14333" max="14333" width="0" style="365" hidden="1" customWidth="1"/>
    <col min="14334" max="14334" width="18.140625" style="365" customWidth="1"/>
    <col min="14335" max="14335" width="0" style="365" hidden="1" customWidth="1"/>
    <col min="14336" max="14336" width="14" style="365" customWidth="1"/>
    <col min="14337" max="14337" width="0" style="365" hidden="1" customWidth="1"/>
    <col min="14338" max="14338" width="20.85546875" style="365" customWidth="1"/>
    <col min="14339" max="14339" width="0" style="365" hidden="1" customWidth="1"/>
    <col min="14340" max="14340" width="13.28515625" style="365" customWidth="1"/>
    <col min="14341" max="14341" width="0" style="365" hidden="1" customWidth="1"/>
    <col min="14342" max="14342" width="15" style="365" customWidth="1"/>
    <col min="14343" max="14343" width="0" style="365" hidden="1" customWidth="1"/>
    <col min="14344" max="14344" width="13.28515625" style="365" customWidth="1"/>
    <col min="14345" max="14345" width="0" style="365" hidden="1" customWidth="1"/>
    <col min="14346" max="14346" width="20.140625" style="365" customWidth="1"/>
    <col min="14347" max="14347" width="14.42578125" style="365" bestFit="1" customWidth="1"/>
    <col min="14348" max="14348" width="14" style="365" bestFit="1" customWidth="1"/>
    <col min="14349" max="14349" width="12.28515625" style="365" bestFit="1" customWidth="1"/>
    <col min="14350" max="14374" width="9.140625" style="365" customWidth="1"/>
    <col min="14375" max="14569" width="8.85546875" style="365"/>
    <col min="14570" max="14570" width="44.5703125" style="365" customWidth="1"/>
    <col min="14571" max="14571" width="14.28515625" style="365" bestFit="1" customWidth="1"/>
    <col min="14572" max="14572" width="1.7109375" style="365" customWidth="1"/>
    <col min="14573" max="14573" width="14.85546875" style="365" customWidth="1"/>
    <col min="14574" max="14574" width="0" style="365" hidden="1" customWidth="1"/>
    <col min="14575" max="14575" width="17.42578125" style="365" customWidth="1"/>
    <col min="14576" max="14576" width="0" style="365" hidden="1" customWidth="1"/>
    <col min="14577" max="14577" width="12.85546875" style="365" customWidth="1"/>
    <col min="14578" max="14578" width="0" style="365" hidden="1" customWidth="1"/>
    <col min="14579" max="14579" width="14.42578125" style="365" customWidth="1"/>
    <col min="14580" max="14580" width="0" style="365" hidden="1" customWidth="1"/>
    <col min="14581" max="14581" width="17.42578125" style="365" customWidth="1"/>
    <col min="14582" max="14582" width="0" style="365" hidden="1" customWidth="1"/>
    <col min="14583" max="14583" width="14" style="365" customWidth="1"/>
    <col min="14584" max="14584" width="14.28515625" style="365" bestFit="1" customWidth="1"/>
    <col min="14585" max="14585" width="0" style="365" hidden="1" customWidth="1"/>
    <col min="14586" max="14586" width="15.5703125" style="365" customWidth="1"/>
    <col min="14587" max="14587" width="44.5703125" style="365" customWidth="1"/>
    <col min="14588" max="14588" width="14.28515625" style="365" bestFit="1" customWidth="1"/>
    <col min="14589" max="14589" width="0" style="365" hidden="1" customWidth="1"/>
    <col min="14590" max="14590" width="18.140625" style="365" customWidth="1"/>
    <col min="14591" max="14591" width="0" style="365" hidden="1" customWidth="1"/>
    <col min="14592" max="14592" width="14" style="365" customWidth="1"/>
    <col min="14593" max="14593" width="0" style="365" hidden="1" customWidth="1"/>
    <col min="14594" max="14594" width="20.85546875" style="365" customWidth="1"/>
    <col min="14595" max="14595" width="0" style="365" hidden="1" customWidth="1"/>
    <col min="14596" max="14596" width="13.28515625" style="365" customWidth="1"/>
    <col min="14597" max="14597" width="0" style="365" hidden="1" customWidth="1"/>
    <col min="14598" max="14598" width="15" style="365" customWidth="1"/>
    <col min="14599" max="14599" width="0" style="365" hidden="1" customWidth="1"/>
    <col min="14600" max="14600" width="13.28515625" style="365" customWidth="1"/>
    <col min="14601" max="14601" width="0" style="365" hidden="1" customWidth="1"/>
    <col min="14602" max="14602" width="20.140625" style="365" customWidth="1"/>
    <col min="14603" max="14603" width="14.42578125" style="365" bestFit="1" customWidth="1"/>
    <col min="14604" max="14604" width="14" style="365" bestFit="1" customWidth="1"/>
    <col min="14605" max="14605" width="12.28515625" style="365" bestFit="1" customWidth="1"/>
    <col min="14606" max="14630" width="9.140625" style="365" customWidth="1"/>
    <col min="14631" max="14825" width="8.85546875" style="365"/>
    <col min="14826" max="14826" width="44.5703125" style="365" customWidth="1"/>
    <col min="14827" max="14827" width="14.28515625" style="365" bestFit="1" customWidth="1"/>
    <col min="14828" max="14828" width="1.7109375" style="365" customWidth="1"/>
    <col min="14829" max="14829" width="14.85546875" style="365" customWidth="1"/>
    <col min="14830" max="14830" width="0" style="365" hidden="1" customWidth="1"/>
    <col min="14831" max="14831" width="17.42578125" style="365" customWidth="1"/>
    <col min="14832" max="14832" width="0" style="365" hidden="1" customWidth="1"/>
    <col min="14833" max="14833" width="12.85546875" style="365" customWidth="1"/>
    <col min="14834" max="14834" width="0" style="365" hidden="1" customWidth="1"/>
    <col min="14835" max="14835" width="14.42578125" style="365" customWidth="1"/>
    <col min="14836" max="14836" width="0" style="365" hidden="1" customWidth="1"/>
    <col min="14837" max="14837" width="17.42578125" style="365" customWidth="1"/>
    <col min="14838" max="14838" width="0" style="365" hidden="1" customWidth="1"/>
    <col min="14839" max="14839" width="14" style="365" customWidth="1"/>
    <col min="14840" max="14840" width="14.28515625" style="365" bestFit="1" customWidth="1"/>
    <col min="14841" max="14841" width="0" style="365" hidden="1" customWidth="1"/>
    <col min="14842" max="14842" width="15.5703125" style="365" customWidth="1"/>
    <col min="14843" max="14843" width="44.5703125" style="365" customWidth="1"/>
    <col min="14844" max="14844" width="14.28515625" style="365" bestFit="1" customWidth="1"/>
    <col min="14845" max="14845" width="0" style="365" hidden="1" customWidth="1"/>
    <col min="14846" max="14846" width="18.140625" style="365" customWidth="1"/>
    <col min="14847" max="14847" width="0" style="365" hidden="1" customWidth="1"/>
    <col min="14848" max="14848" width="14" style="365" customWidth="1"/>
    <col min="14849" max="14849" width="0" style="365" hidden="1" customWidth="1"/>
    <col min="14850" max="14850" width="20.85546875" style="365" customWidth="1"/>
    <col min="14851" max="14851" width="0" style="365" hidden="1" customWidth="1"/>
    <col min="14852" max="14852" width="13.28515625" style="365" customWidth="1"/>
    <col min="14853" max="14853" width="0" style="365" hidden="1" customWidth="1"/>
    <col min="14854" max="14854" width="15" style="365" customWidth="1"/>
    <col min="14855" max="14855" width="0" style="365" hidden="1" customWidth="1"/>
    <col min="14856" max="14856" width="13.28515625" style="365" customWidth="1"/>
    <col min="14857" max="14857" width="0" style="365" hidden="1" customWidth="1"/>
    <col min="14858" max="14858" width="20.140625" style="365" customWidth="1"/>
    <col min="14859" max="14859" width="14.42578125" style="365" bestFit="1" customWidth="1"/>
    <col min="14860" max="14860" width="14" style="365" bestFit="1" customWidth="1"/>
    <col min="14861" max="14861" width="12.28515625" style="365" bestFit="1" customWidth="1"/>
    <col min="14862" max="14886" width="9.140625" style="365" customWidth="1"/>
    <col min="14887" max="15081" width="8.85546875" style="365"/>
    <col min="15082" max="15082" width="44.5703125" style="365" customWidth="1"/>
    <col min="15083" max="15083" width="14.28515625" style="365" bestFit="1" customWidth="1"/>
    <col min="15084" max="15084" width="1.7109375" style="365" customWidth="1"/>
    <col min="15085" max="15085" width="14.85546875" style="365" customWidth="1"/>
    <col min="15086" max="15086" width="0" style="365" hidden="1" customWidth="1"/>
    <col min="15087" max="15087" width="17.42578125" style="365" customWidth="1"/>
    <col min="15088" max="15088" width="0" style="365" hidden="1" customWidth="1"/>
    <col min="15089" max="15089" width="12.85546875" style="365" customWidth="1"/>
    <col min="15090" max="15090" width="0" style="365" hidden="1" customWidth="1"/>
    <col min="15091" max="15091" width="14.42578125" style="365" customWidth="1"/>
    <col min="15092" max="15092" width="0" style="365" hidden="1" customWidth="1"/>
    <col min="15093" max="15093" width="17.42578125" style="365" customWidth="1"/>
    <col min="15094" max="15094" width="0" style="365" hidden="1" customWidth="1"/>
    <col min="15095" max="15095" width="14" style="365" customWidth="1"/>
    <col min="15096" max="15096" width="14.28515625" style="365" bestFit="1" customWidth="1"/>
    <col min="15097" max="15097" width="0" style="365" hidden="1" customWidth="1"/>
    <col min="15098" max="15098" width="15.5703125" style="365" customWidth="1"/>
    <col min="15099" max="15099" width="44.5703125" style="365" customWidth="1"/>
    <col min="15100" max="15100" width="14.28515625" style="365" bestFit="1" customWidth="1"/>
    <col min="15101" max="15101" width="0" style="365" hidden="1" customWidth="1"/>
    <col min="15102" max="15102" width="18.140625" style="365" customWidth="1"/>
    <col min="15103" max="15103" width="0" style="365" hidden="1" customWidth="1"/>
    <col min="15104" max="15104" width="14" style="365" customWidth="1"/>
    <col min="15105" max="15105" width="0" style="365" hidden="1" customWidth="1"/>
    <col min="15106" max="15106" width="20.85546875" style="365" customWidth="1"/>
    <col min="15107" max="15107" width="0" style="365" hidden="1" customWidth="1"/>
    <col min="15108" max="15108" width="13.28515625" style="365" customWidth="1"/>
    <col min="15109" max="15109" width="0" style="365" hidden="1" customWidth="1"/>
    <col min="15110" max="15110" width="15" style="365" customWidth="1"/>
    <col min="15111" max="15111" width="0" style="365" hidden="1" customWidth="1"/>
    <col min="15112" max="15112" width="13.28515625" style="365" customWidth="1"/>
    <col min="15113" max="15113" width="0" style="365" hidden="1" customWidth="1"/>
    <col min="15114" max="15114" width="20.140625" style="365" customWidth="1"/>
    <col min="15115" max="15115" width="14.42578125" style="365" bestFit="1" customWidth="1"/>
    <col min="15116" max="15116" width="14" style="365" bestFit="1" customWidth="1"/>
    <col min="15117" max="15117" width="12.28515625" style="365" bestFit="1" customWidth="1"/>
    <col min="15118" max="15142" width="9.140625" style="365" customWidth="1"/>
    <col min="15143" max="15337" width="8.85546875" style="365"/>
    <col min="15338" max="15338" width="44.5703125" style="365" customWidth="1"/>
    <col min="15339" max="15339" width="14.28515625" style="365" bestFit="1" customWidth="1"/>
    <col min="15340" max="15340" width="1.7109375" style="365" customWidth="1"/>
    <col min="15341" max="15341" width="14.85546875" style="365" customWidth="1"/>
    <col min="15342" max="15342" width="0" style="365" hidden="1" customWidth="1"/>
    <col min="15343" max="15343" width="17.42578125" style="365" customWidth="1"/>
    <col min="15344" max="15344" width="0" style="365" hidden="1" customWidth="1"/>
    <col min="15345" max="15345" width="12.85546875" style="365" customWidth="1"/>
    <col min="15346" max="15346" width="0" style="365" hidden="1" customWidth="1"/>
    <col min="15347" max="15347" width="14.42578125" style="365" customWidth="1"/>
    <col min="15348" max="15348" width="0" style="365" hidden="1" customWidth="1"/>
    <col min="15349" max="15349" width="17.42578125" style="365" customWidth="1"/>
    <col min="15350" max="15350" width="0" style="365" hidden="1" customWidth="1"/>
    <col min="15351" max="15351" width="14" style="365" customWidth="1"/>
    <col min="15352" max="15352" width="14.28515625" style="365" bestFit="1" customWidth="1"/>
    <col min="15353" max="15353" width="0" style="365" hidden="1" customWidth="1"/>
    <col min="15354" max="15354" width="15.5703125" style="365" customWidth="1"/>
    <col min="15355" max="15355" width="44.5703125" style="365" customWidth="1"/>
    <col min="15356" max="15356" width="14.28515625" style="365" bestFit="1" customWidth="1"/>
    <col min="15357" max="15357" width="0" style="365" hidden="1" customWidth="1"/>
    <col min="15358" max="15358" width="18.140625" style="365" customWidth="1"/>
    <col min="15359" max="15359" width="0" style="365" hidden="1" customWidth="1"/>
    <col min="15360" max="15360" width="14" style="365" customWidth="1"/>
    <col min="15361" max="15361" width="0" style="365" hidden="1" customWidth="1"/>
    <col min="15362" max="15362" width="20.85546875" style="365" customWidth="1"/>
    <col min="15363" max="15363" width="0" style="365" hidden="1" customWidth="1"/>
    <col min="15364" max="15364" width="13.28515625" style="365" customWidth="1"/>
    <col min="15365" max="15365" width="0" style="365" hidden="1" customWidth="1"/>
    <col min="15366" max="15366" width="15" style="365" customWidth="1"/>
    <col min="15367" max="15367" width="0" style="365" hidden="1" customWidth="1"/>
    <col min="15368" max="15368" width="13.28515625" style="365" customWidth="1"/>
    <col min="15369" max="15369" width="0" style="365" hidden="1" customWidth="1"/>
    <col min="15370" max="15370" width="20.140625" style="365" customWidth="1"/>
    <col min="15371" max="15371" width="14.42578125" style="365" bestFit="1" customWidth="1"/>
    <col min="15372" max="15372" width="14" style="365" bestFit="1" customWidth="1"/>
    <col min="15373" max="15373" width="12.28515625" style="365" bestFit="1" customWidth="1"/>
    <col min="15374" max="15398" width="9.140625" style="365" customWidth="1"/>
    <col min="15399" max="15593" width="8.85546875" style="365"/>
    <col min="15594" max="15594" width="44.5703125" style="365" customWidth="1"/>
    <col min="15595" max="15595" width="14.28515625" style="365" bestFit="1" customWidth="1"/>
    <col min="15596" max="15596" width="1.7109375" style="365" customWidth="1"/>
    <col min="15597" max="15597" width="14.85546875" style="365" customWidth="1"/>
    <col min="15598" max="15598" width="0" style="365" hidden="1" customWidth="1"/>
    <col min="15599" max="15599" width="17.42578125" style="365" customWidth="1"/>
    <col min="15600" max="15600" width="0" style="365" hidden="1" customWidth="1"/>
    <col min="15601" max="15601" width="12.85546875" style="365" customWidth="1"/>
    <col min="15602" max="15602" width="0" style="365" hidden="1" customWidth="1"/>
    <col min="15603" max="15603" width="14.42578125" style="365" customWidth="1"/>
    <col min="15604" max="15604" width="0" style="365" hidden="1" customWidth="1"/>
    <col min="15605" max="15605" width="17.42578125" style="365" customWidth="1"/>
    <col min="15606" max="15606" width="0" style="365" hidden="1" customWidth="1"/>
    <col min="15607" max="15607" width="14" style="365" customWidth="1"/>
    <col min="15608" max="15608" width="14.28515625" style="365" bestFit="1" customWidth="1"/>
    <col min="15609" max="15609" width="0" style="365" hidden="1" customWidth="1"/>
    <col min="15610" max="15610" width="15.5703125" style="365" customWidth="1"/>
    <col min="15611" max="15611" width="44.5703125" style="365" customWidth="1"/>
    <col min="15612" max="15612" width="14.28515625" style="365" bestFit="1" customWidth="1"/>
    <col min="15613" max="15613" width="0" style="365" hidden="1" customWidth="1"/>
    <col min="15614" max="15614" width="18.140625" style="365" customWidth="1"/>
    <col min="15615" max="15615" width="0" style="365" hidden="1" customWidth="1"/>
    <col min="15616" max="15616" width="14" style="365" customWidth="1"/>
    <col min="15617" max="15617" width="0" style="365" hidden="1" customWidth="1"/>
    <col min="15618" max="15618" width="20.85546875" style="365" customWidth="1"/>
    <col min="15619" max="15619" width="0" style="365" hidden="1" customWidth="1"/>
    <col min="15620" max="15620" width="13.28515625" style="365" customWidth="1"/>
    <col min="15621" max="15621" width="0" style="365" hidden="1" customWidth="1"/>
    <col min="15622" max="15622" width="15" style="365" customWidth="1"/>
    <col min="15623" max="15623" width="0" style="365" hidden="1" customWidth="1"/>
    <col min="15624" max="15624" width="13.28515625" style="365" customWidth="1"/>
    <col min="15625" max="15625" width="0" style="365" hidden="1" customWidth="1"/>
    <col min="15626" max="15626" width="20.140625" style="365" customWidth="1"/>
    <col min="15627" max="15627" width="14.42578125" style="365" bestFit="1" customWidth="1"/>
    <col min="15628" max="15628" width="14" style="365" bestFit="1" customWidth="1"/>
    <col min="15629" max="15629" width="12.28515625" style="365" bestFit="1" customWidth="1"/>
    <col min="15630" max="15654" width="9.140625" style="365" customWidth="1"/>
    <col min="15655" max="15849" width="8.85546875" style="365"/>
    <col min="15850" max="15850" width="44.5703125" style="365" customWidth="1"/>
    <col min="15851" max="15851" width="14.28515625" style="365" bestFit="1" customWidth="1"/>
    <col min="15852" max="15852" width="1.7109375" style="365" customWidth="1"/>
    <col min="15853" max="15853" width="14.85546875" style="365" customWidth="1"/>
    <col min="15854" max="15854" width="0" style="365" hidden="1" customWidth="1"/>
    <col min="15855" max="15855" width="17.42578125" style="365" customWidth="1"/>
    <col min="15856" max="15856" width="0" style="365" hidden="1" customWidth="1"/>
    <col min="15857" max="15857" width="12.85546875" style="365" customWidth="1"/>
    <col min="15858" max="15858" width="0" style="365" hidden="1" customWidth="1"/>
    <col min="15859" max="15859" width="14.42578125" style="365" customWidth="1"/>
    <col min="15860" max="15860" width="0" style="365" hidden="1" customWidth="1"/>
    <col min="15861" max="15861" width="17.42578125" style="365" customWidth="1"/>
    <col min="15862" max="15862" width="0" style="365" hidden="1" customWidth="1"/>
    <col min="15863" max="15863" width="14" style="365" customWidth="1"/>
    <col min="15864" max="15864" width="14.28515625" style="365" bestFit="1" customWidth="1"/>
    <col min="15865" max="15865" width="0" style="365" hidden="1" customWidth="1"/>
    <col min="15866" max="15866" width="15.5703125" style="365" customWidth="1"/>
    <col min="15867" max="15867" width="44.5703125" style="365" customWidth="1"/>
    <col min="15868" max="15868" width="14.28515625" style="365" bestFit="1" customWidth="1"/>
    <col min="15869" max="15869" width="0" style="365" hidden="1" customWidth="1"/>
    <col min="15870" max="15870" width="18.140625" style="365" customWidth="1"/>
    <col min="15871" max="15871" width="0" style="365" hidden="1" customWidth="1"/>
    <col min="15872" max="15872" width="14" style="365" customWidth="1"/>
    <col min="15873" max="15873" width="0" style="365" hidden="1" customWidth="1"/>
    <col min="15874" max="15874" width="20.85546875" style="365" customWidth="1"/>
    <col min="15875" max="15875" width="0" style="365" hidden="1" customWidth="1"/>
    <col min="15876" max="15876" width="13.28515625" style="365" customWidth="1"/>
    <col min="15877" max="15877" width="0" style="365" hidden="1" customWidth="1"/>
    <col min="15878" max="15878" width="15" style="365" customWidth="1"/>
    <col min="15879" max="15879" width="0" style="365" hidden="1" customWidth="1"/>
    <col min="15880" max="15880" width="13.28515625" style="365" customWidth="1"/>
    <col min="15881" max="15881" width="0" style="365" hidden="1" customWidth="1"/>
    <col min="15882" max="15882" width="20.140625" style="365" customWidth="1"/>
    <col min="15883" max="15883" width="14.42578125" style="365" bestFit="1" customWidth="1"/>
    <col min="15884" max="15884" width="14" style="365" bestFit="1" customWidth="1"/>
    <col min="15885" max="15885" width="12.28515625" style="365" bestFit="1" customWidth="1"/>
    <col min="15886" max="15910" width="9.140625" style="365" customWidth="1"/>
    <col min="15911" max="16105" width="8.85546875" style="365"/>
    <col min="16106" max="16106" width="44.5703125" style="365" customWidth="1"/>
    <col min="16107" max="16107" width="14.28515625" style="365" bestFit="1" customWidth="1"/>
    <col min="16108" max="16108" width="1.7109375" style="365" customWidth="1"/>
    <col min="16109" max="16109" width="14.85546875" style="365" customWidth="1"/>
    <col min="16110" max="16110" width="0" style="365" hidden="1" customWidth="1"/>
    <col min="16111" max="16111" width="17.42578125" style="365" customWidth="1"/>
    <col min="16112" max="16112" width="0" style="365" hidden="1" customWidth="1"/>
    <col min="16113" max="16113" width="12.85546875" style="365" customWidth="1"/>
    <col min="16114" max="16114" width="0" style="365" hidden="1" customWidth="1"/>
    <col min="16115" max="16115" width="14.42578125" style="365" customWidth="1"/>
    <col min="16116" max="16116" width="0" style="365" hidden="1" customWidth="1"/>
    <col min="16117" max="16117" width="17.42578125" style="365" customWidth="1"/>
    <col min="16118" max="16118" width="0" style="365" hidden="1" customWidth="1"/>
    <col min="16119" max="16119" width="14" style="365" customWidth="1"/>
    <col min="16120" max="16120" width="14.28515625" style="365" bestFit="1" customWidth="1"/>
    <col min="16121" max="16121" width="0" style="365" hidden="1" customWidth="1"/>
    <col min="16122" max="16122" width="15.5703125" style="365" customWidth="1"/>
    <col min="16123" max="16123" width="44.5703125" style="365" customWidth="1"/>
    <col min="16124" max="16124" width="14.28515625" style="365" bestFit="1" customWidth="1"/>
    <col min="16125" max="16125" width="0" style="365" hidden="1" customWidth="1"/>
    <col min="16126" max="16126" width="18.140625" style="365" customWidth="1"/>
    <col min="16127" max="16127" width="0" style="365" hidden="1" customWidth="1"/>
    <col min="16128" max="16128" width="14" style="365" customWidth="1"/>
    <col min="16129" max="16129" width="0" style="365" hidden="1" customWidth="1"/>
    <col min="16130" max="16130" width="20.85546875" style="365" customWidth="1"/>
    <col min="16131" max="16131" width="0" style="365" hidden="1" customWidth="1"/>
    <col min="16132" max="16132" width="13.28515625" style="365" customWidth="1"/>
    <col min="16133" max="16133" width="0" style="365" hidden="1" customWidth="1"/>
    <col min="16134" max="16134" width="15" style="365" customWidth="1"/>
    <col min="16135" max="16135" width="0" style="365" hidden="1" customWidth="1"/>
    <col min="16136" max="16136" width="13.28515625" style="365" customWidth="1"/>
    <col min="16137" max="16137" width="0" style="365" hidden="1" customWidth="1"/>
    <col min="16138" max="16138" width="20.140625" style="365" customWidth="1"/>
    <col min="16139" max="16139" width="14.42578125" style="365" bestFit="1" customWidth="1"/>
    <col min="16140" max="16140" width="14" style="365" bestFit="1" customWidth="1"/>
    <col min="16141" max="16141" width="12.28515625" style="365" bestFit="1" customWidth="1"/>
    <col min="16142" max="16166" width="9.140625" style="365" customWidth="1"/>
    <col min="16167" max="16379" width="8.85546875" style="365"/>
    <col min="16380" max="16384" width="8.85546875" style="365" customWidth="1"/>
  </cols>
  <sheetData>
    <row r="1" spans="1:38" s="354" customFormat="1" ht="19.899999999999999" hidden="1" customHeight="1">
      <c r="A1" s="1632"/>
      <c r="B1" s="1632"/>
      <c r="C1" s="1632"/>
      <c r="D1" s="1632"/>
      <c r="E1" s="1632"/>
      <c r="F1" s="1632"/>
      <c r="G1" s="1632"/>
      <c r="H1" s="1632"/>
      <c r="I1" s="1633"/>
      <c r="J1" s="1633"/>
      <c r="K1" s="1633"/>
      <c r="L1" s="1632"/>
      <c r="M1" s="928"/>
      <c r="N1" s="930"/>
      <c r="O1" s="351"/>
      <c r="P1" s="928"/>
      <c r="Q1" s="351"/>
      <c r="R1" s="928"/>
      <c r="S1" s="353"/>
      <c r="T1" s="911"/>
      <c r="U1" s="353"/>
      <c r="V1" s="911"/>
      <c r="W1" s="353"/>
      <c r="X1" s="911"/>
      <c r="Y1" s="353"/>
      <c r="Z1" s="911"/>
      <c r="AA1" s="353"/>
      <c r="AB1" s="353"/>
      <c r="AC1" s="353"/>
      <c r="AD1" s="353"/>
      <c r="AE1" s="353"/>
      <c r="AF1" s="353"/>
      <c r="AG1" s="353"/>
      <c r="AH1" s="353"/>
      <c r="AI1" s="353"/>
      <c r="AJ1" s="353"/>
      <c r="AK1" s="353"/>
      <c r="AL1" s="353"/>
    </row>
    <row r="2" spans="1:38" s="354" customFormat="1" ht="88.9" customHeight="1">
      <c r="A2" s="1639" t="s">
        <v>778</v>
      </c>
      <c r="B2" s="1639"/>
      <c r="C2" s="1639"/>
      <c r="D2" s="1639"/>
      <c r="E2" s="1639"/>
      <c r="F2" s="1639"/>
      <c r="G2" s="1639"/>
      <c r="H2" s="1639"/>
      <c r="I2" s="1639"/>
      <c r="J2" s="1639"/>
      <c r="K2" s="1639"/>
      <c r="L2" s="1639"/>
      <c r="M2" s="1639"/>
      <c r="N2" s="1639"/>
      <c r="O2" s="1639"/>
      <c r="P2" s="1639"/>
      <c r="Q2" s="1639"/>
      <c r="R2" s="1639"/>
      <c r="S2" s="1639"/>
      <c r="T2" s="1639"/>
      <c r="U2" s="1639"/>
      <c r="V2" s="1639"/>
      <c r="W2" s="1639"/>
      <c r="X2" s="1639"/>
      <c r="Y2" s="1639"/>
      <c r="Z2" s="1639"/>
      <c r="AA2" s="353"/>
      <c r="AB2" s="353"/>
      <c r="AC2" s="353"/>
      <c r="AD2" s="353"/>
      <c r="AE2" s="353"/>
      <c r="AF2" s="353"/>
      <c r="AG2" s="353"/>
      <c r="AH2" s="353"/>
      <c r="AI2" s="353"/>
      <c r="AJ2" s="353"/>
      <c r="AK2" s="353"/>
      <c r="AL2" s="353"/>
    </row>
    <row r="3" spans="1:38" s="354" customFormat="1" ht="48" hidden="1">
      <c r="A3" s="791"/>
      <c r="B3" s="1636" t="str">
        <f>PROPER(B1)</f>
        <v/>
      </c>
      <c r="C3" s="1636"/>
      <c r="D3" s="1636"/>
      <c r="E3" s="1636"/>
      <c r="F3" s="1636"/>
      <c r="G3" s="1636"/>
      <c r="H3" s="1636"/>
      <c r="I3" s="1636"/>
      <c r="J3" s="940"/>
      <c r="K3" s="940"/>
      <c r="L3" s="935"/>
      <c r="M3" s="911"/>
      <c r="N3" s="931"/>
      <c r="O3" s="353"/>
      <c r="P3" s="911"/>
      <c r="Q3" s="353"/>
      <c r="R3" s="911"/>
      <c r="S3" s="353"/>
      <c r="T3" s="911"/>
      <c r="U3" s="353"/>
      <c r="V3" s="911"/>
      <c r="W3" s="353"/>
      <c r="X3" s="911"/>
      <c r="Y3" s="353"/>
      <c r="Z3" s="911"/>
      <c r="AA3" s="353"/>
      <c r="AB3" s="353"/>
      <c r="AC3" s="353"/>
      <c r="AD3" s="353"/>
      <c r="AE3" s="353"/>
      <c r="AF3" s="353"/>
      <c r="AG3" s="353"/>
      <c r="AH3" s="353"/>
      <c r="AI3" s="353"/>
      <c r="AJ3" s="353"/>
      <c r="AK3" s="353"/>
      <c r="AL3" s="353"/>
    </row>
    <row r="4" spans="1:38" s="354" customFormat="1" ht="15.6" hidden="1" customHeight="1">
      <c r="A4" s="1635"/>
      <c r="B4" s="1635"/>
      <c r="C4" s="1635"/>
      <c r="D4" s="1635"/>
      <c r="E4" s="1635"/>
      <c r="F4" s="1635"/>
      <c r="G4" s="1635"/>
      <c r="H4" s="1635"/>
      <c r="I4" s="1635"/>
      <c r="J4" s="1635"/>
      <c r="K4" s="1635"/>
      <c r="L4" s="1635"/>
      <c r="M4" s="911"/>
      <c r="N4" s="931"/>
      <c r="O4" s="353"/>
      <c r="P4" s="911"/>
      <c r="Q4" s="353"/>
      <c r="R4" s="911"/>
      <c r="S4" s="353"/>
      <c r="T4" s="911"/>
      <c r="U4" s="353"/>
      <c r="V4" s="911"/>
      <c r="W4" s="353"/>
      <c r="X4" s="911"/>
      <c r="Y4" s="353"/>
      <c r="Z4" s="911"/>
      <c r="AA4" s="353"/>
      <c r="AB4" s="353"/>
      <c r="AC4" s="353"/>
      <c r="AD4" s="353"/>
      <c r="AE4" s="353"/>
      <c r="AF4" s="353"/>
      <c r="AG4" s="353"/>
      <c r="AH4" s="353"/>
      <c r="AI4" s="353"/>
      <c r="AJ4" s="353"/>
      <c r="AK4" s="353"/>
      <c r="AL4" s="353"/>
    </row>
    <row r="5" spans="1:38" s="363" customFormat="1" ht="9.6" customHeight="1" thickBot="1">
      <c r="A5" s="360" t="s">
        <v>58</v>
      </c>
      <c r="B5" s="361"/>
      <c r="C5" s="577"/>
      <c r="D5" s="945"/>
      <c r="E5" s="936"/>
      <c r="F5" s="936"/>
      <c r="G5" s="936"/>
      <c r="H5" s="936"/>
      <c r="I5" s="936"/>
      <c r="J5" s="936"/>
      <c r="K5" s="936"/>
      <c r="L5" s="936"/>
      <c r="M5" s="912"/>
      <c r="N5" s="932"/>
      <c r="P5" s="912"/>
      <c r="R5" s="912"/>
      <c r="T5" s="912"/>
      <c r="V5" s="912"/>
      <c r="X5" s="912"/>
      <c r="Z5" s="912"/>
    </row>
    <row r="6" spans="1:38" s="490" customFormat="1" ht="105.6" customHeight="1" thickTop="1" thickBot="1">
      <c r="A6" s="484"/>
      <c r="B6" s="485"/>
      <c r="C6" s="486"/>
      <c r="D6" s="946" t="s">
        <v>573</v>
      </c>
      <c r="E6" s="923" t="s">
        <v>718</v>
      </c>
      <c r="F6" s="923" t="s">
        <v>154</v>
      </c>
      <c r="G6" s="923" t="s">
        <v>411</v>
      </c>
      <c r="H6" s="923" t="s">
        <v>412</v>
      </c>
      <c r="I6" s="923" t="s">
        <v>413</v>
      </c>
      <c r="J6" s="923" t="s">
        <v>772</v>
      </c>
      <c r="K6" s="923" t="s">
        <v>781</v>
      </c>
      <c r="L6" s="923" t="s">
        <v>414</v>
      </c>
      <c r="M6" s="923" t="s">
        <v>415</v>
      </c>
      <c r="N6" s="923" t="s">
        <v>416</v>
      </c>
      <c r="O6" s="581"/>
      <c r="P6" s="923" t="s">
        <v>417</v>
      </c>
      <c r="Q6" s="581"/>
      <c r="R6" s="923" t="s">
        <v>575</v>
      </c>
      <c r="S6" s="581"/>
      <c r="T6" s="923" t="s">
        <v>419</v>
      </c>
      <c r="U6" s="581"/>
      <c r="V6" s="923" t="s">
        <v>420</v>
      </c>
      <c r="W6" s="581"/>
      <c r="X6" s="923" t="s">
        <v>421</v>
      </c>
      <c r="Y6" s="581"/>
      <c r="Z6" s="913" t="s">
        <v>422</v>
      </c>
      <c r="AA6" s="488"/>
      <c r="AB6" s="488"/>
      <c r="AC6" s="488"/>
      <c r="AD6" s="488"/>
      <c r="AE6" s="488"/>
      <c r="AF6" s="488"/>
      <c r="AG6" s="488"/>
      <c r="AH6" s="488"/>
      <c r="AI6" s="488"/>
      <c r="AJ6" s="488"/>
      <c r="AK6" s="488"/>
      <c r="AL6" s="488"/>
    </row>
    <row r="7" spans="1:38" ht="13.9" customHeight="1" thickTop="1">
      <c r="A7" s="356"/>
      <c r="B7" s="356"/>
      <c r="C7" s="357"/>
      <c r="D7" s="947"/>
      <c r="E7" s="924"/>
      <c r="F7" s="924"/>
      <c r="G7" s="924"/>
      <c r="H7" s="924"/>
      <c r="I7" s="924"/>
      <c r="J7" s="924"/>
      <c r="K7" s="924"/>
      <c r="L7" s="933"/>
      <c r="M7" s="933"/>
      <c r="N7" s="924"/>
      <c r="O7" s="372"/>
      <c r="P7" s="924"/>
      <c r="Q7" s="372"/>
      <c r="R7" s="924"/>
      <c r="S7" s="372"/>
      <c r="T7" s="924"/>
      <c r="U7" s="372"/>
      <c r="V7" s="924"/>
      <c r="W7" s="372"/>
      <c r="X7" s="924"/>
      <c r="Y7" s="372"/>
      <c r="Z7" s="914"/>
    </row>
    <row r="8" spans="1:38" s="417" customFormat="1" ht="15.95" customHeight="1">
      <c r="A8" s="417" t="s">
        <v>423</v>
      </c>
      <c r="C8" s="449"/>
      <c r="D8" s="948"/>
      <c r="E8" s="929"/>
      <c r="F8" s="929"/>
      <c r="G8" s="929"/>
      <c r="H8" s="929"/>
      <c r="I8" s="929"/>
      <c r="J8" s="929"/>
      <c r="K8" s="929"/>
      <c r="L8" s="934"/>
      <c r="M8" s="934"/>
      <c r="N8" s="929"/>
      <c r="O8" s="453"/>
      <c r="P8" s="929"/>
      <c r="Q8" s="453"/>
      <c r="R8" s="915" t="s">
        <v>58</v>
      </c>
      <c r="S8" s="453"/>
      <c r="T8" s="915" t="s">
        <v>58</v>
      </c>
      <c r="U8" s="453"/>
      <c r="V8" s="915" t="s">
        <v>58</v>
      </c>
      <c r="W8" s="453"/>
      <c r="X8" s="915" t="s">
        <v>58</v>
      </c>
      <c r="Y8" s="453"/>
      <c r="Z8" s="915"/>
      <c r="AA8" s="454"/>
      <c r="AB8" s="454"/>
      <c r="AC8" s="454"/>
      <c r="AD8" s="454"/>
      <c r="AE8" s="454"/>
      <c r="AF8" s="454"/>
      <c r="AG8" s="454"/>
      <c r="AH8" s="454"/>
      <c r="AI8" s="454"/>
      <c r="AJ8" s="454"/>
      <c r="AK8" s="454"/>
      <c r="AL8" s="454"/>
    </row>
    <row r="9" spans="1:38" s="417" customFormat="1" ht="20.100000000000001" customHeight="1">
      <c r="A9" s="417" t="s">
        <v>779</v>
      </c>
      <c r="C9" s="417" t="s">
        <v>424</v>
      </c>
      <c r="D9" s="565">
        <f>ROUND('001 General Fund'!K23+'001 General Fund'!K15,2)</f>
        <v>50418790</v>
      </c>
      <c r="E9" s="565">
        <f>ROUND('CRA-Beach'!L15+'CRA-NW Progresso'!L16+'CRA-Central City'!L14,2)</f>
        <v>-24714</v>
      </c>
      <c r="F9" s="565">
        <f>ROUND('Sunrise Key'!L14+'Sunrise Key'!L10,2)</f>
        <v>99940.17</v>
      </c>
      <c r="G9" s="565">
        <f>ROUND('Beach Bus Improv District'!L13+'Beach Bus Improv District'!L9,2)</f>
        <v>399899</v>
      </c>
      <c r="H9" s="565">
        <f>ROUND('Housing and Community Dev'!L15+'Housing and Community Dev'!L11,2)</f>
        <v>38123</v>
      </c>
      <c r="I9" s="458" t="e">
        <f>ROUND(#REF!+#REF!+#REF!+#REF!+#REF!+#REF!,2)</f>
        <v>#REF!</v>
      </c>
      <c r="J9" s="458">
        <v>0</v>
      </c>
      <c r="K9" s="458">
        <f>ROUND(Police!L11+'Drug Enforcement Agency'!L11+Police!L16+'Drug Enforcement Agency'!L16,2)</f>
        <v>1679720</v>
      </c>
      <c r="L9" s="458" t="e">
        <f>ROUND(#REF!+#REF!+#REF!+#REF!+#REF!+#REF!+#REF!+#REF!+#REF!+#REF!,2)</f>
        <v>#REF!</v>
      </c>
      <c r="M9" s="458">
        <f>ROUND(Cemtery!L13+Cemtery!L9,2)</f>
        <v>23929746.120000001</v>
      </c>
      <c r="N9" s="458">
        <f>ROUND('Arts Science District Garage'!L14+Cemtery!L9,2)</f>
        <v>0</v>
      </c>
      <c r="O9" s="458"/>
      <c r="P9" s="458">
        <f>ROUND(Sanitation!L16+Sanitation!L12,2)</f>
        <v>7903598.3099999996</v>
      </c>
      <c r="Q9" s="458"/>
      <c r="R9" s="458">
        <f>ROUND('Water and Sewer'!L15+'Central Region'!L15+'Water and Sewer'!L11+'Central Region'!L11,2)</f>
        <v>56639343</v>
      </c>
      <c r="S9" s="458"/>
      <c r="T9" s="458">
        <f>ROUND(Stormwater!L16+Stormwater!L12,2)</f>
        <v>12213219</v>
      </c>
      <c r="U9" s="458"/>
      <c r="V9" s="458">
        <f>ROUND('Parking System'!L16+'Parking System'!L12,2)</f>
        <v>13737004</v>
      </c>
      <c r="W9" s="458"/>
      <c r="X9" s="458">
        <f>ROUND(Airport!L16+Airport!L12,2)</f>
        <v>13880782</v>
      </c>
      <c r="Y9" s="461"/>
      <c r="Z9" s="461" t="e">
        <f>SUM(D9:X9)</f>
        <v>#REF!</v>
      </c>
      <c r="AA9" s="465"/>
      <c r="AB9" s="454"/>
      <c r="AC9" s="454"/>
      <c r="AD9" s="454"/>
      <c r="AE9" s="454"/>
      <c r="AF9" s="454"/>
      <c r="AG9" s="454"/>
      <c r="AH9" s="454"/>
      <c r="AI9" s="454"/>
      <c r="AJ9" s="454"/>
      <c r="AK9" s="454"/>
      <c r="AL9" s="454"/>
    </row>
    <row r="10" spans="1:38" s="417" customFormat="1" ht="20.100000000000001" customHeight="1">
      <c r="A10" s="417" t="s">
        <v>780</v>
      </c>
      <c r="D10" s="565">
        <f>ROUND('001 General Fund'!K22,2)</f>
        <v>833479</v>
      </c>
      <c r="E10" s="565">
        <v>0</v>
      </c>
      <c r="F10" s="565">
        <v>0</v>
      </c>
      <c r="G10" s="565">
        <v>0</v>
      </c>
      <c r="H10" s="565">
        <v>0</v>
      </c>
      <c r="I10" s="458">
        <v>0</v>
      </c>
      <c r="J10" s="458">
        <v>0</v>
      </c>
      <c r="K10" s="458">
        <v>0</v>
      </c>
      <c r="L10" s="458">
        <v>0</v>
      </c>
      <c r="M10" s="458">
        <v>0</v>
      </c>
      <c r="N10" s="458">
        <v>0</v>
      </c>
      <c r="O10" s="458"/>
      <c r="P10" s="458">
        <v>0</v>
      </c>
      <c r="Q10" s="458"/>
      <c r="R10" s="458">
        <v>0</v>
      </c>
      <c r="S10" s="458"/>
      <c r="T10" s="458">
        <v>0</v>
      </c>
      <c r="U10" s="458"/>
      <c r="V10" s="458">
        <v>0</v>
      </c>
      <c r="W10" s="458"/>
      <c r="X10" s="458">
        <v>0</v>
      </c>
      <c r="Y10" s="461"/>
      <c r="Z10" s="461">
        <f>SUM(D10:Y10)</f>
        <v>833479</v>
      </c>
      <c r="AA10" s="465"/>
      <c r="AB10" s="454"/>
      <c r="AC10" s="454"/>
      <c r="AD10" s="454"/>
      <c r="AE10" s="454"/>
      <c r="AF10" s="454"/>
      <c r="AG10" s="454"/>
      <c r="AH10" s="454"/>
      <c r="AI10" s="454"/>
      <c r="AJ10" s="454"/>
      <c r="AK10" s="454"/>
      <c r="AL10" s="454"/>
    </row>
    <row r="11" spans="1:38" s="417" customFormat="1" ht="18.75">
      <c r="A11" s="417" t="s">
        <v>688</v>
      </c>
      <c r="C11" s="417" t="s">
        <v>424</v>
      </c>
      <c r="D11" s="949">
        <f>SUM(D9:D10)</f>
        <v>51252269</v>
      </c>
      <c r="E11" s="917">
        <f t="shared" ref="E11:L11" si="0">SUM(E9:E9)</f>
        <v>-24714</v>
      </c>
      <c r="F11" s="917">
        <f t="shared" si="0"/>
        <v>99940.17</v>
      </c>
      <c r="G11" s="917">
        <f t="shared" si="0"/>
        <v>399899</v>
      </c>
      <c r="H11" s="917">
        <f t="shared" si="0"/>
        <v>38123</v>
      </c>
      <c r="I11" s="463" t="e">
        <f t="shared" si="0"/>
        <v>#REF!</v>
      </c>
      <c r="J11" s="463">
        <f t="shared" si="0"/>
        <v>0</v>
      </c>
      <c r="K11" s="463">
        <f t="shared" si="0"/>
        <v>1679720</v>
      </c>
      <c r="L11" s="463" t="e">
        <f t="shared" si="0"/>
        <v>#REF!</v>
      </c>
      <c r="M11" s="463">
        <f t="shared" ref="M11:Z11" si="1">SUM(M9:M10)</f>
        <v>23929746.120000001</v>
      </c>
      <c r="N11" s="463">
        <f t="shared" si="1"/>
        <v>0</v>
      </c>
      <c r="O11" s="463">
        <f t="shared" si="1"/>
        <v>0</v>
      </c>
      <c r="P11" s="463">
        <f t="shared" si="1"/>
        <v>7903598.3099999996</v>
      </c>
      <c r="Q11" s="463">
        <f t="shared" si="1"/>
        <v>0</v>
      </c>
      <c r="R11" s="463">
        <f t="shared" si="1"/>
        <v>56639343</v>
      </c>
      <c r="S11" s="463">
        <f t="shared" si="1"/>
        <v>0</v>
      </c>
      <c r="T11" s="463">
        <f t="shared" si="1"/>
        <v>12213219</v>
      </c>
      <c r="U11" s="463">
        <f t="shared" si="1"/>
        <v>0</v>
      </c>
      <c r="V11" s="463">
        <f t="shared" si="1"/>
        <v>13737004</v>
      </c>
      <c r="W11" s="463">
        <f t="shared" si="1"/>
        <v>0</v>
      </c>
      <c r="X11" s="463">
        <f t="shared" si="1"/>
        <v>13880782</v>
      </c>
      <c r="Y11" s="463">
        <f t="shared" si="1"/>
        <v>0</v>
      </c>
      <c r="Z11" s="463" t="e">
        <f t="shared" si="1"/>
        <v>#REF!</v>
      </c>
      <c r="AA11" s="465"/>
      <c r="AB11" s="454"/>
      <c r="AC11" s="454"/>
      <c r="AD11" s="454"/>
      <c r="AE11" s="454"/>
      <c r="AF11" s="454"/>
      <c r="AG11" s="454"/>
      <c r="AH11" s="454"/>
      <c r="AI11" s="454"/>
      <c r="AJ11" s="454"/>
      <c r="AK11" s="454"/>
      <c r="AL11" s="454"/>
    </row>
    <row r="12" spans="1:38" s="417" customFormat="1" ht="12" customHeight="1">
      <c r="D12" s="950"/>
      <c r="E12" s="925"/>
      <c r="F12" s="925"/>
      <c r="G12" s="925"/>
      <c r="H12" s="925"/>
      <c r="I12" s="460"/>
      <c r="J12" s="460"/>
      <c r="K12" s="460"/>
      <c r="L12" s="458"/>
      <c r="M12" s="458"/>
      <c r="N12" s="460"/>
      <c r="O12" s="461"/>
      <c r="P12" s="460"/>
      <c r="Q12" s="458"/>
      <c r="R12" s="460"/>
      <c r="S12" s="458"/>
      <c r="T12" s="460"/>
      <c r="U12" s="458"/>
      <c r="V12" s="460"/>
      <c r="W12" s="458"/>
      <c r="X12" s="460"/>
      <c r="Y12" s="461"/>
      <c r="Z12" s="467"/>
      <c r="AA12" s="465"/>
      <c r="AB12" s="454"/>
      <c r="AC12" s="454"/>
      <c r="AD12" s="454"/>
      <c r="AE12" s="454"/>
      <c r="AF12" s="454"/>
      <c r="AG12" s="454"/>
      <c r="AH12" s="454"/>
      <c r="AI12" s="454"/>
      <c r="AJ12" s="454"/>
      <c r="AK12" s="454"/>
      <c r="AL12" s="454"/>
    </row>
    <row r="13" spans="1:38" s="454" customFormat="1" ht="15.75" customHeight="1">
      <c r="A13" s="454" t="s">
        <v>426</v>
      </c>
      <c r="D13" s="925"/>
      <c r="E13" s="925"/>
      <c r="F13" s="925"/>
      <c r="G13" s="925"/>
      <c r="H13" s="925"/>
      <c r="I13" s="460"/>
      <c r="J13" s="460"/>
      <c r="K13" s="460"/>
      <c r="L13" s="458"/>
      <c r="M13" s="458"/>
      <c r="N13" s="460"/>
      <c r="O13" s="461"/>
      <c r="P13" s="460"/>
      <c r="Q13" s="458"/>
      <c r="R13" s="460"/>
      <c r="S13" s="458"/>
      <c r="T13" s="460"/>
      <c r="U13" s="458"/>
      <c r="V13" s="460"/>
      <c r="W13" s="458"/>
      <c r="X13" s="460"/>
      <c r="Y13" s="461"/>
      <c r="Z13" s="467"/>
      <c r="AA13" s="465"/>
    </row>
    <row r="14" spans="1:38" s="454" customFormat="1" ht="16.5" customHeight="1">
      <c r="A14" s="454" t="s">
        <v>584</v>
      </c>
      <c r="B14" s="700" t="s">
        <v>585</v>
      </c>
      <c r="D14" s="565"/>
      <c r="E14" s="565"/>
      <c r="F14" s="565"/>
      <c r="G14" s="565"/>
      <c r="H14" s="565"/>
      <c r="I14" s="458"/>
      <c r="J14" s="458"/>
      <c r="K14" s="458"/>
      <c r="L14" s="458"/>
      <c r="M14" s="458"/>
      <c r="N14" s="458"/>
      <c r="O14" s="461"/>
      <c r="P14" s="458"/>
      <c r="Q14" s="458"/>
      <c r="R14" s="458"/>
      <c r="S14" s="458"/>
      <c r="T14" s="458"/>
      <c r="U14" s="458"/>
      <c r="V14" s="458"/>
      <c r="W14" s="458"/>
      <c r="X14" s="458"/>
      <c r="Y14" s="461"/>
      <c r="Z14" s="461"/>
      <c r="AA14" s="465"/>
    </row>
    <row r="15" spans="1:38" s="454" customFormat="1" ht="20.100000000000001" customHeight="1">
      <c r="A15" s="454" t="s">
        <v>582</v>
      </c>
      <c r="B15" s="468">
        <v>4.1193</v>
      </c>
      <c r="D15" s="925">
        <f>ROUND('[1]GF Resources'!$G$7,2)</f>
        <v>1107945</v>
      </c>
      <c r="E15" s="925">
        <v>0</v>
      </c>
      <c r="F15" s="925">
        <v>0</v>
      </c>
      <c r="G15" s="925">
        <v>0</v>
      </c>
      <c r="H15" s="925">
        <v>0</v>
      </c>
      <c r="I15" s="460">
        <v>0</v>
      </c>
      <c r="J15" s="460">
        <v>0</v>
      </c>
      <c r="K15" s="460">
        <v>0</v>
      </c>
      <c r="L15" s="460" t="e">
        <f>ROUND(#REF!+#REF!+#REF!,2)</f>
        <v>#REF!</v>
      </c>
      <c r="M15" s="460">
        <v>0</v>
      </c>
      <c r="N15" s="460">
        <v>0</v>
      </c>
      <c r="O15" s="461"/>
      <c r="P15" s="460">
        <v>0</v>
      </c>
      <c r="Q15" s="458"/>
      <c r="R15" s="458">
        <v>0</v>
      </c>
      <c r="S15" s="458"/>
      <c r="T15" s="458">
        <v>0</v>
      </c>
      <c r="U15" s="458"/>
      <c r="V15" s="458">
        <v>0</v>
      </c>
      <c r="W15" s="458"/>
      <c r="X15" s="458">
        <v>0</v>
      </c>
      <c r="Y15" s="461"/>
      <c r="Z15" s="461" t="e">
        <f t="shared" ref="Z15:Z27" si="2">SUM(D15:X15)</f>
        <v>#REF!</v>
      </c>
      <c r="AA15" s="465"/>
    </row>
    <row r="16" spans="1:38" s="454" customFormat="1" ht="20.100000000000001" hidden="1" customHeight="1">
      <c r="A16" s="454" t="s">
        <v>428</v>
      </c>
      <c r="B16" s="468">
        <v>0.1125</v>
      </c>
      <c r="D16" s="925"/>
      <c r="E16" s="925">
        <v>0</v>
      </c>
      <c r="F16" s="925"/>
      <c r="G16" s="925">
        <v>0</v>
      </c>
      <c r="H16" s="925">
        <v>0</v>
      </c>
      <c r="I16" s="460">
        <v>0</v>
      </c>
      <c r="J16" s="460"/>
      <c r="K16" s="460"/>
      <c r="L16" s="460">
        <v>0</v>
      </c>
      <c r="M16" s="460">
        <v>0</v>
      </c>
      <c r="N16" s="460">
        <v>0</v>
      </c>
      <c r="O16" s="461"/>
      <c r="P16" s="460">
        <v>0</v>
      </c>
      <c r="Q16" s="458"/>
      <c r="R16" s="458">
        <v>0</v>
      </c>
      <c r="S16" s="458"/>
      <c r="T16" s="458">
        <v>0</v>
      </c>
      <c r="U16" s="458"/>
      <c r="V16" s="458">
        <v>0</v>
      </c>
      <c r="W16" s="458"/>
      <c r="X16" s="458">
        <v>0</v>
      </c>
      <c r="Y16" s="461"/>
      <c r="Z16" s="461">
        <f t="shared" si="2"/>
        <v>0</v>
      </c>
      <c r="AA16" s="465"/>
    </row>
    <row r="17" spans="1:27" s="454" customFormat="1" ht="20.100000000000001" hidden="1" customHeight="1">
      <c r="A17" s="454" t="s">
        <v>429</v>
      </c>
      <c r="B17" s="576">
        <v>5.7000000000000002E-2</v>
      </c>
      <c r="D17" s="925"/>
      <c r="E17" s="925">
        <v>0</v>
      </c>
      <c r="F17" s="925"/>
      <c r="G17" s="925">
        <v>0</v>
      </c>
      <c r="H17" s="925">
        <v>0</v>
      </c>
      <c r="I17" s="460">
        <v>0</v>
      </c>
      <c r="J17" s="460"/>
      <c r="K17" s="460"/>
      <c r="L17" s="460">
        <v>0</v>
      </c>
      <c r="M17" s="460">
        <v>0</v>
      </c>
      <c r="N17" s="460">
        <v>0</v>
      </c>
      <c r="O17" s="461"/>
      <c r="P17" s="460">
        <v>0</v>
      </c>
      <c r="Q17" s="458"/>
      <c r="R17" s="460">
        <v>0</v>
      </c>
      <c r="S17" s="458"/>
      <c r="T17" s="460">
        <v>0</v>
      </c>
      <c r="U17" s="458"/>
      <c r="V17" s="460">
        <v>0</v>
      </c>
      <c r="W17" s="458"/>
      <c r="X17" s="460">
        <v>0</v>
      </c>
      <c r="Y17" s="461"/>
      <c r="Z17" s="461">
        <f t="shared" si="2"/>
        <v>0</v>
      </c>
      <c r="AA17" s="465"/>
    </row>
    <row r="18" spans="1:27" s="454" customFormat="1" ht="20.100000000000001" hidden="1" customHeight="1">
      <c r="A18" s="454" t="s">
        <v>430</v>
      </c>
      <c r="B18" s="468">
        <v>4.9799999999999997E-2</v>
      </c>
      <c r="D18" s="925"/>
      <c r="E18" s="925">
        <v>0</v>
      </c>
      <c r="F18" s="925"/>
      <c r="G18" s="925">
        <v>0</v>
      </c>
      <c r="H18" s="925">
        <v>0</v>
      </c>
      <c r="I18" s="460">
        <v>0</v>
      </c>
      <c r="J18" s="460"/>
      <c r="K18" s="460"/>
      <c r="L18" s="460">
        <v>0</v>
      </c>
      <c r="M18" s="460">
        <v>0</v>
      </c>
      <c r="N18" s="460">
        <v>0</v>
      </c>
      <c r="O18" s="461"/>
      <c r="P18" s="460">
        <v>0</v>
      </c>
      <c r="Q18" s="458"/>
      <c r="R18" s="460">
        <v>0</v>
      </c>
      <c r="S18" s="458"/>
      <c r="T18" s="460">
        <v>0</v>
      </c>
      <c r="U18" s="458"/>
      <c r="V18" s="460">
        <v>0</v>
      </c>
      <c r="W18" s="458"/>
      <c r="X18" s="460">
        <v>0</v>
      </c>
      <c r="Y18" s="461"/>
      <c r="Z18" s="461">
        <f t="shared" si="2"/>
        <v>0</v>
      </c>
      <c r="AA18" s="465"/>
    </row>
    <row r="19" spans="1:27" s="454" customFormat="1" ht="20.100000000000001" customHeight="1">
      <c r="A19" s="454" t="s">
        <v>581</v>
      </c>
      <c r="B19" s="576">
        <v>1</v>
      </c>
      <c r="D19" s="916">
        <v>0</v>
      </c>
      <c r="E19" s="925">
        <v>0</v>
      </c>
      <c r="F19" s="565">
        <f>ROUND('Sunrise Key'!L8,2)</f>
        <v>80098.3</v>
      </c>
      <c r="G19" s="925">
        <v>0</v>
      </c>
      <c r="H19" s="925">
        <v>0</v>
      </c>
      <c r="I19" s="460">
        <v>0</v>
      </c>
      <c r="J19" s="460">
        <v>0</v>
      </c>
      <c r="K19" s="460">
        <v>0</v>
      </c>
      <c r="L19" s="460">
        <v>0</v>
      </c>
      <c r="M19" s="460">
        <v>0</v>
      </c>
      <c r="N19" s="460">
        <v>0</v>
      </c>
      <c r="O19" s="461"/>
      <c r="P19" s="460">
        <v>0</v>
      </c>
      <c r="Q19" s="458"/>
      <c r="R19" s="460">
        <v>0</v>
      </c>
      <c r="S19" s="458"/>
      <c r="T19" s="460">
        <v>0</v>
      </c>
      <c r="U19" s="458"/>
      <c r="V19" s="460">
        <v>0</v>
      </c>
      <c r="W19" s="458"/>
      <c r="X19" s="460">
        <v>0</v>
      </c>
      <c r="Y19" s="461"/>
      <c r="Z19" s="461">
        <f t="shared" si="2"/>
        <v>80098.3</v>
      </c>
      <c r="AA19" s="465"/>
    </row>
    <row r="20" spans="1:27" s="454" customFormat="1" ht="20.100000000000001" customHeight="1">
      <c r="A20" s="454" t="s">
        <v>580</v>
      </c>
      <c r="B20" s="684"/>
      <c r="D20" s="925">
        <f>ROUND('[1]GF Resources'!$G$14,2)</f>
        <v>4882276</v>
      </c>
      <c r="E20" s="925">
        <v>0</v>
      </c>
      <c r="F20" s="925">
        <v>0</v>
      </c>
      <c r="G20" s="925">
        <v>0</v>
      </c>
      <c r="H20" s="925">
        <v>0</v>
      </c>
      <c r="I20" s="460">
        <v>0</v>
      </c>
      <c r="J20" s="460">
        <v>0</v>
      </c>
      <c r="K20" s="460">
        <v>0</v>
      </c>
      <c r="L20" s="460">
        <v>0</v>
      </c>
      <c r="M20" s="460">
        <v>0</v>
      </c>
      <c r="N20" s="460">
        <v>0</v>
      </c>
      <c r="O20" s="461"/>
      <c r="P20" s="460">
        <v>0</v>
      </c>
      <c r="Q20" s="458"/>
      <c r="R20" s="460">
        <v>0</v>
      </c>
      <c r="S20" s="458"/>
      <c r="T20" s="460">
        <v>0</v>
      </c>
      <c r="U20" s="458"/>
      <c r="V20" s="460">
        <v>0</v>
      </c>
      <c r="W20" s="458"/>
      <c r="X20" s="460">
        <v>0</v>
      </c>
      <c r="Y20" s="461"/>
      <c r="Z20" s="461">
        <f t="shared" si="2"/>
        <v>4882276</v>
      </c>
      <c r="AA20" s="465"/>
    </row>
    <row r="21" spans="1:27" s="454" customFormat="1" ht="20.100000000000001" customHeight="1">
      <c r="A21" s="454" t="s">
        <v>579</v>
      </c>
      <c r="D21" s="925">
        <f>ROUND('[1]GF Resources'!$G$15,2)</f>
        <v>-1600000</v>
      </c>
      <c r="E21" s="925">
        <v>0</v>
      </c>
      <c r="F21" s="925">
        <v>0</v>
      </c>
      <c r="G21" s="925">
        <v>0</v>
      </c>
      <c r="H21" s="925">
        <v>0</v>
      </c>
      <c r="I21" s="460">
        <v>0</v>
      </c>
      <c r="J21" s="460">
        <v>0</v>
      </c>
      <c r="K21" s="460">
        <v>0</v>
      </c>
      <c r="L21" s="460">
        <v>0</v>
      </c>
      <c r="M21" s="460">
        <v>0</v>
      </c>
      <c r="N21" s="460">
        <v>0</v>
      </c>
      <c r="O21" s="461"/>
      <c r="P21" s="460">
        <v>0</v>
      </c>
      <c r="Q21" s="458"/>
      <c r="R21" s="458">
        <v>0</v>
      </c>
      <c r="S21" s="458"/>
      <c r="T21" s="458">
        <v>0</v>
      </c>
      <c r="U21" s="458"/>
      <c r="V21" s="458">
        <v>0</v>
      </c>
      <c r="W21" s="458"/>
      <c r="X21" s="458">
        <v>0</v>
      </c>
      <c r="Y21" s="461"/>
      <c r="Z21" s="461">
        <f t="shared" si="2"/>
        <v>-1600000</v>
      </c>
      <c r="AA21" s="465"/>
    </row>
    <row r="22" spans="1:27" s="454" customFormat="1" ht="20.100000000000001" customHeight="1">
      <c r="A22" s="454" t="s">
        <v>578</v>
      </c>
      <c r="D22" s="925">
        <f>ROUND('[1]GF Resources'!$G$16,2)</f>
        <v>551832</v>
      </c>
      <c r="E22" s="925">
        <v>0</v>
      </c>
      <c r="F22" s="925">
        <v>0</v>
      </c>
      <c r="G22" s="925">
        <v>0</v>
      </c>
      <c r="H22" s="925">
        <v>0</v>
      </c>
      <c r="I22" s="460">
        <v>0</v>
      </c>
      <c r="J22" s="460">
        <v>0</v>
      </c>
      <c r="K22" s="460">
        <v>0</v>
      </c>
      <c r="L22" s="460">
        <v>0</v>
      </c>
      <c r="M22" s="460">
        <v>0</v>
      </c>
      <c r="N22" s="460">
        <v>0</v>
      </c>
      <c r="O22" s="461"/>
      <c r="P22" s="460">
        <v>0</v>
      </c>
      <c r="Q22" s="458"/>
      <c r="R22" s="458">
        <v>0</v>
      </c>
      <c r="S22" s="458"/>
      <c r="T22" s="458">
        <v>0</v>
      </c>
      <c r="U22" s="458"/>
      <c r="V22" s="458">
        <v>0</v>
      </c>
      <c r="W22" s="458"/>
      <c r="X22" s="458">
        <v>0</v>
      </c>
      <c r="Y22" s="461"/>
      <c r="Z22" s="461">
        <f t="shared" si="2"/>
        <v>551832</v>
      </c>
      <c r="AA22" s="465"/>
    </row>
    <row r="23" spans="1:27" s="454" customFormat="1" ht="20.100000000000001" customHeight="1">
      <c r="A23" s="454" t="s">
        <v>435</v>
      </c>
      <c r="D23" s="925">
        <f>ROUND('[1]GF Resources'!$G$22,2)</f>
        <v>0</v>
      </c>
      <c r="E23" s="925">
        <v>0</v>
      </c>
      <c r="F23" s="925">
        <v>0</v>
      </c>
      <c r="G23" s="925">
        <v>0</v>
      </c>
      <c r="H23" s="925">
        <v>0</v>
      </c>
      <c r="I23" s="460" t="e">
        <f>ROUND(#REF!+#REF!+#REF!,2)</f>
        <v>#REF!</v>
      </c>
      <c r="J23" s="460">
        <v>0</v>
      </c>
      <c r="K23" s="460">
        <v>0</v>
      </c>
      <c r="L23" s="460">
        <v>0</v>
      </c>
      <c r="M23" s="460">
        <v>0</v>
      </c>
      <c r="N23" s="460">
        <v>0</v>
      </c>
      <c r="O23" s="461"/>
      <c r="P23" s="460">
        <v>0</v>
      </c>
      <c r="Q23" s="458"/>
      <c r="R23" s="458">
        <v>0</v>
      </c>
      <c r="S23" s="458"/>
      <c r="T23" s="458">
        <v>0</v>
      </c>
      <c r="U23" s="458"/>
      <c r="V23" s="458">
        <v>0</v>
      </c>
      <c r="W23" s="458"/>
      <c r="X23" s="458">
        <v>0</v>
      </c>
      <c r="Y23" s="461"/>
      <c r="Z23" s="461" t="e">
        <f t="shared" si="2"/>
        <v>#REF!</v>
      </c>
      <c r="AA23" s="465"/>
    </row>
    <row r="24" spans="1:27" s="454" customFormat="1" ht="20.100000000000001" customHeight="1">
      <c r="A24" s="454" t="s">
        <v>408</v>
      </c>
      <c r="D24" s="925">
        <f>ROUND('[1]GF Resources'!$G$28,2)</f>
        <v>481915</v>
      </c>
      <c r="E24" s="565">
        <f>ROUND('CRA-Beach'!L8+'CRA-NW Progresso'!L8,2)</f>
        <v>8187921</v>
      </c>
      <c r="F24" s="925">
        <v>0</v>
      </c>
      <c r="G24" s="925">
        <v>0</v>
      </c>
      <c r="H24" s="565">
        <f>ROUND('Housing and Community Dev'!L8,2)</f>
        <v>9371773</v>
      </c>
      <c r="I24" s="458">
        <v>0</v>
      </c>
      <c r="J24" s="458">
        <v>0</v>
      </c>
      <c r="K24" s="458">
        <v>0</v>
      </c>
      <c r="L24" s="460">
        <v>0</v>
      </c>
      <c r="M24" s="460">
        <v>0</v>
      </c>
      <c r="N24" s="460">
        <v>0</v>
      </c>
      <c r="O24" s="461"/>
      <c r="P24" s="460">
        <v>0</v>
      </c>
      <c r="Q24" s="458"/>
      <c r="R24" s="458">
        <v>0</v>
      </c>
      <c r="S24" s="458"/>
      <c r="T24" s="458">
        <v>0</v>
      </c>
      <c r="U24" s="458"/>
      <c r="V24" s="458">
        <v>0</v>
      </c>
      <c r="W24" s="458"/>
      <c r="X24" s="458">
        <v>0</v>
      </c>
      <c r="Y24" s="461"/>
      <c r="Z24" s="461">
        <f t="shared" si="2"/>
        <v>18041609</v>
      </c>
      <c r="AA24" s="465"/>
    </row>
    <row r="25" spans="1:27" s="454" customFormat="1" ht="20.100000000000001" customHeight="1">
      <c r="A25" s="454" t="s">
        <v>114</v>
      </c>
      <c r="D25" s="925">
        <f>ROUND('[1]GF Resources'!$G$40,2)</f>
        <v>0</v>
      </c>
      <c r="E25" s="925">
        <v>0</v>
      </c>
      <c r="F25" s="925">
        <v>0</v>
      </c>
      <c r="G25" s="925">
        <v>0</v>
      </c>
      <c r="H25" s="925">
        <v>0</v>
      </c>
      <c r="I25" s="460" t="e">
        <f>ROUND(#REF!,2)</f>
        <v>#REF!</v>
      </c>
      <c r="J25" s="460">
        <v>0</v>
      </c>
      <c r="K25" s="460">
        <v>0</v>
      </c>
      <c r="L25" s="460">
        <v>0</v>
      </c>
      <c r="M25" s="460">
        <v>0</v>
      </c>
      <c r="N25" s="458">
        <f>ROUND('Arts Science District Garage'!L8,2)</f>
        <v>1155994.8400000001</v>
      </c>
      <c r="O25" s="461"/>
      <c r="P25" s="458">
        <f>ROUND(Sanitation!L9,2)</f>
        <v>15162899</v>
      </c>
      <c r="Q25" s="458"/>
      <c r="R25" s="458">
        <f>ROUND('Water and Sewer'!L8+'Central Region'!L8,2)</f>
        <v>122220191</v>
      </c>
      <c r="S25" s="458"/>
      <c r="T25" s="458">
        <f>ROUND(Stormwater!L8,2)</f>
        <v>0</v>
      </c>
      <c r="U25" s="458"/>
      <c r="V25" s="458">
        <f>ROUND('Parking System'!L8,2)</f>
        <v>11903785</v>
      </c>
      <c r="W25" s="458"/>
      <c r="X25" s="458">
        <f>ROUND(Airport!L9,2)</f>
        <v>3796401.65</v>
      </c>
      <c r="Y25" s="461"/>
      <c r="Z25" s="461" t="e">
        <f t="shared" si="2"/>
        <v>#REF!</v>
      </c>
      <c r="AA25" s="465"/>
    </row>
    <row r="26" spans="1:27" s="454" customFormat="1" ht="20.100000000000001" customHeight="1">
      <c r="A26" s="454" t="s">
        <v>436</v>
      </c>
      <c r="D26" s="925">
        <f>ROUND('[1]GF Resources'!$G$45,2)</f>
        <v>0</v>
      </c>
      <c r="E26" s="925">
        <v>0</v>
      </c>
      <c r="F26" s="925">
        <v>0</v>
      </c>
      <c r="G26" s="925">
        <v>0</v>
      </c>
      <c r="H26" s="925">
        <v>0</v>
      </c>
      <c r="I26" s="460">
        <v>0</v>
      </c>
      <c r="J26" s="460">
        <f>ROUND('School Crossing Guard'!L8,2)</f>
        <v>872600</v>
      </c>
      <c r="K26" s="460">
        <v>0</v>
      </c>
      <c r="L26" s="460">
        <v>0</v>
      </c>
      <c r="M26" s="460">
        <v>0</v>
      </c>
      <c r="N26" s="460">
        <v>0</v>
      </c>
      <c r="O26" s="461"/>
      <c r="P26" s="460">
        <v>0</v>
      </c>
      <c r="Q26" s="458"/>
      <c r="R26" s="458">
        <v>0</v>
      </c>
      <c r="S26" s="458"/>
      <c r="T26" s="458">
        <v>0</v>
      </c>
      <c r="U26" s="458"/>
      <c r="V26" s="458">
        <f>ROUND('Parking System'!L9,2)</f>
        <v>3038435</v>
      </c>
      <c r="W26" s="458"/>
      <c r="X26" s="458">
        <v>0</v>
      </c>
      <c r="Y26" s="461"/>
      <c r="Z26" s="461">
        <f t="shared" si="2"/>
        <v>3911035</v>
      </c>
      <c r="AA26" s="465"/>
    </row>
    <row r="27" spans="1:27" s="454" customFormat="1" ht="20.100000000000001" customHeight="1">
      <c r="A27" s="454" t="s">
        <v>437</v>
      </c>
      <c r="D27" s="925">
        <f>ROUND('[1]GF Resources'!$G$54,2)</f>
        <v>0</v>
      </c>
      <c r="E27" s="565">
        <f>ROUND('CRA-Beach'!L9+'CRA-NW Progresso'!L10,2)</f>
        <v>191468</v>
      </c>
      <c r="F27" s="565">
        <f>ROUND('Sunrise Key'!L9,2)</f>
        <v>210</v>
      </c>
      <c r="G27" s="565">
        <f>ROUND('Beach Bus Improv District'!L8,2)</f>
        <v>704082</v>
      </c>
      <c r="H27" s="925">
        <v>0</v>
      </c>
      <c r="I27" s="460" t="e">
        <f>ROUND(#REF!+#REF!+#REF!,2)</f>
        <v>#REF!</v>
      </c>
      <c r="J27" s="460">
        <v>0</v>
      </c>
      <c r="K27" s="460">
        <v>0</v>
      </c>
      <c r="L27" s="460">
        <v>0</v>
      </c>
      <c r="M27" s="458">
        <f>ROUND(Cemtery!L8,2)</f>
        <v>2200000</v>
      </c>
      <c r="N27" s="458">
        <v>0</v>
      </c>
      <c r="O27" s="461"/>
      <c r="P27" s="460" t="e">
        <f>ROUND(Sanitation!#REF!,2)</f>
        <v>#REF!</v>
      </c>
      <c r="Q27" s="458"/>
      <c r="R27" s="458">
        <f>ROUND('Water and Sewer'!L9+'Central Region'!L9,2)</f>
        <v>6500315</v>
      </c>
      <c r="S27" s="458"/>
      <c r="T27" s="458">
        <f>ROUND(Stormwater!L10,2)</f>
        <v>170400</v>
      </c>
      <c r="U27" s="458"/>
      <c r="V27" s="458">
        <f>ROUND('Parking System'!L10,2)</f>
        <v>382891.66</v>
      </c>
      <c r="W27" s="458"/>
      <c r="X27" s="458">
        <f>ROUND(Airport!L10,2)</f>
        <v>3899193.27</v>
      </c>
      <c r="Y27" s="461"/>
      <c r="Z27" s="461" t="e">
        <f t="shared" si="2"/>
        <v>#REF!</v>
      </c>
      <c r="AA27" s="465"/>
    </row>
    <row r="28" spans="1:27" s="454" customFormat="1" ht="20.100000000000001" hidden="1" customHeight="1">
      <c r="A28" s="454" t="s">
        <v>58</v>
      </c>
      <c r="B28" s="454" t="s">
        <v>58</v>
      </c>
      <c r="C28" s="454" t="s">
        <v>58</v>
      </c>
      <c r="D28" s="925" t="s">
        <v>58</v>
      </c>
      <c r="E28" s="565" t="s">
        <v>58</v>
      </c>
      <c r="F28" s="565" t="s">
        <v>58</v>
      </c>
      <c r="G28" s="565" t="s">
        <v>58</v>
      </c>
      <c r="H28" s="925" t="s">
        <v>58</v>
      </c>
      <c r="I28" s="460" t="s">
        <v>58</v>
      </c>
      <c r="J28" s="460" t="s">
        <v>58</v>
      </c>
      <c r="K28" s="460" t="s">
        <v>58</v>
      </c>
      <c r="L28" s="458" t="s">
        <v>58</v>
      </c>
      <c r="M28" s="463" t="s">
        <v>58</v>
      </c>
      <c r="N28" s="463" t="s">
        <v>58</v>
      </c>
      <c r="O28" s="463">
        <f t="shared" ref="O28:Y28" si="3">SUM(O14:O27)</f>
        <v>0</v>
      </c>
      <c r="P28" s="463" t="s">
        <v>58</v>
      </c>
      <c r="Q28" s="463">
        <f t="shared" si="3"/>
        <v>0</v>
      </c>
      <c r="R28" s="463" t="s">
        <v>58</v>
      </c>
      <c r="S28" s="463">
        <f t="shared" si="3"/>
        <v>0</v>
      </c>
      <c r="T28" s="463" t="s">
        <v>58</v>
      </c>
      <c r="U28" s="463">
        <f t="shared" si="3"/>
        <v>0</v>
      </c>
      <c r="V28" s="463" t="s">
        <v>58</v>
      </c>
      <c r="W28" s="463">
        <f t="shared" si="3"/>
        <v>0</v>
      </c>
      <c r="X28" s="463" t="s">
        <v>58</v>
      </c>
      <c r="Y28" s="463">
        <f t="shared" si="3"/>
        <v>0</v>
      </c>
      <c r="Z28" s="461" t="s">
        <v>58</v>
      </c>
      <c r="AA28" s="465"/>
    </row>
    <row r="29" spans="1:27" s="454" customFormat="1" ht="20.100000000000001" customHeight="1">
      <c r="A29" s="685" t="s">
        <v>438</v>
      </c>
      <c r="C29" s="454" t="s">
        <v>424</v>
      </c>
      <c r="D29" s="917">
        <f>SUM(D14:D28)</f>
        <v>5423968</v>
      </c>
      <c r="E29" s="917">
        <f t="shared" ref="E29:W29" si="4">SUM(E15:E27)</f>
        <v>8379389</v>
      </c>
      <c r="F29" s="917">
        <f t="shared" si="4"/>
        <v>80308.3</v>
      </c>
      <c r="G29" s="917">
        <f t="shared" si="4"/>
        <v>704082</v>
      </c>
      <c r="H29" s="917">
        <f t="shared" si="4"/>
        <v>9371773</v>
      </c>
      <c r="I29" s="463" t="e">
        <f t="shared" si="4"/>
        <v>#REF!</v>
      </c>
      <c r="J29" s="463">
        <f t="shared" si="4"/>
        <v>872600</v>
      </c>
      <c r="K29" s="463">
        <f t="shared" si="4"/>
        <v>0</v>
      </c>
      <c r="L29" s="463" t="e">
        <f t="shared" si="4"/>
        <v>#REF!</v>
      </c>
      <c r="M29" s="463">
        <f t="shared" si="4"/>
        <v>2200000</v>
      </c>
      <c r="N29" s="463">
        <f t="shared" si="4"/>
        <v>1155994.8400000001</v>
      </c>
      <c r="O29" s="463">
        <f t="shared" si="4"/>
        <v>0</v>
      </c>
      <c r="P29" s="463" t="e">
        <f t="shared" si="4"/>
        <v>#REF!</v>
      </c>
      <c r="Q29" s="463">
        <f t="shared" si="4"/>
        <v>0</v>
      </c>
      <c r="R29" s="463">
        <f t="shared" si="4"/>
        <v>128720506</v>
      </c>
      <c r="S29" s="463">
        <f t="shared" si="4"/>
        <v>0</v>
      </c>
      <c r="T29" s="463">
        <f t="shared" si="4"/>
        <v>170400</v>
      </c>
      <c r="U29" s="463">
        <f t="shared" si="4"/>
        <v>0</v>
      </c>
      <c r="V29" s="463">
        <f t="shared" si="4"/>
        <v>15325111.66</v>
      </c>
      <c r="W29" s="463">
        <f t="shared" si="4"/>
        <v>0</v>
      </c>
      <c r="X29" s="463">
        <f>SUM(X15:X27)</f>
        <v>7695594.9199999999</v>
      </c>
      <c r="Y29" s="463">
        <f>SUM(Y14:Y28)</f>
        <v>0</v>
      </c>
      <c r="Z29" s="464" t="e">
        <f>SUM(Z15:Z27)</f>
        <v>#REF!</v>
      </c>
      <c r="AA29" s="465"/>
    </row>
    <row r="30" spans="1:27" s="454" customFormat="1" ht="15.95" customHeight="1">
      <c r="D30" s="565"/>
      <c r="E30" s="565"/>
      <c r="F30" s="565"/>
      <c r="G30" s="565"/>
      <c r="H30" s="565"/>
      <c r="I30" s="458"/>
      <c r="J30" s="458"/>
      <c r="K30" s="458"/>
      <c r="L30" s="458"/>
      <c r="M30" s="458"/>
      <c r="N30" s="458"/>
      <c r="O30" s="458"/>
      <c r="P30" s="458"/>
      <c r="Q30" s="458"/>
      <c r="R30" s="458"/>
      <c r="S30" s="458"/>
      <c r="T30" s="458"/>
      <c r="U30" s="458"/>
      <c r="V30" s="458"/>
      <c r="W30" s="458"/>
      <c r="X30" s="458"/>
      <c r="Y30" s="458"/>
      <c r="Z30" s="458"/>
      <c r="AA30" s="465"/>
    </row>
    <row r="31" spans="1:27" s="454" customFormat="1" ht="20.100000000000001" customHeight="1">
      <c r="A31" s="454" t="s">
        <v>439</v>
      </c>
      <c r="C31" s="454" t="s">
        <v>424</v>
      </c>
      <c r="D31" s="926">
        <f>ROUND('[1]GF Resources'!$G$59,2)</f>
        <v>0</v>
      </c>
      <c r="E31" s="926">
        <f>'CRA-Beach'!L10+'CRA-NW Progresso'!L11</f>
        <v>4496529</v>
      </c>
      <c r="F31" s="926">
        <v>0</v>
      </c>
      <c r="G31" s="926">
        <v>0</v>
      </c>
      <c r="H31" s="926">
        <v>0</v>
      </c>
      <c r="I31" s="470">
        <v>0</v>
      </c>
      <c r="J31" s="470">
        <v>0</v>
      </c>
      <c r="K31" s="470"/>
      <c r="L31" s="470" t="e">
        <f>#REF!+#REF!+#REF!+#REF!</f>
        <v>#REF!</v>
      </c>
      <c r="M31" s="470">
        <v>0</v>
      </c>
      <c r="N31" s="470">
        <v>0</v>
      </c>
      <c r="O31" s="461"/>
      <c r="P31" s="470">
        <v>0</v>
      </c>
      <c r="Q31" s="458"/>
      <c r="R31" s="470">
        <f>'Water and Sewer'!L10</f>
        <v>0</v>
      </c>
      <c r="S31" s="458"/>
      <c r="T31" s="470">
        <v>0</v>
      </c>
      <c r="U31" s="458"/>
      <c r="V31" s="470">
        <v>0</v>
      </c>
      <c r="W31" s="458"/>
      <c r="X31" s="470">
        <v>0</v>
      </c>
      <c r="Y31" s="958"/>
      <c r="Z31" s="475" t="e">
        <f>SUM(D31:X31)</f>
        <v>#REF!</v>
      </c>
      <c r="AA31" s="465"/>
    </row>
    <row r="32" spans="1:27" s="454" customFormat="1" ht="10.5" customHeight="1">
      <c r="D32" s="565"/>
      <c r="E32" s="565"/>
      <c r="F32" s="565"/>
      <c r="G32" s="565"/>
      <c r="H32" s="565"/>
      <c r="I32" s="458"/>
      <c r="J32" s="458"/>
      <c r="K32" s="458"/>
      <c r="L32" s="458"/>
      <c r="M32" s="458"/>
      <c r="N32" s="458"/>
      <c r="O32" s="461"/>
      <c r="P32" s="458"/>
      <c r="Q32" s="458"/>
      <c r="R32" s="458"/>
      <c r="S32" s="458"/>
      <c r="T32" s="458"/>
      <c r="U32" s="458"/>
      <c r="V32" s="458"/>
      <c r="W32" s="458"/>
      <c r="X32" s="458"/>
      <c r="Y32" s="461"/>
      <c r="Z32" s="461"/>
      <c r="AA32" s="465"/>
    </row>
    <row r="33" spans="1:38" s="454" customFormat="1" ht="21.95" customHeight="1" thickBot="1">
      <c r="A33" s="713" t="s">
        <v>21</v>
      </c>
      <c r="B33" s="714"/>
      <c r="C33" s="454" t="s">
        <v>424</v>
      </c>
      <c r="D33" s="919">
        <f t="shared" ref="D33:Z33" si="5">D11+D29+D31</f>
        <v>56676237</v>
      </c>
      <c r="E33" s="919">
        <f t="shared" si="5"/>
        <v>12851204</v>
      </c>
      <c r="F33" s="919">
        <f t="shared" si="5"/>
        <v>180248.47</v>
      </c>
      <c r="G33" s="919">
        <f t="shared" si="5"/>
        <v>1103981</v>
      </c>
      <c r="H33" s="919">
        <f t="shared" si="5"/>
        <v>9409896</v>
      </c>
      <c r="I33" s="477" t="e">
        <f t="shared" si="5"/>
        <v>#REF!</v>
      </c>
      <c r="J33" s="477">
        <f t="shared" si="5"/>
        <v>872600</v>
      </c>
      <c r="K33" s="477">
        <f t="shared" si="5"/>
        <v>1679720</v>
      </c>
      <c r="L33" s="477" t="e">
        <f t="shared" si="5"/>
        <v>#REF!</v>
      </c>
      <c r="M33" s="477">
        <f t="shared" si="5"/>
        <v>26129746.120000001</v>
      </c>
      <c r="N33" s="477">
        <f t="shared" si="5"/>
        <v>1155994.8400000001</v>
      </c>
      <c r="O33" s="477">
        <f t="shared" si="5"/>
        <v>0</v>
      </c>
      <c r="P33" s="477" t="e">
        <f t="shared" si="5"/>
        <v>#REF!</v>
      </c>
      <c r="Q33" s="477">
        <f t="shared" si="5"/>
        <v>0</v>
      </c>
      <c r="R33" s="477">
        <f t="shared" si="5"/>
        <v>185359849</v>
      </c>
      <c r="S33" s="477">
        <f t="shared" si="5"/>
        <v>0</v>
      </c>
      <c r="T33" s="477">
        <f t="shared" si="5"/>
        <v>12383619</v>
      </c>
      <c r="U33" s="477">
        <f t="shared" si="5"/>
        <v>0</v>
      </c>
      <c r="V33" s="477">
        <f t="shared" si="5"/>
        <v>29062115.66</v>
      </c>
      <c r="W33" s="477">
        <f t="shared" si="5"/>
        <v>0</v>
      </c>
      <c r="X33" s="477">
        <f t="shared" si="5"/>
        <v>21576376.920000002</v>
      </c>
      <c r="Y33" s="477">
        <f t="shared" si="5"/>
        <v>0</v>
      </c>
      <c r="Z33" s="477" t="e">
        <f t="shared" si="5"/>
        <v>#REF!</v>
      </c>
      <c r="AA33" s="465"/>
    </row>
    <row r="34" spans="1:38" s="454" customFormat="1" ht="10.5" customHeight="1" thickTop="1">
      <c r="D34" s="565"/>
      <c r="E34" s="565"/>
      <c r="F34" s="565"/>
      <c r="G34" s="565"/>
      <c r="H34" s="565"/>
      <c r="I34" s="458"/>
      <c r="J34" s="458"/>
      <c r="K34" s="458"/>
      <c r="L34" s="458"/>
      <c r="M34" s="458"/>
      <c r="N34" s="458"/>
      <c r="O34" s="467"/>
      <c r="P34" s="458"/>
      <c r="Q34" s="458"/>
      <c r="R34" s="458"/>
      <c r="S34" s="458"/>
      <c r="T34" s="458"/>
      <c r="U34" s="458"/>
      <c r="V34" s="458"/>
      <c r="W34" s="458"/>
      <c r="X34" s="458"/>
      <c r="Y34" s="461"/>
      <c r="Z34" s="461"/>
      <c r="AA34" s="465"/>
    </row>
    <row r="35" spans="1:38" s="454" customFormat="1" ht="14.1" customHeight="1">
      <c r="A35" s="685"/>
      <c r="D35" s="925" t="s">
        <v>58</v>
      </c>
      <c r="E35" s="565"/>
      <c r="F35" s="565"/>
      <c r="G35" s="565"/>
      <c r="H35" s="565"/>
      <c r="I35" s="458"/>
      <c r="J35" s="458"/>
      <c r="K35" s="458"/>
      <c r="L35" s="458"/>
      <c r="M35" s="458"/>
      <c r="N35" s="458"/>
      <c r="O35" s="461"/>
      <c r="P35" s="458"/>
      <c r="Q35" s="458"/>
      <c r="R35" s="458"/>
      <c r="S35" s="458"/>
      <c r="T35" s="458"/>
      <c r="U35" s="458"/>
      <c r="V35" s="458"/>
      <c r="W35" s="458"/>
      <c r="X35" s="458"/>
      <c r="Y35" s="461"/>
      <c r="Z35" s="461"/>
      <c r="AA35" s="465"/>
    </row>
    <row r="36" spans="1:38" s="454" customFormat="1" ht="6.95" customHeight="1">
      <c r="D36" s="565"/>
      <c r="E36" s="565"/>
      <c r="F36" s="565"/>
      <c r="G36" s="565"/>
      <c r="H36" s="565"/>
      <c r="I36" s="458"/>
      <c r="J36" s="458"/>
      <c r="K36" s="458"/>
      <c r="L36" s="458"/>
      <c r="M36" s="458"/>
      <c r="N36" s="458"/>
      <c r="O36" s="461"/>
      <c r="P36" s="458"/>
      <c r="Q36" s="458"/>
      <c r="R36" s="458"/>
      <c r="S36" s="458"/>
      <c r="T36" s="458"/>
      <c r="U36" s="458"/>
      <c r="V36" s="458"/>
      <c r="W36" s="458"/>
      <c r="X36" s="458"/>
      <c r="Y36" s="461"/>
      <c r="Z36" s="461"/>
      <c r="AA36" s="465"/>
    </row>
    <row r="37" spans="1:38" s="454" customFormat="1" ht="17.25" customHeight="1">
      <c r="A37" s="454" t="s">
        <v>577</v>
      </c>
      <c r="D37" s="565"/>
      <c r="E37" s="565"/>
      <c r="F37" s="565"/>
      <c r="G37" s="565"/>
      <c r="H37" s="565"/>
      <c r="I37" s="458"/>
      <c r="J37" s="458"/>
      <c r="K37" s="458"/>
      <c r="L37" s="458"/>
      <c r="M37" s="458"/>
      <c r="N37" s="458"/>
      <c r="O37" s="461"/>
      <c r="P37" s="458"/>
      <c r="Q37" s="458"/>
      <c r="R37" s="458"/>
      <c r="S37" s="458"/>
      <c r="T37" s="458"/>
      <c r="U37" s="458"/>
      <c r="V37" s="458"/>
      <c r="W37" s="458"/>
      <c r="X37" s="458"/>
      <c r="Y37" s="461"/>
      <c r="Z37" s="461"/>
      <c r="AA37" s="465"/>
    </row>
    <row r="38" spans="1:38" s="454" customFormat="1" ht="20.100000000000001" hidden="1" customHeight="1">
      <c r="A38" s="454" t="s">
        <v>440</v>
      </c>
      <c r="D38" s="565"/>
      <c r="E38" s="925"/>
      <c r="F38" s="925"/>
      <c r="G38" s="925"/>
      <c r="H38" s="925"/>
      <c r="I38" s="460"/>
      <c r="J38" s="460"/>
      <c r="K38" s="460"/>
      <c r="L38" s="460"/>
      <c r="M38" s="460"/>
      <c r="N38" s="458">
        <v>0</v>
      </c>
      <c r="O38" s="461"/>
      <c r="P38" s="458">
        <v>0</v>
      </c>
      <c r="Q38" s="458"/>
      <c r="R38" s="458">
        <v>0</v>
      </c>
      <c r="S38" s="458"/>
      <c r="T38" s="458">
        <v>0</v>
      </c>
      <c r="U38" s="458"/>
      <c r="V38" s="458">
        <v>0</v>
      </c>
      <c r="W38" s="458"/>
      <c r="X38" s="458">
        <v>0</v>
      </c>
      <c r="Y38" s="461"/>
      <c r="Z38" s="467">
        <f>SUM(M38:M38,N38:X38)</f>
        <v>0</v>
      </c>
      <c r="AA38" s="465"/>
    </row>
    <row r="39" spans="1:38" s="454" customFormat="1" ht="20.100000000000001" hidden="1" customHeight="1">
      <c r="A39" s="454" t="s">
        <v>441</v>
      </c>
      <c r="D39" s="565"/>
      <c r="E39" s="925"/>
      <c r="F39" s="925"/>
      <c r="G39" s="925"/>
      <c r="H39" s="925"/>
      <c r="I39" s="460"/>
      <c r="J39" s="460"/>
      <c r="K39" s="460"/>
      <c r="L39" s="460"/>
      <c r="M39" s="458"/>
      <c r="N39" s="458">
        <v>0</v>
      </c>
      <c r="O39" s="461"/>
      <c r="P39" s="458">
        <v>0</v>
      </c>
      <c r="Q39" s="458"/>
      <c r="R39" s="458">
        <v>0</v>
      </c>
      <c r="S39" s="458"/>
      <c r="T39" s="458">
        <v>0</v>
      </c>
      <c r="U39" s="458"/>
      <c r="V39" s="458">
        <v>0</v>
      </c>
      <c r="W39" s="458"/>
      <c r="X39" s="458"/>
      <c r="Y39" s="461"/>
      <c r="Z39" s="467">
        <f>SUM(M39:M39,N39:X39)</f>
        <v>0</v>
      </c>
      <c r="AA39" s="465"/>
    </row>
    <row r="40" spans="1:38" s="454" customFormat="1" ht="20.100000000000001" customHeight="1">
      <c r="A40" s="454" t="s">
        <v>442</v>
      </c>
      <c r="C40" s="454" t="s">
        <v>424</v>
      </c>
      <c r="D40" s="565" t="e">
        <f>ROUND(VLOOKUP(A40,#REF!,3,FALSE),2)</f>
        <v>#REF!</v>
      </c>
      <c r="E40" s="565">
        <v>0</v>
      </c>
      <c r="F40" s="565">
        <v>0</v>
      </c>
      <c r="G40" s="565">
        <v>0</v>
      </c>
      <c r="H40" s="565">
        <v>0</v>
      </c>
      <c r="I40" s="458">
        <v>0</v>
      </c>
      <c r="J40" s="458">
        <v>0</v>
      </c>
      <c r="K40" s="458">
        <v>0</v>
      </c>
      <c r="L40" s="458">
        <v>0</v>
      </c>
      <c r="M40" s="458">
        <v>0</v>
      </c>
      <c r="N40" s="458">
        <v>0</v>
      </c>
      <c r="O40" s="461"/>
      <c r="P40" s="458">
        <v>0</v>
      </c>
      <c r="Q40" s="458"/>
      <c r="R40" s="458">
        <v>0</v>
      </c>
      <c r="S40" s="458"/>
      <c r="T40" s="458">
        <v>0</v>
      </c>
      <c r="U40" s="458"/>
      <c r="V40" s="458">
        <v>0</v>
      </c>
      <c r="W40" s="458"/>
      <c r="X40" s="458">
        <v>0</v>
      </c>
      <c r="Y40" s="461"/>
      <c r="Z40" s="461" t="e">
        <f t="shared" ref="Z40:Z67" si="6">SUM(D40:X40)</f>
        <v>#REF!</v>
      </c>
      <c r="AA40" s="465"/>
    </row>
    <row r="41" spans="1:38" s="417" customFormat="1" ht="20.100000000000001" customHeight="1">
      <c r="A41" s="417" t="s">
        <v>443</v>
      </c>
      <c r="D41" s="565" t="e">
        <f>ROUND(VLOOKUP(A41,#REF!,3,FALSE),2)</f>
        <v>#REF!</v>
      </c>
      <c r="E41" s="565">
        <v>0</v>
      </c>
      <c r="F41" s="565">
        <v>0</v>
      </c>
      <c r="G41" s="565">
        <v>0</v>
      </c>
      <c r="H41" s="565">
        <v>0</v>
      </c>
      <c r="I41" s="458">
        <v>0</v>
      </c>
      <c r="J41" s="458">
        <v>0</v>
      </c>
      <c r="K41" s="458">
        <v>0</v>
      </c>
      <c r="L41" s="458">
        <v>0</v>
      </c>
      <c r="M41" s="458">
        <v>0</v>
      </c>
      <c r="N41" s="458">
        <v>0</v>
      </c>
      <c r="O41" s="461"/>
      <c r="P41" s="458">
        <v>0</v>
      </c>
      <c r="Q41" s="458"/>
      <c r="R41" s="458">
        <v>0</v>
      </c>
      <c r="S41" s="458"/>
      <c r="T41" s="458">
        <v>0</v>
      </c>
      <c r="U41" s="458"/>
      <c r="V41" s="458">
        <v>0</v>
      </c>
      <c r="W41" s="458"/>
      <c r="X41" s="458">
        <v>0</v>
      </c>
      <c r="Y41" s="461"/>
      <c r="Z41" s="461" t="e">
        <f t="shared" si="6"/>
        <v>#REF!</v>
      </c>
      <c r="AA41" s="465"/>
      <c r="AB41" s="454"/>
      <c r="AC41" s="454"/>
      <c r="AD41" s="454"/>
      <c r="AE41" s="454"/>
      <c r="AF41" s="454"/>
      <c r="AG41" s="454"/>
      <c r="AH41" s="454"/>
      <c r="AI41" s="454"/>
      <c r="AJ41" s="454"/>
      <c r="AK41" s="454"/>
      <c r="AL41" s="454"/>
    </row>
    <row r="42" spans="1:38" s="417" customFormat="1" ht="20.100000000000001" customHeight="1">
      <c r="A42" s="417" t="s">
        <v>444</v>
      </c>
      <c r="D42" s="565" t="e">
        <f>ROUND(VLOOKUP(A42,#REF!,3,FALSE),2)</f>
        <v>#REF!</v>
      </c>
      <c r="E42" s="565">
        <v>0</v>
      </c>
      <c r="F42" s="565">
        <v>0</v>
      </c>
      <c r="G42" s="565">
        <v>0</v>
      </c>
      <c r="H42" s="565">
        <v>0</v>
      </c>
      <c r="I42" s="458">
        <v>0</v>
      </c>
      <c r="J42" s="458">
        <v>0</v>
      </c>
      <c r="K42" s="458">
        <v>0</v>
      </c>
      <c r="L42" s="458">
        <v>0</v>
      </c>
      <c r="M42" s="458">
        <v>0</v>
      </c>
      <c r="N42" s="458">
        <v>0</v>
      </c>
      <c r="O42" s="461"/>
      <c r="P42" s="458">
        <v>0</v>
      </c>
      <c r="Q42" s="458"/>
      <c r="R42" s="458">
        <v>0</v>
      </c>
      <c r="S42" s="458"/>
      <c r="T42" s="458">
        <v>0</v>
      </c>
      <c r="U42" s="458"/>
      <c r="V42" s="458">
        <v>0</v>
      </c>
      <c r="W42" s="458"/>
      <c r="X42" s="458">
        <v>0</v>
      </c>
      <c r="Y42" s="461"/>
      <c r="Z42" s="461" t="e">
        <f t="shared" si="6"/>
        <v>#REF!</v>
      </c>
      <c r="AA42" s="465"/>
      <c r="AB42" s="454"/>
      <c r="AC42" s="454"/>
      <c r="AD42" s="454"/>
      <c r="AE42" s="454"/>
      <c r="AF42" s="454"/>
      <c r="AG42" s="454"/>
      <c r="AH42" s="454"/>
      <c r="AI42" s="454"/>
      <c r="AJ42" s="454"/>
      <c r="AK42" s="454"/>
      <c r="AL42" s="454"/>
    </row>
    <row r="43" spans="1:38" s="417" customFormat="1" ht="20.100000000000001" customHeight="1">
      <c r="A43" s="417" t="s">
        <v>445</v>
      </c>
      <c r="D43" s="565" t="e">
        <f>ROUND(VLOOKUP(A43,#REF!,3,FALSE),2)</f>
        <v>#REF!</v>
      </c>
      <c r="E43" s="565">
        <v>0</v>
      </c>
      <c r="F43" s="565">
        <v>0</v>
      </c>
      <c r="G43" s="565">
        <v>0</v>
      </c>
      <c r="H43" s="565">
        <v>0</v>
      </c>
      <c r="I43" s="458">
        <v>0</v>
      </c>
      <c r="J43" s="458">
        <v>0</v>
      </c>
      <c r="K43" s="458">
        <v>0</v>
      </c>
      <c r="L43" s="458">
        <v>0</v>
      </c>
      <c r="M43" s="458">
        <v>0</v>
      </c>
      <c r="N43" s="458">
        <v>0</v>
      </c>
      <c r="O43" s="461"/>
      <c r="P43" s="458">
        <v>0</v>
      </c>
      <c r="Q43" s="458"/>
      <c r="R43" s="458">
        <v>0</v>
      </c>
      <c r="S43" s="458"/>
      <c r="T43" s="458">
        <v>0</v>
      </c>
      <c r="U43" s="458"/>
      <c r="V43" s="458">
        <v>0</v>
      </c>
      <c r="W43" s="458"/>
      <c r="X43" s="458">
        <v>0</v>
      </c>
      <c r="Y43" s="461"/>
      <c r="Z43" s="461" t="e">
        <f t="shared" si="6"/>
        <v>#REF!</v>
      </c>
      <c r="AA43" s="465"/>
      <c r="AB43" s="454"/>
      <c r="AC43" s="454"/>
      <c r="AD43" s="454"/>
      <c r="AE43" s="454"/>
      <c r="AF43" s="454"/>
      <c r="AG43" s="454"/>
      <c r="AH43" s="454"/>
      <c r="AI43" s="454"/>
      <c r="AJ43" s="454"/>
      <c r="AK43" s="454"/>
      <c r="AL43" s="454"/>
    </row>
    <row r="44" spans="1:38" s="417" customFormat="1" ht="20.100000000000001" customHeight="1">
      <c r="A44" s="417" t="s">
        <v>446</v>
      </c>
      <c r="D44" s="565" t="e">
        <f>ROUND(VLOOKUP(A44,#REF!,3,FALSE),2)</f>
        <v>#REF!</v>
      </c>
      <c r="E44" s="565">
        <v>0</v>
      </c>
      <c r="F44" s="565">
        <v>0</v>
      </c>
      <c r="G44" s="565">
        <v>0</v>
      </c>
      <c r="H44" s="565">
        <v>0</v>
      </c>
      <c r="I44" s="458">
        <v>0</v>
      </c>
      <c r="J44" s="458">
        <v>0</v>
      </c>
      <c r="K44" s="458">
        <v>0</v>
      </c>
      <c r="L44" s="458">
        <v>0</v>
      </c>
      <c r="M44" s="458">
        <v>0</v>
      </c>
      <c r="N44" s="458">
        <v>0</v>
      </c>
      <c r="O44" s="461"/>
      <c r="P44" s="458">
        <v>0</v>
      </c>
      <c r="Q44" s="458"/>
      <c r="R44" s="458">
        <v>0</v>
      </c>
      <c r="S44" s="458"/>
      <c r="T44" s="458">
        <v>0</v>
      </c>
      <c r="U44" s="458"/>
      <c r="V44" s="458">
        <v>0</v>
      </c>
      <c r="W44" s="458"/>
      <c r="X44" s="458">
        <v>0</v>
      </c>
      <c r="Y44" s="461"/>
      <c r="Z44" s="461" t="e">
        <f t="shared" si="6"/>
        <v>#REF!</v>
      </c>
      <c r="AA44" s="465"/>
      <c r="AB44" s="454"/>
      <c r="AC44" s="454"/>
      <c r="AD44" s="454"/>
      <c r="AE44" s="454"/>
      <c r="AF44" s="454"/>
      <c r="AG44" s="454"/>
      <c r="AH44" s="454"/>
      <c r="AI44" s="454"/>
      <c r="AJ44" s="454"/>
      <c r="AK44" s="454"/>
      <c r="AL44" s="454"/>
    </row>
    <row r="45" spans="1:38" ht="18" hidden="1" customHeight="1">
      <c r="D45" s="565" t="s">
        <v>58</v>
      </c>
      <c r="E45" s="565">
        <v>0</v>
      </c>
      <c r="F45" s="565">
        <v>0</v>
      </c>
      <c r="G45" s="565">
        <v>0</v>
      </c>
      <c r="H45" s="565">
        <v>0</v>
      </c>
      <c r="I45" s="458">
        <v>0</v>
      </c>
      <c r="J45" s="458"/>
      <c r="K45" s="458"/>
      <c r="L45" s="458">
        <v>0</v>
      </c>
      <c r="M45" s="458">
        <v>0</v>
      </c>
      <c r="N45" s="458">
        <v>0</v>
      </c>
      <c r="O45" s="461"/>
      <c r="P45" s="458">
        <v>0</v>
      </c>
      <c r="Q45" s="458"/>
      <c r="R45" s="458">
        <v>0</v>
      </c>
      <c r="S45" s="458"/>
      <c r="T45" s="458">
        <v>0</v>
      </c>
      <c r="U45" s="458"/>
      <c r="V45" s="458">
        <v>0</v>
      </c>
      <c r="W45" s="458"/>
      <c r="X45" s="458">
        <v>0</v>
      </c>
      <c r="Y45" s="389"/>
      <c r="Z45" s="461">
        <f t="shared" si="6"/>
        <v>0</v>
      </c>
      <c r="AA45" s="465"/>
    </row>
    <row r="46" spans="1:38" ht="18" hidden="1" customHeight="1">
      <c r="A46" s="417" t="s">
        <v>572</v>
      </c>
      <c r="D46" s="565" t="s">
        <v>58</v>
      </c>
      <c r="E46" s="565">
        <v>0</v>
      </c>
      <c r="F46" s="565">
        <v>0</v>
      </c>
      <c r="G46" s="565">
        <v>0</v>
      </c>
      <c r="H46" s="565">
        <v>0</v>
      </c>
      <c r="I46" s="458">
        <v>0</v>
      </c>
      <c r="J46" s="458"/>
      <c r="K46" s="458"/>
      <c r="L46" s="458">
        <v>0</v>
      </c>
      <c r="M46" s="458">
        <v>0</v>
      </c>
      <c r="N46" s="458">
        <v>0</v>
      </c>
      <c r="O46" s="461"/>
      <c r="P46" s="458">
        <v>0</v>
      </c>
      <c r="Q46" s="458"/>
      <c r="R46" s="458">
        <v>0</v>
      </c>
      <c r="S46" s="458"/>
      <c r="T46" s="458">
        <v>0</v>
      </c>
      <c r="U46" s="458"/>
      <c r="V46" s="458">
        <v>0</v>
      </c>
      <c r="W46" s="458"/>
      <c r="X46" s="458">
        <v>0</v>
      </c>
      <c r="Y46" s="389"/>
      <c r="Z46" s="461">
        <f t="shared" si="6"/>
        <v>0</v>
      </c>
      <c r="AA46" s="465"/>
    </row>
    <row r="47" spans="1:38" ht="13.9" hidden="1" customHeight="1">
      <c r="D47" s="565" t="s">
        <v>58</v>
      </c>
      <c r="I47" s="389"/>
      <c r="J47" s="389"/>
      <c r="K47" s="389"/>
      <c r="L47" s="389"/>
      <c r="M47" s="389"/>
      <c r="N47" s="389"/>
      <c r="O47" s="389"/>
      <c r="P47" s="389"/>
      <c r="Q47" s="389"/>
      <c r="R47" s="389"/>
      <c r="S47" s="389"/>
      <c r="T47" s="389"/>
      <c r="U47" s="389"/>
      <c r="V47" s="389"/>
      <c r="W47" s="389"/>
      <c r="X47" s="389"/>
      <c r="Y47" s="389"/>
      <c r="Z47" s="461">
        <f t="shared" si="6"/>
        <v>0</v>
      </c>
      <c r="AA47" s="465"/>
    </row>
    <row r="48" spans="1:38" s="417" customFormat="1" ht="20.100000000000001" customHeight="1">
      <c r="A48" s="417" t="s">
        <v>448</v>
      </c>
      <c r="D48" s="565" t="e">
        <f>ROUND(VLOOKUP(A48,#REF!,3,FALSE),2)</f>
        <v>#REF!</v>
      </c>
      <c r="E48" s="565">
        <v>0</v>
      </c>
      <c r="F48" s="565">
        <v>0</v>
      </c>
      <c r="G48" s="565">
        <v>0</v>
      </c>
      <c r="H48" s="565">
        <v>0</v>
      </c>
      <c r="I48" s="458">
        <v>0</v>
      </c>
      <c r="J48" s="458">
        <v>0</v>
      </c>
      <c r="K48" s="458">
        <v>0</v>
      </c>
      <c r="L48" s="458">
        <v>0</v>
      </c>
      <c r="M48" s="458">
        <v>0</v>
      </c>
      <c r="N48" s="458">
        <v>0</v>
      </c>
      <c r="O48" s="461"/>
      <c r="P48" s="458">
        <v>0</v>
      </c>
      <c r="Q48" s="458"/>
      <c r="R48" s="458">
        <v>0</v>
      </c>
      <c r="S48" s="458"/>
      <c r="T48" s="458">
        <v>0</v>
      </c>
      <c r="U48" s="458"/>
      <c r="V48" s="458">
        <v>0</v>
      </c>
      <c r="W48" s="458"/>
      <c r="X48" s="458">
        <v>0</v>
      </c>
      <c r="Y48" s="461"/>
      <c r="Z48" s="461" t="e">
        <f t="shared" si="6"/>
        <v>#REF!</v>
      </c>
      <c r="AA48" s="465"/>
      <c r="AB48" s="454"/>
      <c r="AC48" s="454"/>
      <c r="AD48" s="454"/>
      <c r="AE48" s="454"/>
      <c r="AF48" s="454"/>
      <c r="AG48" s="454"/>
      <c r="AH48" s="454"/>
      <c r="AI48" s="454"/>
      <c r="AJ48" s="454"/>
      <c r="AK48" s="454"/>
      <c r="AL48" s="454"/>
    </row>
    <row r="49" spans="1:38" s="417" customFormat="1" ht="20.100000000000001" customHeight="1">
      <c r="A49" s="417" t="s">
        <v>683</v>
      </c>
      <c r="D49" s="565" t="e">
        <f>ROUND(VLOOKUP(A49,#REF!,3,FALSE),2)</f>
        <v>#REF!</v>
      </c>
      <c r="E49" s="565">
        <v>0</v>
      </c>
      <c r="F49" s="565">
        <v>0</v>
      </c>
      <c r="G49" s="565">
        <v>0</v>
      </c>
      <c r="H49" s="565">
        <v>0</v>
      </c>
      <c r="I49" s="458">
        <v>0</v>
      </c>
      <c r="J49" s="458">
        <v>0</v>
      </c>
      <c r="K49" s="458">
        <v>0</v>
      </c>
      <c r="L49" s="741">
        <v>0</v>
      </c>
      <c r="M49" s="458">
        <v>0</v>
      </c>
      <c r="N49" s="458">
        <v>0</v>
      </c>
      <c r="O49" s="461"/>
      <c r="P49" s="458">
        <v>0</v>
      </c>
      <c r="Q49" s="458"/>
      <c r="R49" s="458">
        <v>0</v>
      </c>
      <c r="S49" s="458"/>
      <c r="T49" s="458">
        <v>0</v>
      </c>
      <c r="U49" s="458"/>
      <c r="V49" s="458">
        <v>0</v>
      </c>
      <c r="W49" s="458"/>
      <c r="X49" s="458">
        <v>0</v>
      </c>
      <c r="Y49" s="461"/>
      <c r="Z49" s="461" t="e">
        <f t="shared" si="6"/>
        <v>#REF!</v>
      </c>
      <c r="AA49" s="465"/>
      <c r="AB49" s="454"/>
      <c r="AC49" s="454"/>
      <c r="AD49" s="454"/>
      <c r="AE49" s="454"/>
      <c r="AF49" s="454"/>
      <c r="AG49" s="454"/>
      <c r="AH49" s="454"/>
      <c r="AI49" s="454"/>
      <c r="AJ49" s="454"/>
      <c r="AK49" s="454"/>
      <c r="AL49" s="454"/>
    </row>
    <row r="50" spans="1:38" s="417" customFormat="1" ht="20.100000000000001" customHeight="1">
      <c r="A50" s="417" t="s">
        <v>450</v>
      </c>
      <c r="D50" s="565" t="e">
        <f>ROUND(VLOOKUP(A50,#REF!,3,FALSE),2)</f>
        <v>#REF!</v>
      </c>
      <c r="E50" s="565">
        <v>0</v>
      </c>
      <c r="F50" s="565">
        <v>0</v>
      </c>
      <c r="G50" s="565">
        <v>0</v>
      </c>
      <c r="H50" s="565">
        <v>0</v>
      </c>
      <c r="I50" s="458">
        <v>0</v>
      </c>
      <c r="J50" s="458">
        <v>0</v>
      </c>
      <c r="K50" s="458">
        <v>0</v>
      </c>
      <c r="L50" s="458">
        <v>0</v>
      </c>
      <c r="M50" s="458">
        <v>0</v>
      </c>
      <c r="N50" s="458">
        <v>0</v>
      </c>
      <c r="O50" s="461"/>
      <c r="P50" s="458">
        <v>0</v>
      </c>
      <c r="Q50" s="458"/>
      <c r="R50" s="458">
        <v>0</v>
      </c>
      <c r="S50" s="458"/>
      <c r="T50" s="458">
        <v>0</v>
      </c>
      <c r="U50" s="458"/>
      <c r="V50" s="458">
        <v>0</v>
      </c>
      <c r="W50" s="458"/>
      <c r="X50" s="458">
        <v>0</v>
      </c>
      <c r="Y50" s="461"/>
      <c r="Z50" s="461" t="e">
        <f t="shared" si="6"/>
        <v>#REF!</v>
      </c>
      <c r="AA50" s="465"/>
      <c r="AB50" s="454"/>
      <c r="AC50" s="454"/>
      <c r="AD50" s="454"/>
      <c r="AE50" s="454"/>
      <c r="AF50" s="454"/>
      <c r="AG50" s="454"/>
      <c r="AH50" s="454"/>
      <c r="AI50" s="454"/>
      <c r="AJ50" s="454"/>
      <c r="AK50" s="454"/>
      <c r="AL50" s="454"/>
    </row>
    <row r="51" spans="1:38" s="417" customFormat="1" ht="20.100000000000001" customHeight="1">
      <c r="A51" s="417" t="s">
        <v>451</v>
      </c>
      <c r="D51" s="565">
        <v>0</v>
      </c>
      <c r="E51" s="565">
        <v>0</v>
      </c>
      <c r="F51" s="565">
        <v>0</v>
      </c>
      <c r="G51" s="565">
        <v>0</v>
      </c>
      <c r="H51" s="565">
        <v>0</v>
      </c>
      <c r="I51" s="458">
        <v>0</v>
      </c>
      <c r="J51" s="458">
        <v>0</v>
      </c>
      <c r="K51" s="458">
        <v>0</v>
      </c>
      <c r="L51" s="458">
        <v>0</v>
      </c>
      <c r="M51" s="458">
        <v>0</v>
      </c>
      <c r="N51" s="458">
        <v>0</v>
      </c>
      <c r="O51" s="461"/>
      <c r="P51" s="458">
        <v>0</v>
      </c>
      <c r="Q51" s="458"/>
      <c r="R51" s="458">
        <v>0</v>
      </c>
      <c r="S51" s="458"/>
      <c r="T51" s="458">
        <v>0</v>
      </c>
      <c r="U51" s="458"/>
      <c r="V51" s="458">
        <v>0</v>
      </c>
      <c r="W51" s="458"/>
      <c r="X51" s="458">
        <v>0</v>
      </c>
      <c r="Y51" s="461"/>
      <c r="Z51" s="461">
        <f t="shared" si="6"/>
        <v>0</v>
      </c>
      <c r="AA51" s="465"/>
      <c r="AB51" s="454"/>
      <c r="AC51" s="454"/>
      <c r="AD51" s="454"/>
      <c r="AE51" s="454"/>
      <c r="AF51" s="454"/>
      <c r="AG51" s="454"/>
      <c r="AH51" s="454"/>
      <c r="AI51" s="454"/>
      <c r="AJ51" s="454"/>
      <c r="AK51" s="454"/>
      <c r="AL51" s="454"/>
    </row>
    <row r="52" spans="1:38" s="417" customFormat="1" ht="20.100000000000001" hidden="1" customHeight="1">
      <c r="A52" s="417" t="s">
        <v>452</v>
      </c>
      <c r="D52" s="565" t="s">
        <v>58</v>
      </c>
      <c r="E52" s="925"/>
      <c r="F52" s="925"/>
      <c r="G52" s="565">
        <v>0</v>
      </c>
      <c r="H52" s="565">
        <v>0</v>
      </c>
      <c r="I52" s="458">
        <v>0</v>
      </c>
      <c r="J52" s="458"/>
      <c r="K52" s="458"/>
      <c r="L52" s="458">
        <v>0</v>
      </c>
      <c r="M52" s="460"/>
      <c r="N52" s="458">
        <v>0</v>
      </c>
      <c r="O52" s="461"/>
      <c r="P52" s="458">
        <v>0</v>
      </c>
      <c r="Q52" s="458"/>
      <c r="R52" s="458">
        <v>0</v>
      </c>
      <c r="S52" s="458"/>
      <c r="T52" s="458">
        <v>0</v>
      </c>
      <c r="U52" s="458"/>
      <c r="V52" s="458">
        <v>0</v>
      </c>
      <c r="W52" s="458"/>
      <c r="X52" s="458">
        <v>0</v>
      </c>
      <c r="Y52" s="461"/>
      <c r="Z52" s="461">
        <f t="shared" si="6"/>
        <v>0</v>
      </c>
      <c r="AA52" s="465"/>
      <c r="AB52" s="454"/>
      <c r="AC52" s="454"/>
      <c r="AD52" s="454"/>
      <c r="AE52" s="454"/>
      <c r="AF52" s="454"/>
      <c r="AG52" s="454"/>
      <c r="AH52" s="454"/>
      <c r="AI52" s="454"/>
      <c r="AJ52" s="454"/>
      <c r="AK52" s="454"/>
      <c r="AL52" s="454"/>
    </row>
    <row r="53" spans="1:38" s="417" customFormat="1" ht="20.100000000000001" hidden="1" customHeight="1">
      <c r="A53" s="417" t="s">
        <v>453</v>
      </c>
      <c r="D53" s="565" t="s">
        <v>58</v>
      </c>
      <c r="E53" s="925"/>
      <c r="F53" s="925"/>
      <c r="G53" s="565">
        <v>0</v>
      </c>
      <c r="H53" s="565">
        <v>0</v>
      </c>
      <c r="I53" s="458">
        <v>0</v>
      </c>
      <c r="J53" s="458"/>
      <c r="K53" s="458"/>
      <c r="L53" s="458">
        <v>0</v>
      </c>
      <c r="M53" s="460"/>
      <c r="N53" s="458">
        <v>0</v>
      </c>
      <c r="O53" s="461"/>
      <c r="P53" s="458">
        <v>0</v>
      </c>
      <c r="Q53" s="458"/>
      <c r="R53" s="458">
        <v>0</v>
      </c>
      <c r="S53" s="458"/>
      <c r="T53" s="458">
        <v>0</v>
      </c>
      <c r="U53" s="458"/>
      <c r="V53" s="458">
        <v>0</v>
      </c>
      <c r="W53" s="458"/>
      <c r="X53" s="458">
        <v>0</v>
      </c>
      <c r="Y53" s="461"/>
      <c r="Z53" s="461">
        <f t="shared" si="6"/>
        <v>0</v>
      </c>
      <c r="AA53" s="465"/>
      <c r="AB53" s="454"/>
      <c r="AC53" s="454"/>
      <c r="AD53" s="454"/>
      <c r="AE53" s="454"/>
      <c r="AF53" s="454"/>
      <c r="AG53" s="454"/>
      <c r="AH53" s="454"/>
      <c r="AI53" s="454"/>
      <c r="AJ53" s="454"/>
      <c r="AK53" s="454"/>
      <c r="AL53" s="454"/>
    </row>
    <row r="54" spans="1:38" ht="13.9" hidden="1" customHeight="1">
      <c r="D54" s="565" t="s">
        <v>58</v>
      </c>
      <c r="I54" s="389"/>
      <c r="J54" s="389"/>
      <c r="K54" s="389"/>
      <c r="L54" s="389"/>
      <c r="M54" s="389"/>
      <c r="N54" s="389"/>
      <c r="O54" s="389"/>
      <c r="P54" s="389"/>
      <c r="Q54" s="389"/>
      <c r="R54" s="389"/>
      <c r="S54" s="389"/>
      <c r="T54" s="389"/>
      <c r="U54" s="389"/>
      <c r="V54" s="389"/>
      <c r="W54" s="389"/>
      <c r="X54" s="389"/>
      <c r="Y54" s="389"/>
      <c r="Z54" s="461">
        <f t="shared" si="6"/>
        <v>0</v>
      </c>
      <c r="AA54" s="465"/>
    </row>
    <row r="55" spans="1:38" ht="18" hidden="1" customHeight="1">
      <c r="D55" s="565" t="s">
        <v>58</v>
      </c>
      <c r="E55" s="932"/>
      <c r="F55" s="932"/>
      <c r="G55" s="565">
        <v>0</v>
      </c>
      <c r="H55" s="565">
        <v>0</v>
      </c>
      <c r="I55" s="458">
        <v>0</v>
      </c>
      <c r="J55" s="458"/>
      <c r="K55" s="458"/>
      <c r="L55" s="458">
        <v>0</v>
      </c>
      <c r="M55" s="389"/>
      <c r="N55" s="458">
        <v>0</v>
      </c>
      <c r="O55" s="461"/>
      <c r="P55" s="458">
        <v>0</v>
      </c>
      <c r="Q55" s="458"/>
      <c r="R55" s="458">
        <v>0</v>
      </c>
      <c r="S55" s="458"/>
      <c r="T55" s="458">
        <v>0</v>
      </c>
      <c r="U55" s="458"/>
      <c r="V55" s="458">
        <v>0</v>
      </c>
      <c r="W55" s="458"/>
      <c r="X55" s="458">
        <v>0</v>
      </c>
      <c r="Y55" s="389"/>
      <c r="Z55" s="461">
        <f t="shared" si="6"/>
        <v>0</v>
      </c>
      <c r="AA55" s="465"/>
    </row>
    <row r="56" spans="1:38" s="417" customFormat="1" ht="20.100000000000001" customHeight="1">
      <c r="A56" s="417" t="s">
        <v>454</v>
      </c>
      <c r="D56" s="565" t="e">
        <f>ROUND(VLOOKUP(A56,#REF!,3,FALSE),2)</f>
        <v>#REF!</v>
      </c>
      <c r="E56" s="565">
        <v>0</v>
      </c>
      <c r="F56" s="565">
        <v>0</v>
      </c>
      <c r="G56" s="565">
        <v>0</v>
      </c>
      <c r="H56" s="565">
        <v>0</v>
      </c>
      <c r="I56" s="458">
        <v>0</v>
      </c>
      <c r="J56" s="458">
        <v>0</v>
      </c>
      <c r="K56" s="458">
        <v>0</v>
      </c>
      <c r="L56" s="458">
        <v>0</v>
      </c>
      <c r="M56" s="460">
        <f>ROUND(Cemtery!L22,2)</f>
        <v>1250259</v>
      </c>
      <c r="N56" s="458">
        <v>0</v>
      </c>
      <c r="O56" s="461"/>
      <c r="P56" s="458" t="e">
        <f>ROUND(#REF!,2)</f>
        <v>#REF!</v>
      </c>
      <c r="Q56" s="458"/>
      <c r="R56" s="458">
        <v>0</v>
      </c>
      <c r="S56" s="458"/>
      <c r="T56" s="458">
        <v>0</v>
      </c>
      <c r="U56" s="458"/>
      <c r="V56" s="458">
        <v>0</v>
      </c>
      <c r="W56" s="458"/>
      <c r="X56" s="458">
        <v>0</v>
      </c>
      <c r="Y56" s="461"/>
      <c r="Z56" s="461" t="e">
        <f t="shared" si="6"/>
        <v>#REF!</v>
      </c>
      <c r="AA56" s="465"/>
      <c r="AB56" s="454"/>
      <c r="AC56" s="454"/>
      <c r="AD56" s="454"/>
      <c r="AE56" s="454"/>
      <c r="AF56" s="454"/>
      <c r="AG56" s="454"/>
      <c r="AH56" s="454"/>
      <c r="AI56" s="454"/>
      <c r="AJ56" s="454"/>
      <c r="AK56" s="454"/>
      <c r="AL56" s="454"/>
    </row>
    <row r="57" spans="1:38" s="417" customFormat="1" ht="19.5" hidden="1" customHeight="1">
      <c r="A57" s="417" t="s">
        <v>455</v>
      </c>
      <c r="D57" s="565" t="s">
        <v>58</v>
      </c>
      <c r="E57" s="925"/>
      <c r="F57" s="925"/>
      <c r="G57" s="925"/>
      <c r="H57" s="565"/>
      <c r="I57" s="458"/>
      <c r="J57" s="458"/>
      <c r="K57" s="458"/>
      <c r="L57" s="460"/>
      <c r="M57" s="460"/>
      <c r="N57" s="458">
        <v>0</v>
      </c>
      <c r="O57" s="461"/>
      <c r="P57" s="458">
        <v>0</v>
      </c>
      <c r="Q57" s="458"/>
      <c r="R57" s="458">
        <v>0</v>
      </c>
      <c r="S57" s="458"/>
      <c r="T57" s="458">
        <v>0</v>
      </c>
      <c r="U57" s="458"/>
      <c r="V57" s="458">
        <v>0</v>
      </c>
      <c r="W57" s="458"/>
      <c r="X57" s="458">
        <v>0</v>
      </c>
      <c r="Y57" s="461"/>
      <c r="Z57" s="461">
        <f t="shared" si="6"/>
        <v>0</v>
      </c>
      <c r="AA57" s="465"/>
      <c r="AB57" s="454"/>
      <c r="AC57" s="454"/>
      <c r="AD57" s="454"/>
      <c r="AE57" s="454"/>
      <c r="AF57" s="454"/>
      <c r="AG57" s="454"/>
      <c r="AH57" s="454"/>
      <c r="AI57" s="454"/>
      <c r="AJ57" s="454"/>
      <c r="AK57" s="454"/>
      <c r="AL57" s="454"/>
    </row>
    <row r="58" spans="1:38" s="417" customFormat="1" ht="20.100000000000001" customHeight="1">
      <c r="A58" s="417" t="s">
        <v>456</v>
      </c>
      <c r="D58" s="565" t="e">
        <f>ROUND(VLOOKUP(A58,#REF!,3,FALSE),2)</f>
        <v>#REF!</v>
      </c>
      <c r="E58" s="565">
        <v>0</v>
      </c>
      <c r="F58" s="565">
        <v>0</v>
      </c>
      <c r="G58" s="565">
        <v>0</v>
      </c>
      <c r="H58" s="565">
        <v>0</v>
      </c>
      <c r="I58" s="458">
        <v>0</v>
      </c>
      <c r="J58" s="458">
        <f>ROUND('School Crossing Guard'!L19,2)</f>
        <v>893012</v>
      </c>
      <c r="K58" s="458">
        <f>ROUND(Police!L27+'Drug Enforcement Agency'!L26-K71,2)</f>
        <v>1359256</v>
      </c>
      <c r="L58" s="458">
        <v>0</v>
      </c>
      <c r="M58" s="458">
        <v>0</v>
      </c>
      <c r="N58" s="458">
        <v>0</v>
      </c>
      <c r="O58" s="461"/>
      <c r="P58" s="458">
        <v>0</v>
      </c>
      <c r="Q58" s="458"/>
      <c r="R58" s="458">
        <v>0</v>
      </c>
      <c r="S58" s="458"/>
      <c r="T58" s="458">
        <v>0</v>
      </c>
      <c r="U58" s="458"/>
      <c r="V58" s="458">
        <v>0</v>
      </c>
      <c r="W58" s="458"/>
      <c r="X58" s="458">
        <v>0</v>
      </c>
      <c r="Y58" s="461"/>
      <c r="Z58" s="461" t="e">
        <f t="shared" si="6"/>
        <v>#REF!</v>
      </c>
      <c r="AA58" s="465"/>
      <c r="AB58" s="454"/>
      <c r="AC58" s="454"/>
      <c r="AD58" s="454"/>
      <c r="AE58" s="454"/>
      <c r="AF58" s="454"/>
      <c r="AG58" s="454"/>
      <c r="AH58" s="454"/>
      <c r="AI58" s="454"/>
      <c r="AJ58" s="454"/>
      <c r="AK58" s="454"/>
      <c r="AL58" s="454"/>
    </row>
    <row r="59" spans="1:38" s="417" customFormat="1" ht="20.100000000000001" hidden="1" customHeight="1">
      <c r="A59" s="417" t="s">
        <v>457</v>
      </c>
      <c r="D59" s="565" t="s">
        <v>58</v>
      </c>
      <c r="E59" s="565">
        <v>0</v>
      </c>
      <c r="F59" s="565">
        <v>0</v>
      </c>
      <c r="G59" s="565">
        <v>0</v>
      </c>
      <c r="H59" s="565">
        <v>0</v>
      </c>
      <c r="I59" s="458">
        <v>0</v>
      </c>
      <c r="J59" s="458"/>
      <c r="K59" s="458"/>
      <c r="L59" s="458">
        <v>0</v>
      </c>
      <c r="M59" s="458">
        <v>0</v>
      </c>
      <c r="N59" s="458"/>
      <c r="O59" s="461"/>
      <c r="P59" s="458"/>
      <c r="Q59" s="458"/>
      <c r="R59" s="458"/>
      <c r="S59" s="458"/>
      <c r="T59" s="458"/>
      <c r="U59" s="458"/>
      <c r="V59" s="458"/>
      <c r="W59" s="458"/>
      <c r="X59" s="458"/>
      <c r="Y59" s="461"/>
      <c r="Z59" s="461">
        <f t="shared" si="6"/>
        <v>0</v>
      </c>
      <c r="AA59" s="465"/>
      <c r="AB59" s="454"/>
      <c r="AC59" s="454"/>
      <c r="AD59" s="454"/>
      <c r="AE59" s="454"/>
      <c r="AF59" s="454"/>
      <c r="AG59" s="454"/>
      <c r="AH59" s="454"/>
      <c r="AI59" s="454"/>
      <c r="AJ59" s="454"/>
      <c r="AK59" s="454"/>
      <c r="AL59" s="454"/>
    </row>
    <row r="60" spans="1:38" s="417" customFormat="1" ht="20.100000000000001" hidden="1" customHeight="1">
      <c r="A60" s="417" t="s">
        <v>458</v>
      </c>
      <c r="D60" s="565" t="s">
        <v>58</v>
      </c>
      <c r="E60" s="565">
        <v>0</v>
      </c>
      <c r="F60" s="565">
        <v>0</v>
      </c>
      <c r="G60" s="565">
        <v>0</v>
      </c>
      <c r="H60" s="565">
        <v>0</v>
      </c>
      <c r="I60" s="458">
        <v>0</v>
      </c>
      <c r="J60" s="458"/>
      <c r="K60" s="458"/>
      <c r="L60" s="458">
        <v>0</v>
      </c>
      <c r="M60" s="458">
        <v>0</v>
      </c>
      <c r="N60" s="458"/>
      <c r="O60" s="461"/>
      <c r="P60" s="458"/>
      <c r="Q60" s="458"/>
      <c r="R60" s="458"/>
      <c r="S60" s="458"/>
      <c r="T60" s="458"/>
      <c r="U60" s="458"/>
      <c r="V60" s="458"/>
      <c r="W60" s="458"/>
      <c r="X60" s="458"/>
      <c r="Y60" s="461"/>
      <c r="Z60" s="461">
        <f t="shared" si="6"/>
        <v>0</v>
      </c>
      <c r="AA60" s="465"/>
      <c r="AB60" s="454"/>
      <c r="AC60" s="454"/>
      <c r="AD60" s="454"/>
      <c r="AE60" s="454"/>
      <c r="AF60" s="454"/>
      <c r="AG60" s="454"/>
      <c r="AH60" s="454"/>
      <c r="AI60" s="454"/>
      <c r="AJ60" s="454"/>
      <c r="AK60" s="454"/>
      <c r="AL60" s="454"/>
    </row>
    <row r="61" spans="1:38" s="417" customFormat="1" ht="20.100000000000001" customHeight="1">
      <c r="A61" s="417" t="s">
        <v>459</v>
      </c>
      <c r="D61" s="565" t="e">
        <f>ROUND(VLOOKUP(A61,#REF!,3,FALSE),2)</f>
        <v>#REF!</v>
      </c>
      <c r="E61" s="565">
        <v>0</v>
      </c>
      <c r="F61" s="565">
        <v>0</v>
      </c>
      <c r="G61" s="565">
        <v>0</v>
      </c>
      <c r="H61" s="565">
        <v>0</v>
      </c>
      <c r="I61" s="458">
        <v>0</v>
      </c>
      <c r="J61" s="458">
        <v>0</v>
      </c>
      <c r="K61" s="458">
        <v>0</v>
      </c>
      <c r="L61" s="458">
        <v>0</v>
      </c>
      <c r="M61" s="458">
        <v>0</v>
      </c>
      <c r="N61" s="458">
        <v>0</v>
      </c>
      <c r="O61" s="461"/>
      <c r="P61" s="458" t="e">
        <f>ROUND(#REF!,2)</f>
        <v>#REF!</v>
      </c>
      <c r="Q61" s="458"/>
      <c r="R61" s="458">
        <f>ROUND('Water and Sewer'!L29+'Central Region'!L28-'Water and Sewer'!L27-'Central Region'!L26-'Water and Sewer'!L25-'Central Region'!L25,2)</f>
        <v>98641940.849999994</v>
      </c>
      <c r="S61" s="458"/>
      <c r="T61" s="458">
        <f>ROUND(Stormwater!L28-Stormwater!L26,2)</f>
        <v>6029886.1600000001</v>
      </c>
      <c r="U61" s="458"/>
      <c r="V61" s="458">
        <v>0</v>
      </c>
      <c r="W61" s="458"/>
      <c r="X61" s="458">
        <v>0</v>
      </c>
      <c r="Y61" s="461"/>
      <c r="Z61" s="461" t="e">
        <f t="shared" si="6"/>
        <v>#REF!</v>
      </c>
      <c r="AA61" s="465"/>
      <c r="AB61" s="454"/>
      <c r="AC61" s="454"/>
      <c r="AD61" s="454"/>
      <c r="AE61" s="454"/>
      <c r="AF61" s="454"/>
      <c r="AG61" s="454"/>
      <c r="AH61" s="454"/>
      <c r="AI61" s="454"/>
      <c r="AJ61" s="454"/>
      <c r="AK61" s="454"/>
      <c r="AL61" s="454"/>
    </row>
    <row r="62" spans="1:38" s="417" customFormat="1" ht="20.100000000000001" customHeight="1">
      <c r="A62" s="417" t="s">
        <v>570</v>
      </c>
      <c r="D62" s="565" t="e">
        <f>ROUND(VLOOKUP(A62,#REF!,3,FALSE),2)</f>
        <v>#REF!</v>
      </c>
      <c r="E62" s="565">
        <f>ROUND('CRA-Beach'!L28+'CRA-NW Progresso'!L29-'CRA-Beach'!L27-'CRA-NW Progresso'!L25,2)</f>
        <v>12213467</v>
      </c>
      <c r="F62" s="925">
        <v>0</v>
      </c>
      <c r="G62" s="565">
        <f>ROUND('Beach Bus Improv District'!L21,2)</f>
        <v>699107</v>
      </c>
      <c r="H62" s="925">
        <f>ROUND('Housing and Community Dev'!L27-'Housing and Community Dev'!L26,2)</f>
        <v>9371773</v>
      </c>
      <c r="I62" s="460" t="e">
        <f>ROUND(#REF!+#REF!+#REF!-#REF!,2)</f>
        <v>#REF!</v>
      </c>
      <c r="J62" s="460">
        <v>0</v>
      </c>
      <c r="K62" s="460">
        <v>0</v>
      </c>
      <c r="L62" s="460">
        <v>0</v>
      </c>
      <c r="M62" s="460">
        <v>0</v>
      </c>
      <c r="N62" s="458">
        <v>0</v>
      </c>
      <c r="O62" s="461"/>
      <c r="P62" s="458">
        <v>0</v>
      </c>
      <c r="Q62" s="458"/>
      <c r="R62" s="458">
        <v>0</v>
      </c>
      <c r="S62" s="458"/>
      <c r="T62" s="458">
        <v>0</v>
      </c>
      <c r="U62" s="458"/>
      <c r="V62" s="458">
        <v>0</v>
      </c>
      <c r="W62" s="458"/>
      <c r="X62" s="458">
        <v>0</v>
      </c>
      <c r="Y62" s="461"/>
      <c r="Z62" s="461" t="e">
        <f t="shared" si="6"/>
        <v>#REF!</v>
      </c>
      <c r="AA62" s="465"/>
      <c r="AB62" s="454"/>
      <c r="AC62" s="454"/>
      <c r="AD62" s="454"/>
      <c r="AE62" s="454"/>
      <c r="AF62" s="454"/>
      <c r="AG62" s="454"/>
      <c r="AH62" s="454"/>
      <c r="AI62" s="454"/>
      <c r="AJ62" s="454"/>
      <c r="AK62" s="454"/>
      <c r="AL62" s="454"/>
    </row>
    <row r="63" spans="1:38" s="417" customFormat="1" ht="20.100000000000001" customHeight="1">
      <c r="A63" s="417" t="s">
        <v>476</v>
      </c>
      <c r="D63" s="565" t="e">
        <f>ROUND(VLOOKUP(A63,#REF!,3,FALSE),2)</f>
        <v>#REF!</v>
      </c>
      <c r="E63" s="565">
        <v>0</v>
      </c>
      <c r="F63" s="565">
        <v>0</v>
      </c>
      <c r="G63" s="565">
        <v>0</v>
      </c>
      <c r="H63" s="565">
        <v>0</v>
      </c>
      <c r="I63" s="458">
        <v>0</v>
      </c>
      <c r="J63" s="458">
        <v>0</v>
      </c>
      <c r="K63" s="458">
        <v>0</v>
      </c>
      <c r="L63" s="458">
        <v>0</v>
      </c>
      <c r="M63" s="458">
        <v>0</v>
      </c>
      <c r="N63" s="458">
        <f>ROUND('Arts Science District Garage'!L25,2)</f>
        <v>1160554.8400000001</v>
      </c>
      <c r="O63" s="461"/>
      <c r="P63" s="458">
        <v>0</v>
      </c>
      <c r="Q63" s="458"/>
      <c r="R63" s="458">
        <v>0</v>
      </c>
      <c r="S63" s="458"/>
      <c r="T63" s="458">
        <v>0</v>
      </c>
      <c r="U63" s="458"/>
      <c r="V63" s="458">
        <f>ROUND('Parking System'!L29-'Parking System'!L27,2)</f>
        <v>21750117.719999999</v>
      </c>
      <c r="W63" s="458"/>
      <c r="X63" s="458">
        <f>ROUND(Airport!L28-Airport!L26,2)</f>
        <v>7966110.5999999996</v>
      </c>
      <c r="Y63" s="461"/>
      <c r="Z63" s="461" t="e">
        <f t="shared" si="6"/>
        <v>#REF!</v>
      </c>
      <c r="AA63" s="465"/>
      <c r="AB63" s="454"/>
      <c r="AC63" s="454"/>
      <c r="AD63" s="454"/>
      <c r="AE63" s="454"/>
      <c r="AF63" s="454"/>
      <c r="AG63" s="454"/>
      <c r="AH63" s="454"/>
      <c r="AI63" s="454"/>
      <c r="AJ63" s="454"/>
      <c r="AK63" s="454"/>
      <c r="AL63" s="454"/>
    </row>
    <row r="64" spans="1:38" s="417" customFormat="1" ht="20.100000000000001" hidden="1" customHeight="1">
      <c r="A64" s="417" t="s">
        <v>16</v>
      </c>
      <c r="D64" s="565" t="s">
        <v>58</v>
      </c>
      <c r="E64" s="925"/>
      <c r="F64" s="925"/>
      <c r="G64" s="925"/>
      <c r="H64" s="925"/>
      <c r="I64" s="460"/>
      <c r="J64" s="460"/>
      <c r="K64" s="460"/>
      <c r="L64" s="458"/>
      <c r="M64" s="458"/>
      <c r="N64" s="458"/>
      <c r="O64" s="467"/>
      <c r="P64" s="458"/>
      <c r="Q64" s="458"/>
      <c r="R64" s="458"/>
      <c r="S64" s="458"/>
      <c r="T64" s="458"/>
      <c r="U64" s="458"/>
      <c r="V64" s="458"/>
      <c r="W64" s="458"/>
      <c r="X64" s="458"/>
      <c r="Y64" s="461"/>
      <c r="Z64" s="461">
        <f t="shared" si="6"/>
        <v>0</v>
      </c>
      <c r="AA64" s="465"/>
      <c r="AB64" s="454"/>
      <c r="AC64" s="454"/>
      <c r="AD64" s="454"/>
      <c r="AE64" s="454"/>
      <c r="AF64" s="454"/>
      <c r="AG64" s="454"/>
      <c r="AH64" s="454"/>
      <c r="AI64" s="454"/>
      <c r="AJ64" s="454"/>
      <c r="AK64" s="454"/>
      <c r="AL64" s="454"/>
    </row>
    <row r="65" spans="1:38" s="417" customFormat="1" ht="20.100000000000001" hidden="1" customHeight="1">
      <c r="A65" s="417" t="s">
        <v>461</v>
      </c>
      <c r="D65" s="925" t="s">
        <v>58</v>
      </c>
      <c r="E65" s="925"/>
      <c r="F65" s="925"/>
      <c r="G65" s="925"/>
      <c r="H65" s="925"/>
      <c r="I65" s="460"/>
      <c r="J65" s="460"/>
      <c r="K65" s="460"/>
      <c r="L65" s="458"/>
      <c r="M65" s="458"/>
      <c r="N65" s="458"/>
      <c r="O65" s="467"/>
      <c r="P65" s="458"/>
      <c r="Q65" s="458"/>
      <c r="R65" s="458"/>
      <c r="S65" s="458"/>
      <c r="T65" s="458"/>
      <c r="U65" s="458"/>
      <c r="V65" s="458"/>
      <c r="W65" s="458"/>
      <c r="X65" s="458"/>
      <c r="Y65" s="461"/>
      <c r="Z65" s="461">
        <f t="shared" si="6"/>
        <v>0</v>
      </c>
      <c r="AA65" s="465"/>
      <c r="AB65" s="454"/>
      <c r="AC65" s="454"/>
      <c r="AD65" s="454"/>
      <c r="AE65" s="454"/>
      <c r="AF65" s="454"/>
      <c r="AG65" s="454"/>
      <c r="AH65" s="454"/>
      <c r="AI65" s="454"/>
      <c r="AJ65" s="454"/>
      <c r="AK65" s="454"/>
      <c r="AL65" s="454"/>
    </row>
    <row r="66" spans="1:38" s="363" customFormat="1" ht="18.75">
      <c r="A66" s="454" t="s">
        <v>16</v>
      </c>
      <c r="D66" s="565" t="e">
        <f>ROUND(VLOOKUP(A66,#REF!,3,FALSE),2)</f>
        <v>#REF!</v>
      </c>
      <c r="E66" s="565">
        <v>0</v>
      </c>
      <c r="F66" s="565">
        <v>0</v>
      </c>
      <c r="G66" s="565">
        <v>0</v>
      </c>
      <c r="H66" s="565">
        <v>0</v>
      </c>
      <c r="I66" s="458">
        <v>0</v>
      </c>
      <c r="J66" s="458">
        <v>0</v>
      </c>
      <c r="K66" s="458">
        <v>0</v>
      </c>
      <c r="L66" s="458" t="e">
        <f>ROUND(#REF!+#REF!+#REF!+#REF!+#REF!+#REF!+#REF!,2)</f>
        <v>#REF!</v>
      </c>
      <c r="M66" s="458">
        <v>0</v>
      </c>
      <c r="N66" s="458">
        <v>0</v>
      </c>
      <c r="O66" s="461"/>
      <c r="P66" s="458">
        <v>0</v>
      </c>
      <c r="Q66" s="458"/>
      <c r="R66" s="458">
        <f>ROUND('Water and Sewer'!L25+'Central Region'!L25,2)</f>
        <v>33116202</v>
      </c>
      <c r="S66" s="458"/>
      <c r="T66" s="458">
        <v>0</v>
      </c>
      <c r="U66" s="458"/>
      <c r="V66" s="458">
        <v>0</v>
      </c>
      <c r="W66" s="458"/>
      <c r="X66" s="458">
        <v>0</v>
      </c>
      <c r="Y66" s="389"/>
      <c r="Z66" s="461" t="e">
        <f t="shared" si="6"/>
        <v>#REF!</v>
      </c>
      <c r="AA66" s="465"/>
    </row>
    <row r="67" spans="1:38" s="417" customFormat="1" ht="20.100000000000001" customHeight="1">
      <c r="A67" s="417" t="s">
        <v>460</v>
      </c>
      <c r="D67" s="565" t="e">
        <f>ROUND(VLOOKUP(A67,#REF!,3,FALSE),2)</f>
        <v>#REF!</v>
      </c>
      <c r="E67" s="925">
        <v>0</v>
      </c>
      <c r="F67" s="565">
        <f>'Sunrise Key'!L21</f>
        <v>80308.3</v>
      </c>
      <c r="G67" s="565">
        <v>0</v>
      </c>
      <c r="H67" s="565">
        <v>0</v>
      </c>
      <c r="I67" s="458">
        <v>0</v>
      </c>
      <c r="J67" s="458">
        <v>0</v>
      </c>
      <c r="K67" s="458">
        <v>0</v>
      </c>
      <c r="L67" s="458">
        <v>0</v>
      </c>
      <c r="M67" s="460">
        <v>0</v>
      </c>
      <c r="N67" s="458">
        <v>0</v>
      </c>
      <c r="O67" s="461"/>
      <c r="P67" s="458">
        <v>0</v>
      </c>
      <c r="Q67" s="458"/>
      <c r="R67" s="458">
        <v>0</v>
      </c>
      <c r="S67" s="458"/>
      <c r="T67" s="458">
        <v>0</v>
      </c>
      <c r="U67" s="458"/>
      <c r="V67" s="458">
        <v>0</v>
      </c>
      <c r="W67" s="458"/>
      <c r="X67" s="458">
        <v>0</v>
      </c>
      <c r="Y67" s="461"/>
      <c r="Z67" s="461" t="e">
        <f t="shared" si="6"/>
        <v>#REF!</v>
      </c>
      <c r="AA67" s="465"/>
      <c r="AB67" s="454"/>
      <c r="AC67" s="454"/>
      <c r="AD67" s="454"/>
      <c r="AE67" s="454"/>
      <c r="AF67" s="454"/>
      <c r="AG67" s="454"/>
      <c r="AH67" s="454"/>
      <c r="AI67" s="454"/>
      <c r="AJ67" s="454"/>
      <c r="AK67" s="454"/>
      <c r="AL67" s="454"/>
    </row>
    <row r="68" spans="1:38" s="417" customFormat="1" ht="20.100000000000001" customHeight="1">
      <c r="A68" s="417" t="s">
        <v>574</v>
      </c>
      <c r="C68" s="417" t="s">
        <v>424</v>
      </c>
      <c r="D68" s="917" t="e">
        <f t="shared" ref="D68:L68" si="7">SUM(D40:D67)</f>
        <v>#REF!</v>
      </c>
      <c r="E68" s="917">
        <f t="shared" si="7"/>
        <v>12213467</v>
      </c>
      <c r="F68" s="917">
        <f t="shared" si="7"/>
        <v>80308.3</v>
      </c>
      <c r="G68" s="917">
        <f t="shared" si="7"/>
        <v>699107</v>
      </c>
      <c r="H68" s="917">
        <f t="shared" si="7"/>
        <v>9371773</v>
      </c>
      <c r="I68" s="463" t="e">
        <f t="shared" si="7"/>
        <v>#REF!</v>
      </c>
      <c r="J68" s="463">
        <f t="shared" si="7"/>
        <v>893012</v>
      </c>
      <c r="K68" s="463">
        <f t="shared" si="7"/>
        <v>1359256</v>
      </c>
      <c r="L68" s="463" t="e">
        <f t="shared" si="7"/>
        <v>#REF!</v>
      </c>
      <c r="M68" s="463">
        <f t="shared" ref="M68:Z68" si="8">SUM(M40:M67)</f>
        <v>1250259</v>
      </c>
      <c r="N68" s="463">
        <f t="shared" si="8"/>
        <v>1160554.8400000001</v>
      </c>
      <c r="O68" s="463">
        <f t="shared" si="8"/>
        <v>0</v>
      </c>
      <c r="P68" s="463" t="e">
        <f t="shared" si="8"/>
        <v>#REF!</v>
      </c>
      <c r="Q68" s="463">
        <f t="shared" si="8"/>
        <v>0</v>
      </c>
      <c r="R68" s="463">
        <f t="shared" si="8"/>
        <v>131758142.84999999</v>
      </c>
      <c r="S68" s="463">
        <f t="shared" si="8"/>
        <v>0</v>
      </c>
      <c r="T68" s="463">
        <f t="shared" si="8"/>
        <v>6029886.1600000001</v>
      </c>
      <c r="U68" s="463">
        <f t="shared" si="8"/>
        <v>0</v>
      </c>
      <c r="V68" s="463">
        <f t="shared" si="8"/>
        <v>21750117.719999999</v>
      </c>
      <c r="W68" s="463">
        <f t="shared" si="8"/>
        <v>0</v>
      </c>
      <c r="X68" s="463">
        <f t="shared" si="8"/>
        <v>7966110.5999999996</v>
      </c>
      <c r="Y68" s="463">
        <f t="shared" si="8"/>
        <v>0</v>
      </c>
      <c r="Z68" s="463" t="e">
        <f t="shared" si="8"/>
        <v>#REF!</v>
      </c>
      <c r="AA68" s="465"/>
      <c r="AB68" s="454"/>
      <c r="AC68" s="454"/>
      <c r="AD68" s="454"/>
      <c r="AE68" s="454"/>
      <c r="AF68" s="454"/>
      <c r="AG68" s="454"/>
      <c r="AH68" s="454"/>
      <c r="AI68" s="454"/>
      <c r="AJ68" s="454"/>
      <c r="AK68" s="454"/>
      <c r="AL68" s="454"/>
    </row>
    <row r="69" spans="1:38" s="417" customFormat="1" ht="12.75" customHeight="1">
      <c r="D69" s="951"/>
      <c r="E69" s="565"/>
      <c r="F69" s="565"/>
      <c r="G69" s="565"/>
      <c r="H69" s="565"/>
      <c r="I69" s="458"/>
      <c r="J69" s="458"/>
      <c r="K69" s="458"/>
      <c r="L69" s="458"/>
      <c r="M69" s="458"/>
      <c r="N69" s="458"/>
      <c r="O69" s="461"/>
      <c r="P69" s="458"/>
      <c r="Q69" s="458"/>
      <c r="R69" s="458"/>
      <c r="S69" s="458"/>
      <c r="T69" s="458"/>
      <c r="U69" s="458"/>
      <c r="V69" s="458"/>
      <c r="W69" s="458"/>
      <c r="X69" s="458"/>
      <c r="Y69" s="461"/>
      <c r="Z69" s="461"/>
      <c r="AA69" s="465"/>
      <c r="AB69" s="454"/>
      <c r="AC69" s="454"/>
      <c r="AD69" s="454"/>
      <c r="AE69" s="454"/>
      <c r="AF69" s="454"/>
      <c r="AG69" s="454"/>
      <c r="AH69" s="454"/>
      <c r="AI69" s="454"/>
      <c r="AJ69" s="454"/>
      <c r="AK69" s="454"/>
      <c r="AL69" s="454"/>
    </row>
    <row r="70" spans="1:38" s="417" customFormat="1" ht="14.25" customHeight="1">
      <c r="A70" s="417" t="s">
        <v>462</v>
      </c>
      <c r="D70" s="951"/>
      <c r="E70" s="565"/>
      <c r="F70" s="565"/>
      <c r="G70" s="565"/>
      <c r="H70" s="565"/>
      <c r="I70" s="458"/>
      <c r="J70" s="458"/>
      <c r="K70" s="458"/>
      <c r="L70" s="458"/>
      <c r="M70" s="458"/>
      <c r="N70" s="458"/>
      <c r="O70" s="461"/>
      <c r="P70" s="458"/>
      <c r="Q70" s="458"/>
      <c r="R70" s="458"/>
      <c r="S70" s="458"/>
      <c r="T70" s="458"/>
      <c r="U70" s="458"/>
      <c r="V70" s="458"/>
      <c r="W70" s="458"/>
      <c r="X70" s="458"/>
      <c r="Y70" s="461"/>
      <c r="Z70" s="461"/>
      <c r="AA70" s="465"/>
      <c r="AB70" s="454"/>
      <c r="AC70" s="454"/>
      <c r="AD70" s="454"/>
      <c r="AE70" s="454"/>
      <c r="AF70" s="454"/>
      <c r="AG70" s="454"/>
      <c r="AH70" s="454"/>
      <c r="AI70" s="454"/>
      <c r="AJ70" s="454"/>
      <c r="AK70" s="454"/>
      <c r="AL70" s="454"/>
    </row>
    <row r="71" spans="1:38" s="417" customFormat="1" ht="18" customHeight="1">
      <c r="A71" s="417" t="s">
        <v>463</v>
      </c>
      <c r="D71" s="565">
        <f>ROUND('Budget Balancing I&amp;O'!J34-'Budget Balancing I&amp;O'!J31-'Budget Balancing I&amp;O'!J26,2)</f>
        <v>26954467.829999998</v>
      </c>
      <c r="E71" s="565" t="e">
        <f>ROUND(#REF!+#REF!+#REF!,2)</f>
        <v>#REF!</v>
      </c>
      <c r="F71" s="565">
        <v>0</v>
      </c>
      <c r="G71" s="565">
        <v>0</v>
      </c>
      <c r="H71" s="565">
        <v>0</v>
      </c>
      <c r="I71" s="458" t="e">
        <f>ROUND(#REF!,2)</f>
        <v>#REF!</v>
      </c>
      <c r="J71" s="458">
        <v>0</v>
      </c>
      <c r="K71" s="458">
        <f>ROUND(Police!L26,2)</f>
        <v>30229</v>
      </c>
      <c r="L71" s="458" t="e">
        <f>ROUND(#REF!,2)</f>
        <v>#REF!</v>
      </c>
      <c r="M71" s="458">
        <v>0</v>
      </c>
      <c r="N71" s="458">
        <v>0</v>
      </c>
      <c r="O71" s="461"/>
      <c r="P71" s="458">
        <f>ROUND(Sanitation!L26,2)</f>
        <v>534730</v>
      </c>
      <c r="Q71" s="458">
        <v>0</v>
      </c>
      <c r="R71" s="458">
        <f>ROUND('Budget Balancing I&amp;O'!J76+'Budget Balancing I&amp;O'!J89,2)</f>
        <v>2663601.85</v>
      </c>
      <c r="S71" s="458">
        <v>0</v>
      </c>
      <c r="T71" s="458">
        <f>ROUND('Budget Balancing I&amp;O'!J142,2)</f>
        <v>189993.63</v>
      </c>
      <c r="U71" s="458">
        <v>0</v>
      </c>
      <c r="V71" s="458">
        <f>ROUND('Parking System'!L27,2)</f>
        <v>0</v>
      </c>
      <c r="W71" s="458">
        <v>0</v>
      </c>
      <c r="X71" s="458">
        <f>ROUND('Budget Balancing I&amp;O'!J128,2)</f>
        <v>115733.36</v>
      </c>
      <c r="Y71" s="458">
        <v>0</v>
      </c>
      <c r="Z71" s="461" t="e">
        <f>SUM(D71:X71)</f>
        <v>#REF!</v>
      </c>
      <c r="AA71" s="465"/>
      <c r="AB71" s="454"/>
      <c r="AC71" s="454"/>
      <c r="AD71" s="454"/>
      <c r="AE71" s="454"/>
      <c r="AF71" s="454"/>
      <c r="AG71" s="454"/>
      <c r="AH71" s="454"/>
      <c r="AI71" s="454"/>
      <c r="AJ71" s="454"/>
      <c r="AK71" s="454"/>
      <c r="AL71" s="454"/>
    </row>
    <row r="72" spans="1:38" s="417" customFormat="1" ht="18" customHeight="1">
      <c r="A72" s="417" t="s">
        <v>464</v>
      </c>
      <c r="D72" s="565">
        <f>ROUND('[1]GF Expend'!$G$55,2)</f>
        <v>0</v>
      </c>
      <c r="E72" s="565">
        <v>0</v>
      </c>
      <c r="F72" s="565">
        <v>0</v>
      </c>
      <c r="G72" s="565">
        <v>0</v>
      </c>
      <c r="H72" s="565">
        <v>0</v>
      </c>
      <c r="I72" s="458">
        <v>0</v>
      </c>
      <c r="J72" s="458">
        <v>0</v>
      </c>
      <c r="K72" s="458">
        <v>0</v>
      </c>
      <c r="L72" s="458">
        <v>0</v>
      </c>
      <c r="M72" s="458">
        <v>0</v>
      </c>
      <c r="N72" s="458">
        <v>0</v>
      </c>
      <c r="O72" s="461"/>
      <c r="P72" s="458">
        <v>0</v>
      </c>
      <c r="Q72" s="458"/>
      <c r="R72" s="458">
        <v>0</v>
      </c>
      <c r="S72" s="458"/>
      <c r="T72" s="458">
        <v>0</v>
      </c>
      <c r="U72" s="458"/>
      <c r="V72" s="458">
        <v>0</v>
      </c>
      <c r="W72" s="458"/>
      <c r="X72" s="458">
        <v>0</v>
      </c>
      <c r="Y72" s="461"/>
      <c r="Z72" s="461">
        <f>SUM(D72:X72)</f>
        <v>0</v>
      </c>
      <c r="AA72" s="465"/>
      <c r="AB72" s="454"/>
      <c r="AC72" s="454"/>
      <c r="AD72" s="454"/>
      <c r="AE72" s="454"/>
      <c r="AF72" s="454"/>
      <c r="AG72" s="454"/>
      <c r="AH72" s="454"/>
      <c r="AI72" s="454"/>
      <c r="AJ72" s="454"/>
      <c r="AK72" s="454"/>
      <c r="AL72" s="454"/>
    </row>
    <row r="73" spans="1:38" s="417" customFormat="1" ht="18" customHeight="1">
      <c r="A73" s="417" t="s">
        <v>465</v>
      </c>
      <c r="D73" s="952">
        <f>ROUND('[1]GF Expend'!$G$56,2)</f>
        <v>0</v>
      </c>
      <c r="E73" s="565" t="e">
        <f>ROUND('CRA-Beach'!L27+'CRA-NW Progresso'!L25-E71,2)</f>
        <v>#REF!</v>
      </c>
      <c r="F73" s="565">
        <v>0</v>
      </c>
      <c r="G73" s="565">
        <v>0</v>
      </c>
      <c r="H73" s="565">
        <f>ROUND('Housing and Community Dev'!L26,2)</f>
        <v>0</v>
      </c>
      <c r="I73" s="458">
        <v>0</v>
      </c>
      <c r="J73" s="458">
        <v>0</v>
      </c>
      <c r="K73" s="458">
        <v>0</v>
      </c>
      <c r="L73" s="458">
        <v>0</v>
      </c>
      <c r="M73" s="458">
        <v>0</v>
      </c>
      <c r="N73" s="470">
        <v>0</v>
      </c>
      <c r="O73" s="461"/>
      <c r="P73" s="470">
        <v>0</v>
      </c>
      <c r="Q73" s="458"/>
      <c r="R73" s="470">
        <f>ROUND('Water and Sewer'!L27+'Central Region'!L26-R71,2)</f>
        <v>3563666.15</v>
      </c>
      <c r="S73" s="458"/>
      <c r="T73" s="470">
        <f>ROUND(Stormwater!L26-T71,2)</f>
        <v>-189993.63</v>
      </c>
      <c r="U73" s="458"/>
      <c r="V73" s="470">
        <v>0</v>
      </c>
      <c r="W73" s="458"/>
      <c r="X73" s="470">
        <f>ROUND(Airport!L26-X71,2)</f>
        <v>470134.64</v>
      </c>
      <c r="Y73" s="461"/>
      <c r="Z73" s="461" t="e">
        <f>SUM(D73:X73)</f>
        <v>#REF!</v>
      </c>
      <c r="AA73" s="465"/>
      <c r="AB73" s="454"/>
      <c r="AC73" s="454"/>
      <c r="AD73" s="454"/>
      <c r="AE73" s="454"/>
      <c r="AF73" s="454"/>
      <c r="AG73" s="454"/>
      <c r="AH73" s="454"/>
      <c r="AI73" s="454"/>
      <c r="AJ73" s="454"/>
      <c r="AK73" s="454"/>
      <c r="AL73" s="454"/>
    </row>
    <row r="74" spans="1:38" s="417" customFormat="1" ht="18" customHeight="1">
      <c r="A74" s="417" t="s">
        <v>587</v>
      </c>
      <c r="C74" s="417" t="s">
        <v>424</v>
      </c>
      <c r="D74" s="949">
        <f t="shared" ref="D74:L74" si="9">SUM(D71:D73)</f>
        <v>26954467.829999998</v>
      </c>
      <c r="E74" s="917" t="e">
        <f t="shared" si="9"/>
        <v>#REF!</v>
      </c>
      <c r="F74" s="917">
        <f t="shared" si="9"/>
        <v>0</v>
      </c>
      <c r="G74" s="917">
        <f t="shared" si="9"/>
        <v>0</v>
      </c>
      <c r="H74" s="917">
        <f t="shared" si="9"/>
        <v>0</v>
      </c>
      <c r="I74" s="463" t="e">
        <f t="shared" si="9"/>
        <v>#REF!</v>
      </c>
      <c r="J74" s="463">
        <f t="shared" si="9"/>
        <v>0</v>
      </c>
      <c r="K74" s="463">
        <f t="shared" si="9"/>
        <v>30229</v>
      </c>
      <c r="L74" s="463" t="e">
        <f t="shared" si="9"/>
        <v>#REF!</v>
      </c>
      <c r="M74" s="463">
        <f>SUM(M71:M73)</f>
        <v>0</v>
      </c>
      <c r="N74" s="463">
        <f>SUM(N71:N73)</f>
        <v>0</v>
      </c>
      <c r="O74" s="461"/>
      <c r="P74" s="463">
        <f>SUM(P71:P73)</f>
        <v>534730</v>
      </c>
      <c r="Q74" s="458">
        <f>SUM(Q38:Q73)</f>
        <v>0</v>
      </c>
      <c r="R74" s="463">
        <f>SUM(R71:R73)</f>
        <v>6227268</v>
      </c>
      <c r="S74" s="458">
        <f>SUM(S38:S73)</f>
        <v>0</v>
      </c>
      <c r="T74" s="463">
        <f>SUM(T71:T73)</f>
        <v>0</v>
      </c>
      <c r="U74" s="458">
        <f>SUM(U38:U73)</f>
        <v>0</v>
      </c>
      <c r="V74" s="463">
        <f>SUM(V71:V73)</f>
        <v>0</v>
      </c>
      <c r="W74" s="458">
        <f>SUM(W38:W73)</f>
        <v>0</v>
      </c>
      <c r="X74" s="463">
        <f>SUM(X71:X73)</f>
        <v>585868</v>
      </c>
      <c r="Y74" s="461">
        <f>SUM(Y38:Y73)</f>
        <v>0</v>
      </c>
      <c r="Z74" s="464" t="e">
        <f>SUM(Z71:Z73)</f>
        <v>#REF!</v>
      </c>
      <c r="AA74" s="465"/>
      <c r="AB74" s="454"/>
      <c r="AC74" s="454"/>
      <c r="AD74" s="454"/>
      <c r="AE74" s="454"/>
      <c r="AF74" s="454"/>
      <c r="AG74" s="454"/>
      <c r="AH74" s="454"/>
      <c r="AI74" s="454"/>
      <c r="AJ74" s="454"/>
      <c r="AK74" s="454"/>
      <c r="AL74" s="454"/>
    </row>
    <row r="75" spans="1:38" s="417" customFormat="1" ht="18.75">
      <c r="D75" s="951"/>
      <c r="E75" s="565"/>
      <c r="F75" s="565"/>
      <c r="G75" s="565"/>
      <c r="H75" s="565"/>
      <c r="I75" s="458"/>
      <c r="J75" s="458"/>
      <c r="K75" s="458"/>
      <c r="L75" s="458"/>
      <c r="M75" s="458"/>
      <c r="N75" s="458"/>
      <c r="O75" s="461"/>
      <c r="P75" s="458"/>
      <c r="Q75" s="458"/>
      <c r="R75" s="458"/>
      <c r="S75" s="458"/>
      <c r="T75" s="458"/>
      <c r="U75" s="458"/>
      <c r="V75" s="458"/>
      <c r="W75" s="458"/>
      <c r="X75" s="458"/>
      <c r="Y75" s="461"/>
      <c r="Z75" s="461"/>
      <c r="AA75" s="465"/>
      <c r="AB75" s="454"/>
      <c r="AC75" s="454"/>
      <c r="AD75" s="454"/>
      <c r="AE75" s="454"/>
      <c r="AF75" s="454"/>
      <c r="AG75" s="454"/>
      <c r="AH75" s="454"/>
      <c r="AI75" s="454"/>
      <c r="AJ75" s="454"/>
      <c r="AK75" s="454"/>
      <c r="AL75" s="454"/>
    </row>
    <row r="76" spans="1:38" s="417" customFormat="1" ht="17.25" customHeight="1">
      <c r="A76" s="417" t="s">
        <v>466</v>
      </c>
      <c r="D76" s="951"/>
      <c r="E76" s="565"/>
      <c r="F76" s="565"/>
      <c r="G76" s="565"/>
      <c r="H76" s="565"/>
      <c r="I76" s="458"/>
      <c r="J76" s="458"/>
      <c r="K76" s="458"/>
      <c r="L76" s="458"/>
      <c r="M76" s="458"/>
      <c r="N76" s="458"/>
      <c r="O76" s="461"/>
      <c r="P76" s="458"/>
      <c r="Q76" s="458"/>
      <c r="R76" s="458"/>
      <c r="S76" s="458"/>
      <c r="T76" s="458"/>
      <c r="U76" s="458"/>
      <c r="V76" s="458"/>
      <c r="W76" s="458"/>
      <c r="X76" s="458"/>
      <c r="Y76" s="461"/>
      <c r="Z76" s="461"/>
      <c r="AA76" s="465"/>
      <c r="AB76" s="454"/>
      <c r="AC76" s="454"/>
      <c r="AD76" s="454"/>
      <c r="AE76" s="454"/>
      <c r="AF76" s="454"/>
      <c r="AG76" s="454"/>
      <c r="AH76" s="454"/>
      <c r="AI76" s="454"/>
      <c r="AJ76" s="454"/>
      <c r="AK76" s="454"/>
      <c r="AL76" s="454"/>
    </row>
    <row r="77" spans="1:38" s="417" customFormat="1" ht="18" customHeight="1">
      <c r="A77" s="417" t="s">
        <v>36</v>
      </c>
      <c r="D77" s="565">
        <f>ROUND('001 General Fund'!K53,2)</f>
        <v>54350613</v>
      </c>
      <c r="E77" s="565">
        <f>ROUND('CRA-NW Progresso'!L32,2)</f>
        <v>0</v>
      </c>
      <c r="F77" s="565">
        <f>ROUND('Sunrise Key'!L24,2)</f>
        <v>99940.17</v>
      </c>
      <c r="G77" s="565">
        <f>ROUND('Beach Bus Improv District'!L25,2)</f>
        <v>404874</v>
      </c>
      <c r="H77" s="565">
        <v>0</v>
      </c>
      <c r="I77" s="458" t="e">
        <f>ROUND(#REF!+#REF!+#REF!,2)</f>
        <v>#REF!</v>
      </c>
      <c r="J77" s="458">
        <v>0</v>
      </c>
      <c r="K77" s="458">
        <f>ROUND(Police!L31+'Drug Enforcement Agency'!L30,2)</f>
        <v>610487</v>
      </c>
      <c r="L77" s="458">
        <v>0</v>
      </c>
      <c r="M77" s="458">
        <v>0</v>
      </c>
      <c r="N77" s="458">
        <v>0</v>
      </c>
      <c r="O77" s="461"/>
      <c r="P77" s="458">
        <f>ROUND(Sanitation!L31,2)</f>
        <v>0</v>
      </c>
      <c r="Q77" s="458"/>
      <c r="R77" s="458">
        <f>ROUND('Water and Sewer'!L33+'Central Region'!L32,2)</f>
        <v>0</v>
      </c>
      <c r="S77" s="458"/>
      <c r="T77" s="458">
        <f>ROUND(Stormwater!L32,2)</f>
        <v>13107307</v>
      </c>
      <c r="U77" s="458"/>
      <c r="V77" s="458">
        <f>ROUND('Parking System'!L33,2)</f>
        <v>3533101.86</v>
      </c>
      <c r="W77" s="458"/>
      <c r="X77" s="460">
        <f>ROUND(Airport!L31,2)</f>
        <v>13024398</v>
      </c>
      <c r="Y77" s="461"/>
      <c r="Z77" s="461" t="e">
        <f>SUM(D77:X77)</f>
        <v>#REF!</v>
      </c>
      <c r="AA77" s="465"/>
      <c r="AB77" s="454"/>
      <c r="AC77" s="454"/>
      <c r="AD77" s="454"/>
      <c r="AE77" s="454"/>
      <c r="AF77" s="454"/>
      <c r="AG77" s="454"/>
      <c r="AH77" s="454"/>
      <c r="AI77" s="454"/>
      <c r="AJ77" s="454"/>
      <c r="AK77" s="454"/>
      <c r="AL77" s="454"/>
    </row>
    <row r="78" spans="1:38" s="417" customFormat="1" ht="18" customHeight="1">
      <c r="A78" s="417" t="s">
        <v>782</v>
      </c>
      <c r="D78" s="565">
        <f>ROUND('001 General Fund'!K52-D79,2)</f>
        <v>-3111321</v>
      </c>
      <c r="E78" s="565">
        <v>0</v>
      </c>
      <c r="F78" s="565">
        <v>0</v>
      </c>
      <c r="G78" s="565">
        <v>0</v>
      </c>
      <c r="H78" s="565">
        <v>0</v>
      </c>
      <c r="I78" s="458">
        <v>0</v>
      </c>
      <c r="J78" s="458">
        <v>0</v>
      </c>
      <c r="K78" s="458">
        <v>0</v>
      </c>
      <c r="L78" s="458">
        <v>0</v>
      </c>
      <c r="M78" s="458">
        <v>0</v>
      </c>
      <c r="N78" s="458">
        <f>0</f>
        <v>0</v>
      </c>
      <c r="O78" s="458">
        <f>0</f>
        <v>0</v>
      </c>
      <c r="P78" s="458">
        <f>0</f>
        <v>0</v>
      </c>
      <c r="Q78" s="458">
        <f>0</f>
        <v>0</v>
      </c>
      <c r="R78" s="458">
        <f>0</f>
        <v>0</v>
      </c>
      <c r="S78" s="458">
        <f>0</f>
        <v>0</v>
      </c>
      <c r="T78" s="458">
        <f>0</f>
        <v>0</v>
      </c>
      <c r="U78" s="458">
        <f>0</f>
        <v>0</v>
      </c>
      <c r="V78" s="458">
        <f>0</f>
        <v>0</v>
      </c>
      <c r="W78" s="458">
        <f>0</f>
        <v>0</v>
      </c>
      <c r="X78" s="458">
        <f>0</f>
        <v>0</v>
      </c>
      <c r="Y78" s="458">
        <f>0</f>
        <v>0</v>
      </c>
      <c r="Z78" s="461">
        <f>SUM(D78:X78)</f>
        <v>-3111321</v>
      </c>
      <c r="AA78" s="465"/>
      <c r="AB78" s="454"/>
      <c r="AC78" s="454"/>
      <c r="AD78" s="454"/>
      <c r="AE78" s="454"/>
      <c r="AF78" s="454"/>
      <c r="AG78" s="454"/>
      <c r="AH78" s="454"/>
      <c r="AI78" s="454"/>
      <c r="AJ78" s="454"/>
      <c r="AK78" s="454"/>
      <c r="AL78" s="454"/>
    </row>
    <row r="79" spans="1:38" s="417" customFormat="1" ht="18" customHeight="1">
      <c r="A79" s="417" t="s">
        <v>690</v>
      </c>
      <c r="D79" s="565">
        <f>ROUND('Budget Balancing I&amp;O'!J36,2)</f>
        <v>4000000</v>
      </c>
      <c r="E79" s="565">
        <v>0</v>
      </c>
      <c r="F79" s="565">
        <v>0</v>
      </c>
      <c r="G79" s="565">
        <v>0</v>
      </c>
      <c r="H79" s="565">
        <v>0</v>
      </c>
      <c r="I79" s="458">
        <v>0</v>
      </c>
      <c r="J79" s="458">
        <v>0</v>
      </c>
      <c r="K79" s="458">
        <v>0</v>
      </c>
      <c r="L79" s="458">
        <v>0</v>
      </c>
      <c r="M79" s="458">
        <v>0</v>
      </c>
      <c r="N79" s="458">
        <v>0</v>
      </c>
      <c r="O79" s="458"/>
      <c r="P79" s="458">
        <v>0</v>
      </c>
      <c r="Q79" s="458"/>
      <c r="R79" s="458">
        <v>0</v>
      </c>
      <c r="S79" s="458"/>
      <c r="T79" s="458">
        <v>0</v>
      </c>
      <c r="U79" s="458"/>
      <c r="V79" s="458">
        <v>0</v>
      </c>
      <c r="W79" s="458"/>
      <c r="X79" s="458">
        <v>0</v>
      </c>
      <c r="Y79" s="458"/>
      <c r="Z79" s="461">
        <f>SUM(D79:X79)</f>
        <v>4000000</v>
      </c>
      <c r="AA79" s="465"/>
      <c r="AB79" s="454"/>
      <c r="AC79" s="454"/>
      <c r="AD79" s="454"/>
      <c r="AE79" s="454"/>
      <c r="AF79" s="454"/>
      <c r="AG79" s="454"/>
      <c r="AH79" s="454"/>
      <c r="AI79" s="454"/>
      <c r="AJ79" s="454"/>
      <c r="AK79" s="454"/>
      <c r="AL79" s="454"/>
    </row>
    <row r="80" spans="1:38" s="417" customFormat="1" ht="18" customHeight="1">
      <c r="A80" s="417" t="s">
        <v>29</v>
      </c>
      <c r="D80" s="926">
        <v>0</v>
      </c>
      <c r="E80" s="926">
        <v>0</v>
      </c>
      <c r="F80" s="565">
        <v>0</v>
      </c>
      <c r="G80" s="565">
        <v>0</v>
      </c>
      <c r="H80" s="565">
        <v>0</v>
      </c>
      <c r="I80" s="458" t="e">
        <f>ROUND(#REF!+#REF!+#REF!,2)</f>
        <v>#REF!</v>
      </c>
      <c r="J80" s="458">
        <v>0</v>
      </c>
      <c r="K80" s="458">
        <v>0</v>
      </c>
      <c r="L80" s="470" t="e">
        <f>ROUND(#REF!+#REF!+#REF!+#REF!,2)</f>
        <v>#REF!</v>
      </c>
      <c r="M80" s="458">
        <f>ROUND(Cemtery!L25,2)</f>
        <v>24879487.120000001</v>
      </c>
      <c r="N80" s="470">
        <v>0</v>
      </c>
      <c r="O80" s="461"/>
      <c r="P80" s="458">
        <f>ROUND(Sanitation!L30,2)</f>
        <v>2310762.31</v>
      </c>
      <c r="Q80" s="458"/>
      <c r="R80" s="470">
        <f>ROUND('Water and Sewer'!L32+'Central Region'!L31,2)</f>
        <v>47374438.149999999</v>
      </c>
      <c r="S80" s="458"/>
      <c r="T80" s="470">
        <v>0</v>
      </c>
      <c r="U80" s="458"/>
      <c r="V80" s="458">
        <f>ROUND('Parking System'!L32,2)</f>
        <v>3778896.08</v>
      </c>
      <c r="W80" s="458"/>
      <c r="X80" s="470">
        <v>0</v>
      </c>
      <c r="Y80" s="461"/>
      <c r="Z80" s="461" t="e">
        <f>SUM(D80:X80)</f>
        <v>#REF!</v>
      </c>
      <c r="AA80" s="465"/>
      <c r="AB80" s="454"/>
      <c r="AC80" s="454"/>
      <c r="AD80" s="454"/>
      <c r="AE80" s="454"/>
      <c r="AF80" s="454"/>
      <c r="AG80" s="454"/>
      <c r="AH80" s="454"/>
      <c r="AI80" s="454"/>
      <c r="AJ80" s="454"/>
      <c r="AK80" s="454"/>
      <c r="AL80" s="454"/>
    </row>
    <row r="81" spans="1:38" s="417" customFormat="1" ht="18" customHeight="1">
      <c r="A81" s="417" t="s">
        <v>468</v>
      </c>
      <c r="C81" s="417" t="s">
        <v>424</v>
      </c>
      <c r="D81" s="949">
        <f>SUM(D77:D80)</f>
        <v>55239292</v>
      </c>
      <c r="E81" s="917">
        <f t="shared" ref="E81:L81" si="10">SUM(E77:E80)</f>
        <v>0</v>
      </c>
      <c r="F81" s="917">
        <f t="shared" si="10"/>
        <v>99940.17</v>
      </c>
      <c r="G81" s="917">
        <f t="shared" si="10"/>
        <v>404874</v>
      </c>
      <c r="H81" s="917">
        <f t="shared" si="10"/>
        <v>0</v>
      </c>
      <c r="I81" s="463" t="e">
        <f t="shared" si="10"/>
        <v>#REF!</v>
      </c>
      <c r="J81" s="463">
        <f t="shared" si="10"/>
        <v>0</v>
      </c>
      <c r="K81" s="463">
        <f t="shared" si="10"/>
        <v>610487</v>
      </c>
      <c r="L81" s="463" t="e">
        <f t="shared" si="10"/>
        <v>#REF!</v>
      </c>
      <c r="M81" s="463">
        <f>SUM(M77:M80)</f>
        <v>24879487.120000001</v>
      </c>
      <c r="N81" s="463">
        <f>SUM(N77:N80)</f>
        <v>0</v>
      </c>
      <c r="O81" s="461"/>
      <c r="P81" s="463">
        <f>SUM(P77:P80)</f>
        <v>2310762.31</v>
      </c>
      <c r="Q81" s="458"/>
      <c r="R81" s="463">
        <f>SUM(R77:R80)</f>
        <v>47374438.149999999</v>
      </c>
      <c r="S81" s="458"/>
      <c r="T81" s="463">
        <f>SUM(T77:T80)</f>
        <v>13107307</v>
      </c>
      <c r="U81" s="458"/>
      <c r="V81" s="463">
        <f>SUM(V77:V80)</f>
        <v>7311997.9399999995</v>
      </c>
      <c r="W81" s="458"/>
      <c r="X81" s="463">
        <f>SUM(X77:X80)</f>
        <v>13024398</v>
      </c>
      <c r="Y81" s="461"/>
      <c r="Z81" s="464" t="e">
        <f>SUM(Z77:Z80)</f>
        <v>#REF!</v>
      </c>
      <c r="AA81" s="465"/>
      <c r="AB81" s="454"/>
      <c r="AC81" s="454"/>
      <c r="AD81" s="454"/>
      <c r="AE81" s="454"/>
      <c r="AF81" s="454"/>
      <c r="AG81" s="454"/>
      <c r="AH81" s="454"/>
      <c r="AI81" s="454"/>
      <c r="AJ81" s="454"/>
      <c r="AK81" s="454"/>
      <c r="AL81" s="454"/>
    </row>
    <row r="82" spans="1:38" s="417" customFormat="1" ht="8.25" customHeight="1">
      <c r="D82" s="953"/>
      <c r="E82" s="927"/>
      <c r="F82" s="927"/>
      <c r="G82" s="927"/>
      <c r="H82" s="927"/>
      <c r="I82" s="461"/>
      <c r="J82" s="461"/>
      <c r="K82" s="461"/>
      <c r="L82" s="461"/>
      <c r="M82" s="461"/>
      <c r="N82" s="461"/>
      <c r="O82" s="461"/>
      <c r="P82" s="461"/>
      <c r="Q82" s="461"/>
      <c r="R82" s="461"/>
      <c r="S82" s="461"/>
      <c r="T82" s="461"/>
      <c r="U82" s="461"/>
      <c r="V82" s="461"/>
      <c r="W82" s="461"/>
      <c r="X82" s="461"/>
      <c r="Y82" s="461"/>
      <c r="Z82" s="467"/>
      <c r="AA82" s="465"/>
      <c r="AB82" s="454"/>
      <c r="AC82" s="454"/>
      <c r="AD82" s="454"/>
      <c r="AE82" s="454"/>
      <c r="AF82" s="454"/>
      <c r="AG82" s="454"/>
      <c r="AH82" s="454"/>
      <c r="AI82" s="454"/>
      <c r="AJ82" s="454"/>
      <c r="AK82" s="454"/>
      <c r="AL82" s="454"/>
    </row>
    <row r="83" spans="1:38" s="417" customFormat="1" ht="21.95" customHeight="1" thickBot="1">
      <c r="A83" s="476" t="s">
        <v>25</v>
      </c>
      <c r="B83" s="449"/>
      <c r="C83" s="417" t="s">
        <v>424</v>
      </c>
      <c r="D83" s="920" t="e">
        <f>D68+D74+D81</f>
        <v>#REF!</v>
      </c>
      <c r="E83" s="920" t="e">
        <f>E68+E74+E81</f>
        <v>#REF!</v>
      </c>
      <c r="F83" s="920">
        <f t="shared" ref="F83:L83" si="11">F68+F74+F81</f>
        <v>180248.47</v>
      </c>
      <c r="G83" s="920">
        <f t="shared" si="11"/>
        <v>1103981</v>
      </c>
      <c r="H83" s="920">
        <f t="shared" si="11"/>
        <v>9371773</v>
      </c>
      <c r="I83" s="480" t="e">
        <f t="shared" si="11"/>
        <v>#REF!</v>
      </c>
      <c r="J83" s="480">
        <f t="shared" si="11"/>
        <v>893012</v>
      </c>
      <c r="K83" s="480">
        <f>K68+K74+K81</f>
        <v>1999972</v>
      </c>
      <c r="L83" s="482" t="e">
        <f t="shared" si="11"/>
        <v>#REF!</v>
      </c>
      <c r="M83" s="482">
        <f>M68+M74+M81</f>
        <v>26129746.120000001</v>
      </c>
      <c r="N83" s="480">
        <f>N68+N74+N81</f>
        <v>1160554.8400000001</v>
      </c>
      <c r="O83" s="461"/>
      <c r="P83" s="480" t="e">
        <f>P68+P74+P81</f>
        <v>#REF!</v>
      </c>
      <c r="Q83" s="481">
        <f>Q73+Q77</f>
        <v>0</v>
      </c>
      <c r="R83" s="480">
        <f>R68+R74+R81</f>
        <v>185359849</v>
      </c>
      <c r="S83" s="481">
        <f>S73+S77</f>
        <v>0</v>
      </c>
      <c r="T83" s="480">
        <f>T68+T74+T81</f>
        <v>19137193.16</v>
      </c>
      <c r="U83" s="481">
        <f>U73+U77</f>
        <v>0</v>
      </c>
      <c r="V83" s="480">
        <f>V68+V74+V81</f>
        <v>29062115.659999996</v>
      </c>
      <c r="W83" s="481">
        <f>W73+W77</f>
        <v>0</v>
      </c>
      <c r="X83" s="480">
        <f>X68+X74+X81</f>
        <v>21576376.600000001</v>
      </c>
      <c r="Y83" s="481">
        <f>Y74+Y80</f>
        <v>0</v>
      </c>
      <c r="Z83" s="480" t="e">
        <f>Z68+Z74+Z81</f>
        <v>#REF!</v>
      </c>
      <c r="AA83" s="465"/>
      <c r="AB83" s="454"/>
      <c r="AC83" s="454"/>
      <c r="AD83" s="454"/>
      <c r="AE83" s="454"/>
      <c r="AF83" s="454"/>
      <c r="AG83" s="454"/>
      <c r="AH83" s="454"/>
      <c r="AI83" s="454"/>
      <c r="AJ83" s="454"/>
      <c r="AK83" s="454"/>
      <c r="AL83" s="454"/>
    </row>
    <row r="84" spans="1:38" s="417" customFormat="1" ht="21.95" customHeight="1" thickTop="1">
      <c r="A84" s="476"/>
      <c r="B84" s="449"/>
      <c r="D84" s="918"/>
      <c r="E84" s="918"/>
      <c r="F84" s="918"/>
      <c r="G84" s="918"/>
      <c r="H84" s="918"/>
      <c r="I84" s="467"/>
      <c r="J84" s="467"/>
      <c r="K84" s="467"/>
      <c r="L84" s="483"/>
      <c r="M84" s="705" t="s">
        <v>58</v>
      </c>
      <c r="N84" s="705"/>
      <c r="O84" s="705"/>
      <c r="P84" s="705"/>
      <c r="Q84" s="705"/>
      <c r="R84" s="705"/>
      <c r="S84" s="705"/>
      <c r="T84" s="705"/>
      <c r="U84" s="705"/>
      <c r="V84" s="705"/>
      <c r="W84" s="705"/>
      <c r="X84" s="705"/>
      <c r="Y84" s="705"/>
      <c r="Z84" s="705"/>
      <c r="AA84" s="363"/>
      <c r="AB84" s="454"/>
      <c r="AC84" s="454"/>
      <c r="AD84" s="454"/>
      <c r="AE84" s="454"/>
      <c r="AF84" s="454"/>
      <c r="AG84" s="454"/>
      <c r="AH84" s="454"/>
      <c r="AI84" s="454"/>
      <c r="AJ84" s="454"/>
      <c r="AK84" s="454"/>
      <c r="AL84" s="454"/>
    </row>
    <row r="85" spans="1:38" ht="21" customHeight="1">
      <c r="A85" s="356"/>
      <c r="B85" s="356"/>
      <c r="C85" s="356"/>
      <c r="D85" s="954" t="e">
        <f>ROUND(D83-'001 General Fund'!K56,2)</f>
        <v>#REF!</v>
      </c>
      <c r="E85" s="937"/>
      <c r="F85" s="937"/>
      <c r="G85" s="937"/>
      <c r="H85" s="937"/>
      <c r="I85" s="375"/>
      <c r="J85" s="375"/>
      <c r="K85" s="375"/>
      <c r="L85" s="375"/>
      <c r="M85" s="389"/>
      <c r="N85" s="389"/>
      <c r="O85" s="389"/>
      <c r="P85" s="389"/>
      <c r="Q85" s="389"/>
      <c r="R85" s="389"/>
      <c r="S85" s="389"/>
      <c r="T85" s="389"/>
      <c r="U85" s="389"/>
      <c r="V85" s="389"/>
      <c r="W85" s="389"/>
      <c r="X85" s="389"/>
      <c r="Y85" s="389"/>
      <c r="Z85" s="389"/>
    </row>
    <row r="86" spans="1:38" ht="9.9499999999999993" customHeight="1">
      <c r="A86" s="356"/>
      <c r="B86" s="356"/>
      <c r="C86" s="356"/>
      <c r="D86" s="954"/>
      <c r="E86" s="937"/>
      <c r="F86" s="937"/>
      <c r="G86" s="937"/>
      <c r="H86" s="937"/>
      <c r="I86" s="375"/>
      <c r="J86" s="375"/>
      <c r="K86" s="375"/>
      <c r="L86" s="375"/>
      <c r="M86" s="389"/>
      <c r="N86" s="389"/>
      <c r="O86" s="389"/>
      <c r="P86" s="389"/>
      <c r="Q86" s="389"/>
      <c r="R86" s="389"/>
      <c r="S86" s="389"/>
      <c r="T86" s="389"/>
      <c r="U86" s="389"/>
      <c r="V86" s="389"/>
      <c r="W86" s="389"/>
      <c r="X86" s="389"/>
      <c r="Y86" s="389"/>
      <c r="Z86" s="389"/>
    </row>
    <row r="87" spans="1:38" s="903" customFormat="1" ht="15.75">
      <c r="A87" s="903" t="s">
        <v>469</v>
      </c>
      <c r="D87" s="955" t="e">
        <f t="shared" ref="D87:Z87" si="12">D33-D83</f>
        <v>#REF!</v>
      </c>
      <c r="E87" s="921" t="e">
        <f t="shared" si="12"/>
        <v>#REF!</v>
      </c>
      <c r="F87" s="921">
        <f t="shared" si="12"/>
        <v>0</v>
      </c>
      <c r="G87" s="921">
        <f t="shared" si="12"/>
        <v>0</v>
      </c>
      <c r="H87" s="921">
        <f t="shared" si="12"/>
        <v>38123</v>
      </c>
      <c r="I87" s="959" t="e">
        <f t="shared" si="12"/>
        <v>#REF!</v>
      </c>
      <c r="J87" s="959">
        <f t="shared" si="12"/>
        <v>-20412</v>
      </c>
      <c r="K87" s="959">
        <f t="shared" si="12"/>
        <v>-320252</v>
      </c>
      <c r="L87" s="959" t="e">
        <f t="shared" si="12"/>
        <v>#REF!</v>
      </c>
      <c r="M87" s="959">
        <f t="shared" si="12"/>
        <v>0</v>
      </c>
      <c r="N87" s="959">
        <f t="shared" si="12"/>
        <v>-4560</v>
      </c>
      <c r="O87" s="959">
        <f t="shared" si="12"/>
        <v>0</v>
      </c>
      <c r="P87" s="959" t="e">
        <f t="shared" si="12"/>
        <v>#REF!</v>
      </c>
      <c r="Q87" s="959">
        <f t="shared" si="12"/>
        <v>0</v>
      </c>
      <c r="R87" s="959">
        <f t="shared" si="12"/>
        <v>0</v>
      </c>
      <c r="S87" s="959">
        <f t="shared" si="12"/>
        <v>0</v>
      </c>
      <c r="T87" s="959">
        <f t="shared" si="12"/>
        <v>-6753574.1600000001</v>
      </c>
      <c r="U87" s="959">
        <f t="shared" si="12"/>
        <v>0</v>
      </c>
      <c r="V87" s="959">
        <f t="shared" si="12"/>
        <v>0</v>
      </c>
      <c r="W87" s="959">
        <f t="shared" si="12"/>
        <v>0</v>
      </c>
      <c r="X87" s="959">
        <f t="shared" si="12"/>
        <v>0.32000000029802322</v>
      </c>
      <c r="Y87" s="959">
        <f t="shared" si="12"/>
        <v>0</v>
      </c>
      <c r="Z87" s="959" t="e">
        <f t="shared" si="12"/>
        <v>#REF!</v>
      </c>
      <c r="AA87" s="360"/>
      <c r="AB87" s="904"/>
      <c r="AC87" s="904"/>
      <c r="AD87" s="904"/>
      <c r="AE87" s="904"/>
      <c r="AF87" s="904"/>
      <c r="AG87" s="904"/>
      <c r="AH87" s="904"/>
      <c r="AI87" s="904"/>
      <c r="AJ87" s="904"/>
      <c r="AK87" s="904"/>
      <c r="AL87" s="904"/>
    </row>
    <row r="88" spans="1:38">
      <c r="D88" s="905" t="e">
        <f>D77/D68</f>
        <v>#REF!</v>
      </c>
      <c r="E88" s="912" t="s">
        <v>58</v>
      </c>
      <c r="F88" s="943" t="s">
        <v>58</v>
      </c>
      <c r="I88" s="389" t="s">
        <v>58</v>
      </c>
      <c r="J88" s="389"/>
      <c r="K88" s="389"/>
      <c r="L88" s="389" t="s">
        <v>58</v>
      </c>
      <c r="M88" s="389"/>
      <c r="N88" s="389"/>
      <c r="O88" s="389"/>
      <c r="P88" s="389"/>
      <c r="Q88" s="389"/>
      <c r="R88" s="389"/>
      <c r="S88" s="389"/>
      <c r="T88" s="389"/>
      <c r="U88" s="389"/>
      <c r="V88" s="389"/>
      <c r="W88" s="389"/>
      <c r="X88" s="389"/>
      <c r="Y88" s="389"/>
      <c r="Z88" s="389"/>
    </row>
    <row r="89" spans="1:38">
      <c r="D89" s="956" t="s">
        <v>58</v>
      </c>
      <c r="I89" s="389"/>
      <c r="J89" s="389"/>
      <c r="K89" s="389"/>
      <c r="L89" s="389"/>
      <c r="M89" s="389"/>
      <c r="N89" s="389"/>
      <c r="O89" s="389"/>
      <c r="P89" s="389"/>
      <c r="Q89" s="389"/>
      <c r="R89" s="389"/>
      <c r="S89" s="389"/>
      <c r="T89" s="389"/>
      <c r="U89" s="389"/>
      <c r="V89" s="389"/>
      <c r="W89" s="389"/>
      <c r="X89" s="389"/>
      <c r="Y89" s="389"/>
      <c r="Z89" s="389"/>
    </row>
    <row r="90" spans="1:38">
      <c r="I90" s="389"/>
      <c r="J90" s="389"/>
      <c r="K90" s="389"/>
      <c r="L90" s="389"/>
      <c r="M90" s="389"/>
      <c r="N90" s="389"/>
      <c r="O90" s="389"/>
      <c r="P90" s="389"/>
      <c r="Q90" s="389"/>
      <c r="R90" s="389"/>
      <c r="S90" s="389"/>
      <c r="T90" s="389"/>
      <c r="U90" s="389"/>
      <c r="V90" s="389"/>
      <c r="W90" s="389"/>
      <c r="X90" s="389"/>
      <c r="Y90" s="389"/>
      <c r="Z90" s="389"/>
    </row>
    <row r="91" spans="1:38">
      <c r="D91" s="956" t="s">
        <v>58</v>
      </c>
      <c r="E91" s="912" t="s">
        <v>58</v>
      </c>
      <c r="I91" s="389"/>
      <c r="J91" s="389"/>
      <c r="K91" s="389"/>
      <c r="L91" s="389"/>
      <c r="M91" s="389"/>
      <c r="N91" s="389"/>
      <c r="O91" s="389"/>
      <c r="P91" s="389"/>
      <c r="Q91" s="389"/>
      <c r="R91" s="389"/>
      <c r="S91" s="389"/>
      <c r="T91" s="389"/>
      <c r="U91" s="389"/>
      <c r="V91" s="389"/>
      <c r="W91" s="389"/>
      <c r="X91" s="389"/>
      <c r="Y91" s="389"/>
      <c r="Z91" s="389"/>
    </row>
    <row r="92" spans="1:38">
      <c r="D92" s="922" t="s">
        <v>58</v>
      </c>
      <c r="I92" s="389"/>
      <c r="J92" s="389"/>
      <c r="K92" s="389"/>
      <c r="L92" s="389"/>
      <c r="M92" s="389"/>
      <c r="N92" s="389"/>
      <c r="O92" s="389"/>
      <c r="P92" s="389"/>
      <c r="Q92" s="389"/>
      <c r="R92" s="389"/>
      <c r="S92" s="389"/>
      <c r="T92" s="389"/>
      <c r="U92" s="389"/>
      <c r="V92" s="389"/>
      <c r="W92" s="389"/>
      <c r="X92" s="389"/>
      <c r="Y92" s="389"/>
      <c r="Z92" s="389"/>
    </row>
    <row r="93" spans="1:38">
      <c r="D93" s="922" t="s">
        <v>58</v>
      </c>
      <c r="I93" s="389"/>
      <c r="J93" s="389"/>
      <c r="K93" s="389"/>
      <c r="L93" s="389"/>
      <c r="M93" s="389"/>
      <c r="N93" s="389"/>
      <c r="O93" s="389"/>
      <c r="P93" s="389"/>
      <c r="Q93" s="389"/>
      <c r="R93" s="389"/>
      <c r="S93" s="389"/>
      <c r="T93" s="389"/>
      <c r="U93" s="389"/>
      <c r="V93" s="389"/>
      <c r="W93" s="389"/>
      <c r="X93" s="389"/>
      <c r="Y93" s="389"/>
      <c r="Z93" s="389"/>
    </row>
    <row r="94" spans="1:38">
      <c r="E94" s="912" t="s">
        <v>58</v>
      </c>
      <c r="I94" s="389"/>
      <c r="J94" s="389"/>
      <c r="K94" s="389"/>
      <c r="L94" s="389"/>
      <c r="M94" s="389"/>
      <c r="N94" s="389"/>
      <c r="O94" s="389"/>
      <c r="P94" s="389"/>
      <c r="Q94" s="389"/>
      <c r="R94" s="389"/>
      <c r="S94" s="389"/>
      <c r="T94" s="389"/>
      <c r="U94" s="389"/>
      <c r="V94" s="389"/>
      <c r="W94" s="389"/>
      <c r="X94" s="389"/>
      <c r="Y94" s="389"/>
      <c r="Z94" s="389"/>
    </row>
    <row r="95" spans="1:38" s="417" customFormat="1" ht="21.95" customHeight="1" thickBot="1">
      <c r="A95" s="476" t="s">
        <v>783</v>
      </c>
      <c r="B95" s="449"/>
      <c r="C95" s="417" t="s">
        <v>424</v>
      </c>
      <c r="D95" s="920">
        <v>315782855.67000002</v>
      </c>
      <c r="E95" s="920">
        <v>10992300</v>
      </c>
      <c r="F95" s="920">
        <v>151173</v>
      </c>
      <c r="G95" s="920">
        <v>706126</v>
      </c>
      <c r="H95" s="920">
        <v>11732668</v>
      </c>
      <c r="I95" s="480">
        <v>19111205</v>
      </c>
      <c r="J95" s="480"/>
      <c r="K95" s="480"/>
      <c r="L95" s="482">
        <v>23730421.23</v>
      </c>
      <c r="M95" s="482">
        <v>21517625</v>
      </c>
      <c r="N95" s="480">
        <v>1451345</v>
      </c>
      <c r="O95" s="461"/>
      <c r="P95" s="480">
        <v>22591218.84</v>
      </c>
      <c r="Q95" s="481"/>
      <c r="R95" s="480">
        <v>205174442.10000002</v>
      </c>
      <c r="S95" s="481"/>
      <c r="T95" s="480">
        <v>17825915.34</v>
      </c>
      <c r="U95" s="481"/>
      <c r="V95" s="480">
        <v>25092661.59</v>
      </c>
      <c r="W95" s="481"/>
      <c r="X95" s="480">
        <v>19374455.009999998</v>
      </c>
      <c r="Y95" s="481"/>
      <c r="Z95" s="480">
        <v>695234411.77999997</v>
      </c>
      <c r="AA95" s="465"/>
      <c r="AB95" s="454"/>
      <c r="AC95" s="454"/>
      <c r="AD95" s="454"/>
      <c r="AE95" s="454"/>
      <c r="AF95" s="454"/>
      <c r="AG95" s="454"/>
      <c r="AH95" s="454"/>
      <c r="AI95" s="454"/>
      <c r="AJ95" s="454"/>
      <c r="AK95" s="454"/>
      <c r="AL95" s="454"/>
    </row>
    <row r="96" spans="1:38" ht="13.5" thickTop="1">
      <c r="D96" s="922" t="e">
        <f>D83-D95</f>
        <v>#REF!</v>
      </c>
      <c r="E96" s="922" t="e">
        <f t="shared" ref="E96:Z96" si="13">E83-E95</f>
        <v>#REF!</v>
      </c>
      <c r="F96" s="922">
        <f t="shared" si="13"/>
        <v>29075.47</v>
      </c>
      <c r="G96" s="922">
        <f t="shared" si="13"/>
        <v>397855</v>
      </c>
      <c r="H96" s="922">
        <f t="shared" si="13"/>
        <v>-2360895</v>
      </c>
      <c r="I96" s="377" t="e">
        <f t="shared" si="13"/>
        <v>#REF!</v>
      </c>
      <c r="J96" s="377">
        <f t="shared" si="13"/>
        <v>893012</v>
      </c>
      <c r="K96" s="377">
        <f t="shared" si="13"/>
        <v>1999972</v>
      </c>
      <c r="L96" s="377" t="e">
        <f t="shared" si="13"/>
        <v>#REF!</v>
      </c>
      <c r="M96" s="377">
        <f t="shared" si="13"/>
        <v>4612121.120000001</v>
      </c>
      <c r="N96" s="377">
        <f t="shared" si="13"/>
        <v>-290790.15999999992</v>
      </c>
      <c r="O96" s="377">
        <f t="shared" si="13"/>
        <v>0</v>
      </c>
      <c r="P96" s="377" t="e">
        <f t="shared" si="13"/>
        <v>#REF!</v>
      </c>
      <c r="Q96" s="377">
        <f t="shared" si="13"/>
        <v>0</v>
      </c>
      <c r="R96" s="377">
        <f t="shared" si="13"/>
        <v>-19814593.100000024</v>
      </c>
      <c r="S96" s="377">
        <f t="shared" si="13"/>
        <v>0</v>
      </c>
      <c r="T96" s="377">
        <f t="shared" si="13"/>
        <v>1311277.8200000003</v>
      </c>
      <c r="U96" s="377">
        <f t="shared" si="13"/>
        <v>0</v>
      </c>
      <c r="V96" s="377">
        <f t="shared" si="13"/>
        <v>3969454.0699999966</v>
      </c>
      <c r="W96" s="377">
        <f t="shared" si="13"/>
        <v>0</v>
      </c>
      <c r="X96" s="377">
        <f t="shared" si="13"/>
        <v>2201921.5900000036</v>
      </c>
      <c r="Y96" s="377">
        <f t="shared" si="13"/>
        <v>0</v>
      </c>
      <c r="Z96" s="377" t="e">
        <f t="shared" si="13"/>
        <v>#REF!</v>
      </c>
    </row>
    <row r="97" spans="1:38">
      <c r="D97" s="922" t="e">
        <f>18594420-D96</f>
        <v>#REF!</v>
      </c>
      <c r="I97" s="389"/>
      <c r="J97" s="389"/>
      <c r="K97" s="389"/>
      <c r="L97" s="389"/>
      <c r="M97" s="389"/>
      <c r="N97" s="389"/>
      <c r="O97" s="389"/>
      <c r="P97" s="389"/>
      <c r="Q97" s="389"/>
      <c r="R97" s="389"/>
      <c r="S97" s="389"/>
      <c r="T97" s="389"/>
      <c r="U97" s="389"/>
      <c r="V97" s="389"/>
      <c r="W97" s="389"/>
      <c r="X97" s="389"/>
      <c r="Y97" s="389"/>
      <c r="Z97" s="389"/>
    </row>
    <row r="98" spans="1:38">
      <c r="I98" s="389"/>
      <c r="J98" s="389"/>
      <c r="K98" s="389"/>
      <c r="L98" s="389"/>
      <c r="M98" s="389"/>
      <c r="N98" s="389"/>
      <c r="O98" s="389"/>
      <c r="P98" s="389"/>
      <c r="Q98" s="389"/>
      <c r="R98" s="389"/>
      <c r="S98" s="389"/>
      <c r="T98" s="389"/>
      <c r="U98" s="389"/>
      <c r="V98" s="389"/>
      <c r="W98" s="389"/>
      <c r="X98" s="389"/>
      <c r="Y98" s="389"/>
      <c r="Z98" s="389"/>
    </row>
    <row r="99" spans="1:38">
      <c r="I99" s="389"/>
      <c r="J99" s="389"/>
      <c r="K99" s="389"/>
      <c r="L99" s="389"/>
      <c r="M99" s="389"/>
      <c r="N99" s="389"/>
      <c r="O99" s="389"/>
      <c r="P99" s="389"/>
      <c r="Q99" s="389"/>
      <c r="R99" s="389"/>
      <c r="S99" s="389"/>
      <c r="T99" s="389"/>
      <c r="U99" s="389"/>
      <c r="V99" s="389"/>
      <c r="W99" s="389"/>
      <c r="X99" s="389"/>
      <c r="Y99" s="389"/>
      <c r="Z99" s="389"/>
    </row>
    <row r="100" spans="1:38">
      <c r="I100" s="389"/>
      <c r="J100" s="389"/>
      <c r="K100" s="389"/>
      <c r="L100" s="389"/>
      <c r="M100" s="389"/>
      <c r="N100" s="389"/>
      <c r="O100" s="389"/>
      <c r="P100" s="389"/>
      <c r="Q100" s="389"/>
      <c r="R100" s="389"/>
      <c r="S100" s="389"/>
      <c r="T100" s="389"/>
      <c r="U100" s="389"/>
      <c r="V100" s="389"/>
      <c r="W100" s="389"/>
      <c r="X100" s="389"/>
      <c r="Y100" s="389"/>
      <c r="Z100" s="389"/>
    </row>
    <row r="101" spans="1:38" ht="21">
      <c r="E101" s="944" t="s">
        <v>58</v>
      </c>
      <c r="I101" s="389"/>
      <c r="J101" s="389"/>
      <c r="K101" s="389"/>
      <c r="L101" s="389"/>
      <c r="M101" s="389"/>
      <c r="N101" s="389"/>
      <c r="O101" s="389"/>
      <c r="P101" s="389"/>
      <c r="Q101" s="389"/>
      <c r="R101" s="389"/>
      <c r="S101" s="389"/>
      <c r="T101" s="389"/>
      <c r="U101" s="389"/>
      <c r="V101" s="389"/>
      <c r="W101" s="389"/>
      <c r="X101" s="389"/>
      <c r="Y101" s="389"/>
      <c r="Z101" s="389"/>
    </row>
    <row r="102" spans="1:38">
      <c r="I102" s="389"/>
      <c r="J102" s="389"/>
      <c r="K102" s="389"/>
      <c r="L102" s="389"/>
      <c r="M102" s="389"/>
      <c r="N102" s="389"/>
      <c r="O102" s="389"/>
      <c r="P102" s="389"/>
      <c r="Q102" s="389"/>
      <c r="R102" s="389"/>
      <c r="S102" s="389"/>
      <c r="T102" s="389"/>
      <c r="U102" s="389"/>
      <c r="V102" s="389"/>
      <c r="W102" s="389"/>
      <c r="X102" s="389"/>
      <c r="Y102" s="389"/>
      <c r="Z102" s="389"/>
    </row>
    <row r="103" spans="1:38">
      <c r="I103" s="389"/>
      <c r="J103" s="389"/>
      <c r="K103" s="389"/>
      <c r="L103" s="389"/>
      <c r="M103" s="960"/>
      <c r="N103" s="960"/>
      <c r="O103" s="960"/>
      <c r="P103" s="960"/>
      <c r="Q103" s="960"/>
      <c r="R103" s="960"/>
      <c r="S103" s="960"/>
      <c r="T103" s="960"/>
      <c r="U103" s="960"/>
      <c r="V103" s="960"/>
      <c r="W103" s="960"/>
      <c r="X103" s="960"/>
      <c r="Y103" s="960"/>
      <c r="Z103" s="960"/>
    </row>
    <row r="104" spans="1:38">
      <c r="I104" s="389"/>
      <c r="J104" s="389"/>
      <c r="K104" s="389"/>
      <c r="L104" s="389"/>
      <c r="M104" s="960"/>
      <c r="N104" s="960"/>
      <c r="O104" s="960"/>
      <c r="P104" s="960"/>
      <c r="Q104" s="960"/>
      <c r="R104" s="960"/>
      <c r="S104" s="960"/>
      <c r="T104" s="960"/>
      <c r="U104" s="960"/>
      <c r="V104" s="960"/>
      <c r="W104" s="960"/>
      <c r="X104" s="960"/>
      <c r="Y104" s="960"/>
      <c r="Z104" s="960"/>
    </row>
    <row r="105" spans="1:38">
      <c r="I105" s="389"/>
      <c r="J105" s="389"/>
      <c r="K105" s="389"/>
      <c r="L105" s="389"/>
      <c r="M105" s="389"/>
      <c r="N105" s="389"/>
      <c r="O105" s="389"/>
      <c r="P105" s="389"/>
      <c r="Q105" s="389"/>
      <c r="R105" s="389"/>
      <c r="S105" s="389"/>
      <c r="T105" s="389"/>
      <c r="U105" s="389"/>
      <c r="V105" s="389"/>
      <c r="W105" s="389"/>
      <c r="X105" s="389"/>
      <c r="Y105" s="389"/>
      <c r="Z105" s="389"/>
    </row>
    <row r="106" spans="1:38" s="394" customFormat="1" ht="18.75">
      <c r="A106" s="393"/>
      <c r="B106" s="393"/>
      <c r="C106" s="393"/>
      <c r="D106" s="941"/>
      <c r="E106" s="941"/>
      <c r="F106" s="941"/>
      <c r="G106" s="941"/>
      <c r="H106" s="938"/>
      <c r="I106" s="961"/>
      <c r="J106" s="961"/>
      <c r="K106" s="961"/>
      <c r="L106" s="961"/>
      <c r="M106" s="389"/>
      <c r="N106" s="389"/>
      <c r="O106" s="389"/>
      <c r="P106" s="389"/>
      <c r="Q106" s="389"/>
      <c r="R106" s="389"/>
      <c r="S106" s="389"/>
      <c r="T106" s="389"/>
      <c r="U106" s="389"/>
      <c r="V106" s="389"/>
      <c r="W106" s="389"/>
      <c r="X106" s="389"/>
      <c r="Y106" s="389"/>
      <c r="Z106" s="389"/>
      <c r="AA106" s="363"/>
      <c r="AB106" s="396"/>
      <c r="AC106" s="396"/>
      <c r="AD106" s="396"/>
      <c r="AE106" s="396"/>
      <c r="AF106" s="396"/>
      <c r="AG106" s="396"/>
      <c r="AH106" s="396"/>
      <c r="AI106" s="396"/>
      <c r="AJ106" s="396"/>
      <c r="AK106" s="396"/>
      <c r="AL106" s="396"/>
    </row>
    <row r="107" spans="1:38" s="394" customFormat="1" ht="18.75">
      <c r="A107" s="398"/>
      <c r="B107" s="398"/>
      <c r="C107" s="398"/>
      <c r="D107" s="942"/>
      <c r="E107" s="942"/>
      <c r="F107" s="942"/>
      <c r="G107" s="942"/>
      <c r="H107" s="939"/>
      <c r="I107" s="962"/>
      <c r="J107" s="962"/>
      <c r="K107" s="962"/>
      <c r="L107" s="962"/>
      <c r="M107" s="389"/>
      <c r="N107" s="389"/>
      <c r="O107" s="389"/>
      <c r="P107" s="389"/>
      <c r="Q107" s="389"/>
      <c r="R107" s="389"/>
      <c r="S107" s="389"/>
      <c r="T107" s="389"/>
      <c r="U107" s="389"/>
      <c r="V107" s="389"/>
      <c r="W107" s="389"/>
      <c r="X107" s="389"/>
      <c r="Y107" s="389"/>
      <c r="Z107" s="389"/>
      <c r="AA107" s="363"/>
      <c r="AB107" s="396"/>
      <c r="AC107" s="396"/>
      <c r="AD107" s="396"/>
      <c r="AE107" s="396"/>
      <c r="AF107" s="396"/>
      <c r="AG107" s="396"/>
      <c r="AH107" s="396"/>
      <c r="AI107" s="396"/>
      <c r="AJ107" s="396"/>
      <c r="AK107" s="396"/>
      <c r="AL107" s="396"/>
    </row>
    <row r="108" spans="1:38">
      <c r="I108" s="389"/>
      <c r="J108" s="389"/>
      <c r="K108" s="389"/>
      <c r="L108" s="389"/>
      <c r="M108" s="389"/>
      <c r="N108" s="389"/>
      <c r="O108" s="389"/>
      <c r="P108" s="389"/>
      <c r="Q108" s="389"/>
      <c r="R108" s="389"/>
      <c r="S108" s="389"/>
      <c r="T108" s="389"/>
      <c r="U108" s="389"/>
      <c r="V108" s="389"/>
      <c r="W108" s="389"/>
      <c r="X108" s="389"/>
      <c r="Y108" s="389"/>
      <c r="Z108" s="389"/>
    </row>
    <row r="109" spans="1:38">
      <c r="I109" s="389"/>
      <c r="J109" s="389"/>
      <c r="K109" s="389"/>
      <c r="L109" s="389"/>
      <c r="M109" s="389"/>
      <c r="N109" s="389"/>
      <c r="O109" s="389"/>
      <c r="P109" s="389"/>
      <c r="Q109" s="389"/>
      <c r="R109" s="389"/>
      <c r="S109" s="389"/>
      <c r="T109" s="389"/>
      <c r="U109" s="389"/>
      <c r="V109" s="389"/>
      <c r="W109" s="389"/>
      <c r="X109" s="389"/>
      <c r="Y109" s="389"/>
      <c r="Z109" s="389"/>
    </row>
    <row r="110" spans="1:38">
      <c r="I110" s="389"/>
      <c r="J110" s="389"/>
      <c r="K110" s="389"/>
      <c r="L110" s="389"/>
      <c r="M110" s="389"/>
      <c r="N110" s="389"/>
      <c r="O110" s="389"/>
      <c r="P110" s="389"/>
      <c r="Q110" s="389"/>
      <c r="R110" s="389"/>
      <c r="S110" s="389"/>
      <c r="T110" s="389"/>
      <c r="U110" s="389"/>
      <c r="V110" s="389"/>
      <c r="W110" s="389"/>
      <c r="X110" s="389"/>
      <c r="Y110" s="389"/>
      <c r="Z110" s="389"/>
    </row>
    <row r="111" spans="1:38">
      <c r="I111" s="389"/>
      <c r="J111" s="389"/>
      <c r="K111" s="389"/>
      <c r="L111" s="389"/>
      <c r="M111" s="389"/>
      <c r="N111" s="389"/>
      <c r="O111" s="389"/>
      <c r="P111" s="389"/>
      <c r="Q111" s="389"/>
      <c r="R111" s="389"/>
      <c r="S111" s="389"/>
      <c r="T111" s="389"/>
      <c r="U111" s="389"/>
      <c r="V111" s="389"/>
      <c r="W111" s="389"/>
      <c r="X111" s="389"/>
      <c r="Y111" s="389"/>
      <c r="Z111" s="389"/>
    </row>
    <row r="112" spans="1:38">
      <c r="I112" s="389"/>
      <c r="J112" s="389"/>
      <c r="K112" s="389"/>
      <c r="L112" s="389"/>
      <c r="M112" s="389"/>
      <c r="N112" s="389"/>
      <c r="O112" s="389"/>
      <c r="P112" s="389"/>
      <c r="Q112" s="389"/>
      <c r="R112" s="389"/>
      <c r="S112" s="389"/>
      <c r="T112" s="389"/>
      <c r="U112" s="389"/>
      <c r="V112" s="389"/>
      <c r="W112" s="389"/>
      <c r="X112" s="389"/>
      <c r="Y112" s="389"/>
      <c r="Z112" s="389"/>
    </row>
    <row r="113" spans="9:26">
      <c r="I113" s="389"/>
      <c r="J113" s="389"/>
      <c r="K113" s="389"/>
      <c r="L113" s="389"/>
      <c r="M113" s="389"/>
      <c r="N113" s="389"/>
      <c r="O113" s="389"/>
      <c r="P113" s="389"/>
      <c r="Q113" s="389"/>
      <c r="R113" s="389"/>
      <c r="S113" s="389"/>
      <c r="T113" s="389"/>
      <c r="U113" s="389"/>
      <c r="V113" s="389"/>
      <c r="W113" s="389"/>
      <c r="X113" s="389"/>
      <c r="Y113" s="389"/>
      <c r="Z113" s="389"/>
    </row>
    <row r="114" spans="9:26">
      <c r="I114" s="389"/>
      <c r="J114" s="389"/>
      <c r="K114" s="389"/>
      <c r="L114" s="389"/>
      <c r="M114" s="389"/>
      <c r="N114" s="389"/>
      <c r="O114" s="389"/>
      <c r="P114" s="389"/>
      <c r="Q114" s="389"/>
      <c r="R114" s="389"/>
      <c r="S114" s="389"/>
      <c r="T114" s="389"/>
      <c r="U114" s="389"/>
      <c r="V114" s="389"/>
      <c r="W114" s="389"/>
      <c r="X114" s="389"/>
      <c r="Y114" s="389"/>
      <c r="Z114" s="389"/>
    </row>
    <row r="115" spans="9:26">
      <c r="I115" s="389"/>
      <c r="J115" s="389"/>
      <c r="K115" s="389"/>
      <c r="L115" s="389"/>
      <c r="M115" s="389"/>
      <c r="N115" s="389"/>
      <c r="O115" s="389"/>
      <c r="P115" s="389"/>
      <c r="Q115" s="389"/>
      <c r="R115" s="389"/>
      <c r="S115" s="389"/>
      <c r="T115" s="389"/>
      <c r="U115" s="389"/>
      <c r="V115" s="389"/>
      <c r="W115" s="389"/>
      <c r="X115" s="389"/>
      <c r="Y115" s="389"/>
      <c r="Z115" s="389"/>
    </row>
    <row r="116" spans="9:26">
      <c r="I116" s="389"/>
      <c r="J116" s="389"/>
      <c r="K116" s="389"/>
      <c r="L116" s="389"/>
      <c r="M116" s="389"/>
      <c r="N116" s="389"/>
      <c r="O116" s="389"/>
      <c r="P116" s="389"/>
      <c r="Q116" s="389"/>
      <c r="R116" s="389"/>
      <c r="S116" s="389"/>
      <c r="T116" s="389"/>
      <c r="U116" s="389"/>
      <c r="V116" s="389"/>
      <c r="W116" s="389"/>
      <c r="X116" s="389"/>
      <c r="Y116" s="389"/>
      <c r="Z116" s="389"/>
    </row>
    <row r="117" spans="9:26">
      <c r="I117" s="389"/>
      <c r="J117" s="389"/>
      <c r="K117" s="389"/>
      <c r="L117" s="389"/>
      <c r="M117" s="389"/>
      <c r="N117" s="389"/>
      <c r="O117" s="389"/>
      <c r="P117" s="389"/>
      <c r="Q117" s="389"/>
      <c r="R117" s="389"/>
      <c r="S117" s="389"/>
      <c r="T117" s="389"/>
      <c r="U117" s="389"/>
      <c r="V117" s="389"/>
      <c r="W117" s="389"/>
      <c r="X117" s="389"/>
      <c r="Y117" s="389"/>
      <c r="Z117" s="389"/>
    </row>
    <row r="118" spans="9:26">
      <c r="I118" s="389"/>
      <c r="J118" s="389"/>
      <c r="K118" s="389"/>
      <c r="L118" s="389"/>
      <c r="M118" s="389"/>
      <c r="N118" s="389"/>
      <c r="O118" s="389"/>
      <c r="P118" s="389"/>
      <c r="Q118" s="389"/>
      <c r="R118" s="389"/>
      <c r="S118" s="389"/>
      <c r="T118" s="389"/>
      <c r="U118" s="389"/>
      <c r="V118" s="389"/>
      <c r="W118" s="389"/>
      <c r="X118" s="389"/>
      <c r="Y118" s="389"/>
      <c r="Z118" s="389"/>
    </row>
    <row r="119" spans="9:26">
      <c r="I119" s="389"/>
      <c r="J119" s="389"/>
      <c r="K119" s="389"/>
      <c r="L119" s="389"/>
      <c r="M119" s="389"/>
      <c r="N119" s="389"/>
      <c r="O119" s="389"/>
      <c r="P119" s="389"/>
      <c r="Q119" s="389"/>
      <c r="R119" s="389"/>
      <c r="S119" s="389"/>
      <c r="T119" s="389"/>
      <c r="U119" s="389"/>
      <c r="V119" s="389"/>
      <c r="W119" s="389"/>
      <c r="X119" s="389"/>
      <c r="Y119" s="389"/>
      <c r="Z119" s="389"/>
    </row>
    <row r="120" spans="9:26">
      <c r="I120" s="389"/>
      <c r="J120" s="389"/>
      <c r="K120" s="389"/>
      <c r="L120" s="389"/>
      <c r="M120" s="389"/>
      <c r="N120" s="389"/>
      <c r="O120" s="389"/>
      <c r="P120" s="389"/>
      <c r="Q120" s="389"/>
      <c r="R120" s="389"/>
      <c r="S120" s="389"/>
      <c r="T120" s="389"/>
      <c r="U120" s="389"/>
      <c r="V120" s="389"/>
      <c r="W120" s="389"/>
      <c r="X120" s="389"/>
      <c r="Y120" s="389"/>
      <c r="Z120" s="389"/>
    </row>
    <row r="121" spans="9:26">
      <c r="I121" s="389"/>
      <c r="J121" s="389"/>
      <c r="K121" s="389"/>
      <c r="L121" s="389"/>
      <c r="M121" s="389"/>
      <c r="N121" s="389"/>
      <c r="O121" s="389"/>
      <c r="P121" s="389"/>
      <c r="Q121" s="389"/>
      <c r="R121" s="389"/>
      <c r="S121" s="389"/>
      <c r="T121" s="389"/>
      <c r="U121" s="389"/>
      <c r="V121" s="389"/>
      <c r="W121" s="389"/>
      <c r="X121" s="389"/>
      <c r="Y121" s="389"/>
      <c r="Z121" s="389"/>
    </row>
    <row r="122" spans="9:26">
      <c r="I122" s="389"/>
      <c r="J122" s="389"/>
      <c r="K122" s="389"/>
      <c r="L122" s="389"/>
      <c r="M122" s="389"/>
      <c r="N122" s="389"/>
      <c r="O122" s="389"/>
      <c r="P122" s="389"/>
      <c r="Q122" s="389"/>
      <c r="R122" s="389"/>
      <c r="S122" s="389"/>
      <c r="T122" s="389"/>
      <c r="U122" s="389"/>
      <c r="V122" s="389"/>
      <c r="W122" s="389"/>
      <c r="X122" s="389"/>
      <c r="Y122" s="389"/>
      <c r="Z122" s="389"/>
    </row>
    <row r="123" spans="9:26">
      <c r="I123" s="389"/>
      <c r="J123" s="389"/>
      <c r="K123" s="389"/>
      <c r="L123" s="389"/>
      <c r="M123" s="389"/>
      <c r="N123" s="389"/>
      <c r="O123" s="389"/>
      <c r="P123" s="389"/>
      <c r="Q123" s="389"/>
      <c r="R123" s="389"/>
      <c r="S123" s="389"/>
      <c r="T123" s="389"/>
      <c r="U123" s="389"/>
      <c r="V123" s="389"/>
      <c r="W123" s="389"/>
      <c r="X123" s="389"/>
      <c r="Y123" s="389"/>
      <c r="Z123" s="389"/>
    </row>
    <row r="124" spans="9:26">
      <c r="I124" s="389"/>
      <c r="J124" s="389"/>
      <c r="K124" s="389"/>
      <c r="L124" s="389"/>
      <c r="M124" s="389"/>
      <c r="N124" s="389"/>
      <c r="O124" s="389"/>
      <c r="P124" s="389"/>
      <c r="Q124" s="389"/>
      <c r="R124" s="389"/>
      <c r="S124" s="389"/>
      <c r="T124" s="389"/>
      <c r="U124" s="389"/>
      <c r="V124" s="389"/>
      <c r="W124" s="389"/>
      <c r="X124" s="389"/>
      <c r="Y124" s="389"/>
      <c r="Z124" s="389"/>
    </row>
    <row r="125" spans="9:26">
      <c r="I125" s="389"/>
      <c r="J125" s="389"/>
      <c r="K125" s="389"/>
      <c r="L125" s="389"/>
      <c r="M125" s="389"/>
      <c r="N125" s="389"/>
      <c r="O125" s="389"/>
      <c r="P125" s="389"/>
      <c r="Q125" s="389"/>
      <c r="R125" s="389"/>
      <c r="S125" s="389"/>
      <c r="T125" s="389"/>
      <c r="U125" s="389"/>
      <c r="V125" s="389"/>
      <c r="W125" s="389"/>
      <c r="X125" s="389"/>
      <c r="Y125" s="389"/>
      <c r="Z125" s="389"/>
    </row>
    <row r="126" spans="9:26">
      <c r="I126" s="389"/>
      <c r="J126" s="389"/>
      <c r="K126" s="389"/>
      <c r="L126" s="389"/>
      <c r="M126" s="389"/>
      <c r="N126" s="389"/>
      <c r="O126" s="389"/>
      <c r="P126" s="389"/>
      <c r="Q126" s="389"/>
      <c r="R126" s="389"/>
      <c r="S126" s="389"/>
      <c r="T126" s="389"/>
      <c r="U126" s="389"/>
      <c r="V126" s="389"/>
      <c r="W126" s="389"/>
      <c r="X126" s="389"/>
      <c r="Y126" s="389"/>
      <c r="Z126" s="389"/>
    </row>
    <row r="127" spans="9:26">
      <c r="I127" s="389"/>
      <c r="J127" s="389"/>
      <c r="K127" s="389"/>
      <c r="L127" s="389"/>
      <c r="M127" s="389"/>
      <c r="N127" s="389"/>
      <c r="O127" s="389"/>
      <c r="P127" s="389"/>
      <c r="Q127" s="389"/>
      <c r="R127" s="389"/>
      <c r="S127" s="389"/>
      <c r="T127" s="389"/>
      <c r="U127" s="389"/>
      <c r="V127" s="389"/>
      <c r="W127" s="389"/>
      <c r="X127" s="389"/>
      <c r="Y127" s="389"/>
      <c r="Z127" s="389"/>
    </row>
    <row r="128" spans="9:26">
      <c r="I128" s="389"/>
      <c r="J128" s="389"/>
      <c r="K128" s="389"/>
      <c r="L128" s="389"/>
      <c r="M128" s="389"/>
      <c r="N128" s="389"/>
      <c r="O128" s="389"/>
      <c r="P128" s="389"/>
      <c r="Q128" s="389"/>
      <c r="R128" s="389"/>
      <c r="S128" s="389"/>
      <c r="T128" s="389"/>
      <c r="U128" s="389"/>
      <c r="V128" s="389"/>
      <c r="W128" s="389"/>
      <c r="X128" s="389"/>
      <c r="Y128" s="389"/>
      <c r="Z128" s="389"/>
    </row>
    <row r="129" spans="9:26">
      <c r="I129" s="389"/>
      <c r="J129" s="389"/>
      <c r="K129" s="389"/>
      <c r="L129" s="389"/>
      <c r="M129" s="389"/>
      <c r="N129" s="389"/>
      <c r="O129" s="389"/>
      <c r="P129" s="389"/>
      <c r="Q129" s="389"/>
      <c r="R129" s="389"/>
      <c r="S129" s="389"/>
      <c r="T129" s="389"/>
      <c r="U129" s="389"/>
      <c r="V129" s="389"/>
      <c r="W129" s="389"/>
      <c r="X129" s="389"/>
      <c r="Y129" s="389"/>
      <c r="Z129" s="389"/>
    </row>
    <row r="130" spans="9:26">
      <c r="I130" s="389"/>
      <c r="J130" s="389"/>
      <c r="K130" s="389"/>
      <c r="L130" s="389"/>
      <c r="M130" s="389"/>
      <c r="N130" s="389"/>
      <c r="O130" s="389"/>
      <c r="P130" s="389"/>
      <c r="Q130" s="389"/>
      <c r="R130" s="389"/>
      <c r="S130" s="389"/>
      <c r="T130" s="389"/>
      <c r="U130" s="389"/>
      <c r="V130" s="389"/>
      <c r="W130" s="389"/>
      <c r="X130" s="389"/>
      <c r="Y130" s="389"/>
      <c r="Z130" s="389"/>
    </row>
    <row r="131" spans="9:26">
      <c r="I131" s="389"/>
      <c r="J131" s="389"/>
      <c r="K131" s="389"/>
      <c r="L131" s="389"/>
      <c r="M131" s="389"/>
      <c r="N131" s="389"/>
      <c r="O131" s="389"/>
      <c r="P131" s="389"/>
      <c r="Q131" s="389"/>
      <c r="R131" s="389"/>
      <c r="S131" s="389"/>
      <c r="T131" s="389"/>
      <c r="U131" s="389"/>
      <c r="V131" s="389"/>
      <c r="W131" s="389"/>
      <c r="X131" s="389"/>
      <c r="Y131" s="389"/>
      <c r="Z131" s="389"/>
    </row>
    <row r="132" spans="9:26">
      <c r="I132" s="389"/>
      <c r="J132" s="389"/>
      <c r="K132" s="389"/>
      <c r="L132" s="389"/>
      <c r="M132" s="389"/>
      <c r="N132" s="389"/>
      <c r="O132" s="389"/>
      <c r="P132" s="389"/>
      <c r="Q132" s="389"/>
      <c r="R132" s="389"/>
      <c r="S132" s="389"/>
      <c r="T132" s="389"/>
      <c r="U132" s="389"/>
      <c r="V132" s="389"/>
      <c r="W132" s="389"/>
      <c r="X132" s="389"/>
      <c r="Y132" s="389"/>
      <c r="Z132" s="389"/>
    </row>
    <row r="133" spans="9:26">
      <c r="I133" s="389"/>
      <c r="J133" s="389"/>
      <c r="K133" s="389"/>
      <c r="L133" s="389"/>
      <c r="M133" s="389"/>
      <c r="N133" s="389"/>
      <c r="O133" s="389"/>
      <c r="P133" s="389"/>
      <c r="Q133" s="389"/>
      <c r="R133" s="389"/>
      <c r="S133" s="389"/>
      <c r="T133" s="389"/>
      <c r="U133" s="389"/>
      <c r="V133" s="389"/>
      <c r="W133" s="389"/>
      <c r="X133" s="389"/>
      <c r="Y133" s="389"/>
      <c r="Z133" s="389"/>
    </row>
    <row r="134" spans="9:26">
      <c r="I134" s="389"/>
      <c r="J134" s="389"/>
      <c r="K134" s="389"/>
      <c r="L134" s="389"/>
      <c r="M134" s="389"/>
      <c r="N134" s="389"/>
      <c r="O134" s="389"/>
      <c r="P134" s="389"/>
      <c r="Q134" s="389"/>
      <c r="R134" s="389"/>
      <c r="S134" s="389"/>
      <c r="T134" s="389"/>
      <c r="U134" s="389"/>
      <c r="V134" s="389"/>
      <c r="W134" s="389"/>
      <c r="X134" s="389"/>
      <c r="Y134" s="389"/>
      <c r="Z134" s="389"/>
    </row>
    <row r="135" spans="9:26">
      <c r="I135" s="389"/>
      <c r="J135" s="389"/>
      <c r="K135" s="389"/>
      <c r="L135" s="389"/>
      <c r="M135" s="389"/>
      <c r="N135" s="389"/>
      <c r="O135" s="389"/>
      <c r="P135" s="389"/>
      <c r="Q135" s="389"/>
      <c r="R135" s="389"/>
      <c r="S135" s="389"/>
      <c r="T135" s="389"/>
      <c r="U135" s="389"/>
      <c r="V135" s="389"/>
      <c r="W135" s="389"/>
      <c r="X135" s="389"/>
      <c r="Y135" s="389"/>
      <c r="Z135" s="389"/>
    </row>
    <row r="136" spans="9:26">
      <c r="I136" s="389"/>
      <c r="J136" s="389"/>
      <c r="K136" s="389"/>
      <c r="L136" s="389"/>
      <c r="M136" s="389"/>
      <c r="N136" s="389"/>
      <c r="O136" s="389"/>
      <c r="P136" s="389"/>
      <c r="Q136" s="389"/>
      <c r="R136" s="389"/>
      <c r="S136" s="389"/>
      <c r="T136" s="389"/>
      <c r="U136" s="389"/>
      <c r="V136" s="389"/>
      <c r="W136" s="389"/>
      <c r="X136" s="389"/>
      <c r="Y136" s="389"/>
      <c r="Z136" s="389"/>
    </row>
    <row r="137" spans="9:26">
      <c r="I137" s="389"/>
      <c r="J137" s="389"/>
      <c r="K137" s="389"/>
      <c r="L137" s="389"/>
      <c r="M137" s="389"/>
      <c r="N137" s="389"/>
      <c r="O137" s="389"/>
      <c r="P137" s="389"/>
      <c r="Q137" s="389"/>
      <c r="R137" s="389"/>
      <c r="S137" s="389"/>
      <c r="T137" s="389"/>
      <c r="U137" s="389"/>
      <c r="V137" s="389"/>
      <c r="W137" s="389"/>
      <c r="X137" s="389"/>
      <c r="Y137" s="389"/>
      <c r="Z137" s="389"/>
    </row>
    <row r="138" spans="9:26">
      <c r="I138" s="389"/>
      <c r="J138" s="389"/>
      <c r="K138" s="389"/>
      <c r="L138" s="389"/>
      <c r="M138" s="389"/>
      <c r="N138" s="389"/>
      <c r="O138" s="389"/>
      <c r="P138" s="389"/>
      <c r="Q138" s="389"/>
      <c r="R138" s="389"/>
      <c r="S138" s="389"/>
      <c r="T138" s="389"/>
      <c r="U138" s="389"/>
      <c r="V138" s="389"/>
      <c r="W138" s="389"/>
      <c r="X138" s="389"/>
      <c r="Y138" s="389"/>
      <c r="Z138" s="389"/>
    </row>
    <row r="139" spans="9:26">
      <c r="I139" s="389"/>
      <c r="J139" s="389"/>
      <c r="K139" s="389"/>
      <c r="L139" s="389"/>
      <c r="M139" s="389"/>
      <c r="N139" s="389"/>
      <c r="O139" s="389"/>
      <c r="P139" s="389"/>
      <c r="Q139" s="389"/>
      <c r="R139" s="389"/>
      <c r="S139" s="389"/>
      <c r="T139" s="389"/>
      <c r="U139" s="389"/>
      <c r="V139" s="389"/>
      <c r="W139" s="389"/>
      <c r="X139" s="389"/>
      <c r="Y139" s="389"/>
      <c r="Z139" s="389"/>
    </row>
    <row r="140" spans="9:26">
      <c r="I140" s="389"/>
      <c r="J140" s="389"/>
      <c r="K140" s="389"/>
      <c r="L140" s="389"/>
      <c r="M140" s="389"/>
      <c r="N140" s="389"/>
      <c r="O140" s="389"/>
      <c r="P140" s="389"/>
      <c r="Q140" s="389"/>
      <c r="R140" s="389"/>
      <c r="S140" s="389"/>
      <c r="T140" s="389"/>
      <c r="U140" s="389"/>
      <c r="V140" s="389"/>
      <c r="W140" s="389"/>
      <c r="X140" s="389"/>
      <c r="Y140" s="389"/>
      <c r="Z140" s="389"/>
    </row>
    <row r="141" spans="9:26">
      <c r="I141" s="389"/>
      <c r="J141" s="389"/>
      <c r="K141" s="389"/>
      <c r="L141" s="389"/>
      <c r="M141" s="389"/>
      <c r="N141" s="389"/>
      <c r="O141" s="389"/>
      <c r="P141" s="389"/>
      <c r="Q141" s="389"/>
      <c r="R141" s="389"/>
      <c r="S141" s="389"/>
      <c r="T141" s="389"/>
      <c r="U141" s="389"/>
      <c r="V141" s="389"/>
      <c r="W141" s="389"/>
      <c r="X141" s="389"/>
      <c r="Y141" s="389"/>
      <c r="Z141" s="389"/>
    </row>
    <row r="142" spans="9:26">
      <c r="I142" s="389"/>
      <c r="J142" s="389"/>
      <c r="K142" s="389"/>
      <c r="L142" s="389"/>
      <c r="M142" s="389"/>
      <c r="N142" s="389"/>
      <c r="O142" s="389"/>
      <c r="P142" s="389"/>
      <c r="Q142" s="389"/>
      <c r="R142" s="389"/>
      <c r="S142" s="389"/>
      <c r="T142" s="389"/>
      <c r="U142" s="389"/>
      <c r="V142" s="389"/>
      <c r="W142" s="389"/>
      <c r="X142" s="389"/>
      <c r="Y142" s="389"/>
      <c r="Z142" s="389"/>
    </row>
    <row r="143" spans="9:26">
      <c r="I143" s="389"/>
      <c r="J143" s="389"/>
      <c r="K143" s="389"/>
      <c r="L143" s="389"/>
      <c r="M143" s="389"/>
      <c r="N143" s="389"/>
      <c r="O143" s="389"/>
      <c r="P143" s="389"/>
      <c r="Q143" s="389"/>
      <c r="R143" s="389"/>
      <c r="S143" s="389"/>
      <c r="T143" s="389"/>
      <c r="U143" s="389"/>
      <c r="V143" s="389"/>
      <c r="W143" s="389"/>
      <c r="X143" s="389"/>
      <c r="Y143" s="389"/>
      <c r="Z143" s="389"/>
    </row>
    <row r="144" spans="9:26">
      <c r="I144" s="389"/>
      <c r="J144" s="389"/>
      <c r="K144" s="389"/>
      <c r="L144" s="389"/>
      <c r="M144" s="389"/>
      <c r="N144" s="389"/>
      <c r="O144" s="389"/>
      <c r="P144" s="389"/>
      <c r="Q144" s="389"/>
      <c r="R144" s="389"/>
      <c r="S144" s="389"/>
      <c r="T144" s="389"/>
      <c r="U144" s="389"/>
      <c r="V144" s="389"/>
      <c r="W144" s="389"/>
      <c r="X144" s="389"/>
      <c r="Y144" s="389"/>
      <c r="Z144" s="389"/>
    </row>
    <row r="145" spans="9:26">
      <c r="I145" s="389"/>
      <c r="J145" s="389"/>
      <c r="K145" s="389"/>
      <c r="L145" s="389"/>
      <c r="M145" s="389"/>
      <c r="N145" s="389"/>
      <c r="O145" s="389"/>
      <c r="P145" s="389"/>
      <c r="Q145" s="389"/>
      <c r="R145" s="389"/>
      <c r="S145" s="389"/>
      <c r="T145" s="389"/>
      <c r="U145" s="389"/>
      <c r="V145" s="389"/>
      <c r="W145" s="389"/>
      <c r="X145" s="389"/>
      <c r="Y145" s="389"/>
      <c r="Z145" s="389"/>
    </row>
    <row r="146" spans="9:26">
      <c r="I146" s="389"/>
      <c r="J146" s="389"/>
      <c r="K146" s="389"/>
      <c r="L146" s="389"/>
      <c r="M146" s="389"/>
      <c r="N146" s="389"/>
      <c r="O146" s="389"/>
      <c r="P146" s="389"/>
      <c r="Q146" s="389"/>
      <c r="R146" s="389"/>
      <c r="S146" s="389"/>
      <c r="T146" s="389"/>
      <c r="U146" s="389"/>
      <c r="V146" s="389"/>
      <c r="W146" s="389"/>
      <c r="X146" s="389"/>
      <c r="Y146" s="389"/>
      <c r="Z146" s="389"/>
    </row>
    <row r="147" spans="9:26">
      <c r="I147" s="389"/>
      <c r="J147" s="389"/>
      <c r="K147" s="389"/>
      <c r="L147" s="389"/>
      <c r="M147" s="389"/>
      <c r="N147" s="389"/>
      <c r="O147" s="389"/>
      <c r="P147" s="389"/>
      <c r="Q147" s="389"/>
      <c r="R147" s="389"/>
      <c r="S147" s="389"/>
      <c r="T147" s="389"/>
      <c r="U147" s="389"/>
      <c r="V147" s="389"/>
      <c r="W147" s="389"/>
      <c r="X147" s="389"/>
      <c r="Y147" s="389"/>
      <c r="Z147" s="389"/>
    </row>
    <row r="148" spans="9:26">
      <c r="I148" s="389"/>
      <c r="J148" s="389"/>
      <c r="K148" s="389"/>
      <c r="L148" s="389"/>
      <c r="M148" s="389"/>
      <c r="N148" s="389"/>
      <c r="O148" s="389"/>
      <c r="P148" s="389"/>
      <c r="Q148" s="389"/>
      <c r="R148" s="389"/>
      <c r="S148" s="389"/>
      <c r="T148" s="389"/>
      <c r="U148" s="389"/>
      <c r="V148" s="389"/>
      <c r="W148" s="389"/>
      <c r="X148" s="389"/>
      <c r="Y148" s="389"/>
      <c r="Z148" s="389"/>
    </row>
    <row r="149" spans="9:26">
      <c r="I149" s="389"/>
      <c r="J149" s="389"/>
      <c r="K149" s="389"/>
      <c r="L149" s="389"/>
      <c r="M149" s="389"/>
      <c r="N149" s="389"/>
      <c r="O149" s="389"/>
      <c r="P149" s="389"/>
      <c r="Q149" s="389"/>
      <c r="R149" s="389"/>
      <c r="S149" s="389"/>
      <c r="T149" s="389"/>
      <c r="U149" s="389"/>
      <c r="V149" s="389"/>
      <c r="W149" s="389"/>
      <c r="X149" s="389"/>
      <c r="Y149" s="389"/>
      <c r="Z149" s="389"/>
    </row>
    <row r="150" spans="9:26">
      <c r="I150" s="389"/>
      <c r="J150" s="389"/>
      <c r="K150" s="389"/>
      <c r="L150" s="389"/>
      <c r="M150" s="389"/>
      <c r="N150" s="389"/>
      <c r="O150" s="389"/>
      <c r="P150" s="389"/>
      <c r="Q150" s="389"/>
      <c r="R150" s="389"/>
      <c r="S150" s="389"/>
      <c r="T150" s="389"/>
      <c r="U150" s="389"/>
      <c r="V150" s="389"/>
      <c r="W150" s="389"/>
      <c r="X150" s="389"/>
      <c r="Y150" s="389"/>
      <c r="Z150" s="389"/>
    </row>
    <row r="151" spans="9:26">
      <c r="I151" s="389"/>
      <c r="J151" s="389"/>
      <c r="K151" s="389"/>
      <c r="L151" s="389"/>
      <c r="M151" s="389"/>
      <c r="N151" s="389"/>
      <c r="O151" s="389"/>
      <c r="P151" s="389"/>
      <c r="Q151" s="389"/>
      <c r="R151" s="389"/>
      <c r="S151" s="389"/>
      <c r="T151" s="389"/>
      <c r="U151" s="389"/>
      <c r="V151" s="389"/>
      <c r="W151" s="389"/>
      <c r="X151" s="389"/>
      <c r="Y151" s="389"/>
      <c r="Z151" s="389"/>
    </row>
    <row r="152" spans="9:26">
      <c r="I152" s="389"/>
      <c r="J152" s="389"/>
      <c r="K152" s="389"/>
      <c r="L152" s="389"/>
      <c r="M152" s="389"/>
      <c r="N152" s="389"/>
      <c r="O152" s="389"/>
      <c r="P152" s="389"/>
      <c r="Q152" s="389"/>
      <c r="R152" s="389"/>
      <c r="S152" s="389"/>
      <c r="T152" s="389"/>
      <c r="U152" s="389"/>
      <c r="V152" s="389"/>
      <c r="W152" s="389"/>
      <c r="X152" s="389"/>
      <c r="Y152" s="389"/>
      <c r="Z152" s="389"/>
    </row>
    <row r="153" spans="9:26">
      <c r="I153" s="389"/>
      <c r="J153" s="389"/>
      <c r="K153" s="389"/>
      <c r="L153" s="389"/>
      <c r="M153" s="389"/>
      <c r="N153" s="389"/>
      <c r="O153" s="389"/>
      <c r="P153" s="389"/>
      <c r="Q153" s="389"/>
      <c r="R153" s="389"/>
      <c r="S153" s="389"/>
      <c r="T153" s="389"/>
      <c r="U153" s="389"/>
      <c r="V153" s="389"/>
      <c r="W153" s="389"/>
      <c r="X153" s="389"/>
      <c r="Y153" s="389"/>
      <c r="Z153" s="389"/>
    </row>
    <row r="154" spans="9:26">
      <c r="I154" s="389"/>
      <c r="J154" s="389"/>
      <c r="K154" s="389"/>
      <c r="L154" s="389"/>
      <c r="M154" s="389"/>
      <c r="N154" s="389"/>
      <c r="O154" s="389"/>
      <c r="P154" s="389"/>
      <c r="Q154" s="389"/>
      <c r="R154" s="389"/>
      <c r="S154" s="389"/>
      <c r="T154" s="389"/>
      <c r="U154" s="389"/>
      <c r="V154" s="389"/>
      <c r="W154" s="389"/>
      <c r="X154" s="389"/>
      <c r="Y154" s="389"/>
      <c r="Z154" s="389"/>
    </row>
    <row r="155" spans="9:26">
      <c r="I155" s="389"/>
      <c r="J155" s="389"/>
      <c r="K155" s="389"/>
      <c r="L155" s="389"/>
      <c r="M155" s="389"/>
      <c r="N155" s="389"/>
      <c r="O155" s="389"/>
      <c r="P155" s="389"/>
      <c r="Q155" s="389"/>
      <c r="R155" s="389"/>
      <c r="S155" s="389"/>
      <c r="T155" s="389"/>
      <c r="U155" s="389"/>
      <c r="V155" s="389"/>
      <c r="W155" s="389"/>
      <c r="X155" s="389"/>
      <c r="Y155" s="389"/>
      <c r="Z155" s="389"/>
    </row>
    <row r="156" spans="9:26">
      <c r="I156" s="389"/>
      <c r="J156" s="389"/>
      <c r="K156" s="389"/>
      <c r="L156" s="389"/>
      <c r="M156" s="389"/>
      <c r="N156" s="389"/>
      <c r="O156" s="389"/>
      <c r="P156" s="389"/>
      <c r="Q156" s="389"/>
      <c r="R156" s="389"/>
      <c r="S156" s="389"/>
      <c r="T156" s="389"/>
      <c r="U156" s="389"/>
      <c r="V156" s="389"/>
      <c r="W156" s="389"/>
      <c r="X156" s="389"/>
      <c r="Y156" s="389"/>
      <c r="Z156" s="389"/>
    </row>
    <row r="157" spans="9:26">
      <c r="I157" s="389"/>
      <c r="J157" s="389"/>
      <c r="K157" s="389"/>
      <c r="L157" s="389"/>
      <c r="M157" s="389"/>
      <c r="N157" s="389"/>
      <c r="O157" s="389"/>
      <c r="P157" s="389"/>
      <c r="Q157" s="389"/>
      <c r="R157" s="389"/>
      <c r="S157" s="389"/>
      <c r="T157" s="389"/>
      <c r="U157" s="389"/>
      <c r="V157" s="389"/>
      <c r="W157" s="389"/>
      <c r="X157" s="389"/>
      <c r="Y157" s="389"/>
      <c r="Z157" s="389"/>
    </row>
    <row r="158" spans="9:26">
      <c r="I158" s="389"/>
      <c r="J158" s="389"/>
      <c r="K158" s="389"/>
      <c r="L158" s="389"/>
      <c r="M158" s="389"/>
      <c r="N158" s="389"/>
      <c r="O158" s="389"/>
      <c r="P158" s="389"/>
      <c r="Q158" s="389"/>
      <c r="R158" s="389"/>
      <c r="S158" s="389"/>
      <c r="T158" s="389"/>
      <c r="U158" s="389"/>
      <c r="V158" s="389"/>
      <c r="W158" s="389"/>
      <c r="X158" s="389"/>
      <c r="Y158" s="389"/>
      <c r="Z158" s="389"/>
    </row>
    <row r="159" spans="9:26">
      <c r="I159" s="389"/>
      <c r="J159" s="389"/>
      <c r="K159" s="389"/>
      <c r="L159" s="389"/>
      <c r="M159" s="389"/>
      <c r="N159" s="389"/>
      <c r="O159" s="389"/>
      <c r="P159" s="389"/>
      <c r="Q159" s="389"/>
      <c r="R159" s="389"/>
      <c r="S159" s="389"/>
      <c r="T159" s="389"/>
      <c r="U159" s="389"/>
      <c r="V159" s="389"/>
      <c r="W159" s="389"/>
      <c r="X159" s="389"/>
      <c r="Y159" s="389"/>
      <c r="Z159" s="389"/>
    </row>
    <row r="160" spans="9:26">
      <c r="I160" s="389"/>
      <c r="J160" s="389"/>
      <c r="K160" s="389"/>
      <c r="L160" s="389"/>
      <c r="M160" s="389"/>
      <c r="N160" s="389"/>
      <c r="O160" s="389"/>
      <c r="P160" s="389"/>
      <c r="Q160" s="389"/>
      <c r="R160" s="389"/>
      <c r="S160" s="389"/>
      <c r="T160" s="389"/>
      <c r="U160" s="389"/>
      <c r="V160" s="389"/>
      <c r="W160" s="389"/>
      <c r="X160" s="389"/>
      <c r="Y160" s="389"/>
      <c r="Z160" s="389"/>
    </row>
    <row r="161" spans="9:26">
      <c r="I161" s="389"/>
      <c r="J161" s="389"/>
      <c r="K161" s="389"/>
      <c r="L161" s="389"/>
      <c r="M161" s="389"/>
      <c r="N161" s="389"/>
      <c r="O161" s="389"/>
      <c r="P161" s="389"/>
      <c r="Q161" s="389"/>
      <c r="R161" s="389"/>
      <c r="S161" s="389"/>
      <c r="T161" s="389"/>
      <c r="U161" s="389"/>
      <c r="V161" s="389"/>
      <c r="W161" s="389"/>
      <c r="X161" s="389"/>
      <c r="Y161" s="389"/>
      <c r="Z161" s="389"/>
    </row>
    <row r="162" spans="9:26">
      <c r="I162" s="389"/>
      <c r="J162" s="389"/>
      <c r="K162" s="389"/>
      <c r="L162" s="389"/>
      <c r="M162" s="389"/>
      <c r="N162" s="389"/>
      <c r="O162" s="389"/>
      <c r="P162" s="389"/>
      <c r="Q162" s="389"/>
      <c r="R162" s="389"/>
      <c r="S162" s="389"/>
      <c r="T162" s="389"/>
      <c r="U162" s="389"/>
      <c r="V162" s="389"/>
      <c r="W162" s="389"/>
      <c r="X162" s="389"/>
      <c r="Y162" s="389"/>
      <c r="Z162" s="389"/>
    </row>
    <row r="163" spans="9:26">
      <c r="I163" s="389"/>
      <c r="J163" s="389"/>
      <c r="K163" s="389"/>
      <c r="L163" s="389"/>
      <c r="M163" s="389"/>
      <c r="N163" s="389"/>
      <c r="O163" s="389"/>
      <c r="P163" s="389"/>
      <c r="Q163" s="389"/>
      <c r="R163" s="389"/>
      <c r="S163" s="389"/>
      <c r="T163" s="389"/>
      <c r="U163" s="389"/>
      <c r="V163" s="389"/>
      <c r="W163" s="389"/>
      <c r="X163" s="389"/>
      <c r="Y163" s="389"/>
      <c r="Z163" s="389"/>
    </row>
    <row r="164" spans="9:26">
      <c r="I164" s="389"/>
      <c r="J164" s="389"/>
      <c r="K164" s="389"/>
      <c r="L164" s="389"/>
      <c r="M164" s="389"/>
      <c r="N164" s="389"/>
      <c r="O164" s="389"/>
      <c r="P164" s="389"/>
      <c r="Q164" s="389"/>
      <c r="R164" s="389"/>
      <c r="S164" s="389"/>
      <c r="T164" s="389"/>
      <c r="U164" s="389"/>
      <c r="V164" s="389"/>
      <c r="W164" s="389"/>
      <c r="X164" s="389"/>
      <c r="Y164" s="389"/>
      <c r="Z164" s="389"/>
    </row>
    <row r="165" spans="9:26">
      <c r="I165" s="389"/>
      <c r="J165" s="389"/>
      <c r="K165" s="389"/>
      <c r="L165" s="389"/>
      <c r="M165" s="389"/>
      <c r="N165" s="389"/>
      <c r="O165" s="389"/>
      <c r="P165" s="389"/>
      <c r="Q165" s="389"/>
      <c r="R165" s="389"/>
      <c r="S165" s="389"/>
      <c r="T165" s="389"/>
      <c r="U165" s="389"/>
      <c r="V165" s="389"/>
      <c r="W165" s="389"/>
      <c r="X165" s="389"/>
      <c r="Y165" s="389"/>
      <c r="Z165" s="389"/>
    </row>
    <row r="166" spans="9:26">
      <c r="I166" s="389"/>
      <c r="J166" s="389"/>
      <c r="K166" s="389"/>
      <c r="L166" s="389"/>
      <c r="M166" s="389"/>
      <c r="N166" s="389"/>
      <c r="O166" s="389"/>
      <c r="P166" s="389"/>
      <c r="Q166" s="389"/>
      <c r="R166" s="389"/>
      <c r="S166" s="389"/>
      <c r="T166" s="389"/>
      <c r="U166" s="389"/>
      <c r="V166" s="389"/>
      <c r="W166" s="389"/>
      <c r="X166" s="389"/>
      <c r="Y166" s="389"/>
      <c r="Z166" s="389"/>
    </row>
    <row r="167" spans="9:26">
      <c r="I167" s="389"/>
      <c r="J167" s="389"/>
      <c r="K167" s="389"/>
      <c r="L167" s="389"/>
      <c r="M167" s="389"/>
      <c r="N167" s="389"/>
      <c r="O167" s="389"/>
      <c r="P167" s="389"/>
      <c r="Q167" s="389"/>
      <c r="R167" s="389"/>
      <c r="S167" s="389"/>
      <c r="T167" s="389"/>
      <c r="U167" s="389"/>
      <c r="V167" s="389"/>
      <c r="W167" s="389"/>
      <c r="X167" s="389"/>
      <c r="Y167" s="389"/>
      <c r="Z167" s="389"/>
    </row>
    <row r="168" spans="9:26">
      <c r="I168" s="389"/>
      <c r="J168" s="389"/>
      <c r="K168" s="389"/>
      <c r="L168" s="389"/>
      <c r="M168" s="389"/>
      <c r="N168" s="389"/>
      <c r="O168" s="389"/>
      <c r="P168" s="389"/>
      <c r="Q168" s="389"/>
      <c r="R168" s="389"/>
      <c r="S168" s="389"/>
      <c r="T168" s="389"/>
      <c r="U168" s="389"/>
      <c r="V168" s="389"/>
      <c r="W168" s="389"/>
      <c r="X168" s="389"/>
      <c r="Y168" s="389"/>
      <c r="Z168" s="389"/>
    </row>
    <row r="169" spans="9:26">
      <c r="I169" s="389"/>
      <c r="J169" s="389"/>
      <c r="K169" s="389"/>
      <c r="L169" s="389"/>
      <c r="M169" s="389"/>
      <c r="N169" s="389"/>
      <c r="O169" s="389"/>
      <c r="P169" s="389"/>
      <c r="Q169" s="389"/>
      <c r="R169" s="389"/>
      <c r="S169" s="389"/>
      <c r="T169" s="389"/>
      <c r="U169" s="389"/>
      <c r="V169" s="389"/>
      <c r="W169" s="389"/>
      <c r="X169" s="389"/>
      <c r="Y169" s="389"/>
      <c r="Z169" s="389"/>
    </row>
    <row r="170" spans="9:26">
      <c r="I170" s="389"/>
      <c r="J170" s="389"/>
      <c r="K170" s="389"/>
      <c r="L170" s="389"/>
      <c r="M170" s="389"/>
      <c r="N170" s="389"/>
      <c r="O170" s="389"/>
      <c r="P170" s="389"/>
      <c r="Q170" s="389"/>
      <c r="R170" s="389"/>
      <c r="S170" s="389"/>
      <c r="T170" s="389"/>
      <c r="U170" s="389"/>
      <c r="V170" s="389"/>
      <c r="W170" s="389"/>
      <c r="X170" s="389"/>
      <c r="Y170" s="389"/>
      <c r="Z170" s="389"/>
    </row>
    <row r="171" spans="9:26">
      <c r="I171" s="389"/>
      <c r="J171" s="389"/>
      <c r="K171" s="389"/>
      <c r="L171" s="389"/>
      <c r="M171" s="389"/>
      <c r="N171" s="389"/>
      <c r="O171" s="389"/>
      <c r="P171" s="389"/>
      <c r="Q171" s="389"/>
      <c r="R171" s="389"/>
      <c r="S171" s="389"/>
      <c r="T171" s="389"/>
      <c r="U171" s="389"/>
      <c r="V171" s="389"/>
      <c r="W171" s="389"/>
      <c r="X171" s="389"/>
      <c r="Y171" s="389"/>
      <c r="Z171" s="389"/>
    </row>
    <row r="172" spans="9:26">
      <c r="I172" s="389"/>
      <c r="J172" s="389"/>
      <c r="K172" s="389"/>
      <c r="L172" s="389"/>
      <c r="M172" s="389"/>
      <c r="N172" s="389"/>
      <c r="O172" s="389"/>
      <c r="P172" s="389"/>
      <c r="Q172" s="389"/>
      <c r="R172" s="389"/>
      <c r="S172" s="389"/>
      <c r="T172" s="389"/>
      <c r="U172" s="389"/>
      <c r="V172" s="389"/>
      <c r="W172" s="389"/>
      <c r="X172" s="389"/>
      <c r="Y172" s="389"/>
      <c r="Z172" s="389"/>
    </row>
    <row r="173" spans="9:26">
      <c r="I173" s="389"/>
      <c r="J173" s="389"/>
      <c r="K173" s="389"/>
      <c r="L173" s="389"/>
      <c r="M173" s="389"/>
      <c r="N173" s="389"/>
      <c r="O173" s="389"/>
      <c r="P173" s="389"/>
      <c r="Q173" s="389"/>
      <c r="R173" s="389"/>
      <c r="S173" s="389"/>
      <c r="T173" s="389"/>
      <c r="U173" s="389"/>
      <c r="V173" s="389"/>
      <c r="W173" s="389"/>
      <c r="X173" s="389"/>
      <c r="Y173" s="389"/>
      <c r="Z173" s="389"/>
    </row>
    <row r="174" spans="9:26">
      <c r="I174" s="389"/>
      <c r="J174" s="389"/>
      <c r="K174" s="389"/>
      <c r="L174" s="389"/>
      <c r="M174" s="389"/>
      <c r="N174" s="389"/>
      <c r="O174" s="389"/>
      <c r="P174" s="389"/>
      <c r="Q174" s="389"/>
      <c r="R174" s="389"/>
      <c r="S174" s="389"/>
      <c r="T174" s="389"/>
      <c r="U174" s="389"/>
      <c r="V174" s="389"/>
      <c r="W174" s="389"/>
      <c r="X174" s="389"/>
      <c r="Y174" s="389"/>
      <c r="Z174" s="389"/>
    </row>
    <row r="175" spans="9:26">
      <c r="I175" s="389"/>
      <c r="J175" s="389"/>
      <c r="K175" s="389"/>
      <c r="L175" s="389"/>
      <c r="M175" s="389"/>
      <c r="N175" s="389"/>
      <c r="O175" s="389"/>
      <c r="P175" s="389"/>
      <c r="Q175" s="389"/>
      <c r="R175" s="389"/>
      <c r="S175" s="389"/>
      <c r="T175" s="389"/>
      <c r="U175" s="389"/>
      <c r="V175" s="389"/>
      <c r="W175" s="389"/>
      <c r="X175" s="389"/>
      <c r="Y175" s="389"/>
      <c r="Z175" s="389"/>
    </row>
    <row r="176" spans="9:26">
      <c r="I176" s="389"/>
      <c r="J176" s="389"/>
      <c r="K176" s="389"/>
      <c r="L176" s="389"/>
      <c r="M176" s="389"/>
      <c r="N176" s="389"/>
      <c r="O176" s="389"/>
      <c r="P176" s="389"/>
      <c r="Q176" s="389"/>
      <c r="R176" s="389"/>
      <c r="S176" s="389"/>
      <c r="T176" s="389"/>
      <c r="U176" s="389"/>
      <c r="V176" s="389"/>
      <c r="W176" s="389"/>
      <c r="X176" s="389"/>
      <c r="Y176" s="389"/>
      <c r="Z176" s="389"/>
    </row>
    <row r="177" spans="9:26">
      <c r="I177" s="389"/>
      <c r="J177" s="389"/>
      <c r="K177" s="389"/>
      <c r="L177" s="389"/>
      <c r="M177" s="389"/>
      <c r="N177" s="389"/>
      <c r="O177" s="389"/>
      <c r="P177" s="389"/>
      <c r="Q177" s="389"/>
      <c r="R177" s="389"/>
      <c r="S177" s="389"/>
      <c r="T177" s="389"/>
      <c r="U177" s="389"/>
      <c r="V177" s="389"/>
      <c r="W177" s="389"/>
      <c r="X177" s="389"/>
      <c r="Y177" s="389"/>
      <c r="Z177" s="389"/>
    </row>
    <row r="178" spans="9:26">
      <c r="I178" s="389"/>
      <c r="J178" s="389"/>
      <c r="K178" s="389"/>
      <c r="L178" s="389"/>
      <c r="M178" s="389"/>
      <c r="N178" s="389"/>
      <c r="O178" s="389"/>
      <c r="P178" s="389"/>
      <c r="Q178" s="389"/>
      <c r="R178" s="389"/>
      <c r="S178" s="389"/>
      <c r="T178" s="389"/>
      <c r="U178" s="389"/>
      <c r="V178" s="389"/>
      <c r="W178" s="389"/>
      <c r="X178" s="389"/>
      <c r="Y178" s="389"/>
      <c r="Z178" s="389"/>
    </row>
    <row r="179" spans="9:26">
      <c r="I179" s="389"/>
      <c r="J179" s="389"/>
      <c r="K179" s="389"/>
      <c r="L179" s="389"/>
      <c r="M179" s="389"/>
      <c r="N179" s="389"/>
      <c r="O179" s="389"/>
      <c r="P179" s="389"/>
      <c r="Q179" s="389"/>
      <c r="R179" s="389"/>
      <c r="S179" s="389"/>
      <c r="T179" s="389"/>
      <c r="U179" s="389"/>
      <c r="V179" s="389"/>
      <c r="W179" s="389"/>
      <c r="X179" s="389"/>
      <c r="Y179" s="389"/>
      <c r="Z179" s="389"/>
    </row>
    <row r="180" spans="9:26">
      <c r="I180" s="389"/>
      <c r="J180" s="389"/>
      <c r="K180" s="389"/>
      <c r="L180" s="389"/>
      <c r="M180" s="389"/>
      <c r="N180" s="389"/>
      <c r="O180" s="389"/>
      <c r="P180" s="389"/>
      <c r="Q180" s="389"/>
      <c r="R180" s="389"/>
      <c r="S180" s="389"/>
      <c r="T180" s="389"/>
      <c r="U180" s="389"/>
      <c r="V180" s="389"/>
      <c r="W180" s="389"/>
      <c r="X180" s="389"/>
      <c r="Y180" s="389"/>
      <c r="Z180" s="389"/>
    </row>
    <row r="181" spans="9:26">
      <c r="I181" s="389"/>
      <c r="J181" s="389"/>
      <c r="K181" s="389"/>
      <c r="L181" s="389"/>
      <c r="M181" s="389"/>
      <c r="N181" s="389"/>
      <c r="O181" s="389"/>
      <c r="P181" s="389"/>
      <c r="Q181" s="389"/>
      <c r="R181" s="389"/>
      <c r="S181" s="389"/>
      <c r="T181" s="389"/>
      <c r="U181" s="389"/>
      <c r="V181" s="389"/>
      <c r="W181" s="389"/>
      <c r="X181" s="389"/>
      <c r="Y181" s="389"/>
      <c r="Z181" s="389"/>
    </row>
    <row r="182" spans="9:26">
      <c r="I182" s="389"/>
      <c r="J182" s="389"/>
      <c r="K182" s="389"/>
      <c r="L182" s="389"/>
      <c r="M182" s="389"/>
      <c r="N182" s="389"/>
      <c r="O182" s="389"/>
      <c r="P182" s="389"/>
      <c r="Q182" s="389"/>
      <c r="R182" s="389"/>
      <c r="S182" s="389"/>
      <c r="T182" s="389"/>
      <c r="U182" s="389"/>
      <c r="V182" s="389"/>
      <c r="W182" s="389"/>
      <c r="X182" s="389"/>
      <c r="Y182" s="389"/>
      <c r="Z182" s="389"/>
    </row>
    <row r="183" spans="9:26">
      <c r="I183" s="389"/>
      <c r="J183" s="389"/>
      <c r="K183" s="389"/>
      <c r="L183" s="389"/>
      <c r="M183" s="389"/>
      <c r="N183" s="389"/>
      <c r="O183" s="389"/>
      <c r="P183" s="389"/>
      <c r="Q183" s="389"/>
      <c r="R183" s="389"/>
      <c r="S183" s="389"/>
      <c r="T183" s="389"/>
      <c r="U183" s="389"/>
      <c r="V183" s="389"/>
      <c r="W183" s="389"/>
      <c r="X183" s="389"/>
      <c r="Y183" s="389"/>
      <c r="Z183" s="389"/>
    </row>
    <row r="184" spans="9:26">
      <c r="I184" s="389"/>
      <c r="J184" s="389"/>
      <c r="K184" s="389"/>
      <c r="L184" s="389"/>
      <c r="M184" s="389"/>
      <c r="N184" s="389"/>
      <c r="O184" s="389"/>
      <c r="P184" s="389"/>
      <c r="Q184" s="389"/>
      <c r="R184" s="389"/>
      <c r="S184" s="389"/>
      <c r="T184" s="389"/>
      <c r="U184" s="389"/>
      <c r="V184" s="389"/>
      <c r="W184" s="389"/>
      <c r="X184" s="389"/>
      <c r="Y184" s="389"/>
      <c r="Z184" s="389"/>
    </row>
    <row r="185" spans="9:26">
      <c r="I185" s="389"/>
      <c r="J185" s="389"/>
      <c r="K185" s="389"/>
      <c r="L185" s="389"/>
      <c r="M185" s="389"/>
      <c r="N185" s="389"/>
      <c r="O185" s="389"/>
      <c r="P185" s="389"/>
      <c r="Q185" s="389"/>
      <c r="R185" s="389"/>
      <c r="S185" s="389"/>
      <c r="T185" s="389"/>
      <c r="U185" s="389"/>
      <c r="V185" s="389"/>
      <c r="W185" s="389"/>
      <c r="X185" s="389"/>
      <c r="Y185" s="389"/>
      <c r="Z185" s="389"/>
    </row>
    <row r="186" spans="9:26">
      <c r="I186" s="389"/>
      <c r="J186" s="389"/>
      <c r="K186" s="389"/>
      <c r="L186" s="389"/>
      <c r="M186" s="389"/>
      <c r="N186" s="389"/>
      <c r="O186" s="389"/>
      <c r="P186" s="389"/>
      <c r="Q186" s="389"/>
      <c r="R186" s="389"/>
      <c r="S186" s="389"/>
      <c r="T186" s="389"/>
      <c r="U186" s="389"/>
      <c r="V186" s="389"/>
      <c r="W186" s="389"/>
      <c r="X186" s="389"/>
      <c r="Y186" s="389"/>
      <c r="Z186" s="389"/>
    </row>
    <row r="187" spans="9:26">
      <c r="I187" s="389"/>
      <c r="J187" s="389"/>
      <c r="K187" s="389"/>
      <c r="L187" s="389"/>
      <c r="M187" s="389"/>
      <c r="N187" s="389"/>
      <c r="O187" s="389"/>
      <c r="P187" s="389"/>
      <c r="Q187" s="389"/>
      <c r="R187" s="389"/>
      <c r="S187" s="389"/>
      <c r="T187" s="389"/>
      <c r="U187" s="389"/>
      <c r="V187" s="389"/>
      <c r="W187" s="389"/>
      <c r="X187" s="389"/>
      <c r="Y187" s="389"/>
      <c r="Z187" s="389"/>
    </row>
    <row r="188" spans="9:26">
      <c r="I188" s="389"/>
      <c r="J188" s="389"/>
      <c r="K188" s="389"/>
      <c r="L188" s="389"/>
      <c r="M188" s="389"/>
      <c r="N188" s="389"/>
      <c r="O188" s="389"/>
      <c r="P188" s="389"/>
      <c r="Q188" s="389"/>
      <c r="R188" s="389"/>
      <c r="S188" s="389"/>
      <c r="T188" s="389"/>
      <c r="U188" s="389"/>
      <c r="V188" s="389"/>
      <c r="W188" s="389"/>
      <c r="X188" s="389"/>
      <c r="Y188" s="389"/>
      <c r="Z188" s="389"/>
    </row>
    <row r="189" spans="9:26">
      <c r="I189" s="389"/>
      <c r="J189" s="389"/>
      <c r="K189" s="389"/>
      <c r="L189" s="389"/>
      <c r="M189" s="389"/>
      <c r="N189" s="389"/>
      <c r="O189" s="389"/>
      <c r="P189" s="389"/>
      <c r="Q189" s="389"/>
      <c r="R189" s="389"/>
      <c r="S189" s="389"/>
      <c r="T189" s="389"/>
      <c r="U189" s="389"/>
      <c r="V189" s="389"/>
      <c r="W189" s="389"/>
      <c r="X189" s="389"/>
      <c r="Y189" s="389"/>
      <c r="Z189" s="389"/>
    </row>
    <row r="190" spans="9:26">
      <c r="I190" s="389"/>
      <c r="J190" s="389"/>
      <c r="K190" s="389"/>
      <c r="L190" s="389"/>
      <c r="M190" s="389"/>
      <c r="N190" s="389"/>
      <c r="O190" s="389"/>
      <c r="P190" s="389"/>
      <c r="Q190" s="389"/>
      <c r="R190" s="389"/>
      <c r="S190" s="389"/>
      <c r="T190" s="389"/>
      <c r="U190" s="389"/>
      <c r="V190" s="389"/>
      <c r="W190" s="389"/>
      <c r="X190" s="389"/>
      <c r="Y190" s="389"/>
      <c r="Z190" s="389"/>
    </row>
    <row r="191" spans="9:26">
      <c r="I191" s="389"/>
      <c r="J191" s="389"/>
      <c r="K191" s="389"/>
      <c r="L191" s="389"/>
      <c r="M191" s="389"/>
      <c r="N191" s="389"/>
      <c r="O191" s="389"/>
      <c r="P191" s="389"/>
      <c r="Q191" s="389"/>
      <c r="R191" s="389"/>
      <c r="S191" s="389"/>
      <c r="T191" s="389"/>
      <c r="U191" s="389"/>
      <c r="V191" s="389"/>
      <c r="W191" s="389"/>
      <c r="X191" s="389"/>
      <c r="Y191" s="389"/>
      <c r="Z191" s="389"/>
    </row>
    <row r="192" spans="9:26">
      <c r="I192" s="389"/>
      <c r="J192" s="389"/>
      <c r="K192" s="389"/>
      <c r="L192" s="389"/>
      <c r="M192" s="389"/>
      <c r="N192" s="389"/>
      <c r="O192" s="389"/>
      <c r="P192" s="389"/>
      <c r="Q192" s="389"/>
      <c r="R192" s="389"/>
      <c r="S192" s="389"/>
      <c r="T192" s="389"/>
      <c r="U192" s="389"/>
      <c r="V192" s="389"/>
      <c r="W192" s="389"/>
      <c r="X192" s="389"/>
      <c r="Y192" s="389"/>
      <c r="Z192" s="389"/>
    </row>
    <row r="193" spans="9:26">
      <c r="I193" s="389"/>
      <c r="J193" s="389"/>
      <c r="K193" s="389"/>
      <c r="L193" s="389"/>
      <c r="M193" s="389"/>
      <c r="N193" s="389"/>
      <c r="O193" s="389"/>
      <c r="P193" s="389"/>
      <c r="Q193" s="389"/>
      <c r="R193" s="389"/>
      <c r="S193" s="389"/>
      <c r="T193" s="389"/>
      <c r="U193" s="389"/>
      <c r="V193" s="389"/>
      <c r="W193" s="389"/>
      <c r="X193" s="389"/>
      <c r="Y193" s="389"/>
      <c r="Z193" s="389"/>
    </row>
    <row r="194" spans="9:26">
      <c r="I194" s="389"/>
      <c r="J194" s="389"/>
      <c r="K194" s="389"/>
      <c r="L194" s="389"/>
      <c r="M194" s="389"/>
      <c r="N194" s="389"/>
      <c r="O194" s="389"/>
      <c r="P194" s="389"/>
      <c r="Q194" s="389"/>
      <c r="R194" s="389"/>
      <c r="S194" s="389"/>
      <c r="T194" s="389"/>
      <c r="U194" s="389"/>
      <c r="V194" s="389"/>
      <c r="W194" s="389"/>
      <c r="X194" s="389"/>
      <c r="Y194" s="389"/>
      <c r="Z194" s="389"/>
    </row>
    <row r="195" spans="9:26">
      <c r="I195" s="389"/>
      <c r="J195" s="389"/>
      <c r="K195" s="389"/>
      <c r="L195" s="389"/>
      <c r="M195" s="389"/>
      <c r="N195" s="389"/>
      <c r="O195" s="389"/>
      <c r="P195" s="389"/>
      <c r="Q195" s="389"/>
      <c r="R195" s="389"/>
      <c r="S195" s="389"/>
      <c r="T195" s="389"/>
      <c r="U195" s="389"/>
      <c r="V195" s="389"/>
      <c r="W195" s="389"/>
      <c r="X195" s="389"/>
      <c r="Y195" s="389"/>
      <c r="Z195" s="389"/>
    </row>
    <row r="196" spans="9:26">
      <c r="I196" s="389"/>
      <c r="J196" s="389"/>
      <c r="K196" s="389"/>
      <c r="L196" s="389"/>
      <c r="M196" s="389"/>
      <c r="N196" s="389"/>
      <c r="O196" s="389"/>
      <c r="P196" s="389"/>
      <c r="Q196" s="389"/>
      <c r="R196" s="389"/>
      <c r="S196" s="389"/>
      <c r="T196" s="389"/>
      <c r="U196" s="389"/>
      <c r="V196" s="389"/>
      <c r="W196" s="389"/>
      <c r="X196" s="389"/>
      <c r="Y196" s="389"/>
      <c r="Z196" s="389"/>
    </row>
    <row r="197" spans="9:26">
      <c r="I197" s="389"/>
      <c r="J197" s="389"/>
      <c r="K197" s="389"/>
      <c r="L197" s="389"/>
      <c r="M197" s="389"/>
      <c r="N197" s="389"/>
      <c r="O197" s="389"/>
      <c r="P197" s="389"/>
      <c r="Q197" s="389"/>
      <c r="R197" s="389"/>
      <c r="S197" s="389"/>
      <c r="T197" s="389"/>
      <c r="U197" s="389"/>
      <c r="V197" s="389"/>
      <c r="W197" s="389"/>
      <c r="X197" s="389"/>
      <c r="Y197" s="389"/>
      <c r="Z197" s="389"/>
    </row>
    <row r="198" spans="9:26">
      <c r="I198" s="389"/>
      <c r="J198" s="389"/>
      <c r="K198" s="389"/>
      <c r="L198" s="389"/>
      <c r="M198" s="389"/>
      <c r="N198" s="389"/>
      <c r="O198" s="389"/>
      <c r="P198" s="389"/>
      <c r="Q198" s="389"/>
      <c r="R198" s="389"/>
      <c r="S198" s="389"/>
      <c r="T198" s="389"/>
      <c r="U198" s="389"/>
      <c r="V198" s="389"/>
      <c r="W198" s="389"/>
      <c r="X198" s="389"/>
      <c r="Y198" s="389"/>
      <c r="Z198" s="389"/>
    </row>
    <row r="199" spans="9:26">
      <c r="I199" s="389"/>
      <c r="J199" s="389"/>
      <c r="K199" s="389"/>
      <c r="L199" s="389"/>
      <c r="M199" s="389"/>
      <c r="N199" s="389"/>
      <c r="O199" s="389"/>
      <c r="P199" s="389"/>
      <c r="Q199" s="389"/>
      <c r="R199" s="389"/>
      <c r="S199" s="389"/>
      <c r="T199" s="389"/>
      <c r="U199" s="389"/>
      <c r="V199" s="389"/>
      <c r="W199" s="389"/>
      <c r="X199" s="389"/>
      <c r="Y199" s="389"/>
      <c r="Z199" s="389"/>
    </row>
    <row r="200" spans="9:26">
      <c r="I200" s="389"/>
      <c r="J200" s="389"/>
      <c r="K200" s="389"/>
      <c r="L200" s="389"/>
      <c r="M200" s="389"/>
      <c r="N200" s="389"/>
      <c r="O200" s="389"/>
      <c r="P200" s="389"/>
      <c r="Q200" s="389"/>
      <c r="R200" s="389"/>
      <c r="S200" s="389"/>
      <c r="T200" s="389"/>
      <c r="U200" s="389"/>
      <c r="V200" s="389"/>
      <c r="W200" s="389"/>
      <c r="X200" s="389"/>
      <c r="Y200" s="389"/>
      <c r="Z200" s="389"/>
    </row>
    <row r="201" spans="9:26">
      <c r="I201" s="389"/>
      <c r="J201" s="389"/>
      <c r="K201" s="389"/>
      <c r="L201" s="389"/>
      <c r="M201" s="389"/>
      <c r="N201" s="389"/>
      <c r="O201" s="389"/>
      <c r="P201" s="389"/>
      <c r="Q201" s="389"/>
      <c r="R201" s="389"/>
      <c r="S201" s="389"/>
      <c r="T201" s="389"/>
      <c r="U201" s="389"/>
      <c r="V201" s="389"/>
      <c r="W201" s="389"/>
      <c r="X201" s="389"/>
      <c r="Y201" s="389"/>
      <c r="Z201" s="389"/>
    </row>
    <row r="202" spans="9:26">
      <c r="I202" s="389"/>
      <c r="J202" s="389"/>
      <c r="K202" s="389"/>
      <c r="L202" s="389"/>
      <c r="M202" s="389"/>
      <c r="N202" s="389"/>
      <c r="O202" s="389"/>
      <c r="P202" s="389"/>
      <c r="Q202" s="389"/>
      <c r="R202" s="389"/>
      <c r="S202" s="389"/>
      <c r="T202" s="389"/>
      <c r="U202" s="389"/>
      <c r="V202" s="389"/>
      <c r="W202" s="389"/>
      <c r="X202" s="389"/>
      <c r="Y202" s="389"/>
      <c r="Z202" s="389"/>
    </row>
    <row r="203" spans="9:26">
      <c r="I203" s="389"/>
      <c r="J203" s="389"/>
      <c r="K203" s="389"/>
      <c r="L203" s="389"/>
      <c r="M203" s="389"/>
      <c r="N203" s="389"/>
      <c r="O203" s="389"/>
      <c r="P203" s="389"/>
      <c r="Q203" s="389"/>
      <c r="R203" s="389"/>
      <c r="S203" s="389"/>
      <c r="T203" s="389"/>
      <c r="U203" s="389"/>
      <c r="V203" s="389"/>
      <c r="W203" s="389"/>
      <c r="X203" s="389"/>
      <c r="Y203" s="389"/>
      <c r="Z203" s="389"/>
    </row>
    <row r="204" spans="9:26">
      <c r="I204" s="389"/>
      <c r="J204" s="389"/>
      <c r="K204" s="389"/>
      <c r="L204" s="389"/>
      <c r="M204" s="389"/>
      <c r="N204" s="389"/>
      <c r="O204" s="389"/>
      <c r="P204" s="389"/>
      <c r="Q204" s="389"/>
      <c r="R204" s="389"/>
      <c r="S204" s="389"/>
      <c r="T204" s="389"/>
      <c r="U204" s="389"/>
      <c r="V204" s="389"/>
      <c r="W204" s="389"/>
      <c r="X204" s="389"/>
      <c r="Y204" s="389"/>
      <c r="Z204" s="389"/>
    </row>
    <row r="205" spans="9:26">
      <c r="I205" s="389"/>
      <c r="J205" s="389"/>
      <c r="K205" s="389"/>
      <c r="L205" s="389"/>
      <c r="M205" s="389"/>
      <c r="N205" s="389"/>
      <c r="O205" s="389"/>
      <c r="P205" s="389"/>
      <c r="Q205" s="389"/>
      <c r="R205" s="389"/>
      <c r="S205" s="389"/>
      <c r="T205" s="389"/>
      <c r="U205" s="389"/>
      <c r="V205" s="389"/>
      <c r="W205" s="389"/>
      <c r="X205" s="389"/>
      <c r="Y205" s="389"/>
      <c r="Z205" s="389"/>
    </row>
    <row r="206" spans="9:26">
      <c r="I206" s="389"/>
      <c r="J206" s="389"/>
      <c r="K206" s="389"/>
      <c r="L206" s="389"/>
      <c r="M206" s="389"/>
      <c r="N206" s="389"/>
      <c r="O206" s="389"/>
      <c r="P206" s="389"/>
      <c r="Q206" s="389"/>
      <c r="R206" s="389"/>
      <c r="S206" s="389"/>
      <c r="T206" s="389"/>
      <c r="U206" s="389"/>
      <c r="V206" s="389"/>
      <c r="W206" s="389"/>
      <c r="X206" s="389"/>
      <c r="Y206" s="389"/>
      <c r="Z206" s="389"/>
    </row>
    <row r="207" spans="9:26">
      <c r="I207" s="389"/>
      <c r="J207" s="389"/>
      <c r="K207" s="389"/>
      <c r="L207" s="389"/>
      <c r="M207" s="389"/>
      <c r="N207" s="389"/>
      <c r="O207" s="389"/>
      <c r="P207" s="389"/>
      <c r="Q207" s="389"/>
      <c r="R207" s="389"/>
      <c r="S207" s="389"/>
      <c r="T207" s="389"/>
      <c r="U207" s="389"/>
      <c r="V207" s="389"/>
      <c r="W207" s="389"/>
      <c r="X207" s="389"/>
      <c r="Y207" s="389"/>
      <c r="Z207" s="389"/>
    </row>
    <row r="208" spans="9:26">
      <c r="I208" s="389"/>
      <c r="J208" s="389"/>
      <c r="K208" s="389"/>
      <c r="L208" s="389"/>
      <c r="M208" s="389"/>
      <c r="N208" s="389"/>
      <c r="O208" s="389"/>
      <c r="P208" s="389"/>
      <c r="Q208" s="389"/>
      <c r="R208" s="389"/>
      <c r="S208" s="389"/>
      <c r="T208" s="389"/>
      <c r="U208" s="389"/>
      <c r="V208" s="389"/>
      <c r="W208" s="389"/>
      <c r="X208" s="389"/>
      <c r="Y208" s="389"/>
      <c r="Z208" s="389"/>
    </row>
    <row r="209" spans="9:26">
      <c r="I209" s="389"/>
      <c r="J209" s="389"/>
      <c r="K209" s="389"/>
      <c r="L209" s="389"/>
      <c r="M209" s="389"/>
      <c r="N209" s="389"/>
      <c r="O209" s="389"/>
      <c r="P209" s="389"/>
      <c r="Q209" s="389"/>
      <c r="R209" s="389"/>
      <c r="S209" s="389"/>
      <c r="T209" s="389"/>
      <c r="U209" s="389"/>
      <c r="V209" s="389"/>
      <c r="W209" s="389"/>
      <c r="X209" s="389"/>
      <c r="Y209" s="389"/>
      <c r="Z209" s="389"/>
    </row>
    <row r="210" spans="9:26">
      <c r="I210" s="389"/>
      <c r="J210" s="389"/>
      <c r="K210" s="389"/>
      <c r="L210" s="389"/>
      <c r="M210" s="389"/>
      <c r="N210" s="389"/>
      <c r="O210" s="389"/>
      <c r="P210" s="389"/>
      <c r="Q210" s="389"/>
      <c r="R210" s="389"/>
      <c r="S210" s="389"/>
      <c r="T210" s="389"/>
      <c r="U210" s="389"/>
      <c r="V210" s="389"/>
      <c r="W210" s="389"/>
      <c r="X210" s="389"/>
      <c r="Y210" s="389"/>
      <c r="Z210" s="389"/>
    </row>
    <row r="211" spans="9:26">
      <c r="I211" s="389"/>
      <c r="J211" s="389"/>
      <c r="K211" s="389"/>
      <c r="L211" s="389"/>
      <c r="M211" s="389"/>
      <c r="N211" s="389"/>
      <c r="O211" s="389"/>
      <c r="P211" s="389"/>
      <c r="Q211" s="389"/>
      <c r="R211" s="389"/>
      <c r="S211" s="389"/>
      <c r="T211" s="389"/>
      <c r="U211" s="389"/>
      <c r="V211" s="389"/>
      <c r="W211" s="389"/>
      <c r="X211" s="389"/>
      <c r="Y211" s="389"/>
      <c r="Z211" s="389"/>
    </row>
    <row r="212" spans="9:26">
      <c r="I212" s="389"/>
      <c r="J212" s="389"/>
      <c r="K212" s="389"/>
      <c r="L212" s="389"/>
      <c r="M212" s="389"/>
      <c r="N212" s="389"/>
      <c r="O212" s="389"/>
      <c r="P212" s="389"/>
      <c r="Q212" s="389"/>
      <c r="R212" s="389"/>
      <c r="S212" s="389"/>
      <c r="T212" s="389"/>
      <c r="U212" s="389"/>
      <c r="V212" s="389"/>
      <c r="W212" s="389"/>
      <c r="X212" s="389"/>
      <c r="Y212" s="389"/>
      <c r="Z212" s="389"/>
    </row>
    <row r="213" spans="9:26">
      <c r="I213" s="389"/>
      <c r="J213" s="389"/>
      <c r="K213" s="389"/>
      <c r="L213" s="389"/>
      <c r="M213" s="389"/>
      <c r="N213" s="389"/>
      <c r="O213" s="389"/>
      <c r="P213" s="389"/>
      <c r="Q213" s="389"/>
      <c r="R213" s="389"/>
      <c r="S213" s="389"/>
      <c r="T213" s="389"/>
      <c r="U213" s="389"/>
      <c r="V213" s="389"/>
      <c r="W213" s="389"/>
      <c r="X213" s="389"/>
      <c r="Y213" s="389"/>
      <c r="Z213" s="389"/>
    </row>
    <row r="214" spans="9:26">
      <c r="I214" s="389"/>
      <c r="J214" s="389"/>
      <c r="K214" s="389"/>
      <c r="L214" s="389"/>
      <c r="M214" s="389"/>
      <c r="N214" s="389"/>
      <c r="O214" s="389"/>
      <c r="P214" s="389"/>
      <c r="Q214" s="389"/>
      <c r="R214" s="389"/>
      <c r="S214" s="389"/>
      <c r="T214" s="389"/>
      <c r="U214" s="389"/>
      <c r="V214" s="389"/>
      <c r="W214" s="389"/>
      <c r="X214" s="389"/>
      <c r="Y214" s="389"/>
      <c r="Z214" s="389"/>
    </row>
    <row r="215" spans="9:26">
      <c r="I215" s="389"/>
      <c r="J215" s="389"/>
      <c r="K215" s="389"/>
      <c r="L215" s="389"/>
      <c r="M215" s="389"/>
      <c r="N215" s="389"/>
      <c r="O215" s="389"/>
      <c r="P215" s="389"/>
      <c r="Q215" s="389"/>
      <c r="R215" s="389"/>
      <c r="S215" s="389"/>
      <c r="T215" s="389"/>
      <c r="U215" s="389"/>
      <c r="V215" s="389"/>
      <c r="W215" s="389"/>
      <c r="X215" s="389"/>
      <c r="Y215" s="389"/>
      <c r="Z215" s="389"/>
    </row>
    <row r="216" spans="9:26">
      <c r="I216" s="389"/>
      <c r="J216" s="389"/>
      <c r="K216" s="389"/>
      <c r="L216" s="389"/>
      <c r="M216" s="389"/>
      <c r="N216" s="389"/>
      <c r="O216" s="389"/>
      <c r="P216" s="389"/>
      <c r="Q216" s="389"/>
      <c r="R216" s="389"/>
      <c r="S216" s="389"/>
      <c r="T216" s="389"/>
      <c r="U216" s="389"/>
      <c r="V216" s="389"/>
      <c r="W216" s="389"/>
      <c r="X216" s="389"/>
      <c r="Y216" s="389"/>
      <c r="Z216" s="389"/>
    </row>
    <row r="217" spans="9:26">
      <c r="I217" s="389"/>
      <c r="J217" s="389"/>
      <c r="K217" s="389"/>
      <c r="L217" s="389"/>
      <c r="M217" s="389"/>
      <c r="N217" s="389"/>
      <c r="O217" s="389"/>
      <c r="P217" s="389"/>
      <c r="Q217" s="389"/>
      <c r="R217" s="389"/>
      <c r="S217" s="389"/>
      <c r="T217" s="389"/>
      <c r="U217" s="389"/>
      <c r="V217" s="389"/>
      <c r="W217" s="389"/>
      <c r="X217" s="389"/>
      <c r="Y217" s="389"/>
      <c r="Z217" s="389"/>
    </row>
    <row r="295" spans="4:4">
      <c r="D295" s="922">
        <v>0</v>
      </c>
    </row>
  </sheetData>
  <mergeCells count="4">
    <mergeCell ref="A1:L1"/>
    <mergeCell ref="B3:I3"/>
    <mergeCell ref="A4:L4"/>
    <mergeCell ref="A2:Z2"/>
  </mergeCells>
  <printOptions horizontalCentered="1" verticalCentered="1"/>
  <pageMargins left="0" right="0" top="0.17" bottom="0.17" header="0.17" footer="0.2"/>
  <pageSetup paperSize="5" scale="43"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pageSetUpPr fitToPage="1"/>
  </sheetPr>
  <dimension ref="A1:AR83"/>
  <sheetViews>
    <sheetView showGridLines="0" topLeftCell="A2" zoomScale="70" zoomScaleNormal="70" workbookViewId="0">
      <selection activeCell="U10" sqref="U10"/>
    </sheetView>
  </sheetViews>
  <sheetFormatPr defaultRowHeight="12.75"/>
  <cols>
    <col min="1" max="1" width="58" style="1355" customWidth="1"/>
    <col min="2" max="2" width="10" style="1355" customWidth="1"/>
    <col min="3" max="3" width="2.28515625" style="1355" bestFit="1" customWidth="1"/>
    <col min="4" max="4" width="19.42578125" style="438" bestFit="1" customWidth="1"/>
    <col min="5" max="5" width="1.28515625" style="1364" customWidth="1"/>
    <col min="6" max="6" width="19.42578125" style="364" customWidth="1"/>
    <col min="7" max="7" width="1.28515625" style="1365" customWidth="1"/>
    <col min="8" max="8" width="19.42578125" style="364" customWidth="1"/>
    <col min="9" max="9" width="1.28515625" style="1365" customWidth="1"/>
    <col min="10" max="10" width="19.42578125" style="364" customWidth="1"/>
    <col min="11" max="11" width="1.28515625" style="1365" customWidth="1"/>
    <col min="12" max="12" width="19.42578125" style="1226" customWidth="1"/>
    <col min="13" max="13" width="1.28515625" style="1365" customWidth="1"/>
    <col min="14" max="14" width="19.42578125" style="364" customWidth="1"/>
    <col min="15" max="15" width="1.28515625" style="1365" customWidth="1"/>
    <col min="16" max="16" width="19.42578125" style="364" bestFit="1" customWidth="1"/>
    <col min="17" max="17" width="16" style="1353" bestFit="1" customWidth="1"/>
    <col min="18" max="18" width="19.5703125" style="364" customWidth="1"/>
    <col min="19" max="19" width="16" style="1353" customWidth="1"/>
    <col min="20" max="20" width="20.7109375" style="1353" customWidth="1"/>
    <col min="21" max="30" width="9.140625" style="1353" customWidth="1"/>
    <col min="31" max="31" width="16.85546875" style="1354" customWidth="1"/>
    <col min="32" max="32" width="16.28515625" style="1353" customWidth="1"/>
    <col min="33" max="44" width="9.140625" style="1353" customWidth="1"/>
    <col min="45" max="239" width="8.85546875" style="1355"/>
    <col min="240" max="240" width="44.5703125" style="1355" customWidth="1"/>
    <col min="241" max="241" width="14.28515625" style="1355" bestFit="1" customWidth="1"/>
    <col min="242" max="242" width="1.7109375" style="1355" customWidth="1"/>
    <col min="243" max="243" width="14.85546875" style="1355" customWidth="1"/>
    <col min="244" max="244" width="0" style="1355" hidden="1" customWidth="1"/>
    <col min="245" max="245" width="17.42578125" style="1355" customWidth="1"/>
    <col min="246" max="246" width="0" style="1355" hidden="1" customWidth="1"/>
    <col min="247" max="247" width="12.85546875" style="1355" customWidth="1"/>
    <col min="248" max="248" width="0" style="1355" hidden="1" customWidth="1"/>
    <col min="249" max="249" width="14.42578125" style="1355" customWidth="1"/>
    <col min="250" max="250" width="0" style="1355" hidden="1" customWidth="1"/>
    <col min="251" max="251" width="17.42578125" style="1355" customWidth="1"/>
    <col min="252" max="252" width="0" style="1355" hidden="1" customWidth="1"/>
    <col min="253" max="253" width="14" style="1355" customWidth="1"/>
    <col min="254" max="254" width="14.28515625" style="1355" bestFit="1" customWidth="1"/>
    <col min="255" max="255" width="0" style="1355" hidden="1" customWidth="1"/>
    <col min="256" max="256" width="15.5703125" style="1355" customWidth="1"/>
    <col min="257" max="257" width="44.5703125" style="1355" customWidth="1"/>
    <col min="258" max="258" width="14.28515625" style="1355" bestFit="1" customWidth="1"/>
    <col min="259" max="259" width="0" style="1355" hidden="1" customWidth="1"/>
    <col min="260" max="260" width="18.140625" style="1355" customWidth="1"/>
    <col min="261" max="261" width="0" style="1355" hidden="1" customWidth="1"/>
    <col min="262" max="262" width="14" style="1355" customWidth="1"/>
    <col min="263" max="263" width="0" style="1355" hidden="1" customWidth="1"/>
    <col min="264" max="264" width="20.85546875" style="1355" customWidth="1"/>
    <col min="265" max="265" width="0" style="1355" hidden="1" customWidth="1"/>
    <col min="266" max="266" width="13.28515625" style="1355" customWidth="1"/>
    <col min="267" max="267" width="0" style="1355" hidden="1" customWidth="1"/>
    <col min="268" max="268" width="15" style="1355" customWidth="1"/>
    <col min="269" max="269" width="0" style="1355" hidden="1" customWidth="1"/>
    <col min="270" max="270" width="13.28515625" style="1355" customWidth="1"/>
    <col min="271" max="271" width="0" style="1355" hidden="1" customWidth="1"/>
    <col min="272" max="272" width="20.140625" style="1355" customWidth="1"/>
    <col min="273" max="273" width="14.42578125" style="1355" bestFit="1" customWidth="1"/>
    <col min="274" max="274" width="14" style="1355" bestFit="1" customWidth="1"/>
    <col min="275" max="275" width="12.28515625" style="1355" bestFit="1" customWidth="1"/>
    <col min="276" max="300" width="9.140625" style="1355" customWidth="1"/>
    <col min="301" max="495" width="8.85546875" style="1355"/>
    <col min="496" max="496" width="44.5703125" style="1355" customWidth="1"/>
    <col min="497" max="497" width="14.28515625" style="1355" bestFit="1" customWidth="1"/>
    <col min="498" max="498" width="1.7109375" style="1355" customWidth="1"/>
    <col min="499" max="499" width="14.85546875" style="1355" customWidth="1"/>
    <col min="500" max="500" width="0" style="1355" hidden="1" customWidth="1"/>
    <col min="501" max="501" width="17.42578125" style="1355" customWidth="1"/>
    <col min="502" max="502" width="0" style="1355" hidden="1" customWidth="1"/>
    <col min="503" max="503" width="12.85546875" style="1355" customWidth="1"/>
    <col min="504" max="504" width="0" style="1355" hidden="1" customWidth="1"/>
    <col min="505" max="505" width="14.42578125" style="1355" customWidth="1"/>
    <col min="506" max="506" width="0" style="1355" hidden="1" customWidth="1"/>
    <col min="507" max="507" width="17.42578125" style="1355" customWidth="1"/>
    <col min="508" max="508" width="0" style="1355" hidden="1" customWidth="1"/>
    <col min="509" max="509" width="14" style="1355" customWidth="1"/>
    <col min="510" max="510" width="14.28515625" style="1355" bestFit="1" customWidth="1"/>
    <col min="511" max="511" width="0" style="1355" hidden="1" customWidth="1"/>
    <col min="512" max="512" width="15.5703125" style="1355" customWidth="1"/>
    <col min="513" max="513" width="44.5703125" style="1355" customWidth="1"/>
    <col min="514" max="514" width="14.28515625" style="1355" bestFit="1" customWidth="1"/>
    <col min="515" max="515" width="0" style="1355" hidden="1" customWidth="1"/>
    <col min="516" max="516" width="18.140625" style="1355" customWidth="1"/>
    <col min="517" max="517" width="0" style="1355" hidden="1" customWidth="1"/>
    <col min="518" max="518" width="14" style="1355" customWidth="1"/>
    <col min="519" max="519" width="0" style="1355" hidden="1" customWidth="1"/>
    <col min="520" max="520" width="20.85546875" style="1355" customWidth="1"/>
    <col min="521" max="521" width="0" style="1355" hidden="1" customWidth="1"/>
    <col min="522" max="522" width="13.28515625" style="1355" customWidth="1"/>
    <col min="523" max="523" width="0" style="1355" hidden="1" customWidth="1"/>
    <col min="524" max="524" width="15" style="1355" customWidth="1"/>
    <col min="525" max="525" width="0" style="1355" hidden="1" customWidth="1"/>
    <col min="526" max="526" width="13.28515625" style="1355" customWidth="1"/>
    <col min="527" max="527" width="0" style="1355" hidden="1" customWidth="1"/>
    <col min="528" max="528" width="20.140625" style="1355" customWidth="1"/>
    <col min="529" max="529" width="14.42578125" style="1355" bestFit="1" customWidth="1"/>
    <col min="530" max="530" width="14" style="1355" bestFit="1" customWidth="1"/>
    <col min="531" max="531" width="12.28515625" style="1355" bestFit="1" customWidth="1"/>
    <col min="532" max="556" width="9.140625" style="1355" customWidth="1"/>
    <col min="557" max="751" width="8.85546875" style="1355"/>
    <col min="752" max="752" width="44.5703125" style="1355" customWidth="1"/>
    <col min="753" max="753" width="14.28515625" style="1355" bestFit="1" customWidth="1"/>
    <col min="754" max="754" width="1.7109375" style="1355" customWidth="1"/>
    <col min="755" max="755" width="14.85546875" style="1355" customWidth="1"/>
    <col min="756" max="756" width="0" style="1355" hidden="1" customWidth="1"/>
    <col min="757" max="757" width="17.42578125" style="1355" customWidth="1"/>
    <col min="758" max="758" width="0" style="1355" hidden="1" customWidth="1"/>
    <col min="759" max="759" width="12.85546875" style="1355" customWidth="1"/>
    <col min="760" max="760" width="0" style="1355" hidden="1" customWidth="1"/>
    <col min="761" max="761" width="14.42578125" style="1355" customWidth="1"/>
    <col min="762" max="762" width="0" style="1355" hidden="1" customWidth="1"/>
    <col min="763" max="763" width="17.42578125" style="1355" customWidth="1"/>
    <col min="764" max="764" width="0" style="1355" hidden="1" customWidth="1"/>
    <col min="765" max="765" width="14" style="1355" customWidth="1"/>
    <col min="766" max="766" width="14.28515625" style="1355" bestFit="1" customWidth="1"/>
    <col min="767" max="767" width="0" style="1355" hidden="1" customWidth="1"/>
    <col min="768" max="768" width="15.5703125" style="1355" customWidth="1"/>
    <col min="769" max="769" width="44.5703125" style="1355" customWidth="1"/>
    <col min="770" max="770" width="14.28515625" style="1355" bestFit="1" customWidth="1"/>
    <col min="771" max="771" width="0" style="1355" hidden="1" customWidth="1"/>
    <col min="772" max="772" width="18.140625" style="1355" customWidth="1"/>
    <col min="773" max="773" width="0" style="1355" hidden="1" customWidth="1"/>
    <col min="774" max="774" width="14" style="1355" customWidth="1"/>
    <col min="775" max="775" width="0" style="1355" hidden="1" customWidth="1"/>
    <col min="776" max="776" width="20.85546875" style="1355" customWidth="1"/>
    <col min="777" max="777" width="0" style="1355" hidden="1" customWidth="1"/>
    <col min="778" max="778" width="13.28515625" style="1355" customWidth="1"/>
    <col min="779" max="779" width="0" style="1355" hidden="1" customWidth="1"/>
    <col min="780" max="780" width="15" style="1355" customWidth="1"/>
    <col min="781" max="781" width="0" style="1355" hidden="1" customWidth="1"/>
    <col min="782" max="782" width="13.28515625" style="1355" customWidth="1"/>
    <col min="783" max="783" width="0" style="1355" hidden="1" customWidth="1"/>
    <col min="784" max="784" width="20.140625" style="1355" customWidth="1"/>
    <col min="785" max="785" width="14.42578125" style="1355" bestFit="1" customWidth="1"/>
    <col min="786" max="786" width="14" style="1355" bestFit="1" customWidth="1"/>
    <col min="787" max="787" width="12.28515625" style="1355" bestFit="1" customWidth="1"/>
    <col min="788" max="812" width="9.140625" style="1355" customWidth="1"/>
    <col min="813" max="1007" width="8.85546875" style="1355"/>
    <col min="1008" max="1008" width="44.5703125" style="1355" customWidth="1"/>
    <col min="1009" max="1009" width="14.28515625" style="1355" bestFit="1" customWidth="1"/>
    <col min="1010" max="1010" width="1.7109375" style="1355" customWidth="1"/>
    <col min="1011" max="1011" width="14.85546875" style="1355" customWidth="1"/>
    <col min="1012" max="1012" width="0" style="1355" hidden="1" customWidth="1"/>
    <col min="1013" max="1013" width="17.42578125" style="1355" customWidth="1"/>
    <col min="1014" max="1014" width="0" style="1355" hidden="1" customWidth="1"/>
    <col min="1015" max="1015" width="12.85546875" style="1355" customWidth="1"/>
    <col min="1016" max="1016" width="0" style="1355" hidden="1" customWidth="1"/>
    <col min="1017" max="1017" width="14.42578125" style="1355" customWidth="1"/>
    <col min="1018" max="1018" width="0" style="1355" hidden="1" customWidth="1"/>
    <col min="1019" max="1019" width="17.42578125" style="1355" customWidth="1"/>
    <col min="1020" max="1020" width="0" style="1355" hidden="1" customWidth="1"/>
    <col min="1021" max="1021" width="14" style="1355" customWidth="1"/>
    <col min="1022" max="1022" width="14.28515625" style="1355" bestFit="1" customWidth="1"/>
    <col min="1023" max="1023" width="0" style="1355" hidden="1" customWidth="1"/>
    <col min="1024" max="1024" width="15.5703125" style="1355" customWidth="1"/>
    <col min="1025" max="1025" width="44.5703125" style="1355" customWidth="1"/>
    <col min="1026" max="1026" width="14.28515625" style="1355" bestFit="1" customWidth="1"/>
    <col min="1027" max="1027" width="0" style="1355" hidden="1" customWidth="1"/>
    <col min="1028" max="1028" width="18.140625" style="1355" customWidth="1"/>
    <col min="1029" max="1029" width="0" style="1355" hidden="1" customWidth="1"/>
    <col min="1030" max="1030" width="14" style="1355" customWidth="1"/>
    <col min="1031" max="1031" width="0" style="1355" hidden="1" customWidth="1"/>
    <col min="1032" max="1032" width="20.85546875" style="1355" customWidth="1"/>
    <col min="1033" max="1033" width="0" style="1355" hidden="1" customWidth="1"/>
    <col min="1034" max="1034" width="13.28515625" style="1355" customWidth="1"/>
    <col min="1035" max="1035" width="0" style="1355" hidden="1" customWidth="1"/>
    <col min="1036" max="1036" width="15" style="1355" customWidth="1"/>
    <col min="1037" max="1037" width="0" style="1355" hidden="1" customWidth="1"/>
    <col min="1038" max="1038" width="13.28515625" style="1355" customWidth="1"/>
    <col min="1039" max="1039" width="0" style="1355" hidden="1" customWidth="1"/>
    <col min="1040" max="1040" width="20.140625" style="1355" customWidth="1"/>
    <col min="1041" max="1041" width="14.42578125" style="1355" bestFit="1" customWidth="1"/>
    <col min="1042" max="1042" width="14" style="1355" bestFit="1" customWidth="1"/>
    <col min="1043" max="1043" width="12.28515625" style="1355" bestFit="1" customWidth="1"/>
    <col min="1044" max="1068" width="9.140625" style="1355" customWidth="1"/>
    <col min="1069" max="1263" width="8.85546875" style="1355"/>
    <col min="1264" max="1264" width="44.5703125" style="1355" customWidth="1"/>
    <col min="1265" max="1265" width="14.28515625" style="1355" bestFit="1" customWidth="1"/>
    <col min="1266" max="1266" width="1.7109375" style="1355" customWidth="1"/>
    <col min="1267" max="1267" width="14.85546875" style="1355" customWidth="1"/>
    <col min="1268" max="1268" width="0" style="1355" hidden="1" customWidth="1"/>
    <col min="1269" max="1269" width="17.42578125" style="1355" customWidth="1"/>
    <col min="1270" max="1270" width="0" style="1355" hidden="1" customWidth="1"/>
    <col min="1271" max="1271" width="12.85546875" style="1355" customWidth="1"/>
    <col min="1272" max="1272" width="0" style="1355" hidden="1" customWidth="1"/>
    <col min="1273" max="1273" width="14.42578125" style="1355" customWidth="1"/>
    <col min="1274" max="1274" width="0" style="1355" hidden="1" customWidth="1"/>
    <col min="1275" max="1275" width="17.42578125" style="1355" customWidth="1"/>
    <col min="1276" max="1276" width="0" style="1355" hidden="1" customWidth="1"/>
    <col min="1277" max="1277" width="14" style="1355" customWidth="1"/>
    <col min="1278" max="1278" width="14.28515625" style="1355" bestFit="1" customWidth="1"/>
    <col min="1279" max="1279" width="0" style="1355" hidden="1" customWidth="1"/>
    <col min="1280" max="1280" width="15.5703125" style="1355" customWidth="1"/>
    <col min="1281" max="1281" width="44.5703125" style="1355" customWidth="1"/>
    <col min="1282" max="1282" width="14.28515625" style="1355" bestFit="1" customWidth="1"/>
    <col min="1283" max="1283" width="0" style="1355" hidden="1" customWidth="1"/>
    <col min="1284" max="1284" width="18.140625" style="1355" customWidth="1"/>
    <col min="1285" max="1285" width="0" style="1355" hidden="1" customWidth="1"/>
    <col min="1286" max="1286" width="14" style="1355" customWidth="1"/>
    <col min="1287" max="1287" width="0" style="1355" hidden="1" customWidth="1"/>
    <col min="1288" max="1288" width="20.85546875" style="1355" customWidth="1"/>
    <col min="1289" max="1289" width="0" style="1355" hidden="1" customWidth="1"/>
    <col min="1290" max="1290" width="13.28515625" style="1355" customWidth="1"/>
    <col min="1291" max="1291" width="0" style="1355" hidden="1" customWidth="1"/>
    <col min="1292" max="1292" width="15" style="1355" customWidth="1"/>
    <col min="1293" max="1293" width="0" style="1355" hidden="1" customWidth="1"/>
    <col min="1294" max="1294" width="13.28515625" style="1355" customWidth="1"/>
    <col min="1295" max="1295" width="0" style="1355" hidden="1" customWidth="1"/>
    <col min="1296" max="1296" width="20.140625" style="1355" customWidth="1"/>
    <col min="1297" max="1297" width="14.42578125" style="1355" bestFit="1" customWidth="1"/>
    <col min="1298" max="1298" width="14" style="1355" bestFit="1" customWidth="1"/>
    <col min="1299" max="1299" width="12.28515625" style="1355" bestFit="1" customWidth="1"/>
    <col min="1300" max="1324" width="9.140625" style="1355" customWidth="1"/>
    <col min="1325" max="1519" width="8.85546875" style="1355"/>
    <col min="1520" max="1520" width="44.5703125" style="1355" customWidth="1"/>
    <col min="1521" max="1521" width="14.28515625" style="1355" bestFit="1" customWidth="1"/>
    <col min="1522" max="1522" width="1.7109375" style="1355" customWidth="1"/>
    <col min="1523" max="1523" width="14.85546875" style="1355" customWidth="1"/>
    <col min="1524" max="1524" width="0" style="1355" hidden="1" customWidth="1"/>
    <col min="1525" max="1525" width="17.42578125" style="1355" customWidth="1"/>
    <col min="1526" max="1526" width="0" style="1355" hidden="1" customWidth="1"/>
    <col min="1527" max="1527" width="12.85546875" style="1355" customWidth="1"/>
    <col min="1528" max="1528" width="0" style="1355" hidden="1" customWidth="1"/>
    <col min="1529" max="1529" width="14.42578125" style="1355" customWidth="1"/>
    <col min="1530" max="1530" width="0" style="1355" hidden="1" customWidth="1"/>
    <col min="1531" max="1531" width="17.42578125" style="1355" customWidth="1"/>
    <col min="1532" max="1532" width="0" style="1355" hidden="1" customWidth="1"/>
    <col min="1533" max="1533" width="14" style="1355" customWidth="1"/>
    <col min="1534" max="1534" width="14.28515625" style="1355" bestFit="1" customWidth="1"/>
    <col min="1535" max="1535" width="0" style="1355" hidden="1" customWidth="1"/>
    <col min="1536" max="1536" width="15.5703125" style="1355" customWidth="1"/>
    <col min="1537" max="1537" width="44.5703125" style="1355" customWidth="1"/>
    <col min="1538" max="1538" width="14.28515625" style="1355" bestFit="1" customWidth="1"/>
    <col min="1539" max="1539" width="0" style="1355" hidden="1" customWidth="1"/>
    <col min="1540" max="1540" width="18.140625" style="1355" customWidth="1"/>
    <col min="1541" max="1541" width="0" style="1355" hidden="1" customWidth="1"/>
    <col min="1542" max="1542" width="14" style="1355" customWidth="1"/>
    <col min="1543" max="1543" width="0" style="1355" hidden="1" customWidth="1"/>
    <col min="1544" max="1544" width="20.85546875" style="1355" customWidth="1"/>
    <col min="1545" max="1545" width="0" style="1355" hidden="1" customWidth="1"/>
    <col min="1546" max="1546" width="13.28515625" style="1355" customWidth="1"/>
    <col min="1547" max="1547" width="0" style="1355" hidden="1" customWidth="1"/>
    <col min="1548" max="1548" width="15" style="1355" customWidth="1"/>
    <col min="1549" max="1549" width="0" style="1355" hidden="1" customWidth="1"/>
    <col min="1550" max="1550" width="13.28515625" style="1355" customWidth="1"/>
    <col min="1551" max="1551" width="0" style="1355" hidden="1" customWidth="1"/>
    <col min="1552" max="1552" width="20.140625" style="1355" customWidth="1"/>
    <col min="1553" max="1553" width="14.42578125" style="1355" bestFit="1" customWidth="1"/>
    <col min="1554" max="1554" width="14" style="1355" bestFit="1" customWidth="1"/>
    <col min="1555" max="1555" width="12.28515625" style="1355" bestFit="1" customWidth="1"/>
    <col min="1556" max="1580" width="9.140625" style="1355" customWidth="1"/>
    <col min="1581" max="1775" width="8.85546875" style="1355"/>
    <col min="1776" max="1776" width="44.5703125" style="1355" customWidth="1"/>
    <col min="1777" max="1777" width="14.28515625" style="1355" bestFit="1" customWidth="1"/>
    <col min="1778" max="1778" width="1.7109375" style="1355" customWidth="1"/>
    <col min="1779" max="1779" width="14.85546875" style="1355" customWidth="1"/>
    <col min="1780" max="1780" width="0" style="1355" hidden="1" customWidth="1"/>
    <col min="1781" max="1781" width="17.42578125" style="1355" customWidth="1"/>
    <col min="1782" max="1782" width="0" style="1355" hidden="1" customWidth="1"/>
    <col min="1783" max="1783" width="12.85546875" style="1355" customWidth="1"/>
    <col min="1784" max="1784" width="0" style="1355" hidden="1" customWidth="1"/>
    <col min="1785" max="1785" width="14.42578125" style="1355" customWidth="1"/>
    <col min="1786" max="1786" width="0" style="1355" hidden="1" customWidth="1"/>
    <col min="1787" max="1787" width="17.42578125" style="1355" customWidth="1"/>
    <col min="1788" max="1788" width="0" style="1355" hidden="1" customWidth="1"/>
    <col min="1789" max="1789" width="14" style="1355" customWidth="1"/>
    <col min="1790" max="1790" width="14.28515625" style="1355" bestFit="1" customWidth="1"/>
    <col min="1791" max="1791" width="0" style="1355" hidden="1" customWidth="1"/>
    <col min="1792" max="1792" width="15.5703125" style="1355" customWidth="1"/>
    <col min="1793" max="1793" width="44.5703125" style="1355" customWidth="1"/>
    <col min="1794" max="1794" width="14.28515625" style="1355" bestFit="1" customWidth="1"/>
    <col min="1795" max="1795" width="0" style="1355" hidden="1" customWidth="1"/>
    <col min="1796" max="1796" width="18.140625" style="1355" customWidth="1"/>
    <col min="1797" max="1797" width="0" style="1355" hidden="1" customWidth="1"/>
    <col min="1798" max="1798" width="14" style="1355" customWidth="1"/>
    <col min="1799" max="1799" width="0" style="1355" hidden="1" customWidth="1"/>
    <col min="1800" max="1800" width="20.85546875" style="1355" customWidth="1"/>
    <col min="1801" max="1801" width="0" style="1355" hidden="1" customWidth="1"/>
    <col min="1802" max="1802" width="13.28515625" style="1355" customWidth="1"/>
    <col min="1803" max="1803" width="0" style="1355" hidden="1" customWidth="1"/>
    <col min="1804" max="1804" width="15" style="1355" customWidth="1"/>
    <col min="1805" max="1805" width="0" style="1355" hidden="1" customWidth="1"/>
    <col min="1806" max="1806" width="13.28515625" style="1355" customWidth="1"/>
    <col min="1807" max="1807" width="0" style="1355" hidden="1" customWidth="1"/>
    <col min="1808" max="1808" width="20.140625" style="1355" customWidth="1"/>
    <col min="1809" max="1809" width="14.42578125" style="1355" bestFit="1" customWidth="1"/>
    <col min="1810" max="1810" width="14" style="1355" bestFit="1" customWidth="1"/>
    <col min="1811" max="1811" width="12.28515625" style="1355" bestFit="1" customWidth="1"/>
    <col min="1812" max="1836" width="9.140625" style="1355" customWidth="1"/>
    <col min="1837" max="2031" width="8.85546875" style="1355"/>
    <col min="2032" max="2032" width="44.5703125" style="1355" customWidth="1"/>
    <col min="2033" max="2033" width="14.28515625" style="1355" bestFit="1" customWidth="1"/>
    <col min="2034" max="2034" width="1.7109375" style="1355" customWidth="1"/>
    <col min="2035" max="2035" width="14.85546875" style="1355" customWidth="1"/>
    <col min="2036" max="2036" width="0" style="1355" hidden="1" customWidth="1"/>
    <col min="2037" max="2037" width="17.42578125" style="1355" customWidth="1"/>
    <col min="2038" max="2038" width="0" style="1355" hidden="1" customWidth="1"/>
    <col min="2039" max="2039" width="12.85546875" style="1355" customWidth="1"/>
    <col min="2040" max="2040" width="0" style="1355" hidden="1" customWidth="1"/>
    <col min="2041" max="2041" width="14.42578125" style="1355" customWidth="1"/>
    <col min="2042" max="2042" width="0" style="1355" hidden="1" customWidth="1"/>
    <col min="2043" max="2043" width="17.42578125" style="1355" customWidth="1"/>
    <col min="2044" max="2044" width="0" style="1355" hidden="1" customWidth="1"/>
    <col min="2045" max="2045" width="14" style="1355" customWidth="1"/>
    <col min="2046" max="2046" width="14.28515625" style="1355" bestFit="1" customWidth="1"/>
    <col min="2047" max="2047" width="0" style="1355" hidden="1" customWidth="1"/>
    <col min="2048" max="2048" width="15.5703125" style="1355" customWidth="1"/>
    <col min="2049" max="2049" width="44.5703125" style="1355" customWidth="1"/>
    <col min="2050" max="2050" width="14.28515625" style="1355" bestFit="1" customWidth="1"/>
    <col min="2051" max="2051" width="0" style="1355" hidden="1" customWidth="1"/>
    <col min="2052" max="2052" width="18.140625" style="1355" customWidth="1"/>
    <col min="2053" max="2053" width="0" style="1355" hidden="1" customWidth="1"/>
    <col min="2054" max="2054" width="14" style="1355" customWidth="1"/>
    <col min="2055" max="2055" width="0" style="1355" hidden="1" customWidth="1"/>
    <col min="2056" max="2056" width="20.85546875" style="1355" customWidth="1"/>
    <col min="2057" max="2057" width="0" style="1355" hidden="1" customWidth="1"/>
    <col min="2058" max="2058" width="13.28515625" style="1355" customWidth="1"/>
    <col min="2059" max="2059" width="0" style="1355" hidden="1" customWidth="1"/>
    <col min="2060" max="2060" width="15" style="1355" customWidth="1"/>
    <col min="2061" max="2061" width="0" style="1355" hidden="1" customWidth="1"/>
    <col min="2062" max="2062" width="13.28515625" style="1355" customWidth="1"/>
    <col min="2063" max="2063" width="0" style="1355" hidden="1" customWidth="1"/>
    <col min="2064" max="2064" width="20.140625" style="1355" customWidth="1"/>
    <col min="2065" max="2065" width="14.42578125" style="1355" bestFit="1" customWidth="1"/>
    <col min="2066" max="2066" width="14" style="1355" bestFit="1" customWidth="1"/>
    <col min="2067" max="2067" width="12.28515625" style="1355" bestFit="1" customWidth="1"/>
    <col min="2068" max="2092" width="9.140625" style="1355" customWidth="1"/>
    <col min="2093" max="2287" width="8.85546875" style="1355"/>
    <col min="2288" max="2288" width="44.5703125" style="1355" customWidth="1"/>
    <col min="2289" max="2289" width="14.28515625" style="1355" bestFit="1" customWidth="1"/>
    <col min="2290" max="2290" width="1.7109375" style="1355" customWidth="1"/>
    <col min="2291" max="2291" width="14.85546875" style="1355" customWidth="1"/>
    <col min="2292" max="2292" width="0" style="1355" hidden="1" customWidth="1"/>
    <col min="2293" max="2293" width="17.42578125" style="1355" customWidth="1"/>
    <col min="2294" max="2294" width="0" style="1355" hidden="1" customWidth="1"/>
    <col min="2295" max="2295" width="12.85546875" style="1355" customWidth="1"/>
    <col min="2296" max="2296" width="0" style="1355" hidden="1" customWidth="1"/>
    <col min="2297" max="2297" width="14.42578125" style="1355" customWidth="1"/>
    <col min="2298" max="2298" width="0" style="1355" hidden="1" customWidth="1"/>
    <col min="2299" max="2299" width="17.42578125" style="1355" customWidth="1"/>
    <col min="2300" max="2300" width="0" style="1355" hidden="1" customWidth="1"/>
    <col min="2301" max="2301" width="14" style="1355" customWidth="1"/>
    <col min="2302" max="2302" width="14.28515625" style="1355" bestFit="1" customWidth="1"/>
    <col min="2303" max="2303" width="0" style="1355" hidden="1" customWidth="1"/>
    <col min="2304" max="2304" width="15.5703125" style="1355" customWidth="1"/>
    <col min="2305" max="2305" width="44.5703125" style="1355" customWidth="1"/>
    <col min="2306" max="2306" width="14.28515625" style="1355" bestFit="1" customWidth="1"/>
    <col min="2307" max="2307" width="0" style="1355" hidden="1" customWidth="1"/>
    <col min="2308" max="2308" width="18.140625" style="1355" customWidth="1"/>
    <col min="2309" max="2309" width="0" style="1355" hidden="1" customWidth="1"/>
    <col min="2310" max="2310" width="14" style="1355" customWidth="1"/>
    <col min="2311" max="2311" width="0" style="1355" hidden="1" customWidth="1"/>
    <col min="2312" max="2312" width="20.85546875" style="1355" customWidth="1"/>
    <col min="2313" max="2313" width="0" style="1355" hidden="1" customWidth="1"/>
    <col min="2314" max="2314" width="13.28515625" style="1355" customWidth="1"/>
    <col min="2315" max="2315" width="0" style="1355" hidden="1" customWidth="1"/>
    <col min="2316" max="2316" width="15" style="1355" customWidth="1"/>
    <col min="2317" max="2317" width="0" style="1355" hidden="1" customWidth="1"/>
    <col min="2318" max="2318" width="13.28515625" style="1355" customWidth="1"/>
    <col min="2319" max="2319" width="0" style="1355" hidden="1" customWidth="1"/>
    <col min="2320" max="2320" width="20.140625" style="1355" customWidth="1"/>
    <col min="2321" max="2321" width="14.42578125" style="1355" bestFit="1" customWidth="1"/>
    <col min="2322" max="2322" width="14" style="1355" bestFit="1" customWidth="1"/>
    <col min="2323" max="2323" width="12.28515625" style="1355" bestFit="1" customWidth="1"/>
    <col min="2324" max="2348" width="9.140625" style="1355" customWidth="1"/>
    <col min="2349" max="2543" width="8.85546875" style="1355"/>
    <col min="2544" max="2544" width="44.5703125" style="1355" customWidth="1"/>
    <col min="2545" max="2545" width="14.28515625" style="1355" bestFit="1" customWidth="1"/>
    <col min="2546" max="2546" width="1.7109375" style="1355" customWidth="1"/>
    <col min="2547" max="2547" width="14.85546875" style="1355" customWidth="1"/>
    <col min="2548" max="2548" width="0" style="1355" hidden="1" customWidth="1"/>
    <col min="2549" max="2549" width="17.42578125" style="1355" customWidth="1"/>
    <col min="2550" max="2550" width="0" style="1355" hidden="1" customWidth="1"/>
    <col min="2551" max="2551" width="12.85546875" style="1355" customWidth="1"/>
    <col min="2552" max="2552" width="0" style="1355" hidden="1" customWidth="1"/>
    <col min="2553" max="2553" width="14.42578125" style="1355" customWidth="1"/>
    <col min="2554" max="2554" width="0" style="1355" hidden="1" customWidth="1"/>
    <col min="2555" max="2555" width="17.42578125" style="1355" customWidth="1"/>
    <col min="2556" max="2556" width="0" style="1355" hidden="1" customWidth="1"/>
    <col min="2557" max="2557" width="14" style="1355" customWidth="1"/>
    <col min="2558" max="2558" width="14.28515625" style="1355" bestFit="1" customWidth="1"/>
    <col min="2559" max="2559" width="0" style="1355" hidden="1" customWidth="1"/>
    <col min="2560" max="2560" width="15.5703125" style="1355" customWidth="1"/>
    <col min="2561" max="2561" width="44.5703125" style="1355" customWidth="1"/>
    <col min="2562" max="2562" width="14.28515625" style="1355" bestFit="1" customWidth="1"/>
    <col min="2563" max="2563" width="0" style="1355" hidden="1" customWidth="1"/>
    <col min="2564" max="2564" width="18.140625" style="1355" customWidth="1"/>
    <col min="2565" max="2565" width="0" style="1355" hidden="1" customWidth="1"/>
    <col min="2566" max="2566" width="14" style="1355" customWidth="1"/>
    <col min="2567" max="2567" width="0" style="1355" hidden="1" customWidth="1"/>
    <col min="2568" max="2568" width="20.85546875" style="1355" customWidth="1"/>
    <col min="2569" max="2569" width="0" style="1355" hidden="1" customWidth="1"/>
    <col min="2570" max="2570" width="13.28515625" style="1355" customWidth="1"/>
    <col min="2571" max="2571" width="0" style="1355" hidden="1" customWidth="1"/>
    <col min="2572" max="2572" width="15" style="1355" customWidth="1"/>
    <col min="2573" max="2573" width="0" style="1355" hidden="1" customWidth="1"/>
    <col min="2574" max="2574" width="13.28515625" style="1355" customWidth="1"/>
    <col min="2575" max="2575" width="0" style="1355" hidden="1" customWidth="1"/>
    <col min="2576" max="2576" width="20.140625" style="1355" customWidth="1"/>
    <col min="2577" max="2577" width="14.42578125" style="1355" bestFit="1" customWidth="1"/>
    <col min="2578" max="2578" width="14" style="1355" bestFit="1" customWidth="1"/>
    <col min="2579" max="2579" width="12.28515625" style="1355" bestFit="1" customWidth="1"/>
    <col min="2580" max="2604" width="9.140625" style="1355" customWidth="1"/>
    <col min="2605" max="2799" width="8.85546875" style="1355"/>
    <col min="2800" max="2800" width="44.5703125" style="1355" customWidth="1"/>
    <col min="2801" max="2801" width="14.28515625" style="1355" bestFit="1" customWidth="1"/>
    <col min="2802" max="2802" width="1.7109375" style="1355" customWidth="1"/>
    <col min="2803" max="2803" width="14.85546875" style="1355" customWidth="1"/>
    <col min="2804" max="2804" width="0" style="1355" hidden="1" customWidth="1"/>
    <col min="2805" max="2805" width="17.42578125" style="1355" customWidth="1"/>
    <col min="2806" max="2806" width="0" style="1355" hidden="1" customWidth="1"/>
    <col min="2807" max="2807" width="12.85546875" style="1355" customWidth="1"/>
    <col min="2808" max="2808" width="0" style="1355" hidden="1" customWidth="1"/>
    <col min="2809" max="2809" width="14.42578125" style="1355" customWidth="1"/>
    <col min="2810" max="2810" width="0" style="1355" hidden="1" customWidth="1"/>
    <col min="2811" max="2811" width="17.42578125" style="1355" customWidth="1"/>
    <col min="2812" max="2812" width="0" style="1355" hidden="1" customWidth="1"/>
    <col min="2813" max="2813" width="14" style="1355" customWidth="1"/>
    <col min="2814" max="2814" width="14.28515625" style="1355" bestFit="1" customWidth="1"/>
    <col min="2815" max="2815" width="0" style="1355" hidden="1" customWidth="1"/>
    <col min="2816" max="2816" width="15.5703125" style="1355" customWidth="1"/>
    <col min="2817" max="2817" width="44.5703125" style="1355" customWidth="1"/>
    <col min="2818" max="2818" width="14.28515625" style="1355" bestFit="1" customWidth="1"/>
    <col min="2819" max="2819" width="0" style="1355" hidden="1" customWidth="1"/>
    <col min="2820" max="2820" width="18.140625" style="1355" customWidth="1"/>
    <col min="2821" max="2821" width="0" style="1355" hidden="1" customWidth="1"/>
    <col min="2822" max="2822" width="14" style="1355" customWidth="1"/>
    <col min="2823" max="2823" width="0" style="1355" hidden="1" customWidth="1"/>
    <col min="2824" max="2824" width="20.85546875" style="1355" customWidth="1"/>
    <col min="2825" max="2825" width="0" style="1355" hidden="1" customWidth="1"/>
    <col min="2826" max="2826" width="13.28515625" style="1355" customWidth="1"/>
    <col min="2827" max="2827" width="0" style="1355" hidden="1" customWidth="1"/>
    <col min="2828" max="2828" width="15" style="1355" customWidth="1"/>
    <col min="2829" max="2829" width="0" style="1355" hidden="1" customWidth="1"/>
    <col min="2830" max="2830" width="13.28515625" style="1355" customWidth="1"/>
    <col min="2831" max="2831" width="0" style="1355" hidden="1" customWidth="1"/>
    <col min="2832" max="2832" width="20.140625" style="1355" customWidth="1"/>
    <col min="2833" max="2833" width="14.42578125" style="1355" bestFit="1" customWidth="1"/>
    <col min="2834" max="2834" width="14" style="1355" bestFit="1" customWidth="1"/>
    <col min="2835" max="2835" width="12.28515625" style="1355" bestFit="1" customWidth="1"/>
    <col min="2836" max="2860" width="9.140625" style="1355" customWidth="1"/>
    <col min="2861" max="3055" width="8.85546875" style="1355"/>
    <col min="3056" max="3056" width="44.5703125" style="1355" customWidth="1"/>
    <col min="3057" max="3057" width="14.28515625" style="1355" bestFit="1" customWidth="1"/>
    <col min="3058" max="3058" width="1.7109375" style="1355" customWidth="1"/>
    <col min="3059" max="3059" width="14.85546875" style="1355" customWidth="1"/>
    <col min="3060" max="3060" width="0" style="1355" hidden="1" customWidth="1"/>
    <col min="3061" max="3061" width="17.42578125" style="1355" customWidth="1"/>
    <col min="3062" max="3062" width="0" style="1355" hidden="1" customWidth="1"/>
    <col min="3063" max="3063" width="12.85546875" style="1355" customWidth="1"/>
    <col min="3064" max="3064" width="0" style="1355" hidden="1" customWidth="1"/>
    <col min="3065" max="3065" width="14.42578125" style="1355" customWidth="1"/>
    <col min="3066" max="3066" width="0" style="1355" hidden="1" customWidth="1"/>
    <col min="3067" max="3067" width="17.42578125" style="1355" customWidth="1"/>
    <col min="3068" max="3068" width="0" style="1355" hidden="1" customWidth="1"/>
    <col min="3069" max="3069" width="14" style="1355" customWidth="1"/>
    <col min="3070" max="3070" width="14.28515625" style="1355" bestFit="1" customWidth="1"/>
    <col min="3071" max="3071" width="0" style="1355" hidden="1" customWidth="1"/>
    <col min="3072" max="3072" width="15.5703125" style="1355" customWidth="1"/>
    <col min="3073" max="3073" width="44.5703125" style="1355" customWidth="1"/>
    <col min="3074" max="3074" width="14.28515625" style="1355" bestFit="1" customWidth="1"/>
    <col min="3075" max="3075" width="0" style="1355" hidden="1" customWidth="1"/>
    <col min="3076" max="3076" width="18.140625" style="1355" customWidth="1"/>
    <col min="3077" max="3077" width="0" style="1355" hidden="1" customWidth="1"/>
    <col min="3078" max="3078" width="14" style="1355" customWidth="1"/>
    <col min="3079" max="3079" width="0" style="1355" hidden="1" customWidth="1"/>
    <col min="3080" max="3080" width="20.85546875" style="1355" customWidth="1"/>
    <col min="3081" max="3081" width="0" style="1355" hidden="1" customWidth="1"/>
    <col min="3082" max="3082" width="13.28515625" style="1355" customWidth="1"/>
    <col min="3083" max="3083" width="0" style="1355" hidden="1" customWidth="1"/>
    <col min="3084" max="3084" width="15" style="1355" customWidth="1"/>
    <col min="3085" max="3085" width="0" style="1355" hidden="1" customWidth="1"/>
    <col min="3086" max="3086" width="13.28515625" style="1355" customWidth="1"/>
    <col min="3087" max="3087" width="0" style="1355" hidden="1" customWidth="1"/>
    <col min="3088" max="3088" width="20.140625" style="1355" customWidth="1"/>
    <col min="3089" max="3089" width="14.42578125" style="1355" bestFit="1" customWidth="1"/>
    <col min="3090" max="3090" width="14" style="1355" bestFit="1" customWidth="1"/>
    <col min="3091" max="3091" width="12.28515625" style="1355" bestFit="1" customWidth="1"/>
    <col min="3092" max="3116" width="9.140625" style="1355" customWidth="1"/>
    <col min="3117" max="3311" width="8.85546875" style="1355"/>
    <col min="3312" max="3312" width="44.5703125" style="1355" customWidth="1"/>
    <col min="3313" max="3313" width="14.28515625" style="1355" bestFit="1" customWidth="1"/>
    <col min="3314" max="3314" width="1.7109375" style="1355" customWidth="1"/>
    <col min="3315" max="3315" width="14.85546875" style="1355" customWidth="1"/>
    <col min="3316" max="3316" width="0" style="1355" hidden="1" customWidth="1"/>
    <col min="3317" max="3317" width="17.42578125" style="1355" customWidth="1"/>
    <col min="3318" max="3318" width="0" style="1355" hidden="1" customWidth="1"/>
    <col min="3319" max="3319" width="12.85546875" style="1355" customWidth="1"/>
    <col min="3320" max="3320" width="0" style="1355" hidden="1" customWidth="1"/>
    <col min="3321" max="3321" width="14.42578125" style="1355" customWidth="1"/>
    <col min="3322" max="3322" width="0" style="1355" hidden="1" customWidth="1"/>
    <col min="3323" max="3323" width="17.42578125" style="1355" customWidth="1"/>
    <col min="3324" max="3324" width="0" style="1355" hidden="1" customWidth="1"/>
    <col min="3325" max="3325" width="14" style="1355" customWidth="1"/>
    <col min="3326" max="3326" width="14.28515625" style="1355" bestFit="1" customWidth="1"/>
    <col min="3327" max="3327" width="0" style="1355" hidden="1" customWidth="1"/>
    <col min="3328" max="3328" width="15.5703125" style="1355" customWidth="1"/>
    <col min="3329" max="3329" width="44.5703125" style="1355" customWidth="1"/>
    <col min="3330" max="3330" width="14.28515625" style="1355" bestFit="1" customWidth="1"/>
    <col min="3331" max="3331" width="0" style="1355" hidden="1" customWidth="1"/>
    <col min="3332" max="3332" width="18.140625" style="1355" customWidth="1"/>
    <col min="3333" max="3333" width="0" style="1355" hidden="1" customWidth="1"/>
    <col min="3334" max="3334" width="14" style="1355" customWidth="1"/>
    <col min="3335" max="3335" width="0" style="1355" hidden="1" customWidth="1"/>
    <col min="3336" max="3336" width="20.85546875" style="1355" customWidth="1"/>
    <col min="3337" max="3337" width="0" style="1355" hidden="1" customWidth="1"/>
    <col min="3338" max="3338" width="13.28515625" style="1355" customWidth="1"/>
    <col min="3339" max="3339" width="0" style="1355" hidden="1" customWidth="1"/>
    <col min="3340" max="3340" width="15" style="1355" customWidth="1"/>
    <col min="3341" max="3341" width="0" style="1355" hidden="1" customWidth="1"/>
    <col min="3342" max="3342" width="13.28515625" style="1355" customWidth="1"/>
    <col min="3343" max="3343" width="0" style="1355" hidden="1" customWidth="1"/>
    <col min="3344" max="3344" width="20.140625" style="1355" customWidth="1"/>
    <col min="3345" max="3345" width="14.42578125" style="1355" bestFit="1" customWidth="1"/>
    <col min="3346" max="3346" width="14" style="1355" bestFit="1" customWidth="1"/>
    <col min="3347" max="3347" width="12.28515625" style="1355" bestFit="1" customWidth="1"/>
    <col min="3348" max="3372" width="9.140625" style="1355" customWidth="1"/>
    <col min="3373" max="3567" width="8.85546875" style="1355"/>
    <col min="3568" max="3568" width="44.5703125" style="1355" customWidth="1"/>
    <col min="3569" max="3569" width="14.28515625" style="1355" bestFit="1" customWidth="1"/>
    <col min="3570" max="3570" width="1.7109375" style="1355" customWidth="1"/>
    <col min="3571" max="3571" width="14.85546875" style="1355" customWidth="1"/>
    <col min="3572" max="3572" width="0" style="1355" hidden="1" customWidth="1"/>
    <col min="3573" max="3573" width="17.42578125" style="1355" customWidth="1"/>
    <col min="3574" max="3574" width="0" style="1355" hidden="1" customWidth="1"/>
    <col min="3575" max="3575" width="12.85546875" style="1355" customWidth="1"/>
    <col min="3576" max="3576" width="0" style="1355" hidden="1" customWidth="1"/>
    <col min="3577" max="3577" width="14.42578125" style="1355" customWidth="1"/>
    <col min="3578" max="3578" width="0" style="1355" hidden="1" customWidth="1"/>
    <col min="3579" max="3579" width="17.42578125" style="1355" customWidth="1"/>
    <col min="3580" max="3580" width="0" style="1355" hidden="1" customWidth="1"/>
    <col min="3581" max="3581" width="14" style="1355" customWidth="1"/>
    <col min="3582" max="3582" width="14.28515625" style="1355" bestFit="1" customWidth="1"/>
    <col min="3583" max="3583" width="0" style="1355" hidden="1" customWidth="1"/>
    <col min="3584" max="3584" width="15.5703125" style="1355" customWidth="1"/>
    <col min="3585" max="3585" width="44.5703125" style="1355" customWidth="1"/>
    <col min="3586" max="3586" width="14.28515625" style="1355" bestFit="1" customWidth="1"/>
    <col min="3587" max="3587" width="0" style="1355" hidden="1" customWidth="1"/>
    <col min="3588" max="3588" width="18.140625" style="1355" customWidth="1"/>
    <col min="3589" max="3589" width="0" style="1355" hidden="1" customWidth="1"/>
    <col min="3590" max="3590" width="14" style="1355" customWidth="1"/>
    <col min="3591" max="3591" width="0" style="1355" hidden="1" customWidth="1"/>
    <col min="3592" max="3592" width="20.85546875" style="1355" customWidth="1"/>
    <col min="3593" max="3593" width="0" style="1355" hidden="1" customWidth="1"/>
    <col min="3594" max="3594" width="13.28515625" style="1355" customWidth="1"/>
    <col min="3595" max="3595" width="0" style="1355" hidden="1" customWidth="1"/>
    <col min="3596" max="3596" width="15" style="1355" customWidth="1"/>
    <col min="3597" max="3597" width="0" style="1355" hidden="1" customWidth="1"/>
    <col min="3598" max="3598" width="13.28515625" style="1355" customWidth="1"/>
    <col min="3599" max="3599" width="0" style="1355" hidden="1" customWidth="1"/>
    <col min="3600" max="3600" width="20.140625" style="1355" customWidth="1"/>
    <col min="3601" max="3601" width="14.42578125" style="1355" bestFit="1" customWidth="1"/>
    <col min="3602" max="3602" width="14" style="1355" bestFit="1" customWidth="1"/>
    <col min="3603" max="3603" width="12.28515625" style="1355" bestFit="1" customWidth="1"/>
    <col min="3604" max="3628" width="9.140625" style="1355" customWidth="1"/>
    <col min="3629" max="3823" width="8.85546875" style="1355"/>
    <col min="3824" max="3824" width="44.5703125" style="1355" customWidth="1"/>
    <col min="3825" max="3825" width="14.28515625" style="1355" bestFit="1" customWidth="1"/>
    <col min="3826" max="3826" width="1.7109375" style="1355" customWidth="1"/>
    <col min="3827" max="3827" width="14.85546875" style="1355" customWidth="1"/>
    <col min="3828" max="3828" width="0" style="1355" hidden="1" customWidth="1"/>
    <col min="3829" max="3829" width="17.42578125" style="1355" customWidth="1"/>
    <col min="3830" max="3830" width="0" style="1355" hidden="1" customWidth="1"/>
    <col min="3831" max="3831" width="12.85546875" style="1355" customWidth="1"/>
    <col min="3832" max="3832" width="0" style="1355" hidden="1" customWidth="1"/>
    <col min="3833" max="3833" width="14.42578125" style="1355" customWidth="1"/>
    <col min="3834" max="3834" width="0" style="1355" hidden="1" customWidth="1"/>
    <col min="3835" max="3835" width="17.42578125" style="1355" customWidth="1"/>
    <col min="3836" max="3836" width="0" style="1355" hidden="1" customWidth="1"/>
    <col min="3837" max="3837" width="14" style="1355" customWidth="1"/>
    <col min="3838" max="3838" width="14.28515625" style="1355" bestFit="1" customWidth="1"/>
    <col min="3839" max="3839" width="0" style="1355" hidden="1" customWidth="1"/>
    <col min="3840" max="3840" width="15.5703125" style="1355" customWidth="1"/>
    <col min="3841" max="3841" width="44.5703125" style="1355" customWidth="1"/>
    <col min="3842" max="3842" width="14.28515625" style="1355" bestFit="1" customWidth="1"/>
    <col min="3843" max="3843" width="0" style="1355" hidden="1" customWidth="1"/>
    <col min="3844" max="3844" width="18.140625" style="1355" customWidth="1"/>
    <col min="3845" max="3845" width="0" style="1355" hidden="1" customWidth="1"/>
    <col min="3846" max="3846" width="14" style="1355" customWidth="1"/>
    <col min="3847" max="3847" width="0" style="1355" hidden="1" customWidth="1"/>
    <col min="3848" max="3848" width="20.85546875" style="1355" customWidth="1"/>
    <col min="3849" max="3849" width="0" style="1355" hidden="1" customWidth="1"/>
    <col min="3850" max="3850" width="13.28515625" style="1355" customWidth="1"/>
    <col min="3851" max="3851" width="0" style="1355" hidden="1" customWidth="1"/>
    <col min="3852" max="3852" width="15" style="1355" customWidth="1"/>
    <col min="3853" max="3853" width="0" style="1355" hidden="1" customWidth="1"/>
    <col min="3854" max="3854" width="13.28515625" style="1355" customWidth="1"/>
    <col min="3855" max="3855" width="0" style="1355" hidden="1" customWidth="1"/>
    <col min="3856" max="3856" width="20.140625" style="1355" customWidth="1"/>
    <col min="3857" max="3857" width="14.42578125" style="1355" bestFit="1" customWidth="1"/>
    <col min="3858" max="3858" width="14" style="1355" bestFit="1" customWidth="1"/>
    <col min="3859" max="3859" width="12.28515625" style="1355" bestFit="1" customWidth="1"/>
    <col min="3860" max="3884" width="9.140625" style="1355" customWidth="1"/>
    <col min="3885" max="4079" width="8.85546875" style="1355"/>
    <col min="4080" max="4080" width="44.5703125" style="1355" customWidth="1"/>
    <col min="4081" max="4081" width="14.28515625" style="1355" bestFit="1" customWidth="1"/>
    <col min="4082" max="4082" width="1.7109375" style="1355" customWidth="1"/>
    <col min="4083" max="4083" width="14.85546875" style="1355" customWidth="1"/>
    <col min="4084" max="4084" width="0" style="1355" hidden="1" customWidth="1"/>
    <col min="4085" max="4085" width="17.42578125" style="1355" customWidth="1"/>
    <col min="4086" max="4086" width="0" style="1355" hidden="1" customWidth="1"/>
    <col min="4087" max="4087" width="12.85546875" style="1355" customWidth="1"/>
    <col min="4088" max="4088" width="0" style="1355" hidden="1" customWidth="1"/>
    <col min="4089" max="4089" width="14.42578125" style="1355" customWidth="1"/>
    <col min="4090" max="4090" width="0" style="1355" hidden="1" customWidth="1"/>
    <col min="4091" max="4091" width="17.42578125" style="1355" customWidth="1"/>
    <col min="4092" max="4092" width="0" style="1355" hidden="1" customWidth="1"/>
    <col min="4093" max="4093" width="14" style="1355" customWidth="1"/>
    <col min="4094" max="4094" width="14.28515625" style="1355" bestFit="1" customWidth="1"/>
    <col min="4095" max="4095" width="0" style="1355" hidden="1" customWidth="1"/>
    <col min="4096" max="4096" width="15.5703125" style="1355" customWidth="1"/>
    <col min="4097" max="4097" width="44.5703125" style="1355" customWidth="1"/>
    <col min="4098" max="4098" width="14.28515625" style="1355" bestFit="1" customWidth="1"/>
    <col min="4099" max="4099" width="0" style="1355" hidden="1" customWidth="1"/>
    <col min="4100" max="4100" width="18.140625" style="1355" customWidth="1"/>
    <col min="4101" max="4101" width="0" style="1355" hidden="1" customWidth="1"/>
    <col min="4102" max="4102" width="14" style="1355" customWidth="1"/>
    <col min="4103" max="4103" width="0" style="1355" hidden="1" customWidth="1"/>
    <col min="4104" max="4104" width="20.85546875" style="1355" customWidth="1"/>
    <col min="4105" max="4105" width="0" style="1355" hidden="1" customWidth="1"/>
    <col min="4106" max="4106" width="13.28515625" style="1355" customWidth="1"/>
    <col min="4107" max="4107" width="0" style="1355" hidden="1" customWidth="1"/>
    <col min="4108" max="4108" width="15" style="1355" customWidth="1"/>
    <col min="4109" max="4109" width="0" style="1355" hidden="1" customWidth="1"/>
    <col min="4110" max="4110" width="13.28515625" style="1355" customWidth="1"/>
    <col min="4111" max="4111" width="0" style="1355" hidden="1" customWidth="1"/>
    <col min="4112" max="4112" width="20.140625" style="1355" customWidth="1"/>
    <col min="4113" max="4113" width="14.42578125" style="1355" bestFit="1" customWidth="1"/>
    <col min="4114" max="4114" width="14" style="1355" bestFit="1" customWidth="1"/>
    <col min="4115" max="4115" width="12.28515625" style="1355" bestFit="1" customWidth="1"/>
    <col min="4116" max="4140" width="9.140625" style="1355" customWidth="1"/>
    <col min="4141" max="4335" width="8.85546875" style="1355"/>
    <col min="4336" max="4336" width="44.5703125" style="1355" customWidth="1"/>
    <col min="4337" max="4337" width="14.28515625" style="1355" bestFit="1" customWidth="1"/>
    <col min="4338" max="4338" width="1.7109375" style="1355" customWidth="1"/>
    <col min="4339" max="4339" width="14.85546875" style="1355" customWidth="1"/>
    <col min="4340" max="4340" width="0" style="1355" hidden="1" customWidth="1"/>
    <col min="4341" max="4341" width="17.42578125" style="1355" customWidth="1"/>
    <col min="4342" max="4342" width="0" style="1355" hidden="1" customWidth="1"/>
    <col min="4343" max="4343" width="12.85546875" style="1355" customWidth="1"/>
    <col min="4344" max="4344" width="0" style="1355" hidden="1" customWidth="1"/>
    <col min="4345" max="4345" width="14.42578125" style="1355" customWidth="1"/>
    <col min="4346" max="4346" width="0" style="1355" hidden="1" customWidth="1"/>
    <col min="4347" max="4347" width="17.42578125" style="1355" customWidth="1"/>
    <col min="4348" max="4348" width="0" style="1355" hidden="1" customWidth="1"/>
    <col min="4349" max="4349" width="14" style="1355" customWidth="1"/>
    <col min="4350" max="4350" width="14.28515625" style="1355" bestFit="1" customWidth="1"/>
    <col min="4351" max="4351" width="0" style="1355" hidden="1" customWidth="1"/>
    <col min="4352" max="4352" width="15.5703125" style="1355" customWidth="1"/>
    <col min="4353" max="4353" width="44.5703125" style="1355" customWidth="1"/>
    <col min="4354" max="4354" width="14.28515625" style="1355" bestFit="1" customWidth="1"/>
    <col min="4355" max="4355" width="0" style="1355" hidden="1" customWidth="1"/>
    <col min="4356" max="4356" width="18.140625" style="1355" customWidth="1"/>
    <col min="4357" max="4357" width="0" style="1355" hidden="1" customWidth="1"/>
    <col min="4358" max="4358" width="14" style="1355" customWidth="1"/>
    <col min="4359" max="4359" width="0" style="1355" hidden="1" customWidth="1"/>
    <col min="4360" max="4360" width="20.85546875" style="1355" customWidth="1"/>
    <col min="4361" max="4361" width="0" style="1355" hidden="1" customWidth="1"/>
    <col min="4362" max="4362" width="13.28515625" style="1355" customWidth="1"/>
    <col min="4363" max="4363" width="0" style="1355" hidden="1" customWidth="1"/>
    <col min="4364" max="4364" width="15" style="1355" customWidth="1"/>
    <col min="4365" max="4365" width="0" style="1355" hidden="1" customWidth="1"/>
    <col min="4366" max="4366" width="13.28515625" style="1355" customWidth="1"/>
    <col min="4367" max="4367" width="0" style="1355" hidden="1" customWidth="1"/>
    <col min="4368" max="4368" width="20.140625" style="1355" customWidth="1"/>
    <col min="4369" max="4369" width="14.42578125" style="1355" bestFit="1" customWidth="1"/>
    <col min="4370" max="4370" width="14" style="1355" bestFit="1" customWidth="1"/>
    <col min="4371" max="4371" width="12.28515625" style="1355" bestFit="1" customWidth="1"/>
    <col min="4372" max="4396" width="9.140625" style="1355" customWidth="1"/>
    <col min="4397" max="4591" width="8.85546875" style="1355"/>
    <col min="4592" max="4592" width="44.5703125" style="1355" customWidth="1"/>
    <col min="4593" max="4593" width="14.28515625" style="1355" bestFit="1" customWidth="1"/>
    <col min="4594" max="4594" width="1.7109375" style="1355" customWidth="1"/>
    <col min="4595" max="4595" width="14.85546875" style="1355" customWidth="1"/>
    <col min="4596" max="4596" width="0" style="1355" hidden="1" customWidth="1"/>
    <col min="4597" max="4597" width="17.42578125" style="1355" customWidth="1"/>
    <col min="4598" max="4598" width="0" style="1355" hidden="1" customWidth="1"/>
    <col min="4599" max="4599" width="12.85546875" style="1355" customWidth="1"/>
    <col min="4600" max="4600" width="0" style="1355" hidden="1" customWidth="1"/>
    <col min="4601" max="4601" width="14.42578125" style="1355" customWidth="1"/>
    <col min="4602" max="4602" width="0" style="1355" hidden="1" customWidth="1"/>
    <col min="4603" max="4603" width="17.42578125" style="1355" customWidth="1"/>
    <col min="4604" max="4604" width="0" style="1355" hidden="1" customWidth="1"/>
    <col min="4605" max="4605" width="14" style="1355" customWidth="1"/>
    <col min="4606" max="4606" width="14.28515625" style="1355" bestFit="1" customWidth="1"/>
    <col min="4607" max="4607" width="0" style="1355" hidden="1" customWidth="1"/>
    <col min="4608" max="4608" width="15.5703125" style="1355" customWidth="1"/>
    <col min="4609" max="4609" width="44.5703125" style="1355" customWidth="1"/>
    <col min="4610" max="4610" width="14.28515625" style="1355" bestFit="1" customWidth="1"/>
    <col min="4611" max="4611" width="0" style="1355" hidden="1" customWidth="1"/>
    <col min="4612" max="4612" width="18.140625" style="1355" customWidth="1"/>
    <col min="4613" max="4613" width="0" style="1355" hidden="1" customWidth="1"/>
    <col min="4614" max="4614" width="14" style="1355" customWidth="1"/>
    <col min="4615" max="4615" width="0" style="1355" hidden="1" customWidth="1"/>
    <col min="4616" max="4616" width="20.85546875" style="1355" customWidth="1"/>
    <col min="4617" max="4617" width="0" style="1355" hidden="1" customWidth="1"/>
    <col min="4618" max="4618" width="13.28515625" style="1355" customWidth="1"/>
    <col min="4619" max="4619" width="0" style="1355" hidden="1" customWidth="1"/>
    <col min="4620" max="4620" width="15" style="1355" customWidth="1"/>
    <col min="4621" max="4621" width="0" style="1355" hidden="1" customWidth="1"/>
    <col min="4622" max="4622" width="13.28515625" style="1355" customWidth="1"/>
    <col min="4623" max="4623" width="0" style="1355" hidden="1" customWidth="1"/>
    <col min="4624" max="4624" width="20.140625" style="1355" customWidth="1"/>
    <col min="4625" max="4625" width="14.42578125" style="1355" bestFit="1" customWidth="1"/>
    <col min="4626" max="4626" width="14" style="1355" bestFit="1" customWidth="1"/>
    <col min="4627" max="4627" width="12.28515625" style="1355" bestFit="1" customWidth="1"/>
    <col min="4628" max="4652" width="9.140625" style="1355" customWidth="1"/>
    <col min="4653" max="4847" width="8.85546875" style="1355"/>
    <col min="4848" max="4848" width="44.5703125" style="1355" customWidth="1"/>
    <col min="4849" max="4849" width="14.28515625" style="1355" bestFit="1" customWidth="1"/>
    <col min="4850" max="4850" width="1.7109375" style="1355" customWidth="1"/>
    <col min="4851" max="4851" width="14.85546875" style="1355" customWidth="1"/>
    <col min="4852" max="4852" width="0" style="1355" hidden="1" customWidth="1"/>
    <col min="4853" max="4853" width="17.42578125" style="1355" customWidth="1"/>
    <col min="4854" max="4854" width="0" style="1355" hidden="1" customWidth="1"/>
    <col min="4855" max="4855" width="12.85546875" style="1355" customWidth="1"/>
    <col min="4856" max="4856" width="0" style="1355" hidden="1" customWidth="1"/>
    <col min="4857" max="4857" width="14.42578125" style="1355" customWidth="1"/>
    <col min="4858" max="4858" width="0" style="1355" hidden="1" customWidth="1"/>
    <col min="4859" max="4859" width="17.42578125" style="1355" customWidth="1"/>
    <col min="4860" max="4860" width="0" style="1355" hidden="1" customWidth="1"/>
    <col min="4861" max="4861" width="14" style="1355" customWidth="1"/>
    <col min="4862" max="4862" width="14.28515625" style="1355" bestFit="1" customWidth="1"/>
    <col min="4863" max="4863" width="0" style="1355" hidden="1" customWidth="1"/>
    <col min="4864" max="4864" width="15.5703125" style="1355" customWidth="1"/>
    <col min="4865" max="4865" width="44.5703125" style="1355" customWidth="1"/>
    <col min="4866" max="4866" width="14.28515625" style="1355" bestFit="1" customWidth="1"/>
    <col min="4867" max="4867" width="0" style="1355" hidden="1" customWidth="1"/>
    <col min="4868" max="4868" width="18.140625" style="1355" customWidth="1"/>
    <col min="4869" max="4869" width="0" style="1355" hidden="1" customWidth="1"/>
    <col min="4870" max="4870" width="14" style="1355" customWidth="1"/>
    <col min="4871" max="4871" width="0" style="1355" hidden="1" customWidth="1"/>
    <col min="4872" max="4872" width="20.85546875" style="1355" customWidth="1"/>
    <col min="4873" max="4873" width="0" style="1355" hidden="1" customWidth="1"/>
    <col min="4874" max="4874" width="13.28515625" style="1355" customWidth="1"/>
    <col min="4875" max="4875" width="0" style="1355" hidden="1" customWidth="1"/>
    <col min="4876" max="4876" width="15" style="1355" customWidth="1"/>
    <col min="4877" max="4877" width="0" style="1355" hidden="1" customWidth="1"/>
    <col min="4878" max="4878" width="13.28515625" style="1355" customWidth="1"/>
    <col min="4879" max="4879" width="0" style="1355" hidden="1" customWidth="1"/>
    <col min="4880" max="4880" width="20.140625" style="1355" customWidth="1"/>
    <col min="4881" max="4881" width="14.42578125" style="1355" bestFit="1" customWidth="1"/>
    <col min="4882" max="4882" width="14" style="1355" bestFit="1" customWidth="1"/>
    <col min="4883" max="4883" width="12.28515625" style="1355" bestFit="1" customWidth="1"/>
    <col min="4884" max="4908" width="9.140625" style="1355" customWidth="1"/>
    <col min="4909" max="5103" width="8.85546875" style="1355"/>
    <col min="5104" max="5104" width="44.5703125" style="1355" customWidth="1"/>
    <col min="5105" max="5105" width="14.28515625" style="1355" bestFit="1" customWidth="1"/>
    <col min="5106" max="5106" width="1.7109375" style="1355" customWidth="1"/>
    <col min="5107" max="5107" width="14.85546875" style="1355" customWidth="1"/>
    <col min="5108" max="5108" width="0" style="1355" hidden="1" customWidth="1"/>
    <col min="5109" max="5109" width="17.42578125" style="1355" customWidth="1"/>
    <col min="5110" max="5110" width="0" style="1355" hidden="1" customWidth="1"/>
    <col min="5111" max="5111" width="12.85546875" style="1355" customWidth="1"/>
    <col min="5112" max="5112" width="0" style="1355" hidden="1" customWidth="1"/>
    <col min="5113" max="5113" width="14.42578125" style="1355" customWidth="1"/>
    <col min="5114" max="5114" width="0" style="1355" hidden="1" customWidth="1"/>
    <col min="5115" max="5115" width="17.42578125" style="1355" customWidth="1"/>
    <col min="5116" max="5116" width="0" style="1355" hidden="1" customWidth="1"/>
    <col min="5117" max="5117" width="14" style="1355" customWidth="1"/>
    <col min="5118" max="5118" width="14.28515625" style="1355" bestFit="1" customWidth="1"/>
    <col min="5119" max="5119" width="0" style="1355" hidden="1" customWidth="1"/>
    <col min="5120" max="5120" width="15.5703125" style="1355" customWidth="1"/>
    <col min="5121" max="5121" width="44.5703125" style="1355" customWidth="1"/>
    <col min="5122" max="5122" width="14.28515625" style="1355" bestFit="1" customWidth="1"/>
    <col min="5123" max="5123" width="0" style="1355" hidden="1" customWidth="1"/>
    <col min="5124" max="5124" width="18.140625" style="1355" customWidth="1"/>
    <col min="5125" max="5125" width="0" style="1355" hidden="1" customWidth="1"/>
    <col min="5126" max="5126" width="14" style="1355" customWidth="1"/>
    <col min="5127" max="5127" width="0" style="1355" hidden="1" customWidth="1"/>
    <col min="5128" max="5128" width="20.85546875" style="1355" customWidth="1"/>
    <col min="5129" max="5129" width="0" style="1355" hidden="1" customWidth="1"/>
    <col min="5130" max="5130" width="13.28515625" style="1355" customWidth="1"/>
    <col min="5131" max="5131" width="0" style="1355" hidden="1" customWidth="1"/>
    <col min="5132" max="5132" width="15" style="1355" customWidth="1"/>
    <col min="5133" max="5133" width="0" style="1355" hidden="1" customWidth="1"/>
    <col min="5134" max="5134" width="13.28515625" style="1355" customWidth="1"/>
    <col min="5135" max="5135" width="0" style="1355" hidden="1" customWidth="1"/>
    <col min="5136" max="5136" width="20.140625" style="1355" customWidth="1"/>
    <col min="5137" max="5137" width="14.42578125" style="1355" bestFit="1" customWidth="1"/>
    <col min="5138" max="5138" width="14" style="1355" bestFit="1" customWidth="1"/>
    <col min="5139" max="5139" width="12.28515625" style="1355" bestFit="1" customWidth="1"/>
    <col min="5140" max="5164" width="9.140625" style="1355" customWidth="1"/>
    <col min="5165" max="5359" width="8.85546875" style="1355"/>
    <col min="5360" max="5360" width="44.5703125" style="1355" customWidth="1"/>
    <col min="5361" max="5361" width="14.28515625" style="1355" bestFit="1" customWidth="1"/>
    <col min="5362" max="5362" width="1.7109375" style="1355" customWidth="1"/>
    <col min="5363" max="5363" width="14.85546875" style="1355" customWidth="1"/>
    <col min="5364" max="5364" width="0" style="1355" hidden="1" customWidth="1"/>
    <col min="5365" max="5365" width="17.42578125" style="1355" customWidth="1"/>
    <col min="5366" max="5366" width="0" style="1355" hidden="1" customWidth="1"/>
    <col min="5367" max="5367" width="12.85546875" style="1355" customWidth="1"/>
    <col min="5368" max="5368" width="0" style="1355" hidden="1" customWidth="1"/>
    <col min="5369" max="5369" width="14.42578125" style="1355" customWidth="1"/>
    <col min="5370" max="5370" width="0" style="1355" hidden="1" customWidth="1"/>
    <col min="5371" max="5371" width="17.42578125" style="1355" customWidth="1"/>
    <col min="5372" max="5372" width="0" style="1355" hidden="1" customWidth="1"/>
    <col min="5373" max="5373" width="14" style="1355" customWidth="1"/>
    <col min="5374" max="5374" width="14.28515625" style="1355" bestFit="1" customWidth="1"/>
    <col min="5375" max="5375" width="0" style="1355" hidden="1" customWidth="1"/>
    <col min="5376" max="5376" width="15.5703125" style="1355" customWidth="1"/>
    <col min="5377" max="5377" width="44.5703125" style="1355" customWidth="1"/>
    <col min="5378" max="5378" width="14.28515625" style="1355" bestFit="1" customWidth="1"/>
    <col min="5379" max="5379" width="0" style="1355" hidden="1" customWidth="1"/>
    <col min="5380" max="5380" width="18.140625" style="1355" customWidth="1"/>
    <col min="5381" max="5381" width="0" style="1355" hidden="1" customWidth="1"/>
    <col min="5382" max="5382" width="14" style="1355" customWidth="1"/>
    <col min="5383" max="5383" width="0" style="1355" hidden="1" customWidth="1"/>
    <col min="5384" max="5384" width="20.85546875" style="1355" customWidth="1"/>
    <col min="5385" max="5385" width="0" style="1355" hidden="1" customWidth="1"/>
    <col min="5386" max="5386" width="13.28515625" style="1355" customWidth="1"/>
    <col min="5387" max="5387" width="0" style="1355" hidden="1" customWidth="1"/>
    <col min="5388" max="5388" width="15" style="1355" customWidth="1"/>
    <col min="5389" max="5389" width="0" style="1355" hidden="1" customWidth="1"/>
    <col min="5390" max="5390" width="13.28515625" style="1355" customWidth="1"/>
    <col min="5391" max="5391" width="0" style="1355" hidden="1" customWidth="1"/>
    <col min="5392" max="5392" width="20.140625" style="1355" customWidth="1"/>
    <col min="5393" max="5393" width="14.42578125" style="1355" bestFit="1" customWidth="1"/>
    <col min="5394" max="5394" width="14" style="1355" bestFit="1" customWidth="1"/>
    <col min="5395" max="5395" width="12.28515625" style="1355" bestFit="1" customWidth="1"/>
    <col min="5396" max="5420" width="9.140625" style="1355" customWidth="1"/>
    <col min="5421" max="5615" width="8.85546875" style="1355"/>
    <col min="5616" max="5616" width="44.5703125" style="1355" customWidth="1"/>
    <col min="5617" max="5617" width="14.28515625" style="1355" bestFit="1" customWidth="1"/>
    <col min="5618" max="5618" width="1.7109375" style="1355" customWidth="1"/>
    <col min="5619" max="5619" width="14.85546875" style="1355" customWidth="1"/>
    <col min="5620" max="5620" width="0" style="1355" hidden="1" customWidth="1"/>
    <col min="5621" max="5621" width="17.42578125" style="1355" customWidth="1"/>
    <col min="5622" max="5622" width="0" style="1355" hidden="1" customWidth="1"/>
    <col min="5623" max="5623" width="12.85546875" style="1355" customWidth="1"/>
    <col min="5624" max="5624" width="0" style="1355" hidden="1" customWidth="1"/>
    <col min="5625" max="5625" width="14.42578125" style="1355" customWidth="1"/>
    <col min="5626" max="5626" width="0" style="1355" hidden="1" customWidth="1"/>
    <col min="5627" max="5627" width="17.42578125" style="1355" customWidth="1"/>
    <col min="5628" max="5628" width="0" style="1355" hidden="1" customWidth="1"/>
    <col min="5629" max="5629" width="14" style="1355" customWidth="1"/>
    <col min="5630" max="5630" width="14.28515625" style="1355" bestFit="1" customWidth="1"/>
    <col min="5631" max="5631" width="0" style="1355" hidden="1" customWidth="1"/>
    <col min="5632" max="5632" width="15.5703125" style="1355" customWidth="1"/>
    <col min="5633" max="5633" width="44.5703125" style="1355" customWidth="1"/>
    <col min="5634" max="5634" width="14.28515625" style="1355" bestFit="1" customWidth="1"/>
    <col min="5635" max="5635" width="0" style="1355" hidden="1" customWidth="1"/>
    <col min="5636" max="5636" width="18.140625" style="1355" customWidth="1"/>
    <col min="5637" max="5637" width="0" style="1355" hidden="1" customWidth="1"/>
    <col min="5638" max="5638" width="14" style="1355" customWidth="1"/>
    <col min="5639" max="5639" width="0" style="1355" hidden="1" customWidth="1"/>
    <col min="5640" max="5640" width="20.85546875" style="1355" customWidth="1"/>
    <col min="5641" max="5641" width="0" style="1355" hidden="1" customWidth="1"/>
    <col min="5642" max="5642" width="13.28515625" style="1355" customWidth="1"/>
    <col min="5643" max="5643" width="0" style="1355" hidden="1" customWidth="1"/>
    <col min="5644" max="5644" width="15" style="1355" customWidth="1"/>
    <col min="5645" max="5645" width="0" style="1355" hidden="1" customWidth="1"/>
    <col min="5646" max="5646" width="13.28515625" style="1355" customWidth="1"/>
    <col min="5647" max="5647" width="0" style="1355" hidden="1" customWidth="1"/>
    <col min="5648" max="5648" width="20.140625" style="1355" customWidth="1"/>
    <col min="5649" max="5649" width="14.42578125" style="1355" bestFit="1" customWidth="1"/>
    <col min="5650" max="5650" width="14" style="1355" bestFit="1" customWidth="1"/>
    <col min="5651" max="5651" width="12.28515625" style="1355" bestFit="1" customWidth="1"/>
    <col min="5652" max="5676" width="9.140625" style="1355" customWidth="1"/>
    <col min="5677" max="5871" width="8.85546875" style="1355"/>
    <col min="5872" max="5872" width="44.5703125" style="1355" customWidth="1"/>
    <col min="5873" max="5873" width="14.28515625" style="1355" bestFit="1" customWidth="1"/>
    <col min="5874" max="5874" width="1.7109375" style="1355" customWidth="1"/>
    <col min="5875" max="5875" width="14.85546875" style="1355" customWidth="1"/>
    <col min="5876" max="5876" width="0" style="1355" hidden="1" customWidth="1"/>
    <col min="5877" max="5877" width="17.42578125" style="1355" customWidth="1"/>
    <col min="5878" max="5878" width="0" style="1355" hidden="1" customWidth="1"/>
    <col min="5879" max="5879" width="12.85546875" style="1355" customWidth="1"/>
    <col min="5880" max="5880" width="0" style="1355" hidden="1" customWidth="1"/>
    <col min="5881" max="5881" width="14.42578125" style="1355" customWidth="1"/>
    <col min="5882" max="5882" width="0" style="1355" hidden="1" customWidth="1"/>
    <col min="5883" max="5883" width="17.42578125" style="1355" customWidth="1"/>
    <col min="5884" max="5884" width="0" style="1355" hidden="1" customWidth="1"/>
    <col min="5885" max="5885" width="14" style="1355" customWidth="1"/>
    <col min="5886" max="5886" width="14.28515625" style="1355" bestFit="1" customWidth="1"/>
    <col min="5887" max="5887" width="0" style="1355" hidden="1" customWidth="1"/>
    <col min="5888" max="5888" width="15.5703125" style="1355" customWidth="1"/>
    <col min="5889" max="5889" width="44.5703125" style="1355" customWidth="1"/>
    <col min="5890" max="5890" width="14.28515625" style="1355" bestFit="1" customWidth="1"/>
    <col min="5891" max="5891" width="0" style="1355" hidden="1" customWidth="1"/>
    <col min="5892" max="5892" width="18.140625" style="1355" customWidth="1"/>
    <col min="5893" max="5893" width="0" style="1355" hidden="1" customWidth="1"/>
    <col min="5894" max="5894" width="14" style="1355" customWidth="1"/>
    <col min="5895" max="5895" width="0" style="1355" hidden="1" customWidth="1"/>
    <col min="5896" max="5896" width="20.85546875" style="1355" customWidth="1"/>
    <col min="5897" max="5897" width="0" style="1355" hidden="1" customWidth="1"/>
    <col min="5898" max="5898" width="13.28515625" style="1355" customWidth="1"/>
    <col min="5899" max="5899" width="0" style="1355" hidden="1" customWidth="1"/>
    <col min="5900" max="5900" width="15" style="1355" customWidth="1"/>
    <col min="5901" max="5901" width="0" style="1355" hidden="1" customWidth="1"/>
    <col min="5902" max="5902" width="13.28515625" style="1355" customWidth="1"/>
    <col min="5903" max="5903" width="0" style="1355" hidden="1" customWidth="1"/>
    <col min="5904" max="5904" width="20.140625" style="1355" customWidth="1"/>
    <col min="5905" max="5905" width="14.42578125" style="1355" bestFit="1" customWidth="1"/>
    <col min="5906" max="5906" width="14" style="1355" bestFit="1" customWidth="1"/>
    <col min="5907" max="5907" width="12.28515625" style="1355" bestFit="1" customWidth="1"/>
    <col min="5908" max="5932" width="9.140625" style="1355" customWidth="1"/>
    <col min="5933" max="6127" width="8.85546875" style="1355"/>
    <col min="6128" max="6128" width="44.5703125" style="1355" customWidth="1"/>
    <col min="6129" max="6129" width="14.28515625" style="1355" bestFit="1" customWidth="1"/>
    <col min="6130" max="6130" width="1.7109375" style="1355" customWidth="1"/>
    <col min="6131" max="6131" width="14.85546875" style="1355" customWidth="1"/>
    <col min="6132" max="6132" width="0" style="1355" hidden="1" customWidth="1"/>
    <col min="6133" max="6133" width="17.42578125" style="1355" customWidth="1"/>
    <col min="6134" max="6134" width="0" style="1355" hidden="1" customWidth="1"/>
    <col min="6135" max="6135" width="12.85546875" style="1355" customWidth="1"/>
    <col min="6136" max="6136" width="0" style="1355" hidden="1" customWidth="1"/>
    <col min="6137" max="6137" width="14.42578125" style="1355" customWidth="1"/>
    <col min="6138" max="6138" width="0" style="1355" hidden="1" customWidth="1"/>
    <col min="6139" max="6139" width="17.42578125" style="1355" customWidth="1"/>
    <col min="6140" max="6140" width="0" style="1355" hidden="1" customWidth="1"/>
    <col min="6141" max="6141" width="14" style="1355" customWidth="1"/>
    <col min="6142" max="6142" width="14.28515625" style="1355" bestFit="1" customWidth="1"/>
    <col min="6143" max="6143" width="0" style="1355" hidden="1" customWidth="1"/>
    <col min="6144" max="6144" width="15.5703125" style="1355" customWidth="1"/>
    <col min="6145" max="6145" width="44.5703125" style="1355" customWidth="1"/>
    <col min="6146" max="6146" width="14.28515625" style="1355" bestFit="1" customWidth="1"/>
    <col min="6147" max="6147" width="0" style="1355" hidden="1" customWidth="1"/>
    <col min="6148" max="6148" width="18.140625" style="1355" customWidth="1"/>
    <col min="6149" max="6149" width="0" style="1355" hidden="1" customWidth="1"/>
    <col min="6150" max="6150" width="14" style="1355" customWidth="1"/>
    <col min="6151" max="6151" width="0" style="1355" hidden="1" customWidth="1"/>
    <col min="6152" max="6152" width="20.85546875" style="1355" customWidth="1"/>
    <col min="6153" max="6153" width="0" style="1355" hidden="1" customWidth="1"/>
    <col min="6154" max="6154" width="13.28515625" style="1355" customWidth="1"/>
    <col min="6155" max="6155" width="0" style="1355" hidden="1" customWidth="1"/>
    <col min="6156" max="6156" width="15" style="1355" customWidth="1"/>
    <col min="6157" max="6157" width="0" style="1355" hidden="1" customWidth="1"/>
    <col min="6158" max="6158" width="13.28515625" style="1355" customWidth="1"/>
    <col min="6159" max="6159" width="0" style="1355" hidden="1" customWidth="1"/>
    <col min="6160" max="6160" width="20.140625" style="1355" customWidth="1"/>
    <col min="6161" max="6161" width="14.42578125" style="1355" bestFit="1" customWidth="1"/>
    <col min="6162" max="6162" width="14" style="1355" bestFit="1" customWidth="1"/>
    <col min="6163" max="6163" width="12.28515625" style="1355" bestFit="1" customWidth="1"/>
    <col min="6164" max="6188" width="9.140625" style="1355" customWidth="1"/>
    <col min="6189" max="6383" width="8.85546875" style="1355"/>
    <col min="6384" max="6384" width="44.5703125" style="1355" customWidth="1"/>
    <col min="6385" max="6385" width="14.28515625" style="1355" bestFit="1" customWidth="1"/>
    <col min="6386" max="6386" width="1.7109375" style="1355" customWidth="1"/>
    <col min="6387" max="6387" width="14.85546875" style="1355" customWidth="1"/>
    <col min="6388" max="6388" width="0" style="1355" hidden="1" customWidth="1"/>
    <col min="6389" max="6389" width="17.42578125" style="1355" customWidth="1"/>
    <col min="6390" max="6390" width="0" style="1355" hidden="1" customWidth="1"/>
    <col min="6391" max="6391" width="12.85546875" style="1355" customWidth="1"/>
    <col min="6392" max="6392" width="0" style="1355" hidden="1" customWidth="1"/>
    <col min="6393" max="6393" width="14.42578125" style="1355" customWidth="1"/>
    <col min="6394" max="6394" width="0" style="1355" hidden="1" customWidth="1"/>
    <col min="6395" max="6395" width="17.42578125" style="1355" customWidth="1"/>
    <col min="6396" max="6396" width="0" style="1355" hidden="1" customWidth="1"/>
    <col min="6397" max="6397" width="14" style="1355" customWidth="1"/>
    <col min="6398" max="6398" width="14.28515625" style="1355" bestFit="1" customWidth="1"/>
    <col min="6399" max="6399" width="0" style="1355" hidden="1" customWidth="1"/>
    <col min="6400" max="6400" width="15.5703125" style="1355" customWidth="1"/>
    <col min="6401" max="6401" width="44.5703125" style="1355" customWidth="1"/>
    <col min="6402" max="6402" width="14.28515625" style="1355" bestFit="1" customWidth="1"/>
    <col min="6403" max="6403" width="0" style="1355" hidden="1" customWidth="1"/>
    <col min="6404" max="6404" width="18.140625" style="1355" customWidth="1"/>
    <col min="6405" max="6405" width="0" style="1355" hidden="1" customWidth="1"/>
    <col min="6406" max="6406" width="14" style="1355" customWidth="1"/>
    <col min="6407" max="6407" width="0" style="1355" hidden="1" customWidth="1"/>
    <col min="6408" max="6408" width="20.85546875" style="1355" customWidth="1"/>
    <col min="6409" max="6409" width="0" style="1355" hidden="1" customWidth="1"/>
    <col min="6410" max="6410" width="13.28515625" style="1355" customWidth="1"/>
    <col min="6411" max="6411" width="0" style="1355" hidden="1" customWidth="1"/>
    <col min="6412" max="6412" width="15" style="1355" customWidth="1"/>
    <col min="6413" max="6413" width="0" style="1355" hidden="1" customWidth="1"/>
    <col min="6414" max="6414" width="13.28515625" style="1355" customWidth="1"/>
    <col min="6415" max="6415" width="0" style="1355" hidden="1" customWidth="1"/>
    <col min="6416" max="6416" width="20.140625" style="1355" customWidth="1"/>
    <col min="6417" max="6417" width="14.42578125" style="1355" bestFit="1" customWidth="1"/>
    <col min="6418" max="6418" width="14" style="1355" bestFit="1" customWidth="1"/>
    <col min="6419" max="6419" width="12.28515625" style="1355" bestFit="1" customWidth="1"/>
    <col min="6420" max="6444" width="9.140625" style="1355" customWidth="1"/>
    <col min="6445" max="6639" width="8.85546875" style="1355"/>
    <col min="6640" max="6640" width="44.5703125" style="1355" customWidth="1"/>
    <col min="6641" max="6641" width="14.28515625" style="1355" bestFit="1" customWidth="1"/>
    <col min="6642" max="6642" width="1.7109375" style="1355" customWidth="1"/>
    <col min="6643" max="6643" width="14.85546875" style="1355" customWidth="1"/>
    <col min="6644" max="6644" width="0" style="1355" hidden="1" customWidth="1"/>
    <col min="6645" max="6645" width="17.42578125" style="1355" customWidth="1"/>
    <col min="6646" max="6646" width="0" style="1355" hidden="1" customWidth="1"/>
    <col min="6647" max="6647" width="12.85546875" style="1355" customWidth="1"/>
    <col min="6648" max="6648" width="0" style="1355" hidden="1" customWidth="1"/>
    <col min="6649" max="6649" width="14.42578125" style="1355" customWidth="1"/>
    <col min="6650" max="6650" width="0" style="1355" hidden="1" customWidth="1"/>
    <col min="6651" max="6651" width="17.42578125" style="1355" customWidth="1"/>
    <col min="6652" max="6652" width="0" style="1355" hidden="1" customWidth="1"/>
    <col min="6653" max="6653" width="14" style="1355" customWidth="1"/>
    <col min="6654" max="6654" width="14.28515625" style="1355" bestFit="1" customWidth="1"/>
    <col min="6655" max="6655" width="0" style="1355" hidden="1" customWidth="1"/>
    <col min="6656" max="6656" width="15.5703125" style="1355" customWidth="1"/>
    <col min="6657" max="6657" width="44.5703125" style="1355" customWidth="1"/>
    <col min="6658" max="6658" width="14.28515625" style="1355" bestFit="1" customWidth="1"/>
    <col min="6659" max="6659" width="0" style="1355" hidden="1" customWidth="1"/>
    <col min="6660" max="6660" width="18.140625" style="1355" customWidth="1"/>
    <col min="6661" max="6661" width="0" style="1355" hidden="1" customWidth="1"/>
    <col min="6662" max="6662" width="14" style="1355" customWidth="1"/>
    <col min="6663" max="6663" width="0" style="1355" hidden="1" customWidth="1"/>
    <col min="6664" max="6664" width="20.85546875" style="1355" customWidth="1"/>
    <col min="6665" max="6665" width="0" style="1355" hidden="1" customWidth="1"/>
    <col min="6666" max="6666" width="13.28515625" style="1355" customWidth="1"/>
    <col min="6667" max="6667" width="0" style="1355" hidden="1" customWidth="1"/>
    <col min="6668" max="6668" width="15" style="1355" customWidth="1"/>
    <col min="6669" max="6669" width="0" style="1355" hidden="1" customWidth="1"/>
    <col min="6670" max="6670" width="13.28515625" style="1355" customWidth="1"/>
    <col min="6671" max="6671" width="0" style="1355" hidden="1" customWidth="1"/>
    <col min="6672" max="6672" width="20.140625" style="1355" customWidth="1"/>
    <col min="6673" max="6673" width="14.42578125" style="1355" bestFit="1" customWidth="1"/>
    <col min="6674" max="6674" width="14" style="1355" bestFit="1" customWidth="1"/>
    <col min="6675" max="6675" width="12.28515625" style="1355" bestFit="1" customWidth="1"/>
    <col min="6676" max="6700" width="9.140625" style="1355" customWidth="1"/>
    <col min="6701" max="6895" width="8.85546875" style="1355"/>
    <col min="6896" max="6896" width="44.5703125" style="1355" customWidth="1"/>
    <col min="6897" max="6897" width="14.28515625" style="1355" bestFit="1" customWidth="1"/>
    <col min="6898" max="6898" width="1.7109375" style="1355" customWidth="1"/>
    <col min="6899" max="6899" width="14.85546875" style="1355" customWidth="1"/>
    <col min="6900" max="6900" width="0" style="1355" hidden="1" customWidth="1"/>
    <col min="6901" max="6901" width="17.42578125" style="1355" customWidth="1"/>
    <col min="6902" max="6902" width="0" style="1355" hidden="1" customWidth="1"/>
    <col min="6903" max="6903" width="12.85546875" style="1355" customWidth="1"/>
    <col min="6904" max="6904" width="0" style="1355" hidden="1" customWidth="1"/>
    <col min="6905" max="6905" width="14.42578125" style="1355" customWidth="1"/>
    <col min="6906" max="6906" width="0" style="1355" hidden="1" customWidth="1"/>
    <col min="6907" max="6907" width="17.42578125" style="1355" customWidth="1"/>
    <col min="6908" max="6908" width="0" style="1355" hidden="1" customWidth="1"/>
    <col min="6909" max="6909" width="14" style="1355" customWidth="1"/>
    <col min="6910" max="6910" width="14.28515625" style="1355" bestFit="1" customWidth="1"/>
    <col min="6911" max="6911" width="0" style="1355" hidden="1" customWidth="1"/>
    <col min="6912" max="6912" width="15.5703125" style="1355" customWidth="1"/>
    <col min="6913" max="6913" width="44.5703125" style="1355" customWidth="1"/>
    <col min="6914" max="6914" width="14.28515625" style="1355" bestFit="1" customWidth="1"/>
    <col min="6915" max="6915" width="0" style="1355" hidden="1" customWidth="1"/>
    <col min="6916" max="6916" width="18.140625" style="1355" customWidth="1"/>
    <col min="6917" max="6917" width="0" style="1355" hidden="1" customWidth="1"/>
    <col min="6918" max="6918" width="14" style="1355" customWidth="1"/>
    <col min="6919" max="6919" width="0" style="1355" hidden="1" customWidth="1"/>
    <col min="6920" max="6920" width="20.85546875" style="1355" customWidth="1"/>
    <col min="6921" max="6921" width="0" style="1355" hidden="1" customWidth="1"/>
    <col min="6922" max="6922" width="13.28515625" style="1355" customWidth="1"/>
    <col min="6923" max="6923" width="0" style="1355" hidden="1" customWidth="1"/>
    <col min="6924" max="6924" width="15" style="1355" customWidth="1"/>
    <col min="6925" max="6925" width="0" style="1355" hidden="1" customWidth="1"/>
    <col min="6926" max="6926" width="13.28515625" style="1355" customWidth="1"/>
    <col min="6927" max="6927" width="0" style="1355" hidden="1" customWidth="1"/>
    <col min="6928" max="6928" width="20.140625" style="1355" customWidth="1"/>
    <col min="6929" max="6929" width="14.42578125" style="1355" bestFit="1" customWidth="1"/>
    <col min="6930" max="6930" width="14" style="1355" bestFit="1" customWidth="1"/>
    <col min="6931" max="6931" width="12.28515625" style="1355" bestFit="1" customWidth="1"/>
    <col min="6932" max="6956" width="9.140625" style="1355" customWidth="1"/>
    <col min="6957" max="7151" width="8.85546875" style="1355"/>
    <col min="7152" max="7152" width="44.5703125" style="1355" customWidth="1"/>
    <col min="7153" max="7153" width="14.28515625" style="1355" bestFit="1" customWidth="1"/>
    <col min="7154" max="7154" width="1.7109375" style="1355" customWidth="1"/>
    <col min="7155" max="7155" width="14.85546875" style="1355" customWidth="1"/>
    <col min="7156" max="7156" width="0" style="1355" hidden="1" customWidth="1"/>
    <col min="7157" max="7157" width="17.42578125" style="1355" customWidth="1"/>
    <col min="7158" max="7158" width="0" style="1355" hidden="1" customWidth="1"/>
    <col min="7159" max="7159" width="12.85546875" style="1355" customWidth="1"/>
    <col min="7160" max="7160" width="0" style="1355" hidden="1" customWidth="1"/>
    <col min="7161" max="7161" width="14.42578125" style="1355" customWidth="1"/>
    <col min="7162" max="7162" width="0" style="1355" hidden="1" customWidth="1"/>
    <col min="7163" max="7163" width="17.42578125" style="1355" customWidth="1"/>
    <col min="7164" max="7164" width="0" style="1355" hidden="1" customWidth="1"/>
    <col min="7165" max="7165" width="14" style="1355" customWidth="1"/>
    <col min="7166" max="7166" width="14.28515625" style="1355" bestFit="1" customWidth="1"/>
    <col min="7167" max="7167" width="0" style="1355" hidden="1" customWidth="1"/>
    <col min="7168" max="7168" width="15.5703125" style="1355" customWidth="1"/>
    <col min="7169" max="7169" width="44.5703125" style="1355" customWidth="1"/>
    <col min="7170" max="7170" width="14.28515625" style="1355" bestFit="1" customWidth="1"/>
    <col min="7171" max="7171" width="0" style="1355" hidden="1" customWidth="1"/>
    <col min="7172" max="7172" width="18.140625" style="1355" customWidth="1"/>
    <col min="7173" max="7173" width="0" style="1355" hidden="1" customWidth="1"/>
    <col min="7174" max="7174" width="14" style="1355" customWidth="1"/>
    <col min="7175" max="7175" width="0" style="1355" hidden="1" customWidth="1"/>
    <col min="7176" max="7176" width="20.85546875" style="1355" customWidth="1"/>
    <col min="7177" max="7177" width="0" style="1355" hidden="1" customWidth="1"/>
    <col min="7178" max="7178" width="13.28515625" style="1355" customWidth="1"/>
    <col min="7179" max="7179" width="0" style="1355" hidden="1" customWidth="1"/>
    <col min="7180" max="7180" width="15" style="1355" customWidth="1"/>
    <col min="7181" max="7181" width="0" style="1355" hidden="1" customWidth="1"/>
    <col min="7182" max="7182" width="13.28515625" style="1355" customWidth="1"/>
    <col min="7183" max="7183" width="0" style="1355" hidden="1" customWidth="1"/>
    <col min="7184" max="7184" width="20.140625" style="1355" customWidth="1"/>
    <col min="7185" max="7185" width="14.42578125" style="1355" bestFit="1" customWidth="1"/>
    <col min="7186" max="7186" width="14" style="1355" bestFit="1" customWidth="1"/>
    <col min="7187" max="7187" width="12.28515625" style="1355" bestFit="1" customWidth="1"/>
    <col min="7188" max="7212" width="9.140625" style="1355" customWidth="1"/>
    <col min="7213" max="7407" width="8.85546875" style="1355"/>
    <col min="7408" max="7408" width="44.5703125" style="1355" customWidth="1"/>
    <col min="7409" max="7409" width="14.28515625" style="1355" bestFit="1" customWidth="1"/>
    <col min="7410" max="7410" width="1.7109375" style="1355" customWidth="1"/>
    <col min="7411" max="7411" width="14.85546875" style="1355" customWidth="1"/>
    <col min="7412" max="7412" width="0" style="1355" hidden="1" customWidth="1"/>
    <col min="7413" max="7413" width="17.42578125" style="1355" customWidth="1"/>
    <col min="7414" max="7414" width="0" style="1355" hidden="1" customWidth="1"/>
    <col min="7415" max="7415" width="12.85546875" style="1355" customWidth="1"/>
    <col min="7416" max="7416" width="0" style="1355" hidden="1" customWidth="1"/>
    <col min="7417" max="7417" width="14.42578125" style="1355" customWidth="1"/>
    <col min="7418" max="7418" width="0" style="1355" hidden="1" customWidth="1"/>
    <col min="7419" max="7419" width="17.42578125" style="1355" customWidth="1"/>
    <col min="7420" max="7420" width="0" style="1355" hidden="1" customWidth="1"/>
    <col min="7421" max="7421" width="14" style="1355" customWidth="1"/>
    <col min="7422" max="7422" width="14.28515625" style="1355" bestFit="1" customWidth="1"/>
    <col min="7423" max="7423" width="0" style="1355" hidden="1" customWidth="1"/>
    <col min="7424" max="7424" width="15.5703125" style="1355" customWidth="1"/>
    <col min="7425" max="7425" width="44.5703125" style="1355" customWidth="1"/>
    <col min="7426" max="7426" width="14.28515625" style="1355" bestFit="1" customWidth="1"/>
    <col min="7427" max="7427" width="0" style="1355" hidden="1" customWidth="1"/>
    <col min="7428" max="7428" width="18.140625" style="1355" customWidth="1"/>
    <col min="7429" max="7429" width="0" style="1355" hidden="1" customWidth="1"/>
    <col min="7430" max="7430" width="14" style="1355" customWidth="1"/>
    <col min="7431" max="7431" width="0" style="1355" hidden="1" customWidth="1"/>
    <col min="7432" max="7432" width="20.85546875" style="1355" customWidth="1"/>
    <col min="7433" max="7433" width="0" style="1355" hidden="1" customWidth="1"/>
    <col min="7434" max="7434" width="13.28515625" style="1355" customWidth="1"/>
    <col min="7435" max="7435" width="0" style="1355" hidden="1" customWidth="1"/>
    <col min="7436" max="7436" width="15" style="1355" customWidth="1"/>
    <col min="7437" max="7437" width="0" style="1355" hidden="1" customWidth="1"/>
    <col min="7438" max="7438" width="13.28515625" style="1355" customWidth="1"/>
    <col min="7439" max="7439" width="0" style="1355" hidden="1" customWidth="1"/>
    <col min="7440" max="7440" width="20.140625" style="1355" customWidth="1"/>
    <col min="7441" max="7441" width="14.42578125" style="1355" bestFit="1" customWidth="1"/>
    <col min="7442" max="7442" width="14" style="1355" bestFit="1" customWidth="1"/>
    <col min="7443" max="7443" width="12.28515625" style="1355" bestFit="1" customWidth="1"/>
    <col min="7444" max="7468" width="9.140625" style="1355" customWidth="1"/>
    <col min="7469" max="7663" width="8.85546875" style="1355"/>
    <col min="7664" max="7664" width="44.5703125" style="1355" customWidth="1"/>
    <col min="7665" max="7665" width="14.28515625" style="1355" bestFit="1" customWidth="1"/>
    <col min="7666" max="7666" width="1.7109375" style="1355" customWidth="1"/>
    <col min="7667" max="7667" width="14.85546875" style="1355" customWidth="1"/>
    <col min="7668" max="7668" width="0" style="1355" hidden="1" customWidth="1"/>
    <col min="7669" max="7669" width="17.42578125" style="1355" customWidth="1"/>
    <col min="7670" max="7670" width="0" style="1355" hidden="1" customWidth="1"/>
    <col min="7671" max="7671" width="12.85546875" style="1355" customWidth="1"/>
    <col min="7672" max="7672" width="0" style="1355" hidden="1" customWidth="1"/>
    <col min="7673" max="7673" width="14.42578125" style="1355" customWidth="1"/>
    <col min="7674" max="7674" width="0" style="1355" hidden="1" customWidth="1"/>
    <col min="7675" max="7675" width="17.42578125" style="1355" customWidth="1"/>
    <col min="7676" max="7676" width="0" style="1355" hidden="1" customWidth="1"/>
    <col min="7677" max="7677" width="14" style="1355" customWidth="1"/>
    <col min="7678" max="7678" width="14.28515625" style="1355" bestFit="1" customWidth="1"/>
    <col min="7679" max="7679" width="0" style="1355" hidden="1" customWidth="1"/>
    <col min="7680" max="7680" width="15.5703125" style="1355" customWidth="1"/>
    <col min="7681" max="7681" width="44.5703125" style="1355" customWidth="1"/>
    <col min="7682" max="7682" width="14.28515625" style="1355" bestFit="1" customWidth="1"/>
    <col min="7683" max="7683" width="0" style="1355" hidden="1" customWidth="1"/>
    <col min="7684" max="7684" width="18.140625" style="1355" customWidth="1"/>
    <col min="7685" max="7685" width="0" style="1355" hidden="1" customWidth="1"/>
    <col min="7686" max="7686" width="14" style="1355" customWidth="1"/>
    <col min="7687" max="7687" width="0" style="1355" hidden="1" customWidth="1"/>
    <col min="7688" max="7688" width="20.85546875" style="1355" customWidth="1"/>
    <col min="7689" max="7689" width="0" style="1355" hidden="1" customWidth="1"/>
    <col min="7690" max="7690" width="13.28515625" style="1355" customWidth="1"/>
    <col min="7691" max="7691" width="0" style="1355" hidden="1" customWidth="1"/>
    <col min="7692" max="7692" width="15" style="1355" customWidth="1"/>
    <col min="7693" max="7693" width="0" style="1355" hidden="1" customWidth="1"/>
    <col min="7694" max="7694" width="13.28515625" style="1355" customWidth="1"/>
    <col min="7695" max="7695" width="0" style="1355" hidden="1" customWidth="1"/>
    <col min="7696" max="7696" width="20.140625" style="1355" customWidth="1"/>
    <col min="7697" max="7697" width="14.42578125" style="1355" bestFit="1" customWidth="1"/>
    <col min="7698" max="7698" width="14" style="1355" bestFit="1" customWidth="1"/>
    <col min="7699" max="7699" width="12.28515625" style="1355" bestFit="1" customWidth="1"/>
    <col min="7700" max="7724" width="9.140625" style="1355" customWidth="1"/>
    <col min="7725" max="7919" width="8.85546875" style="1355"/>
    <col min="7920" max="7920" width="44.5703125" style="1355" customWidth="1"/>
    <col min="7921" max="7921" width="14.28515625" style="1355" bestFit="1" customWidth="1"/>
    <col min="7922" max="7922" width="1.7109375" style="1355" customWidth="1"/>
    <col min="7923" max="7923" width="14.85546875" style="1355" customWidth="1"/>
    <col min="7924" max="7924" width="0" style="1355" hidden="1" customWidth="1"/>
    <col min="7925" max="7925" width="17.42578125" style="1355" customWidth="1"/>
    <col min="7926" max="7926" width="0" style="1355" hidden="1" customWidth="1"/>
    <col min="7927" max="7927" width="12.85546875" style="1355" customWidth="1"/>
    <col min="7928" max="7928" width="0" style="1355" hidden="1" customWidth="1"/>
    <col min="7929" max="7929" width="14.42578125" style="1355" customWidth="1"/>
    <col min="7930" max="7930" width="0" style="1355" hidden="1" customWidth="1"/>
    <col min="7931" max="7931" width="17.42578125" style="1355" customWidth="1"/>
    <col min="7932" max="7932" width="0" style="1355" hidden="1" customWidth="1"/>
    <col min="7933" max="7933" width="14" style="1355" customWidth="1"/>
    <col min="7934" max="7934" width="14.28515625" style="1355" bestFit="1" customWidth="1"/>
    <col min="7935" max="7935" width="0" style="1355" hidden="1" customWidth="1"/>
    <col min="7936" max="7936" width="15.5703125" style="1355" customWidth="1"/>
    <col min="7937" max="7937" width="44.5703125" style="1355" customWidth="1"/>
    <col min="7938" max="7938" width="14.28515625" style="1355" bestFit="1" customWidth="1"/>
    <col min="7939" max="7939" width="0" style="1355" hidden="1" customWidth="1"/>
    <col min="7940" max="7940" width="18.140625" style="1355" customWidth="1"/>
    <col min="7941" max="7941" width="0" style="1355" hidden="1" customWidth="1"/>
    <col min="7942" max="7942" width="14" style="1355" customWidth="1"/>
    <col min="7943" max="7943" width="0" style="1355" hidden="1" customWidth="1"/>
    <col min="7944" max="7944" width="20.85546875" style="1355" customWidth="1"/>
    <col min="7945" max="7945" width="0" style="1355" hidden="1" customWidth="1"/>
    <col min="7946" max="7946" width="13.28515625" style="1355" customWidth="1"/>
    <col min="7947" max="7947" width="0" style="1355" hidden="1" customWidth="1"/>
    <col min="7948" max="7948" width="15" style="1355" customWidth="1"/>
    <col min="7949" max="7949" width="0" style="1355" hidden="1" customWidth="1"/>
    <col min="7950" max="7950" width="13.28515625" style="1355" customWidth="1"/>
    <col min="7951" max="7951" width="0" style="1355" hidden="1" customWidth="1"/>
    <col min="7952" max="7952" width="20.140625" style="1355" customWidth="1"/>
    <col min="7953" max="7953" width="14.42578125" style="1355" bestFit="1" customWidth="1"/>
    <col min="7954" max="7954" width="14" style="1355" bestFit="1" customWidth="1"/>
    <col min="7955" max="7955" width="12.28515625" style="1355" bestFit="1" customWidth="1"/>
    <col min="7956" max="7980" width="9.140625" style="1355" customWidth="1"/>
    <col min="7981" max="8175" width="8.85546875" style="1355"/>
    <col min="8176" max="8176" width="44.5703125" style="1355" customWidth="1"/>
    <col min="8177" max="8177" width="14.28515625" style="1355" bestFit="1" customWidth="1"/>
    <col min="8178" max="8178" width="1.7109375" style="1355" customWidth="1"/>
    <col min="8179" max="8179" width="14.85546875" style="1355" customWidth="1"/>
    <col min="8180" max="8180" width="0" style="1355" hidden="1" customWidth="1"/>
    <col min="8181" max="8181" width="17.42578125" style="1355" customWidth="1"/>
    <col min="8182" max="8182" width="0" style="1355" hidden="1" customWidth="1"/>
    <col min="8183" max="8183" width="12.85546875" style="1355" customWidth="1"/>
    <col min="8184" max="8184" width="0" style="1355" hidden="1" customWidth="1"/>
    <col min="8185" max="8185" width="14.42578125" style="1355" customWidth="1"/>
    <col min="8186" max="8186" width="0" style="1355" hidden="1" customWidth="1"/>
    <col min="8187" max="8187" width="17.42578125" style="1355" customWidth="1"/>
    <col min="8188" max="8188" width="0" style="1355" hidden="1" customWidth="1"/>
    <col min="8189" max="8189" width="14" style="1355" customWidth="1"/>
    <col min="8190" max="8190" width="14.28515625" style="1355" bestFit="1" customWidth="1"/>
    <col min="8191" max="8191" width="0" style="1355" hidden="1" customWidth="1"/>
    <col min="8192" max="8192" width="15.5703125" style="1355" customWidth="1"/>
    <col min="8193" max="8193" width="44.5703125" style="1355" customWidth="1"/>
    <col min="8194" max="8194" width="14.28515625" style="1355" bestFit="1" customWidth="1"/>
    <col min="8195" max="8195" width="0" style="1355" hidden="1" customWidth="1"/>
    <col min="8196" max="8196" width="18.140625" style="1355" customWidth="1"/>
    <col min="8197" max="8197" width="0" style="1355" hidden="1" customWidth="1"/>
    <col min="8198" max="8198" width="14" style="1355" customWidth="1"/>
    <col min="8199" max="8199" width="0" style="1355" hidden="1" customWidth="1"/>
    <col min="8200" max="8200" width="20.85546875" style="1355" customWidth="1"/>
    <col min="8201" max="8201" width="0" style="1355" hidden="1" customWidth="1"/>
    <col min="8202" max="8202" width="13.28515625" style="1355" customWidth="1"/>
    <col min="8203" max="8203" width="0" style="1355" hidden="1" customWidth="1"/>
    <col min="8204" max="8204" width="15" style="1355" customWidth="1"/>
    <col min="8205" max="8205" width="0" style="1355" hidden="1" customWidth="1"/>
    <col min="8206" max="8206" width="13.28515625" style="1355" customWidth="1"/>
    <col min="8207" max="8207" width="0" style="1355" hidden="1" customWidth="1"/>
    <col min="8208" max="8208" width="20.140625" style="1355" customWidth="1"/>
    <col min="8209" max="8209" width="14.42578125" style="1355" bestFit="1" customWidth="1"/>
    <col min="8210" max="8210" width="14" style="1355" bestFit="1" customWidth="1"/>
    <col min="8211" max="8211" width="12.28515625" style="1355" bestFit="1" customWidth="1"/>
    <col min="8212" max="8236" width="9.140625" style="1355" customWidth="1"/>
    <col min="8237" max="8431" width="8.85546875" style="1355"/>
    <col min="8432" max="8432" width="44.5703125" style="1355" customWidth="1"/>
    <col min="8433" max="8433" width="14.28515625" style="1355" bestFit="1" customWidth="1"/>
    <col min="8434" max="8434" width="1.7109375" style="1355" customWidth="1"/>
    <col min="8435" max="8435" width="14.85546875" style="1355" customWidth="1"/>
    <col min="8436" max="8436" width="0" style="1355" hidden="1" customWidth="1"/>
    <col min="8437" max="8437" width="17.42578125" style="1355" customWidth="1"/>
    <col min="8438" max="8438" width="0" style="1355" hidden="1" customWidth="1"/>
    <col min="8439" max="8439" width="12.85546875" style="1355" customWidth="1"/>
    <col min="8440" max="8440" width="0" style="1355" hidden="1" customWidth="1"/>
    <col min="8441" max="8441" width="14.42578125" style="1355" customWidth="1"/>
    <col min="8442" max="8442" width="0" style="1355" hidden="1" customWidth="1"/>
    <col min="8443" max="8443" width="17.42578125" style="1355" customWidth="1"/>
    <col min="8444" max="8444" width="0" style="1355" hidden="1" customWidth="1"/>
    <col min="8445" max="8445" width="14" style="1355" customWidth="1"/>
    <col min="8446" max="8446" width="14.28515625" style="1355" bestFit="1" customWidth="1"/>
    <col min="8447" max="8447" width="0" style="1355" hidden="1" customWidth="1"/>
    <col min="8448" max="8448" width="15.5703125" style="1355" customWidth="1"/>
    <col min="8449" max="8449" width="44.5703125" style="1355" customWidth="1"/>
    <col min="8450" max="8450" width="14.28515625" style="1355" bestFit="1" customWidth="1"/>
    <col min="8451" max="8451" width="0" style="1355" hidden="1" customWidth="1"/>
    <col min="8452" max="8452" width="18.140625" style="1355" customWidth="1"/>
    <col min="8453" max="8453" width="0" style="1355" hidden="1" customWidth="1"/>
    <col min="8454" max="8454" width="14" style="1355" customWidth="1"/>
    <col min="8455" max="8455" width="0" style="1355" hidden="1" customWidth="1"/>
    <col min="8456" max="8456" width="20.85546875" style="1355" customWidth="1"/>
    <col min="8457" max="8457" width="0" style="1355" hidden="1" customWidth="1"/>
    <col min="8458" max="8458" width="13.28515625" style="1355" customWidth="1"/>
    <col min="8459" max="8459" width="0" style="1355" hidden="1" customWidth="1"/>
    <col min="8460" max="8460" width="15" style="1355" customWidth="1"/>
    <col min="8461" max="8461" width="0" style="1355" hidden="1" customWidth="1"/>
    <col min="8462" max="8462" width="13.28515625" style="1355" customWidth="1"/>
    <col min="8463" max="8463" width="0" style="1355" hidden="1" customWidth="1"/>
    <col min="8464" max="8464" width="20.140625" style="1355" customWidth="1"/>
    <col min="8465" max="8465" width="14.42578125" style="1355" bestFit="1" customWidth="1"/>
    <col min="8466" max="8466" width="14" style="1355" bestFit="1" customWidth="1"/>
    <col min="8467" max="8467" width="12.28515625" style="1355" bestFit="1" customWidth="1"/>
    <col min="8468" max="8492" width="9.140625" style="1355" customWidth="1"/>
    <col min="8493" max="8687" width="8.85546875" style="1355"/>
    <col min="8688" max="8688" width="44.5703125" style="1355" customWidth="1"/>
    <col min="8689" max="8689" width="14.28515625" style="1355" bestFit="1" customWidth="1"/>
    <col min="8690" max="8690" width="1.7109375" style="1355" customWidth="1"/>
    <col min="8691" max="8691" width="14.85546875" style="1355" customWidth="1"/>
    <col min="8692" max="8692" width="0" style="1355" hidden="1" customWidth="1"/>
    <col min="8693" max="8693" width="17.42578125" style="1355" customWidth="1"/>
    <col min="8694" max="8694" width="0" style="1355" hidden="1" customWidth="1"/>
    <col min="8695" max="8695" width="12.85546875" style="1355" customWidth="1"/>
    <col min="8696" max="8696" width="0" style="1355" hidden="1" customWidth="1"/>
    <col min="8697" max="8697" width="14.42578125" style="1355" customWidth="1"/>
    <col min="8698" max="8698" width="0" style="1355" hidden="1" customWidth="1"/>
    <col min="8699" max="8699" width="17.42578125" style="1355" customWidth="1"/>
    <col min="8700" max="8700" width="0" style="1355" hidden="1" customWidth="1"/>
    <col min="8701" max="8701" width="14" style="1355" customWidth="1"/>
    <col min="8702" max="8702" width="14.28515625" style="1355" bestFit="1" customWidth="1"/>
    <col min="8703" max="8703" width="0" style="1355" hidden="1" customWidth="1"/>
    <col min="8704" max="8704" width="15.5703125" style="1355" customWidth="1"/>
    <col min="8705" max="8705" width="44.5703125" style="1355" customWidth="1"/>
    <col min="8706" max="8706" width="14.28515625" style="1355" bestFit="1" customWidth="1"/>
    <col min="8707" max="8707" width="0" style="1355" hidden="1" customWidth="1"/>
    <col min="8708" max="8708" width="18.140625" style="1355" customWidth="1"/>
    <col min="8709" max="8709" width="0" style="1355" hidden="1" customWidth="1"/>
    <col min="8710" max="8710" width="14" style="1355" customWidth="1"/>
    <col min="8711" max="8711" width="0" style="1355" hidden="1" customWidth="1"/>
    <col min="8712" max="8712" width="20.85546875" style="1355" customWidth="1"/>
    <col min="8713" max="8713" width="0" style="1355" hidden="1" customWidth="1"/>
    <col min="8714" max="8714" width="13.28515625" style="1355" customWidth="1"/>
    <col min="8715" max="8715" width="0" style="1355" hidden="1" customWidth="1"/>
    <col min="8716" max="8716" width="15" style="1355" customWidth="1"/>
    <col min="8717" max="8717" width="0" style="1355" hidden="1" customWidth="1"/>
    <col min="8718" max="8718" width="13.28515625" style="1355" customWidth="1"/>
    <col min="8719" max="8719" width="0" style="1355" hidden="1" customWidth="1"/>
    <col min="8720" max="8720" width="20.140625" style="1355" customWidth="1"/>
    <col min="8721" max="8721" width="14.42578125" style="1355" bestFit="1" customWidth="1"/>
    <col min="8722" max="8722" width="14" style="1355" bestFit="1" customWidth="1"/>
    <col min="8723" max="8723" width="12.28515625" style="1355" bestFit="1" customWidth="1"/>
    <col min="8724" max="8748" width="9.140625" style="1355" customWidth="1"/>
    <col min="8749" max="8943" width="8.85546875" style="1355"/>
    <col min="8944" max="8944" width="44.5703125" style="1355" customWidth="1"/>
    <col min="8945" max="8945" width="14.28515625" style="1355" bestFit="1" customWidth="1"/>
    <col min="8946" max="8946" width="1.7109375" style="1355" customWidth="1"/>
    <col min="8947" max="8947" width="14.85546875" style="1355" customWidth="1"/>
    <col min="8948" max="8948" width="0" style="1355" hidden="1" customWidth="1"/>
    <col min="8949" max="8949" width="17.42578125" style="1355" customWidth="1"/>
    <col min="8950" max="8950" width="0" style="1355" hidden="1" customWidth="1"/>
    <col min="8951" max="8951" width="12.85546875" style="1355" customWidth="1"/>
    <col min="8952" max="8952" width="0" style="1355" hidden="1" customWidth="1"/>
    <col min="8953" max="8953" width="14.42578125" style="1355" customWidth="1"/>
    <col min="8954" max="8954" width="0" style="1355" hidden="1" customWidth="1"/>
    <col min="8955" max="8955" width="17.42578125" style="1355" customWidth="1"/>
    <col min="8956" max="8956" width="0" style="1355" hidden="1" customWidth="1"/>
    <col min="8957" max="8957" width="14" style="1355" customWidth="1"/>
    <col min="8958" max="8958" width="14.28515625" style="1355" bestFit="1" customWidth="1"/>
    <col min="8959" max="8959" width="0" style="1355" hidden="1" customWidth="1"/>
    <col min="8960" max="8960" width="15.5703125" style="1355" customWidth="1"/>
    <col min="8961" max="8961" width="44.5703125" style="1355" customWidth="1"/>
    <col min="8962" max="8962" width="14.28515625" style="1355" bestFit="1" customWidth="1"/>
    <col min="8963" max="8963" width="0" style="1355" hidden="1" customWidth="1"/>
    <col min="8964" max="8964" width="18.140625" style="1355" customWidth="1"/>
    <col min="8965" max="8965" width="0" style="1355" hidden="1" customWidth="1"/>
    <col min="8966" max="8966" width="14" style="1355" customWidth="1"/>
    <col min="8967" max="8967" width="0" style="1355" hidden="1" customWidth="1"/>
    <col min="8968" max="8968" width="20.85546875" style="1355" customWidth="1"/>
    <col min="8969" max="8969" width="0" style="1355" hidden="1" customWidth="1"/>
    <col min="8970" max="8970" width="13.28515625" style="1355" customWidth="1"/>
    <col min="8971" max="8971" width="0" style="1355" hidden="1" customWidth="1"/>
    <col min="8972" max="8972" width="15" style="1355" customWidth="1"/>
    <col min="8973" max="8973" width="0" style="1355" hidden="1" customWidth="1"/>
    <col min="8974" max="8974" width="13.28515625" style="1355" customWidth="1"/>
    <col min="8975" max="8975" width="0" style="1355" hidden="1" customWidth="1"/>
    <col min="8976" max="8976" width="20.140625" style="1355" customWidth="1"/>
    <col min="8977" max="8977" width="14.42578125" style="1355" bestFit="1" customWidth="1"/>
    <col min="8978" max="8978" width="14" style="1355" bestFit="1" customWidth="1"/>
    <col min="8979" max="8979" width="12.28515625" style="1355" bestFit="1" customWidth="1"/>
    <col min="8980" max="9004" width="9.140625" style="1355" customWidth="1"/>
    <col min="9005" max="9199" width="8.85546875" style="1355"/>
    <col min="9200" max="9200" width="44.5703125" style="1355" customWidth="1"/>
    <col min="9201" max="9201" width="14.28515625" style="1355" bestFit="1" customWidth="1"/>
    <col min="9202" max="9202" width="1.7109375" style="1355" customWidth="1"/>
    <col min="9203" max="9203" width="14.85546875" style="1355" customWidth="1"/>
    <col min="9204" max="9204" width="0" style="1355" hidden="1" customWidth="1"/>
    <col min="9205" max="9205" width="17.42578125" style="1355" customWidth="1"/>
    <col min="9206" max="9206" width="0" style="1355" hidden="1" customWidth="1"/>
    <col min="9207" max="9207" width="12.85546875" style="1355" customWidth="1"/>
    <col min="9208" max="9208" width="0" style="1355" hidden="1" customWidth="1"/>
    <col min="9209" max="9209" width="14.42578125" style="1355" customWidth="1"/>
    <col min="9210" max="9210" width="0" style="1355" hidden="1" customWidth="1"/>
    <col min="9211" max="9211" width="17.42578125" style="1355" customWidth="1"/>
    <col min="9212" max="9212" width="0" style="1355" hidden="1" customWidth="1"/>
    <col min="9213" max="9213" width="14" style="1355" customWidth="1"/>
    <col min="9214" max="9214" width="14.28515625" style="1355" bestFit="1" customWidth="1"/>
    <col min="9215" max="9215" width="0" style="1355" hidden="1" customWidth="1"/>
    <col min="9216" max="9216" width="15.5703125" style="1355" customWidth="1"/>
    <col min="9217" max="9217" width="44.5703125" style="1355" customWidth="1"/>
    <col min="9218" max="9218" width="14.28515625" style="1355" bestFit="1" customWidth="1"/>
    <col min="9219" max="9219" width="0" style="1355" hidden="1" customWidth="1"/>
    <col min="9220" max="9220" width="18.140625" style="1355" customWidth="1"/>
    <col min="9221" max="9221" width="0" style="1355" hidden="1" customWidth="1"/>
    <col min="9222" max="9222" width="14" style="1355" customWidth="1"/>
    <col min="9223" max="9223" width="0" style="1355" hidden="1" customWidth="1"/>
    <col min="9224" max="9224" width="20.85546875" style="1355" customWidth="1"/>
    <col min="9225" max="9225" width="0" style="1355" hidden="1" customWidth="1"/>
    <col min="9226" max="9226" width="13.28515625" style="1355" customWidth="1"/>
    <col min="9227" max="9227" width="0" style="1355" hidden="1" customWidth="1"/>
    <col min="9228" max="9228" width="15" style="1355" customWidth="1"/>
    <col min="9229" max="9229" width="0" style="1355" hidden="1" customWidth="1"/>
    <col min="9230" max="9230" width="13.28515625" style="1355" customWidth="1"/>
    <col min="9231" max="9231" width="0" style="1355" hidden="1" customWidth="1"/>
    <col min="9232" max="9232" width="20.140625" style="1355" customWidth="1"/>
    <col min="9233" max="9233" width="14.42578125" style="1355" bestFit="1" customWidth="1"/>
    <col min="9234" max="9234" width="14" style="1355" bestFit="1" customWidth="1"/>
    <col min="9235" max="9235" width="12.28515625" style="1355" bestFit="1" customWidth="1"/>
    <col min="9236" max="9260" width="9.140625" style="1355" customWidth="1"/>
    <col min="9261" max="9455" width="8.85546875" style="1355"/>
    <col min="9456" max="9456" width="44.5703125" style="1355" customWidth="1"/>
    <col min="9457" max="9457" width="14.28515625" style="1355" bestFit="1" customWidth="1"/>
    <col min="9458" max="9458" width="1.7109375" style="1355" customWidth="1"/>
    <col min="9459" max="9459" width="14.85546875" style="1355" customWidth="1"/>
    <col min="9460" max="9460" width="0" style="1355" hidden="1" customWidth="1"/>
    <col min="9461" max="9461" width="17.42578125" style="1355" customWidth="1"/>
    <col min="9462" max="9462" width="0" style="1355" hidden="1" customWidth="1"/>
    <col min="9463" max="9463" width="12.85546875" style="1355" customWidth="1"/>
    <col min="9464" max="9464" width="0" style="1355" hidden="1" customWidth="1"/>
    <col min="9465" max="9465" width="14.42578125" style="1355" customWidth="1"/>
    <col min="9466" max="9466" width="0" style="1355" hidden="1" customWidth="1"/>
    <col min="9467" max="9467" width="17.42578125" style="1355" customWidth="1"/>
    <col min="9468" max="9468" width="0" style="1355" hidden="1" customWidth="1"/>
    <col min="9469" max="9469" width="14" style="1355" customWidth="1"/>
    <col min="9470" max="9470" width="14.28515625" style="1355" bestFit="1" customWidth="1"/>
    <col min="9471" max="9471" width="0" style="1355" hidden="1" customWidth="1"/>
    <col min="9472" max="9472" width="15.5703125" style="1355" customWidth="1"/>
    <col min="9473" max="9473" width="44.5703125" style="1355" customWidth="1"/>
    <col min="9474" max="9474" width="14.28515625" style="1355" bestFit="1" customWidth="1"/>
    <col min="9475" max="9475" width="0" style="1355" hidden="1" customWidth="1"/>
    <col min="9476" max="9476" width="18.140625" style="1355" customWidth="1"/>
    <col min="9477" max="9477" width="0" style="1355" hidden="1" customWidth="1"/>
    <col min="9478" max="9478" width="14" style="1355" customWidth="1"/>
    <col min="9479" max="9479" width="0" style="1355" hidden="1" customWidth="1"/>
    <col min="9480" max="9480" width="20.85546875" style="1355" customWidth="1"/>
    <col min="9481" max="9481" width="0" style="1355" hidden="1" customWidth="1"/>
    <col min="9482" max="9482" width="13.28515625" style="1355" customWidth="1"/>
    <col min="9483" max="9483" width="0" style="1355" hidden="1" customWidth="1"/>
    <col min="9484" max="9484" width="15" style="1355" customWidth="1"/>
    <col min="9485" max="9485" width="0" style="1355" hidden="1" customWidth="1"/>
    <col min="9486" max="9486" width="13.28515625" style="1355" customWidth="1"/>
    <col min="9487" max="9487" width="0" style="1355" hidden="1" customWidth="1"/>
    <col min="9488" max="9488" width="20.140625" style="1355" customWidth="1"/>
    <col min="9489" max="9489" width="14.42578125" style="1355" bestFit="1" customWidth="1"/>
    <col min="9490" max="9490" width="14" style="1355" bestFit="1" customWidth="1"/>
    <col min="9491" max="9491" width="12.28515625" style="1355" bestFit="1" customWidth="1"/>
    <col min="9492" max="9516" width="9.140625" style="1355" customWidth="1"/>
    <col min="9517" max="9711" width="8.85546875" style="1355"/>
    <col min="9712" max="9712" width="44.5703125" style="1355" customWidth="1"/>
    <col min="9713" max="9713" width="14.28515625" style="1355" bestFit="1" customWidth="1"/>
    <col min="9714" max="9714" width="1.7109375" style="1355" customWidth="1"/>
    <col min="9715" max="9715" width="14.85546875" style="1355" customWidth="1"/>
    <col min="9716" max="9716" width="0" style="1355" hidden="1" customWidth="1"/>
    <col min="9717" max="9717" width="17.42578125" style="1355" customWidth="1"/>
    <col min="9718" max="9718" width="0" style="1355" hidden="1" customWidth="1"/>
    <col min="9719" max="9719" width="12.85546875" style="1355" customWidth="1"/>
    <col min="9720" max="9720" width="0" style="1355" hidden="1" customWidth="1"/>
    <col min="9721" max="9721" width="14.42578125" style="1355" customWidth="1"/>
    <col min="9722" max="9722" width="0" style="1355" hidden="1" customWidth="1"/>
    <col min="9723" max="9723" width="17.42578125" style="1355" customWidth="1"/>
    <col min="9724" max="9724" width="0" style="1355" hidden="1" customWidth="1"/>
    <col min="9725" max="9725" width="14" style="1355" customWidth="1"/>
    <col min="9726" max="9726" width="14.28515625" style="1355" bestFit="1" customWidth="1"/>
    <col min="9727" max="9727" width="0" style="1355" hidden="1" customWidth="1"/>
    <col min="9728" max="9728" width="15.5703125" style="1355" customWidth="1"/>
    <col min="9729" max="9729" width="44.5703125" style="1355" customWidth="1"/>
    <col min="9730" max="9730" width="14.28515625" style="1355" bestFit="1" customWidth="1"/>
    <col min="9731" max="9731" width="0" style="1355" hidden="1" customWidth="1"/>
    <col min="9732" max="9732" width="18.140625" style="1355" customWidth="1"/>
    <col min="9733" max="9733" width="0" style="1355" hidden="1" customWidth="1"/>
    <col min="9734" max="9734" width="14" style="1355" customWidth="1"/>
    <col min="9735" max="9735" width="0" style="1355" hidden="1" customWidth="1"/>
    <col min="9736" max="9736" width="20.85546875" style="1355" customWidth="1"/>
    <col min="9737" max="9737" width="0" style="1355" hidden="1" customWidth="1"/>
    <col min="9738" max="9738" width="13.28515625" style="1355" customWidth="1"/>
    <col min="9739" max="9739" width="0" style="1355" hidden="1" customWidth="1"/>
    <col min="9740" max="9740" width="15" style="1355" customWidth="1"/>
    <col min="9741" max="9741" width="0" style="1355" hidden="1" customWidth="1"/>
    <col min="9742" max="9742" width="13.28515625" style="1355" customWidth="1"/>
    <col min="9743" max="9743" width="0" style="1355" hidden="1" customWidth="1"/>
    <col min="9744" max="9744" width="20.140625" style="1355" customWidth="1"/>
    <col min="9745" max="9745" width="14.42578125" style="1355" bestFit="1" customWidth="1"/>
    <col min="9746" max="9746" width="14" style="1355" bestFit="1" customWidth="1"/>
    <col min="9747" max="9747" width="12.28515625" style="1355" bestFit="1" customWidth="1"/>
    <col min="9748" max="9772" width="9.140625" style="1355" customWidth="1"/>
    <col min="9773" max="9967" width="8.85546875" style="1355"/>
    <col min="9968" max="9968" width="44.5703125" style="1355" customWidth="1"/>
    <col min="9969" max="9969" width="14.28515625" style="1355" bestFit="1" customWidth="1"/>
    <col min="9970" max="9970" width="1.7109375" style="1355" customWidth="1"/>
    <col min="9971" max="9971" width="14.85546875" style="1355" customWidth="1"/>
    <col min="9972" max="9972" width="0" style="1355" hidden="1" customWidth="1"/>
    <col min="9973" max="9973" width="17.42578125" style="1355" customWidth="1"/>
    <col min="9974" max="9974" width="0" style="1355" hidden="1" customWidth="1"/>
    <col min="9975" max="9975" width="12.85546875" style="1355" customWidth="1"/>
    <col min="9976" max="9976" width="0" style="1355" hidden="1" customWidth="1"/>
    <col min="9977" max="9977" width="14.42578125" style="1355" customWidth="1"/>
    <col min="9978" max="9978" width="0" style="1355" hidden="1" customWidth="1"/>
    <col min="9979" max="9979" width="17.42578125" style="1355" customWidth="1"/>
    <col min="9980" max="9980" width="0" style="1355" hidden="1" customWidth="1"/>
    <col min="9981" max="9981" width="14" style="1355" customWidth="1"/>
    <col min="9982" max="9982" width="14.28515625" style="1355" bestFit="1" customWidth="1"/>
    <col min="9983" max="9983" width="0" style="1355" hidden="1" customWidth="1"/>
    <col min="9984" max="9984" width="15.5703125" style="1355" customWidth="1"/>
    <col min="9985" max="9985" width="44.5703125" style="1355" customWidth="1"/>
    <col min="9986" max="9986" width="14.28515625" style="1355" bestFit="1" customWidth="1"/>
    <col min="9987" max="9987" width="0" style="1355" hidden="1" customWidth="1"/>
    <col min="9988" max="9988" width="18.140625" style="1355" customWidth="1"/>
    <col min="9989" max="9989" width="0" style="1355" hidden="1" customWidth="1"/>
    <col min="9990" max="9990" width="14" style="1355" customWidth="1"/>
    <col min="9991" max="9991" width="0" style="1355" hidden="1" customWidth="1"/>
    <col min="9992" max="9992" width="20.85546875" style="1355" customWidth="1"/>
    <col min="9993" max="9993" width="0" style="1355" hidden="1" customWidth="1"/>
    <col min="9994" max="9994" width="13.28515625" style="1355" customWidth="1"/>
    <col min="9995" max="9995" width="0" style="1355" hidden="1" customWidth="1"/>
    <col min="9996" max="9996" width="15" style="1355" customWidth="1"/>
    <col min="9997" max="9997" width="0" style="1355" hidden="1" customWidth="1"/>
    <col min="9998" max="9998" width="13.28515625" style="1355" customWidth="1"/>
    <col min="9999" max="9999" width="0" style="1355" hidden="1" customWidth="1"/>
    <col min="10000" max="10000" width="20.140625" style="1355" customWidth="1"/>
    <col min="10001" max="10001" width="14.42578125" style="1355" bestFit="1" customWidth="1"/>
    <col min="10002" max="10002" width="14" style="1355" bestFit="1" customWidth="1"/>
    <col min="10003" max="10003" width="12.28515625" style="1355" bestFit="1" customWidth="1"/>
    <col min="10004" max="10028" width="9.140625" style="1355" customWidth="1"/>
    <col min="10029" max="10223" width="8.85546875" style="1355"/>
    <col min="10224" max="10224" width="44.5703125" style="1355" customWidth="1"/>
    <col min="10225" max="10225" width="14.28515625" style="1355" bestFit="1" customWidth="1"/>
    <col min="10226" max="10226" width="1.7109375" style="1355" customWidth="1"/>
    <col min="10227" max="10227" width="14.85546875" style="1355" customWidth="1"/>
    <col min="10228" max="10228" width="0" style="1355" hidden="1" customWidth="1"/>
    <col min="10229" max="10229" width="17.42578125" style="1355" customWidth="1"/>
    <col min="10230" max="10230" width="0" style="1355" hidden="1" customWidth="1"/>
    <col min="10231" max="10231" width="12.85546875" style="1355" customWidth="1"/>
    <col min="10232" max="10232" width="0" style="1355" hidden="1" customWidth="1"/>
    <col min="10233" max="10233" width="14.42578125" style="1355" customWidth="1"/>
    <col min="10234" max="10234" width="0" style="1355" hidden="1" customWidth="1"/>
    <col min="10235" max="10235" width="17.42578125" style="1355" customWidth="1"/>
    <col min="10236" max="10236" width="0" style="1355" hidden="1" customWidth="1"/>
    <col min="10237" max="10237" width="14" style="1355" customWidth="1"/>
    <col min="10238" max="10238" width="14.28515625" style="1355" bestFit="1" customWidth="1"/>
    <col min="10239" max="10239" width="0" style="1355" hidden="1" customWidth="1"/>
    <col min="10240" max="10240" width="15.5703125" style="1355" customWidth="1"/>
    <col min="10241" max="10241" width="44.5703125" style="1355" customWidth="1"/>
    <col min="10242" max="10242" width="14.28515625" style="1355" bestFit="1" customWidth="1"/>
    <col min="10243" max="10243" width="0" style="1355" hidden="1" customWidth="1"/>
    <col min="10244" max="10244" width="18.140625" style="1355" customWidth="1"/>
    <col min="10245" max="10245" width="0" style="1355" hidden="1" customWidth="1"/>
    <col min="10246" max="10246" width="14" style="1355" customWidth="1"/>
    <col min="10247" max="10247" width="0" style="1355" hidden="1" customWidth="1"/>
    <col min="10248" max="10248" width="20.85546875" style="1355" customWidth="1"/>
    <col min="10249" max="10249" width="0" style="1355" hidden="1" customWidth="1"/>
    <col min="10250" max="10250" width="13.28515625" style="1355" customWidth="1"/>
    <col min="10251" max="10251" width="0" style="1355" hidden="1" customWidth="1"/>
    <col min="10252" max="10252" width="15" style="1355" customWidth="1"/>
    <col min="10253" max="10253" width="0" style="1355" hidden="1" customWidth="1"/>
    <col min="10254" max="10254" width="13.28515625" style="1355" customWidth="1"/>
    <col min="10255" max="10255" width="0" style="1355" hidden="1" customWidth="1"/>
    <col min="10256" max="10256" width="20.140625" style="1355" customWidth="1"/>
    <col min="10257" max="10257" width="14.42578125" style="1355" bestFit="1" customWidth="1"/>
    <col min="10258" max="10258" width="14" style="1355" bestFit="1" customWidth="1"/>
    <col min="10259" max="10259" width="12.28515625" style="1355" bestFit="1" customWidth="1"/>
    <col min="10260" max="10284" width="9.140625" style="1355" customWidth="1"/>
    <col min="10285" max="10479" width="8.85546875" style="1355"/>
    <col min="10480" max="10480" width="44.5703125" style="1355" customWidth="1"/>
    <col min="10481" max="10481" width="14.28515625" style="1355" bestFit="1" customWidth="1"/>
    <col min="10482" max="10482" width="1.7109375" style="1355" customWidth="1"/>
    <col min="10483" max="10483" width="14.85546875" style="1355" customWidth="1"/>
    <col min="10484" max="10484" width="0" style="1355" hidden="1" customWidth="1"/>
    <col min="10485" max="10485" width="17.42578125" style="1355" customWidth="1"/>
    <col min="10486" max="10486" width="0" style="1355" hidden="1" customWidth="1"/>
    <col min="10487" max="10487" width="12.85546875" style="1355" customWidth="1"/>
    <col min="10488" max="10488" width="0" style="1355" hidden="1" customWidth="1"/>
    <col min="10489" max="10489" width="14.42578125" style="1355" customWidth="1"/>
    <col min="10490" max="10490" width="0" style="1355" hidden="1" customWidth="1"/>
    <col min="10491" max="10491" width="17.42578125" style="1355" customWidth="1"/>
    <col min="10492" max="10492" width="0" style="1355" hidden="1" customWidth="1"/>
    <col min="10493" max="10493" width="14" style="1355" customWidth="1"/>
    <col min="10494" max="10494" width="14.28515625" style="1355" bestFit="1" customWidth="1"/>
    <col min="10495" max="10495" width="0" style="1355" hidden="1" customWidth="1"/>
    <col min="10496" max="10496" width="15.5703125" style="1355" customWidth="1"/>
    <col min="10497" max="10497" width="44.5703125" style="1355" customWidth="1"/>
    <col min="10498" max="10498" width="14.28515625" style="1355" bestFit="1" customWidth="1"/>
    <col min="10499" max="10499" width="0" style="1355" hidden="1" customWidth="1"/>
    <col min="10500" max="10500" width="18.140625" style="1355" customWidth="1"/>
    <col min="10501" max="10501" width="0" style="1355" hidden="1" customWidth="1"/>
    <col min="10502" max="10502" width="14" style="1355" customWidth="1"/>
    <col min="10503" max="10503" width="0" style="1355" hidden="1" customWidth="1"/>
    <col min="10504" max="10504" width="20.85546875" style="1355" customWidth="1"/>
    <col min="10505" max="10505" width="0" style="1355" hidden="1" customWidth="1"/>
    <col min="10506" max="10506" width="13.28515625" style="1355" customWidth="1"/>
    <col min="10507" max="10507" width="0" style="1355" hidden="1" customWidth="1"/>
    <col min="10508" max="10508" width="15" style="1355" customWidth="1"/>
    <col min="10509" max="10509" width="0" style="1355" hidden="1" customWidth="1"/>
    <col min="10510" max="10510" width="13.28515625" style="1355" customWidth="1"/>
    <col min="10511" max="10511" width="0" style="1355" hidden="1" customWidth="1"/>
    <col min="10512" max="10512" width="20.140625" style="1355" customWidth="1"/>
    <col min="10513" max="10513" width="14.42578125" style="1355" bestFit="1" customWidth="1"/>
    <col min="10514" max="10514" width="14" style="1355" bestFit="1" customWidth="1"/>
    <col min="10515" max="10515" width="12.28515625" style="1355" bestFit="1" customWidth="1"/>
    <col min="10516" max="10540" width="9.140625" style="1355" customWidth="1"/>
    <col min="10541" max="10735" width="8.85546875" style="1355"/>
    <col min="10736" max="10736" width="44.5703125" style="1355" customWidth="1"/>
    <col min="10737" max="10737" width="14.28515625" style="1355" bestFit="1" customWidth="1"/>
    <col min="10738" max="10738" width="1.7109375" style="1355" customWidth="1"/>
    <col min="10739" max="10739" width="14.85546875" style="1355" customWidth="1"/>
    <col min="10740" max="10740" width="0" style="1355" hidden="1" customWidth="1"/>
    <col min="10741" max="10741" width="17.42578125" style="1355" customWidth="1"/>
    <col min="10742" max="10742" width="0" style="1355" hidden="1" customWidth="1"/>
    <col min="10743" max="10743" width="12.85546875" style="1355" customWidth="1"/>
    <col min="10744" max="10744" width="0" style="1355" hidden="1" customWidth="1"/>
    <col min="10745" max="10745" width="14.42578125" style="1355" customWidth="1"/>
    <col min="10746" max="10746" width="0" style="1355" hidden="1" customWidth="1"/>
    <col min="10747" max="10747" width="17.42578125" style="1355" customWidth="1"/>
    <col min="10748" max="10748" width="0" style="1355" hidden="1" customWidth="1"/>
    <col min="10749" max="10749" width="14" style="1355" customWidth="1"/>
    <col min="10750" max="10750" width="14.28515625" style="1355" bestFit="1" customWidth="1"/>
    <col min="10751" max="10751" width="0" style="1355" hidden="1" customWidth="1"/>
    <col min="10752" max="10752" width="15.5703125" style="1355" customWidth="1"/>
    <col min="10753" max="10753" width="44.5703125" style="1355" customWidth="1"/>
    <col min="10754" max="10754" width="14.28515625" style="1355" bestFit="1" customWidth="1"/>
    <col min="10755" max="10755" width="0" style="1355" hidden="1" customWidth="1"/>
    <col min="10756" max="10756" width="18.140625" style="1355" customWidth="1"/>
    <col min="10757" max="10757" width="0" style="1355" hidden="1" customWidth="1"/>
    <col min="10758" max="10758" width="14" style="1355" customWidth="1"/>
    <col min="10759" max="10759" width="0" style="1355" hidden="1" customWidth="1"/>
    <col min="10760" max="10760" width="20.85546875" style="1355" customWidth="1"/>
    <col min="10761" max="10761" width="0" style="1355" hidden="1" customWidth="1"/>
    <col min="10762" max="10762" width="13.28515625" style="1355" customWidth="1"/>
    <col min="10763" max="10763" width="0" style="1355" hidden="1" customWidth="1"/>
    <col min="10764" max="10764" width="15" style="1355" customWidth="1"/>
    <col min="10765" max="10765" width="0" style="1355" hidden="1" customWidth="1"/>
    <col min="10766" max="10766" width="13.28515625" style="1355" customWidth="1"/>
    <col min="10767" max="10767" width="0" style="1355" hidden="1" customWidth="1"/>
    <col min="10768" max="10768" width="20.140625" style="1355" customWidth="1"/>
    <col min="10769" max="10769" width="14.42578125" style="1355" bestFit="1" customWidth="1"/>
    <col min="10770" max="10770" width="14" style="1355" bestFit="1" customWidth="1"/>
    <col min="10771" max="10771" width="12.28515625" style="1355" bestFit="1" customWidth="1"/>
    <col min="10772" max="10796" width="9.140625" style="1355" customWidth="1"/>
    <col min="10797" max="10991" width="8.85546875" style="1355"/>
    <col min="10992" max="10992" width="44.5703125" style="1355" customWidth="1"/>
    <col min="10993" max="10993" width="14.28515625" style="1355" bestFit="1" customWidth="1"/>
    <col min="10994" max="10994" width="1.7109375" style="1355" customWidth="1"/>
    <col min="10995" max="10995" width="14.85546875" style="1355" customWidth="1"/>
    <col min="10996" max="10996" width="0" style="1355" hidden="1" customWidth="1"/>
    <col min="10997" max="10997" width="17.42578125" style="1355" customWidth="1"/>
    <col min="10998" max="10998" width="0" style="1355" hidden="1" customWidth="1"/>
    <col min="10999" max="10999" width="12.85546875" style="1355" customWidth="1"/>
    <col min="11000" max="11000" width="0" style="1355" hidden="1" customWidth="1"/>
    <col min="11001" max="11001" width="14.42578125" style="1355" customWidth="1"/>
    <col min="11002" max="11002" width="0" style="1355" hidden="1" customWidth="1"/>
    <col min="11003" max="11003" width="17.42578125" style="1355" customWidth="1"/>
    <col min="11004" max="11004" width="0" style="1355" hidden="1" customWidth="1"/>
    <col min="11005" max="11005" width="14" style="1355" customWidth="1"/>
    <col min="11006" max="11006" width="14.28515625" style="1355" bestFit="1" customWidth="1"/>
    <col min="11007" max="11007" width="0" style="1355" hidden="1" customWidth="1"/>
    <col min="11008" max="11008" width="15.5703125" style="1355" customWidth="1"/>
    <col min="11009" max="11009" width="44.5703125" style="1355" customWidth="1"/>
    <col min="11010" max="11010" width="14.28515625" style="1355" bestFit="1" customWidth="1"/>
    <col min="11011" max="11011" width="0" style="1355" hidden="1" customWidth="1"/>
    <col min="11012" max="11012" width="18.140625" style="1355" customWidth="1"/>
    <col min="11013" max="11013" width="0" style="1355" hidden="1" customWidth="1"/>
    <col min="11014" max="11014" width="14" style="1355" customWidth="1"/>
    <col min="11015" max="11015" width="0" style="1355" hidden="1" customWidth="1"/>
    <col min="11016" max="11016" width="20.85546875" style="1355" customWidth="1"/>
    <col min="11017" max="11017" width="0" style="1355" hidden="1" customWidth="1"/>
    <col min="11018" max="11018" width="13.28515625" style="1355" customWidth="1"/>
    <col min="11019" max="11019" width="0" style="1355" hidden="1" customWidth="1"/>
    <col min="11020" max="11020" width="15" style="1355" customWidth="1"/>
    <col min="11021" max="11021" width="0" style="1355" hidden="1" customWidth="1"/>
    <col min="11022" max="11022" width="13.28515625" style="1355" customWidth="1"/>
    <col min="11023" max="11023" width="0" style="1355" hidden="1" customWidth="1"/>
    <col min="11024" max="11024" width="20.140625" style="1355" customWidth="1"/>
    <col min="11025" max="11025" width="14.42578125" style="1355" bestFit="1" customWidth="1"/>
    <col min="11026" max="11026" width="14" style="1355" bestFit="1" customWidth="1"/>
    <col min="11027" max="11027" width="12.28515625" style="1355" bestFit="1" customWidth="1"/>
    <col min="11028" max="11052" width="9.140625" style="1355" customWidth="1"/>
    <col min="11053" max="11247" width="8.85546875" style="1355"/>
    <col min="11248" max="11248" width="44.5703125" style="1355" customWidth="1"/>
    <col min="11249" max="11249" width="14.28515625" style="1355" bestFit="1" customWidth="1"/>
    <col min="11250" max="11250" width="1.7109375" style="1355" customWidth="1"/>
    <col min="11251" max="11251" width="14.85546875" style="1355" customWidth="1"/>
    <col min="11252" max="11252" width="0" style="1355" hidden="1" customWidth="1"/>
    <col min="11253" max="11253" width="17.42578125" style="1355" customWidth="1"/>
    <col min="11254" max="11254" width="0" style="1355" hidden="1" customWidth="1"/>
    <col min="11255" max="11255" width="12.85546875" style="1355" customWidth="1"/>
    <col min="11256" max="11256" width="0" style="1355" hidden="1" customWidth="1"/>
    <col min="11257" max="11257" width="14.42578125" style="1355" customWidth="1"/>
    <col min="11258" max="11258" width="0" style="1355" hidden="1" customWidth="1"/>
    <col min="11259" max="11259" width="17.42578125" style="1355" customWidth="1"/>
    <col min="11260" max="11260" width="0" style="1355" hidden="1" customWidth="1"/>
    <col min="11261" max="11261" width="14" style="1355" customWidth="1"/>
    <col min="11262" max="11262" width="14.28515625" style="1355" bestFit="1" customWidth="1"/>
    <col min="11263" max="11263" width="0" style="1355" hidden="1" customWidth="1"/>
    <col min="11264" max="11264" width="15.5703125" style="1355" customWidth="1"/>
    <col min="11265" max="11265" width="44.5703125" style="1355" customWidth="1"/>
    <col min="11266" max="11266" width="14.28515625" style="1355" bestFit="1" customWidth="1"/>
    <col min="11267" max="11267" width="0" style="1355" hidden="1" customWidth="1"/>
    <col min="11268" max="11268" width="18.140625" style="1355" customWidth="1"/>
    <col min="11269" max="11269" width="0" style="1355" hidden="1" customWidth="1"/>
    <col min="11270" max="11270" width="14" style="1355" customWidth="1"/>
    <col min="11271" max="11271" width="0" style="1355" hidden="1" customWidth="1"/>
    <col min="11272" max="11272" width="20.85546875" style="1355" customWidth="1"/>
    <col min="11273" max="11273" width="0" style="1355" hidden="1" customWidth="1"/>
    <col min="11274" max="11274" width="13.28515625" style="1355" customWidth="1"/>
    <col min="11275" max="11275" width="0" style="1355" hidden="1" customWidth="1"/>
    <col min="11276" max="11276" width="15" style="1355" customWidth="1"/>
    <col min="11277" max="11277" width="0" style="1355" hidden="1" customWidth="1"/>
    <col min="11278" max="11278" width="13.28515625" style="1355" customWidth="1"/>
    <col min="11279" max="11279" width="0" style="1355" hidden="1" customWidth="1"/>
    <col min="11280" max="11280" width="20.140625" style="1355" customWidth="1"/>
    <col min="11281" max="11281" width="14.42578125" style="1355" bestFit="1" customWidth="1"/>
    <col min="11282" max="11282" width="14" style="1355" bestFit="1" customWidth="1"/>
    <col min="11283" max="11283" width="12.28515625" style="1355" bestFit="1" customWidth="1"/>
    <col min="11284" max="11308" width="9.140625" style="1355" customWidth="1"/>
    <col min="11309" max="11503" width="8.85546875" style="1355"/>
    <col min="11504" max="11504" width="44.5703125" style="1355" customWidth="1"/>
    <col min="11505" max="11505" width="14.28515625" style="1355" bestFit="1" customWidth="1"/>
    <col min="11506" max="11506" width="1.7109375" style="1355" customWidth="1"/>
    <col min="11507" max="11507" width="14.85546875" style="1355" customWidth="1"/>
    <col min="11508" max="11508" width="0" style="1355" hidden="1" customWidth="1"/>
    <col min="11509" max="11509" width="17.42578125" style="1355" customWidth="1"/>
    <col min="11510" max="11510" width="0" style="1355" hidden="1" customWidth="1"/>
    <col min="11511" max="11511" width="12.85546875" style="1355" customWidth="1"/>
    <col min="11512" max="11512" width="0" style="1355" hidden="1" customWidth="1"/>
    <col min="11513" max="11513" width="14.42578125" style="1355" customWidth="1"/>
    <col min="11514" max="11514" width="0" style="1355" hidden="1" customWidth="1"/>
    <col min="11515" max="11515" width="17.42578125" style="1355" customWidth="1"/>
    <col min="11516" max="11516" width="0" style="1355" hidden="1" customWidth="1"/>
    <col min="11517" max="11517" width="14" style="1355" customWidth="1"/>
    <col min="11518" max="11518" width="14.28515625" style="1355" bestFit="1" customWidth="1"/>
    <col min="11519" max="11519" width="0" style="1355" hidden="1" customWidth="1"/>
    <col min="11520" max="11520" width="15.5703125" style="1355" customWidth="1"/>
    <col min="11521" max="11521" width="44.5703125" style="1355" customWidth="1"/>
    <col min="11522" max="11522" width="14.28515625" style="1355" bestFit="1" customWidth="1"/>
    <col min="11523" max="11523" width="0" style="1355" hidden="1" customWidth="1"/>
    <col min="11524" max="11524" width="18.140625" style="1355" customWidth="1"/>
    <col min="11525" max="11525" width="0" style="1355" hidden="1" customWidth="1"/>
    <col min="11526" max="11526" width="14" style="1355" customWidth="1"/>
    <col min="11527" max="11527" width="0" style="1355" hidden="1" customWidth="1"/>
    <col min="11528" max="11528" width="20.85546875" style="1355" customWidth="1"/>
    <col min="11529" max="11529" width="0" style="1355" hidden="1" customWidth="1"/>
    <col min="11530" max="11530" width="13.28515625" style="1355" customWidth="1"/>
    <col min="11531" max="11531" width="0" style="1355" hidden="1" customWidth="1"/>
    <col min="11532" max="11532" width="15" style="1355" customWidth="1"/>
    <col min="11533" max="11533" width="0" style="1355" hidden="1" customWidth="1"/>
    <col min="11534" max="11534" width="13.28515625" style="1355" customWidth="1"/>
    <col min="11535" max="11535" width="0" style="1355" hidden="1" customWidth="1"/>
    <col min="11536" max="11536" width="20.140625" style="1355" customWidth="1"/>
    <col min="11537" max="11537" width="14.42578125" style="1355" bestFit="1" customWidth="1"/>
    <col min="11538" max="11538" width="14" style="1355" bestFit="1" customWidth="1"/>
    <col min="11539" max="11539" width="12.28515625" style="1355" bestFit="1" customWidth="1"/>
    <col min="11540" max="11564" width="9.140625" style="1355" customWidth="1"/>
    <col min="11565" max="11759" width="8.85546875" style="1355"/>
    <col min="11760" max="11760" width="44.5703125" style="1355" customWidth="1"/>
    <col min="11761" max="11761" width="14.28515625" style="1355" bestFit="1" customWidth="1"/>
    <col min="11762" max="11762" width="1.7109375" style="1355" customWidth="1"/>
    <col min="11763" max="11763" width="14.85546875" style="1355" customWidth="1"/>
    <col min="11764" max="11764" width="0" style="1355" hidden="1" customWidth="1"/>
    <col min="11765" max="11765" width="17.42578125" style="1355" customWidth="1"/>
    <col min="11766" max="11766" width="0" style="1355" hidden="1" customWidth="1"/>
    <col min="11767" max="11767" width="12.85546875" style="1355" customWidth="1"/>
    <col min="11768" max="11768" width="0" style="1355" hidden="1" customWidth="1"/>
    <col min="11769" max="11769" width="14.42578125" style="1355" customWidth="1"/>
    <col min="11770" max="11770" width="0" style="1355" hidden="1" customWidth="1"/>
    <col min="11771" max="11771" width="17.42578125" style="1355" customWidth="1"/>
    <col min="11772" max="11772" width="0" style="1355" hidden="1" customWidth="1"/>
    <col min="11773" max="11773" width="14" style="1355" customWidth="1"/>
    <col min="11774" max="11774" width="14.28515625" style="1355" bestFit="1" customWidth="1"/>
    <col min="11775" max="11775" width="0" style="1355" hidden="1" customWidth="1"/>
    <col min="11776" max="11776" width="15.5703125" style="1355" customWidth="1"/>
    <col min="11777" max="11777" width="44.5703125" style="1355" customWidth="1"/>
    <col min="11778" max="11778" width="14.28515625" style="1355" bestFit="1" customWidth="1"/>
    <col min="11779" max="11779" width="0" style="1355" hidden="1" customWidth="1"/>
    <col min="11780" max="11780" width="18.140625" style="1355" customWidth="1"/>
    <col min="11781" max="11781" width="0" style="1355" hidden="1" customWidth="1"/>
    <col min="11782" max="11782" width="14" style="1355" customWidth="1"/>
    <col min="11783" max="11783" width="0" style="1355" hidden="1" customWidth="1"/>
    <col min="11784" max="11784" width="20.85546875" style="1355" customWidth="1"/>
    <col min="11785" max="11785" width="0" style="1355" hidden="1" customWidth="1"/>
    <col min="11786" max="11786" width="13.28515625" style="1355" customWidth="1"/>
    <col min="11787" max="11787" width="0" style="1355" hidden="1" customWidth="1"/>
    <col min="11788" max="11788" width="15" style="1355" customWidth="1"/>
    <col min="11789" max="11789" width="0" style="1355" hidden="1" customWidth="1"/>
    <col min="11790" max="11790" width="13.28515625" style="1355" customWidth="1"/>
    <col min="11791" max="11791" width="0" style="1355" hidden="1" customWidth="1"/>
    <col min="11792" max="11792" width="20.140625" style="1355" customWidth="1"/>
    <col min="11793" max="11793" width="14.42578125" style="1355" bestFit="1" customWidth="1"/>
    <col min="11794" max="11794" width="14" style="1355" bestFit="1" customWidth="1"/>
    <col min="11795" max="11795" width="12.28515625" style="1355" bestFit="1" customWidth="1"/>
    <col min="11796" max="11820" width="9.140625" style="1355" customWidth="1"/>
    <col min="11821" max="12015" width="8.85546875" style="1355"/>
    <col min="12016" max="12016" width="44.5703125" style="1355" customWidth="1"/>
    <col min="12017" max="12017" width="14.28515625" style="1355" bestFit="1" customWidth="1"/>
    <col min="12018" max="12018" width="1.7109375" style="1355" customWidth="1"/>
    <col min="12019" max="12019" width="14.85546875" style="1355" customWidth="1"/>
    <col min="12020" max="12020" width="0" style="1355" hidden="1" customWidth="1"/>
    <col min="12021" max="12021" width="17.42578125" style="1355" customWidth="1"/>
    <col min="12022" max="12022" width="0" style="1355" hidden="1" customWidth="1"/>
    <col min="12023" max="12023" width="12.85546875" style="1355" customWidth="1"/>
    <col min="12024" max="12024" width="0" style="1355" hidden="1" customWidth="1"/>
    <col min="12025" max="12025" width="14.42578125" style="1355" customWidth="1"/>
    <col min="12026" max="12026" width="0" style="1355" hidden="1" customWidth="1"/>
    <col min="12027" max="12027" width="17.42578125" style="1355" customWidth="1"/>
    <col min="12028" max="12028" width="0" style="1355" hidden="1" customWidth="1"/>
    <col min="12029" max="12029" width="14" style="1355" customWidth="1"/>
    <col min="12030" max="12030" width="14.28515625" style="1355" bestFit="1" customWidth="1"/>
    <col min="12031" max="12031" width="0" style="1355" hidden="1" customWidth="1"/>
    <col min="12032" max="12032" width="15.5703125" style="1355" customWidth="1"/>
    <col min="12033" max="12033" width="44.5703125" style="1355" customWidth="1"/>
    <col min="12034" max="12034" width="14.28515625" style="1355" bestFit="1" customWidth="1"/>
    <col min="12035" max="12035" width="0" style="1355" hidden="1" customWidth="1"/>
    <col min="12036" max="12036" width="18.140625" style="1355" customWidth="1"/>
    <col min="12037" max="12037" width="0" style="1355" hidden="1" customWidth="1"/>
    <col min="12038" max="12038" width="14" style="1355" customWidth="1"/>
    <col min="12039" max="12039" width="0" style="1355" hidden="1" customWidth="1"/>
    <col min="12040" max="12040" width="20.85546875" style="1355" customWidth="1"/>
    <col min="12041" max="12041" width="0" style="1355" hidden="1" customWidth="1"/>
    <col min="12042" max="12042" width="13.28515625" style="1355" customWidth="1"/>
    <col min="12043" max="12043" width="0" style="1355" hidden="1" customWidth="1"/>
    <col min="12044" max="12044" width="15" style="1355" customWidth="1"/>
    <col min="12045" max="12045" width="0" style="1355" hidden="1" customWidth="1"/>
    <col min="12046" max="12046" width="13.28515625" style="1355" customWidth="1"/>
    <col min="12047" max="12047" width="0" style="1355" hidden="1" customWidth="1"/>
    <col min="12048" max="12048" width="20.140625" style="1355" customWidth="1"/>
    <col min="12049" max="12049" width="14.42578125" style="1355" bestFit="1" customWidth="1"/>
    <col min="12050" max="12050" width="14" style="1355" bestFit="1" customWidth="1"/>
    <col min="12051" max="12051" width="12.28515625" style="1355" bestFit="1" customWidth="1"/>
    <col min="12052" max="12076" width="9.140625" style="1355" customWidth="1"/>
    <col min="12077" max="12271" width="8.85546875" style="1355"/>
    <col min="12272" max="12272" width="44.5703125" style="1355" customWidth="1"/>
    <col min="12273" max="12273" width="14.28515625" style="1355" bestFit="1" customWidth="1"/>
    <col min="12274" max="12274" width="1.7109375" style="1355" customWidth="1"/>
    <col min="12275" max="12275" width="14.85546875" style="1355" customWidth="1"/>
    <col min="12276" max="12276" width="0" style="1355" hidden="1" customWidth="1"/>
    <col min="12277" max="12277" width="17.42578125" style="1355" customWidth="1"/>
    <col min="12278" max="12278" width="0" style="1355" hidden="1" customWidth="1"/>
    <col min="12279" max="12279" width="12.85546875" style="1355" customWidth="1"/>
    <col min="12280" max="12280" width="0" style="1355" hidden="1" customWidth="1"/>
    <col min="12281" max="12281" width="14.42578125" style="1355" customWidth="1"/>
    <col min="12282" max="12282" width="0" style="1355" hidden="1" customWidth="1"/>
    <col min="12283" max="12283" width="17.42578125" style="1355" customWidth="1"/>
    <col min="12284" max="12284" width="0" style="1355" hidden="1" customWidth="1"/>
    <col min="12285" max="12285" width="14" style="1355" customWidth="1"/>
    <col min="12286" max="12286" width="14.28515625" style="1355" bestFit="1" customWidth="1"/>
    <col min="12287" max="12287" width="0" style="1355" hidden="1" customWidth="1"/>
    <col min="12288" max="12288" width="15.5703125" style="1355" customWidth="1"/>
    <col min="12289" max="12289" width="44.5703125" style="1355" customWidth="1"/>
    <col min="12290" max="12290" width="14.28515625" style="1355" bestFit="1" customWidth="1"/>
    <col min="12291" max="12291" width="0" style="1355" hidden="1" customWidth="1"/>
    <col min="12292" max="12292" width="18.140625" style="1355" customWidth="1"/>
    <col min="12293" max="12293" width="0" style="1355" hidden="1" customWidth="1"/>
    <col min="12294" max="12294" width="14" style="1355" customWidth="1"/>
    <col min="12295" max="12295" width="0" style="1355" hidden="1" customWidth="1"/>
    <col min="12296" max="12296" width="20.85546875" style="1355" customWidth="1"/>
    <col min="12297" max="12297" width="0" style="1355" hidden="1" customWidth="1"/>
    <col min="12298" max="12298" width="13.28515625" style="1355" customWidth="1"/>
    <col min="12299" max="12299" width="0" style="1355" hidden="1" customWidth="1"/>
    <col min="12300" max="12300" width="15" style="1355" customWidth="1"/>
    <col min="12301" max="12301" width="0" style="1355" hidden="1" customWidth="1"/>
    <col min="12302" max="12302" width="13.28515625" style="1355" customWidth="1"/>
    <col min="12303" max="12303" width="0" style="1355" hidden="1" customWidth="1"/>
    <col min="12304" max="12304" width="20.140625" style="1355" customWidth="1"/>
    <col min="12305" max="12305" width="14.42578125" style="1355" bestFit="1" customWidth="1"/>
    <col min="12306" max="12306" width="14" style="1355" bestFit="1" customWidth="1"/>
    <col min="12307" max="12307" width="12.28515625" style="1355" bestFit="1" customWidth="1"/>
    <col min="12308" max="12332" width="9.140625" style="1355" customWidth="1"/>
    <col min="12333" max="12527" width="8.85546875" style="1355"/>
    <col min="12528" max="12528" width="44.5703125" style="1355" customWidth="1"/>
    <col min="12529" max="12529" width="14.28515625" style="1355" bestFit="1" customWidth="1"/>
    <col min="12530" max="12530" width="1.7109375" style="1355" customWidth="1"/>
    <col min="12531" max="12531" width="14.85546875" style="1355" customWidth="1"/>
    <col min="12532" max="12532" width="0" style="1355" hidden="1" customWidth="1"/>
    <col min="12533" max="12533" width="17.42578125" style="1355" customWidth="1"/>
    <col min="12534" max="12534" width="0" style="1355" hidden="1" customWidth="1"/>
    <col min="12535" max="12535" width="12.85546875" style="1355" customWidth="1"/>
    <col min="12536" max="12536" width="0" style="1355" hidden="1" customWidth="1"/>
    <col min="12537" max="12537" width="14.42578125" style="1355" customWidth="1"/>
    <col min="12538" max="12538" width="0" style="1355" hidden="1" customWidth="1"/>
    <col min="12539" max="12539" width="17.42578125" style="1355" customWidth="1"/>
    <col min="12540" max="12540" width="0" style="1355" hidden="1" customWidth="1"/>
    <col min="12541" max="12541" width="14" style="1355" customWidth="1"/>
    <col min="12542" max="12542" width="14.28515625" style="1355" bestFit="1" customWidth="1"/>
    <col min="12543" max="12543" width="0" style="1355" hidden="1" customWidth="1"/>
    <col min="12544" max="12544" width="15.5703125" style="1355" customWidth="1"/>
    <col min="12545" max="12545" width="44.5703125" style="1355" customWidth="1"/>
    <col min="12546" max="12546" width="14.28515625" style="1355" bestFit="1" customWidth="1"/>
    <col min="12547" max="12547" width="0" style="1355" hidden="1" customWidth="1"/>
    <col min="12548" max="12548" width="18.140625" style="1355" customWidth="1"/>
    <col min="12549" max="12549" width="0" style="1355" hidden="1" customWidth="1"/>
    <col min="12550" max="12550" width="14" style="1355" customWidth="1"/>
    <col min="12551" max="12551" width="0" style="1355" hidden="1" customWidth="1"/>
    <col min="12552" max="12552" width="20.85546875" style="1355" customWidth="1"/>
    <col min="12553" max="12553" width="0" style="1355" hidden="1" customWidth="1"/>
    <col min="12554" max="12554" width="13.28515625" style="1355" customWidth="1"/>
    <col min="12555" max="12555" width="0" style="1355" hidden="1" customWidth="1"/>
    <col min="12556" max="12556" width="15" style="1355" customWidth="1"/>
    <col min="12557" max="12557" width="0" style="1355" hidden="1" customWidth="1"/>
    <col min="12558" max="12558" width="13.28515625" style="1355" customWidth="1"/>
    <col min="12559" max="12559" width="0" style="1355" hidden="1" customWidth="1"/>
    <col min="12560" max="12560" width="20.140625" style="1355" customWidth="1"/>
    <col min="12561" max="12561" width="14.42578125" style="1355" bestFit="1" customWidth="1"/>
    <col min="12562" max="12562" width="14" style="1355" bestFit="1" customWidth="1"/>
    <col min="12563" max="12563" width="12.28515625" style="1355" bestFit="1" customWidth="1"/>
    <col min="12564" max="12588" width="9.140625" style="1355" customWidth="1"/>
    <col min="12589" max="12783" width="8.85546875" style="1355"/>
    <col min="12784" max="12784" width="44.5703125" style="1355" customWidth="1"/>
    <col min="12785" max="12785" width="14.28515625" style="1355" bestFit="1" customWidth="1"/>
    <col min="12786" max="12786" width="1.7109375" style="1355" customWidth="1"/>
    <col min="12787" max="12787" width="14.85546875" style="1355" customWidth="1"/>
    <col min="12788" max="12788" width="0" style="1355" hidden="1" customWidth="1"/>
    <col min="12789" max="12789" width="17.42578125" style="1355" customWidth="1"/>
    <col min="12790" max="12790" width="0" style="1355" hidden="1" customWidth="1"/>
    <col min="12791" max="12791" width="12.85546875" style="1355" customWidth="1"/>
    <col min="12792" max="12792" width="0" style="1355" hidden="1" customWidth="1"/>
    <col min="12793" max="12793" width="14.42578125" style="1355" customWidth="1"/>
    <col min="12794" max="12794" width="0" style="1355" hidden="1" customWidth="1"/>
    <col min="12795" max="12795" width="17.42578125" style="1355" customWidth="1"/>
    <col min="12796" max="12796" width="0" style="1355" hidden="1" customWidth="1"/>
    <col min="12797" max="12797" width="14" style="1355" customWidth="1"/>
    <col min="12798" max="12798" width="14.28515625" style="1355" bestFit="1" customWidth="1"/>
    <col min="12799" max="12799" width="0" style="1355" hidden="1" customWidth="1"/>
    <col min="12800" max="12800" width="15.5703125" style="1355" customWidth="1"/>
    <col min="12801" max="12801" width="44.5703125" style="1355" customWidth="1"/>
    <col min="12802" max="12802" width="14.28515625" style="1355" bestFit="1" customWidth="1"/>
    <col min="12803" max="12803" width="0" style="1355" hidden="1" customWidth="1"/>
    <col min="12804" max="12804" width="18.140625" style="1355" customWidth="1"/>
    <col min="12805" max="12805" width="0" style="1355" hidden="1" customWidth="1"/>
    <col min="12806" max="12806" width="14" style="1355" customWidth="1"/>
    <col min="12807" max="12807" width="0" style="1355" hidden="1" customWidth="1"/>
    <col min="12808" max="12808" width="20.85546875" style="1355" customWidth="1"/>
    <col min="12809" max="12809" width="0" style="1355" hidden="1" customWidth="1"/>
    <col min="12810" max="12810" width="13.28515625" style="1355" customWidth="1"/>
    <col min="12811" max="12811" width="0" style="1355" hidden="1" customWidth="1"/>
    <col min="12812" max="12812" width="15" style="1355" customWidth="1"/>
    <col min="12813" max="12813" width="0" style="1355" hidden="1" customWidth="1"/>
    <col min="12814" max="12814" width="13.28515625" style="1355" customWidth="1"/>
    <col min="12815" max="12815" width="0" style="1355" hidden="1" customWidth="1"/>
    <col min="12816" max="12816" width="20.140625" style="1355" customWidth="1"/>
    <col min="12817" max="12817" width="14.42578125" style="1355" bestFit="1" customWidth="1"/>
    <col min="12818" max="12818" width="14" style="1355" bestFit="1" customWidth="1"/>
    <col min="12819" max="12819" width="12.28515625" style="1355" bestFit="1" customWidth="1"/>
    <col min="12820" max="12844" width="9.140625" style="1355" customWidth="1"/>
    <col min="12845" max="13039" width="8.85546875" style="1355"/>
    <col min="13040" max="13040" width="44.5703125" style="1355" customWidth="1"/>
    <col min="13041" max="13041" width="14.28515625" style="1355" bestFit="1" customWidth="1"/>
    <col min="13042" max="13042" width="1.7109375" style="1355" customWidth="1"/>
    <col min="13043" max="13043" width="14.85546875" style="1355" customWidth="1"/>
    <col min="13044" max="13044" width="0" style="1355" hidden="1" customWidth="1"/>
    <col min="13045" max="13045" width="17.42578125" style="1355" customWidth="1"/>
    <col min="13046" max="13046" width="0" style="1355" hidden="1" customWidth="1"/>
    <col min="13047" max="13047" width="12.85546875" style="1355" customWidth="1"/>
    <col min="13048" max="13048" width="0" style="1355" hidden="1" customWidth="1"/>
    <col min="13049" max="13049" width="14.42578125" style="1355" customWidth="1"/>
    <col min="13050" max="13050" width="0" style="1355" hidden="1" customWidth="1"/>
    <col min="13051" max="13051" width="17.42578125" style="1355" customWidth="1"/>
    <col min="13052" max="13052" width="0" style="1355" hidden="1" customWidth="1"/>
    <col min="13053" max="13053" width="14" style="1355" customWidth="1"/>
    <col min="13054" max="13054" width="14.28515625" style="1355" bestFit="1" customWidth="1"/>
    <col min="13055" max="13055" width="0" style="1355" hidden="1" customWidth="1"/>
    <col min="13056" max="13056" width="15.5703125" style="1355" customWidth="1"/>
    <col min="13057" max="13057" width="44.5703125" style="1355" customWidth="1"/>
    <col min="13058" max="13058" width="14.28515625" style="1355" bestFit="1" customWidth="1"/>
    <col min="13059" max="13059" width="0" style="1355" hidden="1" customWidth="1"/>
    <col min="13060" max="13060" width="18.140625" style="1355" customWidth="1"/>
    <col min="13061" max="13061" width="0" style="1355" hidden="1" customWidth="1"/>
    <col min="13062" max="13062" width="14" style="1355" customWidth="1"/>
    <col min="13063" max="13063" width="0" style="1355" hidden="1" customWidth="1"/>
    <col min="13064" max="13064" width="20.85546875" style="1355" customWidth="1"/>
    <col min="13065" max="13065" width="0" style="1355" hidden="1" customWidth="1"/>
    <col min="13066" max="13066" width="13.28515625" style="1355" customWidth="1"/>
    <col min="13067" max="13067" width="0" style="1355" hidden="1" customWidth="1"/>
    <col min="13068" max="13068" width="15" style="1355" customWidth="1"/>
    <col min="13069" max="13069" width="0" style="1355" hidden="1" customWidth="1"/>
    <col min="13070" max="13070" width="13.28515625" style="1355" customWidth="1"/>
    <col min="13071" max="13071" width="0" style="1355" hidden="1" customWidth="1"/>
    <col min="13072" max="13072" width="20.140625" style="1355" customWidth="1"/>
    <col min="13073" max="13073" width="14.42578125" style="1355" bestFit="1" customWidth="1"/>
    <col min="13074" max="13074" width="14" style="1355" bestFit="1" customWidth="1"/>
    <col min="13075" max="13075" width="12.28515625" style="1355" bestFit="1" customWidth="1"/>
    <col min="13076" max="13100" width="9.140625" style="1355" customWidth="1"/>
    <col min="13101" max="13295" width="8.85546875" style="1355"/>
    <col min="13296" max="13296" width="44.5703125" style="1355" customWidth="1"/>
    <col min="13297" max="13297" width="14.28515625" style="1355" bestFit="1" customWidth="1"/>
    <col min="13298" max="13298" width="1.7109375" style="1355" customWidth="1"/>
    <col min="13299" max="13299" width="14.85546875" style="1355" customWidth="1"/>
    <col min="13300" max="13300" width="0" style="1355" hidden="1" customWidth="1"/>
    <col min="13301" max="13301" width="17.42578125" style="1355" customWidth="1"/>
    <col min="13302" max="13302" width="0" style="1355" hidden="1" customWidth="1"/>
    <col min="13303" max="13303" width="12.85546875" style="1355" customWidth="1"/>
    <col min="13304" max="13304" width="0" style="1355" hidden="1" customWidth="1"/>
    <col min="13305" max="13305" width="14.42578125" style="1355" customWidth="1"/>
    <col min="13306" max="13306" width="0" style="1355" hidden="1" customWidth="1"/>
    <col min="13307" max="13307" width="17.42578125" style="1355" customWidth="1"/>
    <col min="13308" max="13308" width="0" style="1355" hidden="1" customWidth="1"/>
    <col min="13309" max="13309" width="14" style="1355" customWidth="1"/>
    <col min="13310" max="13310" width="14.28515625" style="1355" bestFit="1" customWidth="1"/>
    <col min="13311" max="13311" width="0" style="1355" hidden="1" customWidth="1"/>
    <col min="13312" max="13312" width="15.5703125" style="1355" customWidth="1"/>
    <col min="13313" max="13313" width="44.5703125" style="1355" customWidth="1"/>
    <col min="13314" max="13314" width="14.28515625" style="1355" bestFit="1" customWidth="1"/>
    <col min="13315" max="13315" width="0" style="1355" hidden="1" customWidth="1"/>
    <col min="13316" max="13316" width="18.140625" style="1355" customWidth="1"/>
    <col min="13317" max="13317" width="0" style="1355" hidden="1" customWidth="1"/>
    <col min="13318" max="13318" width="14" style="1355" customWidth="1"/>
    <col min="13319" max="13319" width="0" style="1355" hidden="1" customWidth="1"/>
    <col min="13320" max="13320" width="20.85546875" style="1355" customWidth="1"/>
    <col min="13321" max="13321" width="0" style="1355" hidden="1" customWidth="1"/>
    <col min="13322" max="13322" width="13.28515625" style="1355" customWidth="1"/>
    <col min="13323" max="13323" width="0" style="1355" hidden="1" customWidth="1"/>
    <col min="13324" max="13324" width="15" style="1355" customWidth="1"/>
    <col min="13325" max="13325" width="0" style="1355" hidden="1" customWidth="1"/>
    <col min="13326" max="13326" width="13.28515625" style="1355" customWidth="1"/>
    <col min="13327" max="13327" width="0" style="1355" hidden="1" customWidth="1"/>
    <col min="13328" max="13328" width="20.140625" style="1355" customWidth="1"/>
    <col min="13329" max="13329" width="14.42578125" style="1355" bestFit="1" customWidth="1"/>
    <col min="13330" max="13330" width="14" style="1355" bestFit="1" customWidth="1"/>
    <col min="13331" max="13331" width="12.28515625" style="1355" bestFit="1" customWidth="1"/>
    <col min="13332" max="13356" width="9.140625" style="1355" customWidth="1"/>
    <col min="13357" max="13551" width="8.85546875" style="1355"/>
    <col min="13552" max="13552" width="44.5703125" style="1355" customWidth="1"/>
    <col min="13553" max="13553" width="14.28515625" style="1355" bestFit="1" customWidth="1"/>
    <col min="13554" max="13554" width="1.7109375" style="1355" customWidth="1"/>
    <col min="13555" max="13555" width="14.85546875" style="1355" customWidth="1"/>
    <col min="13556" max="13556" width="0" style="1355" hidden="1" customWidth="1"/>
    <col min="13557" max="13557" width="17.42578125" style="1355" customWidth="1"/>
    <col min="13558" max="13558" width="0" style="1355" hidden="1" customWidth="1"/>
    <col min="13559" max="13559" width="12.85546875" style="1355" customWidth="1"/>
    <col min="13560" max="13560" width="0" style="1355" hidden="1" customWidth="1"/>
    <col min="13561" max="13561" width="14.42578125" style="1355" customWidth="1"/>
    <col min="13562" max="13562" width="0" style="1355" hidden="1" customWidth="1"/>
    <col min="13563" max="13563" width="17.42578125" style="1355" customWidth="1"/>
    <col min="13564" max="13564" width="0" style="1355" hidden="1" customWidth="1"/>
    <col min="13565" max="13565" width="14" style="1355" customWidth="1"/>
    <col min="13566" max="13566" width="14.28515625" style="1355" bestFit="1" customWidth="1"/>
    <col min="13567" max="13567" width="0" style="1355" hidden="1" customWidth="1"/>
    <col min="13568" max="13568" width="15.5703125" style="1355" customWidth="1"/>
    <col min="13569" max="13569" width="44.5703125" style="1355" customWidth="1"/>
    <col min="13570" max="13570" width="14.28515625" style="1355" bestFit="1" customWidth="1"/>
    <col min="13571" max="13571" width="0" style="1355" hidden="1" customWidth="1"/>
    <col min="13572" max="13572" width="18.140625" style="1355" customWidth="1"/>
    <col min="13573" max="13573" width="0" style="1355" hidden="1" customWidth="1"/>
    <col min="13574" max="13574" width="14" style="1355" customWidth="1"/>
    <col min="13575" max="13575" width="0" style="1355" hidden="1" customWidth="1"/>
    <col min="13576" max="13576" width="20.85546875" style="1355" customWidth="1"/>
    <col min="13577" max="13577" width="0" style="1355" hidden="1" customWidth="1"/>
    <col min="13578" max="13578" width="13.28515625" style="1355" customWidth="1"/>
    <col min="13579" max="13579" width="0" style="1355" hidden="1" customWidth="1"/>
    <col min="13580" max="13580" width="15" style="1355" customWidth="1"/>
    <col min="13581" max="13581" width="0" style="1355" hidden="1" customWidth="1"/>
    <col min="13582" max="13582" width="13.28515625" style="1355" customWidth="1"/>
    <col min="13583" max="13583" width="0" style="1355" hidden="1" customWidth="1"/>
    <col min="13584" max="13584" width="20.140625" style="1355" customWidth="1"/>
    <col min="13585" max="13585" width="14.42578125" style="1355" bestFit="1" customWidth="1"/>
    <col min="13586" max="13586" width="14" style="1355" bestFit="1" customWidth="1"/>
    <col min="13587" max="13587" width="12.28515625" style="1355" bestFit="1" customWidth="1"/>
    <col min="13588" max="13612" width="9.140625" style="1355" customWidth="1"/>
    <col min="13613" max="13807" width="8.85546875" style="1355"/>
    <col min="13808" max="13808" width="44.5703125" style="1355" customWidth="1"/>
    <col min="13809" max="13809" width="14.28515625" style="1355" bestFit="1" customWidth="1"/>
    <col min="13810" max="13810" width="1.7109375" style="1355" customWidth="1"/>
    <col min="13811" max="13811" width="14.85546875" style="1355" customWidth="1"/>
    <col min="13812" max="13812" width="0" style="1355" hidden="1" customWidth="1"/>
    <col min="13813" max="13813" width="17.42578125" style="1355" customWidth="1"/>
    <col min="13814" max="13814" width="0" style="1355" hidden="1" customWidth="1"/>
    <col min="13815" max="13815" width="12.85546875" style="1355" customWidth="1"/>
    <col min="13816" max="13816" width="0" style="1355" hidden="1" customWidth="1"/>
    <col min="13817" max="13817" width="14.42578125" style="1355" customWidth="1"/>
    <col min="13818" max="13818" width="0" style="1355" hidden="1" customWidth="1"/>
    <col min="13819" max="13819" width="17.42578125" style="1355" customWidth="1"/>
    <col min="13820" max="13820" width="0" style="1355" hidden="1" customWidth="1"/>
    <col min="13821" max="13821" width="14" style="1355" customWidth="1"/>
    <col min="13822" max="13822" width="14.28515625" style="1355" bestFit="1" customWidth="1"/>
    <col min="13823" max="13823" width="0" style="1355" hidden="1" customWidth="1"/>
    <col min="13824" max="13824" width="15.5703125" style="1355" customWidth="1"/>
    <col min="13825" max="13825" width="44.5703125" style="1355" customWidth="1"/>
    <col min="13826" max="13826" width="14.28515625" style="1355" bestFit="1" customWidth="1"/>
    <col min="13827" max="13827" width="0" style="1355" hidden="1" customWidth="1"/>
    <col min="13828" max="13828" width="18.140625" style="1355" customWidth="1"/>
    <col min="13829" max="13829" width="0" style="1355" hidden="1" customWidth="1"/>
    <col min="13830" max="13830" width="14" style="1355" customWidth="1"/>
    <col min="13831" max="13831" width="0" style="1355" hidden="1" customWidth="1"/>
    <col min="13832" max="13832" width="20.85546875" style="1355" customWidth="1"/>
    <col min="13833" max="13833" width="0" style="1355" hidden="1" customWidth="1"/>
    <col min="13834" max="13834" width="13.28515625" style="1355" customWidth="1"/>
    <col min="13835" max="13835" width="0" style="1355" hidden="1" customWidth="1"/>
    <col min="13836" max="13836" width="15" style="1355" customWidth="1"/>
    <col min="13837" max="13837" width="0" style="1355" hidden="1" customWidth="1"/>
    <col min="13838" max="13838" width="13.28515625" style="1355" customWidth="1"/>
    <col min="13839" max="13839" width="0" style="1355" hidden="1" customWidth="1"/>
    <col min="13840" max="13840" width="20.140625" style="1355" customWidth="1"/>
    <col min="13841" max="13841" width="14.42578125" style="1355" bestFit="1" customWidth="1"/>
    <col min="13842" max="13842" width="14" style="1355" bestFit="1" customWidth="1"/>
    <col min="13843" max="13843" width="12.28515625" style="1355" bestFit="1" customWidth="1"/>
    <col min="13844" max="13868" width="9.140625" style="1355" customWidth="1"/>
    <col min="13869" max="14063" width="8.85546875" style="1355"/>
    <col min="14064" max="14064" width="44.5703125" style="1355" customWidth="1"/>
    <col min="14065" max="14065" width="14.28515625" style="1355" bestFit="1" customWidth="1"/>
    <col min="14066" max="14066" width="1.7109375" style="1355" customWidth="1"/>
    <col min="14067" max="14067" width="14.85546875" style="1355" customWidth="1"/>
    <col min="14068" max="14068" width="0" style="1355" hidden="1" customWidth="1"/>
    <col min="14069" max="14069" width="17.42578125" style="1355" customWidth="1"/>
    <col min="14070" max="14070" width="0" style="1355" hidden="1" customWidth="1"/>
    <col min="14071" max="14071" width="12.85546875" style="1355" customWidth="1"/>
    <col min="14072" max="14072" width="0" style="1355" hidden="1" customWidth="1"/>
    <col min="14073" max="14073" width="14.42578125" style="1355" customWidth="1"/>
    <col min="14074" max="14074" width="0" style="1355" hidden="1" customWidth="1"/>
    <col min="14075" max="14075" width="17.42578125" style="1355" customWidth="1"/>
    <col min="14076" max="14076" width="0" style="1355" hidden="1" customWidth="1"/>
    <col min="14077" max="14077" width="14" style="1355" customWidth="1"/>
    <col min="14078" max="14078" width="14.28515625" style="1355" bestFit="1" customWidth="1"/>
    <col min="14079" max="14079" width="0" style="1355" hidden="1" customWidth="1"/>
    <col min="14080" max="14080" width="15.5703125" style="1355" customWidth="1"/>
    <col min="14081" max="14081" width="44.5703125" style="1355" customWidth="1"/>
    <col min="14082" max="14082" width="14.28515625" style="1355" bestFit="1" customWidth="1"/>
    <col min="14083" max="14083" width="0" style="1355" hidden="1" customWidth="1"/>
    <col min="14084" max="14084" width="18.140625" style="1355" customWidth="1"/>
    <col min="14085" max="14085" width="0" style="1355" hidden="1" customWidth="1"/>
    <col min="14086" max="14086" width="14" style="1355" customWidth="1"/>
    <col min="14087" max="14087" width="0" style="1355" hidden="1" customWidth="1"/>
    <col min="14088" max="14088" width="20.85546875" style="1355" customWidth="1"/>
    <col min="14089" max="14089" width="0" style="1355" hidden="1" customWidth="1"/>
    <col min="14090" max="14090" width="13.28515625" style="1355" customWidth="1"/>
    <col min="14091" max="14091" width="0" style="1355" hidden="1" customWidth="1"/>
    <col min="14092" max="14092" width="15" style="1355" customWidth="1"/>
    <col min="14093" max="14093" width="0" style="1355" hidden="1" customWidth="1"/>
    <col min="14094" max="14094" width="13.28515625" style="1355" customWidth="1"/>
    <col min="14095" max="14095" width="0" style="1355" hidden="1" customWidth="1"/>
    <col min="14096" max="14096" width="20.140625" style="1355" customWidth="1"/>
    <col min="14097" max="14097" width="14.42578125" style="1355" bestFit="1" customWidth="1"/>
    <col min="14098" max="14098" width="14" style="1355" bestFit="1" customWidth="1"/>
    <col min="14099" max="14099" width="12.28515625" style="1355" bestFit="1" customWidth="1"/>
    <col min="14100" max="14124" width="9.140625" style="1355" customWidth="1"/>
    <col min="14125" max="14319" width="8.85546875" style="1355"/>
    <col min="14320" max="14320" width="44.5703125" style="1355" customWidth="1"/>
    <col min="14321" max="14321" width="14.28515625" style="1355" bestFit="1" customWidth="1"/>
    <col min="14322" max="14322" width="1.7109375" style="1355" customWidth="1"/>
    <col min="14323" max="14323" width="14.85546875" style="1355" customWidth="1"/>
    <col min="14324" max="14324" width="0" style="1355" hidden="1" customWidth="1"/>
    <col min="14325" max="14325" width="17.42578125" style="1355" customWidth="1"/>
    <col min="14326" max="14326" width="0" style="1355" hidden="1" customWidth="1"/>
    <col min="14327" max="14327" width="12.85546875" style="1355" customWidth="1"/>
    <col min="14328" max="14328" width="0" style="1355" hidden="1" customWidth="1"/>
    <col min="14329" max="14329" width="14.42578125" style="1355" customWidth="1"/>
    <col min="14330" max="14330" width="0" style="1355" hidden="1" customWidth="1"/>
    <col min="14331" max="14331" width="17.42578125" style="1355" customWidth="1"/>
    <col min="14332" max="14332" width="0" style="1355" hidden="1" customWidth="1"/>
    <col min="14333" max="14333" width="14" style="1355" customWidth="1"/>
    <col min="14334" max="14334" width="14.28515625" style="1355" bestFit="1" customWidth="1"/>
    <col min="14335" max="14335" width="0" style="1355" hidden="1" customWidth="1"/>
    <col min="14336" max="14336" width="15.5703125" style="1355" customWidth="1"/>
    <col min="14337" max="14337" width="44.5703125" style="1355" customWidth="1"/>
    <col min="14338" max="14338" width="14.28515625" style="1355" bestFit="1" customWidth="1"/>
    <col min="14339" max="14339" width="0" style="1355" hidden="1" customWidth="1"/>
    <col min="14340" max="14340" width="18.140625" style="1355" customWidth="1"/>
    <col min="14341" max="14341" width="0" style="1355" hidden="1" customWidth="1"/>
    <col min="14342" max="14342" width="14" style="1355" customWidth="1"/>
    <col min="14343" max="14343" width="0" style="1355" hidden="1" customWidth="1"/>
    <col min="14344" max="14344" width="20.85546875" style="1355" customWidth="1"/>
    <col min="14345" max="14345" width="0" style="1355" hidden="1" customWidth="1"/>
    <col min="14346" max="14346" width="13.28515625" style="1355" customWidth="1"/>
    <col min="14347" max="14347" width="0" style="1355" hidden="1" customWidth="1"/>
    <col min="14348" max="14348" width="15" style="1355" customWidth="1"/>
    <col min="14349" max="14349" width="0" style="1355" hidden="1" customWidth="1"/>
    <col min="14350" max="14350" width="13.28515625" style="1355" customWidth="1"/>
    <col min="14351" max="14351" width="0" style="1355" hidden="1" customWidth="1"/>
    <col min="14352" max="14352" width="20.140625" style="1355" customWidth="1"/>
    <col min="14353" max="14353" width="14.42578125" style="1355" bestFit="1" customWidth="1"/>
    <col min="14354" max="14354" width="14" style="1355" bestFit="1" customWidth="1"/>
    <col min="14355" max="14355" width="12.28515625" style="1355" bestFit="1" customWidth="1"/>
    <col min="14356" max="14380" width="9.140625" style="1355" customWidth="1"/>
    <col min="14381" max="14575" width="8.85546875" style="1355"/>
    <col min="14576" max="14576" width="44.5703125" style="1355" customWidth="1"/>
    <col min="14577" max="14577" width="14.28515625" style="1355" bestFit="1" customWidth="1"/>
    <col min="14578" max="14578" width="1.7109375" style="1355" customWidth="1"/>
    <col min="14579" max="14579" width="14.85546875" style="1355" customWidth="1"/>
    <col min="14580" max="14580" width="0" style="1355" hidden="1" customWidth="1"/>
    <col min="14581" max="14581" width="17.42578125" style="1355" customWidth="1"/>
    <col min="14582" max="14582" width="0" style="1355" hidden="1" customWidth="1"/>
    <col min="14583" max="14583" width="12.85546875" style="1355" customWidth="1"/>
    <col min="14584" max="14584" width="0" style="1355" hidden="1" customWidth="1"/>
    <col min="14585" max="14585" width="14.42578125" style="1355" customWidth="1"/>
    <col min="14586" max="14586" width="0" style="1355" hidden="1" customWidth="1"/>
    <col min="14587" max="14587" width="17.42578125" style="1355" customWidth="1"/>
    <col min="14588" max="14588" width="0" style="1355" hidden="1" customWidth="1"/>
    <col min="14589" max="14589" width="14" style="1355" customWidth="1"/>
    <col min="14590" max="14590" width="14.28515625" style="1355" bestFit="1" customWidth="1"/>
    <col min="14591" max="14591" width="0" style="1355" hidden="1" customWidth="1"/>
    <col min="14592" max="14592" width="15.5703125" style="1355" customWidth="1"/>
    <col min="14593" max="14593" width="44.5703125" style="1355" customWidth="1"/>
    <col min="14594" max="14594" width="14.28515625" style="1355" bestFit="1" customWidth="1"/>
    <col min="14595" max="14595" width="0" style="1355" hidden="1" customWidth="1"/>
    <col min="14596" max="14596" width="18.140625" style="1355" customWidth="1"/>
    <col min="14597" max="14597" width="0" style="1355" hidden="1" customWidth="1"/>
    <col min="14598" max="14598" width="14" style="1355" customWidth="1"/>
    <col min="14599" max="14599" width="0" style="1355" hidden="1" customWidth="1"/>
    <col min="14600" max="14600" width="20.85546875" style="1355" customWidth="1"/>
    <col min="14601" max="14601" width="0" style="1355" hidden="1" customWidth="1"/>
    <col min="14602" max="14602" width="13.28515625" style="1355" customWidth="1"/>
    <col min="14603" max="14603" width="0" style="1355" hidden="1" customWidth="1"/>
    <col min="14604" max="14604" width="15" style="1355" customWidth="1"/>
    <col min="14605" max="14605" width="0" style="1355" hidden="1" customWidth="1"/>
    <col min="14606" max="14606" width="13.28515625" style="1355" customWidth="1"/>
    <col min="14607" max="14607" width="0" style="1355" hidden="1" customWidth="1"/>
    <col min="14608" max="14608" width="20.140625" style="1355" customWidth="1"/>
    <col min="14609" max="14609" width="14.42578125" style="1355" bestFit="1" customWidth="1"/>
    <col min="14610" max="14610" width="14" style="1355" bestFit="1" customWidth="1"/>
    <col min="14611" max="14611" width="12.28515625" style="1355" bestFit="1" customWidth="1"/>
    <col min="14612" max="14636" width="9.140625" style="1355" customWidth="1"/>
    <col min="14637" max="14831" width="8.85546875" style="1355"/>
    <col min="14832" max="14832" width="44.5703125" style="1355" customWidth="1"/>
    <col min="14833" max="14833" width="14.28515625" style="1355" bestFit="1" customWidth="1"/>
    <col min="14834" max="14834" width="1.7109375" style="1355" customWidth="1"/>
    <col min="14835" max="14835" width="14.85546875" style="1355" customWidth="1"/>
    <col min="14836" max="14836" width="0" style="1355" hidden="1" customWidth="1"/>
    <col min="14837" max="14837" width="17.42578125" style="1355" customWidth="1"/>
    <col min="14838" max="14838" width="0" style="1355" hidden="1" customWidth="1"/>
    <col min="14839" max="14839" width="12.85546875" style="1355" customWidth="1"/>
    <col min="14840" max="14840" width="0" style="1355" hidden="1" customWidth="1"/>
    <col min="14841" max="14841" width="14.42578125" style="1355" customWidth="1"/>
    <col min="14842" max="14842" width="0" style="1355" hidden="1" customWidth="1"/>
    <col min="14843" max="14843" width="17.42578125" style="1355" customWidth="1"/>
    <col min="14844" max="14844" width="0" style="1355" hidden="1" customWidth="1"/>
    <col min="14845" max="14845" width="14" style="1355" customWidth="1"/>
    <col min="14846" max="14846" width="14.28515625" style="1355" bestFit="1" customWidth="1"/>
    <col min="14847" max="14847" width="0" style="1355" hidden="1" customWidth="1"/>
    <col min="14848" max="14848" width="15.5703125" style="1355" customWidth="1"/>
    <col min="14849" max="14849" width="44.5703125" style="1355" customWidth="1"/>
    <col min="14850" max="14850" width="14.28515625" style="1355" bestFit="1" customWidth="1"/>
    <col min="14851" max="14851" width="0" style="1355" hidden="1" customWidth="1"/>
    <col min="14852" max="14852" width="18.140625" style="1355" customWidth="1"/>
    <col min="14853" max="14853" width="0" style="1355" hidden="1" customWidth="1"/>
    <col min="14854" max="14854" width="14" style="1355" customWidth="1"/>
    <col min="14855" max="14855" width="0" style="1355" hidden="1" customWidth="1"/>
    <col min="14856" max="14856" width="20.85546875" style="1355" customWidth="1"/>
    <col min="14857" max="14857" width="0" style="1355" hidden="1" customWidth="1"/>
    <col min="14858" max="14858" width="13.28515625" style="1355" customWidth="1"/>
    <col min="14859" max="14859" width="0" style="1355" hidden="1" customWidth="1"/>
    <col min="14860" max="14860" width="15" style="1355" customWidth="1"/>
    <col min="14861" max="14861" width="0" style="1355" hidden="1" customWidth="1"/>
    <col min="14862" max="14862" width="13.28515625" style="1355" customWidth="1"/>
    <col min="14863" max="14863" width="0" style="1355" hidden="1" customWidth="1"/>
    <col min="14864" max="14864" width="20.140625" style="1355" customWidth="1"/>
    <col min="14865" max="14865" width="14.42578125" style="1355" bestFit="1" customWidth="1"/>
    <col min="14866" max="14866" width="14" style="1355" bestFit="1" customWidth="1"/>
    <col min="14867" max="14867" width="12.28515625" style="1355" bestFit="1" customWidth="1"/>
    <col min="14868" max="14892" width="9.140625" style="1355" customWidth="1"/>
    <col min="14893" max="15087" width="8.85546875" style="1355"/>
    <col min="15088" max="15088" width="44.5703125" style="1355" customWidth="1"/>
    <col min="15089" max="15089" width="14.28515625" style="1355" bestFit="1" customWidth="1"/>
    <col min="15090" max="15090" width="1.7109375" style="1355" customWidth="1"/>
    <col min="15091" max="15091" width="14.85546875" style="1355" customWidth="1"/>
    <col min="15092" max="15092" width="0" style="1355" hidden="1" customWidth="1"/>
    <col min="15093" max="15093" width="17.42578125" style="1355" customWidth="1"/>
    <col min="15094" max="15094" width="0" style="1355" hidden="1" customWidth="1"/>
    <col min="15095" max="15095" width="12.85546875" style="1355" customWidth="1"/>
    <col min="15096" max="15096" width="0" style="1355" hidden="1" customWidth="1"/>
    <col min="15097" max="15097" width="14.42578125" style="1355" customWidth="1"/>
    <col min="15098" max="15098" width="0" style="1355" hidden="1" customWidth="1"/>
    <col min="15099" max="15099" width="17.42578125" style="1355" customWidth="1"/>
    <col min="15100" max="15100" width="0" style="1355" hidden="1" customWidth="1"/>
    <col min="15101" max="15101" width="14" style="1355" customWidth="1"/>
    <col min="15102" max="15102" width="14.28515625" style="1355" bestFit="1" customWidth="1"/>
    <col min="15103" max="15103" width="0" style="1355" hidden="1" customWidth="1"/>
    <col min="15104" max="15104" width="15.5703125" style="1355" customWidth="1"/>
    <col min="15105" max="15105" width="44.5703125" style="1355" customWidth="1"/>
    <col min="15106" max="15106" width="14.28515625" style="1355" bestFit="1" customWidth="1"/>
    <col min="15107" max="15107" width="0" style="1355" hidden="1" customWidth="1"/>
    <col min="15108" max="15108" width="18.140625" style="1355" customWidth="1"/>
    <col min="15109" max="15109" width="0" style="1355" hidden="1" customWidth="1"/>
    <col min="15110" max="15110" width="14" style="1355" customWidth="1"/>
    <col min="15111" max="15111" width="0" style="1355" hidden="1" customWidth="1"/>
    <col min="15112" max="15112" width="20.85546875" style="1355" customWidth="1"/>
    <col min="15113" max="15113" width="0" style="1355" hidden="1" customWidth="1"/>
    <col min="15114" max="15114" width="13.28515625" style="1355" customWidth="1"/>
    <col min="15115" max="15115" width="0" style="1355" hidden="1" customWidth="1"/>
    <col min="15116" max="15116" width="15" style="1355" customWidth="1"/>
    <col min="15117" max="15117" width="0" style="1355" hidden="1" customWidth="1"/>
    <col min="15118" max="15118" width="13.28515625" style="1355" customWidth="1"/>
    <col min="15119" max="15119" width="0" style="1355" hidden="1" customWidth="1"/>
    <col min="15120" max="15120" width="20.140625" style="1355" customWidth="1"/>
    <col min="15121" max="15121" width="14.42578125" style="1355" bestFit="1" customWidth="1"/>
    <col min="15122" max="15122" width="14" style="1355" bestFit="1" customWidth="1"/>
    <col min="15123" max="15123" width="12.28515625" style="1355" bestFit="1" customWidth="1"/>
    <col min="15124" max="15148" width="9.140625" style="1355" customWidth="1"/>
    <col min="15149" max="15343" width="8.85546875" style="1355"/>
    <col min="15344" max="15344" width="44.5703125" style="1355" customWidth="1"/>
    <col min="15345" max="15345" width="14.28515625" style="1355" bestFit="1" customWidth="1"/>
    <col min="15346" max="15346" width="1.7109375" style="1355" customWidth="1"/>
    <col min="15347" max="15347" width="14.85546875" style="1355" customWidth="1"/>
    <col min="15348" max="15348" width="0" style="1355" hidden="1" customWidth="1"/>
    <col min="15349" max="15349" width="17.42578125" style="1355" customWidth="1"/>
    <col min="15350" max="15350" width="0" style="1355" hidden="1" customWidth="1"/>
    <col min="15351" max="15351" width="12.85546875" style="1355" customWidth="1"/>
    <col min="15352" max="15352" width="0" style="1355" hidden="1" customWidth="1"/>
    <col min="15353" max="15353" width="14.42578125" style="1355" customWidth="1"/>
    <col min="15354" max="15354" width="0" style="1355" hidden="1" customWidth="1"/>
    <col min="15355" max="15355" width="17.42578125" style="1355" customWidth="1"/>
    <col min="15356" max="15356" width="0" style="1355" hidden="1" customWidth="1"/>
    <col min="15357" max="15357" width="14" style="1355" customWidth="1"/>
    <col min="15358" max="15358" width="14.28515625" style="1355" bestFit="1" customWidth="1"/>
    <col min="15359" max="15359" width="0" style="1355" hidden="1" customWidth="1"/>
    <col min="15360" max="15360" width="15.5703125" style="1355" customWidth="1"/>
    <col min="15361" max="15361" width="44.5703125" style="1355" customWidth="1"/>
    <col min="15362" max="15362" width="14.28515625" style="1355" bestFit="1" customWidth="1"/>
    <col min="15363" max="15363" width="0" style="1355" hidden="1" customWidth="1"/>
    <col min="15364" max="15364" width="18.140625" style="1355" customWidth="1"/>
    <col min="15365" max="15365" width="0" style="1355" hidden="1" customWidth="1"/>
    <col min="15366" max="15366" width="14" style="1355" customWidth="1"/>
    <col min="15367" max="15367" width="0" style="1355" hidden="1" customWidth="1"/>
    <col min="15368" max="15368" width="20.85546875" style="1355" customWidth="1"/>
    <col min="15369" max="15369" width="0" style="1355" hidden="1" customWidth="1"/>
    <col min="15370" max="15370" width="13.28515625" style="1355" customWidth="1"/>
    <col min="15371" max="15371" width="0" style="1355" hidden="1" customWidth="1"/>
    <col min="15372" max="15372" width="15" style="1355" customWidth="1"/>
    <col min="15373" max="15373" width="0" style="1355" hidden="1" customWidth="1"/>
    <col min="15374" max="15374" width="13.28515625" style="1355" customWidth="1"/>
    <col min="15375" max="15375" width="0" style="1355" hidden="1" customWidth="1"/>
    <col min="15376" max="15376" width="20.140625" style="1355" customWidth="1"/>
    <col min="15377" max="15377" width="14.42578125" style="1355" bestFit="1" customWidth="1"/>
    <col min="15378" max="15378" width="14" style="1355" bestFit="1" customWidth="1"/>
    <col min="15379" max="15379" width="12.28515625" style="1355" bestFit="1" customWidth="1"/>
    <col min="15380" max="15404" width="9.140625" style="1355" customWidth="1"/>
    <col min="15405" max="15599" width="8.85546875" style="1355"/>
    <col min="15600" max="15600" width="44.5703125" style="1355" customWidth="1"/>
    <col min="15601" max="15601" width="14.28515625" style="1355" bestFit="1" customWidth="1"/>
    <col min="15602" max="15602" width="1.7109375" style="1355" customWidth="1"/>
    <col min="15603" max="15603" width="14.85546875" style="1355" customWidth="1"/>
    <col min="15604" max="15604" width="0" style="1355" hidden="1" customWidth="1"/>
    <col min="15605" max="15605" width="17.42578125" style="1355" customWidth="1"/>
    <col min="15606" max="15606" width="0" style="1355" hidden="1" customWidth="1"/>
    <col min="15607" max="15607" width="12.85546875" style="1355" customWidth="1"/>
    <col min="15608" max="15608" width="0" style="1355" hidden="1" customWidth="1"/>
    <col min="15609" max="15609" width="14.42578125" style="1355" customWidth="1"/>
    <col min="15610" max="15610" width="0" style="1355" hidden="1" customWidth="1"/>
    <col min="15611" max="15611" width="17.42578125" style="1355" customWidth="1"/>
    <col min="15612" max="15612" width="0" style="1355" hidden="1" customWidth="1"/>
    <col min="15613" max="15613" width="14" style="1355" customWidth="1"/>
    <col min="15614" max="15614" width="14.28515625" style="1355" bestFit="1" customWidth="1"/>
    <col min="15615" max="15615" width="0" style="1355" hidden="1" customWidth="1"/>
    <col min="15616" max="15616" width="15.5703125" style="1355" customWidth="1"/>
    <col min="15617" max="15617" width="44.5703125" style="1355" customWidth="1"/>
    <col min="15618" max="15618" width="14.28515625" style="1355" bestFit="1" customWidth="1"/>
    <col min="15619" max="15619" width="0" style="1355" hidden="1" customWidth="1"/>
    <col min="15620" max="15620" width="18.140625" style="1355" customWidth="1"/>
    <col min="15621" max="15621" width="0" style="1355" hidden="1" customWidth="1"/>
    <col min="15622" max="15622" width="14" style="1355" customWidth="1"/>
    <col min="15623" max="15623" width="0" style="1355" hidden="1" customWidth="1"/>
    <col min="15624" max="15624" width="20.85546875" style="1355" customWidth="1"/>
    <col min="15625" max="15625" width="0" style="1355" hidden="1" customWidth="1"/>
    <col min="15626" max="15626" width="13.28515625" style="1355" customWidth="1"/>
    <col min="15627" max="15627" width="0" style="1355" hidden="1" customWidth="1"/>
    <col min="15628" max="15628" width="15" style="1355" customWidth="1"/>
    <col min="15629" max="15629" width="0" style="1355" hidden="1" customWidth="1"/>
    <col min="15630" max="15630" width="13.28515625" style="1355" customWidth="1"/>
    <col min="15631" max="15631" width="0" style="1355" hidden="1" customWidth="1"/>
    <col min="15632" max="15632" width="20.140625" style="1355" customWidth="1"/>
    <col min="15633" max="15633" width="14.42578125" style="1355" bestFit="1" customWidth="1"/>
    <col min="15634" max="15634" width="14" style="1355" bestFit="1" customWidth="1"/>
    <col min="15635" max="15635" width="12.28515625" style="1355" bestFit="1" customWidth="1"/>
    <col min="15636" max="15660" width="9.140625" style="1355" customWidth="1"/>
    <col min="15661" max="15855" width="8.85546875" style="1355"/>
    <col min="15856" max="15856" width="44.5703125" style="1355" customWidth="1"/>
    <col min="15857" max="15857" width="14.28515625" style="1355" bestFit="1" customWidth="1"/>
    <col min="15858" max="15858" width="1.7109375" style="1355" customWidth="1"/>
    <col min="15859" max="15859" width="14.85546875" style="1355" customWidth="1"/>
    <col min="15860" max="15860" width="0" style="1355" hidden="1" customWidth="1"/>
    <col min="15861" max="15861" width="17.42578125" style="1355" customWidth="1"/>
    <col min="15862" max="15862" width="0" style="1355" hidden="1" customWidth="1"/>
    <col min="15863" max="15863" width="12.85546875" style="1355" customWidth="1"/>
    <col min="15864" max="15864" width="0" style="1355" hidden="1" customWidth="1"/>
    <col min="15865" max="15865" width="14.42578125" style="1355" customWidth="1"/>
    <col min="15866" max="15866" width="0" style="1355" hidden="1" customWidth="1"/>
    <col min="15867" max="15867" width="17.42578125" style="1355" customWidth="1"/>
    <col min="15868" max="15868" width="0" style="1355" hidden="1" customWidth="1"/>
    <col min="15869" max="15869" width="14" style="1355" customWidth="1"/>
    <col min="15870" max="15870" width="14.28515625" style="1355" bestFit="1" customWidth="1"/>
    <col min="15871" max="15871" width="0" style="1355" hidden="1" customWidth="1"/>
    <col min="15872" max="15872" width="15.5703125" style="1355" customWidth="1"/>
    <col min="15873" max="15873" width="44.5703125" style="1355" customWidth="1"/>
    <col min="15874" max="15874" width="14.28515625" style="1355" bestFit="1" customWidth="1"/>
    <col min="15875" max="15875" width="0" style="1355" hidden="1" customWidth="1"/>
    <col min="15876" max="15876" width="18.140625" style="1355" customWidth="1"/>
    <col min="15877" max="15877" width="0" style="1355" hidden="1" customWidth="1"/>
    <col min="15878" max="15878" width="14" style="1355" customWidth="1"/>
    <col min="15879" max="15879" width="0" style="1355" hidden="1" customWidth="1"/>
    <col min="15880" max="15880" width="20.85546875" style="1355" customWidth="1"/>
    <col min="15881" max="15881" width="0" style="1355" hidden="1" customWidth="1"/>
    <col min="15882" max="15882" width="13.28515625" style="1355" customWidth="1"/>
    <col min="15883" max="15883" width="0" style="1355" hidden="1" customWidth="1"/>
    <col min="15884" max="15884" width="15" style="1355" customWidth="1"/>
    <col min="15885" max="15885" width="0" style="1355" hidden="1" customWidth="1"/>
    <col min="15886" max="15886" width="13.28515625" style="1355" customWidth="1"/>
    <col min="15887" max="15887" width="0" style="1355" hidden="1" customWidth="1"/>
    <col min="15888" max="15888" width="20.140625" style="1355" customWidth="1"/>
    <col min="15889" max="15889" width="14.42578125" style="1355" bestFit="1" customWidth="1"/>
    <col min="15890" max="15890" width="14" style="1355" bestFit="1" customWidth="1"/>
    <col min="15891" max="15891" width="12.28515625" style="1355" bestFit="1" customWidth="1"/>
    <col min="15892" max="15916" width="9.140625" style="1355" customWidth="1"/>
    <col min="15917" max="16111" width="8.85546875" style="1355"/>
    <col min="16112" max="16112" width="44.5703125" style="1355" customWidth="1"/>
    <col min="16113" max="16113" width="14.28515625" style="1355" bestFit="1" customWidth="1"/>
    <col min="16114" max="16114" width="1.7109375" style="1355" customWidth="1"/>
    <col min="16115" max="16115" width="14.85546875" style="1355" customWidth="1"/>
    <col min="16116" max="16116" width="0" style="1355" hidden="1" customWidth="1"/>
    <col min="16117" max="16117" width="17.42578125" style="1355" customWidth="1"/>
    <col min="16118" max="16118" width="0" style="1355" hidden="1" customWidth="1"/>
    <col min="16119" max="16119" width="12.85546875" style="1355" customWidth="1"/>
    <col min="16120" max="16120" width="0" style="1355" hidden="1" customWidth="1"/>
    <col min="16121" max="16121" width="14.42578125" style="1355" customWidth="1"/>
    <col min="16122" max="16122" width="0" style="1355" hidden="1" customWidth="1"/>
    <col min="16123" max="16123" width="17.42578125" style="1355" customWidth="1"/>
    <col min="16124" max="16124" width="0" style="1355" hidden="1" customWidth="1"/>
    <col min="16125" max="16125" width="14" style="1355" customWidth="1"/>
    <col min="16126" max="16126" width="14.28515625" style="1355" bestFit="1" customWidth="1"/>
    <col min="16127" max="16127" width="0" style="1355" hidden="1" customWidth="1"/>
    <col min="16128" max="16128" width="15.5703125" style="1355" customWidth="1"/>
    <col min="16129" max="16129" width="44.5703125" style="1355" customWidth="1"/>
    <col min="16130" max="16130" width="14.28515625" style="1355" bestFit="1" customWidth="1"/>
    <col min="16131" max="16131" width="0" style="1355" hidden="1" customWidth="1"/>
    <col min="16132" max="16132" width="18.140625" style="1355" customWidth="1"/>
    <col min="16133" max="16133" width="0" style="1355" hidden="1" customWidth="1"/>
    <col min="16134" max="16134" width="14" style="1355" customWidth="1"/>
    <col min="16135" max="16135" width="0" style="1355" hidden="1" customWidth="1"/>
    <col min="16136" max="16136" width="20.85546875" style="1355" customWidth="1"/>
    <col min="16137" max="16137" width="0" style="1355" hidden="1" customWidth="1"/>
    <col min="16138" max="16138" width="13.28515625" style="1355" customWidth="1"/>
    <col min="16139" max="16139" width="0" style="1355" hidden="1" customWidth="1"/>
    <col min="16140" max="16140" width="15" style="1355" customWidth="1"/>
    <col min="16141" max="16141" width="0" style="1355" hidden="1" customWidth="1"/>
    <col min="16142" max="16142" width="13.28515625" style="1355" customWidth="1"/>
    <col min="16143" max="16143" width="0" style="1355" hidden="1" customWidth="1"/>
    <col min="16144" max="16144" width="20.140625" style="1355" customWidth="1"/>
    <col min="16145" max="16145" width="14.42578125" style="1355" bestFit="1" customWidth="1"/>
    <col min="16146" max="16146" width="14" style="1355" bestFit="1" customWidth="1"/>
    <col min="16147" max="16147" width="12.28515625" style="1355" bestFit="1" customWidth="1"/>
    <col min="16148" max="16172" width="9.140625" style="1355" customWidth="1"/>
    <col min="16173" max="16384" width="8.85546875" style="1355"/>
  </cols>
  <sheetData>
    <row r="1" spans="1:44" s="1315" customFormat="1" ht="7.5" hidden="1" customHeight="1">
      <c r="A1" s="1654"/>
      <c r="B1" s="1655"/>
      <c r="C1" s="1655"/>
      <c r="D1" s="1655"/>
      <c r="E1" s="1655"/>
      <c r="F1" s="1655"/>
      <c r="G1" s="1655"/>
      <c r="H1" s="1655"/>
      <c r="I1" s="1655"/>
      <c r="J1" s="1655"/>
      <c r="K1" s="1655"/>
      <c r="L1" s="1655"/>
      <c r="M1" s="1655"/>
      <c r="N1" s="1655"/>
      <c r="O1" s="1655"/>
      <c r="P1" s="1656"/>
      <c r="Q1" s="1312"/>
      <c r="R1" s="352"/>
      <c r="S1" s="1312"/>
      <c r="T1" s="1312"/>
      <c r="U1" s="1312"/>
      <c r="V1" s="1312"/>
      <c r="W1" s="1313"/>
      <c r="X1" s="1313"/>
      <c r="Y1" s="1313"/>
      <c r="Z1" s="1313"/>
      <c r="AA1" s="1313"/>
      <c r="AB1" s="1313"/>
      <c r="AC1" s="1313"/>
      <c r="AD1" s="1313"/>
      <c r="AE1" s="1314"/>
      <c r="AF1" s="1313"/>
      <c r="AG1" s="1313"/>
      <c r="AH1" s="1313"/>
      <c r="AI1" s="1313"/>
      <c r="AJ1" s="1313"/>
      <c r="AK1" s="1313"/>
      <c r="AL1" s="1313"/>
      <c r="AM1" s="1313"/>
      <c r="AN1" s="1313"/>
      <c r="AO1" s="1313"/>
      <c r="AP1" s="1313"/>
      <c r="AQ1" s="1313"/>
      <c r="AR1" s="1313"/>
    </row>
    <row r="2" spans="1:44" s="1315" customFormat="1" ht="21" customHeight="1" thickBot="1">
      <c r="A2" s="1657"/>
      <c r="B2" s="1657"/>
      <c r="C2" s="1657"/>
      <c r="D2" s="1657"/>
      <c r="E2" s="1657"/>
      <c r="F2" s="1657"/>
      <c r="G2" s="1657"/>
      <c r="H2" s="1657"/>
      <c r="I2" s="1657"/>
      <c r="J2" s="1657"/>
      <c r="K2" s="1657"/>
      <c r="L2" s="1657"/>
      <c r="M2" s="1657"/>
      <c r="N2" s="1657"/>
      <c r="O2" s="1657"/>
      <c r="P2" s="1657"/>
      <c r="Q2" s="1313"/>
      <c r="R2" s="355"/>
      <c r="S2" s="1313"/>
      <c r="T2" s="1313"/>
      <c r="U2" s="1313"/>
      <c r="V2" s="1313"/>
      <c r="W2" s="1313"/>
      <c r="X2" s="1313"/>
      <c r="Y2" s="1313"/>
      <c r="Z2" s="1313"/>
      <c r="AA2" s="1313"/>
      <c r="AB2" s="1313"/>
      <c r="AC2" s="1313"/>
      <c r="AD2" s="1313"/>
      <c r="AE2" s="1314"/>
      <c r="AF2" s="1313"/>
      <c r="AG2" s="1313"/>
      <c r="AH2" s="1313"/>
      <c r="AI2" s="1313"/>
      <c r="AJ2" s="1313"/>
      <c r="AK2" s="1313"/>
      <c r="AL2" s="1313"/>
      <c r="AM2" s="1313"/>
      <c r="AN2" s="1313"/>
      <c r="AO2" s="1313"/>
      <c r="AP2" s="1313"/>
      <c r="AQ2" s="1313"/>
      <c r="AR2" s="1313"/>
    </row>
    <row r="3" spans="1:44" s="1315" customFormat="1" ht="38.25">
      <c r="A3" s="1658" t="s">
        <v>744</v>
      </c>
      <c r="B3" s="1659"/>
      <c r="C3" s="1659"/>
      <c r="D3" s="1659"/>
      <c r="E3" s="1659"/>
      <c r="F3" s="1659"/>
      <c r="G3" s="1659"/>
      <c r="H3" s="1659"/>
      <c r="I3" s="1659"/>
      <c r="J3" s="1659"/>
      <c r="K3" s="1659"/>
      <c r="L3" s="1659"/>
      <c r="M3" s="1659"/>
      <c r="N3" s="1659"/>
      <c r="O3" s="1659"/>
      <c r="P3" s="1660"/>
      <c r="Q3" s="1313"/>
      <c r="R3" s="355"/>
      <c r="Y3" s="1313"/>
      <c r="Z3" s="1313"/>
      <c r="AA3" s="1313"/>
      <c r="AB3" s="1313"/>
      <c r="AC3" s="1313"/>
      <c r="AD3" s="1313"/>
      <c r="AE3" s="1314"/>
      <c r="AF3" s="1313"/>
      <c r="AG3" s="1313"/>
      <c r="AH3" s="1313"/>
      <c r="AI3" s="1313"/>
      <c r="AJ3" s="1313"/>
      <c r="AK3" s="1313"/>
      <c r="AL3" s="1313"/>
      <c r="AM3" s="1313"/>
      <c r="AN3" s="1313"/>
      <c r="AO3" s="1313"/>
      <c r="AP3" s="1313"/>
      <c r="AQ3" s="1313"/>
      <c r="AR3" s="1313"/>
    </row>
    <row r="4" spans="1:44" s="1315" customFormat="1" ht="38.25">
      <c r="A4" s="1661" t="s">
        <v>745</v>
      </c>
      <c r="B4" s="1662"/>
      <c r="C4" s="1662"/>
      <c r="D4" s="1662"/>
      <c r="E4" s="1662"/>
      <c r="F4" s="1662"/>
      <c r="G4" s="1662"/>
      <c r="H4" s="1662"/>
      <c r="I4" s="1662"/>
      <c r="J4" s="1662"/>
      <c r="K4" s="1662"/>
      <c r="L4" s="1662"/>
      <c r="M4" s="1662"/>
      <c r="N4" s="1662"/>
      <c r="O4" s="1662"/>
      <c r="P4" s="1663"/>
      <c r="Q4" s="1313"/>
      <c r="R4" s="355"/>
      <c r="Y4" s="1313"/>
      <c r="Z4" s="1313"/>
      <c r="AA4" s="1313"/>
      <c r="AB4" s="1313"/>
      <c r="AC4" s="1313"/>
      <c r="AD4" s="1313"/>
      <c r="AE4" s="1314">
        <f>3441497+55176535+11894915+10616486+12581583</f>
        <v>93711016</v>
      </c>
      <c r="AF4" s="1314">
        <f>AE4-N14</f>
        <v>-10886058</v>
      </c>
      <c r="AG4" s="1313"/>
      <c r="AH4" s="1313"/>
      <c r="AI4" s="1313"/>
      <c r="AJ4" s="1313"/>
      <c r="AK4" s="1313"/>
      <c r="AL4" s="1313"/>
      <c r="AM4" s="1313"/>
      <c r="AN4" s="1313"/>
      <c r="AO4" s="1313"/>
      <c r="AP4" s="1313"/>
      <c r="AQ4" s="1313"/>
      <c r="AR4" s="1313"/>
    </row>
    <row r="5" spans="1:44" s="1315" customFormat="1" ht="38.25">
      <c r="A5" s="1661" t="s">
        <v>933</v>
      </c>
      <c r="B5" s="1662"/>
      <c r="C5" s="1662"/>
      <c r="D5" s="1662"/>
      <c r="E5" s="1662"/>
      <c r="F5" s="1662"/>
      <c r="G5" s="1662"/>
      <c r="H5" s="1662"/>
      <c r="I5" s="1662"/>
      <c r="J5" s="1662"/>
      <c r="K5" s="1662"/>
      <c r="L5" s="1662"/>
      <c r="M5" s="1662"/>
      <c r="N5" s="1662"/>
      <c r="O5" s="1662"/>
      <c r="P5" s="1663"/>
      <c r="Q5" s="1313"/>
      <c r="R5" s="355"/>
      <c r="Y5" s="1313"/>
      <c r="Z5" s="1313"/>
      <c r="AA5" s="1313"/>
      <c r="AB5" s="1313"/>
      <c r="AC5" s="1313"/>
      <c r="AD5" s="1313"/>
      <c r="AE5" s="1314"/>
      <c r="AF5" s="1313"/>
      <c r="AG5" s="1313"/>
      <c r="AH5" s="1313"/>
      <c r="AI5" s="1313"/>
      <c r="AJ5" s="1313"/>
      <c r="AK5" s="1313"/>
      <c r="AL5" s="1313"/>
      <c r="AM5" s="1313"/>
      <c r="AN5" s="1313"/>
      <c r="AO5" s="1313"/>
      <c r="AP5" s="1313"/>
      <c r="AQ5" s="1313"/>
      <c r="AR5" s="1313"/>
    </row>
    <row r="6" spans="1:44" s="1315" customFormat="1" ht="10.5" customHeight="1">
      <c r="A6" s="1316"/>
      <c r="B6" s="1317"/>
      <c r="C6" s="1317"/>
      <c r="D6" s="1372"/>
      <c r="E6" s="1317"/>
      <c r="F6" s="1372"/>
      <c r="G6" s="1317"/>
      <c r="H6" s="1372"/>
      <c r="I6" s="1317"/>
      <c r="J6" s="1372"/>
      <c r="K6" s="1317"/>
      <c r="L6" s="1384"/>
      <c r="M6" s="1317"/>
      <c r="N6" s="1372"/>
      <c r="O6" s="1317"/>
      <c r="P6" s="1381"/>
      <c r="Q6" s="1313"/>
      <c r="R6" s="355"/>
      <c r="Y6" s="1313"/>
      <c r="Z6" s="1313"/>
      <c r="AA6" s="1313"/>
      <c r="AB6" s="1313"/>
      <c r="AC6" s="1313"/>
      <c r="AD6" s="1313"/>
      <c r="AE6" s="1314"/>
      <c r="AF6" s="1313"/>
      <c r="AG6" s="1313"/>
      <c r="AH6" s="1313"/>
      <c r="AI6" s="1313"/>
      <c r="AJ6" s="1313"/>
      <c r="AK6" s="1313"/>
      <c r="AL6" s="1313"/>
      <c r="AM6" s="1313"/>
      <c r="AN6" s="1313"/>
      <c r="AO6" s="1313"/>
      <c r="AP6" s="1313"/>
      <c r="AQ6" s="1313"/>
      <c r="AR6" s="1313"/>
    </row>
    <row r="7" spans="1:44" s="1319" customFormat="1" ht="23.25" hidden="1">
      <c r="A7" s="1643" t="s">
        <v>755</v>
      </c>
      <c r="B7" s="1644"/>
      <c r="C7" s="1644"/>
      <c r="D7" s="1644"/>
      <c r="E7" s="1644"/>
      <c r="F7" s="1644"/>
      <c r="G7" s="1644"/>
      <c r="H7" s="1644"/>
      <c r="I7" s="1644"/>
      <c r="J7" s="1644"/>
      <c r="K7" s="1644"/>
      <c r="L7" s="1644"/>
      <c r="M7" s="1644"/>
      <c r="N7" s="1644"/>
      <c r="O7" s="1644"/>
      <c r="P7" s="1645"/>
      <c r="Q7" s="1318"/>
      <c r="R7" s="355"/>
      <c r="S7" s="1315"/>
      <c r="T7" s="1315"/>
      <c r="U7" s="1315"/>
      <c r="V7" s="1315"/>
      <c r="W7" s="1315"/>
      <c r="Y7" s="1320"/>
      <c r="Z7" s="1320"/>
      <c r="AA7" s="1320"/>
      <c r="AB7" s="1320"/>
      <c r="AC7" s="1320"/>
      <c r="AD7" s="1320"/>
      <c r="AE7" s="1321"/>
      <c r="AF7" s="1320"/>
      <c r="AG7" s="1320"/>
      <c r="AH7" s="1320"/>
      <c r="AI7" s="1320"/>
      <c r="AJ7" s="1320"/>
      <c r="AK7" s="1320"/>
      <c r="AL7" s="1320"/>
      <c r="AM7" s="1320"/>
      <c r="AN7" s="1320"/>
      <c r="AO7" s="1320"/>
      <c r="AP7" s="1320"/>
      <c r="AQ7" s="1320"/>
      <c r="AR7" s="1320"/>
    </row>
    <row r="8" spans="1:44" s="1319" customFormat="1" ht="23.25" hidden="1">
      <c r="A8" s="1640" t="s">
        <v>765</v>
      </c>
      <c r="B8" s="1641"/>
      <c r="C8" s="1641"/>
      <c r="D8" s="1641"/>
      <c r="E8" s="1641"/>
      <c r="F8" s="1641"/>
      <c r="G8" s="1641"/>
      <c r="H8" s="1641"/>
      <c r="I8" s="1641"/>
      <c r="J8" s="1641"/>
      <c r="K8" s="1641"/>
      <c r="L8" s="1641"/>
      <c r="M8" s="1641"/>
      <c r="N8" s="1641"/>
      <c r="O8" s="1641"/>
      <c r="P8" s="1642"/>
      <c r="Q8" s="1322"/>
      <c r="R8" s="355"/>
      <c r="S8" s="1315"/>
      <c r="T8" s="1315"/>
      <c r="U8" s="1315"/>
      <c r="V8" s="1315"/>
      <c r="W8" s="1315"/>
      <c r="Y8" s="1320"/>
      <c r="Z8" s="1320"/>
      <c r="AA8" s="1320"/>
      <c r="AB8" s="1320"/>
      <c r="AC8" s="1320"/>
      <c r="AD8" s="1320"/>
      <c r="AE8" s="1321"/>
      <c r="AF8" s="1320"/>
      <c r="AG8" s="1320"/>
      <c r="AH8" s="1320"/>
      <c r="AI8" s="1320"/>
      <c r="AJ8" s="1320"/>
      <c r="AK8" s="1320"/>
      <c r="AL8" s="1320"/>
      <c r="AM8" s="1320"/>
      <c r="AN8" s="1320"/>
      <c r="AO8" s="1320"/>
      <c r="AP8" s="1320"/>
      <c r="AQ8" s="1320"/>
      <c r="AR8" s="1320"/>
    </row>
    <row r="9" spans="1:44" s="1319" customFormat="1" ht="23.25" hidden="1">
      <c r="A9" s="1643" t="s">
        <v>756</v>
      </c>
      <c r="B9" s="1644"/>
      <c r="C9" s="1644"/>
      <c r="D9" s="1644"/>
      <c r="E9" s="1644"/>
      <c r="F9" s="1644"/>
      <c r="G9" s="1644"/>
      <c r="H9" s="1644"/>
      <c r="I9" s="1644"/>
      <c r="J9" s="1644"/>
      <c r="K9" s="1644"/>
      <c r="L9" s="1644"/>
      <c r="M9" s="1644"/>
      <c r="N9" s="1644"/>
      <c r="O9" s="1644"/>
      <c r="P9" s="1645"/>
      <c r="Q9" s="1318"/>
      <c r="R9" s="355"/>
      <c r="S9" s="1315"/>
      <c r="T9" s="1315"/>
      <c r="U9" s="1315"/>
      <c r="V9" s="1315"/>
      <c r="W9" s="1315"/>
      <c r="X9" s="1320"/>
      <c r="Y9" s="1320"/>
      <c r="Z9" s="1320"/>
      <c r="AA9" s="1320"/>
      <c r="AB9" s="1320"/>
      <c r="AC9" s="1320"/>
      <c r="AD9" s="1320"/>
      <c r="AE9" s="1321"/>
      <c r="AF9" s="1320"/>
      <c r="AG9" s="1320"/>
      <c r="AH9" s="1320"/>
      <c r="AI9" s="1320"/>
      <c r="AJ9" s="1320"/>
      <c r="AK9" s="1320"/>
      <c r="AL9" s="1320"/>
      <c r="AM9" s="1320"/>
      <c r="AN9" s="1320"/>
      <c r="AO9" s="1320"/>
      <c r="AP9" s="1320"/>
      <c r="AQ9" s="1320"/>
      <c r="AR9" s="1320"/>
    </row>
    <row r="10" spans="1:44" s="1328" customFormat="1" ht="61.5">
      <c r="A10" s="1323"/>
      <c r="B10" s="1324"/>
      <c r="C10" s="1325"/>
      <c r="D10" s="1388" t="s">
        <v>573</v>
      </c>
      <c r="E10" s="1389"/>
      <c r="F10" s="1390" t="s">
        <v>603</v>
      </c>
      <c r="G10" s="1391"/>
      <c r="H10" s="1390" t="s">
        <v>604</v>
      </c>
      <c r="I10" s="1392"/>
      <c r="J10" s="1390" t="s">
        <v>934</v>
      </c>
      <c r="K10" s="1392"/>
      <c r="L10" s="1393" t="s">
        <v>605</v>
      </c>
      <c r="M10" s="1391"/>
      <c r="N10" s="1390" t="s">
        <v>606</v>
      </c>
      <c r="O10" s="1392"/>
      <c r="P10" s="1394" t="s">
        <v>607</v>
      </c>
      <c r="Q10" s="1326"/>
      <c r="R10" s="355"/>
      <c r="S10" s="1315"/>
      <c r="T10" s="1315"/>
      <c r="U10" s="1315"/>
      <c r="V10" s="1315"/>
      <c r="W10" s="1315"/>
      <c r="X10" s="1313"/>
      <c r="Y10" s="1326"/>
      <c r="Z10" s="1326"/>
      <c r="AA10" s="1326"/>
      <c r="AB10" s="1326"/>
      <c r="AC10" s="1326"/>
      <c r="AD10" s="1326"/>
      <c r="AE10" s="1327"/>
      <c r="AF10" s="1326"/>
      <c r="AG10" s="1326"/>
      <c r="AH10" s="1326"/>
      <c r="AI10" s="1326"/>
      <c r="AJ10" s="1326"/>
      <c r="AK10" s="1326"/>
      <c r="AL10" s="1326"/>
      <c r="AM10" s="1326"/>
      <c r="AN10" s="1326"/>
      <c r="AO10" s="1326"/>
      <c r="AP10" s="1326"/>
      <c r="AQ10" s="1326"/>
      <c r="AR10" s="1326"/>
    </row>
    <row r="11" spans="1:44" s="1337" customFormat="1" ht="15.95" customHeight="1">
      <c r="A11" s="1329" t="s">
        <v>733</v>
      </c>
      <c r="B11" s="1330"/>
      <c r="C11" s="1331"/>
      <c r="D11" s="1373"/>
      <c r="E11" s="1332"/>
      <c r="F11" s="455"/>
      <c r="G11" s="1334"/>
      <c r="H11" s="455"/>
      <c r="I11" s="1333"/>
      <c r="J11" s="455"/>
      <c r="K11" s="1333"/>
      <c r="L11" s="456"/>
      <c r="M11" s="1334"/>
      <c r="N11" s="455"/>
      <c r="O11" s="1333"/>
      <c r="P11" s="1382"/>
      <c r="Q11" s="1335"/>
      <c r="R11" s="355"/>
      <c r="S11" s="1315"/>
      <c r="T11" s="1315"/>
      <c r="U11" s="1315"/>
      <c r="V11" s="1315"/>
      <c r="W11" s="1315"/>
      <c r="X11" s="1313"/>
      <c r="Y11" s="1335"/>
      <c r="Z11" s="1335"/>
      <c r="AA11" s="1335"/>
      <c r="AB11" s="1335"/>
      <c r="AC11" s="1335"/>
      <c r="AD11" s="1335"/>
      <c r="AE11" s="1336"/>
      <c r="AF11" s="1335"/>
      <c r="AG11" s="1335"/>
      <c r="AH11" s="1335"/>
      <c r="AI11" s="1335"/>
      <c r="AJ11" s="1335"/>
      <c r="AK11" s="1335"/>
      <c r="AL11" s="1335"/>
      <c r="AM11" s="1335"/>
      <c r="AN11" s="1335"/>
      <c r="AO11" s="1335"/>
      <c r="AP11" s="1335"/>
      <c r="AQ11" s="1335"/>
      <c r="AR11" s="1335"/>
    </row>
    <row r="12" spans="1:44" s="1337" customFormat="1" ht="20.100000000000001" customHeight="1">
      <c r="A12" s="1338" t="s">
        <v>955</v>
      </c>
      <c r="B12" s="1330"/>
      <c r="C12" s="1330" t="s">
        <v>424</v>
      </c>
      <c r="D12" s="1228">
        <f>'All Funds SchA Adopted 2014 1pg'!D14-'All Funds SchA Adopted 2014 1pg'!D11</f>
        <v>59983421</v>
      </c>
      <c r="E12" s="1215"/>
      <c r="F12" s="1228" t="e">
        <f>'All Funds SchA Adopted 2014 1pg'!G14+'All Funds SchA Adopted 2014 1pg'!Q14+'All Funds SchA Adopted 2014 1pg'!R14+'All Funds SchA Adopted 2014 1pg'!S14+'All Funds SchA Adopted 2014 1pg'!T14+'All Funds SchA Adopted 2014 1pg'!V14+'All Funds SchA Adopted 2014 1pg'!W14</f>
        <v>#REF!</v>
      </c>
      <c r="G12" s="1228"/>
      <c r="H12" s="1228" t="e">
        <f>'All Funds SchA Adopted 2014 1pg'!F13</f>
        <v>#REF!</v>
      </c>
      <c r="I12" s="1228"/>
      <c r="J12" s="1228">
        <f>'All Funds SchA Adopted 2014 1pg'!K14+'All Funds SchA Adopted 2014 1pg'!M14+'All Funds SchA Adopted 2014 1pg'!N14+'All Funds SchA Adopted 2014 1pg'!P14</f>
        <v>13125042</v>
      </c>
      <c r="K12" s="1228"/>
      <c r="L12" s="1228">
        <f>'All Funds SchA Adopted 2014 1pg'!H14+'All Funds SchA Adopted 2014 1pg'!U14</f>
        <v>23929746</v>
      </c>
      <c r="M12" s="1228"/>
      <c r="N12" s="1228">
        <f>'All Funds SchA Adopted 2014 1pg'!E14+'All Funds SchA Adopted 2014 1pg'!I14+'All Funds SchA Adopted 2014 1pg'!J14+'All Funds SchA Adopted 2014 1pg'!L14+'All Funds SchA Adopted 2014 1pg'!O14</f>
        <v>104597074</v>
      </c>
      <c r="O12" s="1228"/>
      <c r="P12" s="824" t="e">
        <f>SUM(D12:N12)</f>
        <v>#REF!</v>
      </c>
      <c r="Q12" s="1335" t="s">
        <v>47</v>
      </c>
      <c r="R12" s="355"/>
      <c r="S12" s="1315"/>
      <c r="T12" s="1315"/>
      <c r="U12" s="1315"/>
      <c r="V12" s="1315"/>
      <c r="W12" s="1315"/>
      <c r="X12" s="1313"/>
      <c r="Y12" s="1335"/>
      <c r="Z12" s="1335"/>
      <c r="AA12" s="1335"/>
      <c r="AB12" s="1335"/>
      <c r="AC12" s="1335"/>
      <c r="AD12" s="1335"/>
      <c r="AE12" s="1336"/>
      <c r="AF12" s="1335"/>
      <c r="AG12" s="1335"/>
      <c r="AH12" s="1335"/>
      <c r="AI12" s="1335"/>
      <c r="AJ12" s="1335"/>
      <c r="AK12" s="1335"/>
      <c r="AL12" s="1335"/>
      <c r="AM12" s="1335"/>
      <c r="AN12" s="1335"/>
      <c r="AO12" s="1335"/>
      <c r="AP12" s="1335"/>
      <c r="AQ12" s="1335"/>
      <c r="AR12" s="1335"/>
    </row>
    <row r="13" spans="1:44" s="1337" customFormat="1" ht="20.100000000000001" customHeight="1">
      <c r="A13" s="1338" t="s">
        <v>935</v>
      </c>
      <c r="B13" s="1330"/>
      <c r="C13" s="1330"/>
      <c r="D13" s="1228">
        <f>'All Funds SchA Adopted 2014 1pg'!D11</f>
        <v>5000000</v>
      </c>
      <c r="E13" s="1215"/>
      <c r="F13" s="1228"/>
      <c r="G13" s="1228"/>
      <c r="H13" s="1228"/>
      <c r="I13" s="1228"/>
      <c r="J13" s="1228"/>
      <c r="K13" s="1228"/>
      <c r="L13" s="1228"/>
      <c r="M13" s="1228"/>
      <c r="N13" s="1228"/>
      <c r="O13" s="1228"/>
      <c r="P13" s="824">
        <f>SUM(D13:N13)</f>
        <v>5000000</v>
      </c>
      <c r="Q13" s="1335" t="s">
        <v>47</v>
      </c>
      <c r="R13" s="355"/>
      <c r="S13" s="1315"/>
      <c r="T13" s="1315"/>
      <c r="U13" s="1315"/>
      <c r="V13" s="1315"/>
      <c r="W13" s="1315"/>
      <c r="X13" s="1313"/>
      <c r="Y13" s="1335"/>
      <c r="Z13" s="1335"/>
      <c r="AA13" s="1335"/>
      <c r="AB13" s="1335"/>
      <c r="AC13" s="1335"/>
      <c r="AD13" s="1335"/>
      <c r="AE13" s="1336"/>
      <c r="AF13" s="1335"/>
      <c r="AG13" s="1335"/>
      <c r="AH13" s="1335"/>
      <c r="AI13" s="1335"/>
      <c r="AJ13" s="1335"/>
      <c r="AK13" s="1335"/>
      <c r="AL13" s="1335"/>
      <c r="AM13" s="1335"/>
      <c r="AN13" s="1335"/>
      <c r="AO13" s="1335"/>
      <c r="AP13" s="1335"/>
      <c r="AQ13" s="1335"/>
      <c r="AR13" s="1335"/>
    </row>
    <row r="14" spans="1:44" s="1337" customFormat="1" ht="23.25">
      <c r="A14" s="1339" t="s">
        <v>736</v>
      </c>
      <c r="B14" s="1330"/>
      <c r="C14" s="1330" t="s">
        <v>424</v>
      </c>
      <c r="D14" s="1212">
        <f>SUM(D12:D13)</f>
        <v>64983421</v>
      </c>
      <c r="E14" s="1215"/>
      <c r="F14" s="1230" t="e">
        <f>SUM(F12:F12)</f>
        <v>#REF!</v>
      </c>
      <c r="G14" s="1228"/>
      <c r="H14" s="1230" t="e">
        <f>SUM(H12:H12)</f>
        <v>#REF!</v>
      </c>
      <c r="I14" s="1228"/>
      <c r="J14" s="1230">
        <f>SUM(J12:J12)</f>
        <v>13125042</v>
      </c>
      <c r="K14" s="1228"/>
      <c r="L14" s="1230">
        <f>SUM(L12:L12)</f>
        <v>23929746</v>
      </c>
      <c r="M14" s="1228"/>
      <c r="N14" s="1230">
        <f>SUM(N12:N12)</f>
        <v>104597074</v>
      </c>
      <c r="O14" s="1228"/>
      <c r="P14" s="825" t="e">
        <f>SUM(D14:N14)</f>
        <v>#REF!</v>
      </c>
      <c r="Q14" s="1340" t="s">
        <v>47</v>
      </c>
      <c r="R14" s="355"/>
      <c r="S14" s="1315"/>
      <c r="T14" s="1315"/>
      <c r="U14" s="1315"/>
      <c r="V14" s="1315"/>
      <c r="W14" s="1315"/>
      <c r="X14" s="1320"/>
      <c r="Y14" s="1335"/>
      <c r="Z14" s="1335"/>
      <c r="AA14" s="1335"/>
      <c r="AB14" s="1335"/>
      <c r="AC14" s="1335"/>
      <c r="AD14" s="1335"/>
      <c r="AE14" s="1336"/>
      <c r="AF14" s="1335"/>
      <c r="AG14" s="1335"/>
      <c r="AH14" s="1335"/>
      <c r="AI14" s="1335"/>
      <c r="AJ14" s="1335"/>
      <c r="AK14" s="1335"/>
      <c r="AL14" s="1335"/>
      <c r="AM14" s="1335"/>
      <c r="AN14" s="1335"/>
      <c r="AO14" s="1335"/>
      <c r="AP14" s="1335"/>
      <c r="AQ14" s="1335"/>
      <c r="AR14" s="1335"/>
    </row>
    <row r="15" spans="1:44" s="1337" customFormat="1" ht="12" customHeight="1">
      <c r="A15" s="1339"/>
      <c r="B15" s="1330"/>
      <c r="C15" s="1330"/>
      <c r="D15" s="1215"/>
      <c r="E15" s="1215"/>
      <c r="F15" s="1228"/>
      <c r="G15" s="1228"/>
      <c r="H15" s="1228"/>
      <c r="I15" s="1228"/>
      <c r="J15" s="1228"/>
      <c r="K15" s="1228"/>
      <c r="L15" s="1228"/>
      <c r="M15" s="1228"/>
      <c r="N15" s="1228"/>
      <c r="O15" s="1228"/>
      <c r="P15" s="824"/>
      <c r="Q15" s="1335"/>
      <c r="R15" s="355"/>
      <c r="S15" s="1315"/>
      <c r="T15" s="1315"/>
      <c r="U15" s="1315"/>
      <c r="V15" s="1315"/>
      <c r="W15" s="1315"/>
      <c r="X15" s="1320"/>
      <c r="Y15" s="1335"/>
      <c r="Z15" s="1335"/>
      <c r="AA15" s="1335"/>
      <c r="AB15" s="1335"/>
      <c r="AC15" s="1335"/>
      <c r="AD15" s="1335"/>
      <c r="AE15" s="1336"/>
      <c r="AF15" s="1335"/>
      <c r="AG15" s="1335"/>
      <c r="AH15" s="1335"/>
      <c r="AI15" s="1335"/>
      <c r="AJ15" s="1335"/>
      <c r="AK15" s="1335"/>
      <c r="AL15" s="1335"/>
      <c r="AM15" s="1335"/>
      <c r="AN15" s="1335"/>
      <c r="AO15" s="1335"/>
      <c r="AP15" s="1335"/>
      <c r="AQ15" s="1335"/>
      <c r="AR15" s="1335"/>
    </row>
    <row r="16" spans="1:44" s="1335" customFormat="1" ht="15.75" customHeight="1">
      <c r="A16" s="1341" t="s">
        <v>735</v>
      </c>
      <c r="B16" s="1342"/>
      <c r="C16" s="1342"/>
      <c r="D16" s="1228"/>
      <c r="E16" s="1228"/>
      <c r="F16" s="1228"/>
      <c r="G16" s="1228"/>
      <c r="H16" s="1228"/>
      <c r="I16" s="1228"/>
      <c r="J16" s="1228"/>
      <c r="K16" s="1228"/>
      <c r="L16" s="1228"/>
      <c r="M16" s="1228"/>
      <c r="N16" s="1228"/>
      <c r="O16" s="1228"/>
      <c r="P16" s="824"/>
      <c r="R16" s="355"/>
      <c r="S16" s="1315"/>
      <c r="T16" s="1315"/>
      <c r="U16" s="1315"/>
      <c r="V16" s="1315"/>
      <c r="W16" s="1315"/>
      <c r="AE16" s="1336"/>
    </row>
    <row r="17" spans="1:32" s="1335" customFormat="1" ht="16.5" customHeight="1">
      <c r="A17" s="1646" t="s">
        <v>747</v>
      </c>
      <c r="B17" s="1647"/>
      <c r="C17" s="1342"/>
      <c r="D17" s="1228"/>
      <c r="E17" s="1228"/>
      <c r="F17" s="1228"/>
      <c r="G17" s="1228"/>
      <c r="H17" s="1228"/>
      <c r="I17" s="1228"/>
      <c r="J17" s="1228"/>
      <c r="K17" s="1228"/>
      <c r="L17" s="1228"/>
      <c r="M17" s="1228"/>
      <c r="N17" s="1228"/>
      <c r="O17" s="1228"/>
      <c r="P17" s="824"/>
      <c r="R17" s="355"/>
      <c r="S17" s="1315"/>
      <c r="T17" s="1315"/>
      <c r="U17" s="1315"/>
      <c r="V17" s="1315"/>
      <c r="W17" s="1315"/>
      <c r="AE17" s="1336"/>
    </row>
    <row r="18" spans="1:32" s="1335" customFormat="1" ht="20.100000000000001" customHeight="1">
      <c r="A18" s="1338" t="s">
        <v>427</v>
      </c>
      <c r="B18" s="1343">
        <v>4.1193</v>
      </c>
      <c r="C18" s="1342"/>
      <c r="D18" s="1228">
        <f>'All Funds SchA Adopted 2014 1pg'!D18</f>
        <v>97569296</v>
      </c>
      <c r="E18" s="1228"/>
      <c r="F18" s="1228">
        <f>'[2]All Funds Sch A Left'!E15+'[2]All Funds Sch A Left'!F15+'[2]All Funds Sch A Left'!G15+'[2]All Funds Sch A Left'!H15+'[2]All Funds Sch A Left'!I15</f>
        <v>0</v>
      </c>
      <c r="G18" s="1228"/>
      <c r="H18" s="1228">
        <v>0</v>
      </c>
      <c r="I18" s="1228"/>
      <c r="J18" s="1228">
        <v>0</v>
      </c>
      <c r="K18" s="1228"/>
      <c r="L18" s="1228">
        <f>'[2]All Funds Sch A Right'!D15+'[2]All Funds Sch A Right'!E15</f>
        <v>0</v>
      </c>
      <c r="M18" s="1228"/>
      <c r="N18" s="1228">
        <f>'[2]All Funds Sch A Right'!G15+'[2]All Funds Sch A Right'!I15+'[2]All Funds Sch A Right'!K15+'[2]All Funds Sch A Right'!M15+'[2]All Funds Sch A Right'!O15</f>
        <v>0</v>
      </c>
      <c r="O18" s="1228"/>
      <c r="P18" s="824">
        <f t="shared" ref="P18:P28" si="0">SUM(D18:N18)</f>
        <v>97569296</v>
      </c>
      <c r="Q18" s="1335" t="s">
        <v>47</v>
      </c>
      <c r="R18" s="355"/>
      <c r="S18" s="1315"/>
      <c r="T18" s="1315"/>
      <c r="U18" s="1315"/>
      <c r="V18" s="1315"/>
      <c r="W18" s="1315"/>
      <c r="X18" s="1313"/>
      <c r="AE18" s="1336"/>
    </row>
    <row r="19" spans="1:32" s="1335" customFormat="1" ht="20.100000000000001" customHeight="1">
      <c r="A19" s="827" t="s">
        <v>939</v>
      </c>
      <c r="B19" s="804">
        <v>0.20710000000000001</v>
      </c>
      <c r="C19" s="1342"/>
      <c r="D19" s="1228"/>
      <c r="E19" s="1228"/>
      <c r="F19" s="1228">
        <f>'[2]All Funds Sch A Left'!E16+'[2]All Funds Sch A Left'!F16+'[2]All Funds Sch A Left'!G16+'[2]All Funds Sch A Left'!H16+'[2]All Funds Sch A Left'!I16</f>
        <v>0</v>
      </c>
      <c r="G19" s="1228"/>
      <c r="H19" s="1228" t="e">
        <f>'All Funds SchA Adopted 2014 1pg'!F19</f>
        <v>#REF!</v>
      </c>
      <c r="I19" s="1228"/>
      <c r="J19" s="1228">
        <v>0</v>
      </c>
      <c r="K19" s="1228"/>
      <c r="L19" s="1228">
        <f>'[2]All Funds Sch A Right'!D16+'[2]All Funds Sch A Right'!E16</f>
        <v>0</v>
      </c>
      <c r="M19" s="1228"/>
      <c r="N19" s="1228">
        <f>'[2]All Funds Sch A Right'!G16+'[2]All Funds Sch A Right'!I16+'[2]All Funds Sch A Right'!K16+'[2]All Funds Sch A Right'!M16+'[2]All Funds Sch A Right'!O16</f>
        <v>0</v>
      </c>
      <c r="O19" s="1228"/>
      <c r="P19" s="824" t="e">
        <f t="shared" si="0"/>
        <v>#REF!</v>
      </c>
      <c r="Q19" s="1335" t="s">
        <v>47</v>
      </c>
      <c r="R19" s="355"/>
      <c r="S19" s="1315"/>
      <c r="T19" s="1315"/>
      <c r="U19" s="1315"/>
      <c r="V19" s="1315"/>
      <c r="W19" s="1315"/>
      <c r="X19" s="1313"/>
      <c r="AE19" s="1336"/>
    </row>
    <row r="20" spans="1:32" s="1335" customFormat="1" ht="20.100000000000001" customHeight="1">
      <c r="A20" s="1338" t="s">
        <v>431</v>
      </c>
      <c r="B20" s="1344">
        <v>1</v>
      </c>
      <c r="C20" s="1342"/>
      <c r="D20" s="1232">
        <v>0</v>
      </c>
      <c r="E20" s="1228"/>
      <c r="F20" s="1228">
        <f>'All Funds SchA Adopted 2014 1pg'!W20</f>
        <v>80098</v>
      </c>
      <c r="G20" s="1228"/>
      <c r="H20" s="1228">
        <f>'[2]All Funds Sch A Left'!J19</f>
        <v>0</v>
      </c>
      <c r="I20" s="1228"/>
      <c r="J20" s="1228">
        <v>0</v>
      </c>
      <c r="K20" s="1228"/>
      <c r="L20" s="1228">
        <f>'[2]All Funds Sch A Right'!D19+'[2]All Funds Sch A Right'!E19</f>
        <v>0</v>
      </c>
      <c r="M20" s="1228"/>
      <c r="N20" s="1228">
        <f>'[2]All Funds Sch A Right'!G19+'[2]All Funds Sch A Right'!I19+'[2]All Funds Sch A Right'!K19+'[2]All Funds Sch A Right'!M19+'[2]All Funds Sch A Right'!O19</f>
        <v>0</v>
      </c>
      <c r="O20" s="1228"/>
      <c r="P20" s="824">
        <f t="shared" si="0"/>
        <v>80098</v>
      </c>
      <c r="Q20" s="1335" t="s">
        <v>47</v>
      </c>
      <c r="R20" s="355"/>
      <c r="S20" s="1315"/>
      <c r="T20" s="1315"/>
      <c r="U20" s="1315"/>
      <c r="V20" s="1315"/>
      <c r="W20" s="1315"/>
      <c r="X20" s="1320"/>
      <c r="AE20" s="1336"/>
    </row>
    <row r="21" spans="1:32" s="1335" customFormat="1" ht="20.100000000000001" customHeight="1">
      <c r="A21" s="1338" t="s">
        <v>432</v>
      </c>
      <c r="B21" s="1345"/>
      <c r="C21" s="1342"/>
      <c r="D21" s="1228">
        <f>'All Funds SchA Adopted 2014 1pg'!D21</f>
        <v>4882276</v>
      </c>
      <c r="E21" s="1228"/>
      <c r="F21" s="1228">
        <f>'[2]All Funds Sch A Left'!E20+'[2]All Funds Sch A Left'!F20+'[2]All Funds Sch A Left'!G20+'[2]All Funds Sch A Left'!H20+'[2]All Funds Sch A Left'!I20</f>
        <v>0</v>
      </c>
      <c r="G21" s="1228"/>
      <c r="H21" s="1228">
        <f>'[2]All Funds Sch A Left'!J20</f>
        <v>0</v>
      </c>
      <c r="I21" s="1228"/>
      <c r="J21" s="1228">
        <f>'[2]All Funds Sch A Right'!B20+'[2]All Funds Sch A Right'!C20</f>
        <v>0</v>
      </c>
      <c r="K21" s="1228"/>
      <c r="L21" s="1228">
        <f>'[2]All Funds Sch A Right'!D20+'[2]All Funds Sch A Right'!E20</f>
        <v>0</v>
      </c>
      <c r="M21" s="1228"/>
      <c r="N21" s="1228">
        <f>'[2]All Funds Sch A Right'!G20+'[2]All Funds Sch A Right'!I20+'[2]All Funds Sch A Right'!K20+'[2]All Funds Sch A Right'!M20+'[2]All Funds Sch A Right'!O20</f>
        <v>0</v>
      </c>
      <c r="O21" s="1228"/>
      <c r="P21" s="824">
        <f t="shared" si="0"/>
        <v>4882276</v>
      </c>
      <c r="R21" s="355"/>
      <c r="S21" s="1315"/>
      <c r="T21" s="1315"/>
      <c r="U21" s="1315"/>
      <c r="V21" s="1315"/>
      <c r="W21" s="1315"/>
      <c r="AE21" s="1336"/>
    </row>
    <row r="22" spans="1:32" s="1335" customFormat="1" ht="20.100000000000001" customHeight="1">
      <c r="A22" s="1338" t="s">
        <v>433</v>
      </c>
      <c r="B22" s="1342"/>
      <c r="C22" s="1342"/>
      <c r="D22" s="1228">
        <f>'All Funds SchA Adopted 2014 1pg'!D22</f>
        <v>15228206</v>
      </c>
      <c r="E22" s="1228"/>
      <c r="F22" s="1228">
        <f>'[2]All Funds Sch A Left'!E21+'[2]All Funds Sch A Left'!F21+'[2]All Funds Sch A Left'!G21+'[2]All Funds Sch A Left'!H21+'[2]All Funds Sch A Left'!I21</f>
        <v>0</v>
      </c>
      <c r="G22" s="1228"/>
      <c r="H22" s="1228">
        <f>'[2]All Funds Sch A Left'!J21</f>
        <v>0</v>
      </c>
      <c r="I22" s="1228"/>
      <c r="J22" s="1228">
        <f>'[2]All Funds Sch A Right'!B21+'[2]All Funds Sch A Right'!C21</f>
        <v>0</v>
      </c>
      <c r="K22" s="1228"/>
      <c r="L22" s="1228">
        <f>'[2]All Funds Sch A Right'!D21+'[2]All Funds Sch A Right'!E21</f>
        <v>0</v>
      </c>
      <c r="M22" s="1228"/>
      <c r="N22" s="1228">
        <f>'[2]All Funds Sch A Right'!G21+'[2]All Funds Sch A Right'!I21+'[2]All Funds Sch A Right'!K21+'[2]All Funds Sch A Right'!M21+'[2]All Funds Sch A Right'!O21</f>
        <v>0</v>
      </c>
      <c r="O22" s="1228"/>
      <c r="P22" s="824">
        <f t="shared" si="0"/>
        <v>15228206</v>
      </c>
      <c r="R22" s="355"/>
      <c r="S22" s="1315"/>
      <c r="T22" s="1315"/>
      <c r="U22" s="1315"/>
      <c r="V22" s="1315"/>
      <c r="W22" s="1315"/>
      <c r="AE22" s="1336"/>
    </row>
    <row r="23" spans="1:32" s="1335" customFormat="1" ht="20.100000000000001" customHeight="1">
      <c r="A23" s="1338" t="s">
        <v>434</v>
      </c>
      <c r="B23" s="1342"/>
      <c r="C23" s="1342"/>
      <c r="D23" s="1228">
        <f>'All Funds SchA Adopted 2014 1pg'!D23</f>
        <v>36592965</v>
      </c>
      <c r="E23" s="1228"/>
      <c r="F23" s="1228">
        <f>'[2]All Funds Sch A Left'!E22+'[2]All Funds Sch A Left'!F22+'[2]All Funds Sch A Left'!G22+'[2]All Funds Sch A Left'!H22+'[2]All Funds Sch A Left'!I22</f>
        <v>0</v>
      </c>
      <c r="G23" s="1228"/>
      <c r="H23" s="1228">
        <f>'[2]All Funds Sch A Left'!J22</f>
        <v>0</v>
      </c>
      <c r="I23" s="1228"/>
      <c r="J23" s="1228">
        <f>'[2]All Funds Sch A Right'!B22+'[2]All Funds Sch A Right'!C22</f>
        <v>0</v>
      </c>
      <c r="K23" s="1228"/>
      <c r="L23" s="1228">
        <f>'[2]All Funds Sch A Right'!D22+'[2]All Funds Sch A Right'!E22</f>
        <v>0</v>
      </c>
      <c r="M23" s="1228"/>
      <c r="N23" s="1228">
        <f>'[2]All Funds Sch A Right'!G22+'[2]All Funds Sch A Right'!I22+'[2]All Funds Sch A Right'!K22+'[2]All Funds Sch A Right'!M22+'[2]All Funds Sch A Right'!O22</f>
        <v>0</v>
      </c>
      <c r="O23" s="1228"/>
      <c r="P23" s="824">
        <f t="shared" si="0"/>
        <v>36592965</v>
      </c>
      <c r="R23" s="457"/>
      <c r="AE23" s="1336"/>
    </row>
    <row r="24" spans="1:32" s="1335" customFormat="1" ht="20.100000000000001" customHeight="1">
      <c r="A24" s="1338" t="s">
        <v>435</v>
      </c>
      <c r="B24" s="1342"/>
      <c r="C24" s="1342"/>
      <c r="D24" s="1228">
        <f>'All Funds SchA Adopted 2014 1pg'!D24</f>
        <v>2924286</v>
      </c>
      <c r="E24" s="1228"/>
      <c r="F24" s="1228" t="e">
        <f>'All Funds SchA Adopted 2014 1pg'!G24</f>
        <v>#REF!</v>
      </c>
      <c r="G24" s="1228"/>
      <c r="H24" s="1228">
        <f>'[2]All Funds Sch A Left'!J23</f>
        <v>0</v>
      </c>
      <c r="I24" s="1228"/>
      <c r="J24" s="1228">
        <f>'[2]All Funds Sch A Right'!B23+'[2]All Funds Sch A Right'!C23</f>
        <v>0</v>
      </c>
      <c r="K24" s="1228"/>
      <c r="L24" s="1228">
        <f>'[2]All Funds Sch A Right'!D23+'[2]All Funds Sch A Right'!E23</f>
        <v>0</v>
      </c>
      <c r="M24" s="1228"/>
      <c r="N24" s="1228">
        <f>'[2]All Funds Sch A Right'!G23+'[2]All Funds Sch A Right'!I23+'[2]All Funds Sch A Right'!K23+'[2]All Funds Sch A Right'!M23+'[2]All Funds Sch A Right'!O23</f>
        <v>0</v>
      </c>
      <c r="O24" s="1228"/>
      <c r="P24" s="824" t="e">
        <f t="shared" si="0"/>
        <v>#REF!</v>
      </c>
      <c r="R24" s="457"/>
      <c r="AE24" s="1336"/>
    </row>
    <row r="25" spans="1:32" s="1335" customFormat="1" ht="20.100000000000001" customHeight="1">
      <c r="A25" s="1338" t="s">
        <v>408</v>
      </c>
      <c r="B25" s="1342"/>
      <c r="C25" s="1342"/>
      <c r="D25" s="1228">
        <f>'All Funds SchA Adopted 2014 1pg'!D25</f>
        <v>17749691</v>
      </c>
      <c r="E25" s="1228"/>
      <c r="F25" s="1228">
        <f>'All Funds SchA Adopted 2014 1pg'!Q25+'All Funds SchA Adopted 2014 1pg'!R25</f>
        <v>17559694</v>
      </c>
      <c r="G25" s="1228"/>
      <c r="H25" s="1228">
        <f>'[2]All Funds Sch A Left'!J24</f>
        <v>0</v>
      </c>
      <c r="I25" s="1228"/>
      <c r="J25" s="1228">
        <f>'[2]All Funds Sch A Right'!B24+'[2]All Funds Sch A Right'!C24</f>
        <v>0</v>
      </c>
      <c r="K25" s="1228"/>
      <c r="L25" s="1228">
        <f>'[2]All Funds Sch A Right'!D24+'[2]All Funds Sch A Right'!E24</f>
        <v>0</v>
      </c>
      <c r="M25" s="1228"/>
      <c r="N25" s="1228">
        <f>'[2]All Funds Sch A Right'!G24+'[2]All Funds Sch A Right'!I24+'[2]All Funds Sch A Right'!K24+'[2]All Funds Sch A Right'!M24+'[2]All Funds Sch A Right'!O24</f>
        <v>0</v>
      </c>
      <c r="O25" s="1228"/>
      <c r="P25" s="824">
        <f t="shared" si="0"/>
        <v>35309385</v>
      </c>
      <c r="R25" s="457"/>
      <c r="AE25" s="1336"/>
    </row>
    <row r="26" spans="1:32" s="1335" customFormat="1" ht="20.100000000000001" customHeight="1">
      <c r="A26" s="1338" t="s">
        <v>114</v>
      </c>
      <c r="B26" s="1342"/>
      <c r="C26" s="1342"/>
      <c r="D26" s="1228">
        <f>'All Funds SchA Adopted 2014 1pg'!D26</f>
        <v>26036670</v>
      </c>
      <c r="E26" s="1228"/>
      <c r="F26" s="1228" t="e">
        <f>'All Funds SchA Adopted 2014 1pg'!G26</f>
        <v>#REF!</v>
      </c>
      <c r="G26" s="1228"/>
      <c r="H26" s="1228">
        <f>'[2]All Funds Sch A Left'!J25</f>
        <v>0</v>
      </c>
      <c r="I26" s="1228"/>
      <c r="J26" s="1228">
        <f>'All Funds SchA Adopted 2014 1pg'!K26+'All Funds SchA Adopted 2014 1pg'!M26+'All Funds SchA Adopted 2014 1pg'!N26+'All Funds SchA Adopted 2014 1pg'!P26</f>
        <v>70821958</v>
      </c>
      <c r="K26" s="1228"/>
      <c r="L26" s="1228">
        <f>'All Funds SchA Adopted 2014 1pg'!U26</f>
        <v>1155995</v>
      </c>
      <c r="M26" s="1228"/>
      <c r="N26" s="1228">
        <f>'All Funds SchA Adopted 2014 1pg'!E26+'All Funds SchA Adopted 2014 1pg'!I26+'All Funds SchA Adopted 2014 1pg'!J26+'All Funds SchA Adopted 2014 1pg'!L26+'All Funds SchA Adopted 2014 1pg'!O26</f>
        <v>159500220</v>
      </c>
      <c r="O26" s="1228"/>
      <c r="P26" s="824" t="e">
        <f t="shared" si="0"/>
        <v>#REF!</v>
      </c>
      <c r="R26" s="457"/>
      <c r="AE26" s="1336">
        <f>19105722+112973591+5781000+10671427+3104336</f>
        <v>151636076</v>
      </c>
      <c r="AF26" s="1336">
        <f>AE26-N26</f>
        <v>-7864144</v>
      </c>
    </row>
    <row r="27" spans="1:32" s="1335" customFormat="1" ht="20.100000000000001" customHeight="1">
      <c r="A27" s="1338" t="s">
        <v>436</v>
      </c>
      <c r="B27" s="1342"/>
      <c r="C27" s="1342"/>
      <c r="D27" s="1228">
        <f>'All Funds SchA Adopted 2014 1pg'!D27</f>
        <v>4799918</v>
      </c>
      <c r="E27" s="1228"/>
      <c r="F27" s="1228">
        <f>'All Funds SchA Adopted 2014 1pg'!S27+'All Funds SchA Adopted 2014 1pg'!V27</f>
        <v>1127600</v>
      </c>
      <c r="G27" s="1228"/>
      <c r="H27" s="1228">
        <f>'[2]All Funds Sch A Left'!J26</f>
        <v>0</v>
      </c>
      <c r="I27" s="1228"/>
      <c r="J27" s="1228">
        <f>'All Funds SchA Adopted 2014 1pg'!K27+'All Funds SchA Adopted 2014 1pg'!M27+'All Funds SchA Adopted 2014 1pg'!N27+'All Funds SchA Adopted 2014 1pg'!P27</f>
        <v>0</v>
      </c>
      <c r="K27" s="1228"/>
      <c r="L27" s="1228">
        <f>'[2]All Funds Sch A Right'!D26+'[2]All Funds Sch A Right'!E26</f>
        <v>0</v>
      </c>
      <c r="M27" s="1228"/>
      <c r="N27" s="1228">
        <f>'All Funds SchA Adopted 2014 1pg'!J27</f>
        <v>3038435</v>
      </c>
      <c r="O27" s="1228"/>
      <c r="P27" s="824">
        <f t="shared" si="0"/>
        <v>8965953</v>
      </c>
      <c r="R27" s="457"/>
      <c r="AE27" s="1336">
        <f>3447000+160000</f>
        <v>3607000</v>
      </c>
      <c r="AF27" s="1336">
        <f t="shared" ref="AF27:AF37" si="1">AE27-N27</f>
        <v>568565</v>
      </c>
    </row>
    <row r="28" spans="1:32" s="1335" customFormat="1" ht="20.100000000000001" customHeight="1">
      <c r="A28" s="1338" t="s">
        <v>738</v>
      </c>
      <c r="B28" s="1342"/>
      <c r="C28" s="1342"/>
      <c r="D28" s="1228">
        <f>'All Funds SchA Adopted 2014 1pg'!D28</f>
        <v>78384413</v>
      </c>
      <c r="E28" s="1228"/>
      <c r="F28" s="1228" t="e">
        <f>'All Funds SchA Adopted 2014 1pg'!G28+'All Funds SchA Adopted 2014 1pg'!Q28+'All Funds SchA Adopted 2014 1pg'!S28+'All Funds SchA Adopted 2014 1pg'!T28+'All Funds SchA Adopted 2014 1pg'!W28</f>
        <v>#REF!</v>
      </c>
      <c r="G28" s="1228"/>
      <c r="H28" s="1228">
        <f>'[2]All Funds Sch A Left'!J27</f>
        <v>0</v>
      </c>
      <c r="I28" s="1228"/>
      <c r="J28" s="1228">
        <f>'All Funds SchA Adopted 2014 1pg'!K28+'All Funds SchA Adopted 2014 1pg'!M28+'All Funds SchA Adopted 2014 1pg'!N28+'All Funds SchA Adopted 2014 1pg'!P28</f>
        <v>624399</v>
      </c>
      <c r="K28" s="1228"/>
      <c r="L28" s="1228">
        <f>'All Funds SchA Adopted 2014 1pg'!H28</f>
        <v>2200000</v>
      </c>
      <c r="M28" s="1228"/>
      <c r="N28" s="1228">
        <f>'All Funds SchA Adopted 2014 1pg'!E28+'All Funds SchA Adopted 2014 1pg'!I28+'All Funds SchA Adopted 2014 1pg'!J28+'All Funds SchA Adopted 2014 1pg'!L28+'All Funds SchA Adopted 2014 1pg'!O28</f>
        <v>11056353</v>
      </c>
      <c r="O28" s="1228"/>
      <c r="P28" s="824" t="e">
        <f t="shared" si="0"/>
        <v>#REF!</v>
      </c>
      <c r="R28" s="457"/>
      <c r="AE28" s="1336">
        <f>44000+5910219+150000+357749+3688536</f>
        <v>10150504</v>
      </c>
      <c r="AF28" s="1336">
        <f t="shared" si="1"/>
        <v>-905849</v>
      </c>
    </row>
    <row r="29" spans="1:32" s="1335" customFormat="1" ht="20.100000000000001" customHeight="1">
      <c r="A29" s="1338" t="s">
        <v>739</v>
      </c>
      <c r="B29" s="1342"/>
      <c r="C29" s="1342" t="s">
        <v>424</v>
      </c>
      <c r="D29" s="1230">
        <f>SUM(D17:D28)</f>
        <v>284167721</v>
      </c>
      <c r="E29" s="1228"/>
      <c r="F29" s="1230" t="e">
        <f>SUM(F17:F28)</f>
        <v>#REF!</v>
      </c>
      <c r="G29" s="1228"/>
      <c r="H29" s="1230" t="e">
        <f>SUM(H17:H28)</f>
        <v>#REF!</v>
      </c>
      <c r="I29" s="1228"/>
      <c r="J29" s="1230">
        <f>SUM(J17:J28)</f>
        <v>71446357</v>
      </c>
      <c r="K29" s="1228"/>
      <c r="L29" s="1230">
        <f>SUM(L17:L28)</f>
        <v>3355995</v>
      </c>
      <c r="M29" s="1228"/>
      <c r="N29" s="1230">
        <f>SUM(N17:N28)</f>
        <v>173595008</v>
      </c>
      <c r="O29" s="1228"/>
      <c r="P29" s="825" t="e">
        <f>SUM(P17:P28)</f>
        <v>#REF!</v>
      </c>
      <c r="Q29" s="1340"/>
      <c r="R29" s="457"/>
      <c r="AE29" s="1336">
        <f>SUM(AE26:AE28)</f>
        <v>165393580</v>
      </c>
      <c r="AF29" s="1336">
        <f t="shared" si="1"/>
        <v>-8201428</v>
      </c>
    </row>
    <row r="30" spans="1:32" s="1335" customFormat="1" ht="20.100000000000001" customHeight="1">
      <c r="A30" s="1338" t="s">
        <v>439</v>
      </c>
      <c r="B30" s="1342"/>
      <c r="C30" s="1342" t="s">
        <v>424</v>
      </c>
      <c r="D30" s="1233">
        <f>'All Funds SchA Adopted 2014 1pg'!D31</f>
        <v>982884</v>
      </c>
      <c r="E30" s="1228"/>
      <c r="F30" s="1233">
        <f>'All Funds SchA Adopted 2014 1pg'!Q31</f>
        <v>4496529</v>
      </c>
      <c r="G30" s="1228"/>
      <c r="H30" s="1233" t="e">
        <f>'All Funds SchA Adopted 2014 1pg'!F31</f>
        <v>#REF!</v>
      </c>
      <c r="I30" s="1228"/>
      <c r="J30" s="1233">
        <v>2104890</v>
      </c>
      <c r="K30" s="1228"/>
      <c r="L30" s="1233">
        <f>'[2]All Funds Sch A Right'!D30+'[2]All Funds Sch A Right'!E30</f>
        <v>0</v>
      </c>
      <c r="M30" s="1228"/>
      <c r="N30" s="1233">
        <f>'All Funds SchA Adopted 2014 1pg'!I31</f>
        <v>3000000</v>
      </c>
      <c r="O30" s="1228"/>
      <c r="P30" s="828" t="e">
        <f>SUM(D30:N30)</f>
        <v>#REF!</v>
      </c>
      <c r="R30" s="457"/>
      <c r="AE30" s="1336">
        <f>31114097</f>
        <v>31114097</v>
      </c>
      <c r="AF30" s="1336">
        <f t="shared" si="1"/>
        <v>28114097</v>
      </c>
    </row>
    <row r="31" spans="1:32" s="1335" customFormat="1" ht="20.100000000000001" customHeight="1">
      <c r="A31" s="1338"/>
      <c r="B31" s="1342"/>
      <c r="C31" s="1342"/>
      <c r="D31" s="1228"/>
      <c r="E31" s="1228"/>
      <c r="F31" s="1228"/>
      <c r="G31" s="1228"/>
      <c r="H31" s="1228"/>
      <c r="I31" s="1228"/>
      <c r="J31" s="1228"/>
      <c r="K31" s="1228"/>
      <c r="L31" s="1228"/>
      <c r="M31" s="1228"/>
      <c r="N31" s="1228"/>
      <c r="O31" s="1228"/>
      <c r="P31" s="824"/>
      <c r="R31" s="457"/>
      <c r="AE31" s="1336"/>
      <c r="AF31" s="1336">
        <f t="shared" si="1"/>
        <v>0</v>
      </c>
    </row>
    <row r="32" spans="1:32" s="1349" customFormat="1" ht="21.95" customHeight="1" thickBot="1">
      <c r="A32" s="1341" t="s">
        <v>737</v>
      </c>
      <c r="B32" s="1346"/>
      <c r="C32" s="1347" t="s">
        <v>424</v>
      </c>
      <c r="D32" s="800">
        <f>D14+D29+D30</f>
        <v>350134026</v>
      </c>
      <c r="E32" s="809"/>
      <c r="F32" s="800" t="e">
        <f>F14+F29+F30</f>
        <v>#REF!</v>
      </c>
      <c r="G32" s="809"/>
      <c r="H32" s="800" t="e">
        <f>H14+H29+H30</f>
        <v>#REF!</v>
      </c>
      <c r="I32" s="809"/>
      <c r="J32" s="800">
        <f>J14+J29+J30</f>
        <v>86676289</v>
      </c>
      <c r="K32" s="809"/>
      <c r="L32" s="800">
        <f>L14+L29+L30</f>
        <v>27285741</v>
      </c>
      <c r="M32" s="809"/>
      <c r="N32" s="800">
        <f>N14+N29+N30</f>
        <v>281192082</v>
      </c>
      <c r="O32" s="809"/>
      <c r="P32" s="829" t="e">
        <f>P14+P29+P30</f>
        <v>#REF!</v>
      </c>
      <c r="Q32" s="1348"/>
      <c r="R32" s="802"/>
      <c r="S32" s="1348"/>
      <c r="AE32" s="1350">
        <f>N29+N30+N14</f>
        <v>281192082</v>
      </c>
      <c r="AF32" s="1336">
        <f t="shared" si="1"/>
        <v>0</v>
      </c>
    </row>
    <row r="33" spans="1:44" s="1335" customFormat="1" ht="14.1" customHeight="1" thickTop="1">
      <c r="A33" s="1341"/>
      <c r="B33" s="1342"/>
      <c r="C33" s="1342"/>
      <c r="D33" s="1228"/>
      <c r="E33" s="1228"/>
      <c r="F33" s="1228"/>
      <c r="G33" s="1228"/>
      <c r="H33" s="1228"/>
      <c r="I33" s="1228"/>
      <c r="J33" s="1228"/>
      <c r="K33" s="1228"/>
      <c r="L33" s="1228"/>
      <c r="M33" s="1228"/>
      <c r="N33" s="1228"/>
      <c r="O33" s="1228"/>
      <c r="P33" s="824"/>
      <c r="R33" s="457"/>
      <c r="AE33" s="1336"/>
      <c r="AF33" s="1336">
        <f t="shared" si="1"/>
        <v>0</v>
      </c>
    </row>
    <row r="34" spans="1:44" s="1335" customFormat="1" ht="6.95" customHeight="1">
      <c r="A34" s="1338"/>
      <c r="B34" s="1342"/>
      <c r="C34" s="1342"/>
      <c r="D34" s="1228"/>
      <c r="E34" s="1228"/>
      <c r="F34" s="1228"/>
      <c r="G34" s="1228"/>
      <c r="H34" s="1228"/>
      <c r="I34" s="1228"/>
      <c r="J34" s="1228"/>
      <c r="K34" s="1228"/>
      <c r="L34" s="1228"/>
      <c r="M34" s="1228"/>
      <c r="N34" s="1228"/>
      <c r="O34" s="1228"/>
      <c r="P34" s="824"/>
      <c r="R34" s="457"/>
      <c r="AE34" s="1336"/>
      <c r="AF34" s="1336">
        <f t="shared" si="1"/>
        <v>0</v>
      </c>
    </row>
    <row r="35" spans="1:44" s="1335" customFormat="1" ht="17.25" customHeight="1">
      <c r="A35" s="1341" t="s">
        <v>595</v>
      </c>
      <c r="B35" s="1342"/>
      <c r="C35" s="1342"/>
      <c r="D35" s="1228"/>
      <c r="E35" s="1228"/>
      <c r="F35" s="1228"/>
      <c r="G35" s="1228"/>
      <c r="H35" s="1228"/>
      <c r="I35" s="1228"/>
      <c r="J35" s="1228"/>
      <c r="K35" s="1228"/>
      <c r="L35" s="1228"/>
      <c r="M35" s="1228"/>
      <c r="N35" s="1228"/>
      <c r="O35" s="1228"/>
      <c r="P35" s="824"/>
      <c r="R35" s="457"/>
      <c r="AE35" s="1336"/>
      <c r="AF35" s="1336">
        <f t="shared" si="1"/>
        <v>0</v>
      </c>
    </row>
    <row r="36" spans="1:44" s="1335" customFormat="1" ht="20.100000000000001" customHeight="1">
      <c r="A36" s="1338" t="s">
        <v>594</v>
      </c>
      <c r="B36" s="1342"/>
      <c r="C36" s="1342" t="s">
        <v>424</v>
      </c>
      <c r="D36" s="1228">
        <f>ROUND('Ad Cognos File'!C5,0)</f>
        <v>48616865</v>
      </c>
      <c r="E36" s="1228"/>
      <c r="F36" s="1228">
        <f>'[2]Program by Fund Type'!D6</f>
        <v>0</v>
      </c>
      <c r="G36" s="1228"/>
      <c r="H36" s="1228">
        <f>ROUND('Ad Cognos File'!E23+'Ad Cognos File'!E26+'Ad Cognos File'!E29+'Ad Cognos File'!E32,0)</f>
        <v>34632541</v>
      </c>
      <c r="I36" s="1228"/>
      <c r="J36" s="1228">
        <f>ROUND('Ad Cognos File'!F35,0)</f>
        <v>2620781</v>
      </c>
      <c r="K36" s="1228"/>
      <c r="L36" s="1228">
        <f>'[2]Program by Fund Type'!J6</f>
        <v>0</v>
      </c>
      <c r="M36" s="1228"/>
      <c r="N36" s="1228">
        <f>'[2]Program by Fund Type'!H6</f>
        <v>0</v>
      </c>
      <c r="O36" s="1228"/>
      <c r="P36" s="824">
        <f t="shared" ref="P36:P43" si="2">SUM(D36:N36)</f>
        <v>85870187</v>
      </c>
      <c r="R36" s="457"/>
      <c r="AE36" s="1336"/>
      <c r="AF36" s="1336">
        <f t="shared" si="1"/>
        <v>0</v>
      </c>
    </row>
    <row r="37" spans="1:44" s="1337" customFormat="1" ht="20.100000000000001" customHeight="1">
      <c r="A37" s="1339" t="s">
        <v>596</v>
      </c>
      <c r="B37" s="1330"/>
      <c r="C37" s="1330"/>
      <c r="D37" s="1228">
        <f>ROUND('Ad Cognos File'!C8,0)</f>
        <v>178056506</v>
      </c>
      <c r="E37" s="1228"/>
      <c r="F37" s="1228">
        <f>ROUND('Ad Cognos File'!D57+'Ad Cognos File'!D60+'Ad Cognos File'!D63+'Ad Cognos File'!D66+'Ad Cognos File'!D69+'Ad Cognos File'!D72,0)</f>
        <v>14744239</v>
      </c>
      <c r="G37" s="1228"/>
      <c r="H37" s="1228">
        <f>'[2]Program by Fund Type'!F10</f>
        <v>0</v>
      </c>
      <c r="I37" s="1228"/>
      <c r="J37" s="1228">
        <f>'[2]Program by Fund Type'!H10</f>
        <v>0</v>
      </c>
      <c r="K37" s="1228"/>
      <c r="L37" s="1228">
        <f>'[2]Program by Fund Type'!J10</f>
        <v>0</v>
      </c>
      <c r="M37" s="1228"/>
      <c r="N37" s="1228">
        <f>'[2]Program by Fund Type'!H10</f>
        <v>0</v>
      </c>
      <c r="O37" s="1228"/>
      <c r="P37" s="824">
        <f t="shared" si="2"/>
        <v>192800745</v>
      </c>
      <c r="Q37" s="1335"/>
      <c r="R37" s="457"/>
      <c r="S37" s="1335"/>
      <c r="T37" s="1335"/>
      <c r="U37" s="1335"/>
      <c r="V37" s="1335"/>
      <c r="W37" s="1335"/>
      <c r="X37" s="1335"/>
      <c r="Y37" s="1335"/>
      <c r="Z37" s="1335"/>
      <c r="AA37" s="1335"/>
      <c r="AB37" s="1335"/>
      <c r="AC37" s="1335"/>
      <c r="AD37" s="1335"/>
      <c r="AE37" s="1336"/>
      <c r="AF37" s="1336">
        <f t="shared" si="1"/>
        <v>0</v>
      </c>
      <c r="AG37" s="1335"/>
      <c r="AH37" s="1335"/>
      <c r="AI37" s="1335"/>
      <c r="AJ37" s="1335"/>
      <c r="AK37" s="1335"/>
      <c r="AL37" s="1335"/>
      <c r="AM37" s="1335"/>
      <c r="AN37" s="1335"/>
      <c r="AO37" s="1335"/>
      <c r="AP37" s="1335"/>
      <c r="AQ37" s="1335"/>
      <c r="AR37" s="1335"/>
    </row>
    <row r="38" spans="1:44" s="1337" customFormat="1" ht="20.100000000000001" customHeight="1">
      <c r="A38" s="1339" t="s">
        <v>597</v>
      </c>
      <c r="B38" s="1330"/>
      <c r="C38" s="1330"/>
      <c r="D38" s="1228">
        <f>ROUND('Ad Cognos File'!C7,0)</f>
        <v>5812302</v>
      </c>
      <c r="E38" s="1228"/>
      <c r="F38" s="1228">
        <f>'[2]Program by Fund Type'!D9</f>
        <v>0</v>
      </c>
      <c r="G38" s="1228"/>
      <c r="H38" s="1228">
        <f>'[2]Program by Fund Type'!F9</f>
        <v>0</v>
      </c>
      <c r="I38" s="1228"/>
      <c r="J38" s="1228">
        <v>0</v>
      </c>
      <c r="K38" s="1228"/>
      <c r="L38" s="1228">
        <f>ROUND('Ad Cognos File'!H89,0)</f>
        <v>870000</v>
      </c>
      <c r="M38" s="1228"/>
      <c r="N38" s="1228">
        <f>ROUND('Ad Cognos File'!G41+'Ad Cognos File'!G45+'Ad Cognos File'!G75+'Ad Cognos File'!G85,0)</f>
        <v>107758915</v>
      </c>
      <c r="O38" s="1228"/>
      <c r="P38" s="824">
        <f t="shared" si="2"/>
        <v>114441217</v>
      </c>
      <c r="Q38" s="1335"/>
      <c r="R38" s="457"/>
      <c r="S38" s="1335"/>
      <c r="T38" s="1335"/>
      <c r="U38" s="1335"/>
      <c r="V38" s="1335"/>
      <c r="W38" s="1335"/>
      <c r="X38" s="1335"/>
      <c r="Y38" s="1335"/>
      <c r="Z38" s="1335"/>
      <c r="AA38" s="1335"/>
      <c r="AB38" s="1335"/>
      <c r="AC38" s="1335"/>
      <c r="AD38" s="1335"/>
      <c r="AE38" s="1336"/>
      <c r="AF38" s="1335"/>
      <c r="AG38" s="1335"/>
      <c r="AH38" s="1335"/>
      <c r="AI38" s="1335"/>
      <c r="AJ38" s="1335"/>
      <c r="AK38" s="1335"/>
      <c r="AL38" s="1335"/>
      <c r="AM38" s="1335"/>
      <c r="AN38" s="1335"/>
      <c r="AO38" s="1335"/>
      <c r="AP38" s="1335"/>
      <c r="AQ38" s="1335"/>
      <c r="AR38" s="1335"/>
    </row>
    <row r="39" spans="1:44" s="1337" customFormat="1" ht="20.100000000000001" customHeight="1">
      <c r="A39" s="1339" t="s">
        <v>598</v>
      </c>
      <c r="B39" s="1330"/>
      <c r="C39" s="1330"/>
      <c r="D39" s="1228">
        <f>ROUND('Ad Cognos File'!C9,0)</f>
        <v>4403124</v>
      </c>
      <c r="E39" s="1228"/>
      <c r="F39" s="1228">
        <f>'[2]Program by Fund Type'!D11</f>
        <v>0</v>
      </c>
      <c r="G39" s="1228"/>
      <c r="H39" s="1228">
        <f>'[2]Program by Fund Type'!F11</f>
        <v>0</v>
      </c>
      <c r="I39" s="1228"/>
      <c r="J39" s="1228">
        <v>0</v>
      </c>
      <c r="K39" s="1228"/>
      <c r="L39" s="1228">
        <f>ROUND('Ad Cognos File'!H91,0)</f>
        <v>899584</v>
      </c>
      <c r="M39" s="1228"/>
      <c r="N39" s="1228">
        <f>ROUND('Ad Cognos File'!G76+'Ad Cognos File'!G79+'Ad Cognos File'!G86+'Ad Cognos File'!G82,0)</f>
        <v>28910302</v>
      </c>
      <c r="O39" s="1228"/>
      <c r="P39" s="824">
        <f t="shared" si="2"/>
        <v>34213010</v>
      </c>
      <c r="Q39" s="1335"/>
      <c r="R39" s="457"/>
      <c r="S39" s="1335"/>
      <c r="T39" s="1335"/>
      <c r="U39" s="1335"/>
      <c r="V39" s="1335"/>
      <c r="W39" s="1335"/>
      <c r="X39" s="1335"/>
      <c r="Y39" s="1335"/>
      <c r="Z39" s="1335"/>
      <c r="AA39" s="1335"/>
      <c r="AB39" s="1335"/>
      <c r="AC39" s="1335"/>
      <c r="AD39" s="1335"/>
      <c r="AE39" s="1336"/>
      <c r="AF39" s="1335"/>
      <c r="AG39" s="1335"/>
      <c r="AH39" s="1335"/>
      <c r="AI39" s="1335"/>
      <c r="AJ39" s="1335"/>
      <c r="AK39" s="1335"/>
      <c r="AL39" s="1335"/>
      <c r="AM39" s="1335"/>
      <c r="AN39" s="1335"/>
      <c r="AO39" s="1335"/>
      <c r="AP39" s="1335"/>
      <c r="AQ39" s="1335"/>
      <c r="AR39" s="1335"/>
    </row>
    <row r="40" spans="1:44" s="1337" customFormat="1" ht="20.100000000000001" customHeight="1">
      <c r="A40" s="1339" t="s">
        <v>599</v>
      </c>
      <c r="B40" s="1330"/>
      <c r="C40" s="1330"/>
      <c r="D40" s="1228">
        <f>ROUND('Ad Cognos File'!C4,0)</f>
        <v>2446657</v>
      </c>
      <c r="E40" s="1228"/>
      <c r="F40" s="1228">
        <f>ROUND('Ad Cognos File'!D11+'Ad Cognos File'!D14+'Ad Cognos File'!D17+'Ad Cognos File'!D20,0)</f>
        <v>14720954</v>
      </c>
      <c r="G40" s="1228"/>
      <c r="H40" s="1228">
        <f>'[2]Program by Fund Type'!F5</f>
        <v>0</v>
      </c>
      <c r="I40" s="1228"/>
      <c r="J40" s="1228">
        <v>0</v>
      </c>
      <c r="K40" s="1228"/>
      <c r="L40" s="1228">
        <f>'[2]Program by Fund Type'!J5</f>
        <v>0</v>
      </c>
      <c r="M40" s="1228"/>
      <c r="N40" s="1228">
        <f>'[2]Program by Fund Type'!H5</f>
        <v>0</v>
      </c>
      <c r="O40" s="1228"/>
      <c r="P40" s="824">
        <f t="shared" si="2"/>
        <v>17167611</v>
      </c>
      <c r="Q40" s="1335"/>
      <c r="R40" s="457"/>
      <c r="S40" s="1335"/>
      <c r="T40" s="1335"/>
      <c r="U40" s="1335"/>
      <c r="V40" s="1335"/>
      <c r="W40" s="1335"/>
      <c r="X40" s="1335"/>
      <c r="Y40" s="1335"/>
      <c r="Z40" s="1335"/>
      <c r="AA40" s="1335"/>
      <c r="AB40" s="1335"/>
      <c r="AC40" s="1335"/>
      <c r="AD40" s="1335"/>
      <c r="AE40" s="1336"/>
      <c r="AF40" s="1335"/>
      <c r="AG40" s="1335"/>
      <c r="AH40" s="1335"/>
      <c r="AI40" s="1335"/>
      <c r="AJ40" s="1335"/>
      <c r="AK40" s="1335"/>
      <c r="AL40" s="1335"/>
      <c r="AM40" s="1335"/>
      <c r="AN40" s="1335"/>
      <c r="AO40" s="1335"/>
      <c r="AP40" s="1335"/>
      <c r="AQ40" s="1335"/>
      <c r="AR40" s="1335"/>
    </row>
    <row r="41" spans="1:44" s="1337" customFormat="1" ht="20.100000000000001" customHeight="1">
      <c r="A41" s="1339" t="s">
        <v>600</v>
      </c>
      <c r="B41" s="1330"/>
      <c r="C41" s="1330"/>
      <c r="D41" s="1228">
        <f>ROUND('Ad Cognos File'!C3,0)</f>
        <v>30204737</v>
      </c>
      <c r="E41" s="1228"/>
      <c r="F41" s="1228">
        <f>'[2]Program by Fund Type'!D4</f>
        <v>0</v>
      </c>
      <c r="G41" s="1228"/>
      <c r="H41" s="1228">
        <f>'[2]Program by Fund Type'!F4</f>
        <v>0</v>
      </c>
      <c r="I41" s="1228"/>
      <c r="J41" s="1228">
        <v>0</v>
      </c>
      <c r="K41" s="1228"/>
      <c r="L41" s="1228">
        <f>'[2]Program by Fund Type'!J4</f>
        <v>0</v>
      </c>
      <c r="M41" s="1228"/>
      <c r="N41" s="1228">
        <f>'[2]Program by Fund Type'!H4</f>
        <v>0</v>
      </c>
      <c r="O41" s="1228"/>
      <c r="P41" s="824">
        <f t="shared" si="2"/>
        <v>30204737</v>
      </c>
      <c r="Q41" s="1335"/>
      <c r="R41" s="457"/>
      <c r="S41" s="1335"/>
      <c r="T41" s="1335"/>
      <c r="U41" s="1335"/>
      <c r="V41" s="1335"/>
      <c r="W41" s="1335"/>
      <c r="X41" s="1335"/>
      <c r="Y41" s="1335"/>
      <c r="Z41" s="1335"/>
      <c r="AA41" s="1335"/>
      <c r="AB41" s="1335"/>
      <c r="AC41" s="1335"/>
      <c r="AD41" s="1335"/>
      <c r="AE41" s="1336">
        <f>124129294-108679287</f>
        <v>15450007</v>
      </c>
      <c r="AF41" s="1335"/>
      <c r="AG41" s="1335"/>
      <c r="AH41" s="1335"/>
      <c r="AI41" s="1335"/>
      <c r="AJ41" s="1335"/>
      <c r="AK41" s="1335"/>
      <c r="AL41" s="1335"/>
      <c r="AM41" s="1335"/>
      <c r="AN41" s="1335"/>
      <c r="AO41" s="1335"/>
      <c r="AP41" s="1335"/>
      <c r="AQ41" s="1335"/>
      <c r="AR41" s="1335"/>
    </row>
    <row r="42" spans="1:44" s="1337" customFormat="1" ht="20.100000000000001" customHeight="1">
      <c r="A42" s="1339" t="s">
        <v>601</v>
      </c>
      <c r="B42" s="1330"/>
      <c r="C42" s="1330"/>
      <c r="D42" s="1228">
        <f>ROUND('Ad Cognos File'!C6-'All Funds SchA Adopted 2014 1pg'!D76,0)+1</f>
        <v>10041048</v>
      </c>
      <c r="E42" s="1228"/>
      <c r="F42" s="1228" t="e">
        <f>ROUND('Ad Cognos File'!D12+'Ad Cognos File'!D15+'Ad Cognos File'!D18+'Ad Cognos File'!D21+'Ad Cognos File'!D56+'Ad Cognos File'!D59+'Ad Cognos File'!D62+'Ad Cognos File'!D65+'Ad Cognos File'!D68+'Ad Cognos File'!D71,0)-('All Funds SchA Adopted 2014 1pg'!G76+'All Funds SchA Adopted 2014 1pg'!Q76+'All Funds SchA Adopted 2014 1pg'!R76+'All Funds SchA Adopted 2014 1pg'!S76+'All Funds SchA Adopted 2014 1pg'!T76+'All Funds SchA Adopted 2014 1pg'!V76+'All Funds SchA Adopted 2014 1pg'!W76)</f>
        <v>#REF!</v>
      </c>
      <c r="G42" s="1228"/>
      <c r="H42" s="1228">
        <v>0</v>
      </c>
      <c r="I42" s="1228"/>
      <c r="J42" s="1228">
        <f>ROUND('Ad Cognos File'!F37+'Ad Cognos File'!F48+'Ad Cognos File'!F51+'Ad Cognos File'!F54-('All Funds SchA Adopted 2014 1pg'!K76+'All Funds SchA Adopted 2014 1pg'!M76+'All Funds SchA Adopted 2014 1pg'!N76+'All Funds SchA Adopted 2014 1pg'!P76),0)</f>
        <v>-2823082</v>
      </c>
      <c r="K42" s="1228"/>
      <c r="L42" s="1228">
        <f>ROUND('Ad Cognos File'!H88-('All Funds SchA Adopted 2014 1pg'!H76+'All Funds SchA Adopted 2014 1pg'!U76),0)</f>
        <v>2184254</v>
      </c>
      <c r="M42" s="1228"/>
      <c r="N42" s="1228">
        <f>ROUND('Ad Cognos File'!G40+'Ad Cognos File'!G44+'Ad Cognos File'!G74+'Ad Cognos File'!G78+'Ad Cognos File'!G81+'Ad Cognos File'!G84,0)-('All Funds SchA Adopted 2014 1pg'!E76+'All Funds SchA Adopted 2014 1pg'!I76+'All Funds SchA Adopted 2014 1pg'!J76+'All Funds SchA Adopted 2014 1pg'!L76+'All Funds SchA Adopted 2014 1pg'!O76)</f>
        <v>8782207</v>
      </c>
      <c r="O42" s="1228"/>
      <c r="P42" s="824" t="e">
        <f t="shared" si="2"/>
        <v>#REF!</v>
      </c>
      <c r="Q42" s="1335"/>
      <c r="R42" s="457"/>
      <c r="S42" s="1335"/>
      <c r="T42" s="1335"/>
      <c r="U42" s="1335"/>
      <c r="V42" s="1335"/>
      <c r="W42" s="1335"/>
      <c r="X42" s="1335"/>
      <c r="Y42" s="1335"/>
      <c r="Z42" s="1335"/>
      <c r="AA42" s="1335"/>
      <c r="AB42" s="1335"/>
      <c r="AC42" s="1335"/>
      <c r="AD42" s="1335"/>
      <c r="AE42" s="1336"/>
      <c r="AF42" s="1335"/>
      <c r="AG42" s="1335"/>
      <c r="AH42" s="1335"/>
      <c r="AI42" s="1335"/>
      <c r="AJ42" s="1335"/>
      <c r="AK42" s="1335"/>
      <c r="AL42" s="1335"/>
      <c r="AM42" s="1335"/>
      <c r="AN42" s="1335"/>
      <c r="AO42" s="1335"/>
      <c r="AP42" s="1335"/>
      <c r="AQ42" s="1335"/>
      <c r="AR42" s="1335"/>
    </row>
    <row r="43" spans="1:44" s="1337" customFormat="1" ht="20.100000000000001" customHeight="1">
      <c r="A43" s="1339" t="s">
        <v>602</v>
      </c>
      <c r="B43" s="1330"/>
      <c r="C43" s="1330"/>
      <c r="D43" s="1228">
        <f>'[2]Program by Fund Type'!B7</f>
        <v>0</v>
      </c>
      <c r="E43" s="1228"/>
      <c r="F43" s="1228">
        <f>'[2]Program by Fund Type'!D7</f>
        <v>0</v>
      </c>
      <c r="G43" s="1228"/>
      <c r="H43" s="1228">
        <f>'[2]Program by Fund Type'!F7</f>
        <v>0</v>
      </c>
      <c r="I43" s="1228"/>
      <c r="J43" s="1228">
        <f>ROUND('Ad Cognos File'!F36+'Ad Cognos File'!F47+'Ad Cognos File'!F50+'Ad Cognos File'!F53,0)+2104890</f>
        <v>70751934</v>
      </c>
      <c r="K43" s="1228"/>
      <c r="L43" s="1228">
        <f>'[2]Program by Fund Type'!J7</f>
        <v>0</v>
      </c>
      <c r="M43" s="1228"/>
      <c r="N43" s="1228">
        <f>ROUND('Ad Cognos File'!G39+'Ad Cognos File'!G43,0)</f>
        <v>33117134</v>
      </c>
      <c r="O43" s="1228"/>
      <c r="P43" s="824">
        <f t="shared" si="2"/>
        <v>103869068</v>
      </c>
      <c r="Q43" s="1335"/>
      <c r="R43" s="457"/>
      <c r="S43" s="1335"/>
      <c r="T43" s="1335"/>
      <c r="U43" s="1335"/>
      <c r="V43" s="1335"/>
      <c r="W43" s="1335"/>
      <c r="X43" s="1335"/>
      <c r="Y43" s="1335"/>
      <c r="Z43" s="1335"/>
      <c r="AA43" s="1335"/>
      <c r="AB43" s="1335"/>
      <c r="AC43" s="1335"/>
      <c r="AD43" s="1335"/>
      <c r="AE43" s="1336">
        <f>33771991+160000</f>
        <v>33931991</v>
      </c>
      <c r="AF43" s="1335"/>
      <c r="AG43" s="1335"/>
      <c r="AH43" s="1335"/>
      <c r="AI43" s="1335"/>
      <c r="AJ43" s="1335"/>
      <c r="AK43" s="1335"/>
      <c r="AL43" s="1335"/>
      <c r="AM43" s="1335"/>
      <c r="AN43" s="1335"/>
      <c r="AO43" s="1335"/>
      <c r="AP43" s="1335"/>
      <c r="AQ43" s="1335"/>
      <c r="AR43" s="1335"/>
    </row>
    <row r="44" spans="1:44" s="1337" customFormat="1" ht="20.100000000000001" customHeight="1">
      <c r="A44" s="1339" t="s">
        <v>741</v>
      </c>
      <c r="B44" s="1330"/>
      <c r="C44" s="1330" t="s">
        <v>424</v>
      </c>
      <c r="D44" s="1230">
        <f>SUM(D36:D43)</f>
        <v>279581239</v>
      </c>
      <c r="E44" s="1228"/>
      <c r="F44" s="1230" t="e">
        <f>SUM(F36:F43)</f>
        <v>#REF!</v>
      </c>
      <c r="G44" s="1228"/>
      <c r="H44" s="1230">
        <f>SUM(H36:H43)</f>
        <v>34632541</v>
      </c>
      <c r="I44" s="1228"/>
      <c r="J44" s="1230">
        <f>SUM(J36:J43)</f>
        <v>70549633</v>
      </c>
      <c r="K44" s="1228"/>
      <c r="L44" s="1230">
        <f>SUM(L36:L43)</f>
        <v>3953838</v>
      </c>
      <c r="M44" s="1228"/>
      <c r="N44" s="1230">
        <f>SUM(N36:N43)</f>
        <v>178568558</v>
      </c>
      <c r="O44" s="1228"/>
      <c r="P44" s="825" t="e">
        <f>SUM(P36:P43)</f>
        <v>#REF!</v>
      </c>
      <c r="Q44" s="1340"/>
      <c r="R44" s="457"/>
      <c r="S44" s="1335" t="s">
        <v>58</v>
      </c>
      <c r="T44" s="1335"/>
      <c r="U44" s="1335"/>
      <c r="V44" s="1335"/>
      <c r="W44" s="1335"/>
      <c r="X44" s="1335"/>
      <c r="Y44" s="1335"/>
      <c r="Z44" s="1335"/>
      <c r="AA44" s="1335"/>
      <c r="AB44" s="1335"/>
      <c r="AC44" s="1335"/>
      <c r="AD44" s="1335"/>
      <c r="AE44" s="1336"/>
      <c r="AF44" s="1335"/>
      <c r="AG44" s="1335"/>
      <c r="AH44" s="1335"/>
      <c r="AI44" s="1335"/>
      <c r="AJ44" s="1335"/>
      <c r="AK44" s="1335"/>
      <c r="AL44" s="1335"/>
      <c r="AM44" s="1335"/>
      <c r="AN44" s="1335"/>
      <c r="AO44" s="1335"/>
      <c r="AP44" s="1335"/>
      <c r="AQ44" s="1335"/>
      <c r="AR44" s="1335"/>
    </row>
    <row r="45" spans="1:44" s="1337" customFormat="1" ht="18" customHeight="1">
      <c r="A45" s="1339" t="s">
        <v>954</v>
      </c>
      <c r="B45" s="1330"/>
      <c r="C45" s="1330"/>
      <c r="D45" s="1230">
        <f>'All Funds SchA Adopted 2014 1pg'!D76</f>
        <v>65696532</v>
      </c>
      <c r="E45" s="1215"/>
      <c r="F45" s="1230" t="e">
        <f>'All Funds SchA Adopted 2014 1pg'!G76+'All Funds SchA Adopted 2014 1pg'!Q76+'All Funds SchA Adopted 2014 1pg'!R76+'All Funds SchA Adopted 2014 1pg'!S76+'All Funds SchA Adopted 2014 1pg'!T76+'All Funds SchA Adopted 2014 1pg'!V76+'All Funds SchA Adopted 2014 1pg'!W76</f>
        <v>#REF!</v>
      </c>
      <c r="G45" s="1215"/>
      <c r="H45" s="1230" t="e">
        <f>'All Funds SchA Adopted 2014 1pg'!F75</f>
        <v>#REF!</v>
      </c>
      <c r="I45" s="1228"/>
      <c r="J45" s="1230">
        <f>'All Funds SchA Adopted 2014 1pg'!K76+'All Funds SchA Adopted 2014 1pg'!M76+'All Funds SchA Adopted 2014 1pg'!N76+'All Funds SchA Adopted 2014 1pg'!P76</f>
        <v>13683595</v>
      </c>
      <c r="K45" s="1228"/>
      <c r="L45" s="1230">
        <f>'All Funds SchA Adopted 2014 1pg'!H76+'All Funds SchA Adopted 2014 1pg'!U76</f>
        <v>24879487</v>
      </c>
      <c r="M45" s="1215"/>
      <c r="N45" s="1230">
        <f>'All Funds SchA Adopted 2014 1pg'!E76+'All Funds SchA Adopted 2014 1pg'!I76+'All Funds SchA Adopted 2014 1pg'!J76+'All Funds SchA Adopted 2014 1pg'!L76+'All Funds SchA Adopted 2014 1pg'!O76</f>
        <v>84144545</v>
      </c>
      <c r="O45" s="1215"/>
      <c r="P45" s="825" t="e">
        <f t="shared" ref="P45" si="3">SUM(D45:N45)</f>
        <v>#REF!</v>
      </c>
      <c r="Q45" s="1335"/>
      <c r="R45" s="457"/>
      <c r="S45" s="1335"/>
      <c r="T45" s="1335"/>
      <c r="U45" s="1335"/>
      <c r="V45" s="1335"/>
      <c r="W45" s="1335"/>
      <c r="X45" s="1335"/>
      <c r="Y45" s="1335"/>
      <c r="Z45" s="1335"/>
      <c r="AA45" s="1335"/>
      <c r="AB45" s="1335"/>
      <c r="AC45" s="1335"/>
      <c r="AD45" s="1335"/>
      <c r="AE45" s="1336">
        <f>2187729+74949705+10524660+10176836+10840358</f>
        <v>108679288</v>
      </c>
      <c r="AF45" s="1335"/>
      <c r="AG45" s="1335"/>
      <c r="AH45" s="1335"/>
      <c r="AI45" s="1335"/>
      <c r="AJ45" s="1335"/>
      <c r="AK45" s="1335"/>
      <c r="AL45" s="1335"/>
      <c r="AM45" s="1335"/>
      <c r="AN45" s="1335"/>
      <c r="AO45" s="1335"/>
      <c r="AP45" s="1335"/>
      <c r="AQ45" s="1335"/>
      <c r="AR45" s="1335"/>
    </row>
    <row r="46" spans="1:44" s="1337" customFormat="1" ht="18" customHeight="1">
      <c r="A46" s="1329" t="s">
        <v>742</v>
      </c>
      <c r="B46" s="1330"/>
      <c r="C46" s="1330"/>
      <c r="D46" s="796"/>
      <c r="E46" s="1330"/>
      <c r="F46" s="1232"/>
      <c r="G46" s="1330"/>
      <c r="H46" s="1232"/>
      <c r="I46" s="1342"/>
      <c r="J46" s="1232"/>
      <c r="K46" s="1342"/>
      <c r="L46" s="1232"/>
      <c r="M46" s="1330"/>
      <c r="N46" s="1232"/>
      <c r="O46" s="1386"/>
      <c r="P46" s="1387"/>
      <c r="Q46" s="1335"/>
      <c r="R46" s="457"/>
      <c r="S46" s="1335"/>
      <c r="T46" s="1335"/>
      <c r="U46" s="1335"/>
      <c r="V46" s="1335"/>
      <c r="W46" s="1335"/>
      <c r="X46" s="1335"/>
      <c r="Y46" s="1335"/>
      <c r="Z46" s="1335"/>
      <c r="AA46" s="1335"/>
      <c r="AB46" s="1335"/>
      <c r="AC46" s="1335"/>
      <c r="AD46" s="1335"/>
      <c r="AE46" s="1336"/>
      <c r="AF46" s="1335"/>
      <c r="AG46" s="1335"/>
      <c r="AH46" s="1335"/>
      <c r="AI46" s="1335"/>
      <c r="AJ46" s="1335"/>
      <c r="AK46" s="1335"/>
      <c r="AL46" s="1335"/>
      <c r="AM46" s="1335"/>
      <c r="AN46" s="1335"/>
      <c r="AO46" s="1335"/>
      <c r="AP46" s="1335"/>
      <c r="AQ46" s="1335"/>
      <c r="AR46" s="1335"/>
    </row>
    <row r="47" spans="1:44" s="1337" customFormat="1" ht="21.95" customHeight="1" thickBot="1">
      <c r="A47" s="1329" t="s">
        <v>743</v>
      </c>
      <c r="B47" s="1331"/>
      <c r="C47" s="1330" t="s">
        <v>424</v>
      </c>
      <c r="D47" s="832">
        <f>SUM(D44:D45)</f>
        <v>345277771</v>
      </c>
      <c r="E47" s="833"/>
      <c r="F47" s="832" t="e">
        <f>SUM(F44:F45)</f>
        <v>#REF!</v>
      </c>
      <c r="G47" s="833"/>
      <c r="H47" s="832" t="e">
        <f>SUM(H44:H45)</f>
        <v>#REF!</v>
      </c>
      <c r="I47" s="834"/>
      <c r="J47" s="832">
        <f>SUM(J44:J45)</f>
        <v>84233228</v>
      </c>
      <c r="K47" s="834"/>
      <c r="L47" s="832">
        <f>SUM(L44:L45)</f>
        <v>28833325</v>
      </c>
      <c r="M47" s="833"/>
      <c r="N47" s="832">
        <f>SUM(N44:N45)</f>
        <v>262713103</v>
      </c>
      <c r="O47" s="833"/>
      <c r="P47" s="835" t="e">
        <f t="shared" ref="P47" si="4">SUM(D47:N47)</f>
        <v>#REF!</v>
      </c>
      <c r="Q47" s="1340" t="e">
        <f>832277622-P47</f>
        <v>#REF!</v>
      </c>
      <c r="R47" s="457"/>
      <c r="S47" s="1335"/>
      <c r="T47" s="1335"/>
      <c r="U47" s="1335"/>
      <c r="V47" s="1335"/>
      <c r="W47" s="1335"/>
      <c r="X47" s="1335"/>
      <c r="Y47" s="1335"/>
      <c r="Z47" s="1335"/>
      <c r="AA47" s="1335"/>
      <c r="AB47" s="1335"/>
      <c r="AC47" s="1335"/>
      <c r="AD47" s="1335"/>
      <c r="AE47" s="1336"/>
      <c r="AF47" s="1335"/>
      <c r="AG47" s="1335"/>
      <c r="AH47" s="1335"/>
      <c r="AI47" s="1335"/>
      <c r="AJ47" s="1335"/>
      <c r="AK47" s="1335"/>
      <c r="AL47" s="1335"/>
      <c r="AM47" s="1335"/>
      <c r="AN47" s="1335"/>
      <c r="AO47" s="1335"/>
      <c r="AP47" s="1335"/>
      <c r="AQ47" s="1335"/>
      <c r="AR47" s="1335"/>
    </row>
    <row r="48" spans="1:44" s="1337" customFormat="1" ht="21.95" customHeight="1" thickTop="1">
      <c r="A48" s="1329"/>
      <c r="B48" s="1331"/>
      <c r="C48" s="1330"/>
      <c r="D48" s="1374"/>
      <c r="E48" s="833"/>
      <c r="F48" s="1374"/>
      <c r="G48" s="833"/>
      <c r="H48" s="1374"/>
      <c r="I48" s="834"/>
      <c r="J48" s="1374"/>
      <c r="K48" s="834"/>
      <c r="L48" s="834"/>
      <c r="M48" s="833"/>
      <c r="N48" s="1374"/>
      <c r="O48" s="833"/>
      <c r="P48" s="1383"/>
      <c r="Q48" s="1340"/>
      <c r="R48" s="457"/>
      <c r="S48" s="1335"/>
      <c r="T48" s="1335"/>
      <c r="U48" s="1335"/>
      <c r="V48" s="1335"/>
      <c r="W48" s="1335"/>
      <c r="X48" s="1335"/>
      <c r="Y48" s="1335"/>
      <c r="Z48" s="1335"/>
      <c r="AA48" s="1335"/>
      <c r="AB48" s="1335"/>
      <c r="AC48" s="1335"/>
      <c r="AD48" s="1335"/>
      <c r="AE48" s="1336"/>
      <c r="AF48" s="1335"/>
      <c r="AG48" s="1335"/>
      <c r="AH48" s="1335"/>
      <c r="AI48" s="1335"/>
      <c r="AJ48" s="1335"/>
      <c r="AK48" s="1335"/>
      <c r="AL48" s="1335"/>
      <c r="AM48" s="1335"/>
      <c r="AN48" s="1335"/>
      <c r="AO48" s="1335"/>
      <c r="AP48" s="1335"/>
      <c r="AQ48" s="1335"/>
      <c r="AR48" s="1335"/>
    </row>
    <row r="49" spans="1:44" s="1337" customFormat="1" ht="21.95" customHeight="1">
      <c r="A49" s="1648" t="s">
        <v>956</v>
      </c>
      <c r="B49" s="1649"/>
      <c r="C49" s="1649"/>
      <c r="D49" s="1649"/>
      <c r="E49" s="1649"/>
      <c r="F49" s="1649"/>
      <c r="G49" s="1649"/>
      <c r="H49" s="1649"/>
      <c r="I49" s="1649"/>
      <c r="J49" s="1649"/>
      <c r="K49" s="1649"/>
      <c r="L49" s="1649"/>
      <c r="M49" s="1649"/>
      <c r="N49" s="1649"/>
      <c r="O49" s="1649"/>
      <c r="P49" s="1650"/>
      <c r="Q49" s="1351"/>
      <c r="R49" s="457"/>
      <c r="S49" s="1335"/>
      <c r="T49" s="1335"/>
      <c r="U49" s="1335"/>
      <c r="V49" s="1335"/>
      <c r="W49" s="1335"/>
      <c r="X49" s="1335"/>
      <c r="Y49" s="1335"/>
      <c r="Z49" s="1335"/>
      <c r="AA49" s="1335"/>
      <c r="AB49" s="1335"/>
      <c r="AC49" s="1335"/>
      <c r="AD49" s="1335"/>
      <c r="AE49" s="1336"/>
      <c r="AF49" s="1335"/>
      <c r="AG49" s="1335"/>
      <c r="AH49" s="1335"/>
      <c r="AI49" s="1335"/>
      <c r="AJ49" s="1335"/>
      <c r="AK49" s="1335"/>
      <c r="AL49" s="1335"/>
      <c r="AM49" s="1335"/>
      <c r="AN49" s="1335"/>
      <c r="AO49" s="1335"/>
      <c r="AP49" s="1335"/>
      <c r="AQ49" s="1335"/>
      <c r="AR49" s="1335"/>
    </row>
    <row r="50" spans="1:44" ht="21" customHeight="1" thickBot="1">
      <c r="A50" s="1651" t="s">
        <v>754</v>
      </c>
      <c r="B50" s="1652"/>
      <c r="C50" s="1652"/>
      <c r="D50" s="1652"/>
      <c r="E50" s="1652"/>
      <c r="F50" s="1652"/>
      <c r="G50" s="1652"/>
      <c r="H50" s="1652"/>
      <c r="I50" s="1652"/>
      <c r="J50" s="1652"/>
      <c r="K50" s="1652"/>
      <c r="L50" s="1652"/>
      <c r="M50" s="1652"/>
      <c r="N50" s="1652"/>
      <c r="O50" s="1652"/>
      <c r="P50" s="1653"/>
      <c r="Q50" s="1352"/>
    </row>
    <row r="51" spans="1:44" ht="9.9499999999999993" customHeight="1">
      <c r="A51" s="1356"/>
      <c r="B51" s="1356"/>
      <c r="C51" s="1356"/>
      <c r="D51" s="1375"/>
      <c r="E51" s="1357"/>
      <c r="F51" s="1379"/>
      <c r="G51" s="1358"/>
      <c r="H51" s="1379"/>
      <c r="I51" s="1358"/>
      <c r="J51" s="1379"/>
      <c r="K51" s="1358"/>
      <c r="L51" s="1385"/>
      <c r="M51" s="1358"/>
      <c r="N51" s="1379"/>
      <c r="O51" s="1358"/>
      <c r="P51" s="1379"/>
    </row>
    <row r="52" spans="1:44" s="1359" customFormat="1" hidden="1">
      <c r="A52" s="1359" t="s">
        <v>469</v>
      </c>
      <c r="D52" s="1376">
        <f>D32-D47</f>
        <v>4856255</v>
      </c>
      <c r="E52" s="1360"/>
      <c r="F52" s="385" t="e">
        <f>F32-F47</f>
        <v>#REF!</v>
      </c>
      <c r="G52" s="1361"/>
      <c r="H52" s="385" t="e">
        <f>H32-H47</f>
        <v>#REF!</v>
      </c>
      <c r="I52" s="1361"/>
      <c r="J52" s="385">
        <f>J32-J47</f>
        <v>2443061</v>
      </c>
      <c r="K52" s="1361"/>
      <c r="L52" s="705">
        <f>L32-L47</f>
        <v>-1547584</v>
      </c>
      <c r="M52" s="1361"/>
      <c r="N52" s="385">
        <f>N32-N47</f>
        <v>18478979</v>
      </c>
      <c r="O52" s="1361"/>
      <c r="P52" s="385" t="e">
        <f>P32-P47</f>
        <v>#REF!</v>
      </c>
      <c r="Q52" s="384" t="s">
        <v>58</v>
      </c>
      <c r="R52" s="385"/>
      <c r="S52" s="1362"/>
      <c r="T52" s="1362"/>
      <c r="U52" s="1362"/>
      <c r="V52" s="1362"/>
      <c r="W52" s="1362"/>
      <c r="X52" s="1362"/>
      <c r="Y52" s="1362"/>
      <c r="Z52" s="1362"/>
      <c r="AA52" s="1362"/>
      <c r="AB52" s="1362"/>
      <c r="AC52" s="1362"/>
      <c r="AD52" s="1362"/>
      <c r="AE52" s="1363"/>
      <c r="AF52" s="1362"/>
      <c r="AG52" s="1362"/>
      <c r="AH52" s="1362"/>
      <c r="AI52" s="1362"/>
      <c r="AJ52" s="1362"/>
      <c r="AK52" s="1362"/>
      <c r="AL52" s="1362"/>
      <c r="AM52" s="1362"/>
      <c r="AN52" s="1362"/>
      <c r="AO52" s="1362"/>
      <c r="AP52" s="1362"/>
      <c r="AQ52" s="1362"/>
      <c r="AR52" s="1362"/>
    </row>
    <row r="53" spans="1:44" hidden="1">
      <c r="D53" s="438">
        <f>D45/D44</f>
        <v>0.23498190449037962</v>
      </c>
    </row>
    <row r="54" spans="1:44" hidden="1">
      <c r="D54" s="438" t="s">
        <v>58</v>
      </c>
    </row>
    <row r="55" spans="1:44" hidden="1"/>
    <row r="56" spans="1:44" hidden="1">
      <c r="D56" s="438">
        <f>11217767-D43</f>
        <v>11217767</v>
      </c>
      <c r="F56" s="364" t="s">
        <v>58</v>
      </c>
    </row>
    <row r="57" spans="1:44" hidden="1"/>
    <row r="58" spans="1:44" hidden="1">
      <c r="D58" s="438" t="s">
        <v>58</v>
      </c>
    </row>
    <row r="59" spans="1:44" hidden="1">
      <c r="F59" s="364" t="s">
        <v>58</v>
      </c>
    </row>
    <row r="60" spans="1:44" ht="23.25" hidden="1">
      <c r="D60" s="1377" t="s">
        <v>58</v>
      </c>
    </row>
    <row r="61" spans="1:44" hidden="1">
      <c r="D61" s="438" t="s">
        <v>58</v>
      </c>
    </row>
    <row r="62" spans="1:44" hidden="1"/>
    <row r="63" spans="1:44" hidden="1"/>
    <row r="64" spans="1:44" hidden="1"/>
    <row r="65" spans="1:44" hidden="1"/>
    <row r="66" spans="1:44" ht="21" hidden="1">
      <c r="F66" s="1380" t="s">
        <v>58</v>
      </c>
    </row>
    <row r="67" spans="1:44" hidden="1"/>
    <row r="68" spans="1:44" hidden="1"/>
    <row r="69" spans="1:44" hidden="1"/>
    <row r="70" spans="1:44" hidden="1"/>
    <row r="71" spans="1:44" s="1369" customFormat="1" ht="18.75">
      <c r="A71" s="1366"/>
      <c r="B71" s="1366"/>
      <c r="C71" s="1366"/>
      <c r="D71" s="1378">
        <f>D32-D47</f>
        <v>4856255</v>
      </c>
      <c r="E71" s="1367"/>
      <c r="F71" s="1378" t="e">
        <f>F32-F47</f>
        <v>#REF!</v>
      </c>
      <c r="G71" s="1367"/>
      <c r="H71" s="1378" t="e">
        <f>H32-H47</f>
        <v>#REF!</v>
      </c>
      <c r="I71" s="1367"/>
      <c r="J71" s="1378">
        <f>J32-J47</f>
        <v>2443061</v>
      </c>
      <c r="K71" s="1367"/>
      <c r="L71" s="1181">
        <f>L32-L47</f>
        <v>-1547584</v>
      </c>
      <c r="M71" s="1368"/>
      <c r="N71" s="1378">
        <f>N32-N47</f>
        <v>18478979</v>
      </c>
      <c r="O71" s="1368"/>
      <c r="P71" s="1378" t="e">
        <f>P32-P47</f>
        <v>#REF!</v>
      </c>
      <c r="Q71" s="1370"/>
      <c r="R71" s="397"/>
      <c r="S71" s="1370"/>
      <c r="T71" s="1370"/>
      <c r="U71" s="1370"/>
      <c r="V71" s="1370"/>
      <c r="W71" s="1370"/>
      <c r="X71" s="1370"/>
      <c r="Y71" s="1370"/>
      <c r="Z71" s="1370"/>
      <c r="AA71" s="1370"/>
      <c r="AB71" s="1370"/>
      <c r="AC71" s="1370"/>
      <c r="AD71" s="1370"/>
      <c r="AE71" s="1371"/>
      <c r="AF71" s="1370"/>
      <c r="AG71" s="1370"/>
      <c r="AH71" s="1370"/>
      <c r="AI71" s="1370"/>
      <c r="AJ71" s="1370"/>
      <c r="AK71" s="1370"/>
      <c r="AL71" s="1370"/>
      <c r="AM71" s="1370"/>
      <c r="AN71" s="1370"/>
      <c r="AO71" s="1370"/>
      <c r="AP71" s="1370"/>
      <c r="AQ71" s="1370"/>
      <c r="AR71" s="1370"/>
    </row>
    <row r="72" spans="1:44" s="1369" customFormat="1" ht="18.75">
      <c r="A72" s="1367"/>
      <c r="B72" s="1367"/>
      <c r="C72" s="1367"/>
      <c r="D72" s="450" t="e">
        <f>'All Funds SchA Adopted 2014 1pg'!D67+'All Funds SchA Adopted 2014 1pg'!D69</f>
        <v>#REF!</v>
      </c>
      <c r="E72" s="450"/>
      <c r="F72" s="450" t="e">
        <f>'All Funds SchA Adopted 2014 1pg'!G67+'All Funds SchA Adopted 2014 1pg'!Q67+'All Funds SchA Adopted 2014 1pg'!R67+'All Funds SchA Adopted 2014 1pg'!S67+'All Funds SchA Adopted 2014 1pg'!T67+'All Funds SchA Adopted 2014 1pg'!V67+'All Funds SchA Adopted 2014 1pg'!W67</f>
        <v>#REF!</v>
      </c>
      <c r="G72" s="450"/>
      <c r="H72" s="450" t="e">
        <f>'All Funds SchA Adopted 2014 1pg'!F67</f>
        <v>#REF!</v>
      </c>
      <c r="I72" s="450"/>
      <c r="J72" s="450" t="e">
        <f>'All Funds SchA Adopted 2014 1pg'!K67+'All Funds SchA Adopted 2014 1pg'!M67+'All Funds SchA Adopted 2014 1pg'!N67+'All Funds SchA Adopted 2014 1pg'!P67</f>
        <v>#REF!</v>
      </c>
      <c r="K72" s="450"/>
      <c r="L72" s="450">
        <f>'All Funds SchA Adopted 2014 1pg'!H67+'All Funds SchA Adopted 2014 1pg'!U67</f>
        <v>2410814</v>
      </c>
      <c r="M72" s="450"/>
      <c r="N72" s="450" t="e">
        <f>'All Funds SchA Adopted 2014 1pg'!E67+'All Funds SchA Adopted 2014 1pg'!J67+'All Funds SchA Adopted 2014 1pg'!I67+'All Funds SchA Adopted 2014 1pg'!L67+'All Funds SchA Adopted 2014 1pg'!O67</f>
        <v>#REF!</v>
      </c>
      <c r="O72" s="450"/>
      <c r="P72" s="450" t="e">
        <f>SUM(D72:N72)</f>
        <v>#REF!</v>
      </c>
      <c r="Q72" s="1370"/>
      <c r="R72" s="397"/>
      <c r="S72" s="1370"/>
      <c r="T72" s="1370"/>
      <c r="U72" s="1370"/>
      <c r="V72" s="1370"/>
      <c r="W72" s="1370"/>
      <c r="X72" s="1370"/>
      <c r="Y72" s="1370"/>
      <c r="Z72" s="1370"/>
      <c r="AA72" s="1370"/>
      <c r="AB72" s="1370"/>
      <c r="AC72" s="1370"/>
      <c r="AD72" s="1370"/>
      <c r="AE72" s="1371"/>
      <c r="AF72" s="1370"/>
      <c r="AG72" s="1370"/>
      <c r="AH72" s="1370"/>
      <c r="AI72" s="1370"/>
      <c r="AJ72" s="1370"/>
      <c r="AK72" s="1370"/>
      <c r="AL72" s="1370"/>
      <c r="AM72" s="1370"/>
      <c r="AN72" s="1370"/>
      <c r="AO72" s="1370"/>
      <c r="AP72" s="1370"/>
      <c r="AQ72" s="1370"/>
      <c r="AR72" s="1370"/>
    </row>
    <row r="73" spans="1:44" ht="18.75">
      <c r="D73" s="450">
        <f>'All Funds SchA Adopted 2014 1pg'!D76</f>
        <v>65696532</v>
      </c>
      <c r="E73" s="450"/>
      <c r="F73" s="450" t="e">
        <f>'All Funds SchA Adopted 2014 1pg'!G72+'All Funds SchA Adopted 2014 1pg'!Q72+'All Funds SchA Adopted 2014 1pg'!R72+'All Funds SchA Adopted 2014 1pg'!S72+'All Funds SchA Adopted 2014 1pg'!T72+'All Funds SchA Adopted 2014 1pg'!V72+'All Funds SchA Adopted 2014 1pg'!W72+'All Funds SchA Adopted 2014 1pg'!G75+'All Funds SchA Adopted 2014 1pg'!Q75+'All Funds SchA Adopted 2014 1pg'!R75+'All Funds SchA Adopted 2014 1pg'!S75+'All Funds SchA Adopted 2014 1pg'!T75+'All Funds SchA Adopted 2014 1pg'!V75+'All Funds SchA Adopted 2014 1pg'!W75</f>
        <v>#REF!</v>
      </c>
      <c r="G73" s="450"/>
      <c r="H73" s="450" t="e">
        <f>'All Funds SchA Adopted 2014 1pg'!F75</f>
        <v>#REF!</v>
      </c>
      <c r="I73" s="450"/>
      <c r="J73" s="450">
        <f>'All Funds SchA Adopted 2014 1pg'!K72+'All Funds SchA Adopted 2014 1pg'!M72+'All Funds SchA Adopted 2014 1pg'!N72+'All Funds SchA Adopted 2014 1pg'!P72+'All Funds SchA Adopted 2014 1pg'!K75+'All Funds SchA Adopted 2014 1pg'!M75+'All Funds SchA Adopted 2014 1pg'!N75+'All Funds SchA Adopted 2014 1pg'!P75</f>
        <v>13683595</v>
      </c>
      <c r="K73" s="450"/>
      <c r="L73" s="450">
        <f>'All Funds SchA Adopted 2014 1pg'!H75+'All Funds SchA Adopted 2014 1pg'!U75</f>
        <v>24879487</v>
      </c>
      <c r="M73" s="450"/>
      <c r="N73" s="450">
        <f>'All Funds SchA Adopted 2014 1pg'!E72+'All Funds SchA Adopted 2014 1pg'!J72+'All Funds SchA Adopted 2014 1pg'!I72+'All Funds SchA Adopted 2014 1pg'!L72+'All Funds SchA Adopted 2014 1pg'!O72+'All Funds SchA Adopted 2014 1pg'!E75+'All Funds SchA Adopted 2014 1pg'!J75+'All Funds SchA Adopted 2014 1pg'!I75+'All Funds SchA Adopted 2014 1pg'!L75+'All Funds SchA Adopted 2014 1pg'!O75</f>
        <v>84144545</v>
      </c>
      <c r="O73" s="450"/>
      <c r="P73" s="450" t="e">
        <f>SUM(D73:N73)</f>
        <v>#REF!</v>
      </c>
    </row>
    <row r="74" spans="1:44" ht="18.75">
      <c r="D74" s="450" t="e">
        <f>D72+D73</f>
        <v>#REF!</v>
      </c>
      <c r="E74" s="450"/>
      <c r="F74" s="450" t="e">
        <f>F72+F73</f>
        <v>#REF!</v>
      </c>
      <c r="G74" s="450">
        <f t="shared" ref="G74:N74" si="5">G72+G73</f>
        <v>0</v>
      </c>
      <c r="H74" s="450" t="e">
        <f t="shared" si="5"/>
        <v>#REF!</v>
      </c>
      <c r="I74" s="450"/>
      <c r="J74" s="450" t="e">
        <f t="shared" si="5"/>
        <v>#REF!</v>
      </c>
      <c r="K74" s="450"/>
      <c r="L74" s="450">
        <f t="shared" si="5"/>
        <v>27290301</v>
      </c>
      <c r="M74" s="450"/>
      <c r="N74" s="450" t="e">
        <f t="shared" si="5"/>
        <v>#REF!</v>
      </c>
      <c r="O74" s="450"/>
      <c r="P74" s="450" t="e">
        <f>SUM(D74:N74)</f>
        <v>#REF!</v>
      </c>
    </row>
    <row r="75" spans="1:44" ht="18.75">
      <c r="D75" s="450" t="e">
        <f>D72-D44</f>
        <v>#REF!</v>
      </c>
      <c r="E75" s="450">
        <f t="shared" ref="E75:I75" si="6">E74-E47</f>
        <v>0</v>
      </c>
      <c r="F75" s="450" t="e">
        <f>F72-F44</f>
        <v>#REF!</v>
      </c>
      <c r="G75" s="450">
        <f t="shared" si="6"/>
        <v>0</v>
      </c>
      <c r="H75" s="450" t="e">
        <f>H72-H44</f>
        <v>#REF!</v>
      </c>
      <c r="I75" s="450">
        <f t="shared" si="6"/>
        <v>0</v>
      </c>
      <c r="J75" s="450" t="e">
        <f>J72-J44</f>
        <v>#REF!</v>
      </c>
      <c r="K75" s="450"/>
      <c r="L75" s="450">
        <f>L72-L44</f>
        <v>-1543024</v>
      </c>
      <c r="M75" s="450"/>
      <c r="N75" s="450" t="e">
        <f>N72-N44</f>
        <v>#REF!</v>
      </c>
      <c r="O75" s="450"/>
      <c r="P75" s="450" t="e">
        <f>P72-P44</f>
        <v>#REF!</v>
      </c>
    </row>
    <row r="76" spans="1:44">
      <c r="D76" s="438">
        <f>D73-D45</f>
        <v>0</v>
      </c>
      <c r="E76" s="438"/>
      <c r="F76" s="438" t="e">
        <f>F73-F45</f>
        <v>#REF!</v>
      </c>
      <c r="H76" s="438" t="e">
        <f>H73-H45</f>
        <v>#REF!</v>
      </c>
      <c r="J76" s="438">
        <f>J73-J45</f>
        <v>0</v>
      </c>
      <c r="L76" s="438">
        <f>L73-L45</f>
        <v>0</v>
      </c>
      <c r="N76" s="438">
        <f>N73-N45</f>
        <v>0</v>
      </c>
      <c r="P76" s="438" t="e">
        <f>P73-P45</f>
        <v>#REF!</v>
      </c>
    </row>
    <row r="77" spans="1:44">
      <c r="D77" s="438" t="e">
        <f>D74-D47</f>
        <v>#REF!</v>
      </c>
      <c r="E77" s="438"/>
      <c r="F77" s="438" t="e">
        <f>F74-F47</f>
        <v>#REF!</v>
      </c>
      <c r="H77" s="438" t="e">
        <f>H74-H47</f>
        <v>#REF!</v>
      </c>
      <c r="J77" s="438" t="e">
        <f>J74-J47</f>
        <v>#REF!</v>
      </c>
      <c r="L77" s="438">
        <f>L74-L47</f>
        <v>-1543024</v>
      </c>
      <c r="N77" s="438" t="e">
        <f>N74-N47</f>
        <v>#REF!</v>
      </c>
      <c r="P77" s="438" t="e">
        <f>P74-P47</f>
        <v>#REF!</v>
      </c>
    </row>
    <row r="78" spans="1:44">
      <c r="E78" s="438"/>
      <c r="F78" s="438"/>
      <c r="I78" s="364"/>
      <c r="K78" s="364"/>
      <c r="L78" s="364"/>
      <c r="M78" s="364"/>
      <c r="O78" s="364"/>
      <c r="Q78" s="364"/>
    </row>
    <row r="79" spans="1:44">
      <c r="E79" s="438"/>
      <c r="F79" s="438"/>
      <c r="I79" s="364"/>
      <c r="K79" s="364"/>
      <c r="L79" s="364"/>
      <c r="M79" s="364"/>
      <c r="O79" s="364"/>
      <c r="Q79" s="364"/>
    </row>
    <row r="80" spans="1:44">
      <c r="E80" s="438"/>
      <c r="F80" s="438"/>
      <c r="I80" s="364"/>
      <c r="K80" s="364"/>
      <c r="L80" s="364"/>
      <c r="M80" s="364"/>
      <c r="O80" s="364"/>
      <c r="Q80" s="364"/>
    </row>
    <row r="81" spans="5:17">
      <c r="E81" s="438"/>
      <c r="F81" s="438"/>
      <c r="I81" s="364"/>
      <c r="K81" s="364"/>
      <c r="L81" s="364"/>
      <c r="M81" s="364"/>
      <c r="O81" s="364"/>
      <c r="Q81" s="364"/>
    </row>
    <row r="82" spans="5:17" ht="18.75">
      <c r="E82" s="438"/>
      <c r="F82" s="438"/>
      <c r="I82" s="364"/>
      <c r="K82" s="364"/>
      <c r="L82" s="364"/>
      <c r="M82" s="364"/>
      <c r="N82" s="450">
        <f>'All Funds SchA Adopted 2014 1pg'!E77+'All Funds SchA Adopted 2014 1pg'!J77+'All Funds SchA Adopted 2014 1pg'!I77+'All Funds SchA Adopted 2014 1pg'!L77+'All Funds SchA Adopted 2014 1pg'!O77</f>
        <v>0</v>
      </c>
      <c r="O82" s="364"/>
      <c r="Q82" s="364"/>
    </row>
    <row r="83" spans="5:17" ht="18.75">
      <c r="F83" s="1373"/>
    </row>
  </sheetData>
  <mergeCells count="11">
    <mergeCell ref="A7:P7"/>
    <mergeCell ref="A1:P1"/>
    <mergeCell ref="A2:P2"/>
    <mergeCell ref="A3:P3"/>
    <mergeCell ref="A4:P4"/>
    <mergeCell ref="A5:P5"/>
    <mergeCell ref="A8:P8"/>
    <mergeCell ref="A9:P9"/>
    <mergeCell ref="A17:B17"/>
    <mergeCell ref="A49:P49"/>
    <mergeCell ref="A50:P50"/>
  </mergeCells>
  <printOptions horizontalCentered="1"/>
  <pageMargins left="0" right="0" top="0.5" bottom="0.5" header="0.3" footer="0.3"/>
  <pageSetup paperSize="4" scale="82" orientation="portrait" r:id="rId1"/>
  <ignoredErrors>
    <ignoredError sqref="P29"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S95"/>
  <sheetViews>
    <sheetView topLeftCell="A66" workbookViewId="0">
      <selection sqref="A1:I93"/>
    </sheetView>
  </sheetViews>
  <sheetFormatPr defaultColWidth="8.85546875" defaultRowHeight="12.75"/>
  <cols>
    <col min="1" max="1" width="41.7109375" style="1298" bestFit="1" customWidth="1"/>
    <col min="2" max="2" width="46.28515625" style="1298" bestFit="1" customWidth="1"/>
    <col min="3" max="3" width="15.42578125" style="1298" bestFit="1" customWidth="1"/>
    <col min="4" max="4" width="16.5703125" style="1298" bestFit="1" customWidth="1"/>
    <col min="5" max="5" width="14.28515625" style="1298" bestFit="1" customWidth="1"/>
    <col min="6" max="6" width="17.7109375" style="1298" bestFit="1" customWidth="1"/>
    <col min="7" max="7" width="13.140625" style="1298" bestFit="1" customWidth="1"/>
    <col min="8" max="8" width="18.85546875" style="1298" bestFit="1" customWidth="1"/>
    <col min="9" max="9" width="12" style="1298" bestFit="1" customWidth="1"/>
    <col min="10" max="10" width="8.85546875" style="1298"/>
    <col min="11" max="11" width="41.7109375" style="1414" bestFit="1" customWidth="1"/>
    <col min="12" max="12" width="46.28515625" style="1414" bestFit="1" customWidth="1"/>
    <col min="13" max="13" width="15.42578125" style="1414" bestFit="1" customWidth="1"/>
    <col min="14" max="14" width="16.5703125" style="1414" bestFit="1" customWidth="1"/>
    <col min="15" max="15" width="14.28515625" style="1414" bestFit="1" customWidth="1"/>
    <col min="16" max="16" width="17.7109375" style="1414" bestFit="1" customWidth="1"/>
    <col min="17" max="17" width="13.140625" style="1414" bestFit="1" customWidth="1"/>
    <col min="18" max="18" width="18.85546875" style="1414" bestFit="1" customWidth="1"/>
    <col min="19" max="19" width="12" style="1414" bestFit="1" customWidth="1"/>
    <col min="20" max="16384" width="8.85546875" style="1298"/>
  </cols>
  <sheetData>
    <row r="1" spans="1:19" ht="21.75" customHeight="1" thickBot="1">
      <c r="A1" s="1678" t="s">
        <v>936</v>
      </c>
      <c r="B1" s="1668"/>
      <c r="C1" s="1668"/>
      <c r="D1" s="1668"/>
      <c r="E1" s="1668"/>
      <c r="F1" s="1668"/>
      <c r="G1" s="1668"/>
      <c r="H1" s="1668"/>
      <c r="I1" s="1668"/>
      <c r="K1" s="1673" t="s">
        <v>936</v>
      </c>
      <c r="L1" s="1674"/>
      <c r="M1" s="1674"/>
      <c r="N1" s="1674"/>
      <c r="O1" s="1674"/>
      <c r="P1" s="1674"/>
      <c r="Q1" s="1674"/>
      <c r="R1" s="1674"/>
      <c r="S1" s="1674"/>
    </row>
    <row r="2" spans="1:19" ht="13.5" thickBot="1">
      <c r="A2" s="1679" t="s">
        <v>331</v>
      </c>
      <c r="B2" s="1680"/>
      <c r="C2" s="1070" t="s">
        <v>728</v>
      </c>
      <c r="D2" s="1070" t="s">
        <v>729</v>
      </c>
      <c r="E2" s="1070" t="s">
        <v>730</v>
      </c>
      <c r="F2" s="1070" t="s">
        <v>937</v>
      </c>
      <c r="G2" s="1070" t="s">
        <v>731</v>
      </c>
      <c r="H2" s="1070" t="s">
        <v>732</v>
      </c>
      <c r="I2" s="1174" t="s">
        <v>361</v>
      </c>
      <c r="K2" s="1686" t="s">
        <v>331</v>
      </c>
      <c r="L2" s="1687"/>
      <c r="M2" s="1423" t="s">
        <v>728</v>
      </c>
      <c r="N2" s="1423" t="s">
        <v>729</v>
      </c>
      <c r="O2" s="1423" t="s">
        <v>730</v>
      </c>
      <c r="P2" s="1423" t="s">
        <v>937</v>
      </c>
      <c r="Q2" s="1423" t="s">
        <v>731</v>
      </c>
      <c r="R2" s="1423" t="s">
        <v>732</v>
      </c>
      <c r="S2" s="1424" t="s">
        <v>361</v>
      </c>
    </row>
    <row r="3" spans="1:19" ht="13.5" thickBot="1">
      <c r="A3" s="1664" t="s">
        <v>365</v>
      </c>
      <c r="B3" s="1295" t="s">
        <v>720</v>
      </c>
      <c r="C3" s="1072">
        <v>30204737</v>
      </c>
      <c r="D3" s="1074"/>
      <c r="E3" s="1074"/>
      <c r="F3" s="1074"/>
      <c r="G3" s="1074"/>
      <c r="H3" s="1074"/>
      <c r="I3" s="1175">
        <v>30204737</v>
      </c>
      <c r="J3" s="1169">
        <f>I3-S3</f>
        <v>0</v>
      </c>
      <c r="K3" s="1675" t="s">
        <v>365</v>
      </c>
      <c r="L3" s="1425" t="s">
        <v>720</v>
      </c>
      <c r="M3" s="1427">
        <v>30204737</v>
      </c>
      <c r="N3" s="1426"/>
      <c r="O3" s="1426"/>
      <c r="P3" s="1426"/>
      <c r="Q3" s="1426"/>
      <c r="R3" s="1426"/>
      <c r="S3" s="1428">
        <v>30204737</v>
      </c>
    </row>
    <row r="4" spans="1:19" ht="13.5" thickBot="1">
      <c r="A4" s="1665"/>
      <c r="B4" s="1295" t="s">
        <v>721</v>
      </c>
      <c r="C4" s="1072">
        <v>2446657</v>
      </c>
      <c r="D4" s="1074"/>
      <c r="E4" s="1074"/>
      <c r="F4" s="1074"/>
      <c r="G4" s="1074"/>
      <c r="H4" s="1074"/>
      <c r="I4" s="1175">
        <v>2446657</v>
      </c>
      <c r="J4" s="1169">
        <f t="shared" ref="J4:J67" si="0">I4-S4</f>
        <v>0</v>
      </c>
      <c r="K4" s="1676"/>
      <c r="L4" s="1425" t="s">
        <v>721</v>
      </c>
      <c r="M4" s="1427">
        <v>2446657</v>
      </c>
      <c r="N4" s="1426"/>
      <c r="O4" s="1426"/>
      <c r="P4" s="1426"/>
      <c r="Q4" s="1426"/>
      <c r="R4" s="1426"/>
      <c r="S4" s="1428">
        <v>2446657</v>
      </c>
    </row>
    <row r="5" spans="1:19" ht="13.5" thickBot="1">
      <c r="A5" s="1665"/>
      <c r="B5" s="1295" t="s">
        <v>722</v>
      </c>
      <c r="C5" s="1072">
        <v>48616865.43</v>
      </c>
      <c r="D5" s="1074"/>
      <c r="E5" s="1074"/>
      <c r="F5" s="1074"/>
      <c r="G5" s="1074"/>
      <c r="H5" s="1074"/>
      <c r="I5" s="1175">
        <v>48616865.43</v>
      </c>
      <c r="J5" s="1169">
        <f t="shared" si="0"/>
        <v>0</v>
      </c>
      <c r="K5" s="1676"/>
      <c r="L5" s="1425" t="s">
        <v>722</v>
      </c>
      <c r="M5" s="1427">
        <v>48616865.43</v>
      </c>
      <c r="N5" s="1426"/>
      <c r="O5" s="1426"/>
      <c r="P5" s="1426"/>
      <c r="Q5" s="1426"/>
      <c r="R5" s="1426"/>
      <c r="S5" s="1428">
        <v>48616865.43</v>
      </c>
    </row>
    <row r="6" spans="1:19" ht="13.5" thickBot="1">
      <c r="A6" s="1665"/>
      <c r="B6" s="1295" t="s">
        <v>724</v>
      </c>
      <c r="C6" s="1072">
        <v>75737579.390000001</v>
      </c>
      <c r="D6" s="1074"/>
      <c r="E6" s="1074"/>
      <c r="F6" s="1074"/>
      <c r="G6" s="1074"/>
      <c r="H6" s="1074"/>
      <c r="I6" s="1175">
        <v>75737579.390000001</v>
      </c>
      <c r="J6" s="1169">
        <f t="shared" si="0"/>
        <v>0</v>
      </c>
      <c r="K6" s="1676"/>
      <c r="L6" s="1425" t="s">
        <v>724</v>
      </c>
      <c r="M6" s="1427">
        <v>75737579.390000001</v>
      </c>
      <c r="N6" s="1426"/>
      <c r="O6" s="1426"/>
      <c r="P6" s="1426"/>
      <c r="Q6" s="1426"/>
      <c r="R6" s="1426"/>
      <c r="S6" s="1428">
        <v>75737579.390000001</v>
      </c>
    </row>
    <row r="7" spans="1:19" ht="13.5" thickBot="1">
      <c r="A7" s="1665"/>
      <c r="B7" s="1295" t="s">
        <v>725</v>
      </c>
      <c r="C7" s="1072">
        <v>5812302.1799999997</v>
      </c>
      <c r="D7" s="1074"/>
      <c r="E7" s="1074"/>
      <c r="F7" s="1074"/>
      <c r="G7" s="1074"/>
      <c r="H7" s="1074"/>
      <c r="I7" s="1175">
        <v>5812302.1799999997</v>
      </c>
      <c r="J7" s="1169">
        <f t="shared" si="0"/>
        <v>0</v>
      </c>
      <c r="K7" s="1676"/>
      <c r="L7" s="1425" t="s">
        <v>725</v>
      </c>
      <c r="M7" s="1427">
        <v>5812302.1799999997</v>
      </c>
      <c r="N7" s="1426"/>
      <c r="O7" s="1426"/>
      <c r="P7" s="1426"/>
      <c r="Q7" s="1426"/>
      <c r="R7" s="1426"/>
      <c r="S7" s="1428">
        <v>5812302.1799999997</v>
      </c>
    </row>
    <row r="8" spans="1:19" ht="13.5" thickBot="1">
      <c r="A8" s="1665"/>
      <c r="B8" s="1295" t="s">
        <v>726</v>
      </c>
      <c r="C8" s="1072">
        <v>178056505.75</v>
      </c>
      <c r="D8" s="1074"/>
      <c r="E8" s="1074"/>
      <c r="F8" s="1074"/>
      <c r="G8" s="1074"/>
      <c r="H8" s="1074"/>
      <c r="I8" s="1175">
        <v>178056505.75</v>
      </c>
      <c r="J8" s="1169">
        <f t="shared" si="0"/>
        <v>0</v>
      </c>
      <c r="K8" s="1676"/>
      <c r="L8" s="1425" t="s">
        <v>726</v>
      </c>
      <c r="M8" s="1427">
        <v>178056505.75</v>
      </c>
      <c r="N8" s="1426"/>
      <c r="O8" s="1426"/>
      <c r="P8" s="1426"/>
      <c r="Q8" s="1426"/>
      <c r="R8" s="1426"/>
      <c r="S8" s="1428">
        <v>178056505.75</v>
      </c>
    </row>
    <row r="9" spans="1:19" ht="13.5" thickBot="1">
      <c r="A9" s="1665"/>
      <c r="B9" s="1295" t="s">
        <v>727</v>
      </c>
      <c r="C9" s="1072">
        <v>4403124</v>
      </c>
      <c r="D9" s="1074"/>
      <c r="E9" s="1074"/>
      <c r="F9" s="1074"/>
      <c r="G9" s="1074"/>
      <c r="H9" s="1074"/>
      <c r="I9" s="1175">
        <v>4403124</v>
      </c>
      <c r="J9" s="1169">
        <f t="shared" si="0"/>
        <v>0</v>
      </c>
      <c r="K9" s="1676"/>
      <c r="L9" s="1425" t="s">
        <v>727</v>
      </c>
      <c r="M9" s="1427">
        <v>4403124</v>
      </c>
      <c r="N9" s="1426"/>
      <c r="O9" s="1426"/>
      <c r="P9" s="1426"/>
      <c r="Q9" s="1426"/>
      <c r="R9" s="1426"/>
      <c r="S9" s="1428">
        <v>4403124</v>
      </c>
    </row>
    <row r="10" spans="1:19" ht="13.5" thickBot="1">
      <c r="A10" s="1666"/>
      <c r="B10" s="1296" t="s">
        <v>365</v>
      </c>
      <c r="C10" s="1073">
        <v>345277770.75</v>
      </c>
      <c r="D10" s="1075"/>
      <c r="E10" s="1075"/>
      <c r="F10" s="1075"/>
      <c r="G10" s="1075"/>
      <c r="H10" s="1075"/>
      <c r="I10" s="1073">
        <v>345277770.75</v>
      </c>
      <c r="J10" s="1169">
        <f t="shared" si="0"/>
        <v>0</v>
      </c>
      <c r="K10" s="1677"/>
      <c r="L10" s="1429" t="s">
        <v>365</v>
      </c>
      <c r="M10" s="1431">
        <v>345277770.75</v>
      </c>
      <c r="N10" s="1430"/>
      <c r="O10" s="1430"/>
      <c r="P10" s="1430"/>
      <c r="Q10" s="1430"/>
      <c r="R10" s="1430"/>
      <c r="S10" s="1431">
        <v>345277770.75</v>
      </c>
    </row>
    <row r="11" spans="1:19" ht="13.5" thickBot="1">
      <c r="A11" s="1664" t="s">
        <v>377</v>
      </c>
      <c r="B11" s="1295" t="s">
        <v>721</v>
      </c>
      <c r="C11" s="1074"/>
      <c r="D11" s="1072">
        <v>3502044</v>
      </c>
      <c r="E11" s="1074"/>
      <c r="F11" s="1074"/>
      <c r="G11" s="1074"/>
      <c r="H11" s="1074"/>
      <c r="I11" s="1175">
        <v>3502044</v>
      </c>
      <c r="J11" s="1169">
        <f t="shared" si="0"/>
        <v>0</v>
      </c>
      <c r="K11" s="1675" t="s">
        <v>377</v>
      </c>
      <c r="L11" s="1425" t="s">
        <v>721</v>
      </c>
      <c r="M11" s="1426"/>
      <c r="N11" s="1427">
        <v>3502044</v>
      </c>
      <c r="O11" s="1426"/>
      <c r="P11" s="1426"/>
      <c r="Q11" s="1426"/>
      <c r="R11" s="1426"/>
      <c r="S11" s="1428">
        <v>3502044</v>
      </c>
    </row>
    <row r="12" spans="1:19" ht="13.5" thickBot="1">
      <c r="A12" s="1665"/>
      <c r="B12" s="1295" t="s">
        <v>724</v>
      </c>
      <c r="C12" s="1074"/>
      <c r="D12" s="1072">
        <v>10153522.189999999</v>
      </c>
      <c r="E12" s="1074"/>
      <c r="F12" s="1074"/>
      <c r="G12" s="1074"/>
      <c r="H12" s="1074"/>
      <c r="I12" s="1175">
        <v>10153522.189999999</v>
      </c>
      <c r="J12" s="1169">
        <f t="shared" si="0"/>
        <v>0</v>
      </c>
      <c r="K12" s="1676"/>
      <c r="L12" s="1425" t="s">
        <v>724</v>
      </c>
      <c r="M12" s="1426"/>
      <c r="N12" s="1427">
        <v>10153522.189999999</v>
      </c>
      <c r="O12" s="1426"/>
      <c r="P12" s="1426"/>
      <c r="Q12" s="1426"/>
      <c r="R12" s="1426"/>
      <c r="S12" s="1428">
        <v>10153522.189999999</v>
      </c>
    </row>
    <row r="13" spans="1:19" ht="13.5" thickBot="1">
      <c r="A13" s="1666"/>
      <c r="B13" s="1296" t="s">
        <v>377</v>
      </c>
      <c r="C13" s="1075"/>
      <c r="D13" s="1073">
        <v>13655566.189999999</v>
      </c>
      <c r="E13" s="1075"/>
      <c r="F13" s="1075"/>
      <c r="G13" s="1075"/>
      <c r="H13" s="1075"/>
      <c r="I13" s="1073">
        <v>13655566.189999999</v>
      </c>
      <c r="J13" s="1169">
        <f t="shared" si="0"/>
        <v>0</v>
      </c>
      <c r="K13" s="1677"/>
      <c r="L13" s="1429" t="s">
        <v>377</v>
      </c>
      <c r="M13" s="1430"/>
      <c r="N13" s="1431">
        <v>13655566.189999999</v>
      </c>
      <c r="O13" s="1430"/>
      <c r="P13" s="1430"/>
      <c r="Q13" s="1430"/>
      <c r="R13" s="1430"/>
      <c r="S13" s="1431">
        <v>13655566.189999999</v>
      </c>
    </row>
    <row r="14" spans="1:19" ht="13.5" thickBot="1">
      <c r="A14" s="1664" t="s">
        <v>380</v>
      </c>
      <c r="B14" s="1295" t="s">
        <v>721</v>
      </c>
      <c r="C14" s="1074"/>
      <c r="D14" s="1072">
        <v>10469854</v>
      </c>
      <c r="E14" s="1074"/>
      <c r="F14" s="1074"/>
      <c r="G14" s="1074"/>
      <c r="H14" s="1074"/>
      <c r="I14" s="1175">
        <v>10469854</v>
      </c>
      <c r="J14" s="1169">
        <f t="shared" si="0"/>
        <v>0</v>
      </c>
      <c r="K14" s="1675" t="s">
        <v>380</v>
      </c>
      <c r="L14" s="1425" t="s">
        <v>721</v>
      </c>
      <c r="M14" s="1426"/>
      <c r="N14" s="1427">
        <v>10469854</v>
      </c>
      <c r="O14" s="1426"/>
      <c r="P14" s="1426"/>
      <c r="Q14" s="1426"/>
      <c r="R14" s="1426"/>
      <c r="S14" s="1428">
        <v>10469854</v>
      </c>
    </row>
    <row r="15" spans="1:19" ht="13.5" thickBot="1">
      <c r="A15" s="1665"/>
      <c r="B15" s="1295" t="s">
        <v>724</v>
      </c>
      <c r="C15" s="1074"/>
      <c r="D15" s="1072">
        <v>583673</v>
      </c>
      <c r="E15" s="1074"/>
      <c r="F15" s="1074"/>
      <c r="G15" s="1074"/>
      <c r="H15" s="1074"/>
      <c r="I15" s="1175">
        <v>583673</v>
      </c>
      <c r="J15" s="1169">
        <f t="shared" si="0"/>
        <v>0</v>
      </c>
      <c r="K15" s="1676"/>
      <c r="L15" s="1425" t="s">
        <v>724</v>
      </c>
      <c r="M15" s="1426"/>
      <c r="N15" s="1427">
        <v>583673</v>
      </c>
      <c r="O15" s="1426"/>
      <c r="P15" s="1426"/>
      <c r="Q15" s="1426"/>
      <c r="R15" s="1426"/>
      <c r="S15" s="1428">
        <v>583673</v>
      </c>
    </row>
    <row r="16" spans="1:19" ht="13.5" thickBot="1">
      <c r="A16" s="1666"/>
      <c r="B16" s="1296" t="s">
        <v>380</v>
      </c>
      <c r="C16" s="1075"/>
      <c r="D16" s="1073">
        <v>11053527</v>
      </c>
      <c r="E16" s="1075"/>
      <c r="F16" s="1075"/>
      <c r="G16" s="1075"/>
      <c r="H16" s="1075"/>
      <c r="I16" s="1073">
        <v>11053527</v>
      </c>
      <c r="J16" s="1169">
        <f t="shared" si="0"/>
        <v>0</v>
      </c>
      <c r="K16" s="1677"/>
      <c r="L16" s="1429" t="s">
        <v>380</v>
      </c>
      <c r="M16" s="1430"/>
      <c r="N16" s="1431">
        <v>11053527</v>
      </c>
      <c r="O16" s="1430"/>
      <c r="P16" s="1430"/>
      <c r="Q16" s="1430"/>
      <c r="R16" s="1430"/>
      <c r="S16" s="1431">
        <v>11053527</v>
      </c>
    </row>
    <row r="17" spans="1:19" ht="13.5" thickBot="1">
      <c r="A17" s="1664" t="s">
        <v>383</v>
      </c>
      <c r="B17" s="1295" t="s">
        <v>721</v>
      </c>
      <c r="C17" s="1074"/>
      <c r="D17" s="1072">
        <v>75000</v>
      </c>
      <c r="E17" s="1074"/>
      <c r="F17" s="1074"/>
      <c r="G17" s="1074"/>
      <c r="H17" s="1074"/>
      <c r="I17" s="1175">
        <v>75000</v>
      </c>
      <c r="J17" s="1169">
        <f t="shared" si="0"/>
        <v>0</v>
      </c>
      <c r="K17" s="1675" t="s">
        <v>383</v>
      </c>
      <c r="L17" s="1425" t="s">
        <v>721</v>
      </c>
      <c r="M17" s="1426"/>
      <c r="N17" s="1427">
        <v>75000</v>
      </c>
      <c r="O17" s="1426"/>
      <c r="P17" s="1426"/>
      <c r="Q17" s="1426"/>
      <c r="R17" s="1426"/>
      <c r="S17" s="1428">
        <v>75000</v>
      </c>
    </row>
    <row r="18" spans="1:19" ht="13.5" thickBot="1">
      <c r="A18" s="1665"/>
      <c r="B18" s="1295" t="s">
        <v>724</v>
      </c>
      <c r="C18" s="1074"/>
      <c r="D18" s="1072">
        <v>70662</v>
      </c>
      <c r="E18" s="1074"/>
      <c r="F18" s="1074"/>
      <c r="G18" s="1074"/>
      <c r="H18" s="1074"/>
      <c r="I18" s="1175">
        <v>70662</v>
      </c>
      <c r="J18" s="1169">
        <f t="shared" si="0"/>
        <v>0</v>
      </c>
      <c r="K18" s="1676"/>
      <c r="L18" s="1425" t="s">
        <v>724</v>
      </c>
      <c r="M18" s="1426"/>
      <c r="N18" s="1427">
        <v>70662</v>
      </c>
      <c r="O18" s="1426"/>
      <c r="P18" s="1426"/>
      <c r="Q18" s="1426"/>
      <c r="R18" s="1426"/>
      <c r="S18" s="1428">
        <v>70662</v>
      </c>
    </row>
    <row r="19" spans="1:19" ht="13.5" thickBot="1">
      <c r="A19" s="1666"/>
      <c r="B19" s="1296" t="s">
        <v>383</v>
      </c>
      <c r="C19" s="1075"/>
      <c r="D19" s="1073">
        <v>145662</v>
      </c>
      <c r="E19" s="1075"/>
      <c r="F19" s="1075"/>
      <c r="G19" s="1075"/>
      <c r="H19" s="1075"/>
      <c r="I19" s="1073">
        <v>145662</v>
      </c>
      <c r="J19" s="1169">
        <f t="shared" si="0"/>
        <v>0</v>
      </c>
      <c r="K19" s="1677"/>
      <c r="L19" s="1429" t="s">
        <v>383</v>
      </c>
      <c r="M19" s="1430"/>
      <c r="N19" s="1431">
        <v>145662</v>
      </c>
      <c r="O19" s="1430"/>
      <c r="P19" s="1430"/>
      <c r="Q19" s="1430"/>
      <c r="R19" s="1430"/>
      <c r="S19" s="1431">
        <v>145662</v>
      </c>
    </row>
    <row r="20" spans="1:19" ht="13.5" thickBot="1">
      <c r="A20" s="1664" t="s">
        <v>385</v>
      </c>
      <c r="B20" s="1295" t="s">
        <v>721</v>
      </c>
      <c r="C20" s="1074"/>
      <c r="D20" s="1072">
        <v>674056</v>
      </c>
      <c r="E20" s="1074"/>
      <c r="F20" s="1074"/>
      <c r="G20" s="1074"/>
      <c r="H20" s="1074"/>
      <c r="I20" s="1175">
        <v>674056</v>
      </c>
      <c r="J20" s="1169">
        <f t="shared" si="0"/>
        <v>0</v>
      </c>
      <c r="K20" s="1675" t="s">
        <v>385</v>
      </c>
      <c r="L20" s="1425" t="s">
        <v>721</v>
      </c>
      <c r="M20" s="1426"/>
      <c r="N20" s="1427">
        <v>674056</v>
      </c>
      <c r="O20" s="1426"/>
      <c r="P20" s="1426"/>
      <c r="Q20" s="1426"/>
      <c r="R20" s="1426"/>
      <c r="S20" s="1428">
        <v>674056</v>
      </c>
    </row>
    <row r="21" spans="1:19" ht="13.5" thickBot="1">
      <c r="A21" s="1665"/>
      <c r="B21" s="1295" t="s">
        <v>724</v>
      </c>
      <c r="C21" s="1074"/>
      <c r="D21" s="1072">
        <v>349185.09</v>
      </c>
      <c r="E21" s="1074"/>
      <c r="F21" s="1074"/>
      <c r="G21" s="1074"/>
      <c r="H21" s="1074"/>
      <c r="I21" s="1175">
        <v>349185.09</v>
      </c>
      <c r="J21" s="1169">
        <f t="shared" si="0"/>
        <v>0</v>
      </c>
      <c r="K21" s="1676"/>
      <c r="L21" s="1425" t="s">
        <v>724</v>
      </c>
      <c r="M21" s="1426"/>
      <c r="N21" s="1427">
        <v>349185.09</v>
      </c>
      <c r="O21" s="1426"/>
      <c r="P21" s="1426"/>
      <c r="Q21" s="1426"/>
      <c r="R21" s="1426"/>
      <c r="S21" s="1428">
        <v>349185.09</v>
      </c>
    </row>
    <row r="22" spans="1:19" ht="13.5" thickBot="1">
      <c r="A22" s="1666"/>
      <c r="B22" s="1296" t="s">
        <v>385</v>
      </c>
      <c r="C22" s="1075"/>
      <c r="D22" s="1073">
        <v>1023241.09</v>
      </c>
      <c r="E22" s="1075"/>
      <c r="F22" s="1075"/>
      <c r="G22" s="1075"/>
      <c r="H22" s="1075"/>
      <c r="I22" s="1073">
        <v>1023241.09</v>
      </c>
      <c r="J22" s="1169">
        <f t="shared" si="0"/>
        <v>0</v>
      </c>
      <c r="K22" s="1677"/>
      <c r="L22" s="1429" t="s">
        <v>385</v>
      </c>
      <c r="M22" s="1430"/>
      <c r="N22" s="1431">
        <v>1023241.09</v>
      </c>
      <c r="O22" s="1430"/>
      <c r="P22" s="1430"/>
      <c r="Q22" s="1430"/>
      <c r="R22" s="1430"/>
      <c r="S22" s="1431">
        <v>1023241.09</v>
      </c>
    </row>
    <row r="23" spans="1:19" ht="13.5" thickBot="1">
      <c r="A23" s="1664" t="s">
        <v>393</v>
      </c>
      <c r="B23" s="1295" t="s">
        <v>722</v>
      </c>
      <c r="C23" s="1074"/>
      <c r="D23" s="1074"/>
      <c r="E23" s="1072">
        <v>4851261</v>
      </c>
      <c r="F23" s="1074"/>
      <c r="G23" s="1074"/>
      <c r="H23" s="1074"/>
      <c r="I23" s="1175">
        <v>4851261</v>
      </c>
      <c r="J23" s="1169">
        <f t="shared" si="0"/>
        <v>0</v>
      </c>
      <c r="K23" s="1675" t="s">
        <v>393</v>
      </c>
      <c r="L23" s="1425" t="s">
        <v>722</v>
      </c>
      <c r="M23" s="1426"/>
      <c r="N23" s="1426"/>
      <c r="O23" s="1427">
        <v>4851261</v>
      </c>
      <c r="P23" s="1426"/>
      <c r="Q23" s="1426"/>
      <c r="R23" s="1426"/>
      <c r="S23" s="1428">
        <v>4851261</v>
      </c>
    </row>
    <row r="24" spans="1:19" ht="13.5" thickBot="1">
      <c r="A24" s="1665"/>
      <c r="B24" s="1295" t="s">
        <v>724</v>
      </c>
      <c r="C24" s="1074"/>
      <c r="D24" s="1074"/>
      <c r="E24" s="1072">
        <v>511492.44</v>
      </c>
      <c r="F24" s="1074"/>
      <c r="G24" s="1074"/>
      <c r="H24" s="1074"/>
      <c r="I24" s="1175">
        <v>511492.44</v>
      </c>
      <c r="J24" s="1169">
        <f t="shared" si="0"/>
        <v>0</v>
      </c>
      <c r="K24" s="1676"/>
      <c r="L24" s="1425" t="s">
        <v>724</v>
      </c>
      <c r="M24" s="1426"/>
      <c r="N24" s="1426"/>
      <c r="O24" s="1427">
        <v>511492.44</v>
      </c>
      <c r="P24" s="1426"/>
      <c r="Q24" s="1426"/>
      <c r="R24" s="1426"/>
      <c r="S24" s="1428">
        <v>511492.44</v>
      </c>
    </row>
    <row r="25" spans="1:19" ht="13.5" thickBot="1">
      <c r="A25" s="1666"/>
      <c r="B25" s="1296" t="s">
        <v>393</v>
      </c>
      <c r="C25" s="1075"/>
      <c r="D25" s="1075"/>
      <c r="E25" s="1073">
        <v>5362753.4400000004</v>
      </c>
      <c r="F25" s="1075"/>
      <c r="G25" s="1075"/>
      <c r="H25" s="1075"/>
      <c r="I25" s="1073">
        <v>5362753.4400000004</v>
      </c>
      <c r="J25" s="1169">
        <f t="shared" si="0"/>
        <v>0</v>
      </c>
      <c r="K25" s="1677"/>
      <c r="L25" s="1429" t="s">
        <v>393</v>
      </c>
      <c r="M25" s="1430"/>
      <c r="N25" s="1430"/>
      <c r="O25" s="1431">
        <v>5362753.4400000004</v>
      </c>
      <c r="P25" s="1430"/>
      <c r="Q25" s="1430"/>
      <c r="R25" s="1430"/>
      <c r="S25" s="1431">
        <v>5362753.4400000004</v>
      </c>
    </row>
    <row r="26" spans="1:19" ht="13.5" thickBot="1">
      <c r="A26" s="1664" t="s">
        <v>770</v>
      </c>
      <c r="B26" s="1295" t="s">
        <v>722</v>
      </c>
      <c r="C26" s="1074"/>
      <c r="D26" s="1074"/>
      <c r="E26" s="1072">
        <v>26362973</v>
      </c>
      <c r="F26" s="1074"/>
      <c r="G26" s="1074"/>
      <c r="H26" s="1074"/>
      <c r="I26" s="1175">
        <v>26362973</v>
      </c>
      <c r="J26" s="1169">
        <f t="shared" si="0"/>
        <v>0</v>
      </c>
      <c r="K26" s="1675" t="s">
        <v>770</v>
      </c>
      <c r="L26" s="1425" t="s">
        <v>722</v>
      </c>
      <c r="M26" s="1426"/>
      <c r="N26" s="1426"/>
      <c r="O26" s="1427">
        <v>26362973</v>
      </c>
      <c r="P26" s="1426"/>
      <c r="Q26" s="1426"/>
      <c r="R26" s="1426"/>
      <c r="S26" s="1428">
        <v>26362973</v>
      </c>
    </row>
    <row r="27" spans="1:19" ht="13.5" thickBot="1">
      <c r="A27" s="1665"/>
      <c r="B27" s="1295" t="s">
        <v>724</v>
      </c>
      <c r="C27" s="1074"/>
      <c r="D27" s="1074"/>
      <c r="E27" s="1072">
        <v>14270771.76</v>
      </c>
      <c r="F27" s="1074"/>
      <c r="G27" s="1074"/>
      <c r="H27" s="1074"/>
      <c r="I27" s="1175">
        <v>14270771.76</v>
      </c>
      <c r="J27" s="1169">
        <f t="shared" si="0"/>
        <v>0</v>
      </c>
      <c r="K27" s="1676"/>
      <c r="L27" s="1425" t="s">
        <v>724</v>
      </c>
      <c r="M27" s="1426"/>
      <c r="N27" s="1426"/>
      <c r="O27" s="1427">
        <v>14270771.76</v>
      </c>
      <c r="P27" s="1426"/>
      <c r="Q27" s="1426"/>
      <c r="R27" s="1426"/>
      <c r="S27" s="1428">
        <v>14270771.76</v>
      </c>
    </row>
    <row r="28" spans="1:19" ht="13.5" thickBot="1">
      <c r="A28" s="1666"/>
      <c r="B28" s="1296" t="s">
        <v>770</v>
      </c>
      <c r="C28" s="1075"/>
      <c r="D28" s="1075"/>
      <c r="E28" s="1073">
        <v>40633744.759999998</v>
      </c>
      <c r="F28" s="1075"/>
      <c r="G28" s="1075"/>
      <c r="H28" s="1075"/>
      <c r="I28" s="1073">
        <v>40633744.759999998</v>
      </c>
      <c r="J28" s="1169">
        <f t="shared" si="0"/>
        <v>0</v>
      </c>
      <c r="K28" s="1677"/>
      <c r="L28" s="1429" t="s">
        <v>770</v>
      </c>
      <c r="M28" s="1430"/>
      <c r="N28" s="1430"/>
      <c r="O28" s="1431">
        <v>40633744.759999998</v>
      </c>
      <c r="P28" s="1430"/>
      <c r="Q28" s="1430"/>
      <c r="R28" s="1430"/>
      <c r="S28" s="1431">
        <v>40633744.759999998</v>
      </c>
    </row>
    <row r="29" spans="1:19" ht="13.5" thickBot="1">
      <c r="A29" s="1664" t="s">
        <v>397</v>
      </c>
      <c r="B29" s="1295" t="s">
        <v>722</v>
      </c>
      <c r="C29" s="1074"/>
      <c r="D29" s="1074"/>
      <c r="E29" s="1072">
        <v>3416307</v>
      </c>
      <c r="F29" s="1074"/>
      <c r="G29" s="1074"/>
      <c r="H29" s="1074"/>
      <c r="I29" s="1175">
        <v>3416307</v>
      </c>
      <c r="J29" s="1169">
        <f t="shared" si="0"/>
        <v>0</v>
      </c>
      <c r="K29" s="1675" t="s">
        <v>397</v>
      </c>
      <c r="L29" s="1425" t="s">
        <v>722</v>
      </c>
      <c r="M29" s="1426"/>
      <c r="N29" s="1426"/>
      <c r="O29" s="1427">
        <v>3416307</v>
      </c>
      <c r="P29" s="1426"/>
      <c r="Q29" s="1426"/>
      <c r="R29" s="1426"/>
      <c r="S29" s="1428">
        <v>3416307</v>
      </c>
    </row>
    <row r="30" spans="1:19" ht="13.5" thickBot="1">
      <c r="A30" s="1665"/>
      <c r="B30" s="1295" t="s">
        <v>724</v>
      </c>
      <c r="C30" s="1074"/>
      <c r="D30" s="1074"/>
      <c r="E30" s="1072">
        <v>1864.41</v>
      </c>
      <c r="F30" s="1074"/>
      <c r="G30" s="1074"/>
      <c r="H30" s="1074"/>
      <c r="I30" s="1175">
        <v>1864.41</v>
      </c>
      <c r="J30" s="1169">
        <f t="shared" si="0"/>
        <v>0</v>
      </c>
      <c r="K30" s="1676"/>
      <c r="L30" s="1425" t="s">
        <v>724</v>
      </c>
      <c r="M30" s="1426"/>
      <c r="N30" s="1426"/>
      <c r="O30" s="1427">
        <v>1864.41</v>
      </c>
      <c r="P30" s="1426"/>
      <c r="Q30" s="1426"/>
      <c r="R30" s="1426"/>
      <c r="S30" s="1428">
        <v>1864.41</v>
      </c>
    </row>
    <row r="31" spans="1:19" ht="13.5" thickBot="1">
      <c r="A31" s="1666"/>
      <c r="B31" s="1296" t="s">
        <v>397</v>
      </c>
      <c r="C31" s="1075"/>
      <c r="D31" s="1075"/>
      <c r="E31" s="1073">
        <v>3418171.41</v>
      </c>
      <c r="F31" s="1075"/>
      <c r="G31" s="1075"/>
      <c r="H31" s="1075"/>
      <c r="I31" s="1073">
        <v>3418171.41</v>
      </c>
      <c r="J31" s="1169">
        <f t="shared" si="0"/>
        <v>0</v>
      </c>
      <c r="K31" s="1677"/>
      <c r="L31" s="1429" t="s">
        <v>397</v>
      </c>
      <c r="M31" s="1430"/>
      <c r="N31" s="1430"/>
      <c r="O31" s="1431">
        <v>3418171.41</v>
      </c>
      <c r="P31" s="1430"/>
      <c r="Q31" s="1430"/>
      <c r="R31" s="1430"/>
      <c r="S31" s="1431">
        <v>3418171.41</v>
      </c>
    </row>
    <row r="32" spans="1:19" ht="13.5" thickBot="1">
      <c r="A32" s="1664" t="s">
        <v>399</v>
      </c>
      <c r="B32" s="1295" t="s">
        <v>722</v>
      </c>
      <c r="C32" s="1074"/>
      <c r="D32" s="1074"/>
      <c r="E32" s="1072">
        <v>2000</v>
      </c>
      <c r="F32" s="1074"/>
      <c r="G32" s="1074"/>
      <c r="H32" s="1074"/>
      <c r="I32" s="1175">
        <v>2000</v>
      </c>
      <c r="J32" s="1169">
        <f t="shared" si="0"/>
        <v>0</v>
      </c>
      <c r="K32" s="1675" t="s">
        <v>399</v>
      </c>
      <c r="L32" s="1425" t="s">
        <v>722</v>
      </c>
      <c r="M32" s="1426"/>
      <c r="N32" s="1426"/>
      <c r="O32" s="1427">
        <v>2000</v>
      </c>
      <c r="P32" s="1426"/>
      <c r="Q32" s="1426"/>
      <c r="R32" s="1426"/>
      <c r="S32" s="1428">
        <v>2000</v>
      </c>
    </row>
    <row r="33" spans="1:19" ht="13.5" thickBot="1">
      <c r="A33" s="1665"/>
      <c r="B33" s="1295" t="s">
        <v>724</v>
      </c>
      <c r="C33" s="1074"/>
      <c r="D33" s="1074"/>
      <c r="E33" s="1072">
        <v>700631.26</v>
      </c>
      <c r="F33" s="1074"/>
      <c r="G33" s="1074"/>
      <c r="H33" s="1074"/>
      <c r="I33" s="1175">
        <v>700631.26</v>
      </c>
      <c r="J33" s="1169">
        <f t="shared" si="0"/>
        <v>0</v>
      </c>
      <c r="K33" s="1676"/>
      <c r="L33" s="1425" t="s">
        <v>724</v>
      </c>
      <c r="M33" s="1426"/>
      <c r="N33" s="1426"/>
      <c r="O33" s="1427">
        <v>700631.26</v>
      </c>
      <c r="P33" s="1426"/>
      <c r="Q33" s="1426"/>
      <c r="R33" s="1426"/>
      <c r="S33" s="1428">
        <v>700631.26</v>
      </c>
    </row>
    <row r="34" spans="1:19" ht="13.5" thickBot="1">
      <c r="A34" s="1666"/>
      <c r="B34" s="1296" t="s">
        <v>399</v>
      </c>
      <c r="C34" s="1075"/>
      <c r="D34" s="1075"/>
      <c r="E34" s="1073">
        <v>702631.26</v>
      </c>
      <c r="F34" s="1075"/>
      <c r="G34" s="1075"/>
      <c r="H34" s="1075"/>
      <c r="I34" s="1073">
        <v>702631.26</v>
      </c>
      <c r="J34" s="1169">
        <f t="shared" si="0"/>
        <v>0</v>
      </c>
      <c r="K34" s="1677"/>
      <c r="L34" s="1429" t="s">
        <v>399</v>
      </c>
      <c r="M34" s="1430"/>
      <c r="N34" s="1430"/>
      <c r="O34" s="1431">
        <v>702631.26</v>
      </c>
      <c r="P34" s="1430"/>
      <c r="Q34" s="1430"/>
      <c r="R34" s="1430"/>
      <c r="S34" s="1431">
        <v>702631.26</v>
      </c>
    </row>
    <row r="35" spans="1:19" ht="13.5" thickBot="1">
      <c r="A35" s="1664" t="s">
        <v>359</v>
      </c>
      <c r="B35" s="1295" t="s">
        <v>722</v>
      </c>
      <c r="C35" s="1074"/>
      <c r="D35" s="1074"/>
      <c r="E35" s="1074"/>
      <c r="F35" s="1072">
        <v>2620781</v>
      </c>
      <c r="G35" s="1074"/>
      <c r="H35" s="1074"/>
      <c r="I35" s="1175">
        <v>2620781</v>
      </c>
      <c r="J35" s="1169">
        <f t="shared" si="0"/>
        <v>0</v>
      </c>
      <c r="K35" s="1675" t="s">
        <v>359</v>
      </c>
      <c r="L35" s="1425" t="s">
        <v>722</v>
      </c>
      <c r="M35" s="1426"/>
      <c r="N35" s="1426"/>
      <c r="O35" s="1426"/>
      <c r="P35" s="1427">
        <v>2620781</v>
      </c>
      <c r="Q35" s="1426"/>
      <c r="R35" s="1426"/>
      <c r="S35" s="1428">
        <v>2620781</v>
      </c>
    </row>
    <row r="36" spans="1:19" ht="13.5" thickBot="1">
      <c r="A36" s="1665"/>
      <c r="B36" s="1295" t="s">
        <v>723</v>
      </c>
      <c r="C36" s="1074"/>
      <c r="D36" s="1074"/>
      <c r="E36" s="1074"/>
      <c r="F36" s="1072">
        <v>11995475.07</v>
      </c>
      <c r="G36" s="1074"/>
      <c r="H36" s="1074"/>
      <c r="I36" s="1175">
        <v>11995475.07</v>
      </c>
      <c r="J36" s="1169">
        <f t="shared" si="0"/>
        <v>0</v>
      </c>
      <c r="K36" s="1676"/>
      <c r="L36" s="1425" t="s">
        <v>723</v>
      </c>
      <c r="M36" s="1426"/>
      <c r="N36" s="1426"/>
      <c r="O36" s="1426"/>
      <c r="P36" s="1427">
        <v>11995475.07</v>
      </c>
      <c r="Q36" s="1426"/>
      <c r="R36" s="1426"/>
      <c r="S36" s="1428">
        <v>11995475.07</v>
      </c>
    </row>
    <row r="37" spans="1:19" ht="13.5" thickBot="1">
      <c r="A37" s="1665"/>
      <c r="B37" s="1295" t="s">
        <v>724</v>
      </c>
      <c r="C37" s="1074"/>
      <c r="D37" s="1074"/>
      <c r="E37" s="1074"/>
      <c r="F37" s="1072">
        <v>2634468.09</v>
      </c>
      <c r="G37" s="1074"/>
      <c r="H37" s="1074"/>
      <c r="I37" s="1175">
        <v>2634468.09</v>
      </c>
      <c r="J37" s="1169">
        <f t="shared" si="0"/>
        <v>0</v>
      </c>
      <c r="K37" s="1676"/>
      <c r="L37" s="1425" t="s">
        <v>724</v>
      </c>
      <c r="M37" s="1426"/>
      <c r="N37" s="1426"/>
      <c r="O37" s="1426"/>
      <c r="P37" s="1427">
        <v>2634468.09</v>
      </c>
      <c r="Q37" s="1426"/>
      <c r="R37" s="1426"/>
      <c r="S37" s="1428">
        <v>2634468.09</v>
      </c>
    </row>
    <row r="38" spans="1:19" ht="13.5" thickBot="1">
      <c r="A38" s="1666"/>
      <c r="B38" s="1296" t="s">
        <v>359</v>
      </c>
      <c r="C38" s="1075"/>
      <c r="D38" s="1075"/>
      <c r="E38" s="1075"/>
      <c r="F38" s="1073">
        <v>17250724.16</v>
      </c>
      <c r="G38" s="1075"/>
      <c r="H38" s="1075"/>
      <c r="I38" s="1073">
        <v>17250724.16</v>
      </c>
      <c r="J38" s="1169">
        <f t="shared" si="0"/>
        <v>0</v>
      </c>
      <c r="K38" s="1677"/>
      <c r="L38" s="1429" t="s">
        <v>359</v>
      </c>
      <c r="M38" s="1430"/>
      <c r="N38" s="1430"/>
      <c r="O38" s="1430"/>
      <c r="P38" s="1431">
        <v>17250724.16</v>
      </c>
      <c r="Q38" s="1430"/>
      <c r="R38" s="1430"/>
      <c r="S38" s="1431">
        <v>17250724.16</v>
      </c>
    </row>
    <row r="39" spans="1:19" ht="13.5" thickBot="1">
      <c r="A39" s="1664" t="s">
        <v>347</v>
      </c>
      <c r="B39" s="1295" t="s">
        <v>723</v>
      </c>
      <c r="C39" s="1074"/>
      <c r="D39" s="1074"/>
      <c r="E39" s="1074"/>
      <c r="F39" s="1074"/>
      <c r="G39" s="1072">
        <v>31194363</v>
      </c>
      <c r="H39" s="1074"/>
      <c r="I39" s="1175">
        <v>31194363</v>
      </c>
      <c r="J39" s="1169">
        <f t="shared" si="0"/>
        <v>0</v>
      </c>
      <c r="K39" s="1675" t="s">
        <v>347</v>
      </c>
      <c r="L39" s="1425" t="s">
        <v>723</v>
      </c>
      <c r="M39" s="1426"/>
      <c r="N39" s="1426"/>
      <c r="O39" s="1426"/>
      <c r="P39" s="1426"/>
      <c r="Q39" s="1427">
        <v>31194363</v>
      </c>
      <c r="R39" s="1426"/>
      <c r="S39" s="1428">
        <v>31194363</v>
      </c>
    </row>
    <row r="40" spans="1:19" ht="13.5" thickBot="1">
      <c r="A40" s="1665"/>
      <c r="B40" s="1295" t="s">
        <v>724</v>
      </c>
      <c r="C40" s="1074"/>
      <c r="D40" s="1074"/>
      <c r="E40" s="1074"/>
      <c r="F40" s="1074"/>
      <c r="G40" s="1072">
        <v>34597496.75</v>
      </c>
      <c r="H40" s="1074"/>
      <c r="I40" s="1175">
        <v>34597496.75</v>
      </c>
      <c r="J40" s="1169">
        <f t="shared" si="0"/>
        <v>0</v>
      </c>
      <c r="K40" s="1676"/>
      <c r="L40" s="1425" t="s">
        <v>724</v>
      </c>
      <c r="M40" s="1426"/>
      <c r="N40" s="1426"/>
      <c r="O40" s="1426"/>
      <c r="P40" s="1426"/>
      <c r="Q40" s="1427">
        <v>34597496.75</v>
      </c>
      <c r="R40" s="1426"/>
      <c r="S40" s="1428">
        <v>34597496.75</v>
      </c>
    </row>
    <row r="41" spans="1:19" ht="13.5" thickBot="1">
      <c r="A41" s="1665"/>
      <c r="B41" s="1295" t="s">
        <v>725</v>
      </c>
      <c r="C41" s="1074"/>
      <c r="D41" s="1074"/>
      <c r="E41" s="1074"/>
      <c r="F41" s="1074"/>
      <c r="G41" s="1072">
        <v>73215829</v>
      </c>
      <c r="H41" s="1074"/>
      <c r="I41" s="1175">
        <v>73215829</v>
      </c>
      <c r="J41" s="1169">
        <f t="shared" si="0"/>
        <v>0</v>
      </c>
      <c r="K41" s="1676"/>
      <c r="L41" s="1425" t="s">
        <v>725</v>
      </c>
      <c r="M41" s="1426"/>
      <c r="N41" s="1426"/>
      <c r="O41" s="1426"/>
      <c r="P41" s="1426"/>
      <c r="Q41" s="1427">
        <v>73215829</v>
      </c>
      <c r="R41" s="1426"/>
      <c r="S41" s="1428">
        <v>73215829</v>
      </c>
    </row>
    <row r="42" spans="1:19" ht="13.5" thickBot="1">
      <c r="A42" s="1666"/>
      <c r="B42" s="1296" t="s">
        <v>347</v>
      </c>
      <c r="C42" s="1075"/>
      <c r="D42" s="1075"/>
      <c r="E42" s="1075"/>
      <c r="F42" s="1075"/>
      <c r="G42" s="1073">
        <v>139007688.75</v>
      </c>
      <c r="H42" s="1075"/>
      <c r="I42" s="1073">
        <v>139007688.75</v>
      </c>
      <c r="J42" s="1169">
        <f t="shared" si="0"/>
        <v>0</v>
      </c>
      <c r="K42" s="1677"/>
      <c r="L42" s="1429" t="s">
        <v>347</v>
      </c>
      <c r="M42" s="1430"/>
      <c r="N42" s="1430"/>
      <c r="O42" s="1430"/>
      <c r="P42" s="1430"/>
      <c r="Q42" s="1431">
        <v>139007688.75</v>
      </c>
      <c r="R42" s="1430"/>
      <c r="S42" s="1431">
        <v>139007688.75</v>
      </c>
    </row>
    <row r="43" spans="1:19" ht="13.5" thickBot="1">
      <c r="A43" s="1664" t="s">
        <v>352</v>
      </c>
      <c r="B43" s="1295" t="s">
        <v>723</v>
      </c>
      <c r="C43" s="1074"/>
      <c r="D43" s="1074"/>
      <c r="E43" s="1074"/>
      <c r="F43" s="1074"/>
      <c r="G43" s="1072">
        <v>1922771</v>
      </c>
      <c r="H43" s="1074"/>
      <c r="I43" s="1175">
        <v>1922771</v>
      </c>
      <c r="J43" s="1169">
        <f t="shared" si="0"/>
        <v>0</v>
      </c>
      <c r="K43" s="1675" t="s">
        <v>352</v>
      </c>
      <c r="L43" s="1425" t="s">
        <v>723</v>
      </c>
      <c r="M43" s="1426"/>
      <c r="N43" s="1426"/>
      <c r="O43" s="1426"/>
      <c r="P43" s="1426"/>
      <c r="Q43" s="1427">
        <v>1922771</v>
      </c>
      <c r="R43" s="1426"/>
      <c r="S43" s="1428">
        <v>1922771</v>
      </c>
    </row>
    <row r="44" spans="1:19" ht="13.5" thickBot="1">
      <c r="A44" s="1665"/>
      <c r="B44" s="1295" t="s">
        <v>724</v>
      </c>
      <c r="C44" s="1074"/>
      <c r="D44" s="1074"/>
      <c r="E44" s="1074"/>
      <c r="F44" s="1074"/>
      <c r="G44" s="1072">
        <v>12174430.359999999</v>
      </c>
      <c r="H44" s="1074"/>
      <c r="I44" s="1175">
        <v>12174430.359999999</v>
      </c>
      <c r="J44" s="1169">
        <f t="shared" si="0"/>
        <v>0</v>
      </c>
      <c r="K44" s="1676"/>
      <c r="L44" s="1425" t="s">
        <v>724</v>
      </c>
      <c r="M44" s="1426"/>
      <c r="N44" s="1426"/>
      <c r="O44" s="1426"/>
      <c r="P44" s="1426"/>
      <c r="Q44" s="1427">
        <v>12174430.359999999</v>
      </c>
      <c r="R44" s="1426"/>
      <c r="S44" s="1428">
        <v>12174430.359999999</v>
      </c>
    </row>
    <row r="45" spans="1:19" ht="13.5" thickBot="1">
      <c r="A45" s="1665"/>
      <c r="B45" s="1295" t="s">
        <v>725</v>
      </c>
      <c r="C45" s="1074"/>
      <c r="D45" s="1074"/>
      <c r="E45" s="1074"/>
      <c r="F45" s="1074"/>
      <c r="G45" s="1072">
        <v>14993890</v>
      </c>
      <c r="H45" s="1074"/>
      <c r="I45" s="1175">
        <v>14993890</v>
      </c>
      <c r="J45" s="1169">
        <f t="shared" si="0"/>
        <v>0</v>
      </c>
      <c r="K45" s="1676"/>
      <c r="L45" s="1425" t="s">
        <v>725</v>
      </c>
      <c r="M45" s="1426"/>
      <c r="N45" s="1426"/>
      <c r="O45" s="1426"/>
      <c r="P45" s="1426"/>
      <c r="Q45" s="1427">
        <v>14993890</v>
      </c>
      <c r="R45" s="1426"/>
      <c r="S45" s="1428">
        <v>14993890</v>
      </c>
    </row>
    <row r="46" spans="1:19" ht="13.5" thickBot="1">
      <c r="A46" s="1666"/>
      <c r="B46" s="1296" t="s">
        <v>352</v>
      </c>
      <c r="C46" s="1075"/>
      <c r="D46" s="1075"/>
      <c r="E46" s="1075"/>
      <c r="F46" s="1075"/>
      <c r="G46" s="1073">
        <v>29091091.359999999</v>
      </c>
      <c r="H46" s="1075"/>
      <c r="I46" s="1073">
        <v>29091091.359999999</v>
      </c>
      <c r="J46" s="1169">
        <f t="shared" si="0"/>
        <v>0</v>
      </c>
      <c r="K46" s="1677"/>
      <c r="L46" s="1429" t="s">
        <v>352</v>
      </c>
      <c r="M46" s="1430"/>
      <c r="N46" s="1430"/>
      <c r="O46" s="1430"/>
      <c r="P46" s="1430"/>
      <c r="Q46" s="1431">
        <v>29091091.359999999</v>
      </c>
      <c r="R46" s="1430"/>
      <c r="S46" s="1431">
        <v>29091091.359999999</v>
      </c>
    </row>
    <row r="47" spans="1:19" ht="13.5" thickBot="1">
      <c r="A47" s="1664" t="s">
        <v>357</v>
      </c>
      <c r="B47" s="1295" t="s">
        <v>723</v>
      </c>
      <c r="C47" s="1074"/>
      <c r="D47" s="1074"/>
      <c r="E47" s="1074"/>
      <c r="F47" s="1072">
        <v>21467970</v>
      </c>
      <c r="G47" s="1074"/>
      <c r="H47" s="1074"/>
      <c r="I47" s="1175">
        <v>21467970</v>
      </c>
      <c r="J47" s="1169">
        <f t="shared" si="0"/>
        <v>0</v>
      </c>
      <c r="K47" s="1675" t="s">
        <v>357</v>
      </c>
      <c r="L47" s="1425" t="s">
        <v>723</v>
      </c>
      <c r="M47" s="1426"/>
      <c r="N47" s="1426"/>
      <c r="O47" s="1426"/>
      <c r="P47" s="1427">
        <v>21467970</v>
      </c>
      <c r="Q47" s="1426"/>
      <c r="R47" s="1426"/>
      <c r="S47" s="1428">
        <v>21467970</v>
      </c>
    </row>
    <row r="48" spans="1:19" ht="13.5" thickBot="1">
      <c r="A48" s="1665"/>
      <c r="B48" s="1295" t="s">
        <v>724</v>
      </c>
      <c r="C48" s="1074"/>
      <c r="D48" s="1074"/>
      <c r="E48" s="1074"/>
      <c r="F48" s="1072">
        <v>1100437.1299999999</v>
      </c>
      <c r="G48" s="1074"/>
      <c r="H48" s="1074"/>
      <c r="I48" s="1175">
        <v>1100437.1299999999</v>
      </c>
      <c r="J48" s="1169">
        <f t="shared" si="0"/>
        <v>0</v>
      </c>
      <c r="K48" s="1676"/>
      <c r="L48" s="1425" t="s">
        <v>724</v>
      </c>
      <c r="M48" s="1426"/>
      <c r="N48" s="1426"/>
      <c r="O48" s="1426"/>
      <c r="P48" s="1427">
        <v>1100437.1299999999</v>
      </c>
      <c r="Q48" s="1426"/>
      <c r="R48" s="1426"/>
      <c r="S48" s="1428">
        <v>1100437.1299999999</v>
      </c>
    </row>
    <row r="49" spans="1:19" ht="13.5" thickBot="1">
      <c r="A49" s="1666"/>
      <c r="B49" s="1296" t="s">
        <v>357</v>
      </c>
      <c r="C49" s="1075"/>
      <c r="D49" s="1075"/>
      <c r="E49" s="1075"/>
      <c r="F49" s="1073">
        <v>22568407.129999999</v>
      </c>
      <c r="G49" s="1075"/>
      <c r="H49" s="1075"/>
      <c r="I49" s="1073">
        <v>22568407.129999999</v>
      </c>
      <c r="J49" s="1169">
        <f t="shared" si="0"/>
        <v>0</v>
      </c>
      <c r="K49" s="1677"/>
      <c r="L49" s="1429" t="s">
        <v>357</v>
      </c>
      <c r="M49" s="1430"/>
      <c r="N49" s="1430"/>
      <c r="O49" s="1430"/>
      <c r="P49" s="1431">
        <v>22568407.129999999</v>
      </c>
      <c r="Q49" s="1430"/>
      <c r="R49" s="1430"/>
      <c r="S49" s="1431">
        <v>22568407.129999999</v>
      </c>
    </row>
    <row r="50" spans="1:19" ht="13.5" thickBot="1">
      <c r="A50" s="1664" t="s">
        <v>358</v>
      </c>
      <c r="B50" s="1295" t="s">
        <v>723</v>
      </c>
      <c r="C50" s="1074"/>
      <c r="D50" s="1074"/>
      <c r="E50" s="1074"/>
      <c r="F50" s="1072">
        <v>19876500</v>
      </c>
      <c r="G50" s="1074"/>
      <c r="H50" s="1074"/>
      <c r="I50" s="1175">
        <v>19876500</v>
      </c>
      <c r="J50" s="1169">
        <f t="shared" si="0"/>
        <v>0</v>
      </c>
      <c r="K50" s="1675" t="s">
        <v>358</v>
      </c>
      <c r="L50" s="1425" t="s">
        <v>723</v>
      </c>
      <c r="M50" s="1426"/>
      <c r="N50" s="1426"/>
      <c r="O50" s="1426"/>
      <c r="P50" s="1427">
        <v>19876500</v>
      </c>
      <c r="Q50" s="1426"/>
      <c r="R50" s="1426"/>
      <c r="S50" s="1428">
        <v>19876500</v>
      </c>
    </row>
    <row r="51" spans="1:19" ht="13.5" thickBot="1">
      <c r="A51" s="1665"/>
      <c r="B51" s="1295" t="s">
        <v>724</v>
      </c>
      <c r="C51" s="1074"/>
      <c r="D51" s="1074"/>
      <c r="E51" s="1074"/>
      <c r="F51" s="1072">
        <v>-2102596</v>
      </c>
      <c r="G51" s="1074"/>
      <c r="H51" s="1074"/>
      <c r="I51" s="1175">
        <v>-2102596</v>
      </c>
      <c r="J51" s="1169">
        <f t="shared" si="0"/>
        <v>0</v>
      </c>
      <c r="K51" s="1676"/>
      <c r="L51" s="1425" t="s">
        <v>724</v>
      </c>
      <c r="M51" s="1426"/>
      <c r="N51" s="1426"/>
      <c r="O51" s="1426"/>
      <c r="P51" s="1427">
        <v>-2102596</v>
      </c>
      <c r="Q51" s="1426"/>
      <c r="R51" s="1426"/>
      <c r="S51" s="1428">
        <v>-2102596</v>
      </c>
    </row>
    <row r="52" spans="1:19" ht="13.5" thickBot="1">
      <c r="A52" s="1666"/>
      <c r="B52" s="1296" t="s">
        <v>358</v>
      </c>
      <c r="C52" s="1075"/>
      <c r="D52" s="1075"/>
      <c r="E52" s="1075"/>
      <c r="F52" s="1073">
        <v>17773904</v>
      </c>
      <c r="G52" s="1075"/>
      <c r="H52" s="1075"/>
      <c r="I52" s="1073">
        <v>17773904</v>
      </c>
      <c r="J52" s="1169">
        <f t="shared" si="0"/>
        <v>0</v>
      </c>
      <c r="K52" s="1677"/>
      <c r="L52" s="1429" t="s">
        <v>358</v>
      </c>
      <c r="M52" s="1430"/>
      <c r="N52" s="1430"/>
      <c r="O52" s="1430"/>
      <c r="P52" s="1431">
        <v>17773904</v>
      </c>
      <c r="Q52" s="1430"/>
      <c r="R52" s="1430"/>
      <c r="S52" s="1431">
        <v>17773904</v>
      </c>
    </row>
    <row r="53" spans="1:19" ht="13.5" thickBot="1">
      <c r="A53" s="1664" t="s">
        <v>360</v>
      </c>
      <c r="B53" s="1295" t="s">
        <v>723</v>
      </c>
      <c r="C53" s="1074"/>
      <c r="D53" s="1074"/>
      <c r="E53" s="1074"/>
      <c r="F53" s="1072">
        <v>15307099.01</v>
      </c>
      <c r="G53" s="1074"/>
      <c r="H53" s="1074"/>
      <c r="I53" s="1175">
        <v>15307099.01</v>
      </c>
      <c r="J53" s="1169">
        <f t="shared" si="0"/>
        <v>0</v>
      </c>
      <c r="K53" s="1675" t="s">
        <v>360</v>
      </c>
      <c r="L53" s="1425" t="s">
        <v>723</v>
      </c>
      <c r="M53" s="1426"/>
      <c r="N53" s="1426"/>
      <c r="O53" s="1426"/>
      <c r="P53" s="1427">
        <v>15307099.01</v>
      </c>
      <c r="Q53" s="1426"/>
      <c r="R53" s="1426"/>
      <c r="S53" s="1428">
        <v>15307099.01</v>
      </c>
    </row>
    <row r="54" spans="1:19" ht="13.5" thickBot="1">
      <c r="A54" s="1665"/>
      <c r="B54" s="1295" t="s">
        <v>724</v>
      </c>
      <c r="C54" s="1074"/>
      <c r="D54" s="1074"/>
      <c r="E54" s="1074"/>
      <c r="F54" s="1072">
        <v>9228204.0399999991</v>
      </c>
      <c r="G54" s="1074"/>
      <c r="H54" s="1074"/>
      <c r="I54" s="1175">
        <v>9228204.0399999991</v>
      </c>
      <c r="J54" s="1169">
        <f t="shared" si="0"/>
        <v>0</v>
      </c>
      <c r="K54" s="1676"/>
      <c r="L54" s="1425" t="s">
        <v>724</v>
      </c>
      <c r="M54" s="1426"/>
      <c r="N54" s="1426"/>
      <c r="O54" s="1426"/>
      <c r="P54" s="1427">
        <v>9228204.0399999991</v>
      </c>
      <c r="Q54" s="1426"/>
      <c r="R54" s="1426"/>
      <c r="S54" s="1428">
        <v>9228204.0399999991</v>
      </c>
    </row>
    <row r="55" spans="1:19" ht="13.5" thickBot="1">
      <c r="A55" s="1666"/>
      <c r="B55" s="1296" t="s">
        <v>360</v>
      </c>
      <c r="C55" s="1075"/>
      <c r="D55" s="1075"/>
      <c r="E55" s="1075"/>
      <c r="F55" s="1073">
        <v>24535303.050000001</v>
      </c>
      <c r="G55" s="1075"/>
      <c r="H55" s="1075"/>
      <c r="I55" s="1073">
        <v>24535303.050000001</v>
      </c>
      <c r="J55" s="1169">
        <f t="shared" si="0"/>
        <v>0</v>
      </c>
      <c r="K55" s="1677"/>
      <c r="L55" s="1429" t="s">
        <v>360</v>
      </c>
      <c r="M55" s="1430"/>
      <c r="N55" s="1430"/>
      <c r="O55" s="1430"/>
      <c r="P55" s="1431">
        <v>24535303.050000001</v>
      </c>
      <c r="Q55" s="1430"/>
      <c r="R55" s="1430"/>
      <c r="S55" s="1431">
        <v>24535303.050000001</v>
      </c>
    </row>
    <row r="56" spans="1:19" ht="13.5" thickBot="1">
      <c r="A56" s="1664" t="s">
        <v>802</v>
      </c>
      <c r="B56" s="1295" t="s">
        <v>724</v>
      </c>
      <c r="C56" s="1074"/>
      <c r="D56" s="1072">
        <v>48309.56</v>
      </c>
      <c r="E56" s="1074"/>
      <c r="F56" s="1074"/>
      <c r="G56" s="1074"/>
      <c r="H56" s="1074"/>
      <c r="I56" s="1175">
        <v>48309.56</v>
      </c>
      <c r="J56" s="1169">
        <f t="shared" si="0"/>
        <v>0</v>
      </c>
      <c r="K56" s="1675" t="s">
        <v>802</v>
      </c>
      <c r="L56" s="1425" t="s">
        <v>724</v>
      </c>
      <c r="M56" s="1426"/>
      <c r="N56" s="1427">
        <v>48309.56</v>
      </c>
      <c r="O56" s="1426"/>
      <c r="P56" s="1426"/>
      <c r="Q56" s="1426"/>
      <c r="R56" s="1426"/>
      <c r="S56" s="1428">
        <v>48309.56</v>
      </c>
    </row>
    <row r="57" spans="1:19" ht="13.5" thickBot="1">
      <c r="A57" s="1665"/>
      <c r="B57" s="1295" t="s">
        <v>726</v>
      </c>
      <c r="C57" s="1074"/>
      <c r="D57" s="1072">
        <v>819727</v>
      </c>
      <c r="E57" s="1074"/>
      <c r="F57" s="1074"/>
      <c r="G57" s="1074"/>
      <c r="H57" s="1074"/>
      <c r="I57" s="1175">
        <v>819727</v>
      </c>
      <c r="J57" s="1169">
        <f t="shared" si="0"/>
        <v>0</v>
      </c>
      <c r="K57" s="1676"/>
      <c r="L57" s="1425" t="s">
        <v>726</v>
      </c>
      <c r="M57" s="1426"/>
      <c r="N57" s="1427">
        <v>819727</v>
      </c>
      <c r="O57" s="1426"/>
      <c r="P57" s="1426"/>
      <c r="Q57" s="1426"/>
      <c r="R57" s="1426"/>
      <c r="S57" s="1428">
        <v>819727</v>
      </c>
    </row>
    <row r="58" spans="1:19" ht="13.5" thickBot="1">
      <c r="A58" s="1666"/>
      <c r="B58" s="1296" t="s">
        <v>802</v>
      </c>
      <c r="C58" s="1075"/>
      <c r="D58" s="1073">
        <v>868036.56</v>
      </c>
      <c r="E58" s="1075"/>
      <c r="F58" s="1075"/>
      <c r="G58" s="1075"/>
      <c r="H58" s="1075"/>
      <c r="I58" s="1073">
        <v>868036.56</v>
      </c>
      <c r="J58" s="1169">
        <f t="shared" si="0"/>
        <v>0</v>
      </c>
      <c r="K58" s="1677"/>
      <c r="L58" s="1429" t="s">
        <v>802</v>
      </c>
      <c r="M58" s="1430"/>
      <c r="N58" s="1431">
        <v>868036.56</v>
      </c>
      <c r="O58" s="1430"/>
      <c r="P58" s="1430"/>
      <c r="Q58" s="1430"/>
      <c r="R58" s="1430"/>
      <c r="S58" s="1431">
        <v>868036.56</v>
      </c>
    </row>
    <row r="59" spans="1:19" ht="13.5" thickBot="1">
      <c r="A59" s="1664" t="s">
        <v>803</v>
      </c>
      <c r="B59" s="1295" t="s">
        <v>724</v>
      </c>
      <c r="C59" s="1074"/>
      <c r="D59" s="1072">
        <v>30033.37</v>
      </c>
      <c r="E59" s="1074"/>
      <c r="F59" s="1074"/>
      <c r="G59" s="1074"/>
      <c r="H59" s="1074"/>
      <c r="I59" s="1175">
        <v>30033.37</v>
      </c>
      <c r="J59" s="1169">
        <f t="shared" si="0"/>
        <v>0</v>
      </c>
      <c r="K59" s="1675" t="s">
        <v>803</v>
      </c>
      <c r="L59" s="1425" t="s">
        <v>724</v>
      </c>
      <c r="M59" s="1426"/>
      <c r="N59" s="1427">
        <v>30033.37</v>
      </c>
      <c r="O59" s="1426"/>
      <c r="P59" s="1426"/>
      <c r="Q59" s="1426"/>
      <c r="R59" s="1426"/>
      <c r="S59" s="1428">
        <v>30033.37</v>
      </c>
    </row>
    <row r="60" spans="1:19" ht="13.5" thickBot="1">
      <c r="A60" s="1665"/>
      <c r="B60" s="1295" t="s">
        <v>726</v>
      </c>
      <c r="C60" s="1074"/>
      <c r="D60" s="1072">
        <v>1889938</v>
      </c>
      <c r="E60" s="1074"/>
      <c r="F60" s="1074"/>
      <c r="G60" s="1074"/>
      <c r="H60" s="1074"/>
      <c r="I60" s="1175">
        <v>1889938</v>
      </c>
      <c r="J60" s="1169">
        <f t="shared" si="0"/>
        <v>0</v>
      </c>
      <c r="K60" s="1676"/>
      <c r="L60" s="1425" t="s">
        <v>726</v>
      </c>
      <c r="M60" s="1426"/>
      <c r="N60" s="1427">
        <v>1889938</v>
      </c>
      <c r="O60" s="1426"/>
      <c r="P60" s="1426"/>
      <c r="Q60" s="1426"/>
      <c r="R60" s="1426"/>
      <c r="S60" s="1428">
        <v>1889938</v>
      </c>
    </row>
    <row r="61" spans="1:19" ht="13.5" thickBot="1">
      <c r="A61" s="1666"/>
      <c r="B61" s="1296" t="s">
        <v>803</v>
      </c>
      <c r="C61" s="1075"/>
      <c r="D61" s="1073">
        <v>1919971.37</v>
      </c>
      <c r="E61" s="1075"/>
      <c r="F61" s="1075"/>
      <c r="G61" s="1075"/>
      <c r="H61" s="1075"/>
      <c r="I61" s="1073">
        <v>1919971.37</v>
      </c>
      <c r="J61" s="1169">
        <f t="shared" si="0"/>
        <v>0</v>
      </c>
      <c r="K61" s="1677"/>
      <c r="L61" s="1429" t="s">
        <v>803</v>
      </c>
      <c r="M61" s="1430"/>
      <c r="N61" s="1431">
        <v>1919971.37</v>
      </c>
      <c r="O61" s="1430"/>
      <c r="P61" s="1430"/>
      <c r="Q61" s="1430"/>
      <c r="R61" s="1430"/>
      <c r="S61" s="1431">
        <v>1919971.37</v>
      </c>
    </row>
    <row r="62" spans="1:19" ht="13.5" thickBot="1">
      <c r="A62" s="1664" t="s">
        <v>387</v>
      </c>
      <c r="B62" s="1295" t="s">
        <v>724</v>
      </c>
      <c r="C62" s="1074"/>
      <c r="D62" s="1072">
        <v>18242094.300000001</v>
      </c>
      <c r="E62" s="1074"/>
      <c r="F62" s="1074"/>
      <c r="G62" s="1074"/>
      <c r="H62" s="1074"/>
      <c r="I62" s="1175">
        <v>18242094.300000001</v>
      </c>
      <c r="J62" s="1169">
        <f t="shared" si="0"/>
        <v>0</v>
      </c>
      <c r="K62" s="1675" t="s">
        <v>387</v>
      </c>
      <c r="L62" s="1425" t="s">
        <v>724</v>
      </c>
      <c r="M62" s="1426"/>
      <c r="N62" s="1427">
        <v>18242094.300000001</v>
      </c>
      <c r="O62" s="1426"/>
      <c r="P62" s="1426"/>
      <c r="Q62" s="1426"/>
      <c r="R62" s="1426"/>
      <c r="S62" s="1428">
        <v>18242094.300000001</v>
      </c>
    </row>
    <row r="63" spans="1:19" ht="13.5" thickBot="1">
      <c r="A63" s="1665"/>
      <c r="B63" s="1295" t="s">
        <v>726</v>
      </c>
      <c r="C63" s="1074"/>
      <c r="D63" s="1072">
        <v>10435511</v>
      </c>
      <c r="E63" s="1074"/>
      <c r="F63" s="1074"/>
      <c r="G63" s="1074"/>
      <c r="H63" s="1074"/>
      <c r="I63" s="1175">
        <v>10435511</v>
      </c>
      <c r="J63" s="1169">
        <f t="shared" si="0"/>
        <v>0</v>
      </c>
      <c r="K63" s="1676"/>
      <c r="L63" s="1425" t="s">
        <v>726</v>
      </c>
      <c r="M63" s="1426"/>
      <c r="N63" s="1427">
        <v>10435511</v>
      </c>
      <c r="O63" s="1426"/>
      <c r="P63" s="1426"/>
      <c r="Q63" s="1426"/>
      <c r="R63" s="1426"/>
      <c r="S63" s="1428">
        <v>10435511</v>
      </c>
    </row>
    <row r="64" spans="1:19" ht="13.5" thickBot="1">
      <c r="A64" s="1666"/>
      <c r="B64" s="1296" t="s">
        <v>387</v>
      </c>
      <c r="C64" s="1075"/>
      <c r="D64" s="1073">
        <v>28677605.300000001</v>
      </c>
      <c r="E64" s="1075"/>
      <c r="F64" s="1075"/>
      <c r="G64" s="1075"/>
      <c r="H64" s="1075"/>
      <c r="I64" s="1073">
        <v>28677605.300000001</v>
      </c>
      <c r="J64" s="1169">
        <f t="shared" si="0"/>
        <v>0</v>
      </c>
      <c r="K64" s="1677"/>
      <c r="L64" s="1429" t="s">
        <v>387</v>
      </c>
      <c r="M64" s="1430"/>
      <c r="N64" s="1431">
        <v>28677605.300000001</v>
      </c>
      <c r="O64" s="1430"/>
      <c r="P64" s="1430"/>
      <c r="Q64" s="1430"/>
      <c r="R64" s="1430"/>
      <c r="S64" s="1431">
        <v>28677605.300000001</v>
      </c>
    </row>
    <row r="65" spans="1:19" ht="13.5" thickBot="1">
      <c r="A65" s="1664" t="s">
        <v>389</v>
      </c>
      <c r="B65" s="1295" t="s">
        <v>724</v>
      </c>
      <c r="C65" s="1074"/>
      <c r="D65" s="1072">
        <v>1346748.47</v>
      </c>
      <c r="E65" s="1074"/>
      <c r="F65" s="1074"/>
      <c r="G65" s="1074"/>
      <c r="H65" s="1074"/>
      <c r="I65" s="1175">
        <v>1346748.47</v>
      </c>
      <c r="J65" s="1169">
        <f t="shared" si="0"/>
        <v>0</v>
      </c>
      <c r="K65" s="1675" t="s">
        <v>389</v>
      </c>
      <c r="L65" s="1425" t="s">
        <v>724</v>
      </c>
      <c r="M65" s="1426"/>
      <c r="N65" s="1427">
        <v>1346748.47</v>
      </c>
      <c r="O65" s="1426"/>
      <c r="P65" s="1426"/>
      <c r="Q65" s="1426"/>
      <c r="R65" s="1426"/>
      <c r="S65" s="1428">
        <v>1346748.47</v>
      </c>
    </row>
    <row r="66" spans="1:19" ht="13.5" thickBot="1">
      <c r="A66" s="1665"/>
      <c r="B66" s="1295" t="s">
        <v>726</v>
      </c>
      <c r="C66" s="1074"/>
      <c r="D66" s="1072">
        <v>353019</v>
      </c>
      <c r="E66" s="1074"/>
      <c r="F66" s="1074"/>
      <c r="G66" s="1074"/>
      <c r="H66" s="1074"/>
      <c r="I66" s="1175">
        <v>353019</v>
      </c>
      <c r="J66" s="1169">
        <f t="shared" si="0"/>
        <v>0</v>
      </c>
      <c r="K66" s="1676"/>
      <c r="L66" s="1425" t="s">
        <v>726</v>
      </c>
      <c r="M66" s="1426"/>
      <c r="N66" s="1427">
        <v>353019</v>
      </c>
      <c r="O66" s="1426"/>
      <c r="P66" s="1426"/>
      <c r="Q66" s="1426"/>
      <c r="R66" s="1426"/>
      <c r="S66" s="1428">
        <v>353019</v>
      </c>
    </row>
    <row r="67" spans="1:19" ht="13.5" thickBot="1">
      <c r="A67" s="1666"/>
      <c r="B67" s="1296" t="s">
        <v>389</v>
      </c>
      <c r="C67" s="1075"/>
      <c r="D67" s="1073">
        <v>1699767.47</v>
      </c>
      <c r="E67" s="1075"/>
      <c r="F67" s="1075"/>
      <c r="G67" s="1075"/>
      <c r="H67" s="1075"/>
      <c r="I67" s="1073">
        <v>1699767.47</v>
      </c>
      <c r="J67" s="1169">
        <f t="shared" si="0"/>
        <v>0</v>
      </c>
      <c r="K67" s="1677"/>
      <c r="L67" s="1429" t="s">
        <v>389</v>
      </c>
      <c r="M67" s="1430"/>
      <c r="N67" s="1431">
        <v>1699767.47</v>
      </c>
      <c r="O67" s="1430"/>
      <c r="P67" s="1430"/>
      <c r="Q67" s="1430"/>
      <c r="R67" s="1430"/>
      <c r="S67" s="1431">
        <v>1699767.47</v>
      </c>
    </row>
    <row r="68" spans="1:19" ht="13.5" thickBot="1">
      <c r="A68" s="1664" t="s">
        <v>391</v>
      </c>
      <c r="B68" s="1295" t="s">
        <v>724</v>
      </c>
      <c r="C68" s="1074"/>
      <c r="D68" s="1072">
        <v>813464.92</v>
      </c>
      <c r="E68" s="1074"/>
      <c r="F68" s="1074"/>
      <c r="G68" s="1074"/>
      <c r="H68" s="1074"/>
      <c r="I68" s="1175">
        <v>813464.92</v>
      </c>
      <c r="J68" s="1169">
        <f t="shared" ref="J68:J93" si="1">I68-S68</f>
        <v>0</v>
      </c>
      <c r="K68" s="1675" t="s">
        <v>391</v>
      </c>
      <c r="L68" s="1425" t="s">
        <v>724</v>
      </c>
      <c r="M68" s="1426"/>
      <c r="N68" s="1427">
        <v>813464.92</v>
      </c>
      <c r="O68" s="1426"/>
      <c r="P68" s="1426"/>
      <c r="Q68" s="1426"/>
      <c r="R68" s="1426"/>
      <c r="S68" s="1428">
        <v>813464.92</v>
      </c>
    </row>
    <row r="69" spans="1:19" ht="13.5" thickBot="1">
      <c r="A69" s="1665"/>
      <c r="B69" s="1295" t="s">
        <v>726</v>
      </c>
      <c r="C69" s="1074"/>
      <c r="D69" s="1072">
        <v>446044</v>
      </c>
      <c r="E69" s="1074"/>
      <c r="F69" s="1074"/>
      <c r="G69" s="1074"/>
      <c r="H69" s="1074"/>
      <c r="I69" s="1175">
        <v>446044</v>
      </c>
      <c r="J69" s="1169">
        <f t="shared" si="1"/>
        <v>0</v>
      </c>
      <c r="K69" s="1676"/>
      <c r="L69" s="1425" t="s">
        <v>726</v>
      </c>
      <c r="M69" s="1426"/>
      <c r="N69" s="1427">
        <v>446044</v>
      </c>
      <c r="O69" s="1426"/>
      <c r="P69" s="1426"/>
      <c r="Q69" s="1426"/>
      <c r="R69" s="1426"/>
      <c r="S69" s="1428">
        <v>446044</v>
      </c>
    </row>
    <row r="70" spans="1:19" ht="13.5" thickBot="1">
      <c r="A70" s="1666"/>
      <c r="B70" s="1296" t="s">
        <v>391</v>
      </c>
      <c r="C70" s="1075"/>
      <c r="D70" s="1073">
        <v>1259508.92</v>
      </c>
      <c r="E70" s="1075"/>
      <c r="F70" s="1075"/>
      <c r="G70" s="1075"/>
      <c r="H70" s="1075"/>
      <c r="I70" s="1073">
        <v>1259508.92</v>
      </c>
      <c r="J70" s="1169">
        <f t="shared" si="1"/>
        <v>0</v>
      </c>
      <c r="K70" s="1677"/>
      <c r="L70" s="1429" t="s">
        <v>391</v>
      </c>
      <c r="M70" s="1430"/>
      <c r="N70" s="1431">
        <v>1259508.92</v>
      </c>
      <c r="O70" s="1430"/>
      <c r="P70" s="1430"/>
      <c r="Q70" s="1430"/>
      <c r="R70" s="1430"/>
      <c r="S70" s="1431">
        <v>1259508.92</v>
      </c>
    </row>
    <row r="71" spans="1:19" ht="13.5" thickBot="1">
      <c r="A71" s="1664" t="s">
        <v>812</v>
      </c>
      <c r="B71" s="1295" t="s">
        <v>724</v>
      </c>
      <c r="C71" s="1074"/>
      <c r="D71" s="1072">
        <v>7.6</v>
      </c>
      <c r="E71" s="1074"/>
      <c r="F71" s="1074"/>
      <c r="G71" s="1074"/>
      <c r="H71" s="1074"/>
      <c r="I71" s="1175">
        <v>7.6</v>
      </c>
      <c r="J71" s="1169">
        <f t="shared" si="1"/>
        <v>0</v>
      </c>
      <c r="K71" s="1675" t="s">
        <v>812</v>
      </c>
      <c r="L71" s="1425" t="s">
        <v>724</v>
      </c>
      <c r="M71" s="1426"/>
      <c r="N71" s="1427">
        <v>7.6</v>
      </c>
      <c r="O71" s="1426"/>
      <c r="P71" s="1426"/>
      <c r="Q71" s="1426"/>
      <c r="R71" s="1426"/>
      <c r="S71" s="1428">
        <v>7.6</v>
      </c>
    </row>
    <row r="72" spans="1:19" ht="13.5" thickBot="1">
      <c r="A72" s="1665"/>
      <c r="B72" s="1295" t="s">
        <v>726</v>
      </c>
      <c r="C72" s="1074"/>
      <c r="D72" s="1072">
        <v>800000</v>
      </c>
      <c r="E72" s="1074"/>
      <c r="F72" s="1074"/>
      <c r="G72" s="1074"/>
      <c r="H72" s="1074"/>
      <c r="I72" s="1175">
        <v>800000</v>
      </c>
      <c r="J72" s="1169">
        <f t="shared" si="1"/>
        <v>0</v>
      </c>
      <c r="K72" s="1676"/>
      <c r="L72" s="1425" t="s">
        <v>726</v>
      </c>
      <c r="M72" s="1426"/>
      <c r="N72" s="1427">
        <v>800000</v>
      </c>
      <c r="O72" s="1426"/>
      <c r="P72" s="1426"/>
      <c r="Q72" s="1426"/>
      <c r="R72" s="1426"/>
      <c r="S72" s="1428">
        <v>800000</v>
      </c>
    </row>
    <row r="73" spans="1:19" ht="13.5" thickBot="1">
      <c r="A73" s="1666"/>
      <c r="B73" s="1296" t="s">
        <v>812</v>
      </c>
      <c r="C73" s="1075"/>
      <c r="D73" s="1073">
        <v>800007.6</v>
      </c>
      <c r="E73" s="1075"/>
      <c r="F73" s="1075"/>
      <c r="G73" s="1075"/>
      <c r="H73" s="1075"/>
      <c r="I73" s="1073">
        <v>800007.6</v>
      </c>
      <c r="J73" s="1169">
        <f t="shared" si="1"/>
        <v>0</v>
      </c>
      <c r="K73" s="1677"/>
      <c r="L73" s="1429" t="s">
        <v>812</v>
      </c>
      <c r="M73" s="1430"/>
      <c r="N73" s="1431">
        <v>800007.6</v>
      </c>
      <c r="O73" s="1430"/>
      <c r="P73" s="1430"/>
      <c r="Q73" s="1430"/>
      <c r="R73" s="1430"/>
      <c r="S73" s="1431">
        <v>800007.6</v>
      </c>
    </row>
    <row r="74" spans="1:19" ht="13.5" thickBot="1">
      <c r="A74" s="1664" t="s">
        <v>335</v>
      </c>
      <c r="B74" s="1295" t="s">
        <v>724</v>
      </c>
      <c r="C74" s="1074"/>
      <c r="D74" s="1074"/>
      <c r="E74" s="1074"/>
      <c r="F74" s="1074"/>
      <c r="G74" s="1072">
        <v>5984470.79</v>
      </c>
      <c r="H74" s="1074"/>
      <c r="I74" s="1175">
        <v>5984470.79</v>
      </c>
      <c r="J74" s="1169">
        <f t="shared" si="1"/>
        <v>0</v>
      </c>
      <c r="K74" s="1675" t="s">
        <v>335</v>
      </c>
      <c r="L74" s="1425" t="s">
        <v>724</v>
      </c>
      <c r="M74" s="1426"/>
      <c r="N74" s="1426"/>
      <c r="O74" s="1426"/>
      <c r="P74" s="1426"/>
      <c r="Q74" s="1427">
        <v>5984470.79</v>
      </c>
      <c r="R74" s="1426"/>
      <c r="S74" s="1428">
        <v>5984470.79</v>
      </c>
    </row>
    <row r="75" spans="1:19" ht="13.5" thickBot="1">
      <c r="A75" s="1665"/>
      <c r="B75" s="1295" t="s">
        <v>725</v>
      </c>
      <c r="C75" s="1074"/>
      <c r="D75" s="1074"/>
      <c r="E75" s="1074"/>
      <c r="F75" s="1074"/>
      <c r="G75" s="1072">
        <v>15858221.16</v>
      </c>
      <c r="H75" s="1074"/>
      <c r="I75" s="1175">
        <v>15858221.16</v>
      </c>
      <c r="J75" s="1169">
        <f t="shared" si="1"/>
        <v>0</v>
      </c>
      <c r="K75" s="1676"/>
      <c r="L75" s="1425" t="s">
        <v>725</v>
      </c>
      <c r="M75" s="1426"/>
      <c r="N75" s="1426"/>
      <c r="O75" s="1426"/>
      <c r="P75" s="1426"/>
      <c r="Q75" s="1427">
        <v>15858221.16</v>
      </c>
      <c r="R75" s="1426"/>
      <c r="S75" s="1428">
        <v>15858221.16</v>
      </c>
    </row>
    <row r="76" spans="1:19" ht="13.5" thickBot="1">
      <c r="A76" s="1665"/>
      <c r="B76" s="1295" t="s">
        <v>727</v>
      </c>
      <c r="C76" s="1074"/>
      <c r="D76" s="1074"/>
      <c r="E76" s="1074"/>
      <c r="F76" s="1074"/>
      <c r="G76" s="1072">
        <v>4484833</v>
      </c>
      <c r="H76" s="1074"/>
      <c r="I76" s="1175">
        <v>4484833</v>
      </c>
      <c r="J76" s="1169">
        <f t="shared" si="1"/>
        <v>0</v>
      </c>
      <c r="K76" s="1676"/>
      <c r="L76" s="1425" t="s">
        <v>727</v>
      </c>
      <c r="M76" s="1426"/>
      <c r="N76" s="1426"/>
      <c r="O76" s="1426"/>
      <c r="P76" s="1426"/>
      <c r="Q76" s="1427">
        <v>4484833</v>
      </c>
      <c r="R76" s="1426"/>
      <c r="S76" s="1428">
        <v>4484833</v>
      </c>
    </row>
    <row r="77" spans="1:19" ht="13.5" thickBot="1">
      <c r="A77" s="1666"/>
      <c r="B77" s="1296" t="s">
        <v>335</v>
      </c>
      <c r="C77" s="1075"/>
      <c r="D77" s="1075"/>
      <c r="E77" s="1075"/>
      <c r="F77" s="1075"/>
      <c r="G77" s="1073">
        <v>26327524.949999999</v>
      </c>
      <c r="H77" s="1075"/>
      <c r="I77" s="1073">
        <v>26327524.949999999</v>
      </c>
      <c r="J77" s="1169">
        <f t="shared" si="1"/>
        <v>0</v>
      </c>
      <c r="K77" s="1677"/>
      <c r="L77" s="1429" t="s">
        <v>335</v>
      </c>
      <c r="M77" s="1430"/>
      <c r="N77" s="1430"/>
      <c r="O77" s="1430"/>
      <c r="P77" s="1430"/>
      <c r="Q77" s="1431">
        <v>26327524.949999999</v>
      </c>
      <c r="R77" s="1430"/>
      <c r="S77" s="1431">
        <v>26327524.949999999</v>
      </c>
    </row>
    <row r="78" spans="1:19" ht="13.5" thickBot="1">
      <c r="A78" s="1664" t="s">
        <v>353</v>
      </c>
      <c r="B78" s="1295" t="s">
        <v>724</v>
      </c>
      <c r="C78" s="1074"/>
      <c r="D78" s="1074"/>
      <c r="E78" s="1074"/>
      <c r="F78" s="1074"/>
      <c r="G78" s="1072">
        <v>10985098.449999999</v>
      </c>
      <c r="H78" s="1074"/>
      <c r="I78" s="1175">
        <v>10985098.449999999</v>
      </c>
      <c r="J78" s="1169">
        <f t="shared" si="1"/>
        <v>0</v>
      </c>
      <c r="K78" s="1675" t="s">
        <v>353</v>
      </c>
      <c r="L78" s="1425" t="s">
        <v>724</v>
      </c>
      <c r="M78" s="1426"/>
      <c r="N78" s="1426"/>
      <c r="O78" s="1426"/>
      <c r="P78" s="1426"/>
      <c r="Q78" s="1427">
        <v>10985098.449999999</v>
      </c>
      <c r="R78" s="1426"/>
      <c r="S78" s="1428">
        <v>10985098.449999999</v>
      </c>
    </row>
    <row r="79" spans="1:19" ht="13.5" thickBot="1">
      <c r="A79" s="1665"/>
      <c r="B79" s="1295" t="s">
        <v>727</v>
      </c>
      <c r="C79" s="1074"/>
      <c r="D79" s="1074"/>
      <c r="E79" s="1074"/>
      <c r="F79" s="1074"/>
      <c r="G79" s="1072">
        <v>14651463.01</v>
      </c>
      <c r="H79" s="1074"/>
      <c r="I79" s="1175">
        <v>14651463.01</v>
      </c>
      <c r="J79" s="1169">
        <f t="shared" si="1"/>
        <v>0</v>
      </c>
      <c r="K79" s="1676"/>
      <c r="L79" s="1425" t="s">
        <v>727</v>
      </c>
      <c r="M79" s="1426"/>
      <c r="N79" s="1426"/>
      <c r="O79" s="1426"/>
      <c r="P79" s="1426"/>
      <c r="Q79" s="1427">
        <v>14651463.01</v>
      </c>
      <c r="R79" s="1426"/>
      <c r="S79" s="1428">
        <v>14651463.01</v>
      </c>
    </row>
    <row r="80" spans="1:19" ht="13.5" thickBot="1">
      <c r="A80" s="1666"/>
      <c r="B80" s="1296" t="s">
        <v>353</v>
      </c>
      <c r="C80" s="1075"/>
      <c r="D80" s="1075"/>
      <c r="E80" s="1075"/>
      <c r="F80" s="1075"/>
      <c r="G80" s="1073">
        <v>25636561.460000001</v>
      </c>
      <c r="H80" s="1075"/>
      <c r="I80" s="1073">
        <v>25636561.460000001</v>
      </c>
      <c r="J80" s="1169">
        <f t="shared" si="1"/>
        <v>0</v>
      </c>
      <c r="K80" s="1677"/>
      <c r="L80" s="1429" t="s">
        <v>353</v>
      </c>
      <c r="M80" s="1430"/>
      <c r="N80" s="1430"/>
      <c r="O80" s="1430"/>
      <c r="P80" s="1430"/>
      <c r="Q80" s="1431">
        <v>25636561.460000001</v>
      </c>
      <c r="R80" s="1430"/>
      <c r="S80" s="1431">
        <v>25636561.460000001</v>
      </c>
    </row>
    <row r="81" spans="1:19" ht="13.5" thickBot="1">
      <c r="A81" s="1664" t="s">
        <v>355</v>
      </c>
      <c r="B81" s="1295" t="s">
        <v>724</v>
      </c>
      <c r="C81" s="1074"/>
      <c r="D81" s="1074"/>
      <c r="E81" s="1074"/>
      <c r="F81" s="1074"/>
      <c r="G81" s="1072">
        <v>17000867.539999999</v>
      </c>
      <c r="H81" s="1074"/>
      <c r="I81" s="1175">
        <v>17000867.539999999</v>
      </c>
      <c r="J81" s="1169">
        <f t="shared" si="1"/>
        <v>0</v>
      </c>
      <c r="K81" s="1675" t="s">
        <v>355</v>
      </c>
      <c r="L81" s="1425" t="s">
        <v>724</v>
      </c>
      <c r="M81" s="1426"/>
      <c r="N81" s="1426"/>
      <c r="O81" s="1426"/>
      <c r="P81" s="1426"/>
      <c r="Q81" s="1427">
        <v>17000867.539999999</v>
      </c>
      <c r="R81" s="1426"/>
      <c r="S81" s="1428">
        <v>17000867.539999999</v>
      </c>
    </row>
    <row r="82" spans="1:19" ht="13.5" thickBot="1">
      <c r="A82" s="1665"/>
      <c r="B82" s="1295" t="s">
        <v>727</v>
      </c>
      <c r="C82" s="1074"/>
      <c r="D82" s="1074"/>
      <c r="E82" s="1074"/>
      <c r="F82" s="1074"/>
      <c r="G82" s="1072">
        <v>7268945</v>
      </c>
      <c r="H82" s="1074"/>
      <c r="I82" s="1175">
        <v>7268945</v>
      </c>
      <c r="J82" s="1169">
        <f t="shared" si="1"/>
        <v>0</v>
      </c>
      <c r="K82" s="1676"/>
      <c r="L82" s="1425" t="s">
        <v>727</v>
      </c>
      <c r="M82" s="1426"/>
      <c r="N82" s="1426"/>
      <c r="O82" s="1426"/>
      <c r="P82" s="1426"/>
      <c r="Q82" s="1427">
        <v>7268945</v>
      </c>
      <c r="R82" s="1426"/>
      <c r="S82" s="1428">
        <v>7268945</v>
      </c>
    </row>
    <row r="83" spans="1:19" ht="13.5" thickBot="1">
      <c r="A83" s="1666"/>
      <c r="B83" s="1296" t="s">
        <v>355</v>
      </c>
      <c r="C83" s="1075"/>
      <c r="D83" s="1075"/>
      <c r="E83" s="1075"/>
      <c r="F83" s="1075"/>
      <c r="G83" s="1073">
        <v>24269812.539999999</v>
      </c>
      <c r="H83" s="1075"/>
      <c r="I83" s="1073">
        <v>24269812.539999999</v>
      </c>
      <c r="J83" s="1169">
        <f t="shared" si="1"/>
        <v>0</v>
      </c>
      <c r="K83" s="1677"/>
      <c r="L83" s="1429" t="s">
        <v>355</v>
      </c>
      <c r="M83" s="1430"/>
      <c r="N83" s="1430"/>
      <c r="O83" s="1430"/>
      <c r="P83" s="1430"/>
      <c r="Q83" s="1431">
        <v>24269812.539999999</v>
      </c>
      <c r="R83" s="1430"/>
      <c r="S83" s="1431">
        <v>24269812.539999999</v>
      </c>
    </row>
    <row r="84" spans="1:19" ht="13.5" thickBot="1">
      <c r="A84" s="1664" t="s">
        <v>356</v>
      </c>
      <c r="B84" s="1295" t="s">
        <v>724</v>
      </c>
      <c r="C84" s="1074"/>
      <c r="D84" s="1074"/>
      <c r="E84" s="1074"/>
      <c r="F84" s="1074"/>
      <c r="G84" s="1072">
        <v>12184387.98</v>
      </c>
      <c r="H84" s="1074"/>
      <c r="I84" s="1175">
        <v>12184387.98</v>
      </c>
      <c r="J84" s="1169">
        <f t="shared" si="1"/>
        <v>0</v>
      </c>
      <c r="K84" s="1675" t="s">
        <v>356</v>
      </c>
      <c r="L84" s="1425" t="s">
        <v>724</v>
      </c>
      <c r="M84" s="1426"/>
      <c r="N84" s="1426"/>
      <c r="O84" s="1426"/>
      <c r="P84" s="1426"/>
      <c r="Q84" s="1427">
        <v>12184387.98</v>
      </c>
      <c r="R84" s="1426"/>
      <c r="S84" s="1428">
        <v>12184387.98</v>
      </c>
    </row>
    <row r="85" spans="1:19" ht="13.5" thickBot="1">
      <c r="A85" s="1665"/>
      <c r="B85" s="1295" t="s">
        <v>725</v>
      </c>
      <c r="C85" s="1074"/>
      <c r="D85" s="1074"/>
      <c r="E85" s="1074"/>
      <c r="F85" s="1074"/>
      <c r="G85" s="1072">
        <v>3690975</v>
      </c>
      <c r="H85" s="1074"/>
      <c r="I85" s="1175">
        <v>3690975</v>
      </c>
      <c r="J85" s="1169">
        <f t="shared" si="1"/>
        <v>0</v>
      </c>
      <c r="K85" s="1676"/>
      <c r="L85" s="1425" t="s">
        <v>725</v>
      </c>
      <c r="M85" s="1426"/>
      <c r="N85" s="1426"/>
      <c r="O85" s="1426"/>
      <c r="P85" s="1426"/>
      <c r="Q85" s="1427">
        <v>3690975</v>
      </c>
      <c r="R85" s="1426"/>
      <c r="S85" s="1428">
        <v>3690975</v>
      </c>
    </row>
    <row r="86" spans="1:19" ht="13.5" thickBot="1">
      <c r="A86" s="1665"/>
      <c r="B86" s="1295" t="s">
        <v>727</v>
      </c>
      <c r="C86" s="1074"/>
      <c r="D86" s="1074"/>
      <c r="E86" s="1074"/>
      <c r="F86" s="1074"/>
      <c r="G86" s="1072">
        <v>2505061</v>
      </c>
      <c r="H86" s="1074"/>
      <c r="I86" s="1175">
        <v>2505061</v>
      </c>
      <c r="J86" s="1169">
        <f t="shared" si="1"/>
        <v>0</v>
      </c>
      <c r="K86" s="1676"/>
      <c r="L86" s="1425" t="s">
        <v>727</v>
      </c>
      <c r="M86" s="1426"/>
      <c r="N86" s="1426"/>
      <c r="O86" s="1426"/>
      <c r="P86" s="1426"/>
      <c r="Q86" s="1427">
        <v>2505061</v>
      </c>
      <c r="R86" s="1426"/>
      <c r="S86" s="1428">
        <v>2505061</v>
      </c>
    </row>
    <row r="87" spans="1:19" ht="13.5" thickBot="1">
      <c r="A87" s="1666"/>
      <c r="B87" s="1296" t="s">
        <v>356</v>
      </c>
      <c r="C87" s="1075"/>
      <c r="D87" s="1075"/>
      <c r="E87" s="1075"/>
      <c r="F87" s="1075"/>
      <c r="G87" s="1073">
        <v>18380423.98</v>
      </c>
      <c r="H87" s="1075"/>
      <c r="I87" s="1073">
        <v>18380423.98</v>
      </c>
      <c r="J87" s="1169">
        <f t="shared" si="1"/>
        <v>0</v>
      </c>
      <c r="K87" s="1677"/>
      <c r="L87" s="1429" t="s">
        <v>356</v>
      </c>
      <c r="M87" s="1430"/>
      <c r="N87" s="1430"/>
      <c r="O87" s="1430"/>
      <c r="P87" s="1430"/>
      <c r="Q87" s="1431">
        <v>18380423.98</v>
      </c>
      <c r="R87" s="1430"/>
      <c r="S87" s="1431">
        <v>18380423.98</v>
      </c>
    </row>
    <row r="88" spans="1:19" ht="13.5" thickBot="1">
      <c r="A88" s="1664" t="s">
        <v>363</v>
      </c>
      <c r="B88" s="1295" t="s">
        <v>724</v>
      </c>
      <c r="C88" s="1074"/>
      <c r="D88" s="1074"/>
      <c r="E88" s="1074"/>
      <c r="F88" s="1074"/>
      <c r="G88" s="1074"/>
      <c r="H88" s="1072">
        <v>27063741.190000001</v>
      </c>
      <c r="I88" s="1175">
        <v>27063741.190000001</v>
      </c>
      <c r="J88" s="1169">
        <f t="shared" si="1"/>
        <v>0</v>
      </c>
      <c r="K88" s="1675" t="s">
        <v>363</v>
      </c>
      <c r="L88" s="1425" t="s">
        <v>724</v>
      </c>
      <c r="M88" s="1426"/>
      <c r="N88" s="1426"/>
      <c r="O88" s="1426"/>
      <c r="P88" s="1426"/>
      <c r="Q88" s="1426"/>
      <c r="R88" s="1427">
        <v>27063741.190000001</v>
      </c>
      <c r="S88" s="1428">
        <v>27063741.190000001</v>
      </c>
    </row>
    <row r="89" spans="1:19" ht="13.5" thickBot="1">
      <c r="A89" s="1665"/>
      <c r="B89" s="1295" t="s">
        <v>725</v>
      </c>
      <c r="C89" s="1074"/>
      <c r="D89" s="1074"/>
      <c r="E89" s="1074"/>
      <c r="F89" s="1074"/>
      <c r="G89" s="1074"/>
      <c r="H89" s="1072">
        <v>870000</v>
      </c>
      <c r="I89" s="1175">
        <v>870000</v>
      </c>
      <c r="J89" s="1169">
        <f t="shared" si="1"/>
        <v>0</v>
      </c>
      <c r="K89" s="1676"/>
      <c r="L89" s="1425" t="s">
        <v>725</v>
      </c>
      <c r="M89" s="1426"/>
      <c r="N89" s="1426"/>
      <c r="O89" s="1426"/>
      <c r="P89" s="1426"/>
      <c r="Q89" s="1426"/>
      <c r="R89" s="1427">
        <v>870000</v>
      </c>
      <c r="S89" s="1428">
        <v>870000</v>
      </c>
    </row>
    <row r="90" spans="1:19" ht="13.5" thickBot="1">
      <c r="A90" s="1666"/>
      <c r="B90" s="1296" t="s">
        <v>363</v>
      </c>
      <c r="C90" s="1075"/>
      <c r="D90" s="1075"/>
      <c r="E90" s="1075"/>
      <c r="F90" s="1075"/>
      <c r="G90" s="1075"/>
      <c r="H90" s="1073">
        <v>27933741.190000001</v>
      </c>
      <c r="I90" s="1073">
        <v>27933741.190000001</v>
      </c>
      <c r="J90" s="1169">
        <f t="shared" si="1"/>
        <v>0</v>
      </c>
      <c r="K90" s="1677"/>
      <c r="L90" s="1429" t="s">
        <v>363</v>
      </c>
      <c r="M90" s="1430"/>
      <c r="N90" s="1430"/>
      <c r="O90" s="1430"/>
      <c r="P90" s="1430"/>
      <c r="Q90" s="1430"/>
      <c r="R90" s="1431">
        <v>27933741.190000001</v>
      </c>
      <c r="S90" s="1431">
        <v>27933741.190000001</v>
      </c>
    </row>
    <row r="91" spans="1:19" ht="13.5" thickBot="1">
      <c r="A91" s="1664" t="s">
        <v>364</v>
      </c>
      <c r="B91" s="1295" t="s">
        <v>727</v>
      </c>
      <c r="C91" s="1074"/>
      <c r="D91" s="1074"/>
      <c r="E91" s="1074"/>
      <c r="F91" s="1074"/>
      <c r="G91" s="1074"/>
      <c r="H91" s="1072">
        <v>899584</v>
      </c>
      <c r="I91" s="1175">
        <v>899584</v>
      </c>
      <c r="J91" s="1169">
        <f t="shared" si="1"/>
        <v>0</v>
      </c>
      <c r="K91" s="1675" t="s">
        <v>364</v>
      </c>
      <c r="L91" s="1425" t="s">
        <v>727</v>
      </c>
      <c r="M91" s="1426"/>
      <c r="N91" s="1426"/>
      <c r="O91" s="1426"/>
      <c r="P91" s="1426"/>
      <c r="Q91" s="1426"/>
      <c r="R91" s="1427">
        <v>899584</v>
      </c>
      <c r="S91" s="1428">
        <v>899584</v>
      </c>
    </row>
    <row r="92" spans="1:19" ht="13.5" thickBot="1">
      <c r="A92" s="1666"/>
      <c r="B92" s="1296" t="s">
        <v>364</v>
      </c>
      <c r="C92" s="1075"/>
      <c r="D92" s="1075"/>
      <c r="E92" s="1075"/>
      <c r="F92" s="1075"/>
      <c r="G92" s="1075"/>
      <c r="H92" s="1073">
        <v>899584</v>
      </c>
      <c r="I92" s="1073">
        <v>899584</v>
      </c>
      <c r="J92" s="1169">
        <f t="shared" si="1"/>
        <v>0</v>
      </c>
      <c r="K92" s="1677"/>
      <c r="L92" s="1429" t="s">
        <v>364</v>
      </c>
      <c r="M92" s="1430"/>
      <c r="N92" s="1430"/>
      <c r="O92" s="1430"/>
      <c r="P92" s="1430"/>
      <c r="Q92" s="1430"/>
      <c r="R92" s="1431">
        <v>899584</v>
      </c>
      <c r="S92" s="1431">
        <v>899584</v>
      </c>
    </row>
    <row r="93" spans="1:19" ht="13.5" thickBot="1">
      <c r="A93" s="1671" t="s">
        <v>361</v>
      </c>
      <c r="B93" s="1672"/>
      <c r="C93" s="1175">
        <v>345277770.75</v>
      </c>
      <c r="D93" s="1175">
        <v>61102893.5</v>
      </c>
      <c r="E93" s="1175">
        <v>50117300.869999997</v>
      </c>
      <c r="F93" s="1175">
        <v>82128338.340000004</v>
      </c>
      <c r="G93" s="1175">
        <v>262713103.03999999</v>
      </c>
      <c r="H93" s="1175">
        <v>28833325.190000001</v>
      </c>
      <c r="I93" s="1175">
        <v>830172731.69000006</v>
      </c>
      <c r="J93" s="1169">
        <f t="shared" si="1"/>
        <v>0</v>
      </c>
      <c r="K93" s="1684" t="s">
        <v>361</v>
      </c>
      <c r="L93" s="1685"/>
      <c r="M93" s="1428">
        <v>345277770.75</v>
      </c>
      <c r="N93" s="1428">
        <v>61102893.5</v>
      </c>
      <c r="O93" s="1428">
        <v>50117300.869999997</v>
      </c>
      <c r="P93" s="1428">
        <v>82128338.340000004</v>
      </c>
      <c r="Q93" s="1428">
        <v>262713103.03999999</v>
      </c>
      <c r="R93" s="1428">
        <v>28833325.190000001</v>
      </c>
      <c r="S93" s="1428">
        <v>830172731.69000006</v>
      </c>
    </row>
    <row r="94" spans="1:19">
      <c r="A94" s="1667">
        <v>41514</v>
      </c>
      <c r="B94" s="1668"/>
      <c r="C94" s="1668"/>
      <c r="D94" s="1669" t="s">
        <v>938</v>
      </c>
      <c r="E94" s="1668"/>
      <c r="F94" s="1668"/>
      <c r="G94" s="1670">
        <v>0.45975694</v>
      </c>
      <c r="H94" s="1668"/>
      <c r="I94" s="1668"/>
      <c r="K94" s="1681">
        <v>41521</v>
      </c>
      <c r="L94" s="1674"/>
      <c r="M94" s="1674"/>
      <c r="N94" s="1682" t="s">
        <v>953</v>
      </c>
      <c r="O94" s="1674"/>
      <c r="P94" s="1674"/>
      <c r="Q94" s="1683">
        <v>0.43672453</v>
      </c>
      <c r="R94" s="1674"/>
      <c r="S94" s="1674"/>
    </row>
    <row r="95" spans="1:19">
      <c r="M95" s="1169">
        <f t="shared" ref="M95:S95" si="2">M93-C93</f>
        <v>0</v>
      </c>
      <c r="N95" s="1169">
        <f t="shared" si="2"/>
        <v>0</v>
      </c>
      <c r="O95" s="1169">
        <f t="shared" si="2"/>
        <v>0</v>
      </c>
      <c r="P95" s="1169">
        <f t="shared" si="2"/>
        <v>0</v>
      </c>
      <c r="Q95" s="1169">
        <f t="shared" si="2"/>
        <v>0</v>
      </c>
      <c r="R95" s="1169">
        <f t="shared" si="2"/>
        <v>0</v>
      </c>
      <c r="S95" s="1169">
        <f t="shared" si="2"/>
        <v>0</v>
      </c>
    </row>
  </sheetData>
  <mergeCells count="66">
    <mergeCell ref="K2:L2"/>
    <mergeCell ref="K3:K10"/>
    <mergeCell ref="K11:K13"/>
    <mergeCell ref="K14:K16"/>
    <mergeCell ref="K35:K38"/>
    <mergeCell ref="K17:K19"/>
    <mergeCell ref="K20:K22"/>
    <mergeCell ref="K23:K25"/>
    <mergeCell ref="K26:K28"/>
    <mergeCell ref="K29:K31"/>
    <mergeCell ref="K56:K58"/>
    <mergeCell ref="K59:K61"/>
    <mergeCell ref="K62:K64"/>
    <mergeCell ref="K65:K67"/>
    <mergeCell ref="K39:K42"/>
    <mergeCell ref="K43:K46"/>
    <mergeCell ref="K47:K49"/>
    <mergeCell ref="A32:A34"/>
    <mergeCell ref="A50:A52"/>
    <mergeCell ref="K94:M94"/>
    <mergeCell ref="N94:P94"/>
    <mergeCell ref="Q94:S94"/>
    <mergeCell ref="K81:K83"/>
    <mergeCell ref="K84:K87"/>
    <mergeCell ref="K88:K90"/>
    <mergeCell ref="K91:K92"/>
    <mergeCell ref="K93:L93"/>
    <mergeCell ref="K68:K70"/>
    <mergeCell ref="K71:K73"/>
    <mergeCell ref="K74:K77"/>
    <mergeCell ref="K78:K80"/>
    <mergeCell ref="K50:K52"/>
    <mergeCell ref="K53:K55"/>
    <mergeCell ref="K1:S1"/>
    <mergeCell ref="K32:K34"/>
    <mergeCell ref="A65:A67"/>
    <mergeCell ref="A68:A70"/>
    <mergeCell ref="A71:A73"/>
    <mergeCell ref="A35:A38"/>
    <mergeCell ref="A1:I1"/>
    <mergeCell ref="A2:B2"/>
    <mergeCell ref="A3:A10"/>
    <mergeCell ref="A11:A13"/>
    <mergeCell ref="A14:A16"/>
    <mergeCell ref="A17:A19"/>
    <mergeCell ref="A20:A22"/>
    <mergeCell ref="A23:A25"/>
    <mergeCell ref="A26:A28"/>
    <mergeCell ref="A29:A31"/>
    <mergeCell ref="D94:F94"/>
    <mergeCell ref="G94:I94"/>
    <mergeCell ref="A78:A80"/>
    <mergeCell ref="A81:A83"/>
    <mergeCell ref="A84:A87"/>
    <mergeCell ref="A88:A90"/>
    <mergeCell ref="A91:A92"/>
    <mergeCell ref="A93:B93"/>
    <mergeCell ref="A74:A77"/>
    <mergeCell ref="A39:A42"/>
    <mergeCell ref="A43:A46"/>
    <mergeCell ref="A47:A49"/>
    <mergeCell ref="A94:C94"/>
    <mergeCell ref="A53:A55"/>
    <mergeCell ref="A56:A58"/>
    <mergeCell ref="A59:A61"/>
    <mergeCell ref="A62:A64"/>
  </mergeCells>
  <pageMargins left="0.7" right="0.7" top="0.75" bottom="0.75" header="0.3" footer="0.3"/>
  <pageSetup scale="47"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pageSetUpPr fitToPage="1"/>
  </sheetPr>
  <dimension ref="A1:AL295"/>
  <sheetViews>
    <sheetView showGridLines="0" topLeftCell="A2" zoomScale="75" zoomScaleNormal="75" workbookViewId="0">
      <pane xSplit="3" ySplit="7" topLeftCell="D9" activePane="bottomRight" state="frozen"/>
      <selection activeCell="X90" sqref="X90"/>
      <selection pane="topRight" activeCell="X90" sqref="X90"/>
      <selection pane="bottomLeft" activeCell="X90" sqref="X90"/>
      <selection pane="bottomRight" activeCell="I9" sqref="I9"/>
    </sheetView>
  </sheetViews>
  <sheetFormatPr defaultRowHeight="12.75"/>
  <cols>
    <col min="1" max="1" width="36.85546875" style="365" customWidth="1"/>
    <col min="2" max="2" width="9" style="365" customWidth="1"/>
    <col min="3" max="3" width="2.28515625" style="418" bestFit="1" customWidth="1"/>
    <col min="4" max="4" width="21.28515625" style="922" bestFit="1" customWidth="1"/>
    <col min="5" max="5" width="18.7109375" style="922" customWidth="1"/>
    <col min="6" max="6" width="19.140625" style="922" bestFit="1" customWidth="1"/>
    <col min="7" max="7" width="19.7109375" style="922" bestFit="1" customWidth="1"/>
    <col min="8" max="9" width="18.5703125" style="922" customWidth="1"/>
    <col min="10" max="11" width="19.140625" style="922" bestFit="1" customWidth="1"/>
    <col min="12" max="12" width="17.7109375" style="922" bestFit="1" customWidth="1"/>
    <col min="13" max="13" width="19.140625" style="922" bestFit="1" customWidth="1"/>
    <col min="14" max="14" width="19.140625" style="922" customWidth="1"/>
    <col min="15" max="15" width="17.7109375" style="922" bestFit="1" customWidth="1"/>
    <col min="16" max="16" width="17" style="922" customWidth="1"/>
    <col min="17" max="17" width="22.7109375" style="1226" bestFit="1" customWidth="1"/>
    <col min="18" max="18" width="19.7109375" style="1226" bestFit="1" customWidth="1"/>
    <col min="19" max="19" width="18.42578125" style="1226" bestFit="1" customWidth="1"/>
    <col min="20" max="20" width="19.85546875" style="1226" customWidth="1"/>
    <col min="21" max="21" width="15.28515625" style="1226" customWidth="1"/>
    <col min="22" max="22" width="14.5703125" style="1226" customWidth="1"/>
    <col min="23" max="23" width="12.5703125" style="1226" customWidth="1"/>
    <col min="24" max="24" width="19.7109375" style="1226" customWidth="1"/>
    <col min="25" max="25" width="19.42578125" style="363" bestFit="1" customWidth="1"/>
    <col min="26" max="26" width="36.85546875" style="365" customWidth="1"/>
    <col min="27" max="27" width="17.5703125" style="365" customWidth="1"/>
    <col min="28" max="30" width="17.5703125" style="363" bestFit="1" customWidth="1"/>
    <col min="31" max="38" width="9.140625" style="363" customWidth="1"/>
    <col min="39" max="233" width="8.85546875" style="365"/>
    <col min="234" max="234" width="44.5703125" style="365" customWidth="1"/>
    <col min="235" max="235" width="14.28515625" style="365" bestFit="1" customWidth="1"/>
    <col min="236" max="236" width="1.7109375" style="365" customWidth="1"/>
    <col min="237" max="237" width="14.85546875" style="365" customWidth="1"/>
    <col min="238" max="238" width="0" style="365" hidden="1" customWidth="1"/>
    <col min="239" max="239" width="17.42578125" style="365" customWidth="1"/>
    <col min="240" max="240" width="0" style="365" hidden="1" customWidth="1"/>
    <col min="241" max="241" width="12.85546875" style="365" customWidth="1"/>
    <col min="242" max="242" width="0" style="365" hidden="1" customWidth="1"/>
    <col min="243" max="243" width="14.42578125" style="365" customWidth="1"/>
    <col min="244" max="244" width="0" style="365" hidden="1" customWidth="1"/>
    <col min="245" max="245" width="17.42578125" style="365" customWidth="1"/>
    <col min="246" max="246" width="0" style="365" hidden="1" customWidth="1"/>
    <col min="247" max="247" width="14" style="365" customWidth="1"/>
    <col min="248" max="248" width="14.28515625" style="365" bestFit="1" customWidth="1"/>
    <col min="249" max="249" width="0" style="365" hidden="1" customWidth="1"/>
    <col min="250" max="250" width="15.5703125" style="365" customWidth="1"/>
    <col min="251" max="251" width="44.5703125" style="365" customWidth="1"/>
    <col min="252" max="252" width="14.28515625" style="365" bestFit="1" customWidth="1"/>
    <col min="253" max="253" width="0" style="365" hidden="1" customWidth="1"/>
    <col min="254" max="254" width="18.140625" style="365" customWidth="1"/>
    <col min="255" max="255" width="0" style="365" hidden="1" customWidth="1"/>
    <col min="256" max="256" width="14" style="365" customWidth="1"/>
    <col min="257" max="257" width="0" style="365" hidden="1" customWidth="1"/>
    <col min="258" max="258" width="20.85546875" style="365" customWidth="1"/>
    <col min="259" max="259" width="0" style="365" hidden="1" customWidth="1"/>
    <col min="260" max="260" width="13.28515625" style="365" customWidth="1"/>
    <col min="261" max="261" width="0" style="365" hidden="1" customWidth="1"/>
    <col min="262" max="262" width="15" style="365" customWidth="1"/>
    <col min="263" max="263" width="0" style="365" hidden="1" customWidth="1"/>
    <col min="264" max="264" width="13.28515625" style="365" customWidth="1"/>
    <col min="265" max="265" width="0" style="365" hidden="1" customWidth="1"/>
    <col min="266" max="266" width="20.140625" style="365" customWidth="1"/>
    <col min="267" max="267" width="14.42578125" style="365" bestFit="1" customWidth="1"/>
    <col min="268" max="268" width="14" style="365" bestFit="1" customWidth="1"/>
    <col min="269" max="269" width="12.28515625" style="365" bestFit="1" customWidth="1"/>
    <col min="270" max="294" width="9.140625" style="365" customWidth="1"/>
    <col min="295" max="489" width="8.85546875" style="365"/>
    <col min="490" max="490" width="44.5703125" style="365" customWidth="1"/>
    <col min="491" max="491" width="14.28515625" style="365" bestFit="1" customWidth="1"/>
    <col min="492" max="492" width="1.7109375" style="365" customWidth="1"/>
    <col min="493" max="493" width="14.85546875" style="365" customWidth="1"/>
    <col min="494" max="494" width="0" style="365" hidden="1" customWidth="1"/>
    <col min="495" max="495" width="17.42578125" style="365" customWidth="1"/>
    <col min="496" max="496" width="0" style="365" hidden="1" customWidth="1"/>
    <col min="497" max="497" width="12.85546875" style="365" customWidth="1"/>
    <col min="498" max="498" width="0" style="365" hidden="1" customWidth="1"/>
    <col min="499" max="499" width="14.42578125" style="365" customWidth="1"/>
    <col min="500" max="500" width="0" style="365" hidden="1" customWidth="1"/>
    <col min="501" max="501" width="17.42578125" style="365" customWidth="1"/>
    <col min="502" max="502" width="0" style="365" hidden="1" customWidth="1"/>
    <col min="503" max="503" width="14" style="365" customWidth="1"/>
    <col min="504" max="504" width="14.28515625" style="365" bestFit="1" customWidth="1"/>
    <col min="505" max="505" width="0" style="365" hidden="1" customWidth="1"/>
    <col min="506" max="506" width="15.5703125" style="365" customWidth="1"/>
    <col min="507" max="507" width="44.5703125" style="365" customWidth="1"/>
    <col min="508" max="508" width="14.28515625" style="365" bestFit="1" customWidth="1"/>
    <col min="509" max="509" width="0" style="365" hidden="1" customWidth="1"/>
    <col min="510" max="510" width="18.140625" style="365" customWidth="1"/>
    <col min="511" max="511" width="0" style="365" hidden="1" customWidth="1"/>
    <col min="512" max="512" width="14" style="365" customWidth="1"/>
    <col min="513" max="513" width="0" style="365" hidden="1" customWidth="1"/>
    <col min="514" max="514" width="20.85546875" style="365" customWidth="1"/>
    <col min="515" max="515" width="0" style="365" hidden="1" customWidth="1"/>
    <col min="516" max="516" width="13.28515625" style="365" customWidth="1"/>
    <col min="517" max="517" width="0" style="365" hidden="1" customWidth="1"/>
    <col min="518" max="518" width="15" style="365" customWidth="1"/>
    <col min="519" max="519" width="0" style="365" hidden="1" customWidth="1"/>
    <col min="520" max="520" width="13.28515625" style="365" customWidth="1"/>
    <col min="521" max="521" width="0" style="365" hidden="1" customWidth="1"/>
    <col min="522" max="522" width="20.140625" style="365" customWidth="1"/>
    <col min="523" max="523" width="14.42578125" style="365" bestFit="1" customWidth="1"/>
    <col min="524" max="524" width="14" style="365" bestFit="1" customWidth="1"/>
    <col min="525" max="525" width="12.28515625" style="365" bestFit="1" customWidth="1"/>
    <col min="526" max="550" width="9.140625" style="365" customWidth="1"/>
    <col min="551" max="745" width="8.85546875" style="365"/>
    <col min="746" max="746" width="44.5703125" style="365" customWidth="1"/>
    <col min="747" max="747" width="14.28515625" style="365" bestFit="1" customWidth="1"/>
    <col min="748" max="748" width="1.7109375" style="365" customWidth="1"/>
    <col min="749" max="749" width="14.85546875" style="365" customWidth="1"/>
    <col min="750" max="750" width="0" style="365" hidden="1" customWidth="1"/>
    <col min="751" max="751" width="17.42578125" style="365" customWidth="1"/>
    <col min="752" max="752" width="0" style="365" hidden="1" customWidth="1"/>
    <col min="753" max="753" width="12.85546875" style="365" customWidth="1"/>
    <col min="754" max="754" width="0" style="365" hidden="1" customWidth="1"/>
    <col min="755" max="755" width="14.42578125" style="365" customWidth="1"/>
    <col min="756" max="756" width="0" style="365" hidden="1" customWidth="1"/>
    <col min="757" max="757" width="17.42578125" style="365" customWidth="1"/>
    <col min="758" max="758" width="0" style="365" hidden="1" customWidth="1"/>
    <col min="759" max="759" width="14" style="365" customWidth="1"/>
    <col min="760" max="760" width="14.28515625" style="365" bestFit="1" customWidth="1"/>
    <col min="761" max="761" width="0" style="365" hidden="1" customWidth="1"/>
    <col min="762" max="762" width="15.5703125" style="365" customWidth="1"/>
    <col min="763" max="763" width="44.5703125" style="365" customWidth="1"/>
    <col min="764" max="764" width="14.28515625" style="365" bestFit="1" customWidth="1"/>
    <col min="765" max="765" width="0" style="365" hidden="1" customWidth="1"/>
    <col min="766" max="766" width="18.140625" style="365" customWidth="1"/>
    <col min="767" max="767" width="0" style="365" hidden="1" customWidth="1"/>
    <col min="768" max="768" width="14" style="365" customWidth="1"/>
    <col min="769" max="769" width="0" style="365" hidden="1" customWidth="1"/>
    <col min="770" max="770" width="20.85546875" style="365" customWidth="1"/>
    <col min="771" max="771" width="0" style="365" hidden="1" customWidth="1"/>
    <col min="772" max="772" width="13.28515625" style="365" customWidth="1"/>
    <col min="773" max="773" width="0" style="365" hidden="1" customWidth="1"/>
    <col min="774" max="774" width="15" style="365" customWidth="1"/>
    <col min="775" max="775" width="0" style="365" hidden="1" customWidth="1"/>
    <col min="776" max="776" width="13.28515625" style="365" customWidth="1"/>
    <col min="777" max="777" width="0" style="365" hidden="1" customWidth="1"/>
    <col min="778" max="778" width="20.140625" style="365" customWidth="1"/>
    <col min="779" max="779" width="14.42578125" style="365" bestFit="1" customWidth="1"/>
    <col min="780" max="780" width="14" style="365" bestFit="1" customWidth="1"/>
    <col min="781" max="781" width="12.28515625" style="365" bestFit="1" customWidth="1"/>
    <col min="782" max="806" width="9.140625" style="365" customWidth="1"/>
    <col min="807" max="1001" width="8.85546875" style="365"/>
    <col min="1002" max="1002" width="44.5703125" style="365" customWidth="1"/>
    <col min="1003" max="1003" width="14.28515625" style="365" bestFit="1" customWidth="1"/>
    <col min="1004" max="1004" width="1.7109375" style="365" customWidth="1"/>
    <col min="1005" max="1005" width="14.85546875" style="365" customWidth="1"/>
    <col min="1006" max="1006" width="0" style="365" hidden="1" customWidth="1"/>
    <col min="1007" max="1007" width="17.42578125" style="365" customWidth="1"/>
    <col min="1008" max="1008" width="0" style="365" hidden="1" customWidth="1"/>
    <col min="1009" max="1009" width="12.85546875" style="365" customWidth="1"/>
    <col min="1010" max="1010" width="0" style="365" hidden="1" customWidth="1"/>
    <col min="1011" max="1011" width="14.42578125" style="365" customWidth="1"/>
    <col min="1012" max="1012" width="0" style="365" hidden="1" customWidth="1"/>
    <col min="1013" max="1013" width="17.42578125" style="365" customWidth="1"/>
    <col min="1014" max="1014" width="0" style="365" hidden="1" customWidth="1"/>
    <col min="1015" max="1015" width="14" style="365" customWidth="1"/>
    <col min="1016" max="1016" width="14.28515625" style="365" bestFit="1" customWidth="1"/>
    <col min="1017" max="1017" width="0" style="365" hidden="1" customWidth="1"/>
    <col min="1018" max="1018" width="15.5703125" style="365" customWidth="1"/>
    <col min="1019" max="1019" width="44.5703125" style="365" customWidth="1"/>
    <col min="1020" max="1020" width="14.28515625" style="365" bestFit="1" customWidth="1"/>
    <col min="1021" max="1021" width="0" style="365" hidden="1" customWidth="1"/>
    <col min="1022" max="1022" width="18.140625" style="365" customWidth="1"/>
    <col min="1023" max="1023" width="0" style="365" hidden="1" customWidth="1"/>
    <col min="1024" max="1024" width="14" style="365" customWidth="1"/>
    <col min="1025" max="1025" width="0" style="365" hidden="1" customWidth="1"/>
    <col min="1026" max="1026" width="20.85546875" style="365" customWidth="1"/>
    <col min="1027" max="1027" width="0" style="365" hidden="1" customWidth="1"/>
    <col min="1028" max="1028" width="13.28515625" style="365" customWidth="1"/>
    <col min="1029" max="1029" width="0" style="365" hidden="1" customWidth="1"/>
    <col min="1030" max="1030" width="15" style="365" customWidth="1"/>
    <col min="1031" max="1031" width="0" style="365" hidden="1" customWidth="1"/>
    <col min="1032" max="1032" width="13.28515625" style="365" customWidth="1"/>
    <col min="1033" max="1033" width="0" style="365" hidden="1" customWidth="1"/>
    <col min="1034" max="1034" width="20.140625" style="365" customWidth="1"/>
    <col min="1035" max="1035" width="14.42578125" style="365" bestFit="1" customWidth="1"/>
    <col min="1036" max="1036" width="14" style="365" bestFit="1" customWidth="1"/>
    <col min="1037" max="1037" width="12.28515625" style="365" bestFit="1" customWidth="1"/>
    <col min="1038" max="1062" width="9.140625" style="365" customWidth="1"/>
    <col min="1063" max="1257" width="8.85546875" style="365"/>
    <col min="1258" max="1258" width="44.5703125" style="365" customWidth="1"/>
    <col min="1259" max="1259" width="14.28515625" style="365" bestFit="1" customWidth="1"/>
    <col min="1260" max="1260" width="1.7109375" style="365" customWidth="1"/>
    <col min="1261" max="1261" width="14.85546875" style="365" customWidth="1"/>
    <col min="1262" max="1262" width="0" style="365" hidden="1" customWidth="1"/>
    <col min="1263" max="1263" width="17.42578125" style="365" customWidth="1"/>
    <col min="1264" max="1264" width="0" style="365" hidden="1" customWidth="1"/>
    <col min="1265" max="1265" width="12.85546875" style="365" customWidth="1"/>
    <col min="1266" max="1266" width="0" style="365" hidden="1" customWidth="1"/>
    <col min="1267" max="1267" width="14.42578125" style="365" customWidth="1"/>
    <col min="1268" max="1268" width="0" style="365" hidden="1" customWidth="1"/>
    <col min="1269" max="1269" width="17.42578125" style="365" customWidth="1"/>
    <col min="1270" max="1270" width="0" style="365" hidden="1" customWidth="1"/>
    <col min="1271" max="1271" width="14" style="365" customWidth="1"/>
    <col min="1272" max="1272" width="14.28515625" style="365" bestFit="1" customWidth="1"/>
    <col min="1273" max="1273" width="0" style="365" hidden="1" customWidth="1"/>
    <col min="1274" max="1274" width="15.5703125" style="365" customWidth="1"/>
    <col min="1275" max="1275" width="44.5703125" style="365" customWidth="1"/>
    <col min="1276" max="1276" width="14.28515625" style="365" bestFit="1" customWidth="1"/>
    <col min="1277" max="1277" width="0" style="365" hidden="1" customWidth="1"/>
    <col min="1278" max="1278" width="18.140625" style="365" customWidth="1"/>
    <col min="1279" max="1279" width="0" style="365" hidden="1" customWidth="1"/>
    <col min="1280" max="1280" width="14" style="365" customWidth="1"/>
    <col min="1281" max="1281" width="0" style="365" hidden="1" customWidth="1"/>
    <col min="1282" max="1282" width="20.85546875" style="365" customWidth="1"/>
    <col min="1283" max="1283" width="0" style="365" hidden="1" customWidth="1"/>
    <col min="1284" max="1284" width="13.28515625" style="365" customWidth="1"/>
    <col min="1285" max="1285" width="0" style="365" hidden="1" customWidth="1"/>
    <col min="1286" max="1286" width="15" style="365" customWidth="1"/>
    <col min="1287" max="1287" width="0" style="365" hidden="1" customWidth="1"/>
    <col min="1288" max="1288" width="13.28515625" style="365" customWidth="1"/>
    <col min="1289" max="1289" width="0" style="365" hidden="1" customWidth="1"/>
    <col min="1290" max="1290" width="20.140625" style="365" customWidth="1"/>
    <col min="1291" max="1291" width="14.42578125" style="365" bestFit="1" customWidth="1"/>
    <col min="1292" max="1292" width="14" style="365" bestFit="1" customWidth="1"/>
    <col min="1293" max="1293" width="12.28515625" style="365" bestFit="1" customWidth="1"/>
    <col min="1294" max="1318" width="9.140625" style="365" customWidth="1"/>
    <col min="1319" max="1513" width="8.85546875" style="365"/>
    <col min="1514" max="1514" width="44.5703125" style="365" customWidth="1"/>
    <col min="1515" max="1515" width="14.28515625" style="365" bestFit="1" customWidth="1"/>
    <col min="1516" max="1516" width="1.7109375" style="365" customWidth="1"/>
    <col min="1517" max="1517" width="14.85546875" style="365" customWidth="1"/>
    <col min="1518" max="1518" width="0" style="365" hidden="1" customWidth="1"/>
    <col min="1519" max="1519" width="17.42578125" style="365" customWidth="1"/>
    <col min="1520" max="1520" width="0" style="365" hidden="1" customWidth="1"/>
    <col min="1521" max="1521" width="12.85546875" style="365" customWidth="1"/>
    <col min="1522" max="1522" width="0" style="365" hidden="1" customWidth="1"/>
    <col min="1523" max="1523" width="14.42578125" style="365" customWidth="1"/>
    <col min="1524" max="1524" width="0" style="365" hidden="1" customWidth="1"/>
    <col min="1525" max="1525" width="17.42578125" style="365" customWidth="1"/>
    <col min="1526" max="1526" width="0" style="365" hidden="1" customWidth="1"/>
    <col min="1527" max="1527" width="14" style="365" customWidth="1"/>
    <col min="1528" max="1528" width="14.28515625" style="365" bestFit="1" customWidth="1"/>
    <col min="1529" max="1529" width="0" style="365" hidden="1" customWidth="1"/>
    <col min="1530" max="1530" width="15.5703125" style="365" customWidth="1"/>
    <col min="1531" max="1531" width="44.5703125" style="365" customWidth="1"/>
    <col min="1532" max="1532" width="14.28515625" style="365" bestFit="1" customWidth="1"/>
    <col min="1533" max="1533" width="0" style="365" hidden="1" customWidth="1"/>
    <col min="1534" max="1534" width="18.140625" style="365" customWidth="1"/>
    <col min="1535" max="1535" width="0" style="365" hidden="1" customWidth="1"/>
    <col min="1536" max="1536" width="14" style="365" customWidth="1"/>
    <col min="1537" max="1537" width="0" style="365" hidden="1" customWidth="1"/>
    <col min="1538" max="1538" width="20.85546875" style="365" customWidth="1"/>
    <col min="1539" max="1539" width="0" style="365" hidden="1" customWidth="1"/>
    <col min="1540" max="1540" width="13.28515625" style="365" customWidth="1"/>
    <col min="1541" max="1541" width="0" style="365" hidden="1" customWidth="1"/>
    <col min="1542" max="1542" width="15" style="365" customWidth="1"/>
    <col min="1543" max="1543" width="0" style="365" hidden="1" customWidth="1"/>
    <col min="1544" max="1544" width="13.28515625" style="365" customWidth="1"/>
    <col min="1545" max="1545" width="0" style="365" hidden="1" customWidth="1"/>
    <col min="1546" max="1546" width="20.140625" style="365" customWidth="1"/>
    <col min="1547" max="1547" width="14.42578125" style="365" bestFit="1" customWidth="1"/>
    <col min="1548" max="1548" width="14" style="365" bestFit="1" customWidth="1"/>
    <col min="1549" max="1549" width="12.28515625" style="365" bestFit="1" customWidth="1"/>
    <col min="1550" max="1574" width="9.140625" style="365" customWidth="1"/>
    <col min="1575" max="1769" width="8.85546875" style="365"/>
    <col min="1770" max="1770" width="44.5703125" style="365" customWidth="1"/>
    <col min="1771" max="1771" width="14.28515625" style="365" bestFit="1" customWidth="1"/>
    <col min="1772" max="1772" width="1.7109375" style="365" customWidth="1"/>
    <col min="1773" max="1773" width="14.85546875" style="365" customWidth="1"/>
    <col min="1774" max="1774" width="0" style="365" hidden="1" customWidth="1"/>
    <col min="1775" max="1775" width="17.42578125" style="365" customWidth="1"/>
    <col min="1776" max="1776" width="0" style="365" hidden="1" customWidth="1"/>
    <col min="1777" max="1777" width="12.85546875" style="365" customWidth="1"/>
    <col min="1778" max="1778" width="0" style="365" hidden="1" customWidth="1"/>
    <col min="1779" max="1779" width="14.42578125" style="365" customWidth="1"/>
    <col min="1780" max="1780" width="0" style="365" hidden="1" customWidth="1"/>
    <col min="1781" max="1781" width="17.42578125" style="365" customWidth="1"/>
    <col min="1782" max="1782" width="0" style="365" hidden="1" customWidth="1"/>
    <col min="1783" max="1783" width="14" style="365" customWidth="1"/>
    <col min="1784" max="1784" width="14.28515625" style="365" bestFit="1" customWidth="1"/>
    <col min="1785" max="1785" width="0" style="365" hidden="1" customWidth="1"/>
    <col min="1786" max="1786" width="15.5703125" style="365" customWidth="1"/>
    <col min="1787" max="1787" width="44.5703125" style="365" customWidth="1"/>
    <col min="1788" max="1788" width="14.28515625" style="365" bestFit="1" customWidth="1"/>
    <col min="1789" max="1789" width="0" style="365" hidden="1" customWidth="1"/>
    <col min="1790" max="1790" width="18.140625" style="365" customWidth="1"/>
    <col min="1791" max="1791" width="0" style="365" hidden="1" customWidth="1"/>
    <col min="1792" max="1792" width="14" style="365" customWidth="1"/>
    <col min="1793" max="1793" width="0" style="365" hidden="1" customWidth="1"/>
    <col min="1794" max="1794" width="20.85546875" style="365" customWidth="1"/>
    <col min="1795" max="1795" width="0" style="365" hidden="1" customWidth="1"/>
    <col min="1796" max="1796" width="13.28515625" style="365" customWidth="1"/>
    <col min="1797" max="1797" width="0" style="365" hidden="1" customWidth="1"/>
    <col min="1798" max="1798" width="15" style="365" customWidth="1"/>
    <col min="1799" max="1799" width="0" style="365" hidden="1" customWidth="1"/>
    <col min="1800" max="1800" width="13.28515625" style="365" customWidth="1"/>
    <col min="1801" max="1801" width="0" style="365" hidden="1" customWidth="1"/>
    <col min="1802" max="1802" width="20.140625" style="365" customWidth="1"/>
    <col min="1803" max="1803" width="14.42578125" style="365" bestFit="1" customWidth="1"/>
    <col min="1804" max="1804" width="14" style="365" bestFit="1" customWidth="1"/>
    <col min="1805" max="1805" width="12.28515625" style="365" bestFit="1" customWidth="1"/>
    <col min="1806" max="1830" width="9.140625" style="365" customWidth="1"/>
    <col min="1831" max="2025" width="8.85546875" style="365"/>
    <col min="2026" max="2026" width="44.5703125" style="365" customWidth="1"/>
    <col min="2027" max="2027" width="14.28515625" style="365" bestFit="1" customWidth="1"/>
    <col min="2028" max="2028" width="1.7109375" style="365" customWidth="1"/>
    <col min="2029" max="2029" width="14.85546875" style="365" customWidth="1"/>
    <col min="2030" max="2030" width="0" style="365" hidden="1" customWidth="1"/>
    <col min="2031" max="2031" width="17.42578125" style="365" customWidth="1"/>
    <col min="2032" max="2032" width="0" style="365" hidden="1" customWidth="1"/>
    <col min="2033" max="2033" width="12.85546875" style="365" customWidth="1"/>
    <col min="2034" max="2034" width="0" style="365" hidden="1" customWidth="1"/>
    <col min="2035" max="2035" width="14.42578125" style="365" customWidth="1"/>
    <col min="2036" max="2036" width="0" style="365" hidden="1" customWidth="1"/>
    <col min="2037" max="2037" width="17.42578125" style="365" customWidth="1"/>
    <col min="2038" max="2038" width="0" style="365" hidden="1" customWidth="1"/>
    <col min="2039" max="2039" width="14" style="365" customWidth="1"/>
    <col min="2040" max="2040" width="14.28515625" style="365" bestFit="1" customWidth="1"/>
    <col min="2041" max="2041" width="0" style="365" hidden="1" customWidth="1"/>
    <col min="2042" max="2042" width="15.5703125" style="365" customWidth="1"/>
    <col min="2043" max="2043" width="44.5703125" style="365" customWidth="1"/>
    <col min="2044" max="2044" width="14.28515625" style="365" bestFit="1" customWidth="1"/>
    <col min="2045" max="2045" width="0" style="365" hidden="1" customWidth="1"/>
    <col min="2046" max="2046" width="18.140625" style="365" customWidth="1"/>
    <col min="2047" max="2047" width="0" style="365" hidden="1" customWidth="1"/>
    <col min="2048" max="2048" width="14" style="365" customWidth="1"/>
    <col min="2049" max="2049" width="0" style="365" hidden="1" customWidth="1"/>
    <col min="2050" max="2050" width="20.85546875" style="365" customWidth="1"/>
    <col min="2051" max="2051" width="0" style="365" hidden="1" customWidth="1"/>
    <col min="2052" max="2052" width="13.28515625" style="365" customWidth="1"/>
    <col min="2053" max="2053" width="0" style="365" hidden="1" customWidth="1"/>
    <col min="2054" max="2054" width="15" style="365" customWidth="1"/>
    <col min="2055" max="2055" width="0" style="365" hidden="1" customWidth="1"/>
    <col min="2056" max="2056" width="13.28515625" style="365" customWidth="1"/>
    <col min="2057" max="2057" width="0" style="365" hidden="1" customWidth="1"/>
    <col min="2058" max="2058" width="20.140625" style="365" customWidth="1"/>
    <col min="2059" max="2059" width="14.42578125" style="365" bestFit="1" customWidth="1"/>
    <col min="2060" max="2060" width="14" style="365" bestFit="1" customWidth="1"/>
    <col min="2061" max="2061" width="12.28515625" style="365" bestFit="1" customWidth="1"/>
    <col min="2062" max="2086" width="9.140625" style="365" customWidth="1"/>
    <col min="2087" max="2281" width="8.85546875" style="365"/>
    <col min="2282" max="2282" width="44.5703125" style="365" customWidth="1"/>
    <col min="2283" max="2283" width="14.28515625" style="365" bestFit="1" customWidth="1"/>
    <col min="2284" max="2284" width="1.7109375" style="365" customWidth="1"/>
    <col min="2285" max="2285" width="14.85546875" style="365" customWidth="1"/>
    <col min="2286" max="2286" width="0" style="365" hidden="1" customWidth="1"/>
    <col min="2287" max="2287" width="17.42578125" style="365" customWidth="1"/>
    <col min="2288" max="2288" width="0" style="365" hidden="1" customWidth="1"/>
    <col min="2289" max="2289" width="12.85546875" style="365" customWidth="1"/>
    <col min="2290" max="2290" width="0" style="365" hidden="1" customWidth="1"/>
    <col min="2291" max="2291" width="14.42578125" style="365" customWidth="1"/>
    <col min="2292" max="2292" width="0" style="365" hidden="1" customWidth="1"/>
    <col min="2293" max="2293" width="17.42578125" style="365" customWidth="1"/>
    <col min="2294" max="2294" width="0" style="365" hidden="1" customWidth="1"/>
    <col min="2295" max="2295" width="14" style="365" customWidth="1"/>
    <col min="2296" max="2296" width="14.28515625" style="365" bestFit="1" customWidth="1"/>
    <col min="2297" max="2297" width="0" style="365" hidden="1" customWidth="1"/>
    <col min="2298" max="2298" width="15.5703125" style="365" customWidth="1"/>
    <col min="2299" max="2299" width="44.5703125" style="365" customWidth="1"/>
    <col min="2300" max="2300" width="14.28515625" style="365" bestFit="1" customWidth="1"/>
    <col min="2301" max="2301" width="0" style="365" hidden="1" customWidth="1"/>
    <col min="2302" max="2302" width="18.140625" style="365" customWidth="1"/>
    <col min="2303" max="2303" width="0" style="365" hidden="1" customWidth="1"/>
    <col min="2304" max="2304" width="14" style="365" customWidth="1"/>
    <col min="2305" max="2305" width="0" style="365" hidden="1" customWidth="1"/>
    <col min="2306" max="2306" width="20.85546875" style="365" customWidth="1"/>
    <col min="2307" max="2307" width="0" style="365" hidden="1" customWidth="1"/>
    <col min="2308" max="2308" width="13.28515625" style="365" customWidth="1"/>
    <col min="2309" max="2309" width="0" style="365" hidden="1" customWidth="1"/>
    <col min="2310" max="2310" width="15" style="365" customWidth="1"/>
    <col min="2311" max="2311" width="0" style="365" hidden="1" customWidth="1"/>
    <col min="2312" max="2312" width="13.28515625" style="365" customWidth="1"/>
    <col min="2313" max="2313" width="0" style="365" hidden="1" customWidth="1"/>
    <col min="2314" max="2314" width="20.140625" style="365" customWidth="1"/>
    <col min="2315" max="2315" width="14.42578125" style="365" bestFit="1" customWidth="1"/>
    <col min="2316" max="2316" width="14" style="365" bestFit="1" customWidth="1"/>
    <col min="2317" max="2317" width="12.28515625" style="365" bestFit="1" customWidth="1"/>
    <col min="2318" max="2342" width="9.140625" style="365" customWidth="1"/>
    <col min="2343" max="2537" width="8.85546875" style="365"/>
    <col min="2538" max="2538" width="44.5703125" style="365" customWidth="1"/>
    <col min="2539" max="2539" width="14.28515625" style="365" bestFit="1" customWidth="1"/>
    <col min="2540" max="2540" width="1.7109375" style="365" customWidth="1"/>
    <col min="2541" max="2541" width="14.85546875" style="365" customWidth="1"/>
    <col min="2542" max="2542" width="0" style="365" hidden="1" customWidth="1"/>
    <col min="2543" max="2543" width="17.42578125" style="365" customWidth="1"/>
    <col min="2544" max="2544" width="0" style="365" hidden="1" customWidth="1"/>
    <col min="2545" max="2545" width="12.85546875" style="365" customWidth="1"/>
    <col min="2546" max="2546" width="0" style="365" hidden="1" customWidth="1"/>
    <col min="2547" max="2547" width="14.42578125" style="365" customWidth="1"/>
    <col min="2548" max="2548" width="0" style="365" hidden="1" customWidth="1"/>
    <col min="2549" max="2549" width="17.42578125" style="365" customWidth="1"/>
    <col min="2550" max="2550" width="0" style="365" hidden="1" customWidth="1"/>
    <col min="2551" max="2551" width="14" style="365" customWidth="1"/>
    <col min="2552" max="2552" width="14.28515625" style="365" bestFit="1" customWidth="1"/>
    <col min="2553" max="2553" width="0" style="365" hidden="1" customWidth="1"/>
    <col min="2554" max="2554" width="15.5703125" style="365" customWidth="1"/>
    <col min="2555" max="2555" width="44.5703125" style="365" customWidth="1"/>
    <col min="2556" max="2556" width="14.28515625" style="365" bestFit="1" customWidth="1"/>
    <col min="2557" max="2557" width="0" style="365" hidden="1" customWidth="1"/>
    <col min="2558" max="2558" width="18.140625" style="365" customWidth="1"/>
    <col min="2559" max="2559" width="0" style="365" hidden="1" customWidth="1"/>
    <col min="2560" max="2560" width="14" style="365" customWidth="1"/>
    <col min="2561" max="2561" width="0" style="365" hidden="1" customWidth="1"/>
    <col min="2562" max="2562" width="20.85546875" style="365" customWidth="1"/>
    <col min="2563" max="2563" width="0" style="365" hidden="1" customWidth="1"/>
    <col min="2564" max="2564" width="13.28515625" style="365" customWidth="1"/>
    <col min="2565" max="2565" width="0" style="365" hidden="1" customWidth="1"/>
    <col min="2566" max="2566" width="15" style="365" customWidth="1"/>
    <col min="2567" max="2567" width="0" style="365" hidden="1" customWidth="1"/>
    <col min="2568" max="2568" width="13.28515625" style="365" customWidth="1"/>
    <col min="2569" max="2569" width="0" style="365" hidden="1" customWidth="1"/>
    <col min="2570" max="2570" width="20.140625" style="365" customWidth="1"/>
    <col min="2571" max="2571" width="14.42578125" style="365" bestFit="1" customWidth="1"/>
    <col min="2572" max="2572" width="14" style="365" bestFit="1" customWidth="1"/>
    <col min="2573" max="2573" width="12.28515625" style="365" bestFit="1" customWidth="1"/>
    <col min="2574" max="2598" width="9.140625" style="365" customWidth="1"/>
    <col min="2599" max="2793" width="8.85546875" style="365"/>
    <col min="2794" max="2794" width="44.5703125" style="365" customWidth="1"/>
    <col min="2795" max="2795" width="14.28515625" style="365" bestFit="1" customWidth="1"/>
    <col min="2796" max="2796" width="1.7109375" style="365" customWidth="1"/>
    <col min="2797" max="2797" width="14.85546875" style="365" customWidth="1"/>
    <col min="2798" max="2798" width="0" style="365" hidden="1" customWidth="1"/>
    <col min="2799" max="2799" width="17.42578125" style="365" customWidth="1"/>
    <col min="2800" max="2800" width="0" style="365" hidden="1" customWidth="1"/>
    <col min="2801" max="2801" width="12.85546875" style="365" customWidth="1"/>
    <col min="2802" max="2802" width="0" style="365" hidden="1" customWidth="1"/>
    <col min="2803" max="2803" width="14.42578125" style="365" customWidth="1"/>
    <col min="2804" max="2804" width="0" style="365" hidden="1" customWidth="1"/>
    <col min="2805" max="2805" width="17.42578125" style="365" customWidth="1"/>
    <col min="2806" max="2806" width="0" style="365" hidden="1" customWidth="1"/>
    <col min="2807" max="2807" width="14" style="365" customWidth="1"/>
    <col min="2808" max="2808" width="14.28515625" style="365" bestFit="1" customWidth="1"/>
    <col min="2809" max="2809" width="0" style="365" hidden="1" customWidth="1"/>
    <col min="2810" max="2810" width="15.5703125" style="365" customWidth="1"/>
    <col min="2811" max="2811" width="44.5703125" style="365" customWidth="1"/>
    <col min="2812" max="2812" width="14.28515625" style="365" bestFit="1" customWidth="1"/>
    <col min="2813" max="2813" width="0" style="365" hidden="1" customWidth="1"/>
    <col min="2814" max="2814" width="18.140625" style="365" customWidth="1"/>
    <col min="2815" max="2815" width="0" style="365" hidden="1" customWidth="1"/>
    <col min="2816" max="2816" width="14" style="365" customWidth="1"/>
    <col min="2817" max="2817" width="0" style="365" hidden="1" customWidth="1"/>
    <col min="2818" max="2818" width="20.85546875" style="365" customWidth="1"/>
    <col min="2819" max="2819" width="0" style="365" hidden="1" customWidth="1"/>
    <col min="2820" max="2820" width="13.28515625" style="365" customWidth="1"/>
    <col min="2821" max="2821" width="0" style="365" hidden="1" customWidth="1"/>
    <col min="2822" max="2822" width="15" style="365" customWidth="1"/>
    <col min="2823" max="2823" width="0" style="365" hidden="1" customWidth="1"/>
    <col min="2824" max="2824" width="13.28515625" style="365" customWidth="1"/>
    <col min="2825" max="2825" width="0" style="365" hidden="1" customWidth="1"/>
    <col min="2826" max="2826" width="20.140625" style="365" customWidth="1"/>
    <col min="2827" max="2827" width="14.42578125" style="365" bestFit="1" customWidth="1"/>
    <col min="2828" max="2828" width="14" style="365" bestFit="1" customWidth="1"/>
    <col min="2829" max="2829" width="12.28515625" style="365" bestFit="1" customWidth="1"/>
    <col min="2830" max="2854" width="9.140625" style="365" customWidth="1"/>
    <col min="2855" max="3049" width="8.85546875" style="365"/>
    <col min="3050" max="3050" width="44.5703125" style="365" customWidth="1"/>
    <col min="3051" max="3051" width="14.28515625" style="365" bestFit="1" customWidth="1"/>
    <col min="3052" max="3052" width="1.7109375" style="365" customWidth="1"/>
    <col min="3053" max="3053" width="14.85546875" style="365" customWidth="1"/>
    <col min="3054" max="3054" width="0" style="365" hidden="1" customWidth="1"/>
    <col min="3055" max="3055" width="17.42578125" style="365" customWidth="1"/>
    <col min="3056" max="3056" width="0" style="365" hidden="1" customWidth="1"/>
    <col min="3057" max="3057" width="12.85546875" style="365" customWidth="1"/>
    <col min="3058" max="3058" width="0" style="365" hidden="1" customWidth="1"/>
    <col min="3059" max="3059" width="14.42578125" style="365" customWidth="1"/>
    <col min="3060" max="3060" width="0" style="365" hidden="1" customWidth="1"/>
    <col min="3061" max="3061" width="17.42578125" style="365" customWidth="1"/>
    <col min="3062" max="3062" width="0" style="365" hidden="1" customWidth="1"/>
    <col min="3063" max="3063" width="14" style="365" customWidth="1"/>
    <col min="3064" max="3064" width="14.28515625" style="365" bestFit="1" customWidth="1"/>
    <col min="3065" max="3065" width="0" style="365" hidden="1" customWidth="1"/>
    <col min="3066" max="3066" width="15.5703125" style="365" customWidth="1"/>
    <col min="3067" max="3067" width="44.5703125" style="365" customWidth="1"/>
    <col min="3068" max="3068" width="14.28515625" style="365" bestFit="1" customWidth="1"/>
    <col min="3069" max="3069" width="0" style="365" hidden="1" customWidth="1"/>
    <col min="3070" max="3070" width="18.140625" style="365" customWidth="1"/>
    <col min="3071" max="3071" width="0" style="365" hidden="1" customWidth="1"/>
    <col min="3072" max="3072" width="14" style="365" customWidth="1"/>
    <col min="3073" max="3073" width="0" style="365" hidden="1" customWidth="1"/>
    <col min="3074" max="3074" width="20.85546875" style="365" customWidth="1"/>
    <col min="3075" max="3075" width="0" style="365" hidden="1" customWidth="1"/>
    <col min="3076" max="3076" width="13.28515625" style="365" customWidth="1"/>
    <col min="3077" max="3077" width="0" style="365" hidden="1" customWidth="1"/>
    <col min="3078" max="3078" width="15" style="365" customWidth="1"/>
    <col min="3079" max="3079" width="0" style="365" hidden="1" customWidth="1"/>
    <col min="3080" max="3080" width="13.28515625" style="365" customWidth="1"/>
    <col min="3081" max="3081" width="0" style="365" hidden="1" customWidth="1"/>
    <col min="3082" max="3082" width="20.140625" style="365" customWidth="1"/>
    <col min="3083" max="3083" width="14.42578125" style="365" bestFit="1" customWidth="1"/>
    <col min="3084" max="3084" width="14" style="365" bestFit="1" customWidth="1"/>
    <col min="3085" max="3085" width="12.28515625" style="365" bestFit="1" customWidth="1"/>
    <col min="3086" max="3110" width="9.140625" style="365" customWidth="1"/>
    <col min="3111" max="3305" width="8.85546875" style="365"/>
    <col min="3306" max="3306" width="44.5703125" style="365" customWidth="1"/>
    <col min="3307" max="3307" width="14.28515625" style="365" bestFit="1" customWidth="1"/>
    <col min="3308" max="3308" width="1.7109375" style="365" customWidth="1"/>
    <col min="3309" max="3309" width="14.85546875" style="365" customWidth="1"/>
    <col min="3310" max="3310" width="0" style="365" hidden="1" customWidth="1"/>
    <col min="3311" max="3311" width="17.42578125" style="365" customWidth="1"/>
    <col min="3312" max="3312" width="0" style="365" hidden="1" customWidth="1"/>
    <col min="3313" max="3313" width="12.85546875" style="365" customWidth="1"/>
    <col min="3314" max="3314" width="0" style="365" hidden="1" customWidth="1"/>
    <col min="3315" max="3315" width="14.42578125" style="365" customWidth="1"/>
    <col min="3316" max="3316" width="0" style="365" hidden="1" customWidth="1"/>
    <col min="3317" max="3317" width="17.42578125" style="365" customWidth="1"/>
    <col min="3318" max="3318" width="0" style="365" hidden="1" customWidth="1"/>
    <col min="3319" max="3319" width="14" style="365" customWidth="1"/>
    <col min="3320" max="3320" width="14.28515625" style="365" bestFit="1" customWidth="1"/>
    <col min="3321" max="3321" width="0" style="365" hidden="1" customWidth="1"/>
    <col min="3322" max="3322" width="15.5703125" style="365" customWidth="1"/>
    <col min="3323" max="3323" width="44.5703125" style="365" customWidth="1"/>
    <col min="3324" max="3324" width="14.28515625" style="365" bestFit="1" customWidth="1"/>
    <col min="3325" max="3325" width="0" style="365" hidden="1" customWidth="1"/>
    <col min="3326" max="3326" width="18.140625" style="365" customWidth="1"/>
    <col min="3327" max="3327" width="0" style="365" hidden="1" customWidth="1"/>
    <col min="3328" max="3328" width="14" style="365" customWidth="1"/>
    <col min="3329" max="3329" width="0" style="365" hidden="1" customWidth="1"/>
    <col min="3330" max="3330" width="20.85546875" style="365" customWidth="1"/>
    <col min="3331" max="3331" width="0" style="365" hidden="1" customWidth="1"/>
    <col min="3332" max="3332" width="13.28515625" style="365" customWidth="1"/>
    <col min="3333" max="3333" width="0" style="365" hidden="1" customWidth="1"/>
    <col min="3334" max="3334" width="15" style="365" customWidth="1"/>
    <col min="3335" max="3335" width="0" style="365" hidden="1" customWidth="1"/>
    <col min="3336" max="3336" width="13.28515625" style="365" customWidth="1"/>
    <col min="3337" max="3337" width="0" style="365" hidden="1" customWidth="1"/>
    <col min="3338" max="3338" width="20.140625" style="365" customWidth="1"/>
    <col min="3339" max="3339" width="14.42578125" style="365" bestFit="1" customWidth="1"/>
    <col min="3340" max="3340" width="14" style="365" bestFit="1" customWidth="1"/>
    <col min="3341" max="3341" width="12.28515625" style="365" bestFit="1" customWidth="1"/>
    <col min="3342" max="3366" width="9.140625" style="365" customWidth="1"/>
    <col min="3367" max="3561" width="8.85546875" style="365"/>
    <col min="3562" max="3562" width="44.5703125" style="365" customWidth="1"/>
    <col min="3563" max="3563" width="14.28515625" style="365" bestFit="1" customWidth="1"/>
    <col min="3564" max="3564" width="1.7109375" style="365" customWidth="1"/>
    <col min="3565" max="3565" width="14.85546875" style="365" customWidth="1"/>
    <col min="3566" max="3566" width="0" style="365" hidden="1" customWidth="1"/>
    <col min="3567" max="3567" width="17.42578125" style="365" customWidth="1"/>
    <col min="3568" max="3568" width="0" style="365" hidden="1" customWidth="1"/>
    <col min="3569" max="3569" width="12.85546875" style="365" customWidth="1"/>
    <col min="3570" max="3570" width="0" style="365" hidden="1" customWidth="1"/>
    <col min="3571" max="3571" width="14.42578125" style="365" customWidth="1"/>
    <col min="3572" max="3572" width="0" style="365" hidden="1" customWidth="1"/>
    <col min="3573" max="3573" width="17.42578125" style="365" customWidth="1"/>
    <col min="3574" max="3574" width="0" style="365" hidden="1" customWidth="1"/>
    <col min="3575" max="3575" width="14" style="365" customWidth="1"/>
    <col min="3576" max="3576" width="14.28515625" style="365" bestFit="1" customWidth="1"/>
    <col min="3577" max="3577" width="0" style="365" hidden="1" customWidth="1"/>
    <col min="3578" max="3578" width="15.5703125" style="365" customWidth="1"/>
    <col min="3579" max="3579" width="44.5703125" style="365" customWidth="1"/>
    <col min="3580" max="3580" width="14.28515625" style="365" bestFit="1" customWidth="1"/>
    <col min="3581" max="3581" width="0" style="365" hidden="1" customWidth="1"/>
    <col min="3582" max="3582" width="18.140625" style="365" customWidth="1"/>
    <col min="3583" max="3583" width="0" style="365" hidden="1" customWidth="1"/>
    <col min="3584" max="3584" width="14" style="365" customWidth="1"/>
    <col min="3585" max="3585" width="0" style="365" hidden="1" customWidth="1"/>
    <col min="3586" max="3586" width="20.85546875" style="365" customWidth="1"/>
    <col min="3587" max="3587" width="0" style="365" hidden="1" customWidth="1"/>
    <col min="3588" max="3588" width="13.28515625" style="365" customWidth="1"/>
    <col min="3589" max="3589" width="0" style="365" hidden="1" customWidth="1"/>
    <col min="3590" max="3590" width="15" style="365" customWidth="1"/>
    <col min="3591" max="3591" width="0" style="365" hidden="1" customWidth="1"/>
    <col min="3592" max="3592" width="13.28515625" style="365" customWidth="1"/>
    <col min="3593" max="3593" width="0" style="365" hidden="1" customWidth="1"/>
    <col min="3594" max="3594" width="20.140625" style="365" customWidth="1"/>
    <col min="3595" max="3595" width="14.42578125" style="365" bestFit="1" customWidth="1"/>
    <col min="3596" max="3596" width="14" style="365" bestFit="1" customWidth="1"/>
    <col min="3597" max="3597" width="12.28515625" style="365" bestFit="1" customWidth="1"/>
    <col min="3598" max="3622" width="9.140625" style="365" customWidth="1"/>
    <col min="3623" max="3817" width="8.85546875" style="365"/>
    <col min="3818" max="3818" width="44.5703125" style="365" customWidth="1"/>
    <col min="3819" max="3819" width="14.28515625" style="365" bestFit="1" customWidth="1"/>
    <col min="3820" max="3820" width="1.7109375" style="365" customWidth="1"/>
    <col min="3821" max="3821" width="14.85546875" style="365" customWidth="1"/>
    <col min="3822" max="3822" width="0" style="365" hidden="1" customWidth="1"/>
    <col min="3823" max="3823" width="17.42578125" style="365" customWidth="1"/>
    <col min="3824" max="3824" width="0" style="365" hidden="1" customWidth="1"/>
    <col min="3825" max="3825" width="12.85546875" style="365" customWidth="1"/>
    <col min="3826" max="3826" width="0" style="365" hidden="1" customWidth="1"/>
    <col min="3827" max="3827" width="14.42578125" style="365" customWidth="1"/>
    <col min="3828" max="3828" width="0" style="365" hidden="1" customWidth="1"/>
    <col min="3829" max="3829" width="17.42578125" style="365" customWidth="1"/>
    <col min="3830" max="3830" width="0" style="365" hidden="1" customWidth="1"/>
    <col min="3831" max="3831" width="14" style="365" customWidth="1"/>
    <col min="3832" max="3832" width="14.28515625" style="365" bestFit="1" customWidth="1"/>
    <col min="3833" max="3833" width="0" style="365" hidden="1" customWidth="1"/>
    <col min="3834" max="3834" width="15.5703125" style="365" customWidth="1"/>
    <col min="3835" max="3835" width="44.5703125" style="365" customWidth="1"/>
    <col min="3836" max="3836" width="14.28515625" style="365" bestFit="1" customWidth="1"/>
    <col min="3837" max="3837" width="0" style="365" hidden="1" customWidth="1"/>
    <col min="3838" max="3838" width="18.140625" style="365" customWidth="1"/>
    <col min="3839" max="3839" width="0" style="365" hidden="1" customWidth="1"/>
    <col min="3840" max="3840" width="14" style="365" customWidth="1"/>
    <col min="3841" max="3841" width="0" style="365" hidden="1" customWidth="1"/>
    <col min="3842" max="3842" width="20.85546875" style="365" customWidth="1"/>
    <col min="3843" max="3843" width="0" style="365" hidden="1" customWidth="1"/>
    <col min="3844" max="3844" width="13.28515625" style="365" customWidth="1"/>
    <col min="3845" max="3845" width="0" style="365" hidden="1" customWidth="1"/>
    <col min="3846" max="3846" width="15" style="365" customWidth="1"/>
    <col min="3847" max="3847" width="0" style="365" hidden="1" customWidth="1"/>
    <col min="3848" max="3848" width="13.28515625" style="365" customWidth="1"/>
    <col min="3849" max="3849" width="0" style="365" hidden="1" customWidth="1"/>
    <col min="3850" max="3850" width="20.140625" style="365" customWidth="1"/>
    <col min="3851" max="3851" width="14.42578125" style="365" bestFit="1" customWidth="1"/>
    <col min="3852" max="3852" width="14" style="365" bestFit="1" customWidth="1"/>
    <col min="3853" max="3853" width="12.28515625" style="365" bestFit="1" customWidth="1"/>
    <col min="3854" max="3878" width="9.140625" style="365" customWidth="1"/>
    <col min="3879" max="4073" width="8.85546875" style="365"/>
    <col min="4074" max="4074" width="44.5703125" style="365" customWidth="1"/>
    <col min="4075" max="4075" width="14.28515625" style="365" bestFit="1" customWidth="1"/>
    <col min="4076" max="4076" width="1.7109375" style="365" customWidth="1"/>
    <col min="4077" max="4077" width="14.85546875" style="365" customWidth="1"/>
    <col min="4078" max="4078" width="0" style="365" hidden="1" customWidth="1"/>
    <col min="4079" max="4079" width="17.42578125" style="365" customWidth="1"/>
    <col min="4080" max="4080" width="0" style="365" hidden="1" customWidth="1"/>
    <col min="4081" max="4081" width="12.85546875" style="365" customWidth="1"/>
    <col min="4082" max="4082" width="0" style="365" hidden="1" customWidth="1"/>
    <col min="4083" max="4083" width="14.42578125" style="365" customWidth="1"/>
    <col min="4084" max="4084" width="0" style="365" hidden="1" customWidth="1"/>
    <col min="4085" max="4085" width="17.42578125" style="365" customWidth="1"/>
    <col min="4086" max="4086" width="0" style="365" hidden="1" customWidth="1"/>
    <col min="4087" max="4087" width="14" style="365" customWidth="1"/>
    <col min="4088" max="4088" width="14.28515625" style="365" bestFit="1" customWidth="1"/>
    <col min="4089" max="4089" width="0" style="365" hidden="1" customWidth="1"/>
    <col min="4090" max="4090" width="15.5703125" style="365" customWidth="1"/>
    <col min="4091" max="4091" width="44.5703125" style="365" customWidth="1"/>
    <col min="4092" max="4092" width="14.28515625" style="365" bestFit="1" customWidth="1"/>
    <col min="4093" max="4093" width="0" style="365" hidden="1" customWidth="1"/>
    <col min="4094" max="4094" width="18.140625" style="365" customWidth="1"/>
    <col min="4095" max="4095" width="0" style="365" hidden="1" customWidth="1"/>
    <col min="4096" max="4096" width="14" style="365" customWidth="1"/>
    <col min="4097" max="4097" width="0" style="365" hidden="1" customWidth="1"/>
    <col min="4098" max="4098" width="20.85546875" style="365" customWidth="1"/>
    <col min="4099" max="4099" width="0" style="365" hidden="1" customWidth="1"/>
    <col min="4100" max="4100" width="13.28515625" style="365" customWidth="1"/>
    <col min="4101" max="4101" width="0" style="365" hidden="1" customWidth="1"/>
    <col min="4102" max="4102" width="15" style="365" customWidth="1"/>
    <col min="4103" max="4103" width="0" style="365" hidden="1" customWidth="1"/>
    <col min="4104" max="4104" width="13.28515625" style="365" customWidth="1"/>
    <col min="4105" max="4105" width="0" style="365" hidden="1" customWidth="1"/>
    <col min="4106" max="4106" width="20.140625" style="365" customWidth="1"/>
    <col min="4107" max="4107" width="14.42578125" style="365" bestFit="1" customWidth="1"/>
    <col min="4108" max="4108" width="14" style="365" bestFit="1" customWidth="1"/>
    <col min="4109" max="4109" width="12.28515625" style="365" bestFit="1" customWidth="1"/>
    <col min="4110" max="4134" width="9.140625" style="365" customWidth="1"/>
    <col min="4135" max="4329" width="8.85546875" style="365"/>
    <col min="4330" max="4330" width="44.5703125" style="365" customWidth="1"/>
    <col min="4331" max="4331" width="14.28515625" style="365" bestFit="1" customWidth="1"/>
    <col min="4332" max="4332" width="1.7109375" style="365" customWidth="1"/>
    <col min="4333" max="4333" width="14.85546875" style="365" customWidth="1"/>
    <col min="4334" max="4334" width="0" style="365" hidden="1" customWidth="1"/>
    <col min="4335" max="4335" width="17.42578125" style="365" customWidth="1"/>
    <col min="4336" max="4336" width="0" style="365" hidden="1" customWidth="1"/>
    <col min="4337" max="4337" width="12.85546875" style="365" customWidth="1"/>
    <col min="4338" max="4338" width="0" style="365" hidden="1" customWidth="1"/>
    <col min="4339" max="4339" width="14.42578125" style="365" customWidth="1"/>
    <col min="4340" max="4340" width="0" style="365" hidden="1" customWidth="1"/>
    <col min="4341" max="4341" width="17.42578125" style="365" customWidth="1"/>
    <col min="4342" max="4342" width="0" style="365" hidden="1" customWidth="1"/>
    <col min="4343" max="4343" width="14" style="365" customWidth="1"/>
    <col min="4344" max="4344" width="14.28515625" style="365" bestFit="1" customWidth="1"/>
    <col min="4345" max="4345" width="0" style="365" hidden="1" customWidth="1"/>
    <col min="4346" max="4346" width="15.5703125" style="365" customWidth="1"/>
    <col min="4347" max="4347" width="44.5703125" style="365" customWidth="1"/>
    <col min="4348" max="4348" width="14.28515625" style="365" bestFit="1" customWidth="1"/>
    <col min="4349" max="4349" width="0" style="365" hidden="1" customWidth="1"/>
    <col min="4350" max="4350" width="18.140625" style="365" customWidth="1"/>
    <col min="4351" max="4351" width="0" style="365" hidden="1" customWidth="1"/>
    <col min="4352" max="4352" width="14" style="365" customWidth="1"/>
    <col min="4353" max="4353" width="0" style="365" hidden="1" customWidth="1"/>
    <col min="4354" max="4354" width="20.85546875" style="365" customWidth="1"/>
    <col min="4355" max="4355" width="0" style="365" hidden="1" customWidth="1"/>
    <col min="4356" max="4356" width="13.28515625" style="365" customWidth="1"/>
    <col min="4357" max="4357" width="0" style="365" hidden="1" customWidth="1"/>
    <col min="4358" max="4358" width="15" style="365" customWidth="1"/>
    <col min="4359" max="4359" width="0" style="365" hidden="1" customWidth="1"/>
    <col min="4360" max="4360" width="13.28515625" style="365" customWidth="1"/>
    <col min="4361" max="4361" width="0" style="365" hidden="1" customWidth="1"/>
    <col min="4362" max="4362" width="20.140625" style="365" customWidth="1"/>
    <col min="4363" max="4363" width="14.42578125" style="365" bestFit="1" customWidth="1"/>
    <col min="4364" max="4364" width="14" style="365" bestFit="1" customWidth="1"/>
    <col min="4365" max="4365" width="12.28515625" style="365" bestFit="1" customWidth="1"/>
    <col min="4366" max="4390" width="9.140625" style="365" customWidth="1"/>
    <col min="4391" max="4585" width="8.85546875" style="365"/>
    <col min="4586" max="4586" width="44.5703125" style="365" customWidth="1"/>
    <col min="4587" max="4587" width="14.28515625" style="365" bestFit="1" customWidth="1"/>
    <col min="4588" max="4588" width="1.7109375" style="365" customWidth="1"/>
    <col min="4589" max="4589" width="14.85546875" style="365" customWidth="1"/>
    <col min="4590" max="4590" width="0" style="365" hidden="1" customWidth="1"/>
    <col min="4591" max="4591" width="17.42578125" style="365" customWidth="1"/>
    <col min="4592" max="4592" width="0" style="365" hidden="1" customWidth="1"/>
    <col min="4593" max="4593" width="12.85546875" style="365" customWidth="1"/>
    <col min="4594" max="4594" width="0" style="365" hidden="1" customWidth="1"/>
    <col min="4595" max="4595" width="14.42578125" style="365" customWidth="1"/>
    <col min="4596" max="4596" width="0" style="365" hidden="1" customWidth="1"/>
    <col min="4597" max="4597" width="17.42578125" style="365" customWidth="1"/>
    <col min="4598" max="4598" width="0" style="365" hidden="1" customWidth="1"/>
    <col min="4599" max="4599" width="14" style="365" customWidth="1"/>
    <col min="4600" max="4600" width="14.28515625" style="365" bestFit="1" customWidth="1"/>
    <col min="4601" max="4601" width="0" style="365" hidden="1" customWidth="1"/>
    <col min="4602" max="4602" width="15.5703125" style="365" customWidth="1"/>
    <col min="4603" max="4603" width="44.5703125" style="365" customWidth="1"/>
    <col min="4604" max="4604" width="14.28515625" style="365" bestFit="1" customWidth="1"/>
    <col min="4605" max="4605" width="0" style="365" hidden="1" customWidth="1"/>
    <col min="4606" max="4606" width="18.140625" style="365" customWidth="1"/>
    <col min="4607" max="4607" width="0" style="365" hidden="1" customWidth="1"/>
    <col min="4608" max="4608" width="14" style="365" customWidth="1"/>
    <col min="4609" max="4609" width="0" style="365" hidden="1" customWidth="1"/>
    <col min="4610" max="4610" width="20.85546875" style="365" customWidth="1"/>
    <col min="4611" max="4611" width="0" style="365" hidden="1" customWidth="1"/>
    <col min="4612" max="4612" width="13.28515625" style="365" customWidth="1"/>
    <col min="4613" max="4613" width="0" style="365" hidden="1" customWidth="1"/>
    <col min="4614" max="4614" width="15" style="365" customWidth="1"/>
    <col min="4615" max="4615" width="0" style="365" hidden="1" customWidth="1"/>
    <col min="4616" max="4616" width="13.28515625" style="365" customWidth="1"/>
    <col min="4617" max="4617" width="0" style="365" hidden="1" customWidth="1"/>
    <col min="4618" max="4618" width="20.140625" style="365" customWidth="1"/>
    <col min="4619" max="4619" width="14.42578125" style="365" bestFit="1" customWidth="1"/>
    <col min="4620" max="4620" width="14" style="365" bestFit="1" customWidth="1"/>
    <col min="4621" max="4621" width="12.28515625" style="365" bestFit="1" customWidth="1"/>
    <col min="4622" max="4646" width="9.140625" style="365" customWidth="1"/>
    <col min="4647" max="4841" width="8.85546875" style="365"/>
    <col min="4842" max="4842" width="44.5703125" style="365" customWidth="1"/>
    <col min="4843" max="4843" width="14.28515625" style="365" bestFit="1" customWidth="1"/>
    <col min="4844" max="4844" width="1.7109375" style="365" customWidth="1"/>
    <col min="4845" max="4845" width="14.85546875" style="365" customWidth="1"/>
    <col min="4846" max="4846" width="0" style="365" hidden="1" customWidth="1"/>
    <col min="4847" max="4847" width="17.42578125" style="365" customWidth="1"/>
    <col min="4848" max="4848" width="0" style="365" hidden="1" customWidth="1"/>
    <col min="4849" max="4849" width="12.85546875" style="365" customWidth="1"/>
    <col min="4850" max="4850" width="0" style="365" hidden="1" customWidth="1"/>
    <col min="4851" max="4851" width="14.42578125" style="365" customWidth="1"/>
    <col min="4852" max="4852" width="0" style="365" hidden="1" customWidth="1"/>
    <col min="4853" max="4853" width="17.42578125" style="365" customWidth="1"/>
    <col min="4854" max="4854" width="0" style="365" hidden="1" customWidth="1"/>
    <col min="4855" max="4855" width="14" style="365" customWidth="1"/>
    <col min="4856" max="4856" width="14.28515625" style="365" bestFit="1" customWidth="1"/>
    <col min="4857" max="4857" width="0" style="365" hidden="1" customWidth="1"/>
    <col min="4858" max="4858" width="15.5703125" style="365" customWidth="1"/>
    <col min="4859" max="4859" width="44.5703125" style="365" customWidth="1"/>
    <col min="4860" max="4860" width="14.28515625" style="365" bestFit="1" customWidth="1"/>
    <col min="4861" max="4861" width="0" style="365" hidden="1" customWidth="1"/>
    <col min="4862" max="4862" width="18.140625" style="365" customWidth="1"/>
    <col min="4863" max="4863" width="0" style="365" hidden="1" customWidth="1"/>
    <col min="4864" max="4864" width="14" style="365" customWidth="1"/>
    <col min="4865" max="4865" width="0" style="365" hidden="1" customWidth="1"/>
    <col min="4866" max="4866" width="20.85546875" style="365" customWidth="1"/>
    <col min="4867" max="4867" width="0" style="365" hidden="1" customWidth="1"/>
    <col min="4868" max="4868" width="13.28515625" style="365" customWidth="1"/>
    <col min="4869" max="4869" width="0" style="365" hidden="1" customWidth="1"/>
    <col min="4870" max="4870" width="15" style="365" customWidth="1"/>
    <col min="4871" max="4871" width="0" style="365" hidden="1" customWidth="1"/>
    <col min="4872" max="4872" width="13.28515625" style="365" customWidth="1"/>
    <col min="4873" max="4873" width="0" style="365" hidden="1" customWidth="1"/>
    <col min="4874" max="4874" width="20.140625" style="365" customWidth="1"/>
    <col min="4875" max="4875" width="14.42578125" style="365" bestFit="1" customWidth="1"/>
    <col min="4876" max="4876" width="14" style="365" bestFit="1" customWidth="1"/>
    <col min="4877" max="4877" width="12.28515625" style="365" bestFit="1" customWidth="1"/>
    <col min="4878" max="4902" width="9.140625" style="365" customWidth="1"/>
    <col min="4903" max="5097" width="8.85546875" style="365"/>
    <col min="5098" max="5098" width="44.5703125" style="365" customWidth="1"/>
    <col min="5099" max="5099" width="14.28515625" style="365" bestFit="1" customWidth="1"/>
    <col min="5100" max="5100" width="1.7109375" style="365" customWidth="1"/>
    <col min="5101" max="5101" width="14.85546875" style="365" customWidth="1"/>
    <col min="5102" max="5102" width="0" style="365" hidden="1" customWidth="1"/>
    <col min="5103" max="5103" width="17.42578125" style="365" customWidth="1"/>
    <col min="5104" max="5104" width="0" style="365" hidden="1" customWidth="1"/>
    <col min="5105" max="5105" width="12.85546875" style="365" customWidth="1"/>
    <col min="5106" max="5106" width="0" style="365" hidden="1" customWidth="1"/>
    <col min="5107" max="5107" width="14.42578125" style="365" customWidth="1"/>
    <col min="5108" max="5108" width="0" style="365" hidden="1" customWidth="1"/>
    <col min="5109" max="5109" width="17.42578125" style="365" customWidth="1"/>
    <col min="5110" max="5110" width="0" style="365" hidden="1" customWidth="1"/>
    <col min="5111" max="5111" width="14" style="365" customWidth="1"/>
    <col min="5112" max="5112" width="14.28515625" style="365" bestFit="1" customWidth="1"/>
    <col min="5113" max="5113" width="0" style="365" hidden="1" customWidth="1"/>
    <col min="5114" max="5114" width="15.5703125" style="365" customWidth="1"/>
    <col min="5115" max="5115" width="44.5703125" style="365" customWidth="1"/>
    <col min="5116" max="5116" width="14.28515625" style="365" bestFit="1" customWidth="1"/>
    <col min="5117" max="5117" width="0" style="365" hidden="1" customWidth="1"/>
    <col min="5118" max="5118" width="18.140625" style="365" customWidth="1"/>
    <col min="5119" max="5119" width="0" style="365" hidden="1" customWidth="1"/>
    <col min="5120" max="5120" width="14" style="365" customWidth="1"/>
    <col min="5121" max="5121" width="0" style="365" hidden="1" customWidth="1"/>
    <col min="5122" max="5122" width="20.85546875" style="365" customWidth="1"/>
    <col min="5123" max="5123" width="0" style="365" hidden="1" customWidth="1"/>
    <col min="5124" max="5124" width="13.28515625" style="365" customWidth="1"/>
    <col min="5125" max="5125" width="0" style="365" hidden="1" customWidth="1"/>
    <col min="5126" max="5126" width="15" style="365" customWidth="1"/>
    <col min="5127" max="5127" width="0" style="365" hidden="1" customWidth="1"/>
    <col min="5128" max="5128" width="13.28515625" style="365" customWidth="1"/>
    <col min="5129" max="5129" width="0" style="365" hidden="1" customWidth="1"/>
    <col min="5130" max="5130" width="20.140625" style="365" customWidth="1"/>
    <col min="5131" max="5131" width="14.42578125" style="365" bestFit="1" customWidth="1"/>
    <col min="5132" max="5132" width="14" style="365" bestFit="1" customWidth="1"/>
    <col min="5133" max="5133" width="12.28515625" style="365" bestFit="1" customWidth="1"/>
    <col min="5134" max="5158" width="9.140625" style="365" customWidth="1"/>
    <col min="5159" max="5353" width="8.85546875" style="365"/>
    <col min="5354" max="5354" width="44.5703125" style="365" customWidth="1"/>
    <col min="5355" max="5355" width="14.28515625" style="365" bestFit="1" customWidth="1"/>
    <col min="5356" max="5356" width="1.7109375" style="365" customWidth="1"/>
    <col min="5357" max="5357" width="14.85546875" style="365" customWidth="1"/>
    <col min="5358" max="5358" width="0" style="365" hidden="1" customWidth="1"/>
    <col min="5359" max="5359" width="17.42578125" style="365" customWidth="1"/>
    <col min="5360" max="5360" width="0" style="365" hidden="1" customWidth="1"/>
    <col min="5361" max="5361" width="12.85546875" style="365" customWidth="1"/>
    <col min="5362" max="5362" width="0" style="365" hidden="1" customWidth="1"/>
    <col min="5363" max="5363" width="14.42578125" style="365" customWidth="1"/>
    <col min="5364" max="5364" width="0" style="365" hidden="1" customWidth="1"/>
    <col min="5365" max="5365" width="17.42578125" style="365" customWidth="1"/>
    <col min="5366" max="5366" width="0" style="365" hidden="1" customWidth="1"/>
    <col min="5367" max="5367" width="14" style="365" customWidth="1"/>
    <col min="5368" max="5368" width="14.28515625" style="365" bestFit="1" customWidth="1"/>
    <col min="5369" max="5369" width="0" style="365" hidden="1" customWidth="1"/>
    <col min="5370" max="5370" width="15.5703125" style="365" customWidth="1"/>
    <col min="5371" max="5371" width="44.5703125" style="365" customWidth="1"/>
    <col min="5372" max="5372" width="14.28515625" style="365" bestFit="1" customWidth="1"/>
    <col min="5373" max="5373" width="0" style="365" hidden="1" customWidth="1"/>
    <col min="5374" max="5374" width="18.140625" style="365" customWidth="1"/>
    <col min="5375" max="5375" width="0" style="365" hidden="1" customWidth="1"/>
    <col min="5376" max="5376" width="14" style="365" customWidth="1"/>
    <col min="5377" max="5377" width="0" style="365" hidden="1" customWidth="1"/>
    <col min="5378" max="5378" width="20.85546875" style="365" customWidth="1"/>
    <col min="5379" max="5379" width="0" style="365" hidden="1" customWidth="1"/>
    <col min="5380" max="5380" width="13.28515625" style="365" customWidth="1"/>
    <col min="5381" max="5381" width="0" style="365" hidden="1" customWidth="1"/>
    <col min="5382" max="5382" width="15" style="365" customWidth="1"/>
    <col min="5383" max="5383" width="0" style="365" hidden="1" customWidth="1"/>
    <col min="5384" max="5384" width="13.28515625" style="365" customWidth="1"/>
    <col min="5385" max="5385" width="0" style="365" hidden="1" customWidth="1"/>
    <col min="5386" max="5386" width="20.140625" style="365" customWidth="1"/>
    <col min="5387" max="5387" width="14.42578125" style="365" bestFit="1" customWidth="1"/>
    <col min="5388" max="5388" width="14" style="365" bestFit="1" customWidth="1"/>
    <col min="5389" max="5389" width="12.28515625" style="365" bestFit="1" customWidth="1"/>
    <col min="5390" max="5414" width="9.140625" style="365" customWidth="1"/>
    <col min="5415" max="5609" width="8.85546875" style="365"/>
    <col min="5610" max="5610" width="44.5703125" style="365" customWidth="1"/>
    <col min="5611" max="5611" width="14.28515625" style="365" bestFit="1" customWidth="1"/>
    <col min="5612" max="5612" width="1.7109375" style="365" customWidth="1"/>
    <col min="5613" max="5613" width="14.85546875" style="365" customWidth="1"/>
    <col min="5614" max="5614" width="0" style="365" hidden="1" customWidth="1"/>
    <col min="5615" max="5615" width="17.42578125" style="365" customWidth="1"/>
    <col min="5616" max="5616" width="0" style="365" hidden="1" customWidth="1"/>
    <col min="5617" max="5617" width="12.85546875" style="365" customWidth="1"/>
    <col min="5618" max="5618" width="0" style="365" hidden="1" customWidth="1"/>
    <col min="5619" max="5619" width="14.42578125" style="365" customWidth="1"/>
    <col min="5620" max="5620" width="0" style="365" hidden="1" customWidth="1"/>
    <col min="5621" max="5621" width="17.42578125" style="365" customWidth="1"/>
    <col min="5622" max="5622" width="0" style="365" hidden="1" customWidth="1"/>
    <col min="5623" max="5623" width="14" style="365" customWidth="1"/>
    <col min="5624" max="5624" width="14.28515625" style="365" bestFit="1" customWidth="1"/>
    <col min="5625" max="5625" width="0" style="365" hidden="1" customWidth="1"/>
    <col min="5626" max="5626" width="15.5703125" style="365" customWidth="1"/>
    <col min="5627" max="5627" width="44.5703125" style="365" customWidth="1"/>
    <col min="5628" max="5628" width="14.28515625" style="365" bestFit="1" customWidth="1"/>
    <col min="5629" max="5629" width="0" style="365" hidden="1" customWidth="1"/>
    <col min="5630" max="5630" width="18.140625" style="365" customWidth="1"/>
    <col min="5631" max="5631" width="0" style="365" hidden="1" customWidth="1"/>
    <col min="5632" max="5632" width="14" style="365" customWidth="1"/>
    <col min="5633" max="5633" width="0" style="365" hidden="1" customWidth="1"/>
    <col min="5634" max="5634" width="20.85546875" style="365" customWidth="1"/>
    <col min="5635" max="5635" width="0" style="365" hidden="1" customWidth="1"/>
    <col min="5636" max="5636" width="13.28515625" style="365" customWidth="1"/>
    <col min="5637" max="5637" width="0" style="365" hidden="1" customWidth="1"/>
    <col min="5638" max="5638" width="15" style="365" customWidth="1"/>
    <col min="5639" max="5639" width="0" style="365" hidden="1" customWidth="1"/>
    <col min="5640" max="5640" width="13.28515625" style="365" customWidth="1"/>
    <col min="5641" max="5641" width="0" style="365" hidden="1" customWidth="1"/>
    <col min="5642" max="5642" width="20.140625" style="365" customWidth="1"/>
    <col min="5643" max="5643" width="14.42578125" style="365" bestFit="1" customWidth="1"/>
    <col min="5644" max="5644" width="14" style="365" bestFit="1" customWidth="1"/>
    <col min="5645" max="5645" width="12.28515625" style="365" bestFit="1" customWidth="1"/>
    <col min="5646" max="5670" width="9.140625" style="365" customWidth="1"/>
    <col min="5671" max="5865" width="8.85546875" style="365"/>
    <col min="5866" max="5866" width="44.5703125" style="365" customWidth="1"/>
    <col min="5867" max="5867" width="14.28515625" style="365" bestFit="1" customWidth="1"/>
    <col min="5868" max="5868" width="1.7109375" style="365" customWidth="1"/>
    <col min="5869" max="5869" width="14.85546875" style="365" customWidth="1"/>
    <col min="5870" max="5870" width="0" style="365" hidden="1" customWidth="1"/>
    <col min="5871" max="5871" width="17.42578125" style="365" customWidth="1"/>
    <col min="5872" max="5872" width="0" style="365" hidden="1" customWidth="1"/>
    <col min="5873" max="5873" width="12.85546875" style="365" customWidth="1"/>
    <col min="5874" max="5874" width="0" style="365" hidden="1" customWidth="1"/>
    <col min="5875" max="5875" width="14.42578125" style="365" customWidth="1"/>
    <col min="5876" max="5876" width="0" style="365" hidden="1" customWidth="1"/>
    <col min="5877" max="5877" width="17.42578125" style="365" customWidth="1"/>
    <col min="5878" max="5878" width="0" style="365" hidden="1" customWidth="1"/>
    <col min="5879" max="5879" width="14" style="365" customWidth="1"/>
    <col min="5880" max="5880" width="14.28515625" style="365" bestFit="1" customWidth="1"/>
    <col min="5881" max="5881" width="0" style="365" hidden="1" customWidth="1"/>
    <col min="5882" max="5882" width="15.5703125" style="365" customWidth="1"/>
    <col min="5883" max="5883" width="44.5703125" style="365" customWidth="1"/>
    <col min="5884" max="5884" width="14.28515625" style="365" bestFit="1" customWidth="1"/>
    <col min="5885" max="5885" width="0" style="365" hidden="1" customWidth="1"/>
    <col min="5886" max="5886" width="18.140625" style="365" customWidth="1"/>
    <col min="5887" max="5887" width="0" style="365" hidden="1" customWidth="1"/>
    <col min="5888" max="5888" width="14" style="365" customWidth="1"/>
    <col min="5889" max="5889" width="0" style="365" hidden="1" customWidth="1"/>
    <col min="5890" max="5890" width="20.85546875" style="365" customWidth="1"/>
    <col min="5891" max="5891" width="0" style="365" hidden="1" customWidth="1"/>
    <col min="5892" max="5892" width="13.28515625" style="365" customWidth="1"/>
    <col min="5893" max="5893" width="0" style="365" hidden="1" customWidth="1"/>
    <col min="5894" max="5894" width="15" style="365" customWidth="1"/>
    <col min="5895" max="5895" width="0" style="365" hidden="1" customWidth="1"/>
    <col min="5896" max="5896" width="13.28515625" style="365" customWidth="1"/>
    <col min="5897" max="5897" width="0" style="365" hidden="1" customWidth="1"/>
    <col min="5898" max="5898" width="20.140625" style="365" customWidth="1"/>
    <col min="5899" max="5899" width="14.42578125" style="365" bestFit="1" customWidth="1"/>
    <col min="5900" max="5900" width="14" style="365" bestFit="1" customWidth="1"/>
    <col min="5901" max="5901" width="12.28515625" style="365" bestFit="1" customWidth="1"/>
    <col min="5902" max="5926" width="9.140625" style="365" customWidth="1"/>
    <col min="5927" max="6121" width="8.85546875" style="365"/>
    <col min="6122" max="6122" width="44.5703125" style="365" customWidth="1"/>
    <col min="6123" max="6123" width="14.28515625" style="365" bestFit="1" customWidth="1"/>
    <col min="6124" max="6124" width="1.7109375" style="365" customWidth="1"/>
    <col min="6125" max="6125" width="14.85546875" style="365" customWidth="1"/>
    <col min="6126" max="6126" width="0" style="365" hidden="1" customWidth="1"/>
    <col min="6127" max="6127" width="17.42578125" style="365" customWidth="1"/>
    <col min="6128" max="6128" width="0" style="365" hidden="1" customWidth="1"/>
    <col min="6129" max="6129" width="12.85546875" style="365" customWidth="1"/>
    <col min="6130" max="6130" width="0" style="365" hidden="1" customWidth="1"/>
    <col min="6131" max="6131" width="14.42578125" style="365" customWidth="1"/>
    <col min="6132" max="6132" width="0" style="365" hidden="1" customWidth="1"/>
    <col min="6133" max="6133" width="17.42578125" style="365" customWidth="1"/>
    <col min="6134" max="6134" width="0" style="365" hidden="1" customWidth="1"/>
    <col min="6135" max="6135" width="14" style="365" customWidth="1"/>
    <col min="6136" max="6136" width="14.28515625" style="365" bestFit="1" customWidth="1"/>
    <col min="6137" max="6137" width="0" style="365" hidden="1" customWidth="1"/>
    <col min="6138" max="6138" width="15.5703125" style="365" customWidth="1"/>
    <col min="6139" max="6139" width="44.5703125" style="365" customWidth="1"/>
    <col min="6140" max="6140" width="14.28515625" style="365" bestFit="1" customWidth="1"/>
    <col min="6141" max="6141" width="0" style="365" hidden="1" customWidth="1"/>
    <col min="6142" max="6142" width="18.140625" style="365" customWidth="1"/>
    <col min="6143" max="6143" width="0" style="365" hidden="1" customWidth="1"/>
    <col min="6144" max="6144" width="14" style="365" customWidth="1"/>
    <col min="6145" max="6145" width="0" style="365" hidden="1" customWidth="1"/>
    <col min="6146" max="6146" width="20.85546875" style="365" customWidth="1"/>
    <col min="6147" max="6147" width="0" style="365" hidden="1" customWidth="1"/>
    <col min="6148" max="6148" width="13.28515625" style="365" customWidth="1"/>
    <col min="6149" max="6149" width="0" style="365" hidden="1" customWidth="1"/>
    <col min="6150" max="6150" width="15" style="365" customWidth="1"/>
    <col min="6151" max="6151" width="0" style="365" hidden="1" customWidth="1"/>
    <col min="6152" max="6152" width="13.28515625" style="365" customWidth="1"/>
    <col min="6153" max="6153" width="0" style="365" hidden="1" customWidth="1"/>
    <col min="6154" max="6154" width="20.140625" style="365" customWidth="1"/>
    <col min="6155" max="6155" width="14.42578125" style="365" bestFit="1" customWidth="1"/>
    <col min="6156" max="6156" width="14" style="365" bestFit="1" customWidth="1"/>
    <col min="6157" max="6157" width="12.28515625" style="365" bestFit="1" customWidth="1"/>
    <col min="6158" max="6182" width="9.140625" style="365" customWidth="1"/>
    <col min="6183" max="6377" width="8.85546875" style="365"/>
    <col min="6378" max="6378" width="44.5703125" style="365" customWidth="1"/>
    <col min="6379" max="6379" width="14.28515625" style="365" bestFit="1" customWidth="1"/>
    <col min="6380" max="6380" width="1.7109375" style="365" customWidth="1"/>
    <col min="6381" max="6381" width="14.85546875" style="365" customWidth="1"/>
    <col min="6382" max="6382" width="0" style="365" hidden="1" customWidth="1"/>
    <col min="6383" max="6383" width="17.42578125" style="365" customWidth="1"/>
    <col min="6384" max="6384" width="0" style="365" hidden="1" customWidth="1"/>
    <col min="6385" max="6385" width="12.85546875" style="365" customWidth="1"/>
    <col min="6386" max="6386" width="0" style="365" hidden="1" customWidth="1"/>
    <col min="6387" max="6387" width="14.42578125" style="365" customWidth="1"/>
    <col min="6388" max="6388" width="0" style="365" hidden="1" customWidth="1"/>
    <col min="6389" max="6389" width="17.42578125" style="365" customWidth="1"/>
    <col min="6390" max="6390" width="0" style="365" hidden="1" customWidth="1"/>
    <col min="6391" max="6391" width="14" style="365" customWidth="1"/>
    <col min="6392" max="6392" width="14.28515625" style="365" bestFit="1" customWidth="1"/>
    <col min="6393" max="6393" width="0" style="365" hidden="1" customWidth="1"/>
    <col min="6394" max="6394" width="15.5703125" style="365" customWidth="1"/>
    <col min="6395" max="6395" width="44.5703125" style="365" customWidth="1"/>
    <col min="6396" max="6396" width="14.28515625" style="365" bestFit="1" customWidth="1"/>
    <col min="6397" max="6397" width="0" style="365" hidden="1" customWidth="1"/>
    <col min="6398" max="6398" width="18.140625" style="365" customWidth="1"/>
    <col min="6399" max="6399" width="0" style="365" hidden="1" customWidth="1"/>
    <col min="6400" max="6400" width="14" style="365" customWidth="1"/>
    <col min="6401" max="6401" width="0" style="365" hidden="1" customWidth="1"/>
    <col min="6402" max="6402" width="20.85546875" style="365" customWidth="1"/>
    <col min="6403" max="6403" width="0" style="365" hidden="1" customWidth="1"/>
    <col min="6404" max="6404" width="13.28515625" style="365" customWidth="1"/>
    <col min="6405" max="6405" width="0" style="365" hidden="1" customWidth="1"/>
    <col min="6406" max="6406" width="15" style="365" customWidth="1"/>
    <col min="6407" max="6407" width="0" style="365" hidden="1" customWidth="1"/>
    <col min="6408" max="6408" width="13.28515625" style="365" customWidth="1"/>
    <col min="6409" max="6409" width="0" style="365" hidden="1" customWidth="1"/>
    <col min="6410" max="6410" width="20.140625" style="365" customWidth="1"/>
    <col min="6411" max="6411" width="14.42578125" style="365" bestFit="1" customWidth="1"/>
    <col min="6412" max="6412" width="14" style="365" bestFit="1" customWidth="1"/>
    <col min="6413" max="6413" width="12.28515625" style="365" bestFit="1" customWidth="1"/>
    <col min="6414" max="6438" width="9.140625" style="365" customWidth="1"/>
    <col min="6439" max="6633" width="8.85546875" style="365"/>
    <col min="6634" max="6634" width="44.5703125" style="365" customWidth="1"/>
    <col min="6635" max="6635" width="14.28515625" style="365" bestFit="1" customWidth="1"/>
    <col min="6636" max="6636" width="1.7109375" style="365" customWidth="1"/>
    <col min="6637" max="6637" width="14.85546875" style="365" customWidth="1"/>
    <col min="6638" max="6638" width="0" style="365" hidden="1" customWidth="1"/>
    <col min="6639" max="6639" width="17.42578125" style="365" customWidth="1"/>
    <col min="6640" max="6640" width="0" style="365" hidden="1" customWidth="1"/>
    <col min="6641" max="6641" width="12.85546875" style="365" customWidth="1"/>
    <col min="6642" max="6642" width="0" style="365" hidden="1" customWidth="1"/>
    <col min="6643" max="6643" width="14.42578125" style="365" customWidth="1"/>
    <col min="6644" max="6644" width="0" style="365" hidden="1" customWidth="1"/>
    <col min="6645" max="6645" width="17.42578125" style="365" customWidth="1"/>
    <col min="6646" max="6646" width="0" style="365" hidden="1" customWidth="1"/>
    <col min="6647" max="6647" width="14" style="365" customWidth="1"/>
    <col min="6648" max="6648" width="14.28515625" style="365" bestFit="1" customWidth="1"/>
    <col min="6649" max="6649" width="0" style="365" hidden="1" customWidth="1"/>
    <col min="6650" max="6650" width="15.5703125" style="365" customWidth="1"/>
    <col min="6651" max="6651" width="44.5703125" style="365" customWidth="1"/>
    <col min="6652" max="6652" width="14.28515625" style="365" bestFit="1" customWidth="1"/>
    <col min="6653" max="6653" width="0" style="365" hidden="1" customWidth="1"/>
    <col min="6654" max="6654" width="18.140625" style="365" customWidth="1"/>
    <col min="6655" max="6655" width="0" style="365" hidden="1" customWidth="1"/>
    <col min="6656" max="6656" width="14" style="365" customWidth="1"/>
    <col min="6657" max="6657" width="0" style="365" hidden="1" customWidth="1"/>
    <col min="6658" max="6658" width="20.85546875" style="365" customWidth="1"/>
    <col min="6659" max="6659" width="0" style="365" hidden="1" customWidth="1"/>
    <col min="6660" max="6660" width="13.28515625" style="365" customWidth="1"/>
    <col min="6661" max="6661" width="0" style="365" hidden="1" customWidth="1"/>
    <col min="6662" max="6662" width="15" style="365" customWidth="1"/>
    <col min="6663" max="6663" width="0" style="365" hidden="1" customWidth="1"/>
    <col min="6664" max="6664" width="13.28515625" style="365" customWidth="1"/>
    <col min="6665" max="6665" width="0" style="365" hidden="1" customWidth="1"/>
    <col min="6666" max="6666" width="20.140625" style="365" customWidth="1"/>
    <col min="6667" max="6667" width="14.42578125" style="365" bestFit="1" customWidth="1"/>
    <col min="6668" max="6668" width="14" style="365" bestFit="1" customWidth="1"/>
    <col min="6669" max="6669" width="12.28515625" style="365" bestFit="1" customWidth="1"/>
    <col min="6670" max="6694" width="9.140625" style="365" customWidth="1"/>
    <col min="6695" max="6889" width="8.85546875" style="365"/>
    <col min="6890" max="6890" width="44.5703125" style="365" customWidth="1"/>
    <col min="6891" max="6891" width="14.28515625" style="365" bestFit="1" customWidth="1"/>
    <col min="6892" max="6892" width="1.7109375" style="365" customWidth="1"/>
    <col min="6893" max="6893" width="14.85546875" style="365" customWidth="1"/>
    <col min="6894" max="6894" width="0" style="365" hidden="1" customWidth="1"/>
    <col min="6895" max="6895" width="17.42578125" style="365" customWidth="1"/>
    <col min="6896" max="6896" width="0" style="365" hidden="1" customWidth="1"/>
    <col min="6897" max="6897" width="12.85546875" style="365" customWidth="1"/>
    <col min="6898" max="6898" width="0" style="365" hidden="1" customWidth="1"/>
    <col min="6899" max="6899" width="14.42578125" style="365" customWidth="1"/>
    <col min="6900" max="6900" width="0" style="365" hidden="1" customWidth="1"/>
    <col min="6901" max="6901" width="17.42578125" style="365" customWidth="1"/>
    <col min="6902" max="6902" width="0" style="365" hidden="1" customWidth="1"/>
    <col min="6903" max="6903" width="14" style="365" customWidth="1"/>
    <col min="6904" max="6904" width="14.28515625" style="365" bestFit="1" customWidth="1"/>
    <col min="6905" max="6905" width="0" style="365" hidden="1" customWidth="1"/>
    <col min="6906" max="6906" width="15.5703125" style="365" customWidth="1"/>
    <col min="6907" max="6907" width="44.5703125" style="365" customWidth="1"/>
    <col min="6908" max="6908" width="14.28515625" style="365" bestFit="1" customWidth="1"/>
    <col min="6909" max="6909" width="0" style="365" hidden="1" customWidth="1"/>
    <col min="6910" max="6910" width="18.140625" style="365" customWidth="1"/>
    <col min="6911" max="6911" width="0" style="365" hidden="1" customWidth="1"/>
    <col min="6912" max="6912" width="14" style="365" customWidth="1"/>
    <col min="6913" max="6913" width="0" style="365" hidden="1" customWidth="1"/>
    <col min="6914" max="6914" width="20.85546875" style="365" customWidth="1"/>
    <col min="6915" max="6915" width="0" style="365" hidden="1" customWidth="1"/>
    <col min="6916" max="6916" width="13.28515625" style="365" customWidth="1"/>
    <col min="6917" max="6917" width="0" style="365" hidden="1" customWidth="1"/>
    <col min="6918" max="6918" width="15" style="365" customWidth="1"/>
    <col min="6919" max="6919" width="0" style="365" hidden="1" customWidth="1"/>
    <col min="6920" max="6920" width="13.28515625" style="365" customWidth="1"/>
    <col min="6921" max="6921" width="0" style="365" hidden="1" customWidth="1"/>
    <col min="6922" max="6922" width="20.140625" style="365" customWidth="1"/>
    <col min="6923" max="6923" width="14.42578125" style="365" bestFit="1" customWidth="1"/>
    <col min="6924" max="6924" width="14" style="365" bestFit="1" customWidth="1"/>
    <col min="6925" max="6925" width="12.28515625" style="365" bestFit="1" customWidth="1"/>
    <col min="6926" max="6950" width="9.140625" style="365" customWidth="1"/>
    <col min="6951" max="7145" width="8.85546875" style="365"/>
    <col min="7146" max="7146" width="44.5703125" style="365" customWidth="1"/>
    <col min="7147" max="7147" width="14.28515625" style="365" bestFit="1" customWidth="1"/>
    <col min="7148" max="7148" width="1.7109375" style="365" customWidth="1"/>
    <col min="7149" max="7149" width="14.85546875" style="365" customWidth="1"/>
    <col min="7150" max="7150" width="0" style="365" hidden="1" customWidth="1"/>
    <col min="7151" max="7151" width="17.42578125" style="365" customWidth="1"/>
    <col min="7152" max="7152" width="0" style="365" hidden="1" customWidth="1"/>
    <col min="7153" max="7153" width="12.85546875" style="365" customWidth="1"/>
    <col min="7154" max="7154" width="0" style="365" hidden="1" customWidth="1"/>
    <col min="7155" max="7155" width="14.42578125" style="365" customWidth="1"/>
    <col min="7156" max="7156" width="0" style="365" hidden="1" customWidth="1"/>
    <col min="7157" max="7157" width="17.42578125" style="365" customWidth="1"/>
    <col min="7158" max="7158" width="0" style="365" hidden="1" customWidth="1"/>
    <col min="7159" max="7159" width="14" style="365" customWidth="1"/>
    <col min="7160" max="7160" width="14.28515625" style="365" bestFit="1" customWidth="1"/>
    <col min="7161" max="7161" width="0" style="365" hidden="1" customWidth="1"/>
    <col min="7162" max="7162" width="15.5703125" style="365" customWidth="1"/>
    <col min="7163" max="7163" width="44.5703125" style="365" customWidth="1"/>
    <col min="7164" max="7164" width="14.28515625" style="365" bestFit="1" customWidth="1"/>
    <col min="7165" max="7165" width="0" style="365" hidden="1" customWidth="1"/>
    <col min="7166" max="7166" width="18.140625" style="365" customWidth="1"/>
    <col min="7167" max="7167" width="0" style="365" hidden="1" customWidth="1"/>
    <col min="7168" max="7168" width="14" style="365" customWidth="1"/>
    <col min="7169" max="7169" width="0" style="365" hidden="1" customWidth="1"/>
    <col min="7170" max="7170" width="20.85546875" style="365" customWidth="1"/>
    <col min="7171" max="7171" width="0" style="365" hidden="1" customWidth="1"/>
    <col min="7172" max="7172" width="13.28515625" style="365" customWidth="1"/>
    <col min="7173" max="7173" width="0" style="365" hidden="1" customWidth="1"/>
    <col min="7174" max="7174" width="15" style="365" customWidth="1"/>
    <col min="7175" max="7175" width="0" style="365" hidden="1" customWidth="1"/>
    <col min="7176" max="7176" width="13.28515625" style="365" customWidth="1"/>
    <col min="7177" max="7177" width="0" style="365" hidden="1" customWidth="1"/>
    <col min="7178" max="7178" width="20.140625" style="365" customWidth="1"/>
    <col min="7179" max="7179" width="14.42578125" style="365" bestFit="1" customWidth="1"/>
    <col min="7180" max="7180" width="14" style="365" bestFit="1" customWidth="1"/>
    <col min="7181" max="7181" width="12.28515625" style="365" bestFit="1" customWidth="1"/>
    <col min="7182" max="7206" width="9.140625" style="365" customWidth="1"/>
    <col min="7207" max="7401" width="8.85546875" style="365"/>
    <col min="7402" max="7402" width="44.5703125" style="365" customWidth="1"/>
    <col min="7403" max="7403" width="14.28515625" style="365" bestFit="1" customWidth="1"/>
    <col min="7404" max="7404" width="1.7109375" style="365" customWidth="1"/>
    <col min="7405" max="7405" width="14.85546875" style="365" customWidth="1"/>
    <col min="7406" max="7406" width="0" style="365" hidden="1" customWidth="1"/>
    <col min="7407" max="7407" width="17.42578125" style="365" customWidth="1"/>
    <col min="7408" max="7408" width="0" style="365" hidden="1" customWidth="1"/>
    <col min="7409" max="7409" width="12.85546875" style="365" customWidth="1"/>
    <col min="7410" max="7410" width="0" style="365" hidden="1" customWidth="1"/>
    <col min="7411" max="7411" width="14.42578125" style="365" customWidth="1"/>
    <col min="7412" max="7412" width="0" style="365" hidden="1" customWidth="1"/>
    <col min="7413" max="7413" width="17.42578125" style="365" customWidth="1"/>
    <col min="7414" max="7414" width="0" style="365" hidden="1" customWidth="1"/>
    <col min="7415" max="7415" width="14" style="365" customWidth="1"/>
    <col min="7416" max="7416" width="14.28515625" style="365" bestFit="1" customWidth="1"/>
    <col min="7417" max="7417" width="0" style="365" hidden="1" customWidth="1"/>
    <col min="7418" max="7418" width="15.5703125" style="365" customWidth="1"/>
    <col min="7419" max="7419" width="44.5703125" style="365" customWidth="1"/>
    <col min="7420" max="7420" width="14.28515625" style="365" bestFit="1" customWidth="1"/>
    <col min="7421" max="7421" width="0" style="365" hidden="1" customWidth="1"/>
    <col min="7422" max="7422" width="18.140625" style="365" customWidth="1"/>
    <col min="7423" max="7423" width="0" style="365" hidden="1" customWidth="1"/>
    <col min="7424" max="7424" width="14" style="365" customWidth="1"/>
    <col min="7425" max="7425" width="0" style="365" hidden="1" customWidth="1"/>
    <col min="7426" max="7426" width="20.85546875" style="365" customWidth="1"/>
    <col min="7427" max="7427" width="0" style="365" hidden="1" customWidth="1"/>
    <col min="7428" max="7428" width="13.28515625" style="365" customWidth="1"/>
    <col min="7429" max="7429" width="0" style="365" hidden="1" customWidth="1"/>
    <col min="7430" max="7430" width="15" style="365" customWidth="1"/>
    <col min="7431" max="7431" width="0" style="365" hidden="1" customWidth="1"/>
    <col min="7432" max="7432" width="13.28515625" style="365" customWidth="1"/>
    <col min="7433" max="7433" width="0" style="365" hidden="1" customWidth="1"/>
    <col min="7434" max="7434" width="20.140625" style="365" customWidth="1"/>
    <col min="7435" max="7435" width="14.42578125" style="365" bestFit="1" customWidth="1"/>
    <col min="7436" max="7436" width="14" style="365" bestFit="1" customWidth="1"/>
    <col min="7437" max="7437" width="12.28515625" style="365" bestFit="1" customWidth="1"/>
    <col min="7438" max="7462" width="9.140625" style="365" customWidth="1"/>
    <col min="7463" max="7657" width="8.85546875" style="365"/>
    <col min="7658" max="7658" width="44.5703125" style="365" customWidth="1"/>
    <col min="7659" max="7659" width="14.28515625" style="365" bestFit="1" customWidth="1"/>
    <col min="7660" max="7660" width="1.7109375" style="365" customWidth="1"/>
    <col min="7661" max="7661" width="14.85546875" style="365" customWidth="1"/>
    <col min="7662" max="7662" width="0" style="365" hidden="1" customWidth="1"/>
    <col min="7663" max="7663" width="17.42578125" style="365" customWidth="1"/>
    <col min="7664" max="7664" width="0" style="365" hidden="1" customWidth="1"/>
    <col min="7665" max="7665" width="12.85546875" style="365" customWidth="1"/>
    <col min="7666" max="7666" width="0" style="365" hidden="1" customWidth="1"/>
    <col min="7667" max="7667" width="14.42578125" style="365" customWidth="1"/>
    <col min="7668" max="7668" width="0" style="365" hidden="1" customWidth="1"/>
    <col min="7669" max="7669" width="17.42578125" style="365" customWidth="1"/>
    <col min="7670" max="7670" width="0" style="365" hidden="1" customWidth="1"/>
    <col min="7671" max="7671" width="14" style="365" customWidth="1"/>
    <col min="7672" max="7672" width="14.28515625" style="365" bestFit="1" customWidth="1"/>
    <col min="7673" max="7673" width="0" style="365" hidden="1" customWidth="1"/>
    <col min="7674" max="7674" width="15.5703125" style="365" customWidth="1"/>
    <col min="7675" max="7675" width="44.5703125" style="365" customWidth="1"/>
    <col min="7676" max="7676" width="14.28515625" style="365" bestFit="1" customWidth="1"/>
    <col min="7677" max="7677" width="0" style="365" hidden="1" customWidth="1"/>
    <col min="7678" max="7678" width="18.140625" style="365" customWidth="1"/>
    <col min="7679" max="7679" width="0" style="365" hidden="1" customWidth="1"/>
    <col min="7680" max="7680" width="14" style="365" customWidth="1"/>
    <col min="7681" max="7681" width="0" style="365" hidden="1" customWidth="1"/>
    <col min="7682" max="7682" width="20.85546875" style="365" customWidth="1"/>
    <col min="7683" max="7683" width="0" style="365" hidden="1" customWidth="1"/>
    <col min="7684" max="7684" width="13.28515625" style="365" customWidth="1"/>
    <col min="7685" max="7685" width="0" style="365" hidden="1" customWidth="1"/>
    <col min="7686" max="7686" width="15" style="365" customWidth="1"/>
    <col min="7687" max="7687" width="0" style="365" hidden="1" customWidth="1"/>
    <col min="7688" max="7688" width="13.28515625" style="365" customWidth="1"/>
    <col min="7689" max="7689" width="0" style="365" hidden="1" customWidth="1"/>
    <col min="7690" max="7690" width="20.140625" style="365" customWidth="1"/>
    <col min="7691" max="7691" width="14.42578125" style="365" bestFit="1" customWidth="1"/>
    <col min="7692" max="7692" width="14" style="365" bestFit="1" customWidth="1"/>
    <col min="7693" max="7693" width="12.28515625" style="365" bestFit="1" customWidth="1"/>
    <col min="7694" max="7718" width="9.140625" style="365" customWidth="1"/>
    <col min="7719" max="7913" width="8.85546875" style="365"/>
    <col min="7914" max="7914" width="44.5703125" style="365" customWidth="1"/>
    <col min="7915" max="7915" width="14.28515625" style="365" bestFit="1" customWidth="1"/>
    <col min="7916" max="7916" width="1.7109375" style="365" customWidth="1"/>
    <col min="7917" max="7917" width="14.85546875" style="365" customWidth="1"/>
    <col min="7918" max="7918" width="0" style="365" hidden="1" customWidth="1"/>
    <col min="7919" max="7919" width="17.42578125" style="365" customWidth="1"/>
    <col min="7920" max="7920" width="0" style="365" hidden="1" customWidth="1"/>
    <col min="7921" max="7921" width="12.85546875" style="365" customWidth="1"/>
    <col min="7922" max="7922" width="0" style="365" hidden="1" customWidth="1"/>
    <col min="7923" max="7923" width="14.42578125" style="365" customWidth="1"/>
    <col min="7924" max="7924" width="0" style="365" hidden="1" customWidth="1"/>
    <col min="7925" max="7925" width="17.42578125" style="365" customWidth="1"/>
    <col min="7926" max="7926" width="0" style="365" hidden="1" customWidth="1"/>
    <col min="7927" max="7927" width="14" style="365" customWidth="1"/>
    <col min="7928" max="7928" width="14.28515625" style="365" bestFit="1" customWidth="1"/>
    <col min="7929" max="7929" width="0" style="365" hidden="1" customWidth="1"/>
    <col min="7930" max="7930" width="15.5703125" style="365" customWidth="1"/>
    <col min="7931" max="7931" width="44.5703125" style="365" customWidth="1"/>
    <col min="7932" max="7932" width="14.28515625" style="365" bestFit="1" customWidth="1"/>
    <col min="7933" max="7933" width="0" style="365" hidden="1" customWidth="1"/>
    <col min="7934" max="7934" width="18.140625" style="365" customWidth="1"/>
    <col min="7935" max="7935" width="0" style="365" hidden="1" customWidth="1"/>
    <col min="7936" max="7936" width="14" style="365" customWidth="1"/>
    <col min="7937" max="7937" width="0" style="365" hidden="1" customWidth="1"/>
    <col min="7938" max="7938" width="20.85546875" style="365" customWidth="1"/>
    <col min="7939" max="7939" width="0" style="365" hidden="1" customWidth="1"/>
    <col min="7940" max="7940" width="13.28515625" style="365" customWidth="1"/>
    <col min="7941" max="7941" width="0" style="365" hidden="1" customWidth="1"/>
    <col min="7942" max="7942" width="15" style="365" customWidth="1"/>
    <col min="7943" max="7943" width="0" style="365" hidden="1" customWidth="1"/>
    <col min="7944" max="7944" width="13.28515625" style="365" customWidth="1"/>
    <col min="7945" max="7945" width="0" style="365" hidden="1" customWidth="1"/>
    <col min="7946" max="7946" width="20.140625" style="365" customWidth="1"/>
    <col min="7947" max="7947" width="14.42578125" style="365" bestFit="1" customWidth="1"/>
    <col min="7948" max="7948" width="14" style="365" bestFit="1" customWidth="1"/>
    <col min="7949" max="7949" width="12.28515625" style="365" bestFit="1" customWidth="1"/>
    <col min="7950" max="7974" width="9.140625" style="365" customWidth="1"/>
    <col min="7975" max="8169" width="8.85546875" style="365"/>
    <col min="8170" max="8170" width="44.5703125" style="365" customWidth="1"/>
    <col min="8171" max="8171" width="14.28515625" style="365" bestFit="1" customWidth="1"/>
    <col min="8172" max="8172" width="1.7109375" style="365" customWidth="1"/>
    <col min="8173" max="8173" width="14.85546875" style="365" customWidth="1"/>
    <col min="8174" max="8174" width="0" style="365" hidden="1" customWidth="1"/>
    <col min="8175" max="8175" width="17.42578125" style="365" customWidth="1"/>
    <col min="8176" max="8176" width="0" style="365" hidden="1" customWidth="1"/>
    <col min="8177" max="8177" width="12.85546875" style="365" customWidth="1"/>
    <col min="8178" max="8178" width="0" style="365" hidden="1" customWidth="1"/>
    <col min="8179" max="8179" width="14.42578125" style="365" customWidth="1"/>
    <col min="8180" max="8180" width="0" style="365" hidden="1" customWidth="1"/>
    <col min="8181" max="8181" width="17.42578125" style="365" customWidth="1"/>
    <col min="8182" max="8182" width="0" style="365" hidden="1" customWidth="1"/>
    <col min="8183" max="8183" width="14" style="365" customWidth="1"/>
    <col min="8184" max="8184" width="14.28515625" style="365" bestFit="1" customWidth="1"/>
    <col min="8185" max="8185" width="0" style="365" hidden="1" customWidth="1"/>
    <col min="8186" max="8186" width="15.5703125" style="365" customWidth="1"/>
    <col min="8187" max="8187" width="44.5703125" style="365" customWidth="1"/>
    <col min="8188" max="8188" width="14.28515625" style="365" bestFit="1" customWidth="1"/>
    <col min="8189" max="8189" width="0" style="365" hidden="1" customWidth="1"/>
    <col min="8190" max="8190" width="18.140625" style="365" customWidth="1"/>
    <col min="8191" max="8191" width="0" style="365" hidden="1" customWidth="1"/>
    <col min="8192" max="8192" width="14" style="365" customWidth="1"/>
    <col min="8193" max="8193" width="0" style="365" hidden="1" customWidth="1"/>
    <col min="8194" max="8194" width="20.85546875" style="365" customWidth="1"/>
    <col min="8195" max="8195" width="0" style="365" hidden="1" customWidth="1"/>
    <col min="8196" max="8196" width="13.28515625" style="365" customWidth="1"/>
    <col min="8197" max="8197" width="0" style="365" hidden="1" customWidth="1"/>
    <col min="8198" max="8198" width="15" style="365" customWidth="1"/>
    <col min="8199" max="8199" width="0" style="365" hidden="1" customWidth="1"/>
    <col min="8200" max="8200" width="13.28515625" style="365" customWidth="1"/>
    <col min="8201" max="8201" width="0" style="365" hidden="1" customWidth="1"/>
    <col min="8202" max="8202" width="20.140625" style="365" customWidth="1"/>
    <col min="8203" max="8203" width="14.42578125" style="365" bestFit="1" customWidth="1"/>
    <col min="8204" max="8204" width="14" style="365" bestFit="1" customWidth="1"/>
    <col min="8205" max="8205" width="12.28515625" style="365" bestFit="1" customWidth="1"/>
    <col min="8206" max="8230" width="9.140625" style="365" customWidth="1"/>
    <col min="8231" max="8425" width="8.85546875" style="365"/>
    <col min="8426" max="8426" width="44.5703125" style="365" customWidth="1"/>
    <col min="8427" max="8427" width="14.28515625" style="365" bestFit="1" customWidth="1"/>
    <col min="8428" max="8428" width="1.7109375" style="365" customWidth="1"/>
    <col min="8429" max="8429" width="14.85546875" style="365" customWidth="1"/>
    <col min="8430" max="8430" width="0" style="365" hidden="1" customWidth="1"/>
    <col min="8431" max="8431" width="17.42578125" style="365" customWidth="1"/>
    <col min="8432" max="8432" width="0" style="365" hidden="1" customWidth="1"/>
    <col min="8433" max="8433" width="12.85546875" style="365" customWidth="1"/>
    <col min="8434" max="8434" width="0" style="365" hidden="1" customWidth="1"/>
    <col min="8435" max="8435" width="14.42578125" style="365" customWidth="1"/>
    <col min="8436" max="8436" width="0" style="365" hidden="1" customWidth="1"/>
    <col min="8437" max="8437" width="17.42578125" style="365" customWidth="1"/>
    <col min="8438" max="8438" width="0" style="365" hidden="1" customWidth="1"/>
    <col min="8439" max="8439" width="14" style="365" customWidth="1"/>
    <col min="8440" max="8440" width="14.28515625" style="365" bestFit="1" customWidth="1"/>
    <col min="8441" max="8441" width="0" style="365" hidden="1" customWidth="1"/>
    <col min="8442" max="8442" width="15.5703125" style="365" customWidth="1"/>
    <col min="8443" max="8443" width="44.5703125" style="365" customWidth="1"/>
    <col min="8444" max="8444" width="14.28515625" style="365" bestFit="1" customWidth="1"/>
    <col min="8445" max="8445" width="0" style="365" hidden="1" customWidth="1"/>
    <col min="8446" max="8446" width="18.140625" style="365" customWidth="1"/>
    <col min="8447" max="8447" width="0" style="365" hidden="1" customWidth="1"/>
    <col min="8448" max="8448" width="14" style="365" customWidth="1"/>
    <col min="8449" max="8449" width="0" style="365" hidden="1" customWidth="1"/>
    <col min="8450" max="8450" width="20.85546875" style="365" customWidth="1"/>
    <col min="8451" max="8451" width="0" style="365" hidden="1" customWidth="1"/>
    <col min="8452" max="8452" width="13.28515625" style="365" customWidth="1"/>
    <col min="8453" max="8453" width="0" style="365" hidden="1" customWidth="1"/>
    <col min="8454" max="8454" width="15" style="365" customWidth="1"/>
    <col min="8455" max="8455" width="0" style="365" hidden="1" customWidth="1"/>
    <col min="8456" max="8456" width="13.28515625" style="365" customWidth="1"/>
    <col min="8457" max="8457" width="0" style="365" hidden="1" customWidth="1"/>
    <col min="8458" max="8458" width="20.140625" style="365" customWidth="1"/>
    <col min="8459" max="8459" width="14.42578125" style="365" bestFit="1" customWidth="1"/>
    <col min="8460" max="8460" width="14" style="365" bestFit="1" customWidth="1"/>
    <col min="8461" max="8461" width="12.28515625" style="365" bestFit="1" customWidth="1"/>
    <col min="8462" max="8486" width="9.140625" style="365" customWidth="1"/>
    <col min="8487" max="8681" width="8.85546875" style="365"/>
    <col min="8682" max="8682" width="44.5703125" style="365" customWidth="1"/>
    <col min="8683" max="8683" width="14.28515625" style="365" bestFit="1" customWidth="1"/>
    <col min="8684" max="8684" width="1.7109375" style="365" customWidth="1"/>
    <col min="8685" max="8685" width="14.85546875" style="365" customWidth="1"/>
    <col min="8686" max="8686" width="0" style="365" hidden="1" customWidth="1"/>
    <col min="8687" max="8687" width="17.42578125" style="365" customWidth="1"/>
    <col min="8688" max="8688" width="0" style="365" hidden="1" customWidth="1"/>
    <col min="8689" max="8689" width="12.85546875" style="365" customWidth="1"/>
    <col min="8690" max="8690" width="0" style="365" hidden="1" customWidth="1"/>
    <col min="8691" max="8691" width="14.42578125" style="365" customWidth="1"/>
    <col min="8692" max="8692" width="0" style="365" hidden="1" customWidth="1"/>
    <col min="8693" max="8693" width="17.42578125" style="365" customWidth="1"/>
    <col min="8694" max="8694" width="0" style="365" hidden="1" customWidth="1"/>
    <col min="8695" max="8695" width="14" style="365" customWidth="1"/>
    <col min="8696" max="8696" width="14.28515625" style="365" bestFit="1" customWidth="1"/>
    <col min="8697" max="8697" width="0" style="365" hidden="1" customWidth="1"/>
    <col min="8698" max="8698" width="15.5703125" style="365" customWidth="1"/>
    <col min="8699" max="8699" width="44.5703125" style="365" customWidth="1"/>
    <col min="8700" max="8700" width="14.28515625" style="365" bestFit="1" customWidth="1"/>
    <col min="8701" max="8701" width="0" style="365" hidden="1" customWidth="1"/>
    <col min="8702" max="8702" width="18.140625" style="365" customWidth="1"/>
    <col min="8703" max="8703" width="0" style="365" hidden="1" customWidth="1"/>
    <col min="8704" max="8704" width="14" style="365" customWidth="1"/>
    <col min="8705" max="8705" width="0" style="365" hidden="1" customWidth="1"/>
    <col min="8706" max="8706" width="20.85546875" style="365" customWidth="1"/>
    <col min="8707" max="8707" width="0" style="365" hidden="1" customWidth="1"/>
    <col min="8708" max="8708" width="13.28515625" style="365" customWidth="1"/>
    <col min="8709" max="8709" width="0" style="365" hidden="1" customWidth="1"/>
    <col min="8710" max="8710" width="15" style="365" customWidth="1"/>
    <col min="8711" max="8711" width="0" style="365" hidden="1" customWidth="1"/>
    <col min="8712" max="8712" width="13.28515625" style="365" customWidth="1"/>
    <col min="8713" max="8713" width="0" style="365" hidden="1" customWidth="1"/>
    <col min="8714" max="8714" width="20.140625" style="365" customWidth="1"/>
    <col min="8715" max="8715" width="14.42578125" style="365" bestFit="1" customWidth="1"/>
    <col min="8716" max="8716" width="14" style="365" bestFit="1" customWidth="1"/>
    <col min="8717" max="8717" width="12.28515625" style="365" bestFit="1" customWidth="1"/>
    <col min="8718" max="8742" width="9.140625" style="365" customWidth="1"/>
    <col min="8743" max="8937" width="8.85546875" style="365"/>
    <col min="8938" max="8938" width="44.5703125" style="365" customWidth="1"/>
    <col min="8939" max="8939" width="14.28515625" style="365" bestFit="1" customWidth="1"/>
    <col min="8940" max="8940" width="1.7109375" style="365" customWidth="1"/>
    <col min="8941" max="8941" width="14.85546875" style="365" customWidth="1"/>
    <col min="8942" max="8942" width="0" style="365" hidden="1" customWidth="1"/>
    <col min="8943" max="8943" width="17.42578125" style="365" customWidth="1"/>
    <col min="8944" max="8944" width="0" style="365" hidden="1" customWidth="1"/>
    <col min="8945" max="8945" width="12.85546875" style="365" customWidth="1"/>
    <col min="8946" max="8946" width="0" style="365" hidden="1" customWidth="1"/>
    <col min="8947" max="8947" width="14.42578125" style="365" customWidth="1"/>
    <col min="8948" max="8948" width="0" style="365" hidden="1" customWidth="1"/>
    <col min="8949" max="8949" width="17.42578125" style="365" customWidth="1"/>
    <col min="8950" max="8950" width="0" style="365" hidden="1" customWidth="1"/>
    <col min="8951" max="8951" width="14" style="365" customWidth="1"/>
    <col min="8952" max="8952" width="14.28515625" style="365" bestFit="1" customWidth="1"/>
    <col min="8953" max="8953" width="0" style="365" hidden="1" customWidth="1"/>
    <col min="8954" max="8954" width="15.5703125" style="365" customWidth="1"/>
    <col min="8955" max="8955" width="44.5703125" style="365" customWidth="1"/>
    <col min="8956" max="8956" width="14.28515625" style="365" bestFit="1" customWidth="1"/>
    <col min="8957" max="8957" width="0" style="365" hidden="1" customWidth="1"/>
    <col min="8958" max="8958" width="18.140625" style="365" customWidth="1"/>
    <col min="8959" max="8959" width="0" style="365" hidden="1" customWidth="1"/>
    <col min="8960" max="8960" width="14" style="365" customWidth="1"/>
    <col min="8961" max="8961" width="0" style="365" hidden="1" customWidth="1"/>
    <col min="8962" max="8962" width="20.85546875" style="365" customWidth="1"/>
    <col min="8963" max="8963" width="0" style="365" hidden="1" customWidth="1"/>
    <col min="8964" max="8964" width="13.28515625" style="365" customWidth="1"/>
    <col min="8965" max="8965" width="0" style="365" hidden="1" customWidth="1"/>
    <col min="8966" max="8966" width="15" style="365" customWidth="1"/>
    <col min="8967" max="8967" width="0" style="365" hidden="1" customWidth="1"/>
    <col min="8968" max="8968" width="13.28515625" style="365" customWidth="1"/>
    <col min="8969" max="8969" width="0" style="365" hidden="1" customWidth="1"/>
    <col min="8970" max="8970" width="20.140625" style="365" customWidth="1"/>
    <col min="8971" max="8971" width="14.42578125" style="365" bestFit="1" customWidth="1"/>
    <col min="8972" max="8972" width="14" style="365" bestFit="1" customWidth="1"/>
    <col min="8973" max="8973" width="12.28515625" style="365" bestFit="1" customWidth="1"/>
    <col min="8974" max="8998" width="9.140625" style="365" customWidth="1"/>
    <col min="8999" max="9193" width="8.85546875" style="365"/>
    <col min="9194" max="9194" width="44.5703125" style="365" customWidth="1"/>
    <col min="9195" max="9195" width="14.28515625" style="365" bestFit="1" customWidth="1"/>
    <col min="9196" max="9196" width="1.7109375" style="365" customWidth="1"/>
    <col min="9197" max="9197" width="14.85546875" style="365" customWidth="1"/>
    <col min="9198" max="9198" width="0" style="365" hidden="1" customWidth="1"/>
    <col min="9199" max="9199" width="17.42578125" style="365" customWidth="1"/>
    <col min="9200" max="9200" width="0" style="365" hidden="1" customWidth="1"/>
    <col min="9201" max="9201" width="12.85546875" style="365" customWidth="1"/>
    <col min="9202" max="9202" width="0" style="365" hidden="1" customWidth="1"/>
    <col min="9203" max="9203" width="14.42578125" style="365" customWidth="1"/>
    <col min="9204" max="9204" width="0" style="365" hidden="1" customWidth="1"/>
    <col min="9205" max="9205" width="17.42578125" style="365" customWidth="1"/>
    <col min="9206" max="9206" width="0" style="365" hidden="1" customWidth="1"/>
    <col min="9207" max="9207" width="14" style="365" customWidth="1"/>
    <col min="9208" max="9208" width="14.28515625" style="365" bestFit="1" customWidth="1"/>
    <col min="9209" max="9209" width="0" style="365" hidden="1" customWidth="1"/>
    <col min="9210" max="9210" width="15.5703125" style="365" customWidth="1"/>
    <col min="9211" max="9211" width="44.5703125" style="365" customWidth="1"/>
    <col min="9212" max="9212" width="14.28515625" style="365" bestFit="1" customWidth="1"/>
    <col min="9213" max="9213" width="0" style="365" hidden="1" customWidth="1"/>
    <col min="9214" max="9214" width="18.140625" style="365" customWidth="1"/>
    <col min="9215" max="9215" width="0" style="365" hidden="1" customWidth="1"/>
    <col min="9216" max="9216" width="14" style="365" customWidth="1"/>
    <col min="9217" max="9217" width="0" style="365" hidden="1" customWidth="1"/>
    <col min="9218" max="9218" width="20.85546875" style="365" customWidth="1"/>
    <col min="9219" max="9219" width="0" style="365" hidden="1" customWidth="1"/>
    <col min="9220" max="9220" width="13.28515625" style="365" customWidth="1"/>
    <col min="9221" max="9221" width="0" style="365" hidden="1" customWidth="1"/>
    <col min="9222" max="9222" width="15" style="365" customWidth="1"/>
    <col min="9223" max="9223" width="0" style="365" hidden="1" customWidth="1"/>
    <col min="9224" max="9224" width="13.28515625" style="365" customWidth="1"/>
    <col min="9225" max="9225" width="0" style="365" hidden="1" customWidth="1"/>
    <col min="9226" max="9226" width="20.140625" style="365" customWidth="1"/>
    <col min="9227" max="9227" width="14.42578125" style="365" bestFit="1" customWidth="1"/>
    <col min="9228" max="9228" width="14" style="365" bestFit="1" customWidth="1"/>
    <col min="9229" max="9229" width="12.28515625" style="365" bestFit="1" customWidth="1"/>
    <col min="9230" max="9254" width="9.140625" style="365" customWidth="1"/>
    <col min="9255" max="9449" width="8.85546875" style="365"/>
    <col min="9450" max="9450" width="44.5703125" style="365" customWidth="1"/>
    <col min="9451" max="9451" width="14.28515625" style="365" bestFit="1" customWidth="1"/>
    <col min="9452" max="9452" width="1.7109375" style="365" customWidth="1"/>
    <col min="9453" max="9453" width="14.85546875" style="365" customWidth="1"/>
    <col min="9454" max="9454" width="0" style="365" hidden="1" customWidth="1"/>
    <col min="9455" max="9455" width="17.42578125" style="365" customWidth="1"/>
    <col min="9456" max="9456" width="0" style="365" hidden="1" customWidth="1"/>
    <col min="9457" max="9457" width="12.85546875" style="365" customWidth="1"/>
    <col min="9458" max="9458" width="0" style="365" hidden="1" customWidth="1"/>
    <col min="9459" max="9459" width="14.42578125" style="365" customWidth="1"/>
    <col min="9460" max="9460" width="0" style="365" hidden="1" customWidth="1"/>
    <col min="9461" max="9461" width="17.42578125" style="365" customWidth="1"/>
    <col min="9462" max="9462" width="0" style="365" hidden="1" customWidth="1"/>
    <col min="9463" max="9463" width="14" style="365" customWidth="1"/>
    <col min="9464" max="9464" width="14.28515625" style="365" bestFit="1" customWidth="1"/>
    <col min="9465" max="9465" width="0" style="365" hidden="1" customWidth="1"/>
    <col min="9466" max="9466" width="15.5703125" style="365" customWidth="1"/>
    <col min="9467" max="9467" width="44.5703125" style="365" customWidth="1"/>
    <col min="9468" max="9468" width="14.28515625" style="365" bestFit="1" customWidth="1"/>
    <col min="9469" max="9469" width="0" style="365" hidden="1" customWidth="1"/>
    <col min="9470" max="9470" width="18.140625" style="365" customWidth="1"/>
    <col min="9471" max="9471" width="0" style="365" hidden="1" customWidth="1"/>
    <col min="9472" max="9472" width="14" style="365" customWidth="1"/>
    <col min="9473" max="9473" width="0" style="365" hidden="1" customWidth="1"/>
    <col min="9474" max="9474" width="20.85546875" style="365" customWidth="1"/>
    <col min="9475" max="9475" width="0" style="365" hidden="1" customWidth="1"/>
    <col min="9476" max="9476" width="13.28515625" style="365" customWidth="1"/>
    <col min="9477" max="9477" width="0" style="365" hidden="1" customWidth="1"/>
    <col min="9478" max="9478" width="15" style="365" customWidth="1"/>
    <col min="9479" max="9479" width="0" style="365" hidden="1" customWidth="1"/>
    <col min="9480" max="9480" width="13.28515625" style="365" customWidth="1"/>
    <col min="9481" max="9481" width="0" style="365" hidden="1" customWidth="1"/>
    <col min="9482" max="9482" width="20.140625" style="365" customWidth="1"/>
    <col min="9483" max="9483" width="14.42578125" style="365" bestFit="1" customWidth="1"/>
    <col min="9484" max="9484" width="14" style="365" bestFit="1" customWidth="1"/>
    <col min="9485" max="9485" width="12.28515625" style="365" bestFit="1" customWidth="1"/>
    <col min="9486" max="9510" width="9.140625" style="365" customWidth="1"/>
    <col min="9511" max="9705" width="8.85546875" style="365"/>
    <col min="9706" max="9706" width="44.5703125" style="365" customWidth="1"/>
    <col min="9707" max="9707" width="14.28515625" style="365" bestFit="1" customWidth="1"/>
    <col min="9708" max="9708" width="1.7109375" style="365" customWidth="1"/>
    <col min="9709" max="9709" width="14.85546875" style="365" customWidth="1"/>
    <col min="9710" max="9710" width="0" style="365" hidden="1" customWidth="1"/>
    <col min="9711" max="9711" width="17.42578125" style="365" customWidth="1"/>
    <col min="9712" max="9712" width="0" style="365" hidden="1" customWidth="1"/>
    <col min="9713" max="9713" width="12.85546875" style="365" customWidth="1"/>
    <col min="9714" max="9714" width="0" style="365" hidden="1" customWidth="1"/>
    <col min="9715" max="9715" width="14.42578125" style="365" customWidth="1"/>
    <col min="9716" max="9716" width="0" style="365" hidden="1" customWidth="1"/>
    <col min="9717" max="9717" width="17.42578125" style="365" customWidth="1"/>
    <col min="9718" max="9718" width="0" style="365" hidden="1" customWidth="1"/>
    <col min="9719" max="9719" width="14" style="365" customWidth="1"/>
    <col min="9720" max="9720" width="14.28515625" style="365" bestFit="1" customWidth="1"/>
    <col min="9721" max="9721" width="0" style="365" hidden="1" customWidth="1"/>
    <col min="9722" max="9722" width="15.5703125" style="365" customWidth="1"/>
    <col min="9723" max="9723" width="44.5703125" style="365" customWidth="1"/>
    <col min="9724" max="9724" width="14.28515625" style="365" bestFit="1" customWidth="1"/>
    <col min="9725" max="9725" width="0" style="365" hidden="1" customWidth="1"/>
    <col min="9726" max="9726" width="18.140625" style="365" customWidth="1"/>
    <col min="9727" max="9727" width="0" style="365" hidden="1" customWidth="1"/>
    <col min="9728" max="9728" width="14" style="365" customWidth="1"/>
    <col min="9729" max="9729" width="0" style="365" hidden="1" customWidth="1"/>
    <col min="9730" max="9730" width="20.85546875" style="365" customWidth="1"/>
    <col min="9731" max="9731" width="0" style="365" hidden="1" customWidth="1"/>
    <col min="9732" max="9732" width="13.28515625" style="365" customWidth="1"/>
    <col min="9733" max="9733" width="0" style="365" hidden="1" customWidth="1"/>
    <col min="9734" max="9734" width="15" style="365" customWidth="1"/>
    <col min="9735" max="9735" width="0" style="365" hidden="1" customWidth="1"/>
    <col min="9736" max="9736" width="13.28515625" style="365" customWidth="1"/>
    <col min="9737" max="9737" width="0" style="365" hidden="1" customWidth="1"/>
    <col min="9738" max="9738" width="20.140625" style="365" customWidth="1"/>
    <col min="9739" max="9739" width="14.42578125" style="365" bestFit="1" customWidth="1"/>
    <col min="9740" max="9740" width="14" style="365" bestFit="1" customWidth="1"/>
    <col min="9741" max="9741" width="12.28515625" style="365" bestFit="1" customWidth="1"/>
    <col min="9742" max="9766" width="9.140625" style="365" customWidth="1"/>
    <col min="9767" max="9961" width="8.85546875" style="365"/>
    <col min="9962" max="9962" width="44.5703125" style="365" customWidth="1"/>
    <col min="9963" max="9963" width="14.28515625" style="365" bestFit="1" customWidth="1"/>
    <col min="9964" max="9964" width="1.7109375" style="365" customWidth="1"/>
    <col min="9965" max="9965" width="14.85546875" style="365" customWidth="1"/>
    <col min="9966" max="9966" width="0" style="365" hidden="1" customWidth="1"/>
    <col min="9967" max="9967" width="17.42578125" style="365" customWidth="1"/>
    <col min="9968" max="9968" width="0" style="365" hidden="1" customWidth="1"/>
    <col min="9969" max="9969" width="12.85546875" style="365" customWidth="1"/>
    <col min="9970" max="9970" width="0" style="365" hidden="1" customWidth="1"/>
    <col min="9971" max="9971" width="14.42578125" style="365" customWidth="1"/>
    <col min="9972" max="9972" width="0" style="365" hidden="1" customWidth="1"/>
    <col min="9973" max="9973" width="17.42578125" style="365" customWidth="1"/>
    <col min="9974" max="9974" width="0" style="365" hidden="1" customWidth="1"/>
    <col min="9975" max="9975" width="14" style="365" customWidth="1"/>
    <col min="9976" max="9976" width="14.28515625" style="365" bestFit="1" customWidth="1"/>
    <col min="9977" max="9977" width="0" style="365" hidden="1" customWidth="1"/>
    <col min="9978" max="9978" width="15.5703125" style="365" customWidth="1"/>
    <col min="9979" max="9979" width="44.5703125" style="365" customWidth="1"/>
    <col min="9980" max="9980" width="14.28515625" style="365" bestFit="1" customWidth="1"/>
    <col min="9981" max="9981" width="0" style="365" hidden="1" customWidth="1"/>
    <col min="9982" max="9982" width="18.140625" style="365" customWidth="1"/>
    <col min="9983" max="9983" width="0" style="365" hidden="1" customWidth="1"/>
    <col min="9984" max="9984" width="14" style="365" customWidth="1"/>
    <col min="9985" max="9985" width="0" style="365" hidden="1" customWidth="1"/>
    <col min="9986" max="9986" width="20.85546875" style="365" customWidth="1"/>
    <col min="9987" max="9987" width="0" style="365" hidden="1" customWidth="1"/>
    <col min="9988" max="9988" width="13.28515625" style="365" customWidth="1"/>
    <col min="9989" max="9989" width="0" style="365" hidden="1" customWidth="1"/>
    <col min="9990" max="9990" width="15" style="365" customWidth="1"/>
    <col min="9991" max="9991" width="0" style="365" hidden="1" customWidth="1"/>
    <col min="9992" max="9992" width="13.28515625" style="365" customWidth="1"/>
    <col min="9993" max="9993" width="0" style="365" hidden="1" customWidth="1"/>
    <col min="9994" max="9994" width="20.140625" style="365" customWidth="1"/>
    <col min="9995" max="9995" width="14.42578125" style="365" bestFit="1" customWidth="1"/>
    <col min="9996" max="9996" width="14" style="365" bestFit="1" customWidth="1"/>
    <col min="9997" max="9997" width="12.28515625" style="365" bestFit="1" customWidth="1"/>
    <col min="9998" max="10022" width="9.140625" style="365" customWidth="1"/>
    <col min="10023" max="10217" width="8.85546875" style="365"/>
    <col min="10218" max="10218" width="44.5703125" style="365" customWidth="1"/>
    <col min="10219" max="10219" width="14.28515625" style="365" bestFit="1" customWidth="1"/>
    <col min="10220" max="10220" width="1.7109375" style="365" customWidth="1"/>
    <col min="10221" max="10221" width="14.85546875" style="365" customWidth="1"/>
    <col min="10222" max="10222" width="0" style="365" hidden="1" customWidth="1"/>
    <col min="10223" max="10223" width="17.42578125" style="365" customWidth="1"/>
    <col min="10224" max="10224" width="0" style="365" hidden="1" customWidth="1"/>
    <col min="10225" max="10225" width="12.85546875" style="365" customWidth="1"/>
    <col min="10226" max="10226" width="0" style="365" hidden="1" customWidth="1"/>
    <col min="10227" max="10227" width="14.42578125" style="365" customWidth="1"/>
    <col min="10228" max="10228" width="0" style="365" hidden="1" customWidth="1"/>
    <col min="10229" max="10229" width="17.42578125" style="365" customWidth="1"/>
    <col min="10230" max="10230" width="0" style="365" hidden="1" customWidth="1"/>
    <col min="10231" max="10231" width="14" style="365" customWidth="1"/>
    <col min="10232" max="10232" width="14.28515625" style="365" bestFit="1" customWidth="1"/>
    <col min="10233" max="10233" width="0" style="365" hidden="1" customWidth="1"/>
    <col min="10234" max="10234" width="15.5703125" style="365" customWidth="1"/>
    <col min="10235" max="10235" width="44.5703125" style="365" customWidth="1"/>
    <col min="10236" max="10236" width="14.28515625" style="365" bestFit="1" customWidth="1"/>
    <col min="10237" max="10237" width="0" style="365" hidden="1" customWidth="1"/>
    <col min="10238" max="10238" width="18.140625" style="365" customWidth="1"/>
    <col min="10239" max="10239" width="0" style="365" hidden="1" customWidth="1"/>
    <col min="10240" max="10240" width="14" style="365" customWidth="1"/>
    <col min="10241" max="10241" width="0" style="365" hidden="1" customWidth="1"/>
    <col min="10242" max="10242" width="20.85546875" style="365" customWidth="1"/>
    <col min="10243" max="10243" width="0" style="365" hidden="1" customWidth="1"/>
    <col min="10244" max="10244" width="13.28515625" style="365" customWidth="1"/>
    <col min="10245" max="10245" width="0" style="365" hidden="1" customWidth="1"/>
    <col min="10246" max="10246" width="15" style="365" customWidth="1"/>
    <col min="10247" max="10247" width="0" style="365" hidden="1" customWidth="1"/>
    <col min="10248" max="10248" width="13.28515625" style="365" customWidth="1"/>
    <col min="10249" max="10249" width="0" style="365" hidden="1" customWidth="1"/>
    <col min="10250" max="10250" width="20.140625" style="365" customWidth="1"/>
    <col min="10251" max="10251" width="14.42578125" style="365" bestFit="1" customWidth="1"/>
    <col min="10252" max="10252" width="14" style="365" bestFit="1" customWidth="1"/>
    <col min="10253" max="10253" width="12.28515625" style="365" bestFit="1" customWidth="1"/>
    <col min="10254" max="10278" width="9.140625" style="365" customWidth="1"/>
    <col min="10279" max="10473" width="8.85546875" style="365"/>
    <col min="10474" max="10474" width="44.5703125" style="365" customWidth="1"/>
    <col min="10475" max="10475" width="14.28515625" style="365" bestFit="1" customWidth="1"/>
    <col min="10476" max="10476" width="1.7109375" style="365" customWidth="1"/>
    <col min="10477" max="10477" width="14.85546875" style="365" customWidth="1"/>
    <col min="10478" max="10478" width="0" style="365" hidden="1" customWidth="1"/>
    <col min="10479" max="10479" width="17.42578125" style="365" customWidth="1"/>
    <col min="10480" max="10480" width="0" style="365" hidden="1" customWidth="1"/>
    <col min="10481" max="10481" width="12.85546875" style="365" customWidth="1"/>
    <col min="10482" max="10482" width="0" style="365" hidden="1" customWidth="1"/>
    <col min="10483" max="10483" width="14.42578125" style="365" customWidth="1"/>
    <col min="10484" max="10484" width="0" style="365" hidden="1" customWidth="1"/>
    <col min="10485" max="10485" width="17.42578125" style="365" customWidth="1"/>
    <col min="10486" max="10486" width="0" style="365" hidden="1" customWidth="1"/>
    <col min="10487" max="10487" width="14" style="365" customWidth="1"/>
    <col min="10488" max="10488" width="14.28515625" style="365" bestFit="1" customWidth="1"/>
    <col min="10489" max="10489" width="0" style="365" hidden="1" customWidth="1"/>
    <col min="10490" max="10490" width="15.5703125" style="365" customWidth="1"/>
    <col min="10491" max="10491" width="44.5703125" style="365" customWidth="1"/>
    <col min="10492" max="10492" width="14.28515625" style="365" bestFit="1" customWidth="1"/>
    <col min="10493" max="10493" width="0" style="365" hidden="1" customWidth="1"/>
    <col min="10494" max="10494" width="18.140625" style="365" customWidth="1"/>
    <col min="10495" max="10495" width="0" style="365" hidden="1" customWidth="1"/>
    <col min="10496" max="10496" width="14" style="365" customWidth="1"/>
    <col min="10497" max="10497" width="0" style="365" hidden="1" customWidth="1"/>
    <col min="10498" max="10498" width="20.85546875" style="365" customWidth="1"/>
    <col min="10499" max="10499" width="0" style="365" hidden="1" customWidth="1"/>
    <col min="10500" max="10500" width="13.28515625" style="365" customWidth="1"/>
    <col min="10501" max="10501" width="0" style="365" hidden="1" customWidth="1"/>
    <col min="10502" max="10502" width="15" style="365" customWidth="1"/>
    <col min="10503" max="10503" width="0" style="365" hidden="1" customWidth="1"/>
    <col min="10504" max="10504" width="13.28515625" style="365" customWidth="1"/>
    <col min="10505" max="10505" width="0" style="365" hidden="1" customWidth="1"/>
    <col min="10506" max="10506" width="20.140625" style="365" customWidth="1"/>
    <col min="10507" max="10507" width="14.42578125" style="365" bestFit="1" customWidth="1"/>
    <col min="10508" max="10508" width="14" style="365" bestFit="1" customWidth="1"/>
    <col min="10509" max="10509" width="12.28515625" style="365" bestFit="1" customWidth="1"/>
    <col min="10510" max="10534" width="9.140625" style="365" customWidth="1"/>
    <col min="10535" max="10729" width="8.85546875" style="365"/>
    <col min="10730" max="10730" width="44.5703125" style="365" customWidth="1"/>
    <col min="10731" max="10731" width="14.28515625" style="365" bestFit="1" customWidth="1"/>
    <col min="10732" max="10732" width="1.7109375" style="365" customWidth="1"/>
    <col min="10733" max="10733" width="14.85546875" style="365" customWidth="1"/>
    <col min="10734" max="10734" width="0" style="365" hidden="1" customWidth="1"/>
    <col min="10735" max="10735" width="17.42578125" style="365" customWidth="1"/>
    <col min="10736" max="10736" width="0" style="365" hidden="1" customWidth="1"/>
    <col min="10737" max="10737" width="12.85546875" style="365" customWidth="1"/>
    <col min="10738" max="10738" width="0" style="365" hidden="1" customWidth="1"/>
    <col min="10739" max="10739" width="14.42578125" style="365" customWidth="1"/>
    <col min="10740" max="10740" width="0" style="365" hidden="1" customWidth="1"/>
    <col min="10741" max="10741" width="17.42578125" style="365" customWidth="1"/>
    <col min="10742" max="10742" width="0" style="365" hidden="1" customWidth="1"/>
    <col min="10743" max="10743" width="14" style="365" customWidth="1"/>
    <col min="10744" max="10744" width="14.28515625" style="365" bestFit="1" customWidth="1"/>
    <col min="10745" max="10745" width="0" style="365" hidden="1" customWidth="1"/>
    <col min="10746" max="10746" width="15.5703125" style="365" customWidth="1"/>
    <col min="10747" max="10747" width="44.5703125" style="365" customWidth="1"/>
    <col min="10748" max="10748" width="14.28515625" style="365" bestFit="1" customWidth="1"/>
    <col min="10749" max="10749" width="0" style="365" hidden="1" customWidth="1"/>
    <col min="10750" max="10750" width="18.140625" style="365" customWidth="1"/>
    <col min="10751" max="10751" width="0" style="365" hidden="1" customWidth="1"/>
    <col min="10752" max="10752" width="14" style="365" customWidth="1"/>
    <col min="10753" max="10753" width="0" style="365" hidden="1" customWidth="1"/>
    <col min="10754" max="10754" width="20.85546875" style="365" customWidth="1"/>
    <col min="10755" max="10755" width="0" style="365" hidden="1" customWidth="1"/>
    <col min="10756" max="10756" width="13.28515625" style="365" customWidth="1"/>
    <col min="10757" max="10757" width="0" style="365" hidden="1" customWidth="1"/>
    <col min="10758" max="10758" width="15" style="365" customWidth="1"/>
    <col min="10759" max="10759" width="0" style="365" hidden="1" customWidth="1"/>
    <col min="10760" max="10760" width="13.28515625" style="365" customWidth="1"/>
    <col min="10761" max="10761" width="0" style="365" hidden="1" customWidth="1"/>
    <col min="10762" max="10762" width="20.140625" style="365" customWidth="1"/>
    <col min="10763" max="10763" width="14.42578125" style="365" bestFit="1" customWidth="1"/>
    <col min="10764" max="10764" width="14" style="365" bestFit="1" customWidth="1"/>
    <col min="10765" max="10765" width="12.28515625" style="365" bestFit="1" customWidth="1"/>
    <col min="10766" max="10790" width="9.140625" style="365" customWidth="1"/>
    <col min="10791" max="10985" width="8.85546875" style="365"/>
    <col min="10986" max="10986" width="44.5703125" style="365" customWidth="1"/>
    <col min="10987" max="10987" width="14.28515625" style="365" bestFit="1" customWidth="1"/>
    <col min="10988" max="10988" width="1.7109375" style="365" customWidth="1"/>
    <col min="10989" max="10989" width="14.85546875" style="365" customWidth="1"/>
    <col min="10990" max="10990" width="0" style="365" hidden="1" customWidth="1"/>
    <col min="10991" max="10991" width="17.42578125" style="365" customWidth="1"/>
    <col min="10992" max="10992" width="0" style="365" hidden="1" customWidth="1"/>
    <col min="10993" max="10993" width="12.85546875" style="365" customWidth="1"/>
    <col min="10994" max="10994" width="0" style="365" hidden="1" customWidth="1"/>
    <col min="10995" max="10995" width="14.42578125" style="365" customWidth="1"/>
    <col min="10996" max="10996" width="0" style="365" hidden="1" customWidth="1"/>
    <col min="10997" max="10997" width="17.42578125" style="365" customWidth="1"/>
    <col min="10998" max="10998" width="0" style="365" hidden="1" customWidth="1"/>
    <col min="10999" max="10999" width="14" style="365" customWidth="1"/>
    <col min="11000" max="11000" width="14.28515625" style="365" bestFit="1" customWidth="1"/>
    <col min="11001" max="11001" width="0" style="365" hidden="1" customWidth="1"/>
    <col min="11002" max="11002" width="15.5703125" style="365" customWidth="1"/>
    <col min="11003" max="11003" width="44.5703125" style="365" customWidth="1"/>
    <col min="11004" max="11004" width="14.28515625" style="365" bestFit="1" customWidth="1"/>
    <col min="11005" max="11005" width="0" style="365" hidden="1" customWidth="1"/>
    <col min="11006" max="11006" width="18.140625" style="365" customWidth="1"/>
    <col min="11007" max="11007" width="0" style="365" hidden="1" customWidth="1"/>
    <col min="11008" max="11008" width="14" style="365" customWidth="1"/>
    <col min="11009" max="11009" width="0" style="365" hidden="1" customWidth="1"/>
    <col min="11010" max="11010" width="20.85546875" style="365" customWidth="1"/>
    <col min="11011" max="11011" width="0" style="365" hidden="1" customWidth="1"/>
    <col min="11012" max="11012" width="13.28515625" style="365" customWidth="1"/>
    <col min="11013" max="11013" width="0" style="365" hidden="1" customWidth="1"/>
    <col min="11014" max="11014" width="15" style="365" customWidth="1"/>
    <col min="11015" max="11015" width="0" style="365" hidden="1" customWidth="1"/>
    <col min="11016" max="11016" width="13.28515625" style="365" customWidth="1"/>
    <col min="11017" max="11017" width="0" style="365" hidden="1" customWidth="1"/>
    <col min="11018" max="11018" width="20.140625" style="365" customWidth="1"/>
    <col min="11019" max="11019" width="14.42578125" style="365" bestFit="1" customWidth="1"/>
    <col min="11020" max="11020" width="14" style="365" bestFit="1" customWidth="1"/>
    <col min="11021" max="11021" width="12.28515625" style="365" bestFit="1" customWidth="1"/>
    <col min="11022" max="11046" width="9.140625" style="365" customWidth="1"/>
    <col min="11047" max="11241" width="8.85546875" style="365"/>
    <col min="11242" max="11242" width="44.5703125" style="365" customWidth="1"/>
    <col min="11243" max="11243" width="14.28515625" style="365" bestFit="1" customWidth="1"/>
    <col min="11244" max="11244" width="1.7109375" style="365" customWidth="1"/>
    <col min="11245" max="11245" width="14.85546875" style="365" customWidth="1"/>
    <col min="11246" max="11246" width="0" style="365" hidden="1" customWidth="1"/>
    <col min="11247" max="11247" width="17.42578125" style="365" customWidth="1"/>
    <col min="11248" max="11248" width="0" style="365" hidden="1" customWidth="1"/>
    <col min="11249" max="11249" width="12.85546875" style="365" customWidth="1"/>
    <col min="11250" max="11250" width="0" style="365" hidden="1" customWidth="1"/>
    <col min="11251" max="11251" width="14.42578125" style="365" customWidth="1"/>
    <col min="11252" max="11252" width="0" style="365" hidden="1" customWidth="1"/>
    <col min="11253" max="11253" width="17.42578125" style="365" customWidth="1"/>
    <col min="11254" max="11254" width="0" style="365" hidden="1" customWidth="1"/>
    <col min="11255" max="11255" width="14" style="365" customWidth="1"/>
    <col min="11256" max="11256" width="14.28515625" style="365" bestFit="1" customWidth="1"/>
    <col min="11257" max="11257" width="0" style="365" hidden="1" customWidth="1"/>
    <col min="11258" max="11258" width="15.5703125" style="365" customWidth="1"/>
    <col min="11259" max="11259" width="44.5703125" style="365" customWidth="1"/>
    <col min="11260" max="11260" width="14.28515625" style="365" bestFit="1" customWidth="1"/>
    <col min="11261" max="11261" width="0" style="365" hidden="1" customWidth="1"/>
    <col min="11262" max="11262" width="18.140625" style="365" customWidth="1"/>
    <col min="11263" max="11263" width="0" style="365" hidden="1" customWidth="1"/>
    <col min="11264" max="11264" width="14" style="365" customWidth="1"/>
    <col min="11265" max="11265" width="0" style="365" hidden="1" customWidth="1"/>
    <col min="11266" max="11266" width="20.85546875" style="365" customWidth="1"/>
    <col min="11267" max="11267" width="0" style="365" hidden="1" customWidth="1"/>
    <col min="11268" max="11268" width="13.28515625" style="365" customWidth="1"/>
    <col min="11269" max="11269" width="0" style="365" hidden="1" customWidth="1"/>
    <col min="11270" max="11270" width="15" style="365" customWidth="1"/>
    <col min="11271" max="11271" width="0" style="365" hidden="1" customWidth="1"/>
    <col min="11272" max="11272" width="13.28515625" style="365" customWidth="1"/>
    <col min="11273" max="11273" width="0" style="365" hidden="1" customWidth="1"/>
    <col min="11274" max="11274" width="20.140625" style="365" customWidth="1"/>
    <col min="11275" max="11275" width="14.42578125" style="365" bestFit="1" customWidth="1"/>
    <col min="11276" max="11276" width="14" style="365" bestFit="1" customWidth="1"/>
    <col min="11277" max="11277" width="12.28515625" style="365" bestFit="1" customWidth="1"/>
    <col min="11278" max="11302" width="9.140625" style="365" customWidth="1"/>
    <col min="11303" max="11497" width="8.85546875" style="365"/>
    <col min="11498" max="11498" width="44.5703125" style="365" customWidth="1"/>
    <col min="11499" max="11499" width="14.28515625" style="365" bestFit="1" customWidth="1"/>
    <col min="11500" max="11500" width="1.7109375" style="365" customWidth="1"/>
    <col min="11501" max="11501" width="14.85546875" style="365" customWidth="1"/>
    <col min="11502" max="11502" width="0" style="365" hidden="1" customWidth="1"/>
    <col min="11503" max="11503" width="17.42578125" style="365" customWidth="1"/>
    <col min="11504" max="11504" width="0" style="365" hidden="1" customWidth="1"/>
    <col min="11505" max="11505" width="12.85546875" style="365" customWidth="1"/>
    <col min="11506" max="11506" width="0" style="365" hidden="1" customWidth="1"/>
    <col min="11507" max="11507" width="14.42578125" style="365" customWidth="1"/>
    <col min="11508" max="11508" width="0" style="365" hidden="1" customWidth="1"/>
    <col min="11509" max="11509" width="17.42578125" style="365" customWidth="1"/>
    <col min="11510" max="11510" width="0" style="365" hidden="1" customWidth="1"/>
    <col min="11511" max="11511" width="14" style="365" customWidth="1"/>
    <col min="11512" max="11512" width="14.28515625" style="365" bestFit="1" customWidth="1"/>
    <col min="11513" max="11513" width="0" style="365" hidden="1" customWidth="1"/>
    <col min="11514" max="11514" width="15.5703125" style="365" customWidth="1"/>
    <col min="11515" max="11515" width="44.5703125" style="365" customWidth="1"/>
    <col min="11516" max="11516" width="14.28515625" style="365" bestFit="1" customWidth="1"/>
    <col min="11517" max="11517" width="0" style="365" hidden="1" customWidth="1"/>
    <col min="11518" max="11518" width="18.140625" style="365" customWidth="1"/>
    <col min="11519" max="11519" width="0" style="365" hidden="1" customWidth="1"/>
    <col min="11520" max="11520" width="14" style="365" customWidth="1"/>
    <col min="11521" max="11521" width="0" style="365" hidden="1" customWidth="1"/>
    <col min="11522" max="11522" width="20.85546875" style="365" customWidth="1"/>
    <col min="11523" max="11523" width="0" style="365" hidden="1" customWidth="1"/>
    <col min="11524" max="11524" width="13.28515625" style="365" customWidth="1"/>
    <col min="11525" max="11525" width="0" style="365" hidden="1" customWidth="1"/>
    <col min="11526" max="11526" width="15" style="365" customWidth="1"/>
    <col min="11527" max="11527" width="0" style="365" hidden="1" customWidth="1"/>
    <col min="11528" max="11528" width="13.28515625" style="365" customWidth="1"/>
    <col min="11529" max="11529" width="0" style="365" hidden="1" customWidth="1"/>
    <col min="11530" max="11530" width="20.140625" style="365" customWidth="1"/>
    <col min="11531" max="11531" width="14.42578125" style="365" bestFit="1" customWidth="1"/>
    <col min="11532" max="11532" width="14" style="365" bestFit="1" customWidth="1"/>
    <col min="11533" max="11533" width="12.28515625" style="365" bestFit="1" customWidth="1"/>
    <col min="11534" max="11558" width="9.140625" style="365" customWidth="1"/>
    <col min="11559" max="11753" width="8.85546875" style="365"/>
    <col min="11754" max="11754" width="44.5703125" style="365" customWidth="1"/>
    <col min="11755" max="11755" width="14.28515625" style="365" bestFit="1" customWidth="1"/>
    <col min="11756" max="11756" width="1.7109375" style="365" customWidth="1"/>
    <col min="11757" max="11757" width="14.85546875" style="365" customWidth="1"/>
    <col min="11758" max="11758" width="0" style="365" hidden="1" customWidth="1"/>
    <col min="11759" max="11759" width="17.42578125" style="365" customWidth="1"/>
    <col min="11760" max="11760" width="0" style="365" hidden="1" customWidth="1"/>
    <col min="11761" max="11761" width="12.85546875" style="365" customWidth="1"/>
    <col min="11762" max="11762" width="0" style="365" hidden="1" customWidth="1"/>
    <col min="11763" max="11763" width="14.42578125" style="365" customWidth="1"/>
    <col min="11764" max="11764" width="0" style="365" hidden="1" customWidth="1"/>
    <col min="11765" max="11765" width="17.42578125" style="365" customWidth="1"/>
    <col min="11766" max="11766" width="0" style="365" hidden="1" customWidth="1"/>
    <col min="11767" max="11767" width="14" style="365" customWidth="1"/>
    <col min="11768" max="11768" width="14.28515625" style="365" bestFit="1" customWidth="1"/>
    <col min="11769" max="11769" width="0" style="365" hidden="1" customWidth="1"/>
    <col min="11770" max="11770" width="15.5703125" style="365" customWidth="1"/>
    <col min="11771" max="11771" width="44.5703125" style="365" customWidth="1"/>
    <col min="11772" max="11772" width="14.28515625" style="365" bestFit="1" customWidth="1"/>
    <col min="11773" max="11773" width="0" style="365" hidden="1" customWidth="1"/>
    <col min="11774" max="11774" width="18.140625" style="365" customWidth="1"/>
    <col min="11775" max="11775" width="0" style="365" hidden="1" customWidth="1"/>
    <col min="11776" max="11776" width="14" style="365" customWidth="1"/>
    <col min="11777" max="11777" width="0" style="365" hidden="1" customWidth="1"/>
    <col min="11778" max="11778" width="20.85546875" style="365" customWidth="1"/>
    <col min="11779" max="11779" width="0" style="365" hidden="1" customWidth="1"/>
    <col min="11780" max="11780" width="13.28515625" style="365" customWidth="1"/>
    <col min="11781" max="11781" width="0" style="365" hidden="1" customWidth="1"/>
    <col min="11782" max="11782" width="15" style="365" customWidth="1"/>
    <col min="11783" max="11783" width="0" style="365" hidden="1" customWidth="1"/>
    <col min="11784" max="11784" width="13.28515625" style="365" customWidth="1"/>
    <col min="11785" max="11785" width="0" style="365" hidden="1" customWidth="1"/>
    <col min="11786" max="11786" width="20.140625" style="365" customWidth="1"/>
    <col min="11787" max="11787" width="14.42578125" style="365" bestFit="1" customWidth="1"/>
    <col min="11788" max="11788" width="14" style="365" bestFit="1" customWidth="1"/>
    <col min="11789" max="11789" width="12.28515625" style="365" bestFit="1" customWidth="1"/>
    <col min="11790" max="11814" width="9.140625" style="365" customWidth="1"/>
    <col min="11815" max="12009" width="8.85546875" style="365"/>
    <col min="12010" max="12010" width="44.5703125" style="365" customWidth="1"/>
    <col min="12011" max="12011" width="14.28515625" style="365" bestFit="1" customWidth="1"/>
    <col min="12012" max="12012" width="1.7109375" style="365" customWidth="1"/>
    <col min="12013" max="12013" width="14.85546875" style="365" customWidth="1"/>
    <col min="12014" max="12014" width="0" style="365" hidden="1" customWidth="1"/>
    <col min="12015" max="12015" width="17.42578125" style="365" customWidth="1"/>
    <col min="12016" max="12016" width="0" style="365" hidden="1" customWidth="1"/>
    <col min="12017" max="12017" width="12.85546875" style="365" customWidth="1"/>
    <col min="12018" max="12018" width="0" style="365" hidden="1" customWidth="1"/>
    <col min="12019" max="12019" width="14.42578125" style="365" customWidth="1"/>
    <col min="12020" max="12020" width="0" style="365" hidden="1" customWidth="1"/>
    <col min="12021" max="12021" width="17.42578125" style="365" customWidth="1"/>
    <col min="12022" max="12022" width="0" style="365" hidden="1" customWidth="1"/>
    <col min="12023" max="12023" width="14" style="365" customWidth="1"/>
    <col min="12024" max="12024" width="14.28515625" style="365" bestFit="1" customWidth="1"/>
    <col min="12025" max="12025" width="0" style="365" hidden="1" customWidth="1"/>
    <col min="12026" max="12026" width="15.5703125" style="365" customWidth="1"/>
    <col min="12027" max="12027" width="44.5703125" style="365" customWidth="1"/>
    <col min="12028" max="12028" width="14.28515625" style="365" bestFit="1" customWidth="1"/>
    <col min="12029" max="12029" width="0" style="365" hidden="1" customWidth="1"/>
    <col min="12030" max="12030" width="18.140625" style="365" customWidth="1"/>
    <col min="12031" max="12031" width="0" style="365" hidden="1" customWidth="1"/>
    <col min="12032" max="12032" width="14" style="365" customWidth="1"/>
    <col min="12033" max="12033" width="0" style="365" hidden="1" customWidth="1"/>
    <col min="12034" max="12034" width="20.85546875" style="365" customWidth="1"/>
    <col min="12035" max="12035" width="0" style="365" hidden="1" customWidth="1"/>
    <col min="12036" max="12036" width="13.28515625" style="365" customWidth="1"/>
    <col min="12037" max="12037" width="0" style="365" hidden="1" customWidth="1"/>
    <col min="12038" max="12038" width="15" style="365" customWidth="1"/>
    <col min="12039" max="12039" width="0" style="365" hidden="1" customWidth="1"/>
    <col min="12040" max="12040" width="13.28515625" style="365" customWidth="1"/>
    <col min="12041" max="12041" width="0" style="365" hidden="1" customWidth="1"/>
    <col min="12042" max="12042" width="20.140625" style="365" customWidth="1"/>
    <col min="12043" max="12043" width="14.42578125" style="365" bestFit="1" customWidth="1"/>
    <col min="12044" max="12044" width="14" style="365" bestFit="1" customWidth="1"/>
    <col min="12045" max="12045" width="12.28515625" style="365" bestFit="1" customWidth="1"/>
    <col min="12046" max="12070" width="9.140625" style="365" customWidth="1"/>
    <col min="12071" max="12265" width="8.85546875" style="365"/>
    <col min="12266" max="12266" width="44.5703125" style="365" customWidth="1"/>
    <col min="12267" max="12267" width="14.28515625" style="365" bestFit="1" customWidth="1"/>
    <col min="12268" max="12268" width="1.7109375" style="365" customWidth="1"/>
    <col min="12269" max="12269" width="14.85546875" style="365" customWidth="1"/>
    <col min="12270" max="12270" width="0" style="365" hidden="1" customWidth="1"/>
    <col min="12271" max="12271" width="17.42578125" style="365" customWidth="1"/>
    <col min="12272" max="12272" width="0" style="365" hidden="1" customWidth="1"/>
    <col min="12273" max="12273" width="12.85546875" style="365" customWidth="1"/>
    <col min="12274" max="12274" width="0" style="365" hidden="1" customWidth="1"/>
    <col min="12275" max="12275" width="14.42578125" style="365" customWidth="1"/>
    <col min="12276" max="12276" width="0" style="365" hidden="1" customWidth="1"/>
    <col min="12277" max="12277" width="17.42578125" style="365" customWidth="1"/>
    <col min="12278" max="12278" width="0" style="365" hidden="1" customWidth="1"/>
    <col min="12279" max="12279" width="14" style="365" customWidth="1"/>
    <col min="12280" max="12280" width="14.28515625" style="365" bestFit="1" customWidth="1"/>
    <col min="12281" max="12281" width="0" style="365" hidden="1" customWidth="1"/>
    <col min="12282" max="12282" width="15.5703125" style="365" customWidth="1"/>
    <col min="12283" max="12283" width="44.5703125" style="365" customWidth="1"/>
    <col min="12284" max="12284" width="14.28515625" style="365" bestFit="1" customWidth="1"/>
    <col min="12285" max="12285" width="0" style="365" hidden="1" customWidth="1"/>
    <col min="12286" max="12286" width="18.140625" style="365" customWidth="1"/>
    <col min="12287" max="12287" width="0" style="365" hidden="1" customWidth="1"/>
    <col min="12288" max="12288" width="14" style="365" customWidth="1"/>
    <col min="12289" max="12289" width="0" style="365" hidden="1" customWidth="1"/>
    <col min="12290" max="12290" width="20.85546875" style="365" customWidth="1"/>
    <col min="12291" max="12291" width="0" style="365" hidden="1" customWidth="1"/>
    <col min="12292" max="12292" width="13.28515625" style="365" customWidth="1"/>
    <col min="12293" max="12293" width="0" style="365" hidden="1" customWidth="1"/>
    <col min="12294" max="12294" width="15" style="365" customWidth="1"/>
    <col min="12295" max="12295" width="0" style="365" hidden="1" customWidth="1"/>
    <col min="12296" max="12296" width="13.28515625" style="365" customWidth="1"/>
    <col min="12297" max="12297" width="0" style="365" hidden="1" customWidth="1"/>
    <col min="12298" max="12298" width="20.140625" style="365" customWidth="1"/>
    <col min="12299" max="12299" width="14.42578125" style="365" bestFit="1" customWidth="1"/>
    <col min="12300" max="12300" width="14" style="365" bestFit="1" customWidth="1"/>
    <col min="12301" max="12301" width="12.28515625" style="365" bestFit="1" customWidth="1"/>
    <col min="12302" max="12326" width="9.140625" style="365" customWidth="1"/>
    <col min="12327" max="12521" width="8.85546875" style="365"/>
    <col min="12522" max="12522" width="44.5703125" style="365" customWidth="1"/>
    <col min="12523" max="12523" width="14.28515625" style="365" bestFit="1" customWidth="1"/>
    <col min="12524" max="12524" width="1.7109375" style="365" customWidth="1"/>
    <col min="12525" max="12525" width="14.85546875" style="365" customWidth="1"/>
    <col min="12526" max="12526" width="0" style="365" hidden="1" customWidth="1"/>
    <col min="12527" max="12527" width="17.42578125" style="365" customWidth="1"/>
    <col min="12528" max="12528" width="0" style="365" hidden="1" customWidth="1"/>
    <col min="12529" max="12529" width="12.85546875" style="365" customWidth="1"/>
    <col min="12530" max="12530" width="0" style="365" hidden="1" customWidth="1"/>
    <col min="12531" max="12531" width="14.42578125" style="365" customWidth="1"/>
    <col min="12532" max="12532" width="0" style="365" hidden="1" customWidth="1"/>
    <col min="12533" max="12533" width="17.42578125" style="365" customWidth="1"/>
    <col min="12534" max="12534" width="0" style="365" hidden="1" customWidth="1"/>
    <col min="12535" max="12535" width="14" style="365" customWidth="1"/>
    <col min="12536" max="12536" width="14.28515625" style="365" bestFit="1" customWidth="1"/>
    <col min="12537" max="12537" width="0" style="365" hidden="1" customWidth="1"/>
    <col min="12538" max="12538" width="15.5703125" style="365" customWidth="1"/>
    <col min="12539" max="12539" width="44.5703125" style="365" customWidth="1"/>
    <col min="12540" max="12540" width="14.28515625" style="365" bestFit="1" customWidth="1"/>
    <col min="12541" max="12541" width="0" style="365" hidden="1" customWidth="1"/>
    <col min="12542" max="12542" width="18.140625" style="365" customWidth="1"/>
    <col min="12543" max="12543" width="0" style="365" hidden="1" customWidth="1"/>
    <col min="12544" max="12544" width="14" style="365" customWidth="1"/>
    <col min="12545" max="12545" width="0" style="365" hidden="1" customWidth="1"/>
    <col min="12546" max="12546" width="20.85546875" style="365" customWidth="1"/>
    <col min="12547" max="12547" width="0" style="365" hidden="1" customWidth="1"/>
    <col min="12548" max="12548" width="13.28515625" style="365" customWidth="1"/>
    <col min="12549" max="12549" width="0" style="365" hidden="1" customWidth="1"/>
    <col min="12550" max="12550" width="15" style="365" customWidth="1"/>
    <col min="12551" max="12551" width="0" style="365" hidden="1" customWidth="1"/>
    <col min="12552" max="12552" width="13.28515625" style="365" customWidth="1"/>
    <col min="12553" max="12553" width="0" style="365" hidden="1" customWidth="1"/>
    <col min="12554" max="12554" width="20.140625" style="365" customWidth="1"/>
    <col min="12555" max="12555" width="14.42578125" style="365" bestFit="1" customWidth="1"/>
    <col min="12556" max="12556" width="14" style="365" bestFit="1" customWidth="1"/>
    <col min="12557" max="12557" width="12.28515625" style="365" bestFit="1" customWidth="1"/>
    <col min="12558" max="12582" width="9.140625" style="365" customWidth="1"/>
    <col min="12583" max="12777" width="8.85546875" style="365"/>
    <col min="12778" max="12778" width="44.5703125" style="365" customWidth="1"/>
    <col min="12779" max="12779" width="14.28515625" style="365" bestFit="1" customWidth="1"/>
    <col min="12780" max="12780" width="1.7109375" style="365" customWidth="1"/>
    <col min="12781" max="12781" width="14.85546875" style="365" customWidth="1"/>
    <col min="12782" max="12782" width="0" style="365" hidden="1" customWidth="1"/>
    <col min="12783" max="12783" width="17.42578125" style="365" customWidth="1"/>
    <col min="12784" max="12784" width="0" style="365" hidden="1" customWidth="1"/>
    <col min="12785" max="12785" width="12.85546875" style="365" customWidth="1"/>
    <col min="12786" max="12786" width="0" style="365" hidden="1" customWidth="1"/>
    <col min="12787" max="12787" width="14.42578125" style="365" customWidth="1"/>
    <col min="12788" max="12788" width="0" style="365" hidden="1" customWidth="1"/>
    <col min="12789" max="12789" width="17.42578125" style="365" customWidth="1"/>
    <col min="12790" max="12790" width="0" style="365" hidden="1" customWidth="1"/>
    <col min="12791" max="12791" width="14" style="365" customWidth="1"/>
    <col min="12792" max="12792" width="14.28515625" style="365" bestFit="1" customWidth="1"/>
    <col min="12793" max="12793" width="0" style="365" hidden="1" customWidth="1"/>
    <col min="12794" max="12794" width="15.5703125" style="365" customWidth="1"/>
    <col min="12795" max="12795" width="44.5703125" style="365" customWidth="1"/>
    <col min="12796" max="12796" width="14.28515625" style="365" bestFit="1" customWidth="1"/>
    <col min="12797" max="12797" width="0" style="365" hidden="1" customWidth="1"/>
    <col min="12798" max="12798" width="18.140625" style="365" customWidth="1"/>
    <col min="12799" max="12799" width="0" style="365" hidden="1" customWidth="1"/>
    <col min="12800" max="12800" width="14" style="365" customWidth="1"/>
    <col min="12801" max="12801" width="0" style="365" hidden="1" customWidth="1"/>
    <col min="12802" max="12802" width="20.85546875" style="365" customWidth="1"/>
    <col min="12803" max="12803" width="0" style="365" hidden="1" customWidth="1"/>
    <col min="12804" max="12804" width="13.28515625" style="365" customWidth="1"/>
    <col min="12805" max="12805" width="0" style="365" hidden="1" customWidth="1"/>
    <col min="12806" max="12806" width="15" style="365" customWidth="1"/>
    <col min="12807" max="12807" width="0" style="365" hidden="1" customWidth="1"/>
    <col min="12808" max="12808" width="13.28515625" style="365" customWidth="1"/>
    <col min="12809" max="12809" width="0" style="365" hidden="1" customWidth="1"/>
    <col min="12810" max="12810" width="20.140625" style="365" customWidth="1"/>
    <col min="12811" max="12811" width="14.42578125" style="365" bestFit="1" customWidth="1"/>
    <col min="12812" max="12812" width="14" style="365" bestFit="1" customWidth="1"/>
    <col min="12813" max="12813" width="12.28515625" style="365" bestFit="1" customWidth="1"/>
    <col min="12814" max="12838" width="9.140625" style="365" customWidth="1"/>
    <col min="12839" max="13033" width="8.85546875" style="365"/>
    <col min="13034" max="13034" width="44.5703125" style="365" customWidth="1"/>
    <col min="13035" max="13035" width="14.28515625" style="365" bestFit="1" customWidth="1"/>
    <col min="13036" max="13036" width="1.7109375" style="365" customWidth="1"/>
    <col min="13037" max="13037" width="14.85546875" style="365" customWidth="1"/>
    <col min="13038" max="13038" width="0" style="365" hidden="1" customWidth="1"/>
    <col min="13039" max="13039" width="17.42578125" style="365" customWidth="1"/>
    <col min="13040" max="13040" width="0" style="365" hidden="1" customWidth="1"/>
    <col min="13041" max="13041" width="12.85546875" style="365" customWidth="1"/>
    <col min="13042" max="13042" width="0" style="365" hidden="1" customWidth="1"/>
    <col min="13043" max="13043" width="14.42578125" style="365" customWidth="1"/>
    <col min="13044" max="13044" width="0" style="365" hidden="1" customWidth="1"/>
    <col min="13045" max="13045" width="17.42578125" style="365" customWidth="1"/>
    <col min="13046" max="13046" width="0" style="365" hidden="1" customWidth="1"/>
    <col min="13047" max="13047" width="14" style="365" customWidth="1"/>
    <col min="13048" max="13048" width="14.28515625" style="365" bestFit="1" customWidth="1"/>
    <col min="13049" max="13049" width="0" style="365" hidden="1" customWidth="1"/>
    <col min="13050" max="13050" width="15.5703125" style="365" customWidth="1"/>
    <col min="13051" max="13051" width="44.5703125" style="365" customWidth="1"/>
    <col min="13052" max="13052" width="14.28515625" style="365" bestFit="1" customWidth="1"/>
    <col min="13053" max="13053" width="0" style="365" hidden="1" customWidth="1"/>
    <col min="13054" max="13054" width="18.140625" style="365" customWidth="1"/>
    <col min="13055" max="13055" width="0" style="365" hidden="1" customWidth="1"/>
    <col min="13056" max="13056" width="14" style="365" customWidth="1"/>
    <col min="13057" max="13057" width="0" style="365" hidden="1" customWidth="1"/>
    <col min="13058" max="13058" width="20.85546875" style="365" customWidth="1"/>
    <col min="13059" max="13059" width="0" style="365" hidden="1" customWidth="1"/>
    <col min="13060" max="13060" width="13.28515625" style="365" customWidth="1"/>
    <col min="13061" max="13061" width="0" style="365" hidden="1" customWidth="1"/>
    <col min="13062" max="13062" width="15" style="365" customWidth="1"/>
    <col min="13063" max="13063" width="0" style="365" hidden="1" customWidth="1"/>
    <col min="13064" max="13064" width="13.28515625" style="365" customWidth="1"/>
    <col min="13065" max="13065" width="0" style="365" hidden="1" customWidth="1"/>
    <col min="13066" max="13066" width="20.140625" style="365" customWidth="1"/>
    <col min="13067" max="13067" width="14.42578125" style="365" bestFit="1" customWidth="1"/>
    <col min="13068" max="13068" width="14" style="365" bestFit="1" customWidth="1"/>
    <col min="13069" max="13069" width="12.28515625" style="365" bestFit="1" customWidth="1"/>
    <col min="13070" max="13094" width="9.140625" style="365" customWidth="1"/>
    <col min="13095" max="13289" width="8.85546875" style="365"/>
    <col min="13290" max="13290" width="44.5703125" style="365" customWidth="1"/>
    <col min="13291" max="13291" width="14.28515625" style="365" bestFit="1" customWidth="1"/>
    <col min="13292" max="13292" width="1.7109375" style="365" customWidth="1"/>
    <col min="13293" max="13293" width="14.85546875" style="365" customWidth="1"/>
    <col min="13294" max="13294" width="0" style="365" hidden="1" customWidth="1"/>
    <col min="13295" max="13295" width="17.42578125" style="365" customWidth="1"/>
    <col min="13296" max="13296" width="0" style="365" hidden="1" customWidth="1"/>
    <col min="13297" max="13297" width="12.85546875" style="365" customWidth="1"/>
    <col min="13298" max="13298" width="0" style="365" hidden="1" customWidth="1"/>
    <col min="13299" max="13299" width="14.42578125" style="365" customWidth="1"/>
    <col min="13300" max="13300" width="0" style="365" hidden="1" customWidth="1"/>
    <col min="13301" max="13301" width="17.42578125" style="365" customWidth="1"/>
    <col min="13302" max="13302" width="0" style="365" hidden="1" customWidth="1"/>
    <col min="13303" max="13303" width="14" style="365" customWidth="1"/>
    <col min="13304" max="13304" width="14.28515625" style="365" bestFit="1" customWidth="1"/>
    <col min="13305" max="13305" width="0" style="365" hidden="1" customWidth="1"/>
    <col min="13306" max="13306" width="15.5703125" style="365" customWidth="1"/>
    <col min="13307" max="13307" width="44.5703125" style="365" customWidth="1"/>
    <col min="13308" max="13308" width="14.28515625" style="365" bestFit="1" customWidth="1"/>
    <col min="13309" max="13309" width="0" style="365" hidden="1" customWidth="1"/>
    <col min="13310" max="13310" width="18.140625" style="365" customWidth="1"/>
    <col min="13311" max="13311" width="0" style="365" hidden="1" customWidth="1"/>
    <col min="13312" max="13312" width="14" style="365" customWidth="1"/>
    <col min="13313" max="13313" width="0" style="365" hidden="1" customWidth="1"/>
    <col min="13314" max="13314" width="20.85546875" style="365" customWidth="1"/>
    <col min="13315" max="13315" width="0" style="365" hidden="1" customWidth="1"/>
    <col min="13316" max="13316" width="13.28515625" style="365" customWidth="1"/>
    <col min="13317" max="13317" width="0" style="365" hidden="1" customWidth="1"/>
    <col min="13318" max="13318" width="15" style="365" customWidth="1"/>
    <col min="13319" max="13319" width="0" style="365" hidden="1" customWidth="1"/>
    <col min="13320" max="13320" width="13.28515625" style="365" customWidth="1"/>
    <col min="13321" max="13321" width="0" style="365" hidden="1" customWidth="1"/>
    <col min="13322" max="13322" width="20.140625" style="365" customWidth="1"/>
    <col min="13323" max="13323" width="14.42578125" style="365" bestFit="1" customWidth="1"/>
    <col min="13324" max="13324" width="14" style="365" bestFit="1" customWidth="1"/>
    <col min="13325" max="13325" width="12.28515625" style="365" bestFit="1" customWidth="1"/>
    <col min="13326" max="13350" width="9.140625" style="365" customWidth="1"/>
    <col min="13351" max="13545" width="8.85546875" style="365"/>
    <col min="13546" max="13546" width="44.5703125" style="365" customWidth="1"/>
    <col min="13547" max="13547" width="14.28515625" style="365" bestFit="1" customWidth="1"/>
    <col min="13548" max="13548" width="1.7109375" style="365" customWidth="1"/>
    <col min="13549" max="13549" width="14.85546875" style="365" customWidth="1"/>
    <col min="13550" max="13550" width="0" style="365" hidden="1" customWidth="1"/>
    <col min="13551" max="13551" width="17.42578125" style="365" customWidth="1"/>
    <col min="13552" max="13552" width="0" style="365" hidden="1" customWidth="1"/>
    <col min="13553" max="13553" width="12.85546875" style="365" customWidth="1"/>
    <col min="13554" max="13554" width="0" style="365" hidden="1" customWidth="1"/>
    <col min="13555" max="13555" width="14.42578125" style="365" customWidth="1"/>
    <col min="13556" max="13556" width="0" style="365" hidden="1" customWidth="1"/>
    <col min="13557" max="13557" width="17.42578125" style="365" customWidth="1"/>
    <col min="13558" max="13558" width="0" style="365" hidden="1" customWidth="1"/>
    <col min="13559" max="13559" width="14" style="365" customWidth="1"/>
    <col min="13560" max="13560" width="14.28515625" style="365" bestFit="1" customWidth="1"/>
    <col min="13561" max="13561" width="0" style="365" hidden="1" customWidth="1"/>
    <col min="13562" max="13562" width="15.5703125" style="365" customWidth="1"/>
    <col min="13563" max="13563" width="44.5703125" style="365" customWidth="1"/>
    <col min="13564" max="13564" width="14.28515625" style="365" bestFit="1" customWidth="1"/>
    <col min="13565" max="13565" width="0" style="365" hidden="1" customWidth="1"/>
    <col min="13566" max="13566" width="18.140625" style="365" customWidth="1"/>
    <col min="13567" max="13567" width="0" style="365" hidden="1" customWidth="1"/>
    <col min="13568" max="13568" width="14" style="365" customWidth="1"/>
    <col min="13569" max="13569" width="0" style="365" hidden="1" customWidth="1"/>
    <col min="13570" max="13570" width="20.85546875" style="365" customWidth="1"/>
    <col min="13571" max="13571" width="0" style="365" hidden="1" customWidth="1"/>
    <col min="13572" max="13572" width="13.28515625" style="365" customWidth="1"/>
    <col min="13573" max="13573" width="0" style="365" hidden="1" customWidth="1"/>
    <col min="13574" max="13574" width="15" style="365" customWidth="1"/>
    <col min="13575" max="13575" width="0" style="365" hidden="1" customWidth="1"/>
    <col min="13576" max="13576" width="13.28515625" style="365" customWidth="1"/>
    <col min="13577" max="13577" width="0" style="365" hidden="1" customWidth="1"/>
    <col min="13578" max="13578" width="20.140625" style="365" customWidth="1"/>
    <col min="13579" max="13579" width="14.42578125" style="365" bestFit="1" customWidth="1"/>
    <col min="13580" max="13580" width="14" style="365" bestFit="1" customWidth="1"/>
    <col min="13581" max="13581" width="12.28515625" style="365" bestFit="1" customWidth="1"/>
    <col min="13582" max="13606" width="9.140625" style="365" customWidth="1"/>
    <col min="13607" max="13801" width="8.85546875" style="365"/>
    <col min="13802" max="13802" width="44.5703125" style="365" customWidth="1"/>
    <col min="13803" max="13803" width="14.28515625" style="365" bestFit="1" customWidth="1"/>
    <col min="13804" max="13804" width="1.7109375" style="365" customWidth="1"/>
    <col min="13805" max="13805" width="14.85546875" style="365" customWidth="1"/>
    <col min="13806" max="13806" width="0" style="365" hidden="1" customWidth="1"/>
    <col min="13807" max="13807" width="17.42578125" style="365" customWidth="1"/>
    <col min="13808" max="13808" width="0" style="365" hidden="1" customWidth="1"/>
    <col min="13809" max="13809" width="12.85546875" style="365" customWidth="1"/>
    <col min="13810" max="13810" width="0" style="365" hidden="1" customWidth="1"/>
    <col min="13811" max="13811" width="14.42578125" style="365" customWidth="1"/>
    <col min="13812" max="13812" width="0" style="365" hidden="1" customWidth="1"/>
    <col min="13813" max="13813" width="17.42578125" style="365" customWidth="1"/>
    <col min="13814" max="13814" width="0" style="365" hidden="1" customWidth="1"/>
    <col min="13815" max="13815" width="14" style="365" customWidth="1"/>
    <col min="13816" max="13816" width="14.28515625" style="365" bestFit="1" customWidth="1"/>
    <col min="13817" max="13817" width="0" style="365" hidden="1" customWidth="1"/>
    <col min="13818" max="13818" width="15.5703125" style="365" customWidth="1"/>
    <col min="13819" max="13819" width="44.5703125" style="365" customWidth="1"/>
    <col min="13820" max="13820" width="14.28515625" style="365" bestFit="1" customWidth="1"/>
    <col min="13821" max="13821" width="0" style="365" hidden="1" customWidth="1"/>
    <col min="13822" max="13822" width="18.140625" style="365" customWidth="1"/>
    <col min="13823" max="13823" width="0" style="365" hidden="1" customWidth="1"/>
    <col min="13824" max="13824" width="14" style="365" customWidth="1"/>
    <col min="13825" max="13825" width="0" style="365" hidden="1" customWidth="1"/>
    <col min="13826" max="13826" width="20.85546875" style="365" customWidth="1"/>
    <col min="13827" max="13827" width="0" style="365" hidden="1" customWidth="1"/>
    <col min="13828" max="13828" width="13.28515625" style="365" customWidth="1"/>
    <col min="13829" max="13829" width="0" style="365" hidden="1" customWidth="1"/>
    <col min="13830" max="13830" width="15" style="365" customWidth="1"/>
    <col min="13831" max="13831" width="0" style="365" hidden="1" customWidth="1"/>
    <col min="13832" max="13832" width="13.28515625" style="365" customWidth="1"/>
    <col min="13833" max="13833" width="0" style="365" hidden="1" customWidth="1"/>
    <col min="13834" max="13834" width="20.140625" style="365" customWidth="1"/>
    <col min="13835" max="13835" width="14.42578125" style="365" bestFit="1" customWidth="1"/>
    <col min="13836" max="13836" width="14" style="365" bestFit="1" customWidth="1"/>
    <col min="13837" max="13837" width="12.28515625" style="365" bestFit="1" customWidth="1"/>
    <col min="13838" max="13862" width="9.140625" style="365" customWidth="1"/>
    <col min="13863" max="14057" width="8.85546875" style="365"/>
    <col min="14058" max="14058" width="44.5703125" style="365" customWidth="1"/>
    <col min="14059" max="14059" width="14.28515625" style="365" bestFit="1" customWidth="1"/>
    <col min="14060" max="14060" width="1.7109375" style="365" customWidth="1"/>
    <col min="14061" max="14061" width="14.85546875" style="365" customWidth="1"/>
    <col min="14062" max="14062" width="0" style="365" hidden="1" customWidth="1"/>
    <col min="14063" max="14063" width="17.42578125" style="365" customWidth="1"/>
    <col min="14064" max="14064" width="0" style="365" hidden="1" customWidth="1"/>
    <col min="14065" max="14065" width="12.85546875" style="365" customWidth="1"/>
    <col min="14066" max="14066" width="0" style="365" hidden="1" customWidth="1"/>
    <col min="14067" max="14067" width="14.42578125" style="365" customWidth="1"/>
    <col min="14068" max="14068" width="0" style="365" hidden="1" customWidth="1"/>
    <col min="14069" max="14069" width="17.42578125" style="365" customWidth="1"/>
    <col min="14070" max="14070" width="0" style="365" hidden="1" customWidth="1"/>
    <col min="14071" max="14071" width="14" style="365" customWidth="1"/>
    <col min="14072" max="14072" width="14.28515625" style="365" bestFit="1" customWidth="1"/>
    <col min="14073" max="14073" width="0" style="365" hidden="1" customWidth="1"/>
    <col min="14074" max="14074" width="15.5703125" style="365" customWidth="1"/>
    <col min="14075" max="14075" width="44.5703125" style="365" customWidth="1"/>
    <col min="14076" max="14076" width="14.28515625" style="365" bestFit="1" customWidth="1"/>
    <col min="14077" max="14077" width="0" style="365" hidden="1" customWidth="1"/>
    <col min="14078" max="14078" width="18.140625" style="365" customWidth="1"/>
    <col min="14079" max="14079" width="0" style="365" hidden="1" customWidth="1"/>
    <col min="14080" max="14080" width="14" style="365" customWidth="1"/>
    <col min="14081" max="14081" width="0" style="365" hidden="1" customWidth="1"/>
    <col min="14082" max="14082" width="20.85546875" style="365" customWidth="1"/>
    <col min="14083" max="14083" width="0" style="365" hidden="1" customWidth="1"/>
    <col min="14084" max="14084" width="13.28515625" style="365" customWidth="1"/>
    <col min="14085" max="14085" width="0" style="365" hidden="1" customWidth="1"/>
    <col min="14086" max="14086" width="15" style="365" customWidth="1"/>
    <col min="14087" max="14087" width="0" style="365" hidden="1" customWidth="1"/>
    <col min="14088" max="14088" width="13.28515625" style="365" customWidth="1"/>
    <col min="14089" max="14089" width="0" style="365" hidden="1" customWidth="1"/>
    <col min="14090" max="14090" width="20.140625" style="365" customWidth="1"/>
    <col min="14091" max="14091" width="14.42578125" style="365" bestFit="1" customWidth="1"/>
    <col min="14092" max="14092" width="14" style="365" bestFit="1" customWidth="1"/>
    <col min="14093" max="14093" width="12.28515625" style="365" bestFit="1" customWidth="1"/>
    <col min="14094" max="14118" width="9.140625" style="365" customWidth="1"/>
    <col min="14119" max="14313" width="8.85546875" style="365"/>
    <col min="14314" max="14314" width="44.5703125" style="365" customWidth="1"/>
    <col min="14315" max="14315" width="14.28515625" style="365" bestFit="1" customWidth="1"/>
    <col min="14316" max="14316" width="1.7109375" style="365" customWidth="1"/>
    <col min="14317" max="14317" width="14.85546875" style="365" customWidth="1"/>
    <col min="14318" max="14318" width="0" style="365" hidden="1" customWidth="1"/>
    <col min="14319" max="14319" width="17.42578125" style="365" customWidth="1"/>
    <col min="14320" max="14320" width="0" style="365" hidden="1" customWidth="1"/>
    <col min="14321" max="14321" width="12.85546875" style="365" customWidth="1"/>
    <col min="14322" max="14322" width="0" style="365" hidden="1" customWidth="1"/>
    <col min="14323" max="14323" width="14.42578125" style="365" customWidth="1"/>
    <col min="14324" max="14324" width="0" style="365" hidden="1" customWidth="1"/>
    <col min="14325" max="14325" width="17.42578125" style="365" customWidth="1"/>
    <col min="14326" max="14326" width="0" style="365" hidden="1" customWidth="1"/>
    <col min="14327" max="14327" width="14" style="365" customWidth="1"/>
    <col min="14328" max="14328" width="14.28515625" style="365" bestFit="1" customWidth="1"/>
    <col min="14329" max="14329" width="0" style="365" hidden="1" customWidth="1"/>
    <col min="14330" max="14330" width="15.5703125" style="365" customWidth="1"/>
    <col min="14331" max="14331" width="44.5703125" style="365" customWidth="1"/>
    <col min="14332" max="14332" width="14.28515625" style="365" bestFit="1" customWidth="1"/>
    <col min="14333" max="14333" width="0" style="365" hidden="1" customWidth="1"/>
    <col min="14334" max="14334" width="18.140625" style="365" customWidth="1"/>
    <col min="14335" max="14335" width="0" style="365" hidden="1" customWidth="1"/>
    <col min="14336" max="14336" width="14" style="365" customWidth="1"/>
    <col min="14337" max="14337" width="0" style="365" hidden="1" customWidth="1"/>
    <col min="14338" max="14338" width="20.85546875" style="365" customWidth="1"/>
    <col min="14339" max="14339" width="0" style="365" hidden="1" customWidth="1"/>
    <col min="14340" max="14340" width="13.28515625" style="365" customWidth="1"/>
    <col min="14341" max="14341" width="0" style="365" hidden="1" customWidth="1"/>
    <col min="14342" max="14342" width="15" style="365" customWidth="1"/>
    <col min="14343" max="14343" width="0" style="365" hidden="1" customWidth="1"/>
    <col min="14344" max="14344" width="13.28515625" style="365" customWidth="1"/>
    <col min="14345" max="14345" width="0" style="365" hidden="1" customWidth="1"/>
    <col min="14346" max="14346" width="20.140625" style="365" customWidth="1"/>
    <col min="14347" max="14347" width="14.42578125" style="365" bestFit="1" customWidth="1"/>
    <col min="14348" max="14348" width="14" style="365" bestFit="1" customWidth="1"/>
    <col min="14349" max="14349" width="12.28515625" style="365" bestFit="1" customWidth="1"/>
    <col min="14350" max="14374" width="9.140625" style="365" customWidth="1"/>
    <col min="14375" max="14569" width="8.85546875" style="365"/>
    <col min="14570" max="14570" width="44.5703125" style="365" customWidth="1"/>
    <col min="14571" max="14571" width="14.28515625" style="365" bestFit="1" customWidth="1"/>
    <col min="14572" max="14572" width="1.7109375" style="365" customWidth="1"/>
    <col min="14573" max="14573" width="14.85546875" style="365" customWidth="1"/>
    <col min="14574" max="14574" width="0" style="365" hidden="1" customWidth="1"/>
    <col min="14575" max="14575" width="17.42578125" style="365" customWidth="1"/>
    <col min="14576" max="14576" width="0" style="365" hidden="1" customWidth="1"/>
    <col min="14577" max="14577" width="12.85546875" style="365" customWidth="1"/>
    <col min="14578" max="14578" width="0" style="365" hidden="1" customWidth="1"/>
    <col min="14579" max="14579" width="14.42578125" style="365" customWidth="1"/>
    <col min="14580" max="14580" width="0" style="365" hidden="1" customWidth="1"/>
    <col min="14581" max="14581" width="17.42578125" style="365" customWidth="1"/>
    <col min="14582" max="14582" width="0" style="365" hidden="1" customWidth="1"/>
    <col min="14583" max="14583" width="14" style="365" customWidth="1"/>
    <col min="14584" max="14584" width="14.28515625" style="365" bestFit="1" customWidth="1"/>
    <col min="14585" max="14585" width="0" style="365" hidden="1" customWidth="1"/>
    <col min="14586" max="14586" width="15.5703125" style="365" customWidth="1"/>
    <col min="14587" max="14587" width="44.5703125" style="365" customWidth="1"/>
    <col min="14588" max="14588" width="14.28515625" style="365" bestFit="1" customWidth="1"/>
    <col min="14589" max="14589" width="0" style="365" hidden="1" customWidth="1"/>
    <col min="14590" max="14590" width="18.140625" style="365" customWidth="1"/>
    <col min="14591" max="14591" width="0" style="365" hidden="1" customWidth="1"/>
    <col min="14592" max="14592" width="14" style="365" customWidth="1"/>
    <col min="14593" max="14593" width="0" style="365" hidden="1" customWidth="1"/>
    <col min="14594" max="14594" width="20.85546875" style="365" customWidth="1"/>
    <col min="14595" max="14595" width="0" style="365" hidden="1" customWidth="1"/>
    <col min="14596" max="14596" width="13.28515625" style="365" customWidth="1"/>
    <col min="14597" max="14597" width="0" style="365" hidden="1" customWidth="1"/>
    <col min="14598" max="14598" width="15" style="365" customWidth="1"/>
    <col min="14599" max="14599" width="0" style="365" hidden="1" customWidth="1"/>
    <col min="14600" max="14600" width="13.28515625" style="365" customWidth="1"/>
    <col min="14601" max="14601" width="0" style="365" hidden="1" customWidth="1"/>
    <col min="14602" max="14602" width="20.140625" style="365" customWidth="1"/>
    <col min="14603" max="14603" width="14.42578125" style="365" bestFit="1" customWidth="1"/>
    <col min="14604" max="14604" width="14" style="365" bestFit="1" customWidth="1"/>
    <col min="14605" max="14605" width="12.28515625" style="365" bestFit="1" customWidth="1"/>
    <col min="14606" max="14630" width="9.140625" style="365" customWidth="1"/>
    <col min="14631" max="14825" width="8.85546875" style="365"/>
    <col min="14826" max="14826" width="44.5703125" style="365" customWidth="1"/>
    <col min="14827" max="14827" width="14.28515625" style="365" bestFit="1" customWidth="1"/>
    <col min="14828" max="14828" width="1.7109375" style="365" customWidth="1"/>
    <col min="14829" max="14829" width="14.85546875" style="365" customWidth="1"/>
    <col min="14830" max="14830" width="0" style="365" hidden="1" customWidth="1"/>
    <col min="14831" max="14831" width="17.42578125" style="365" customWidth="1"/>
    <col min="14832" max="14832" width="0" style="365" hidden="1" customWidth="1"/>
    <col min="14833" max="14833" width="12.85546875" style="365" customWidth="1"/>
    <col min="14834" max="14834" width="0" style="365" hidden="1" customWidth="1"/>
    <col min="14835" max="14835" width="14.42578125" style="365" customWidth="1"/>
    <col min="14836" max="14836" width="0" style="365" hidden="1" customWidth="1"/>
    <col min="14837" max="14837" width="17.42578125" style="365" customWidth="1"/>
    <col min="14838" max="14838" width="0" style="365" hidden="1" customWidth="1"/>
    <col min="14839" max="14839" width="14" style="365" customWidth="1"/>
    <col min="14840" max="14840" width="14.28515625" style="365" bestFit="1" customWidth="1"/>
    <col min="14841" max="14841" width="0" style="365" hidden="1" customWidth="1"/>
    <col min="14842" max="14842" width="15.5703125" style="365" customWidth="1"/>
    <col min="14843" max="14843" width="44.5703125" style="365" customWidth="1"/>
    <col min="14844" max="14844" width="14.28515625" style="365" bestFit="1" customWidth="1"/>
    <col min="14845" max="14845" width="0" style="365" hidden="1" customWidth="1"/>
    <col min="14846" max="14846" width="18.140625" style="365" customWidth="1"/>
    <col min="14847" max="14847" width="0" style="365" hidden="1" customWidth="1"/>
    <col min="14848" max="14848" width="14" style="365" customWidth="1"/>
    <col min="14849" max="14849" width="0" style="365" hidden="1" customWidth="1"/>
    <col min="14850" max="14850" width="20.85546875" style="365" customWidth="1"/>
    <col min="14851" max="14851" width="0" style="365" hidden="1" customWidth="1"/>
    <col min="14852" max="14852" width="13.28515625" style="365" customWidth="1"/>
    <col min="14853" max="14853" width="0" style="365" hidden="1" customWidth="1"/>
    <col min="14854" max="14854" width="15" style="365" customWidth="1"/>
    <col min="14855" max="14855" width="0" style="365" hidden="1" customWidth="1"/>
    <col min="14856" max="14856" width="13.28515625" style="365" customWidth="1"/>
    <col min="14857" max="14857" width="0" style="365" hidden="1" customWidth="1"/>
    <col min="14858" max="14858" width="20.140625" style="365" customWidth="1"/>
    <col min="14859" max="14859" width="14.42578125" style="365" bestFit="1" customWidth="1"/>
    <col min="14860" max="14860" width="14" style="365" bestFit="1" customWidth="1"/>
    <col min="14861" max="14861" width="12.28515625" style="365" bestFit="1" customWidth="1"/>
    <col min="14862" max="14886" width="9.140625" style="365" customWidth="1"/>
    <col min="14887" max="15081" width="8.85546875" style="365"/>
    <col min="15082" max="15082" width="44.5703125" style="365" customWidth="1"/>
    <col min="15083" max="15083" width="14.28515625" style="365" bestFit="1" customWidth="1"/>
    <col min="15084" max="15084" width="1.7109375" style="365" customWidth="1"/>
    <col min="15085" max="15085" width="14.85546875" style="365" customWidth="1"/>
    <col min="15086" max="15086" width="0" style="365" hidden="1" customWidth="1"/>
    <col min="15087" max="15087" width="17.42578125" style="365" customWidth="1"/>
    <col min="15088" max="15088" width="0" style="365" hidden="1" customWidth="1"/>
    <col min="15089" max="15089" width="12.85546875" style="365" customWidth="1"/>
    <col min="15090" max="15090" width="0" style="365" hidden="1" customWidth="1"/>
    <col min="15091" max="15091" width="14.42578125" style="365" customWidth="1"/>
    <col min="15092" max="15092" width="0" style="365" hidden="1" customWidth="1"/>
    <col min="15093" max="15093" width="17.42578125" style="365" customWidth="1"/>
    <col min="15094" max="15094" width="0" style="365" hidden="1" customWidth="1"/>
    <col min="15095" max="15095" width="14" style="365" customWidth="1"/>
    <col min="15096" max="15096" width="14.28515625" style="365" bestFit="1" customWidth="1"/>
    <col min="15097" max="15097" width="0" style="365" hidden="1" customWidth="1"/>
    <col min="15098" max="15098" width="15.5703125" style="365" customWidth="1"/>
    <col min="15099" max="15099" width="44.5703125" style="365" customWidth="1"/>
    <col min="15100" max="15100" width="14.28515625" style="365" bestFit="1" customWidth="1"/>
    <col min="15101" max="15101" width="0" style="365" hidden="1" customWidth="1"/>
    <col min="15102" max="15102" width="18.140625" style="365" customWidth="1"/>
    <col min="15103" max="15103" width="0" style="365" hidden="1" customWidth="1"/>
    <col min="15104" max="15104" width="14" style="365" customWidth="1"/>
    <col min="15105" max="15105" width="0" style="365" hidden="1" customWidth="1"/>
    <col min="15106" max="15106" width="20.85546875" style="365" customWidth="1"/>
    <col min="15107" max="15107" width="0" style="365" hidden="1" customWidth="1"/>
    <col min="15108" max="15108" width="13.28515625" style="365" customWidth="1"/>
    <col min="15109" max="15109" width="0" style="365" hidden="1" customWidth="1"/>
    <col min="15110" max="15110" width="15" style="365" customWidth="1"/>
    <col min="15111" max="15111" width="0" style="365" hidden="1" customWidth="1"/>
    <col min="15112" max="15112" width="13.28515625" style="365" customWidth="1"/>
    <col min="15113" max="15113" width="0" style="365" hidden="1" customWidth="1"/>
    <col min="15114" max="15114" width="20.140625" style="365" customWidth="1"/>
    <col min="15115" max="15115" width="14.42578125" style="365" bestFit="1" customWidth="1"/>
    <col min="15116" max="15116" width="14" style="365" bestFit="1" customWidth="1"/>
    <col min="15117" max="15117" width="12.28515625" style="365" bestFit="1" customWidth="1"/>
    <col min="15118" max="15142" width="9.140625" style="365" customWidth="1"/>
    <col min="15143" max="15337" width="8.85546875" style="365"/>
    <col min="15338" max="15338" width="44.5703125" style="365" customWidth="1"/>
    <col min="15339" max="15339" width="14.28515625" style="365" bestFit="1" customWidth="1"/>
    <col min="15340" max="15340" width="1.7109375" style="365" customWidth="1"/>
    <col min="15341" max="15341" width="14.85546875" style="365" customWidth="1"/>
    <col min="15342" max="15342" width="0" style="365" hidden="1" customWidth="1"/>
    <col min="15343" max="15343" width="17.42578125" style="365" customWidth="1"/>
    <col min="15344" max="15344" width="0" style="365" hidden="1" customWidth="1"/>
    <col min="15345" max="15345" width="12.85546875" style="365" customWidth="1"/>
    <col min="15346" max="15346" width="0" style="365" hidden="1" customWidth="1"/>
    <col min="15347" max="15347" width="14.42578125" style="365" customWidth="1"/>
    <col min="15348" max="15348" width="0" style="365" hidden="1" customWidth="1"/>
    <col min="15349" max="15349" width="17.42578125" style="365" customWidth="1"/>
    <col min="15350" max="15350" width="0" style="365" hidden="1" customWidth="1"/>
    <col min="15351" max="15351" width="14" style="365" customWidth="1"/>
    <col min="15352" max="15352" width="14.28515625" style="365" bestFit="1" customWidth="1"/>
    <col min="15353" max="15353" width="0" style="365" hidden="1" customWidth="1"/>
    <col min="15354" max="15354" width="15.5703125" style="365" customWidth="1"/>
    <col min="15355" max="15355" width="44.5703125" style="365" customWidth="1"/>
    <col min="15356" max="15356" width="14.28515625" style="365" bestFit="1" customWidth="1"/>
    <col min="15357" max="15357" width="0" style="365" hidden="1" customWidth="1"/>
    <col min="15358" max="15358" width="18.140625" style="365" customWidth="1"/>
    <col min="15359" max="15359" width="0" style="365" hidden="1" customWidth="1"/>
    <col min="15360" max="15360" width="14" style="365" customWidth="1"/>
    <col min="15361" max="15361" width="0" style="365" hidden="1" customWidth="1"/>
    <col min="15362" max="15362" width="20.85546875" style="365" customWidth="1"/>
    <col min="15363" max="15363" width="0" style="365" hidden="1" customWidth="1"/>
    <col min="15364" max="15364" width="13.28515625" style="365" customWidth="1"/>
    <col min="15365" max="15365" width="0" style="365" hidden="1" customWidth="1"/>
    <col min="15366" max="15366" width="15" style="365" customWidth="1"/>
    <col min="15367" max="15367" width="0" style="365" hidden="1" customWidth="1"/>
    <col min="15368" max="15368" width="13.28515625" style="365" customWidth="1"/>
    <col min="15369" max="15369" width="0" style="365" hidden="1" customWidth="1"/>
    <col min="15370" max="15370" width="20.140625" style="365" customWidth="1"/>
    <col min="15371" max="15371" width="14.42578125" style="365" bestFit="1" customWidth="1"/>
    <col min="15372" max="15372" width="14" style="365" bestFit="1" customWidth="1"/>
    <col min="15373" max="15373" width="12.28515625" style="365" bestFit="1" customWidth="1"/>
    <col min="15374" max="15398" width="9.140625" style="365" customWidth="1"/>
    <col min="15399" max="15593" width="8.85546875" style="365"/>
    <col min="15594" max="15594" width="44.5703125" style="365" customWidth="1"/>
    <col min="15595" max="15595" width="14.28515625" style="365" bestFit="1" customWidth="1"/>
    <col min="15596" max="15596" width="1.7109375" style="365" customWidth="1"/>
    <col min="15597" max="15597" width="14.85546875" style="365" customWidth="1"/>
    <col min="15598" max="15598" width="0" style="365" hidden="1" customWidth="1"/>
    <col min="15599" max="15599" width="17.42578125" style="365" customWidth="1"/>
    <col min="15600" max="15600" width="0" style="365" hidden="1" customWidth="1"/>
    <col min="15601" max="15601" width="12.85546875" style="365" customWidth="1"/>
    <col min="15602" max="15602" width="0" style="365" hidden="1" customWidth="1"/>
    <col min="15603" max="15603" width="14.42578125" style="365" customWidth="1"/>
    <col min="15604" max="15604" width="0" style="365" hidden="1" customWidth="1"/>
    <col min="15605" max="15605" width="17.42578125" style="365" customWidth="1"/>
    <col min="15606" max="15606" width="0" style="365" hidden="1" customWidth="1"/>
    <col min="15607" max="15607" width="14" style="365" customWidth="1"/>
    <col min="15608" max="15608" width="14.28515625" style="365" bestFit="1" customWidth="1"/>
    <col min="15609" max="15609" width="0" style="365" hidden="1" customWidth="1"/>
    <col min="15610" max="15610" width="15.5703125" style="365" customWidth="1"/>
    <col min="15611" max="15611" width="44.5703125" style="365" customWidth="1"/>
    <col min="15612" max="15612" width="14.28515625" style="365" bestFit="1" customWidth="1"/>
    <col min="15613" max="15613" width="0" style="365" hidden="1" customWidth="1"/>
    <col min="15614" max="15614" width="18.140625" style="365" customWidth="1"/>
    <col min="15615" max="15615" width="0" style="365" hidden="1" customWidth="1"/>
    <col min="15616" max="15616" width="14" style="365" customWidth="1"/>
    <col min="15617" max="15617" width="0" style="365" hidden="1" customWidth="1"/>
    <col min="15618" max="15618" width="20.85546875" style="365" customWidth="1"/>
    <col min="15619" max="15619" width="0" style="365" hidden="1" customWidth="1"/>
    <col min="15620" max="15620" width="13.28515625" style="365" customWidth="1"/>
    <col min="15621" max="15621" width="0" style="365" hidden="1" customWidth="1"/>
    <col min="15622" max="15622" width="15" style="365" customWidth="1"/>
    <col min="15623" max="15623" width="0" style="365" hidden="1" customWidth="1"/>
    <col min="15624" max="15624" width="13.28515625" style="365" customWidth="1"/>
    <col min="15625" max="15625" width="0" style="365" hidden="1" customWidth="1"/>
    <col min="15626" max="15626" width="20.140625" style="365" customWidth="1"/>
    <col min="15627" max="15627" width="14.42578125" style="365" bestFit="1" customWidth="1"/>
    <col min="15628" max="15628" width="14" style="365" bestFit="1" customWidth="1"/>
    <col min="15629" max="15629" width="12.28515625" style="365" bestFit="1" customWidth="1"/>
    <col min="15630" max="15654" width="9.140625" style="365" customWidth="1"/>
    <col min="15655" max="15849" width="8.85546875" style="365"/>
    <col min="15850" max="15850" width="44.5703125" style="365" customWidth="1"/>
    <col min="15851" max="15851" width="14.28515625" style="365" bestFit="1" customWidth="1"/>
    <col min="15852" max="15852" width="1.7109375" style="365" customWidth="1"/>
    <col min="15853" max="15853" width="14.85546875" style="365" customWidth="1"/>
    <col min="15854" max="15854" width="0" style="365" hidden="1" customWidth="1"/>
    <col min="15855" max="15855" width="17.42578125" style="365" customWidth="1"/>
    <col min="15856" max="15856" width="0" style="365" hidden="1" customWidth="1"/>
    <col min="15857" max="15857" width="12.85546875" style="365" customWidth="1"/>
    <col min="15858" max="15858" width="0" style="365" hidden="1" customWidth="1"/>
    <col min="15859" max="15859" width="14.42578125" style="365" customWidth="1"/>
    <col min="15860" max="15860" width="0" style="365" hidden="1" customWidth="1"/>
    <col min="15861" max="15861" width="17.42578125" style="365" customWidth="1"/>
    <col min="15862" max="15862" width="0" style="365" hidden="1" customWidth="1"/>
    <col min="15863" max="15863" width="14" style="365" customWidth="1"/>
    <col min="15864" max="15864" width="14.28515625" style="365" bestFit="1" customWidth="1"/>
    <col min="15865" max="15865" width="0" style="365" hidden="1" customWidth="1"/>
    <col min="15866" max="15866" width="15.5703125" style="365" customWidth="1"/>
    <col min="15867" max="15867" width="44.5703125" style="365" customWidth="1"/>
    <col min="15868" max="15868" width="14.28515625" style="365" bestFit="1" customWidth="1"/>
    <col min="15869" max="15869" width="0" style="365" hidden="1" customWidth="1"/>
    <col min="15870" max="15870" width="18.140625" style="365" customWidth="1"/>
    <col min="15871" max="15871" width="0" style="365" hidden="1" customWidth="1"/>
    <col min="15872" max="15872" width="14" style="365" customWidth="1"/>
    <col min="15873" max="15873" width="0" style="365" hidden="1" customWidth="1"/>
    <col min="15874" max="15874" width="20.85546875" style="365" customWidth="1"/>
    <col min="15875" max="15875" width="0" style="365" hidden="1" customWidth="1"/>
    <col min="15876" max="15876" width="13.28515625" style="365" customWidth="1"/>
    <col min="15877" max="15877" width="0" style="365" hidden="1" customWidth="1"/>
    <col min="15878" max="15878" width="15" style="365" customWidth="1"/>
    <col min="15879" max="15879" width="0" style="365" hidden="1" customWidth="1"/>
    <col min="15880" max="15880" width="13.28515625" style="365" customWidth="1"/>
    <col min="15881" max="15881" width="0" style="365" hidden="1" customWidth="1"/>
    <col min="15882" max="15882" width="20.140625" style="365" customWidth="1"/>
    <col min="15883" max="15883" width="14.42578125" style="365" bestFit="1" customWidth="1"/>
    <col min="15884" max="15884" width="14" style="365" bestFit="1" customWidth="1"/>
    <col min="15885" max="15885" width="12.28515625" style="365" bestFit="1" customWidth="1"/>
    <col min="15886" max="15910" width="9.140625" style="365" customWidth="1"/>
    <col min="15911" max="16105" width="8.85546875" style="365"/>
    <col min="16106" max="16106" width="44.5703125" style="365" customWidth="1"/>
    <col min="16107" max="16107" width="14.28515625" style="365" bestFit="1" customWidth="1"/>
    <col min="16108" max="16108" width="1.7109375" style="365" customWidth="1"/>
    <col min="16109" max="16109" width="14.85546875" style="365" customWidth="1"/>
    <col min="16110" max="16110" width="0" style="365" hidden="1" customWidth="1"/>
    <col min="16111" max="16111" width="17.42578125" style="365" customWidth="1"/>
    <col min="16112" max="16112" width="0" style="365" hidden="1" customWidth="1"/>
    <col min="16113" max="16113" width="12.85546875" style="365" customWidth="1"/>
    <col min="16114" max="16114" width="0" style="365" hidden="1" customWidth="1"/>
    <col min="16115" max="16115" width="14.42578125" style="365" customWidth="1"/>
    <col min="16116" max="16116" width="0" style="365" hidden="1" customWidth="1"/>
    <col min="16117" max="16117" width="17.42578125" style="365" customWidth="1"/>
    <col min="16118" max="16118" width="0" style="365" hidden="1" customWidth="1"/>
    <col min="16119" max="16119" width="14" style="365" customWidth="1"/>
    <col min="16120" max="16120" width="14.28515625" style="365" bestFit="1" customWidth="1"/>
    <col min="16121" max="16121" width="0" style="365" hidden="1" customWidth="1"/>
    <col min="16122" max="16122" width="15.5703125" style="365" customWidth="1"/>
    <col min="16123" max="16123" width="44.5703125" style="365" customWidth="1"/>
    <col min="16124" max="16124" width="14.28515625" style="365" bestFit="1" customWidth="1"/>
    <col min="16125" max="16125" width="0" style="365" hidden="1" customWidth="1"/>
    <col min="16126" max="16126" width="18.140625" style="365" customWidth="1"/>
    <col min="16127" max="16127" width="0" style="365" hidden="1" customWidth="1"/>
    <col min="16128" max="16128" width="14" style="365" customWidth="1"/>
    <col min="16129" max="16129" width="0" style="365" hidden="1" customWidth="1"/>
    <col min="16130" max="16130" width="20.85546875" style="365" customWidth="1"/>
    <col min="16131" max="16131" width="0" style="365" hidden="1" customWidth="1"/>
    <col min="16132" max="16132" width="13.28515625" style="365" customWidth="1"/>
    <col min="16133" max="16133" width="0" style="365" hidden="1" customWidth="1"/>
    <col min="16134" max="16134" width="15" style="365" customWidth="1"/>
    <col min="16135" max="16135" width="0" style="365" hidden="1" customWidth="1"/>
    <col min="16136" max="16136" width="13.28515625" style="365" customWidth="1"/>
    <col min="16137" max="16137" width="0" style="365" hidden="1" customWidth="1"/>
    <col min="16138" max="16138" width="20.140625" style="365" customWidth="1"/>
    <col min="16139" max="16139" width="14.42578125" style="365" bestFit="1" customWidth="1"/>
    <col min="16140" max="16140" width="14" style="365" bestFit="1" customWidth="1"/>
    <col min="16141" max="16141" width="12.28515625" style="365" bestFit="1" customWidth="1"/>
    <col min="16142" max="16166" width="9.140625" style="365" customWidth="1"/>
    <col min="16167" max="16384" width="8.85546875" style="365"/>
  </cols>
  <sheetData>
    <row r="1" spans="1:38" s="354" customFormat="1" ht="19.899999999999999" hidden="1" customHeight="1">
      <c r="A1" s="1632"/>
      <c r="B1" s="1632"/>
      <c r="C1" s="1632"/>
      <c r="D1" s="1632"/>
      <c r="E1" s="1632"/>
      <c r="F1" s="1632"/>
      <c r="G1" s="1632"/>
      <c r="H1" s="1632"/>
      <c r="I1" s="1632"/>
      <c r="J1" s="1632"/>
      <c r="K1" s="1632"/>
      <c r="L1" s="1632"/>
      <c r="M1" s="1632"/>
      <c r="N1" s="1632"/>
      <c r="O1" s="1632"/>
      <c r="P1" s="1632"/>
      <c r="Q1" s="1632"/>
      <c r="R1" s="1632"/>
      <c r="S1" s="1632"/>
      <c r="T1" s="1632"/>
      <c r="U1" s="1632"/>
      <c r="V1" s="1632"/>
      <c r="W1" s="1632"/>
      <c r="X1" s="1632"/>
      <c r="Y1" s="353"/>
      <c r="Z1" s="353"/>
      <c r="AA1" s="353"/>
      <c r="AB1" s="353"/>
      <c r="AC1" s="353"/>
      <c r="AD1" s="353"/>
      <c r="AE1" s="353"/>
      <c r="AF1" s="353"/>
      <c r="AG1" s="353"/>
      <c r="AH1" s="353"/>
      <c r="AI1" s="353"/>
      <c r="AJ1" s="353"/>
      <c r="AK1" s="353"/>
      <c r="AL1" s="353"/>
    </row>
    <row r="2" spans="1:38" s="354" customFormat="1" ht="88.9" customHeight="1">
      <c r="A2" s="1688" t="s">
        <v>962</v>
      </c>
      <c r="B2" s="1688"/>
      <c r="C2" s="1688"/>
      <c r="D2" s="1688"/>
      <c r="E2" s="1688"/>
      <c r="F2" s="1688"/>
      <c r="G2" s="1688"/>
      <c r="H2" s="1688"/>
      <c r="I2" s="1688"/>
      <c r="J2" s="1688"/>
      <c r="K2" s="1688"/>
      <c r="L2" s="1688"/>
      <c r="M2" s="1688"/>
      <c r="N2" s="1688"/>
      <c r="O2" s="1688"/>
      <c r="P2" s="1688"/>
      <c r="Q2" s="1688"/>
      <c r="R2" s="1688"/>
      <c r="S2" s="1688"/>
      <c r="T2" s="1688"/>
      <c r="U2" s="1688"/>
      <c r="V2" s="1688"/>
      <c r="W2" s="1688"/>
      <c r="X2" s="1688"/>
      <c r="Y2" s="353"/>
      <c r="Z2" s="353"/>
      <c r="AA2" s="353"/>
      <c r="AB2" s="353"/>
      <c r="AC2" s="353"/>
      <c r="AD2" s="353"/>
      <c r="AE2" s="353"/>
      <c r="AF2" s="353"/>
      <c r="AG2" s="353"/>
      <c r="AH2" s="353"/>
      <c r="AI2" s="353"/>
      <c r="AJ2" s="353"/>
      <c r="AK2" s="353"/>
      <c r="AL2" s="353"/>
    </row>
    <row r="3" spans="1:38" s="354" customFormat="1" ht="47.45" hidden="1" customHeight="1">
      <c r="A3" s="1292"/>
      <c r="B3" s="1636" t="str">
        <f>PROPER(B1)</f>
        <v/>
      </c>
      <c r="C3" s="1636"/>
      <c r="D3" s="1636"/>
      <c r="E3" s="1636"/>
      <c r="F3" s="1636"/>
      <c r="G3" s="1636"/>
      <c r="H3" s="1636"/>
      <c r="I3" s="1636"/>
      <c r="J3" s="1636"/>
      <c r="K3" s="1636"/>
      <c r="L3" s="1636"/>
      <c r="M3" s="1636"/>
      <c r="N3" s="1636"/>
      <c r="O3" s="1636"/>
      <c r="P3" s="1636"/>
      <c r="Q3" s="1636"/>
      <c r="R3" s="1636"/>
      <c r="S3" s="1636"/>
      <c r="T3" s="1636"/>
      <c r="U3" s="1636"/>
      <c r="V3" s="1636"/>
      <c r="W3" s="1636"/>
      <c r="X3" s="1636"/>
      <c r="Y3" s="353"/>
      <c r="Z3" s="1292"/>
      <c r="AA3" s="1292"/>
      <c r="AB3" s="353"/>
      <c r="AC3" s="353"/>
      <c r="AD3" s="353"/>
      <c r="AE3" s="353"/>
      <c r="AF3" s="353"/>
      <c r="AG3" s="353"/>
      <c r="AH3" s="353"/>
      <c r="AI3" s="353"/>
      <c r="AJ3" s="353"/>
      <c r="AK3" s="353"/>
      <c r="AL3" s="353"/>
    </row>
    <row r="4" spans="1:38" s="354" customFormat="1" ht="15.6" hidden="1" customHeight="1">
      <c r="A4" s="1635"/>
      <c r="B4" s="1635"/>
      <c r="C4" s="1635"/>
      <c r="D4" s="1635"/>
      <c r="E4" s="1635"/>
      <c r="F4" s="1635"/>
      <c r="G4" s="1635"/>
      <c r="H4" s="1635"/>
      <c r="I4" s="1635"/>
      <c r="J4" s="1635"/>
      <c r="K4" s="1635"/>
      <c r="L4" s="1635"/>
      <c r="M4" s="1635"/>
      <c r="N4" s="1635"/>
      <c r="O4" s="1635"/>
      <c r="P4" s="1635"/>
      <c r="Q4" s="1635"/>
      <c r="R4" s="1635"/>
      <c r="S4" s="1635"/>
      <c r="T4" s="1635"/>
      <c r="U4" s="1635"/>
      <c r="V4" s="1635"/>
      <c r="W4" s="1635"/>
      <c r="X4" s="1635"/>
      <c r="Y4" s="353"/>
      <c r="Z4" s="353"/>
      <c r="AA4" s="353"/>
      <c r="AB4" s="353"/>
      <c r="AC4" s="353"/>
      <c r="AD4" s="353"/>
      <c r="AE4" s="353"/>
      <c r="AF4" s="353"/>
      <c r="AG4" s="353"/>
      <c r="AH4" s="353"/>
      <c r="AI4" s="353"/>
      <c r="AJ4" s="353"/>
      <c r="AK4" s="353"/>
      <c r="AL4" s="353"/>
    </row>
    <row r="5" spans="1:38" s="363" customFormat="1" ht="9.6" customHeight="1" thickBot="1">
      <c r="A5" s="360" t="s">
        <v>58</v>
      </c>
      <c r="B5" s="361"/>
      <c r="C5" s="1052"/>
      <c r="D5" s="945"/>
      <c r="E5" s="945"/>
      <c r="F5" s="945"/>
      <c r="G5" s="945"/>
      <c r="H5" s="945"/>
      <c r="I5" s="945"/>
      <c r="J5" s="945"/>
      <c r="K5" s="945"/>
      <c r="L5" s="945"/>
      <c r="M5" s="945"/>
      <c r="N5" s="945"/>
      <c r="O5" s="945"/>
      <c r="P5" s="945"/>
      <c r="Q5" s="362"/>
      <c r="R5" s="362"/>
      <c r="S5" s="362"/>
      <c r="T5" s="362"/>
      <c r="U5" s="362"/>
      <c r="V5" s="362"/>
      <c r="W5" s="362"/>
      <c r="X5" s="362"/>
      <c r="Z5" s="360" t="s">
        <v>58</v>
      </c>
      <c r="AA5" s="360"/>
    </row>
    <row r="6" spans="1:38" s="1409" customFormat="1" ht="112.15" customHeight="1" thickTop="1" thickBot="1">
      <c r="A6" s="1405"/>
      <c r="B6" s="1406"/>
      <c r="C6" s="1407"/>
      <c r="D6" s="1411" t="s">
        <v>573</v>
      </c>
      <c r="E6" s="1412" t="s">
        <v>575</v>
      </c>
      <c r="F6" s="1410" t="s">
        <v>414</v>
      </c>
      <c r="G6" s="1410" t="s">
        <v>413</v>
      </c>
      <c r="H6" s="1410" t="s">
        <v>926</v>
      </c>
      <c r="I6" s="1412" t="s">
        <v>417</v>
      </c>
      <c r="J6" s="1413" t="s">
        <v>420</v>
      </c>
      <c r="K6" s="1413" t="s">
        <v>515</v>
      </c>
      <c r="L6" s="1413" t="s">
        <v>421</v>
      </c>
      <c r="M6" s="1413" t="s">
        <v>565</v>
      </c>
      <c r="N6" s="1410" t="s">
        <v>566</v>
      </c>
      <c r="O6" s="1410" t="s">
        <v>419</v>
      </c>
      <c r="P6" s="1413" t="s">
        <v>925</v>
      </c>
      <c r="Q6" s="1410" t="s">
        <v>718</v>
      </c>
      <c r="R6" s="1410" t="s">
        <v>412</v>
      </c>
      <c r="S6" s="1410" t="s">
        <v>781</v>
      </c>
      <c r="T6" s="1410" t="s">
        <v>411</v>
      </c>
      <c r="U6" s="1410" t="s">
        <v>416</v>
      </c>
      <c r="V6" s="1410" t="s">
        <v>866</v>
      </c>
      <c r="W6" s="1410" t="s">
        <v>154</v>
      </c>
      <c r="X6" s="1410" t="s">
        <v>422</v>
      </c>
      <c r="Y6" s="1408"/>
      <c r="AE6" s="1408"/>
      <c r="AF6" s="1408"/>
      <c r="AG6" s="1408"/>
      <c r="AH6" s="1408"/>
      <c r="AI6" s="1408"/>
      <c r="AJ6" s="1408"/>
      <c r="AK6" s="1408"/>
      <c r="AL6" s="1408"/>
    </row>
    <row r="7" spans="1:38" ht="13.9" customHeight="1" thickTop="1">
      <c r="A7" s="356"/>
      <c r="B7" s="356"/>
      <c r="C7" s="1053"/>
      <c r="D7" s="947"/>
      <c r="E7" s="1191"/>
      <c r="F7" s="1185"/>
      <c r="G7" s="374"/>
      <c r="H7" s="1185"/>
      <c r="I7" s="1191"/>
      <c r="J7" s="924"/>
      <c r="K7" s="924"/>
      <c r="L7" s="924"/>
      <c r="M7" s="924"/>
      <c r="N7" s="374"/>
      <c r="O7" s="374"/>
      <c r="P7" s="924"/>
      <c r="Q7" s="374"/>
      <c r="R7" s="374"/>
      <c r="S7" s="374"/>
      <c r="T7" s="374"/>
      <c r="U7" s="374"/>
      <c r="V7" s="374"/>
      <c r="W7" s="374"/>
      <c r="X7" s="374"/>
    </row>
    <row r="8" spans="1:38" s="417" customFormat="1" ht="15.95" customHeight="1">
      <c r="A8" s="1305" t="s">
        <v>423</v>
      </c>
      <c r="C8" s="476"/>
      <c r="D8" s="948"/>
      <c r="E8" s="456" t="s">
        <v>58</v>
      </c>
      <c r="F8" s="1186"/>
      <c r="G8" s="456"/>
      <c r="H8" s="1186"/>
      <c r="I8" s="969"/>
      <c r="J8" s="915" t="s">
        <v>58</v>
      </c>
      <c r="K8" s="915"/>
      <c r="L8" s="915" t="s">
        <v>58</v>
      </c>
      <c r="M8" s="915"/>
      <c r="N8" s="456"/>
      <c r="O8" s="456" t="s">
        <v>58</v>
      </c>
      <c r="P8" s="915"/>
      <c r="Q8" s="456"/>
      <c r="R8" s="456"/>
      <c r="S8" s="456"/>
      <c r="T8" s="456"/>
      <c r="U8" s="456"/>
      <c r="V8" s="456"/>
      <c r="W8" s="456"/>
      <c r="X8" s="456"/>
      <c r="Y8" s="454"/>
      <c r="AE8" s="454"/>
      <c r="AF8" s="454"/>
      <c r="AG8" s="454"/>
      <c r="AH8" s="454"/>
      <c r="AI8" s="454"/>
      <c r="AJ8" s="454"/>
      <c r="AK8" s="454"/>
      <c r="AL8" s="454"/>
    </row>
    <row r="9" spans="1:38" s="417" customFormat="1" ht="20.100000000000001" customHeight="1">
      <c r="A9" s="417" t="s">
        <v>27</v>
      </c>
      <c r="C9" s="1305" t="s">
        <v>424</v>
      </c>
      <c r="D9" s="1227">
        <f>ROUND('001 General Fund'!K23,0)</f>
        <v>50418790</v>
      </c>
      <c r="E9" s="1227">
        <f>ROUND('Central Region'!G32+'Water and Sewer'!G33,0)+4413156</f>
        <v>6037100</v>
      </c>
      <c r="F9" s="1227">
        <v>0</v>
      </c>
      <c r="G9" s="1227" t="e">
        <f>ROUND(#REF!,0)</f>
        <v>#REF!</v>
      </c>
      <c r="H9" s="1227">
        <v>0</v>
      </c>
      <c r="I9" s="1227">
        <f>ROUND(Sanitation!G31,0)</f>
        <v>3366317</v>
      </c>
      <c r="J9" s="1227">
        <f>ROUNDDOWN('Parking System'!G33,0)</f>
        <v>10061843</v>
      </c>
      <c r="K9" s="1227">
        <f>ROUND('Vehicle Rental'!I32,0)</f>
        <v>2728843</v>
      </c>
      <c r="L9" s="1227">
        <v>0</v>
      </c>
      <c r="M9" s="1227">
        <f>ROUND('City Insurance'!G30,0)</f>
        <v>3115675</v>
      </c>
      <c r="N9" s="1227">
        <f>ROUND('Self-Insured Health'!L10+'Self-Insured Health'!L14,0)</f>
        <v>550223</v>
      </c>
      <c r="O9" s="1227">
        <f>ROUND(Stormwater!G32,0)</f>
        <v>11099419</v>
      </c>
      <c r="P9" s="1227">
        <f>ROUND('Central Service'!G31,0)</f>
        <v>953596</v>
      </c>
      <c r="Q9" s="1227">
        <f>ROUND('CRA-Beach'!L11+'CRA-Beach'!L15+'CRA-NW Progresso'!L12+'CRA-NW Progresso'!L16+'CRA-Central City'!L10+'CRA-Central City'!L14,0)</f>
        <v>4794070</v>
      </c>
      <c r="R9" s="1227">
        <v>0</v>
      </c>
      <c r="S9" s="1227">
        <f>ROUND(Police!L11+'Drug Enforcement Agency'!L11+Police!L16+'Drug Enforcement Agency'!L16,0)</f>
        <v>1679720</v>
      </c>
      <c r="T9" s="1227">
        <f>ROUND('Beach Bus Improv District'!L13+'Beach Bus Improv District'!L9,0)</f>
        <v>399899</v>
      </c>
      <c r="U9" s="1227">
        <f>ROUND('Arts Science District Garage'!L14+Cemtery!L9,0)</f>
        <v>0</v>
      </c>
      <c r="V9" s="1227">
        <f>ROUND('School Crossing Guard'!L14,0)</f>
        <v>137126</v>
      </c>
      <c r="W9" s="1227">
        <f>ROUND('Sunrise Key'!L14+'Sunrise Key'!L10,0)</f>
        <v>99940</v>
      </c>
      <c r="X9" s="1229" t="e">
        <f>ROUND(SUM(D9:W9),0)</f>
        <v>#REF!</v>
      </c>
      <c r="Y9" s="454"/>
      <c r="AE9" s="454"/>
      <c r="AF9" s="454"/>
      <c r="AG9" s="454"/>
      <c r="AH9" s="454"/>
      <c r="AI9" s="454"/>
      <c r="AJ9" s="454"/>
      <c r="AK9" s="454"/>
      <c r="AL9" s="454"/>
    </row>
    <row r="10" spans="1:38" s="417" customFormat="1" ht="20.100000000000001" customHeight="1">
      <c r="A10" s="417" t="s">
        <v>782</v>
      </c>
      <c r="C10" s="1305"/>
      <c r="D10" s="1227">
        <f>ROUND('001 General Fund'!K19,0)</f>
        <v>4457240</v>
      </c>
      <c r="E10" s="1227">
        <v>0</v>
      </c>
      <c r="F10" s="1227">
        <v>0</v>
      </c>
      <c r="G10" s="1227">
        <v>0</v>
      </c>
      <c r="H10" s="1227">
        <v>0</v>
      </c>
      <c r="I10" s="1227">
        <v>0</v>
      </c>
      <c r="J10" s="1227">
        <v>0</v>
      </c>
      <c r="K10" s="1227">
        <v>0</v>
      </c>
      <c r="L10" s="1227">
        <v>0</v>
      </c>
      <c r="M10" s="1227">
        <v>0</v>
      </c>
      <c r="N10" s="1227">
        <v>0</v>
      </c>
      <c r="O10" s="1227">
        <v>0</v>
      </c>
      <c r="P10" s="1227">
        <v>0</v>
      </c>
      <c r="Q10" s="1227">
        <v>0</v>
      </c>
      <c r="R10" s="1227">
        <v>0</v>
      </c>
      <c r="S10" s="1227">
        <v>0</v>
      </c>
      <c r="T10" s="1227">
        <v>0</v>
      </c>
      <c r="U10" s="1227">
        <v>0</v>
      </c>
      <c r="V10" s="1227">
        <v>0</v>
      </c>
      <c r="W10" s="1227">
        <v>0</v>
      </c>
      <c r="X10" s="1229">
        <f>ROUND(SUM(D10:W10),0)</f>
        <v>4457240</v>
      </c>
      <c r="Y10" s="454"/>
      <c r="AE10" s="454"/>
      <c r="AF10" s="454"/>
      <c r="AG10" s="454"/>
      <c r="AH10" s="454"/>
      <c r="AI10" s="454"/>
      <c r="AJ10" s="454"/>
      <c r="AK10" s="454"/>
      <c r="AL10" s="454"/>
    </row>
    <row r="11" spans="1:38" s="417" customFormat="1" ht="20.100000000000001" customHeight="1">
      <c r="A11" s="417" t="s">
        <v>690</v>
      </c>
      <c r="C11" s="1305"/>
      <c r="D11" s="1227">
        <f>ROUND('001 General Fund'!K20,0)</f>
        <v>5000000</v>
      </c>
      <c r="E11" s="1227">
        <v>0</v>
      </c>
      <c r="F11" s="1227">
        <v>0</v>
      </c>
      <c r="G11" s="1227">
        <v>0</v>
      </c>
      <c r="H11" s="1227">
        <v>0</v>
      </c>
      <c r="I11" s="1227">
        <v>0</v>
      </c>
      <c r="J11" s="1227">
        <v>0</v>
      </c>
      <c r="K11" s="1227">
        <v>0</v>
      </c>
      <c r="L11" s="1227">
        <v>0</v>
      </c>
      <c r="M11" s="1227">
        <v>0</v>
      </c>
      <c r="N11" s="1227">
        <v>0</v>
      </c>
      <c r="O11" s="1227">
        <v>0</v>
      </c>
      <c r="P11" s="1227">
        <v>0</v>
      </c>
      <c r="Q11" s="1227">
        <v>0</v>
      </c>
      <c r="R11" s="1227">
        <v>0</v>
      </c>
      <c r="S11" s="1227">
        <v>0</v>
      </c>
      <c r="T11" s="1227">
        <v>0</v>
      </c>
      <c r="U11" s="1227">
        <v>0</v>
      </c>
      <c r="V11" s="1227">
        <v>0</v>
      </c>
      <c r="W11" s="1227">
        <v>0</v>
      </c>
      <c r="X11" s="1229">
        <f>ROUND(SUM(D11:W11),0)</f>
        <v>5000000</v>
      </c>
      <c r="Y11" s="454"/>
      <c r="AE11" s="454"/>
      <c r="AF11" s="454"/>
      <c r="AG11" s="454"/>
      <c r="AH11" s="454"/>
      <c r="AI11" s="454"/>
      <c r="AJ11" s="454"/>
      <c r="AK11" s="454"/>
      <c r="AL11" s="454"/>
    </row>
    <row r="12" spans="1:38" s="417" customFormat="1" ht="20.100000000000001" customHeight="1">
      <c r="A12" s="417" t="s">
        <v>830</v>
      </c>
      <c r="C12" s="1305"/>
      <c r="D12" s="1227">
        <f>ROUND('001 General Fund'!K21,0)</f>
        <v>4273912</v>
      </c>
      <c r="E12" s="1227">
        <v>0</v>
      </c>
      <c r="F12" s="1227">
        <v>0</v>
      </c>
      <c r="G12" s="1227">
        <v>0</v>
      </c>
      <c r="H12" s="1227">
        <v>0</v>
      </c>
      <c r="I12" s="1227">
        <v>0</v>
      </c>
      <c r="J12" s="1227">
        <v>0</v>
      </c>
      <c r="K12" s="1227">
        <v>0</v>
      </c>
      <c r="L12" s="1227">
        <v>0</v>
      </c>
      <c r="M12" s="1227">
        <v>0</v>
      </c>
      <c r="N12" s="1227">
        <v>0</v>
      </c>
      <c r="O12" s="1227">
        <v>0</v>
      </c>
      <c r="P12" s="1227">
        <v>0</v>
      </c>
      <c r="Q12" s="1227">
        <v>0</v>
      </c>
      <c r="R12" s="1227">
        <v>0</v>
      </c>
      <c r="S12" s="1227">
        <v>0</v>
      </c>
      <c r="T12" s="1227">
        <v>0</v>
      </c>
      <c r="U12" s="1227">
        <v>0</v>
      </c>
      <c r="V12" s="1227">
        <v>0</v>
      </c>
      <c r="W12" s="1227">
        <v>0</v>
      </c>
      <c r="X12" s="1229">
        <f>ROUND(SUM(D12:W12),0)</f>
        <v>4273912</v>
      </c>
      <c r="Y12" s="454"/>
      <c r="AE12" s="454"/>
      <c r="AF12" s="454"/>
      <c r="AG12" s="454"/>
      <c r="AH12" s="454"/>
      <c r="AI12" s="454"/>
      <c r="AJ12" s="454"/>
      <c r="AK12" s="454"/>
      <c r="AL12" s="454"/>
    </row>
    <row r="13" spans="1:38" s="417" customFormat="1" ht="20.100000000000001" customHeight="1">
      <c r="A13" s="417" t="s">
        <v>841</v>
      </c>
      <c r="C13" s="1305"/>
      <c r="D13" s="1227">
        <f>ROUND('001 General Fund'!K22,0)</f>
        <v>833479</v>
      </c>
      <c r="E13" s="1227">
        <f>ROUND('Central Region'!G31+'Water and Sewer'!G32,0)-4190028</f>
        <v>50825371</v>
      </c>
      <c r="F13" s="1227" t="e">
        <f>ROUND(#REF!+#REF!+#REF!+#REF!+#REF!+#REF!+#REF!+#REF!+#REF!+#REF!+#REF!+#REF!+#REF!,0)</f>
        <v>#REF!</v>
      </c>
      <c r="G13" s="1227" t="e">
        <f>ROUND(#REF!+#REF!+#REF!+#REF!+#REF!+#REF!-G9,0)</f>
        <v>#REF!</v>
      </c>
      <c r="H13" s="1227">
        <f>ROUND(Cemtery!L13+Cemtery!L9,0)</f>
        <v>23929746</v>
      </c>
      <c r="I13" s="1227">
        <f>ROUND(Sanitation!G30,0)</f>
        <v>4537281</v>
      </c>
      <c r="J13" s="1227">
        <f>ROUND('Parking System'!G32,0)</f>
        <v>3675161</v>
      </c>
      <c r="K13" s="1227">
        <f>ROUND('Vehicle Rental'!I31,0)</f>
        <v>5709901</v>
      </c>
      <c r="L13" s="1227">
        <f>ROUND(Airport!L16+Airport!L12,0)</f>
        <v>13880782</v>
      </c>
      <c r="M13" s="1227">
        <f>ROUND('City Insurance'!G29,0)</f>
        <v>12216</v>
      </c>
      <c r="N13" s="1227">
        <v>0</v>
      </c>
      <c r="O13" s="1227">
        <f>ROUND(Stormwater!G31,0)</f>
        <v>1113800</v>
      </c>
      <c r="P13" s="1227">
        <f>ROUND('Central Service'!G30,0)</f>
        <v>54588</v>
      </c>
      <c r="Q13" s="1227">
        <v>0</v>
      </c>
      <c r="R13" s="1227">
        <f>ROUND('Housing and Community Dev'!L15+'Housing and Community Dev'!L11,0)</f>
        <v>38123</v>
      </c>
      <c r="S13" s="1227">
        <v>0</v>
      </c>
      <c r="T13" s="1227">
        <v>0</v>
      </c>
      <c r="U13" s="1227">
        <v>0</v>
      </c>
      <c r="V13" s="1227">
        <v>0</v>
      </c>
      <c r="W13" s="1227">
        <v>0</v>
      </c>
      <c r="X13" s="1229" t="e">
        <f>ROUND(SUM(D13:W13),0)</f>
        <v>#REF!</v>
      </c>
      <c r="Y13" s="465"/>
      <c r="AE13" s="454"/>
      <c r="AF13" s="454"/>
      <c r="AG13" s="454"/>
      <c r="AH13" s="454"/>
      <c r="AI13" s="454"/>
      <c r="AJ13" s="454"/>
      <c r="AK13" s="454"/>
      <c r="AL13" s="454"/>
    </row>
    <row r="14" spans="1:38" s="1305" customFormat="1" ht="18.75">
      <c r="A14" s="1397" t="s">
        <v>688</v>
      </c>
      <c r="C14" s="1305" t="s">
        <v>58</v>
      </c>
      <c r="D14" s="1306">
        <f>SUM(D9:D13)</f>
        <v>64983421</v>
      </c>
      <c r="E14" s="1306">
        <f t="shared" ref="E14:K14" si="0">SUM(E9:E13)</f>
        <v>56862471</v>
      </c>
      <c r="F14" s="1306" t="e">
        <f t="shared" si="0"/>
        <v>#REF!</v>
      </c>
      <c r="G14" s="1306" t="e">
        <f t="shared" si="0"/>
        <v>#REF!</v>
      </c>
      <c r="H14" s="1306">
        <f t="shared" si="0"/>
        <v>23929746</v>
      </c>
      <c r="I14" s="1306">
        <f>SUM(I9:I13)</f>
        <v>7903598</v>
      </c>
      <c r="J14" s="1306">
        <f t="shared" si="0"/>
        <v>13737004</v>
      </c>
      <c r="K14" s="1306">
        <f t="shared" si="0"/>
        <v>8438744</v>
      </c>
      <c r="L14" s="1306">
        <f t="shared" ref="L14" si="1">SUM(L9:L13)</f>
        <v>13880782</v>
      </c>
      <c r="M14" s="1306">
        <f t="shared" ref="M14" si="2">SUM(M9:M13)</f>
        <v>3127891</v>
      </c>
      <c r="N14" s="1306">
        <f t="shared" ref="N14" si="3">SUM(N9:N13)</f>
        <v>550223</v>
      </c>
      <c r="O14" s="1306">
        <f t="shared" ref="O14" si="4">SUM(O9:O13)</f>
        <v>12213219</v>
      </c>
      <c r="P14" s="1306">
        <f t="shared" ref="P14" si="5">SUM(P9:P13)</f>
        <v>1008184</v>
      </c>
      <c r="Q14" s="1306">
        <f t="shared" ref="Q14" si="6">SUM(Q9:Q13)</f>
        <v>4794070</v>
      </c>
      <c r="R14" s="1306">
        <f t="shared" ref="R14" si="7">SUM(R9:R13)</f>
        <v>38123</v>
      </c>
      <c r="S14" s="1306">
        <f t="shared" ref="S14" si="8">SUM(S9:S13)</f>
        <v>1679720</v>
      </c>
      <c r="T14" s="1306">
        <f t="shared" ref="T14" si="9">SUM(T9:T13)</f>
        <v>399899</v>
      </c>
      <c r="U14" s="1306">
        <f t="shared" ref="U14" si="10">SUM(U9:U13)</f>
        <v>0</v>
      </c>
      <c r="V14" s="1306">
        <f t="shared" ref="V14" si="11">SUM(V9:V13)</f>
        <v>137126</v>
      </c>
      <c r="W14" s="1306">
        <f t="shared" ref="W14" si="12">SUM(W9:W13)</f>
        <v>99940</v>
      </c>
      <c r="X14" s="1306" t="e">
        <f t="shared" ref="X14" si="13">SUM(X9:X13)</f>
        <v>#REF!</v>
      </c>
      <c r="Y14" s="685"/>
      <c r="AE14" s="685"/>
      <c r="AF14" s="685"/>
      <c r="AG14" s="685"/>
      <c r="AH14" s="685"/>
      <c r="AI14" s="685"/>
      <c r="AJ14" s="685"/>
      <c r="AK14" s="685"/>
      <c r="AL14" s="685"/>
    </row>
    <row r="15" spans="1:38" s="417" customFormat="1" ht="12" customHeight="1">
      <c r="C15" s="1305"/>
      <c r="D15" s="1215"/>
      <c r="E15" s="1228"/>
      <c r="F15" s="1227"/>
      <c r="G15" s="1228"/>
      <c r="H15" s="1227"/>
      <c r="I15" s="1228"/>
      <c r="J15" s="1228"/>
      <c r="K15" s="1228"/>
      <c r="L15" s="1228"/>
      <c r="M15" s="1228"/>
      <c r="N15" s="1228"/>
      <c r="O15" s="1228"/>
      <c r="P15" s="1228"/>
      <c r="Q15" s="1228"/>
      <c r="R15" s="1228"/>
      <c r="S15" s="1228"/>
      <c r="T15" s="1228"/>
      <c r="U15" s="1228"/>
      <c r="V15" s="1228"/>
      <c r="W15" s="1228"/>
      <c r="X15" s="1232"/>
      <c r="Y15" s="454"/>
      <c r="AE15" s="454"/>
      <c r="AF15" s="454"/>
      <c r="AG15" s="454"/>
      <c r="AH15" s="454"/>
      <c r="AI15" s="454"/>
      <c r="AJ15" s="454"/>
      <c r="AK15" s="454"/>
      <c r="AL15" s="454"/>
    </row>
    <row r="16" spans="1:38" s="454" customFormat="1" ht="15.75" customHeight="1">
      <c r="A16" s="685" t="s">
        <v>426</v>
      </c>
      <c r="C16" s="685"/>
      <c r="D16" s="1228"/>
      <c r="E16" s="1228"/>
      <c r="F16" s="1227"/>
      <c r="G16" s="1228"/>
      <c r="H16" s="1227"/>
      <c r="I16" s="1228"/>
      <c r="J16" s="1228"/>
      <c r="K16" s="1228"/>
      <c r="L16" s="1228"/>
      <c r="M16" s="1228"/>
      <c r="N16" s="1228"/>
      <c r="O16" s="1228"/>
      <c r="P16" s="1228"/>
      <c r="Q16" s="1228"/>
      <c r="R16" s="1228"/>
      <c r="S16" s="1228"/>
      <c r="T16" s="1228"/>
      <c r="U16" s="1228"/>
      <c r="V16" s="1228"/>
      <c r="W16" s="1228"/>
      <c r="X16" s="1232"/>
    </row>
    <row r="17" spans="1:24" s="454" customFormat="1" ht="16.5" customHeight="1">
      <c r="A17" s="1399" t="s">
        <v>947</v>
      </c>
      <c r="B17" s="1400" t="s">
        <v>585</v>
      </c>
      <c r="C17" s="685"/>
      <c r="D17" s="1227"/>
      <c r="E17" s="1227"/>
      <c r="F17" s="1227"/>
      <c r="G17" s="1227"/>
      <c r="H17" s="1227"/>
      <c r="I17" s="1227"/>
      <c r="J17" s="1227"/>
      <c r="K17" s="1227"/>
      <c r="L17" s="1227"/>
      <c r="M17" s="1227"/>
      <c r="N17" s="1227"/>
      <c r="O17" s="1227"/>
      <c r="P17" s="1227"/>
      <c r="Q17" s="1227"/>
      <c r="R17" s="1227"/>
      <c r="S17" s="1227"/>
      <c r="T17" s="1227"/>
      <c r="U17" s="1227"/>
      <c r="V17" s="1227"/>
      <c r="W17" s="1227"/>
      <c r="X17" s="1229"/>
    </row>
    <row r="18" spans="1:24" s="454" customFormat="1" ht="20.100000000000001" customHeight="1">
      <c r="A18" s="454" t="s">
        <v>582</v>
      </c>
      <c r="B18" s="468">
        <v>4.1193</v>
      </c>
      <c r="C18" s="685"/>
      <c r="D18" s="1228">
        <f>ROUND('[1]GF Resources'!$J$7,0)</f>
        <v>97569296</v>
      </c>
      <c r="E18" s="1227">
        <v>0</v>
      </c>
      <c r="F18" s="1227">
        <v>0</v>
      </c>
      <c r="G18" s="1228">
        <v>0</v>
      </c>
      <c r="H18" s="1228">
        <v>0</v>
      </c>
      <c r="I18" s="1228">
        <v>0</v>
      </c>
      <c r="J18" s="1227">
        <v>0</v>
      </c>
      <c r="K18" s="1227">
        <v>0</v>
      </c>
      <c r="L18" s="1227">
        <v>0</v>
      </c>
      <c r="M18" s="1227">
        <v>0</v>
      </c>
      <c r="N18" s="1227">
        <v>0</v>
      </c>
      <c r="O18" s="1227">
        <v>0</v>
      </c>
      <c r="P18" s="1227">
        <v>0</v>
      </c>
      <c r="Q18" s="1228">
        <v>0</v>
      </c>
      <c r="R18" s="1228">
        <v>0</v>
      </c>
      <c r="S18" s="1228">
        <v>0</v>
      </c>
      <c r="T18" s="1228">
        <v>0</v>
      </c>
      <c r="U18" s="1228">
        <v>0</v>
      </c>
      <c r="V18" s="1228">
        <v>0</v>
      </c>
      <c r="W18" s="1228">
        <v>0</v>
      </c>
      <c r="X18" s="1229">
        <f t="shared" ref="X18:X28" si="14">ROUND(SUM(D18:W18),0)</f>
        <v>97569296</v>
      </c>
    </row>
    <row r="19" spans="1:24" s="454" customFormat="1" ht="20.100000000000001" customHeight="1">
      <c r="A19" s="454" t="s">
        <v>873</v>
      </c>
      <c r="B19" s="468">
        <v>0.20710000000000001</v>
      </c>
      <c r="C19" s="685"/>
      <c r="D19" s="1228">
        <v>0</v>
      </c>
      <c r="E19" s="1227">
        <v>0</v>
      </c>
      <c r="F19" s="1228" t="e">
        <f>ROUND(#REF!+#REF!+#REF!,0)</f>
        <v>#REF!</v>
      </c>
      <c r="G19" s="1228">
        <v>0</v>
      </c>
      <c r="H19" s="1228">
        <v>0</v>
      </c>
      <c r="I19" s="1228">
        <v>0</v>
      </c>
      <c r="J19" s="1227">
        <v>0</v>
      </c>
      <c r="K19" s="1227">
        <v>0</v>
      </c>
      <c r="L19" s="1227">
        <v>0</v>
      </c>
      <c r="M19" s="1227">
        <v>0</v>
      </c>
      <c r="N19" s="1227">
        <v>0</v>
      </c>
      <c r="O19" s="1227">
        <v>0</v>
      </c>
      <c r="P19" s="1227">
        <v>0</v>
      </c>
      <c r="Q19" s="1228">
        <v>0</v>
      </c>
      <c r="R19" s="1228">
        <v>0</v>
      </c>
      <c r="S19" s="1228"/>
      <c r="T19" s="1228">
        <v>0</v>
      </c>
      <c r="U19" s="1228">
        <v>0</v>
      </c>
      <c r="V19" s="1228">
        <v>0</v>
      </c>
      <c r="W19" s="1228">
        <v>0</v>
      </c>
      <c r="X19" s="1229" t="e">
        <f t="shared" si="14"/>
        <v>#REF!</v>
      </c>
    </row>
    <row r="20" spans="1:24" s="454" customFormat="1" ht="20.100000000000001" customHeight="1">
      <c r="A20" s="454" t="s">
        <v>581</v>
      </c>
      <c r="B20" s="576">
        <v>1</v>
      </c>
      <c r="C20" s="685"/>
      <c r="D20" s="1229">
        <v>0</v>
      </c>
      <c r="E20" s="1228">
        <v>0</v>
      </c>
      <c r="F20" s="1228">
        <v>0</v>
      </c>
      <c r="G20" s="1228">
        <v>0</v>
      </c>
      <c r="H20" s="1228">
        <v>0</v>
      </c>
      <c r="I20" s="1228">
        <v>0</v>
      </c>
      <c r="J20" s="1228">
        <v>0</v>
      </c>
      <c r="K20" s="1228">
        <v>0</v>
      </c>
      <c r="L20" s="1228">
        <v>0</v>
      </c>
      <c r="M20" s="1228">
        <v>0</v>
      </c>
      <c r="N20" s="1228">
        <v>0</v>
      </c>
      <c r="O20" s="1228">
        <v>0</v>
      </c>
      <c r="P20" s="1228">
        <v>0</v>
      </c>
      <c r="Q20" s="1228">
        <v>0</v>
      </c>
      <c r="R20" s="1228">
        <v>0</v>
      </c>
      <c r="S20" s="1228">
        <v>0</v>
      </c>
      <c r="T20" s="1228">
        <v>0</v>
      </c>
      <c r="U20" s="1228">
        <v>0</v>
      </c>
      <c r="V20" s="1228">
        <v>0</v>
      </c>
      <c r="W20" s="1227">
        <f>ROUND('Sunrise Key'!L8,0)</f>
        <v>80098</v>
      </c>
      <c r="X20" s="1229">
        <f t="shared" si="14"/>
        <v>80098</v>
      </c>
    </row>
    <row r="21" spans="1:24" s="454" customFormat="1" ht="20.100000000000001" customHeight="1">
      <c r="A21" s="454" t="s">
        <v>580</v>
      </c>
      <c r="B21" s="684"/>
      <c r="C21" s="685"/>
      <c r="D21" s="1228">
        <f>ROUND('[1]GF Resources'!$J$14,0)</f>
        <v>4882276</v>
      </c>
      <c r="E21" s="1228">
        <v>0</v>
      </c>
      <c r="F21" s="1228">
        <v>0</v>
      </c>
      <c r="G21" s="1228">
        <v>0</v>
      </c>
      <c r="H21" s="1228">
        <v>0</v>
      </c>
      <c r="I21" s="1228">
        <v>0</v>
      </c>
      <c r="J21" s="1228">
        <v>0</v>
      </c>
      <c r="K21" s="1228">
        <v>0</v>
      </c>
      <c r="L21" s="1228">
        <v>0</v>
      </c>
      <c r="M21" s="1228">
        <v>0</v>
      </c>
      <c r="N21" s="1228">
        <v>0</v>
      </c>
      <c r="O21" s="1228">
        <v>0</v>
      </c>
      <c r="P21" s="1228">
        <v>0</v>
      </c>
      <c r="Q21" s="1228">
        <v>0</v>
      </c>
      <c r="R21" s="1228">
        <v>0</v>
      </c>
      <c r="S21" s="1228">
        <v>0</v>
      </c>
      <c r="T21" s="1228">
        <v>0</v>
      </c>
      <c r="U21" s="1228">
        <v>0</v>
      </c>
      <c r="V21" s="1228">
        <v>0</v>
      </c>
      <c r="W21" s="1228">
        <v>0</v>
      </c>
      <c r="X21" s="1229">
        <f t="shared" si="14"/>
        <v>4882276</v>
      </c>
    </row>
    <row r="22" spans="1:24" s="454" customFormat="1" ht="20.100000000000001" customHeight="1">
      <c r="A22" s="454" t="s">
        <v>579</v>
      </c>
      <c r="C22" s="685"/>
      <c r="D22" s="1228">
        <f>ROUND('[1]GF Resources'!$J$15,0)</f>
        <v>15228206</v>
      </c>
      <c r="E22" s="1227">
        <v>0</v>
      </c>
      <c r="F22" s="1228">
        <v>0</v>
      </c>
      <c r="G22" s="1228">
        <v>0</v>
      </c>
      <c r="H22" s="1228">
        <v>0</v>
      </c>
      <c r="I22" s="1228">
        <v>0</v>
      </c>
      <c r="J22" s="1227">
        <v>0</v>
      </c>
      <c r="K22" s="1227">
        <v>0</v>
      </c>
      <c r="L22" s="1227">
        <v>0</v>
      </c>
      <c r="M22" s="1227">
        <v>0</v>
      </c>
      <c r="N22" s="1227">
        <v>0</v>
      </c>
      <c r="O22" s="1227">
        <v>0</v>
      </c>
      <c r="P22" s="1227">
        <v>0</v>
      </c>
      <c r="Q22" s="1228">
        <v>0</v>
      </c>
      <c r="R22" s="1228">
        <v>0</v>
      </c>
      <c r="S22" s="1228">
        <v>0</v>
      </c>
      <c r="T22" s="1228">
        <v>0</v>
      </c>
      <c r="U22" s="1228">
        <v>0</v>
      </c>
      <c r="V22" s="1228">
        <v>0</v>
      </c>
      <c r="W22" s="1228">
        <v>0</v>
      </c>
      <c r="X22" s="1229">
        <f t="shared" si="14"/>
        <v>15228206</v>
      </c>
    </row>
    <row r="23" spans="1:24" s="454" customFormat="1" ht="20.100000000000001" customHeight="1">
      <c r="A23" s="454" t="s">
        <v>578</v>
      </c>
      <c r="C23" s="685"/>
      <c r="D23" s="1228">
        <f>ROUND('[1]GF Resources'!$J$16,0)</f>
        <v>36592965</v>
      </c>
      <c r="E23" s="1227">
        <v>0</v>
      </c>
      <c r="F23" s="1228">
        <v>0</v>
      </c>
      <c r="G23" s="1228">
        <v>0</v>
      </c>
      <c r="H23" s="1228">
        <v>0</v>
      </c>
      <c r="I23" s="1228">
        <v>0</v>
      </c>
      <c r="J23" s="1227">
        <v>0</v>
      </c>
      <c r="K23" s="1227">
        <v>0</v>
      </c>
      <c r="L23" s="1227">
        <v>0</v>
      </c>
      <c r="M23" s="1227">
        <v>0</v>
      </c>
      <c r="N23" s="1227">
        <v>0</v>
      </c>
      <c r="O23" s="1227">
        <v>0</v>
      </c>
      <c r="P23" s="1227">
        <v>0</v>
      </c>
      <c r="Q23" s="1228">
        <v>0</v>
      </c>
      <c r="R23" s="1228">
        <v>0</v>
      </c>
      <c r="S23" s="1228">
        <v>0</v>
      </c>
      <c r="T23" s="1228">
        <v>0</v>
      </c>
      <c r="U23" s="1228">
        <v>0</v>
      </c>
      <c r="V23" s="1228">
        <v>0</v>
      </c>
      <c r="W23" s="1228">
        <v>0</v>
      </c>
      <c r="X23" s="1229">
        <f t="shared" si="14"/>
        <v>36592965</v>
      </c>
    </row>
    <row r="24" spans="1:24" s="454" customFormat="1" ht="20.100000000000001" customHeight="1">
      <c r="A24" s="454" t="s">
        <v>435</v>
      </c>
      <c r="C24" s="685"/>
      <c r="D24" s="1228">
        <f>ROUND('[1]GF Resources'!$J$22,0)</f>
        <v>2924286</v>
      </c>
      <c r="E24" s="1227">
        <v>0</v>
      </c>
      <c r="F24" s="1228">
        <v>0</v>
      </c>
      <c r="G24" s="1228" t="e">
        <f>ROUND(#REF!+#REF!+#REF!,0)</f>
        <v>#REF!</v>
      </c>
      <c r="H24" s="1228">
        <v>0</v>
      </c>
      <c r="I24" s="1228">
        <v>0</v>
      </c>
      <c r="J24" s="1227">
        <v>0</v>
      </c>
      <c r="K24" s="1227">
        <v>0</v>
      </c>
      <c r="L24" s="1227">
        <v>0</v>
      </c>
      <c r="M24" s="1227">
        <v>0</v>
      </c>
      <c r="N24" s="1227">
        <v>0</v>
      </c>
      <c r="O24" s="1227">
        <v>0</v>
      </c>
      <c r="P24" s="1227">
        <v>0</v>
      </c>
      <c r="Q24" s="1228">
        <v>0</v>
      </c>
      <c r="R24" s="1228">
        <v>0</v>
      </c>
      <c r="S24" s="1228">
        <v>0</v>
      </c>
      <c r="T24" s="1228">
        <v>0</v>
      </c>
      <c r="U24" s="1228">
        <v>0</v>
      </c>
      <c r="V24" s="1228">
        <v>0</v>
      </c>
      <c r="W24" s="1228">
        <v>0</v>
      </c>
      <c r="X24" s="1229" t="e">
        <f t="shared" si="14"/>
        <v>#REF!</v>
      </c>
    </row>
    <row r="25" spans="1:24" s="454" customFormat="1" ht="20.100000000000001" customHeight="1">
      <c r="A25" s="454" t="s">
        <v>408</v>
      </c>
      <c r="C25" s="685"/>
      <c r="D25" s="1228">
        <f>ROUND('[1]GF Resources'!$J$28,0)</f>
        <v>17749691</v>
      </c>
      <c r="E25" s="1227">
        <v>0</v>
      </c>
      <c r="F25" s="1228">
        <v>0</v>
      </c>
      <c r="G25" s="1227">
        <v>0</v>
      </c>
      <c r="H25" s="1228">
        <v>0</v>
      </c>
      <c r="I25" s="1228">
        <v>0</v>
      </c>
      <c r="J25" s="1227">
        <v>0</v>
      </c>
      <c r="K25" s="1227">
        <v>0</v>
      </c>
      <c r="L25" s="1227">
        <v>0</v>
      </c>
      <c r="M25" s="1227">
        <v>0</v>
      </c>
      <c r="N25" s="1227">
        <v>0</v>
      </c>
      <c r="O25" s="1227">
        <v>0</v>
      </c>
      <c r="P25" s="1227">
        <v>0</v>
      </c>
      <c r="Q25" s="1227">
        <f>ROUND('CRA-Beach'!L8+'CRA-NW Progresso'!L8,0)</f>
        <v>8187921</v>
      </c>
      <c r="R25" s="1227">
        <f>ROUND('Housing and Community Dev'!L8,0)</f>
        <v>9371773</v>
      </c>
      <c r="S25" s="1227">
        <v>0</v>
      </c>
      <c r="T25" s="1228">
        <v>0</v>
      </c>
      <c r="U25" s="1228">
        <v>0</v>
      </c>
      <c r="V25" s="1227">
        <v>0</v>
      </c>
      <c r="W25" s="1228">
        <v>0</v>
      </c>
      <c r="X25" s="1229">
        <f t="shared" si="14"/>
        <v>35309385</v>
      </c>
    </row>
    <row r="26" spans="1:24" s="454" customFormat="1" ht="20.100000000000001" customHeight="1">
      <c r="A26" s="454" t="s">
        <v>114</v>
      </c>
      <c r="C26" s="685"/>
      <c r="D26" s="1228">
        <f>ROUND('[1]GF Resources'!$J$40,0)</f>
        <v>26036670</v>
      </c>
      <c r="E26" s="1227">
        <f>ROUND('Water and Sewer'!L8+'Central Region'!L8,0)</f>
        <v>122220191</v>
      </c>
      <c r="F26" s="1228">
        <v>0</v>
      </c>
      <c r="G26" s="1228" t="e">
        <f>ROUND(#REF!,0)</f>
        <v>#REF!</v>
      </c>
      <c r="H26" s="1228">
        <v>0</v>
      </c>
      <c r="I26" s="1227">
        <f>ROUND(Sanitation!L9,0)</f>
        <v>15162899</v>
      </c>
      <c r="J26" s="1227">
        <f>ROUND('Parking System'!L8,0)</f>
        <v>11903785</v>
      </c>
      <c r="K26" s="1227">
        <f>ROUND('Vehicle Rental'!L8,0)</f>
        <v>16379420</v>
      </c>
      <c r="L26" s="1227">
        <f>ROUND(Airport!L9,0)</f>
        <v>3796402</v>
      </c>
      <c r="M26" s="1227">
        <f>ROUND('City Insurance'!L8,0)</f>
        <v>21301291</v>
      </c>
      <c r="N26" s="1227">
        <f>ROUND('Self-Insured Health'!L8,0)</f>
        <v>17101447</v>
      </c>
      <c r="O26" s="1227">
        <f>ROUND(Stormwater!L9,0)</f>
        <v>6416943</v>
      </c>
      <c r="P26" s="1227">
        <f>ROUND('Central Service'!L8,0)</f>
        <v>16039800</v>
      </c>
      <c r="Q26" s="1228">
        <f>ROUND(+'CRA-NW Progresso'!L9,0)</f>
        <v>0</v>
      </c>
      <c r="R26" s="1228">
        <v>0</v>
      </c>
      <c r="S26" s="1228">
        <v>0</v>
      </c>
      <c r="T26" s="1228">
        <v>0</v>
      </c>
      <c r="U26" s="1227">
        <f>ROUND('Arts Science District Garage'!L8,0)</f>
        <v>1155995</v>
      </c>
      <c r="V26" s="1228">
        <v>0</v>
      </c>
      <c r="W26" s="1228">
        <v>0</v>
      </c>
      <c r="X26" s="1229" t="e">
        <f t="shared" si="14"/>
        <v>#REF!</v>
      </c>
    </row>
    <row r="27" spans="1:24" s="454" customFormat="1" ht="20.100000000000001" customHeight="1">
      <c r="A27" s="454" t="s">
        <v>436</v>
      </c>
      <c r="C27" s="685"/>
      <c r="D27" s="1228">
        <f>ROUND('[1]GF Resources'!$J$45,0)</f>
        <v>4799918</v>
      </c>
      <c r="E27" s="1227">
        <v>0</v>
      </c>
      <c r="F27" s="1228">
        <v>0</v>
      </c>
      <c r="G27" s="1228">
        <v>0</v>
      </c>
      <c r="H27" s="1228">
        <v>0</v>
      </c>
      <c r="I27" s="1227">
        <v>0</v>
      </c>
      <c r="J27" s="1227">
        <f>ROUND('Parking System'!L9,0)</f>
        <v>3038435</v>
      </c>
      <c r="K27" s="1227">
        <v>0</v>
      </c>
      <c r="L27" s="1227">
        <v>0</v>
      </c>
      <c r="M27" s="1227">
        <v>0</v>
      </c>
      <c r="N27" s="1227">
        <v>0</v>
      </c>
      <c r="O27" s="1227">
        <v>0</v>
      </c>
      <c r="P27" s="1227"/>
      <c r="Q27" s="1228">
        <v>0</v>
      </c>
      <c r="R27" s="1228">
        <v>0</v>
      </c>
      <c r="S27" s="1228">
        <f>Police!L9</f>
        <v>255000</v>
      </c>
      <c r="T27" s="1228">
        <v>0</v>
      </c>
      <c r="U27" s="1228">
        <v>0</v>
      </c>
      <c r="V27" s="1228">
        <f>ROUND('School Crossing Guard'!L8,0)</f>
        <v>872600</v>
      </c>
      <c r="W27" s="1228">
        <v>0</v>
      </c>
      <c r="X27" s="1229">
        <f t="shared" si="14"/>
        <v>8965953</v>
      </c>
    </row>
    <row r="28" spans="1:24" s="454" customFormat="1" ht="20.100000000000001" customHeight="1">
      <c r="A28" s="454" t="s">
        <v>437</v>
      </c>
      <c r="C28" s="685"/>
      <c r="D28" s="1228">
        <f>ROUND('[1]GF Resources'!$J$54,0)</f>
        <v>78384413</v>
      </c>
      <c r="E28" s="1227">
        <f>ROUND('Water and Sewer'!L9+'Central Region'!L9,0)</f>
        <v>6500315</v>
      </c>
      <c r="F28" s="1228">
        <v>0</v>
      </c>
      <c r="G28" s="1228" t="e">
        <f>ROUND(#REF!+#REF!+#REF!,0)</f>
        <v>#REF!</v>
      </c>
      <c r="H28" s="1227">
        <f>ROUND(Cemtery!L8,0)</f>
        <v>2200000</v>
      </c>
      <c r="I28" s="1228">
        <f>Sanitation!L10</f>
        <v>103553</v>
      </c>
      <c r="J28" s="1227">
        <f>ROUND('Parking System'!L10,0)</f>
        <v>382892</v>
      </c>
      <c r="K28" s="1227">
        <f>ROUND('Vehicle Rental'!L9,0)</f>
        <v>114335</v>
      </c>
      <c r="L28" s="1227">
        <f>ROUND(Airport!L10,0)</f>
        <v>3899193</v>
      </c>
      <c r="M28" s="1227">
        <f>ROUND('City Insurance'!L9,0)</f>
        <v>86198</v>
      </c>
      <c r="N28" s="1227">
        <f>ROUND('Self-Insured Health'!L9,0)</f>
        <v>251113</v>
      </c>
      <c r="O28" s="1227">
        <f>ROUND(Stormwater!L10,0)</f>
        <v>170400</v>
      </c>
      <c r="P28" s="1227">
        <f>ROUND('Central Service'!L9,0)</f>
        <v>172753</v>
      </c>
      <c r="Q28" s="1227">
        <f>ROUND('CRA-Beach'!L9+'CRA-NW Progresso'!L10+'CRA-Central City'!L8,0)</f>
        <v>191468</v>
      </c>
      <c r="R28" s="1228">
        <v>0</v>
      </c>
      <c r="S28" s="1228">
        <f>Police!L10</f>
        <v>19000</v>
      </c>
      <c r="T28" s="1227">
        <f>ROUND('Beach Bus Improv District'!L8,0)</f>
        <v>704082</v>
      </c>
      <c r="U28" s="1227">
        <v>0</v>
      </c>
      <c r="V28" s="1228">
        <v>0</v>
      </c>
      <c r="W28" s="1227">
        <f>ROUND('Sunrise Key'!L9,0)</f>
        <v>210</v>
      </c>
      <c r="X28" s="1229" t="e">
        <f t="shared" si="14"/>
        <v>#REF!</v>
      </c>
    </row>
    <row r="29" spans="1:24" s="685" customFormat="1" ht="20.100000000000001" customHeight="1">
      <c r="A29" s="1398" t="s">
        <v>9</v>
      </c>
      <c r="C29" s="685" t="s">
        <v>58</v>
      </c>
      <c r="D29" s="1307">
        <f>SUM(D17:D28)</f>
        <v>284167721</v>
      </c>
      <c r="E29" s="1308">
        <f t="shared" ref="E29:X29" si="15">SUM(E18:E28)</f>
        <v>128720506</v>
      </c>
      <c r="F29" s="1308" t="e">
        <f t="shared" si="15"/>
        <v>#REF!</v>
      </c>
      <c r="G29" s="1307" t="e">
        <f t="shared" si="15"/>
        <v>#REF!</v>
      </c>
      <c r="H29" s="1308">
        <f t="shared" si="15"/>
        <v>2200000</v>
      </c>
      <c r="I29" s="1308">
        <f>SUM(I18:I28)</f>
        <v>15266452</v>
      </c>
      <c r="J29" s="1308">
        <f t="shared" si="15"/>
        <v>15325112</v>
      </c>
      <c r="K29" s="1308">
        <f t="shared" si="15"/>
        <v>16493755</v>
      </c>
      <c r="L29" s="1308">
        <f t="shared" si="15"/>
        <v>7695595</v>
      </c>
      <c r="M29" s="1308">
        <f t="shared" si="15"/>
        <v>21387489</v>
      </c>
      <c r="N29" s="1308">
        <f>SUM(N18:N28)</f>
        <v>17352560</v>
      </c>
      <c r="O29" s="1308">
        <f t="shared" si="15"/>
        <v>6587343</v>
      </c>
      <c r="P29" s="1308">
        <f>SUM(P18:P28)</f>
        <v>16212553</v>
      </c>
      <c r="Q29" s="1307">
        <f t="shared" si="15"/>
        <v>8379389</v>
      </c>
      <c r="R29" s="1307">
        <f t="shared" si="15"/>
        <v>9371773</v>
      </c>
      <c r="S29" s="1307">
        <f t="shared" si="15"/>
        <v>274000</v>
      </c>
      <c r="T29" s="1307">
        <f t="shared" si="15"/>
        <v>704082</v>
      </c>
      <c r="U29" s="1308">
        <f t="shared" si="15"/>
        <v>1155995</v>
      </c>
      <c r="V29" s="1307">
        <f t="shared" si="15"/>
        <v>872600</v>
      </c>
      <c r="W29" s="1307">
        <f t="shared" si="15"/>
        <v>80308</v>
      </c>
      <c r="X29" s="1308" t="e">
        <f t="shared" si="15"/>
        <v>#REF!</v>
      </c>
    </row>
    <row r="30" spans="1:24" s="454" customFormat="1" ht="15.95" customHeight="1">
      <c r="C30" s="685"/>
      <c r="D30" s="1227"/>
      <c r="E30" s="1227"/>
      <c r="F30" s="1227"/>
      <c r="G30" s="1227"/>
      <c r="H30" s="1227"/>
      <c r="I30" s="1227"/>
      <c r="J30" s="1227"/>
      <c r="K30" s="1227"/>
      <c r="L30" s="1227"/>
      <c r="M30" s="1227"/>
      <c r="N30" s="1227"/>
      <c r="O30" s="1227"/>
      <c r="P30" s="1227"/>
      <c r="Q30" s="1227"/>
      <c r="R30" s="1227"/>
      <c r="S30" s="1227"/>
      <c r="T30" s="1227"/>
      <c r="U30" s="1227"/>
      <c r="V30" s="1227"/>
      <c r="W30" s="1227"/>
      <c r="X30" s="1227"/>
    </row>
    <row r="31" spans="1:24" s="454" customFormat="1" ht="20.100000000000001" customHeight="1">
      <c r="A31" s="1398" t="s">
        <v>941</v>
      </c>
      <c r="C31" s="685" t="s">
        <v>58</v>
      </c>
      <c r="D31" s="1395">
        <f>ROUND('[1]GF Resources'!$J$57,0)</f>
        <v>982884</v>
      </c>
      <c r="E31" s="1395">
        <f>'Water and Sewer'!L10</f>
        <v>0</v>
      </c>
      <c r="F31" s="1395" t="e">
        <f>ROUND(#REF!+#REF!+#REF!+#REF!+#REF!+#REF!,0)</f>
        <v>#REF!</v>
      </c>
      <c r="G31" s="1395">
        <v>0</v>
      </c>
      <c r="H31" s="1395">
        <v>0</v>
      </c>
      <c r="I31" s="1395">
        <f>Sanitation!L11</f>
        <v>3000000</v>
      </c>
      <c r="J31" s="1395">
        <v>0</v>
      </c>
      <c r="K31" s="1395">
        <v>0</v>
      </c>
      <c r="L31" s="1395">
        <v>0</v>
      </c>
      <c r="M31" s="1395">
        <v>0</v>
      </c>
      <c r="N31" s="1395">
        <v>0</v>
      </c>
      <c r="O31" s="1395">
        <v>0</v>
      </c>
      <c r="P31" s="1395">
        <v>0</v>
      </c>
      <c r="Q31" s="1395">
        <f>'CRA-Beach'!L10+'CRA-NW Progresso'!L11</f>
        <v>4496529</v>
      </c>
      <c r="R31" s="1395">
        <v>0</v>
      </c>
      <c r="S31" s="1395"/>
      <c r="T31" s="1395">
        <v>0</v>
      </c>
      <c r="U31" s="1395">
        <v>0</v>
      </c>
      <c r="V31" s="1395">
        <v>0</v>
      </c>
      <c r="W31" s="1395">
        <v>0</v>
      </c>
      <c r="X31" s="1418" t="e">
        <f>ROUND(SUM(D31:W31),0)</f>
        <v>#REF!</v>
      </c>
    </row>
    <row r="32" spans="1:24" s="454" customFormat="1" ht="18" customHeight="1">
      <c r="C32" s="685"/>
      <c r="D32" s="1227"/>
      <c r="E32" s="1227"/>
      <c r="F32" s="1227"/>
      <c r="G32" s="1227"/>
      <c r="H32" s="1227"/>
      <c r="I32" s="1227"/>
      <c r="J32" s="1227"/>
      <c r="K32" s="1227"/>
      <c r="L32" s="1227"/>
      <c r="M32" s="1227"/>
      <c r="N32" s="1227"/>
      <c r="O32" s="1227"/>
      <c r="P32" s="1227"/>
      <c r="Q32" s="1227"/>
      <c r="R32" s="1227"/>
      <c r="S32" s="1227"/>
      <c r="T32" s="1227"/>
      <c r="U32" s="1227"/>
      <c r="V32" s="1227"/>
      <c r="W32" s="1227"/>
      <c r="X32" s="1229"/>
    </row>
    <row r="33" spans="1:38" s="454" customFormat="1" ht="20.100000000000001" customHeight="1">
      <c r="A33" s="1398" t="s">
        <v>949</v>
      </c>
      <c r="C33" s="685" t="s">
        <v>58</v>
      </c>
      <c r="D33" s="1395">
        <v>0</v>
      </c>
      <c r="E33" s="1395">
        <v>0</v>
      </c>
      <c r="F33" s="1395">
        <v>0</v>
      </c>
      <c r="G33" s="1395">
        <v>0</v>
      </c>
      <c r="H33" s="1395">
        <v>0</v>
      </c>
      <c r="I33" s="1395">
        <v>0</v>
      </c>
      <c r="J33" s="1395">
        <v>0</v>
      </c>
      <c r="K33" s="1395">
        <v>0</v>
      </c>
      <c r="L33" s="1395">
        <v>0</v>
      </c>
      <c r="M33" s="1395">
        <v>0</v>
      </c>
      <c r="N33" s="1395">
        <v>2104890</v>
      </c>
      <c r="O33" s="1395">
        <v>0</v>
      </c>
      <c r="P33" s="1395">
        <v>0</v>
      </c>
      <c r="Q33" s="1395">
        <v>0</v>
      </c>
      <c r="R33" s="1395">
        <v>0</v>
      </c>
      <c r="S33" s="1395">
        <v>0</v>
      </c>
      <c r="T33" s="1395">
        <v>0</v>
      </c>
      <c r="U33" s="1395">
        <v>0</v>
      </c>
      <c r="V33" s="1395">
        <v>0</v>
      </c>
      <c r="W33" s="1395">
        <v>0</v>
      </c>
      <c r="X33" s="1418">
        <f>ROUND(SUM(D33:W33),0)</f>
        <v>2104890</v>
      </c>
    </row>
    <row r="34" spans="1:38" s="454" customFormat="1" ht="10.5" customHeight="1">
      <c r="C34" s="685"/>
      <c r="D34" s="1227"/>
      <c r="E34" s="1227"/>
      <c r="F34" s="1227"/>
      <c r="G34" s="1227"/>
      <c r="H34" s="1227"/>
      <c r="I34" s="1227"/>
      <c r="J34" s="1227"/>
      <c r="K34" s="1227"/>
      <c r="L34" s="1227"/>
      <c r="M34" s="1227"/>
      <c r="N34" s="1227"/>
      <c r="O34" s="1227"/>
      <c r="P34" s="1227"/>
      <c r="Q34" s="1227"/>
      <c r="R34" s="1227"/>
      <c r="S34" s="1227"/>
      <c r="T34" s="1227"/>
      <c r="U34" s="1227"/>
      <c r="V34" s="1227"/>
      <c r="W34" s="1227"/>
      <c r="X34" s="1229"/>
    </row>
    <row r="35" spans="1:38" s="454" customFormat="1" ht="30" customHeight="1">
      <c r="A35" s="1398" t="s">
        <v>940</v>
      </c>
      <c r="C35" s="685"/>
      <c r="D35" s="1395">
        <f t="shared" ref="D35:X35" si="16">D29+D31+D33</f>
        <v>285150605</v>
      </c>
      <c r="E35" s="1395">
        <f t="shared" si="16"/>
        <v>128720506</v>
      </c>
      <c r="F35" s="1395" t="e">
        <f t="shared" si="16"/>
        <v>#REF!</v>
      </c>
      <c r="G35" s="1395" t="e">
        <f t="shared" si="16"/>
        <v>#REF!</v>
      </c>
      <c r="H35" s="1395">
        <f t="shared" si="16"/>
        <v>2200000</v>
      </c>
      <c r="I35" s="1395">
        <f>I29+I31+I33</f>
        <v>18266452</v>
      </c>
      <c r="J35" s="1395">
        <f t="shared" si="16"/>
        <v>15325112</v>
      </c>
      <c r="K35" s="1395">
        <f t="shared" si="16"/>
        <v>16493755</v>
      </c>
      <c r="L35" s="1395">
        <f t="shared" si="16"/>
        <v>7695595</v>
      </c>
      <c r="M35" s="1395">
        <f t="shared" si="16"/>
        <v>21387489</v>
      </c>
      <c r="N35" s="1395">
        <f t="shared" si="16"/>
        <v>19457450</v>
      </c>
      <c r="O35" s="1395">
        <f t="shared" si="16"/>
        <v>6587343</v>
      </c>
      <c r="P35" s="1395">
        <f t="shared" si="16"/>
        <v>16212553</v>
      </c>
      <c r="Q35" s="1395">
        <f t="shared" si="16"/>
        <v>12875918</v>
      </c>
      <c r="R35" s="1395">
        <f t="shared" si="16"/>
        <v>9371773</v>
      </c>
      <c r="S35" s="1395">
        <f t="shared" si="16"/>
        <v>274000</v>
      </c>
      <c r="T35" s="1395">
        <f t="shared" si="16"/>
        <v>704082</v>
      </c>
      <c r="U35" s="1395">
        <f t="shared" si="16"/>
        <v>1155995</v>
      </c>
      <c r="V35" s="1395">
        <f t="shared" si="16"/>
        <v>872600</v>
      </c>
      <c r="W35" s="1395">
        <f t="shared" si="16"/>
        <v>80308</v>
      </c>
      <c r="X35" s="1395" t="e">
        <f t="shared" si="16"/>
        <v>#REF!</v>
      </c>
    </row>
    <row r="36" spans="1:38" s="454" customFormat="1" ht="10.5" customHeight="1">
      <c r="C36" s="685"/>
      <c r="D36" s="1227"/>
      <c r="E36" s="1227"/>
      <c r="F36" s="1227"/>
      <c r="G36" s="1227"/>
      <c r="H36" s="1227"/>
      <c r="I36" s="1227"/>
      <c r="J36" s="1227"/>
      <c r="K36" s="1227"/>
      <c r="L36" s="1227"/>
      <c r="M36" s="1227"/>
      <c r="N36" s="1227"/>
      <c r="O36" s="1227"/>
      <c r="P36" s="1227"/>
      <c r="Q36" s="1227"/>
      <c r="R36" s="1227"/>
      <c r="S36" s="1227"/>
      <c r="T36" s="1227"/>
      <c r="U36" s="1227"/>
      <c r="V36" s="1227"/>
      <c r="W36" s="1227"/>
      <c r="X36" s="1229"/>
    </row>
    <row r="37" spans="1:38" s="685" customFormat="1" ht="30" customHeight="1" thickBot="1">
      <c r="A37" s="1401" t="s">
        <v>946</v>
      </c>
      <c r="B37" s="1401"/>
      <c r="C37" s="1402" t="s">
        <v>424</v>
      </c>
      <c r="D37" s="1403">
        <f t="shared" ref="D37:X37" si="17">D14+D35</f>
        <v>350134026</v>
      </c>
      <c r="E37" s="1403">
        <f t="shared" si="17"/>
        <v>185582977</v>
      </c>
      <c r="F37" s="1403" t="e">
        <f t="shared" si="17"/>
        <v>#REF!</v>
      </c>
      <c r="G37" s="1403" t="e">
        <f t="shared" si="17"/>
        <v>#REF!</v>
      </c>
      <c r="H37" s="1403">
        <f t="shared" si="17"/>
        <v>26129746</v>
      </c>
      <c r="I37" s="1403">
        <f>I14+I35</f>
        <v>26170050</v>
      </c>
      <c r="J37" s="1403">
        <f t="shared" si="17"/>
        <v>29062116</v>
      </c>
      <c r="K37" s="1403">
        <f t="shared" si="17"/>
        <v>24932499</v>
      </c>
      <c r="L37" s="1403">
        <f t="shared" si="17"/>
        <v>21576377</v>
      </c>
      <c r="M37" s="1403">
        <f t="shared" si="17"/>
        <v>24515380</v>
      </c>
      <c r="N37" s="1403">
        <f t="shared" si="17"/>
        <v>20007673</v>
      </c>
      <c r="O37" s="1403">
        <f t="shared" si="17"/>
        <v>18800562</v>
      </c>
      <c r="P37" s="1403">
        <f t="shared" si="17"/>
        <v>17220737</v>
      </c>
      <c r="Q37" s="1403">
        <f t="shared" si="17"/>
        <v>17669988</v>
      </c>
      <c r="R37" s="1403">
        <f t="shared" si="17"/>
        <v>9409896</v>
      </c>
      <c r="S37" s="1403">
        <f t="shared" si="17"/>
        <v>1953720</v>
      </c>
      <c r="T37" s="1403">
        <f t="shared" si="17"/>
        <v>1103981</v>
      </c>
      <c r="U37" s="1403">
        <f t="shared" si="17"/>
        <v>1155995</v>
      </c>
      <c r="V37" s="1403">
        <f t="shared" si="17"/>
        <v>1009726</v>
      </c>
      <c r="W37" s="1403">
        <f t="shared" si="17"/>
        <v>180248</v>
      </c>
      <c r="X37" s="1403" t="e">
        <f t="shared" si="17"/>
        <v>#REF!</v>
      </c>
    </row>
    <row r="38" spans="1:38" s="454" customFormat="1" ht="10.5" customHeight="1" thickTop="1">
      <c r="C38" s="685"/>
      <c r="D38" s="1227"/>
      <c r="E38" s="1227"/>
      <c r="F38" s="1227"/>
      <c r="G38" s="1227"/>
      <c r="H38" s="1227"/>
      <c r="I38" s="1227"/>
      <c r="J38" s="1227"/>
      <c r="K38" s="1227"/>
      <c r="L38" s="1227"/>
      <c r="M38" s="1227"/>
      <c r="N38" s="1227"/>
      <c r="O38" s="1227"/>
      <c r="P38" s="1227"/>
      <c r="Q38" s="1227"/>
      <c r="R38" s="1227"/>
      <c r="S38" s="1227"/>
      <c r="T38" s="1227"/>
      <c r="U38" s="1227"/>
      <c r="V38" s="1227"/>
      <c r="W38" s="1227"/>
      <c r="X38" s="1229"/>
    </row>
    <row r="39" spans="1:38" s="454" customFormat="1" ht="14.1" customHeight="1">
      <c r="A39" s="685"/>
      <c r="C39" s="685"/>
      <c r="D39" s="1228" t="s">
        <v>58</v>
      </c>
      <c r="E39" s="1227"/>
      <c r="F39" s="1227"/>
      <c r="G39" s="1227"/>
      <c r="H39" s="1227"/>
      <c r="I39" s="1227"/>
      <c r="J39" s="1227"/>
      <c r="K39" s="1227"/>
      <c r="L39" s="1227"/>
      <c r="M39" s="1227"/>
      <c r="N39" s="1227"/>
      <c r="O39" s="1227"/>
      <c r="P39" s="1227"/>
      <c r="Q39" s="1227"/>
      <c r="R39" s="1227"/>
      <c r="S39" s="1227"/>
      <c r="T39" s="1227"/>
      <c r="U39" s="1227"/>
      <c r="V39" s="1227"/>
      <c r="W39" s="1227"/>
      <c r="X39" s="1229"/>
      <c r="AE39" s="685"/>
      <c r="AF39" s="685"/>
    </row>
    <row r="40" spans="1:38" s="454" customFormat="1" ht="6.95" customHeight="1">
      <c r="C40" s="685"/>
      <c r="D40" s="1227"/>
      <c r="E40" s="1227"/>
      <c r="F40" s="1227"/>
      <c r="G40" s="1227"/>
      <c r="H40" s="1227"/>
      <c r="I40" s="1227"/>
      <c r="J40" s="1227"/>
      <c r="K40" s="1227"/>
      <c r="L40" s="1227"/>
      <c r="M40" s="1227"/>
      <c r="N40" s="1227"/>
      <c r="O40" s="1227"/>
      <c r="P40" s="1227"/>
      <c r="Q40" s="1227"/>
      <c r="R40" s="1227"/>
      <c r="S40" s="1227"/>
      <c r="T40" s="1227"/>
      <c r="U40" s="1227"/>
      <c r="V40" s="1227"/>
      <c r="W40" s="1227"/>
      <c r="X40" s="1229"/>
    </row>
    <row r="41" spans="1:38" s="454" customFormat="1" ht="17.25" customHeight="1">
      <c r="A41" s="685" t="s">
        <v>811</v>
      </c>
      <c r="C41" s="685"/>
      <c r="D41" s="1227"/>
      <c r="E41" s="1227"/>
      <c r="F41" s="1227"/>
      <c r="G41" s="1227"/>
      <c r="H41" s="1227"/>
      <c r="I41" s="1227"/>
      <c r="J41" s="1227"/>
      <c r="K41" s="1227"/>
      <c r="L41" s="1227"/>
      <c r="M41" s="1227"/>
      <c r="N41" s="1227"/>
      <c r="O41" s="1227"/>
      <c r="P41" s="1227"/>
      <c r="Q41" s="1227"/>
      <c r="R41" s="1227"/>
      <c r="S41" s="1227"/>
      <c r="T41" s="1227"/>
      <c r="U41" s="1227"/>
      <c r="V41" s="1227"/>
      <c r="W41" s="1227"/>
      <c r="X41" s="1229"/>
    </row>
    <row r="42" spans="1:38" s="454" customFormat="1" ht="20.100000000000001" customHeight="1">
      <c r="A42" s="454" t="s">
        <v>442</v>
      </c>
      <c r="C42" s="685" t="s">
        <v>424</v>
      </c>
      <c r="D42" s="1227" t="e">
        <f>ROUND(VLOOKUP(A42,#REF!,3,FALSE),0)</f>
        <v>#REF!</v>
      </c>
      <c r="E42" s="1227">
        <v>0</v>
      </c>
      <c r="F42" s="1227">
        <v>0</v>
      </c>
      <c r="G42" s="1227">
        <v>0</v>
      </c>
      <c r="H42" s="1227">
        <v>0</v>
      </c>
      <c r="I42" s="1227">
        <v>0</v>
      </c>
      <c r="J42" s="1227">
        <v>0</v>
      </c>
      <c r="K42" s="1227">
        <v>0</v>
      </c>
      <c r="L42" s="1227">
        <v>0</v>
      </c>
      <c r="M42" s="1227">
        <v>0</v>
      </c>
      <c r="N42" s="1227">
        <v>0</v>
      </c>
      <c r="O42" s="1227">
        <v>0</v>
      </c>
      <c r="P42" s="1227">
        <v>0</v>
      </c>
      <c r="Q42" s="1227">
        <v>0</v>
      </c>
      <c r="R42" s="1227">
        <v>0</v>
      </c>
      <c r="S42" s="1227">
        <v>0</v>
      </c>
      <c r="T42" s="1227">
        <v>0</v>
      </c>
      <c r="U42" s="1227">
        <v>0</v>
      </c>
      <c r="V42" s="1227">
        <v>0</v>
      </c>
      <c r="W42" s="1227">
        <v>0</v>
      </c>
      <c r="X42" s="1229" t="e">
        <f t="shared" ref="X42:X57" si="18">ROUND(SUM(D42:W42),0)</f>
        <v>#REF!</v>
      </c>
    </row>
    <row r="43" spans="1:38" s="417" customFormat="1" ht="20.100000000000001" customHeight="1">
      <c r="A43" s="417" t="s">
        <v>443</v>
      </c>
      <c r="C43" s="1305"/>
      <c r="D43" s="1227" t="e">
        <f>ROUND(VLOOKUP(A43,#REF!,3,FALSE),0)</f>
        <v>#REF!</v>
      </c>
      <c r="E43" s="1227">
        <v>0</v>
      </c>
      <c r="F43" s="1227">
        <v>0</v>
      </c>
      <c r="G43" s="1227">
        <v>0</v>
      </c>
      <c r="H43" s="1227">
        <v>0</v>
      </c>
      <c r="I43" s="1227">
        <v>0</v>
      </c>
      <c r="J43" s="1227">
        <v>0</v>
      </c>
      <c r="K43" s="1227">
        <v>0</v>
      </c>
      <c r="L43" s="1227">
        <v>0</v>
      </c>
      <c r="M43" s="1227">
        <v>0</v>
      </c>
      <c r="N43" s="1227">
        <v>0</v>
      </c>
      <c r="O43" s="1227">
        <v>0</v>
      </c>
      <c r="P43" s="1227">
        <v>0</v>
      </c>
      <c r="Q43" s="1227">
        <v>0</v>
      </c>
      <c r="R43" s="1227">
        <v>0</v>
      </c>
      <c r="S43" s="1227">
        <v>0</v>
      </c>
      <c r="T43" s="1227">
        <v>0</v>
      </c>
      <c r="U43" s="1227">
        <v>0</v>
      </c>
      <c r="V43" s="1227">
        <v>0</v>
      </c>
      <c r="W43" s="1227">
        <v>0</v>
      </c>
      <c r="X43" s="1229" t="e">
        <f t="shared" si="18"/>
        <v>#REF!</v>
      </c>
      <c r="Y43" s="454"/>
      <c r="AE43" s="454"/>
      <c r="AF43" s="454"/>
      <c r="AG43" s="454"/>
      <c r="AH43" s="454"/>
      <c r="AI43" s="454"/>
      <c r="AJ43" s="454"/>
      <c r="AK43" s="454"/>
      <c r="AL43" s="454"/>
    </row>
    <row r="44" spans="1:38" s="417" customFormat="1" ht="20.100000000000001" customHeight="1">
      <c r="A44" s="417" t="s">
        <v>444</v>
      </c>
      <c r="C44" s="1305"/>
      <c r="D44" s="1227" t="e">
        <f>ROUNDDOWN(VLOOKUP(A44,#REF!,3,FALSE),0)</f>
        <v>#REF!</v>
      </c>
      <c r="E44" s="1227">
        <v>0</v>
      </c>
      <c r="F44" s="1227">
        <v>0</v>
      </c>
      <c r="G44" s="1227">
        <v>0</v>
      </c>
      <c r="H44" s="1227">
        <v>0</v>
      </c>
      <c r="I44" s="1227">
        <v>0</v>
      </c>
      <c r="J44" s="1227">
        <v>0</v>
      </c>
      <c r="K44" s="1227">
        <v>0</v>
      </c>
      <c r="L44" s="1227">
        <v>0</v>
      </c>
      <c r="M44" s="1227">
        <v>0</v>
      </c>
      <c r="N44" s="1227">
        <v>0</v>
      </c>
      <c r="O44" s="1227">
        <v>0</v>
      </c>
      <c r="P44" s="1227">
        <v>0</v>
      </c>
      <c r="Q44" s="1227">
        <v>0</v>
      </c>
      <c r="R44" s="1227">
        <v>0</v>
      </c>
      <c r="S44" s="1227">
        <v>0</v>
      </c>
      <c r="T44" s="1227">
        <v>0</v>
      </c>
      <c r="U44" s="1227">
        <v>0</v>
      </c>
      <c r="V44" s="1227">
        <v>0</v>
      </c>
      <c r="W44" s="1227">
        <v>0</v>
      </c>
      <c r="X44" s="1229" t="e">
        <f t="shared" si="18"/>
        <v>#REF!</v>
      </c>
      <c r="Y44" s="454"/>
      <c r="AE44" s="454"/>
      <c r="AF44" s="454"/>
      <c r="AG44" s="454"/>
      <c r="AH44" s="454"/>
      <c r="AI44" s="454"/>
      <c r="AJ44" s="454"/>
      <c r="AK44" s="454"/>
      <c r="AL44" s="454"/>
    </row>
    <row r="45" spans="1:38" s="417" customFormat="1" ht="20.100000000000001" customHeight="1">
      <c r="A45" s="417" t="s">
        <v>445</v>
      </c>
      <c r="C45" s="1305"/>
      <c r="D45" s="1227" t="e">
        <f>ROUND(VLOOKUP(A45,#REF!,3,FALSE),0)</f>
        <v>#REF!</v>
      </c>
      <c r="E45" s="1227">
        <v>0</v>
      </c>
      <c r="F45" s="1227">
        <v>0</v>
      </c>
      <c r="G45" s="1227">
        <v>0</v>
      </c>
      <c r="H45" s="1227">
        <v>0</v>
      </c>
      <c r="I45" s="1227">
        <v>0</v>
      </c>
      <c r="J45" s="1227">
        <v>0</v>
      </c>
      <c r="K45" s="1227">
        <v>0</v>
      </c>
      <c r="L45" s="1227">
        <v>0</v>
      </c>
      <c r="M45" s="1227">
        <v>0</v>
      </c>
      <c r="N45" s="1227">
        <v>0</v>
      </c>
      <c r="O45" s="1227">
        <v>0</v>
      </c>
      <c r="P45" s="1227">
        <v>0</v>
      </c>
      <c r="Q45" s="1227">
        <v>0</v>
      </c>
      <c r="R45" s="1227">
        <v>0</v>
      </c>
      <c r="S45" s="1227">
        <v>0</v>
      </c>
      <c r="T45" s="1227">
        <v>0</v>
      </c>
      <c r="U45" s="1227">
        <v>0</v>
      </c>
      <c r="V45" s="1227">
        <v>0</v>
      </c>
      <c r="W45" s="1227">
        <v>0</v>
      </c>
      <c r="X45" s="1229" t="e">
        <f t="shared" si="18"/>
        <v>#REF!</v>
      </c>
      <c r="Y45" s="454"/>
      <c r="AE45" s="454"/>
      <c r="AF45" s="454"/>
      <c r="AG45" s="454"/>
      <c r="AH45" s="454"/>
      <c r="AI45" s="454"/>
      <c r="AJ45" s="454"/>
      <c r="AK45" s="454"/>
      <c r="AL45" s="454"/>
    </row>
    <row r="46" spans="1:38" s="417" customFormat="1" ht="20.100000000000001" customHeight="1">
      <c r="A46" s="417" t="s">
        <v>446</v>
      </c>
      <c r="C46" s="1305"/>
      <c r="D46" s="1227" t="e">
        <f>ROUND(VLOOKUP(A46,#REF!,3,FALSE),0)</f>
        <v>#REF!</v>
      </c>
      <c r="E46" s="1227">
        <v>0</v>
      </c>
      <c r="F46" s="1227">
        <v>0</v>
      </c>
      <c r="G46" s="1227">
        <v>0</v>
      </c>
      <c r="H46" s="1227">
        <v>0</v>
      </c>
      <c r="I46" s="1227">
        <v>0</v>
      </c>
      <c r="J46" s="1227">
        <v>0</v>
      </c>
      <c r="K46" s="1227">
        <v>0</v>
      </c>
      <c r="L46" s="1227">
        <v>0</v>
      </c>
      <c r="M46" s="1227">
        <v>0</v>
      </c>
      <c r="N46" s="1227">
        <v>0</v>
      </c>
      <c r="O46" s="1227">
        <v>0</v>
      </c>
      <c r="P46" s="1227">
        <v>0</v>
      </c>
      <c r="Q46" s="1227">
        <v>0</v>
      </c>
      <c r="R46" s="1227">
        <v>0</v>
      </c>
      <c r="S46" s="1227">
        <v>0</v>
      </c>
      <c r="T46" s="1227">
        <v>0</v>
      </c>
      <c r="U46" s="1227">
        <v>0</v>
      </c>
      <c r="V46" s="1227">
        <v>0</v>
      </c>
      <c r="W46" s="1227">
        <v>0</v>
      </c>
      <c r="X46" s="1229" t="e">
        <f t="shared" si="18"/>
        <v>#REF!</v>
      </c>
      <c r="Y46" s="454"/>
      <c r="AE46" s="454"/>
      <c r="AF46" s="454"/>
      <c r="AG46" s="454"/>
      <c r="AH46" s="454"/>
      <c r="AI46" s="454"/>
      <c r="AJ46" s="454"/>
      <c r="AK46" s="454"/>
      <c r="AL46" s="454"/>
    </row>
    <row r="47" spans="1:38" s="417" customFormat="1" ht="20.100000000000001" customHeight="1">
      <c r="A47" s="417" t="s">
        <v>448</v>
      </c>
      <c r="C47" s="1305"/>
      <c r="D47" s="1227" t="e">
        <f>ROUND(VLOOKUP(A47,#REF!,3,FALSE),0)</f>
        <v>#REF!</v>
      </c>
      <c r="E47" s="1227">
        <v>0</v>
      </c>
      <c r="F47" s="1227">
        <v>0</v>
      </c>
      <c r="G47" s="1227">
        <v>0</v>
      </c>
      <c r="H47" s="1227">
        <v>0</v>
      </c>
      <c r="I47" s="1227">
        <v>0</v>
      </c>
      <c r="J47" s="1227">
        <v>0</v>
      </c>
      <c r="K47" s="1227">
        <v>0</v>
      </c>
      <c r="L47" s="1227">
        <v>0</v>
      </c>
      <c r="M47" s="1227">
        <v>0</v>
      </c>
      <c r="N47" s="1227">
        <v>0</v>
      </c>
      <c r="O47" s="1227">
        <v>0</v>
      </c>
      <c r="P47" s="1227">
        <v>0</v>
      </c>
      <c r="Q47" s="1227">
        <v>0</v>
      </c>
      <c r="R47" s="1227">
        <v>0</v>
      </c>
      <c r="S47" s="1227">
        <v>0</v>
      </c>
      <c r="T47" s="1227">
        <v>0</v>
      </c>
      <c r="U47" s="1227">
        <v>0</v>
      </c>
      <c r="V47" s="1227">
        <v>0</v>
      </c>
      <c r="W47" s="1227">
        <v>0</v>
      </c>
      <c r="X47" s="1229" t="e">
        <f t="shared" si="18"/>
        <v>#REF!</v>
      </c>
      <c r="Y47" s="454"/>
      <c r="AE47" s="454"/>
      <c r="AF47" s="454"/>
      <c r="AG47" s="454"/>
      <c r="AH47" s="454"/>
      <c r="AI47" s="454"/>
      <c r="AJ47" s="454"/>
      <c r="AK47" s="454"/>
      <c r="AL47" s="454"/>
    </row>
    <row r="48" spans="1:38" s="417" customFormat="1" ht="20.100000000000001" customHeight="1">
      <c r="A48" s="417" t="s">
        <v>683</v>
      </c>
      <c r="C48" s="1305"/>
      <c r="D48" s="1227" t="e">
        <f>ROUND(VLOOKUP(A48,#REF!,3,FALSE),0)</f>
        <v>#REF!</v>
      </c>
      <c r="E48" s="1227">
        <v>0</v>
      </c>
      <c r="F48" s="1250">
        <v>0</v>
      </c>
      <c r="G48" s="1227">
        <v>0</v>
      </c>
      <c r="H48" s="1227">
        <v>0</v>
      </c>
      <c r="I48" s="1227">
        <v>0</v>
      </c>
      <c r="J48" s="1227">
        <v>0</v>
      </c>
      <c r="K48" s="1227">
        <v>0</v>
      </c>
      <c r="L48" s="1227">
        <v>0</v>
      </c>
      <c r="M48" s="1227">
        <v>0</v>
      </c>
      <c r="N48" s="1227">
        <v>0</v>
      </c>
      <c r="O48" s="1227">
        <v>0</v>
      </c>
      <c r="P48" s="1227">
        <v>0</v>
      </c>
      <c r="Q48" s="1227">
        <v>0</v>
      </c>
      <c r="R48" s="1227">
        <v>0</v>
      </c>
      <c r="S48" s="1227">
        <v>0</v>
      </c>
      <c r="T48" s="1227">
        <v>0</v>
      </c>
      <c r="U48" s="1227">
        <v>0</v>
      </c>
      <c r="V48" s="1227">
        <v>0</v>
      </c>
      <c r="W48" s="1227">
        <v>0</v>
      </c>
      <c r="X48" s="1229" t="e">
        <f t="shared" si="18"/>
        <v>#REF!</v>
      </c>
      <c r="Y48" s="454"/>
      <c r="AE48" s="454"/>
      <c r="AF48" s="454"/>
      <c r="AG48" s="454"/>
      <c r="AH48" s="454"/>
      <c r="AI48" s="454"/>
      <c r="AJ48" s="454"/>
      <c r="AK48" s="454"/>
      <c r="AL48" s="454"/>
    </row>
    <row r="49" spans="1:38" s="417" customFormat="1" ht="20.100000000000001" customHeight="1">
      <c r="A49" s="417" t="s">
        <v>450</v>
      </c>
      <c r="C49" s="1305"/>
      <c r="D49" s="1227" t="e">
        <f>ROUND(VLOOKUP(A49,#REF!,3,FALSE),0)</f>
        <v>#REF!</v>
      </c>
      <c r="E49" s="1227">
        <v>0</v>
      </c>
      <c r="F49" s="1227">
        <v>0</v>
      </c>
      <c r="G49" s="1227">
        <v>0</v>
      </c>
      <c r="H49" s="1227">
        <v>0</v>
      </c>
      <c r="I49" s="1227">
        <v>0</v>
      </c>
      <c r="J49" s="1227">
        <v>0</v>
      </c>
      <c r="K49" s="1227">
        <v>0</v>
      </c>
      <c r="L49" s="1227">
        <v>0</v>
      </c>
      <c r="M49" s="1227">
        <f>ROUND('City Insurance'!L26-'City Insurance'!L25,0)</f>
        <v>20643758</v>
      </c>
      <c r="N49" s="1227">
        <f>ROUND('Self-Insured Health'!L25,0)</f>
        <v>18231232</v>
      </c>
      <c r="O49" s="1227">
        <v>0</v>
      </c>
      <c r="P49" s="1227">
        <v>0</v>
      </c>
      <c r="Q49" s="1227">
        <v>0</v>
      </c>
      <c r="R49" s="1227">
        <v>0</v>
      </c>
      <c r="S49" s="1227">
        <v>0</v>
      </c>
      <c r="T49" s="1227">
        <v>0</v>
      </c>
      <c r="U49" s="1227">
        <v>0</v>
      </c>
      <c r="V49" s="1227">
        <v>0</v>
      </c>
      <c r="W49" s="1227">
        <v>0</v>
      </c>
      <c r="X49" s="1229" t="e">
        <f t="shared" si="18"/>
        <v>#REF!</v>
      </c>
      <c r="Y49" s="454"/>
      <c r="AE49" s="454"/>
      <c r="AF49" s="454"/>
      <c r="AG49" s="454"/>
      <c r="AH49" s="454"/>
      <c r="AI49" s="454"/>
      <c r="AJ49" s="454"/>
      <c r="AK49" s="454"/>
      <c r="AL49" s="454"/>
    </row>
    <row r="50" spans="1:38" s="417" customFormat="1" ht="20.100000000000001" customHeight="1">
      <c r="A50" s="417" t="s">
        <v>483</v>
      </c>
      <c r="C50" s="1305"/>
      <c r="D50" s="1227">
        <v>0</v>
      </c>
      <c r="E50" s="1227">
        <v>0</v>
      </c>
      <c r="F50" s="1227">
        <v>0</v>
      </c>
      <c r="G50" s="1227">
        <v>0</v>
      </c>
      <c r="H50" s="1227">
        <v>0</v>
      </c>
      <c r="I50" s="1227">
        <v>0</v>
      </c>
      <c r="J50" s="1227">
        <v>0</v>
      </c>
      <c r="K50" s="1227">
        <v>0</v>
      </c>
      <c r="L50" s="1227">
        <v>0</v>
      </c>
      <c r="M50" s="1227">
        <v>0</v>
      </c>
      <c r="N50" s="1227">
        <v>0</v>
      </c>
      <c r="O50" s="1227">
        <v>0</v>
      </c>
      <c r="P50" s="1227" t="e">
        <f>ROUND('Central Service'!L27-'Central Service'!#REF!,0)</f>
        <v>#REF!</v>
      </c>
      <c r="Q50" s="1227">
        <v>0</v>
      </c>
      <c r="R50" s="1227">
        <v>0</v>
      </c>
      <c r="S50" s="1227">
        <v>0</v>
      </c>
      <c r="T50" s="1227">
        <v>0</v>
      </c>
      <c r="U50" s="1227">
        <v>0</v>
      </c>
      <c r="V50" s="1227">
        <v>0</v>
      </c>
      <c r="W50" s="1227">
        <v>0</v>
      </c>
      <c r="X50" s="1229" t="e">
        <f t="shared" si="18"/>
        <v>#REF!</v>
      </c>
      <c r="Y50" s="454"/>
      <c r="AE50" s="454"/>
      <c r="AF50" s="454"/>
      <c r="AG50" s="454"/>
      <c r="AH50" s="454"/>
      <c r="AI50" s="454"/>
      <c r="AJ50" s="454"/>
      <c r="AK50" s="454"/>
      <c r="AL50" s="454"/>
    </row>
    <row r="51" spans="1:38" s="417" customFormat="1" ht="20.100000000000001" customHeight="1">
      <c r="A51" s="417" t="s">
        <v>454</v>
      </c>
      <c r="C51" s="1305"/>
      <c r="D51" s="1227" t="e">
        <f>ROUND(VLOOKUP(A51,#REF!,3,FALSE),0)</f>
        <v>#REF!</v>
      </c>
      <c r="E51" s="1227">
        <v>0</v>
      </c>
      <c r="F51" s="1227">
        <v>0</v>
      </c>
      <c r="G51" s="1227">
        <v>0</v>
      </c>
      <c r="H51" s="1228">
        <f>ROUND(Cemtery!L22,0)</f>
        <v>1250259</v>
      </c>
      <c r="I51" s="1227" t="e">
        <f>ROUND(#REF!,0)</f>
        <v>#REF!</v>
      </c>
      <c r="J51" s="1227">
        <v>0</v>
      </c>
      <c r="K51" s="1227">
        <v>0</v>
      </c>
      <c r="L51" s="1227">
        <v>0</v>
      </c>
      <c r="M51" s="1227">
        <v>0</v>
      </c>
      <c r="N51" s="1227">
        <v>0</v>
      </c>
      <c r="O51" s="1227">
        <v>0</v>
      </c>
      <c r="P51" s="1227">
        <v>0</v>
      </c>
      <c r="Q51" s="1227">
        <v>0</v>
      </c>
      <c r="R51" s="1227">
        <v>0</v>
      </c>
      <c r="S51" s="1227">
        <v>0</v>
      </c>
      <c r="T51" s="1227">
        <v>0</v>
      </c>
      <c r="U51" s="1227">
        <v>0</v>
      </c>
      <c r="V51" s="1227">
        <v>0</v>
      </c>
      <c r="W51" s="1227">
        <v>0</v>
      </c>
      <c r="X51" s="1229" t="e">
        <f t="shared" si="18"/>
        <v>#REF!</v>
      </c>
      <c r="Y51" s="454"/>
      <c r="AE51" s="454"/>
      <c r="AF51" s="454"/>
      <c r="AG51" s="454"/>
      <c r="AH51" s="454"/>
      <c r="AI51" s="454"/>
      <c r="AJ51" s="454"/>
      <c r="AK51" s="454"/>
      <c r="AL51" s="454"/>
    </row>
    <row r="52" spans="1:38" s="417" customFormat="1" ht="20.100000000000001" customHeight="1">
      <c r="A52" s="417" t="s">
        <v>456</v>
      </c>
      <c r="C52" s="1305"/>
      <c r="D52" s="1227" t="e">
        <f>ROUND(VLOOKUP(A52,#REF!,3,FALSE),0)</f>
        <v>#REF!</v>
      </c>
      <c r="E52" s="1227">
        <v>0</v>
      </c>
      <c r="F52" s="1227">
        <v>0</v>
      </c>
      <c r="G52" s="1227">
        <v>0</v>
      </c>
      <c r="H52" s="1227">
        <v>0</v>
      </c>
      <c r="I52" s="1227">
        <v>0</v>
      </c>
      <c r="J52" s="1227">
        <v>0</v>
      </c>
      <c r="K52" s="1227">
        <v>0</v>
      </c>
      <c r="L52" s="1227">
        <v>0</v>
      </c>
      <c r="M52" s="1227">
        <v>0</v>
      </c>
      <c r="N52" s="1227">
        <v>0</v>
      </c>
      <c r="O52" s="1227">
        <v>0</v>
      </c>
      <c r="P52" s="1227">
        <v>0</v>
      </c>
      <c r="Q52" s="1227">
        <v>0</v>
      </c>
      <c r="R52" s="1227">
        <v>0</v>
      </c>
      <c r="S52" s="1227">
        <f>ROUND(Police!L27+'Drug Enforcement Agency'!L26-S61,0)</f>
        <v>1359256</v>
      </c>
      <c r="T52" s="1227">
        <v>0</v>
      </c>
      <c r="U52" s="1227">
        <v>0</v>
      </c>
      <c r="V52" s="1227">
        <f>ROUND('School Crossing Guard'!L19,0)</f>
        <v>893012</v>
      </c>
      <c r="W52" s="1227">
        <v>0</v>
      </c>
      <c r="X52" s="1229" t="e">
        <f t="shared" si="18"/>
        <v>#REF!</v>
      </c>
      <c r="Y52" s="454"/>
      <c r="AE52" s="454"/>
      <c r="AF52" s="454"/>
      <c r="AG52" s="454"/>
      <c r="AH52" s="454"/>
      <c r="AI52" s="454"/>
      <c r="AJ52" s="454"/>
      <c r="AK52" s="454"/>
      <c r="AL52" s="454"/>
    </row>
    <row r="53" spans="1:38" s="417" customFormat="1" ht="20.100000000000001" customHeight="1">
      <c r="A53" s="417" t="s">
        <v>459</v>
      </c>
      <c r="C53" s="1305"/>
      <c r="D53" s="1227" t="e">
        <f>ROUND(VLOOKUP(A53,#REF!,3,FALSE),0)</f>
        <v>#REF!</v>
      </c>
      <c r="E53" s="1227">
        <f>ROUNDDOWN('Water and Sewer'!L29+'Central Region'!L28-'Water and Sewer'!L27-'Central Region'!L26-'Water and Sewer'!L25-'Central Region'!L25,0)</f>
        <v>98641940</v>
      </c>
      <c r="F53" s="1227">
        <v>0</v>
      </c>
      <c r="G53" s="1227">
        <v>0</v>
      </c>
      <c r="H53" s="1227">
        <v>0</v>
      </c>
      <c r="I53" s="1227" t="e">
        <f>ROUND(#REF!,0)</f>
        <v>#REF!</v>
      </c>
      <c r="J53" s="1227">
        <v>0</v>
      </c>
      <c r="K53" s="1227">
        <f>ROUND('Vehicle Rental'!L28-'Vehicle Rental'!L26,0)</f>
        <v>15380392</v>
      </c>
      <c r="L53" s="1227">
        <v>0</v>
      </c>
      <c r="M53" s="1227">
        <v>0</v>
      </c>
      <c r="N53" s="1227">
        <v>0</v>
      </c>
      <c r="O53" s="1227">
        <f>ROUND(Stormwater!L28-Stormwater!L26,0)</f>
        <v>6029886</v>
      </c>
      <c r="P53" s="1227">
        <v>0</v>
      </c>
      <c r="Q53" s="1227">
        <v>0</v>
      </c>
      <c r="R53" s="1227">
        <v>0</v>
      </c>
      <c r="S53" s="1227">
        <v>0</v>
      </c>
      <c r="T53" s="1227">
        <v>0</v>
      </c>
      <c r="U53" s="1227">
        <v>0</v>
      </c>
      <c r="V53" s="1227">
        <v>0</v>
      </c>
      <c r="W53" s="1227">
        <v>0</v>
      </c>
      <c r="X53" s="1229" t="e">
        <f t="shared" si="18"/>
        <v>#REF!</v>
      </c>
      <c r="Y53" s="454"/>
      <c r="AE53" s="454"/>
      <c r="AF53" s="454"/>
      <c r="AG53" s="454"/>
      <c r="AH53" s="454"/>
      <c r="AI53" s="454"/>
      <c r="AJ53" s="454"/>
      <c r="AK53" s="454"/>
      <c r="AL53" s="454"/>
    </row>
    <row r="54" spans="1:38" s="417" customFormat="1" ht="20.100000000000001" customHeight="1">
      <c r="A54" s="417" t="s">
        <v>570</v>
      </c>
      <c r="C54" s="1305"/>
      <c r="D54" s="1227" t="e">
        <f>ROUND(VLOOKUP(A54,#REF!,3,FALSE),0)</f>
        <v>#REF!</v>
      </c>
      <c r="E54" s="1227">
        <v>0</v>
      </c>
      <c r="F54" s="1228">
        <v>0</v>
      </c>
      <c r="G54" s="1228" t="e">
        <f>ROUNDDOWN(#REF!+#REF!+#REF!-#REF!,1)</f>
        <v>#REF!</v>
      </c>
      <c r="H54" s="1228">
        <v>0</v>
      </c>
      <c r="I54" s="1227">
        <v>0</v>
      </c>
      <c r="J54" s="1227">
        <v>0</v>
      </c>
      <c r="K54" s="1227"/>
      <c r="L54" s="1227">
        <v>0</v>
      </c>
      <c r="M54" s="1227">
        <v>0</v>
      </c>
      <c r="N54" s="1227">
        <v>0</v>
      </c>
      <c r="O54" s="1227">
        <v>0</v>
      </c>
      <c r="P54" s="1227">
        <v>0</v>
      </c>
      <c r="Q54" s="1227">
        <f>ROUND('CRA-Beach'!L28+'CRA-NW Progresso'!L29-'CRA-Beach'!L27-'CRA-NW Progresso'!L25+'CRA-Central City'!L19,0)</f>
        <v>12213467</v>
      </c>
      <c r="R54" s="1228">
        <f>ROUND('Housing and Community Dev'!L27-'Housing and Community Dev'!L26,0)</f>
        <v>9371773</v>
      </c>
      <c r="S54" s="1228">
        <v>0</v>
      </c>
      <c r="T54" s="1227">
        <f>ROUND('Beach Bus Improv District'!L21,0)</f>
        <v>699107</v>
      </c>
      <c r="U54" s="1227">
        <v>0</v>
      </c>
      <c r="V54" s="1228">
        <v>0</v>
      </c>
      <c r="W54" s="1228">
        <v>0</v>
      </c>
      <c r="X54" s="1229" t="e">
        <f t="shared" si="18"/>
        <v>#REF!</v>
      </c>
      <c r="Y54" s="454"/>
      <c r="AE54" s="454"/>
      <c r="AF54" s="454"/>
      <c r="AG54" s="454"/>
      <c r="AH54" s="454"/>
      <c r="AI54" s="454"/>
      <c r="AJ54" s="454"/>
      <c r="AK54" s="454"/>
      <c r="AL54" s="454"/>
    </row>
    <row r="55" spans="1:38" s="417" customFormat="1" ht="20.100000000000001" customHeight="1">
      <c r="A55" s="417" t="s">
        <v>476</v>
      </c>
      <c r="C55" s="1305"/>
      <c r="D55" s="1227" t="e">
        <f>ROUND(VLOOKUP(A55,#REF!,3,FALSE),0)</f>
        <v>#REF!</v>
      </c>
      <c r="E55" s="1227">
        <v>0</v>
      </c>
      <c r="F55" s="1227">
        <v>0</v>
      </c>
      <c r="G55" s="1227">
        <v>0</v>
      </c>
      <c r="H55" s="1227">
        <v>0</v>
      </c>
      <c r="I55" s="1227">
        <v>0</v>
      </c>
      <c r="J55" s="1227">
        <f>ROUND('Parking System'!L29-'Parking System'!L27,0)</f>
        <v>21750118</v>
      </c>
      <c r="K55" s="1227"/>
      <c r="L55" s="1227">
        <f>ROUND(Airport!L28-Airport!L26,0)</f>
        <v>7966111</v>
      </c>
      <c r="M55" s="1227">
        <v>0</v>
      </c>
      <c r="N55" s="1227">
        <v>0</v>
      </c>
      <c r="O55" s="1227">
        <v>0</v>
      </c>
      <c r="P55" s="1227">
        <v>0</v>
      </c>
      <c r="Q55" s="1227">
        <v>0</v>
      </c>
      <c r="R55" s="1227">
        <v>0</v>
      </c>
      <c r="S55" s="1227">
        <v>0</v>
      </c>
      <c r="T55" s="1227">
        <v>0</v>
      </c>
      <c r="U55" s="1227">
        <f>ROUND('Arts Science District Garage'!L25,0)</f>
        <v>1160555</v>
      </c>
      <c r="V55" s="1227">
        <v>0</v>
      </c>
      <c r="W55" s="1227">
        <v>0</v>
      </c>
      <c r="X55" s="1229" t="e">
        <f t="shared" si="18"/>
        <v>#REF!</v>
      </c>
      <c r="Y55" s="454"/>
      <c r="AE55" s="454"/>
      <c r="AF55" s="454"/>
      <c r="AG55" s="454"/>
      <c r="AH55" s="454"/>
      <c r="AI55" s="454"/>
      <c r="AJ55" s="454"/>
      <c r="AK55" s="454"/>
      <c r="AL55" s="454"/>
    </row>
    <row r="56" spans="1:38" s="363" customFormat="1" ht="18.75">
      <c r="A56" s="454" t="s">
        <v>16</v>
      </c>
      <c r="C56" s="710"/>
      <c r="D56" s="1227" t="e">
        <f>ROUND(VLOOKUP(A56,#REF!,3,FALSE),0)</f>
        <v>#REF!</v>
      </c>
      <c r="E56" s="1227">
        <f>ROUND('Water and Sewer'!L25+'Central Region'!L25,0)</f>
        <v>33116202</v>
      </c>
      <c r="F56" s="1227" t="e">
        <f>ROUND(#REF!+#REF!+#REF!+#REF!+#REF!+#REF!+#REF!,0)</f>
        <v>#REF!</v>
      </c>
      <c r="G56" s="1227">
        <v>0</v>
      </c>
      <c r="H56" s="1227">
        <v>0</v>
      </c>
      <c r="I56" s="1227">
        <v>0</v>
      </c>
      <c r="J56" s="1227">
        <v>0</v>
      </c>
      <c r="K56" s="1227"/>
      <c r="L56" s="1227">
        <v>0</v>
      </c>
      <c r="M56" s="1227">
        <v>0</v>
      </c>
      <c r="N56" s="1227">
        <v>0</v>
      </c>
      <c r="O56" s="1227">
        <v>0</v>
      </c>
      <c r="P56" s="1227">
        <v>0</v>
      </c>
      <c r="Q56" s="1227">
        <v>0</v>
      </c>
      <c r="R56" s="1227">
        <v>0</v>
      </c>
      <c r="S56" s="1227">
        <v>0</v>
      </c>
      <c r="T56" s="1227">
        <v>0</v>
      </c>
      <c r="U56" s="1227">
        <v>0</v>
      </c>
      <c r="V56" s="1227">
        <v>0</v>
      </c>
      <c r="W56" s="1227">
        <v>0</v>
      </c>
      <c r="X56" s="1229" t="e">
        <f t="shared" si="18"/>
        <v>#REF!</v>
      </c>
    </row>
    <row r="57" spans="1:38" s="417" customFormat="1" ht="20.100000000000001" customHeight="1">
      <c r="A57" s="417" t="s">
        <v>460</v>
      </c>
      <c r="C57" s="1305"/>
      <c r="D57" s="1227" t="e">
        <f>ROUND(VLOOKUP(A57,#REF!,3,FALSE),0)</f>
        <v>#REF!</v>
      </c>
      <c r="E57" s="1227">
        <v>0</v>
      </c>
      <c r="F57" s="1227">
        <v>0</v>
      </c>
      <c r="G57" s="1227">
        <v>0</v>
      </c>
      <c r="H57" s="1228">
        <v>0</v>
      </c>
      <c r="I57" s="1227">
        <v>0</v>
      </c>
      <c r="J57" s="1227">
        <v>0</v>
      </c>
      <c r="K57" s="1227"/>
      <c r="L57" s="1227">
        <v>0</v>
      </c>
      <c r="M57" s="1227">
        <v>0</v>
      </c>
      <c r="N57" s="1227">
        <v>0</v>
      </c>
      <c r="O57" s="1227">
        <v>0</v>
      </c>
      <c r="P57" s="1227">
        <v>0</v>
      </c>
      <c r="Q57" s="1228">
        <v>0</v>
      </c>
      <c r="R57" s="1227">
        <v>0</v>
      </c>
      <c r="S57" s="1227">
        <v>0</v>
      </c>
      <c r="T57" s="1227">
        <v>0</v>
      </c>
      <c r="U57" s="1227">
        <v>0</v>
      </c>
      <c r="V57" s="1227">
        <v>0</v>
      </c>
      <c r="W57" s="1227">
        <f>'Sunrise Key'!L21</f>
        <v>80308.3</v>
      </c>
      <c r="X57" s="1229" t="e">
        <f t="shared" si="18"/>
        <v>#REF!</v>
      </c>
      <c r="Y57" s="454"/>
      <c r="AE57" s="454"/>
      <c r="AF57" s="454"/>
      <c r="AG57" s="454"/>
      <c r="AH57" s="454"/>
      <c r="AI57" s="454"/>
      <c r="AJ57" s="454"/>
      <c r="AK57" s="454"/>
      <c r="AL57" s="454"/>
    </row>
    <row r="58" spans="1:38" s="1305" customFormat="1" ht="20.100000000000001" customHeight="1">
      <c r="A58" s="1397" t="s">
        <v>943</v>
      </c>
      <c r="C58" s="1305" t="s">
        <v>58</v>
      </c>
      <c r="D58" s="1307" t="e">
        <f t="shared" ref="D58:X58" si="19">SUM(D42:D57)</f>
        <v>#REF!</v>
      </c>
      <c r="E58" s="1307">
        <f t="shared" si="19"/>
        <v>131758142</v>
      </c>
      <c r="F58" s="1307" t="e">
        <f t="shared" si="19"/>
        <v>#REF!</v>
      </c>
      <c r="G58" s="1307" t="e">
        <f t="shared" si="19"/>
        <v>#REF!</v>
      </c>
      <c r="H58" s="1307">
        <f t="shared" si="19"/>
        <v>1250259</v>
      </c>
      <c r="I58" s="1307" t="e">
        <f>SUM(I42:I57)</f>
        <v>#REF!</v>
      </c>
      <c r="J58" s="1307">
        <f t="shared" si="19"/>
        <v>21750118</v>
      </c>
      <c r="K58" s="1307">
        <f t="shared" si="19"/>
        <v>15380392</v>
      </c>
      <c r="L58" s="1307">
        <f t="shared" si="19"/>
        <v>7966111</v>
      </c>
      <c r="M58" s="1307">
        <f t="shared" si="19"/>
        <v>20643758</v>
      </c>
      <c r="N58" s="1307">
        <f>SUM(N42:N57)</f>
        <v>18231232</v>
      </c>
      <c r="O58" s="1307">
        <f t="shared" si="19"/>
        <v>6029886</v>
      </c>
      <c r="P58" s="1307" t="e">
        <f t="shared" si="19"/>
        <v>#REF!</v>
      </c>
      <c r="Q58" s="1307">
        <f t="shared" si="19"/>
        <v>12213467</v>
      </c>
      <c r="R58" s="1307">
        <f t="shared" si="19"/>
        <v>9371773</v>
      </c>
      <c r="S58" s="1307">
        <f t="shared" si="19"/>
        <v>1359256</v>
      </c>
      <c r="T58" s="1307">
        <f t="shared" si="19"/>
        <v>699107</v>
      </c>
      <c r="U58" s="1307">
        <f t="shared" si="19"/>
        <v>1160555</v>
      </c>
      <c r="V58" s="1307">
        <f t="shared" si="19"/>
        <v>893012</v>
      </c>
      <c r="W58" s="1307">
        <f t="shared" si="19"/>
        <v>80308.3</v>
      </c>
      <c r="X58" s="1307" t="e">
        <f t="shared" si="19"/>
        <v>#REF!</v>
      </c>
      <c r="Y58" s="801" t="s">
        <v>58</v>
      </c>
      <c r="AE58" s="685"/>
      <c r="AF58" s="685"/>
      <c r="AG58" s="685"/>
      <c r="AH58" s="685"/>
      <c r="AI58" s="685"/>
      <c r="AJ58" s="685"/>
      <c r="AK58" s="685"/>
      <c r="AL58" s="685"/>
    </row>
    <row r="59" spans="1:38" s="417" customFormat="1" ht="12.75" customHeight="1">
      <c r="C59" s="1305"/>
      <c r="D59" s="1209"/>
      <c r="E59" s="1227"/>
      <c r="F59" s="1227"/>
      <c r="G59" s="1227"/>
      <c r="H59" s="1227"/>
      <c r="I59" s="1227"/>
      <c r="J59" s="1227"/>
      <c r="K59" s="1227"/>
      <c r="L59" s="1227"/>
      <c r="M59" s="1227"/>
      <c r="N59" s="1227"/>
      <c r="O59" s="1227"/>
      <c r="P59" s="1227"/>
      <c r="Q59" s="1227"/>
      <c r="R59" s="1227"/>
      <c r="S59" s="1227"/>
      <c r="T59" s="1227"/>
      <c r="U59" s="1227"/>
      <c r="V59" s="1227"/>
      <c r="W59" s="1227"/>
      <c r="X59" s="1229"/>
      <c r="Y59" s="454"/>
      <c r="AE59" s="454"/>
      <c r="AF59" s="454"/>
      <c r="AG59" s="454"/>
      <c r="AH59" s="454"/>
      <c r="AI59" s="454"/>
      <c r="AJ59" s="454"/>
      <c r="AK59" s="454"/>
      <c r="AL59" s="454"/>
    </row>
    <row r="60" spans="1:38" s="417" customFormat="1" ht="14.25" customHeight="1">
      <c r="A60" s="1305" t="s">
        <v>462</v>
      </c>
      <c r="C60" s="1305"/>
      <c r="D60" s="1209"/>
      <c r="E60" s="1227"/>
      <c r="F60" s="1227"/>
      <c r="G60" s="1227"/>
      <c r="H60" s="1227"/>
      <c r="I60" s="1227"/>
      <c r="J60" s="1227"/>
      <c r="K60" s="1227"/>
      <c r="L60" s="1227"/>
      <c r="M60" s="1227"/>
      <c r="N60" s="1227"/>
      <c r="O60" s="1227"/>
      <c r="P60" s="1227"/>
      <c r="Q60" s="1227"/>
      <c r="R60" s="1227"/>
      <c r="S60" s="1227"/>
      <c r="T60" s="1227"/>
      <c r="U60" s="1227"/>
      <c r="V60" s="1227"/>
      <c r="W60" s="1227"/>
      <c r="X60" s="1229"/>
      <c r="Y60" s="454"/>
      <c r="AE60" s="454"/>
      <c r="AF60" s="454"/>
      <c r="AG60" s="454"/>
      <c r="AH60" s="454"/>
      <c r="AI60" s="454"/>
      <c r="AJ60" s="454"/>
      <c r="AK60" s="454"/>
      <c r="AL60" s="454"/>
    </row>
    <row r="61" spans="1:38" s="417" customFormat="1" ht="18" customHeight="1">
      <c r="A61" s="417" t="s">
        <v>463</v>
      </c>
      <c r="C61" s="1305"/>
      <c r="D61" s="1227" t="e">
        <f>'001 General Fund'!K136-D62-D64-D63</f>
        <v>#REF!</v>
      </c>
      <c r="E61" s="1227">
        <f>174241+2211552</f>
        <v>2385793</v>
      </c>
      <c r="F61" s="1227" t="e">
        <f>ROUND(#REF!,0)</f>
        <v>#REF!</v>
      </c>
      <c r="G61" s="1227" t="e">
        <f>ROUND(#REF!,0)</f>
        <v>#REF!</v>
      </c>
      <c r="H61" s="1227">
        <v>0</v>
      </c>
      <c r="I61" s="1227">
        <f>ROUND(Sanitation!L26,0)</f>
        <v>534730</v>
      </c>
      <c r="J61" s="1227">
        <v>362672</v>
      </c>
      <c r="K61" s="1301">
        <f>ROUND('Vehicle Rental'!L26,0)</f>
        <v>0</v>
      </c>
      <c r="L61" s="1227">
        <v>103663</v>
      </c>
      <c r="M61" s="1227">
        <f>ROUND('City Insurance'!L25,0)</f>
        <v>78026</v>
      </c>
      <c r="N61" s="1227">
        <v>0</v>
      </c>
      <c r="O61" s="1227">
        <v>170178</v>
      </c>
      <c r="P61" s="1301" t="e">
        <f>ROUND('Central Service'!#REF!,0)-P64</f>
        <v>#REF!</v>
      </c>
      <c r="Q61" s="1227">
        <v>117801</v>
      </c>
      <c r="R61" s="1227">
        <v>0</v>
      </c>
      <c r="S61" s="1227">
        <f>ROUND(Police!L26,0)</f>
        <v>30229</v>
      </c>
      <c r="T61" s="1227">
        <v>0</v>
      </c>
      <c r="U61" s="1227">
        <v>0</v>
      </c>
      <c r="V61" s="1227">
        <v>0</v>
      </c>
      <c r="W61" s="1227">
        <v>0</v>
      </c>
      <c r="X61" s="1229" t="e">
        <f>ROUND(SUM(D61:W61),0)</f>
        <v>#REF!</v>
      </c>
      <c r="Y61" s="454"/>
      <c r="AE61" s="454"/>
      <c r="AF61" s="454"/>
      <c r="AG61" s="454"/>
      <c r="AH61" s="454"/>
      <c r="AI61" s="454"/>
      <c r="AJ61" s="454"/>
      <c r="AK61" s="454"/>
      <c r="AL61" s="454"/>
    </row>
    <row r="62" spans="1:38" s="417" customFormat="1" ht="18" customHeight="1">
      <c r="A62" s="417" t="s">
        <v>464</v>
      </c>
      <c r="C62" s="1305"/>
      <c r="D62" s="1227">
        <f>450000+213199+I31</f>
        <v>3663199</v>
      </c>
      <c r="E62" s="1227">
        <v>0</v>
      </c>
      <c r="F62" s="1227">
        <v>0</v>
      </c>
      <c r="G62" s="1227">
        <v>0</v>
      </c>
      <c r="H62" s="1227">
        <v>0</v>
      </c>
      <c r="I62" s="1227">
        <v>0</v>
      </c>
      <c r="J62" s="1227">
        <v>0</v>
      </c>
      <c r="K62" s="1227">
        <v>0</v>
      </c>
      <c r="L62" s="1227">
        <v>0</v>
      </c>
      <c r="M62" s="1227">
        <v>0</v>
      </c>
      <c r="N62" s="1227">
        <v>0</v>
      </c>
      <c r="O62" s="1227">
        <v>0</v>
      </c>
      <c r="P62" s="1227">
        <v>0</v>
      </c>
      <c r="Q62" s="1227">
        <v>0</v>
      </c>
      <c r="R62" s="1227">
        <v>0</v>
      </c>
      <c r="S62" s="1227">
        <v>0</v>
      </c>
      <c r="T62" s="1227">
        <v>0</v>
      </c>
      <c r="U62" s="1227">
        <v>0</v>
      </c>
      <c r="V62" s="1227">
        <v>0</v>
      </c>
      <c r="W62" s="1227">
        <v>0</v>
      </c>
      <c r="X62" s="1229">
        <f>ROUND(SUM(D62:W62),0)</f>
        <v>3663199</v>
      </c>
      <c r="Y62" s="454"/>
      <c r="AE62" s="454"/>
      <c r="AF62" s="454"/>
      <c r="AG62" s="454"/>
      <c r="AH62" s="454"/>
      <c r="AI62" s="454"/>
      <c r="AJ62" s="454"/>
      <c r="AK62" s="454"/>
      <c r="AL62" s="454"/>
    </row>
    <row r="63" spans="1:38" s="417" customFormat="1" ht="18" customHeight="1">
      <c r="A63" s="417" t="s">
        <v>906</v>
      </c>
      <c r="C63" s="1305"/>
      <c r="D63" s="1227">
        <v>2095875</v>
      </c>
      <c r="E63" s="1227">
        <v>0</v>
      </c>
      <c r="F63" s="1227">
        <v>0</v>
      </c>
      <c r="G63" s="1227">
        <v>0</v>
      </c>
      <c r="H63" s="1227">
        <v>0</v>
      </c>
      <c r="I63" s="1227">
        <v>0</v>
      </c>
      <c r="J63" s="1227">
        <v>0</v>
      </c>
      <c r="K63" s="1227">
        <v>0</v>
      </c>
      <c r="L63" s="1227">
        <v>0</v>
      </c>
      <c r="M63" s="1227">
        <v>0</v>
      </c>
      <c r="N63" s="1227">
        <v>0</v>
      </c>
      <c r="O63" s="1227">
        <v>0</v>
      </c>
      <c r="P63" s="1227">
        <v>0</v>
      </c>
      <c r="Q63" s="1227">
        <v>0</v>
      </c>
      <c r="R63" s="1227">
        <v>0</v>
      </c>
      <c r="S63" s="1227">
        <v>0</v>
      </c>
      <c r="T63" s="1227">
        <v>0</v>
      </c>
      <c r="U63" s="1227">
        <v>0</v>
      </c>
      <c r="V63" s="1227">
        <v>0</v>
      </c>
      <c r="W63" s="1227">
        <v>0</v>
      </c>
      <c r="X63" s="1229">
        <f>ROUND(SUM(D63:W63),0)</f>
        <v>2095875</v>
      </c>
      <c r="Y63" s="454"/>
      <c r="AE63" s="454"/>
      <c r="AF63" s="454"/>
      <c r="AG63" s="454"/>
      <c r="AH63" s="454"/>
      <c r="AI63" s="454"/>
      <c r="AJ63" s="454"/>
      <c r="AK63" s="454"/>
      <c r="AL63" s="454"/>
    </row>
    <row r="64" spans="1:38" s="417" customFormat="1" ht="18" customHeight="1">
      <c r="A64" s="417" t="s">
        <v>465</v>
      </c>
      <c r="C64" s="1305"/>
      <c r="D64" s="1215">
        <f>'[3]As of August 20, 2013'!$T$240-D63</f>
        <v>2713600</v>
      </c>
      <c r="E64" s="1228">
        <f>ROUND('Water and Sewer'!L27+'Central Region'!L26-E61,0)</f>
        <v>3841475</v>
      </c>
      <c r="F64" s="1227">
        <v>0</v>
      </c>
      <c r="G64" s="1227">
        <v>0</v>
      </c>
      <c r="H64" s="1227">
        <v>0</v>
      </c>
      <c r="I64" s="1228">
        <v>0</v>
      </c>
      <c r="J64" s="1228">
        <f>ROUND('Parking System'!L27,0)-J61</f>
        <v>-362672</v>
      </c>
      <c r="K64" s="1228">
        <v>0</v>
      </c>
      <c r="L64" s="1228">
        <f>ROUND(Airport!L26-L61,0)</f>
        <v>482205</v>
      </c>
      <c r="M64" s="1228">
        <v>0</v>
      </c>
      <c r="N64" s="1228">
        <v>0</v>
      </c>
      <c r="O64" s="1228">
        <f>Stormwater!L26-O61</f>
        <v>-170178</v>
      </c>
      <c r="P64" s="1228">
        <v>1390555</v>
      </c>
      <c r="Q64" s="1227">
        <f>ROUND('CRA-Beach'!L27+'CRA-NW Progresso'!L25-Q61,0)</f>
        <v>5363434</v>
      </c>
      <c r="R64" s="1227">
        <f>ROUND('Housing and Community Dev'!L26,0)</f>
        <v>0</v>
      </c>
      <c r="S64" s="1227">
        <v>0</v>
      </c>
      <c r="T64" s="1227">
        <v>0</v>
      </c>
      <c r="U64" s="1228">
        <v>0</v>
      </c>
      <c r="V64" s="1227">
        <v>0</v>
      </c>
      <c r="W64" s="1227">
        <v>0</v>
      </c>
      <c r="X64" s="1229">
        <f>ROUND(SUM(D64:W64),0)</f>
        <v>13258419</v>
      </c>
      <c r="Y64" s="454"/>
      <c r="Z64" s="417">
        <f>30038698-(41500+1955481+1321000+2619000+730000)</f>
        <v>23371717</v>
      </c>
      <c r="AA64" s="901">
        <f>Z64-X64</f>
        <v>10113298</v>
      </c>
      <c r="AE64" s="454"/>
      <c r="AF64" s="454"/>
      <c r="AG64" s="454"/>
      <c r="AH64" s="454"/>
      <c r="AI64" s="454"/>
      <c r="AJ64" s="454"/>
      <c r="AK64" s="454"/>
      <c r="AL64" s="454"/>
    </row>
    <row r="65" spans="1:38" s="1305" customFormat="1" ht="18" customHeight="1">
      <c r="A65" s="1397" t="s">
        <v>20</v>
      </c>
      <c r="C65" s="1305" t="s">
        <v>58</v>
      </c>
      <c r="D65" s="1306" t="e">
        <f t="shared" ref="D65:X65" si="20">SUM(D61:D64)</f>
        <v>#REF!</v>
      </c>
      <c r="E65" s="1306">
        <f t="shared" si="20"/>
        <v>6227268</v>
      </c>
      <c r="F65" s="1306" t="e">
        <f t="shared" si="20"/>
        <v>#REF!</v>
      </c>
      <c r="G65" s="1306" t="e">
        <f t="shared" si="20"/>
        <v>#REF!</v>
      </c>
      <c r="H65" s="1306">
        <f t="shared" si="20"/>
        <v>0</v>
      </c>
      <c r="I65" s="1306">
        <f>SUM(I61:I64)</f>
        <v>534730</v>
      </c>
      <c r="J65" s="1306">
        <f t="shared" si="20"/>
        <v>0</v>
      </c>
      <c r="K65" s="1306">
        <f t="shared" si="20"/>
        <v>0</v>
      </c>
      <c r="L65" s="1306">
        <f t="shared" si="20"/>
        <v>585868</v>
      </c>
      <c r="M65" s="1306">
        <f t="shared" si="20"/>
        <v>78026</v>
      </c>
      <c r="N65" s="1306">
        <f t="shared" si="20"/>
        <v>0</v>
      </c>
      <c r="O65" s="1306">
        <f t="shared" si="20"/>
        <v>0</v>
      </c>
      <c r="P65" s="1306" t="e">
        <f t="shared" si="20"/>
        <v>#REF!</v>
      </c>
      <c r="Q65" s="1306">
        <f t="shared" si="20"/>
        <v>5481235</v>
      </c>
      <c r="R65" s="1306">
        <f t="shared" si="20"/>
        <v>0</v>
      </c>
      <c r="S65" s="1306">
        <f t="shared" si="20"/>
        <v>30229</v>
      </c>
      <c r="T65" s="1306">
        <f t="shared" si="20"/>
        <v>0</v>
      </c>
      <c r="U65" s="1306">
        <f t="shared" si="20"/>
        <v>0</v>
      </c>
      <c r="V65" s="1306">
        <f t="shared" si="20"/>
        <v>0</v>
      </c>
      <c r="W65" s="1306">
        <f t="shared" si="20"/>
        <v>0</v>
      </c>
      <c r="X65" s="1306" t="e">
        <f t="shared" si="20"/>
        <v>#REF!</v>
      </c>
      <c r="Y65" s="801" t="s">
        <v>58</v>
      </c>
      <c r="Z65" s="1305">
        <f>2354000+83200+1050000-1700000+1439927</f>
        <v>3227127</v>
      </c>
      <c r="AA65" s="1309"/>
      <c r="AE65" s="685"/>
      <c r="AF65" s="685"/>
      <c r="AG65" s="685"/>
      <c r="AH65" s="685"/>
      <c r="AI65" s="685"/>
      <c r="AJ65" s="685"/>
      <c r="AK65" s="685"/>
      <c r="AL65" s="685"/>
    </row>
    <row r="66" spans="1:38" s="417" customFormat="1" ht="18" customHeight="1">
      <c r="C66" s="1305"/>
      <c r="D66" s="1215"/>
      <c r="E66" s="1215"/>
      <c r="F66" s="1215"/>
      <c r="G66" s="1215"/>
      <c r="H66" s="1215"/>
      <c r="I66" s="1215"/>
      <c r="J66" s="1215"/>
      <c r="K66" s="1215"/>
      <c r="L66" s="1215"/>
      <c r="M66" s="1215"/>
      <c r="N66" s="1215"/>
      <c r="O66" s="1215"/>
      <c r="P66" s="1215"/>
      <c r="Q66" s="1215"/>
      <c r="R66" s="1215"/>
      <c r="S66" s="1215"/>
      <c r="T66" s="1215"/>
      <c r="U66" s="1215"/>
      <c r="V66" s="1215"/>
      <c r="W66" s="1215"/>
      <c r="X66" s="1215"/>
      <c r="Y66" s="454"/>
      <c r="AA66" s="901"/>
      <c r="AE66" s="454"/>
      <c r="AF66" s="454"/>
      <c r="AG66" s="454"/>
      <c r="AH66" s="454"/>
      <c r="AI66" s="454"/>
      <c r="AJ66" s="454"/>
      <c r="AK66" s="454"/>
      <c r="AL66" s="454"/>
    </row>
    <row r="67" spans="1:38" s="1305" customFormat="1" ht="18" customHeight="1">
      <c r="A67" s="1397" t="s">
        <v>944</v>
      </c>
      <c r="C67" s="1305" t="s">
        <v>58</v>
      </c>
      <c r="D67" s="1396" t="e">
        <f t="shared" ref="D67:X67" si="21">D58+D65</f>
        <v>#REF!</v>
      </c>
      <c r="E67" s="1396">
        <f t="shared" si="21"/>
        <v>137985410</v>
      </c>
      <c r="F67" s="1396" t="e">
        <f t="shared" si="21"/>
        <v>#REF!</v>
      </c>
      <c r="G67" s="1396" t="e">
        <f t="shared" si="21"/>
        <v>#REF!</v>
      </c>
      <c r="H67" s="1396">
        <f t="shared" si="21"/>
        <v>1250259</v>
      </c>
      <c r="I67" s="1396" t="e">
        <f>I58+I65</f>
        <v>#REF!</v>
      </c>
      <c r="J67" s="1396">
        <f t="shared" si="21"/>
        <v>21750118</v>
      </c>
      <c r="K67" s="1396">
        <f t="shared" si="21"/>
        <v>15380392</v>
      </c>
      <c r="L67" s="1396">
        <f t="shared" si="21"/>
        <v>8551979</v>
      </c>
      <c r="M67" s="1396">
        <f t="shared" si="21"/>
        <v>20721784</v>
      </c>
      <c r="N67" s="1396">
        <f t="shared" si="21"/>
        <v>18231232</v>
      </c>
      <c r="O67" s="1396">
        <f t="shared" si="21"/>
        <v>6029886</v>
      </c>
      <c r="P67" s="1396" t="e">
        <f t="shared" si="21"/>
        <v>#REF!</v>
      </c>
      <c r="Q67" s="1396">
        <f t="shared" si="21"/>
        <v>17694702</v>
      </c>
      <c r="R67" s="1396">
        <f t="shared" si="21"/>
        <v>9371773</v>
      </c>
      <c r="S67" s="1396">
        <f t="shared" si="21"/>
        <v>1389485</v>
      </c>
      <c r="T67" s="1396">
        <f t="shared" si="21"/>
        <v>699107</v>
      </c>
      <c r="U67" s="1396">
        <f t="shared" si="21"/>
        <v>1160555</v>
      </c>
      <c r="V67" s="1396">
        <f t="shared" si="21"/>
        <v>893012</v>
      </c>
      <c r="W67" s="1396">
        <f t="shared" si="21"/>
        <v>80308.3</v>
      </c>
      <c r="X67" s="1396" t="e">
        <f t="shared" si="21"/>
        <v>#REF!</v>
      </c>
      <c r="Y67" s="801" t="s">
        <v>58</v>
      </c>
      <c r="AE67" s="685"/>
      <c r="AF67" s="685"/>
      <c r="AG67" s="685"/>
      <c r="AH67" s="685"/>
      <c r="AI67" s="685"/>
      <c r="AJ67" s="685"/>
      <c r="AK67" s="685"/>
      <c r="AL67" s="685"/>
    </row>
    <row r="68" spans="1:38" s="417" customFormat="1" ht="18.75">
      <c r="C68" s="1305"/>
      <c r="D68" s="1209"/>
      <c r="E68" s="1227"/>
      <c r="F68" s="1227"/>
      <c r="G68" s="1227"/>
      <c r="H68" s="1227"/>
      <c r="I68" s="1227"/>
      <c r="J68" s="1227"/>
      <c r="K68" s="1227"/>
      <c r="L68" s="1227"/>
      <c r="M68" s="1227"/>
      <c r="N68" s="1227"/>
      <c r="O68" s="1227"/>
      <c r="P68" s="1227"/>
      <c r="Q68" s="1227"/>
      <c r="R68" s="1227"/>
      <c r="S68" s="1227"/>
      <c r="T68" s="1227"/>
      <c r="U68" s="1227"/>
      <c r="V68" s="1227"/>
      <c r="W68" s="1227"/>
      <c r="X68" s="1229"/>
      <c r="Y68" s="454"/>
      <c r="AE68" s="454"/>
      <c r="AF68" s="454"/>
      <c r="AG68" s="454"/>
      <c r="AH68" s="454"/>
      <c r="AI68" s="454"/>
      <c r="AJ68" s="454"/>
      <c r="AK68" s="454"/>
      <c r="AL68" s="454"/>
    </row>
    <row r="69" spans="1:38" s="417" customFormat="1" ht="18" customHeight="1">
      <c r="A69" s="1397" t="s">
        <v>950</v>
      </c>
      <c r="C69" s="1305"/>
      <c r="D69" s="1396">
        <f>'001 General Fund'!K43</f>
        <v>328449</v>
      </c>
      <c r="E69" s="1395">
        <v>0</v>
      </c>
      <c r="F69" s="1395">
        <v>0</v>
      </c>
      <c r="G69" s="1395">
        <v>0</v>
      </c>
      <c r="H69" s="1395">
        <v>0</v>
      </c>
      <c r="I69" s="1395">
        <v>0</v>
      </c>
      <c r="J69" s="1395">
        <v>0</v>
      </c>
      <c r="K69" s="1395">
        <v>0</v>
      </c>
      <c r="L69" s="1395">
        <v>0</v>
      </c>
      <c r="M69" s="1395">
        <v>0</v>
      </c>
      <c r="N69" s="1395">
        <v>0</v>
      </c>
      <c r="O69" s="1395">
        <v>0</v>
      </c>
      <c r="P69" s="1395">
        <v>0</v>
      </c>
      <c r="Q69" s="1395">
        <v>0</v>
      </c>
      <c r="R69" s="1395">
        <v>0</v>
      </c>
      <c r="S69" s="1395">
        <v>0</v>
      </c>
      <c r="T69" s="1395">
        <v>0</v>
      </c>
      <c r="U69" s="1395">
        <v>0</v>
      </c>
      <c r="V69" s="1395">
        <v>0</v>
      </c>
      <c r="W69" s="1395">
        <v>0</v>
      </c>
      <c r="X69" s="1418">
        <f>ROUND(SUM(D69:W69),0)</f>
        <v>328449</v>
      </c>
      <c r="Y69" s="454"/>
      <c r="AA69" s="901"/>
      <c r="AE69" s="454"/>
      <c r="AF69" s="454"/>
      <c r="AG69" s="454"/>
      <c r="AH69" s="454"/>
      <c r="AI69" s="454"/>
      <c r="AJ69" s="454"/>
      <c r="AK69" s="454"/>
      <c r="AL69" s="454"/>
    </row>
    <row r="70" spans="1:38" s="417" customFormat="1" ht="18.75">
      <c r="C70" s="1305"/>
      <c r="D70" s="1209"/>
      <c r="E70" s="1227"/>
      <c r="F70" s="1227"/>
      <c r="G70" s="1227"/>
      <c r="H70" s="1227"/>
      <c r="I70" s="1227"/>
      <c r="J70" s="1227"/>
      <c r="K70" s="1227"/>
      <c r="L70" s="1227"/>
      <c r="M70" s="1227"/>
      <c r="N70" s="1227"/>
      <c r="O70" s="1227"/>
      <c r="P70" s="1227"/>
      <c r="Q70" s="1227"/>
      <c r="R70" s="1227"/>
      <c r="S70" s="1227"/>
      <c r="T70" s="1227"/>
      <c r="U70" s="1227"/>
      <c r="V70" s="1227"/>
      <c r="W70" s="1227"/>
      <c r="X70" s="1229"/>
      <c r="Y70" s="454"/>
      <c r="AE70" s="454"/>
      <c r="AF70" s="454"/>
      <c r="AG70" s="454"/>
      <c r="AH70" s="454"/>
      <c r="AI70" s="454"/>
      <c r="AJ70" s="454"/>
      <c r="AK70" s="454"/>
      <c r="AL70" s="454"/>
    </row>
    <row r="71" spans="1:38" s="417" customFormat="1" ht="17.25" customHeight="1">
      <c r="A71" s="1305" t="s">
        <v>466</v>
      </c>
      <c r="C71" s="1305"/>
      <c r="D71" s="1209"/>
      <c r="E71" s="1227"/>
      <c r="F71" s="1227"/>
      <c r="G71" s="1227"/>
      <c r="H71" s="1227"/>
      <c r="I71" s="1227"/>
      <c r="J71" s="1227"/>
      <c r="K71" s="1227"/>
      <c r="L71" s="1227"/>
      <c r="M71" s="1227"/>
      <c r="N71" s="1227"/>
      <c r="O71" s="1227"/>
      <c r="P71" s="1227"/>
      <c r="Q71" s="1227"/>
      <c r="R71" s="1227"/>
      <c r="S71" s="1227"/>
      <c r="T71" s="1227"/>
      <c r="U71" s="1227"/>
      <c r="V71" s="1227"/>
      <c r="W71" s="1227"/>
      <c r="X71" s="1229"/>
      <c r="Y71" s="454"/>
      <c r="AE71" s="454"/>
      <c r="AF71" s="454"/>
      <c r="AG71" s="454"/>
      <c r="AH71" s="454"/>
      <c r="AI71" s="454"/>
      <c r="AJ71" s="454"/>
      <c r="AK71" s="454"/>
      <c r="AL71" s="454"/>
    </row>
    <row r="72" spans="1:38" s="417" customFormat="1" ht="18" customHeight="1">
      <c r="A72" s="417" t="s">
        <v>36</v>
      </c>
      <c r="C72" s="1305"/>
      <c r="D72" s="1227">
        <f>ROUND('001 General Fund'!K53,0)</f>
        <v>54350613</v>
      </c>
      <c r="E72" s="1227">
        <f>ROUND('Water and Sewer'!L33+'Central Region'!L32,0)</f>
        <v>0</v>
      </c>
      <c r="F72" s="1227">
        <v>0</v>
      </c>
      <c r="G72" s="1227" t="e">
        <f>ROUND(#REF!,0)</f>
        <v>#REF!</v>
      </c>
      <c r="H72" s="1227">
        <v>0</v>
      </c>
      <c r="I72" s="1227">
        <f>ROUND(Sanitation!L31,0)</f>
        <v>0</v>
      </c>
      <c r="J72" s="1227">
        <f>ROUND('Parking System'!L33,0)</f>
        <v>3533102</v>
      </c>
      <c r="K72" s="1227">
        <f>ROUND('Vehicle Rental'!L32,0)</f>
        <v>2636194</v>
      </c>
      <c r="L72" s="1228">
        <v>0</v>
      </c>
      <c r="M72" s="1228">
        <f>ROUND('City Insurance'!L30,0)</f>
        <v>3781380</v>
      </c>
      <c r="N72" s="1227">
        <f>ROUND('Self-Insured Health'!L29,0)</f>
        <v>0</v>
      </c>
      <c r="O72" s="1227">
        <f>ROUND(Stormwater!L32,0)</f>
        <v>13107307</v>
      </c>
      <c r="P72" s="1227">
        <f>ROUND('Central Service'!L31,0)</f>
        <v>283304</v>
      </c>
      <c r="Q72" s="1227">
        <f>ROUND('CRA-Beach'!L32+'CRA-NW Progresso'!L33+'CRA-Central City'!L24,0)-Q75</f>
        <v>307</v>
      </c>
      <c r="R72" s="1227">
        <v>0</v>
      </c>
      <c r="S72" s="1227">
        <f>ROUND(Police!L31+'Drug Enforcement Agency'!L30,0)</f>
        <v>610487</v>
      </c>
      <c r="T72" s="1227">
        <f>ROUND('Beach Bus Improv District'!L25,0)</f>
        <v>404874</v>
      </c>
      <c r="U72" s="1227">
        <v>0</v>
      </c>
      <c r="V72" s="1227">
        <f>ROUND('School Crossing Guard'!L25,0)</f>
        <v>137126</v>
      </c>
      <c r="W72" s="1227">
        <f>ROUND('Sunrise Key'!L24,0)</f>
        <v>99940</v>
      </c>
      <c r="X72" s="1229" t="e">
        <f>ROUND(SUM(D72:W72),0)</f>
        <v>#REF!</v>
      </c>
      <c r="Y72" s="454"/>
      <c r="AE72" s="454"/>
      <c r="AF72" s="454"/>
      <c r="AG72" s="454"/>
      <c r="AH72" s="454"/>
      <c r="AI72" s="454"/>
      <c r="AJ72" s="454"/>
      <c r="AK72" s="454"/>
      <c r="AL72" s="454"/>
    </row>
    <row r="73" spans="1:38" s="417" customFormat="1" ht="18" customHeight="1">
      <c r="A73" s="417" t="s">
        <v>782</v>
      </c>
      <c r="C73" s="1305"/>
      <c r="D73" s="1227">
        <f>ROUND('001 General Fund'!K49,0)</f>
        <v>4457240</v>
      </c>
      <c r="E73" s="1227">
        <f>0</f>
        <v>0</v>
      </c>
      <c r="F73" s="1227">
        <v>0</v>
      </c>
      <c r="G73" s="1227">
        <v>0</v>
      </c>
      <c r="H73" s="1227">
        <v>0</v>
      </c>
      <c r="I73" s="1227">
        <f>0</f>
        <v>0</v>
      </c>
      <c r="J73" s="1227">
        <f>0</f>
        <v>0</v>
      </c>
      <c r="K73" s="1227">
        <v>0</v>
      </c>
      <c r="L73" s="1227">
        <f>0</f>
        <v>0</v>
      </c>
      <c r="M73" s="1228">
        <v>0</v>
      </c>
      <c r="N73" s="1227">
        <v>0</v>
      </c>
      <c r="O73" s="1227">
        <f>0</f>
        <v>0</v>
      </c>
      <c r="P73" s="1227">
        <v>0</v>
      </c>
      <c r="Q73" s="1227">
        <v>0</v>
      </c>
      <c r="R73" s="1227">
        <v>0</v>
      </c>
      <c r="S73" s="1227">
        <v>0</v>
      </c>
      <c r="T73" s="1227">
        <v>0</v>
      </c>
      <c r="U73" s="1227">
        <f>0</f>
        <v>0</v>
      </c>
      <c r="V73" s="1227">
        <v>0</v>
      </c>
      <c r="W73" s="1227">
        <v>0</v>
      </c>
      <c r="X73" s="1229">
        <f>ROUND(SUM(D73:W73),0)</f>
        <v>4457240</v>
      </c>
      <c r="Y73" s="454"/>
      <c r="AE73" s="454"/>
      <c r="AF73" s="454"/>
      <c r="AG73" s="454"/>
      <c r="AH73" s="454"/>
      <c r="AI73" s="454"/>
      <c r="AJ73" s="454"/>
      <c r="AK73" s="454"/>
      <c r="AL73" s="454"/>
    </row>
    <row r="74" spans="1:38" s="417" customFormat="1" ht="18" customHeight="1">
      <c r="A74" s="417" t="s">
        <v>690</v>
      </c>
      <c r="C74" s="1305"/>
      <c r="D74" s="1227">
        <f>ROUND('001 General Fund'!K50,0)</f>
        <v>6000000</v>
      </c>
      <c r="E74" s="1227">
        <v>0</v>
      </c>
      <c r="F74" s="1227">
        <v>0</v>
      </c>
      <c r="G74" s="1227">
        <v>0</v>
      </c>
      <c r="H74" s="1227">
        <v>0</v>
      </c>
      <c r="I74" s="1227">
        <v>0</v>
      </c>
      <c r="J74" s="1227">
        <v>0</v>
      </c>
      <c r="K74" s="1227">
        <v>0</v>
      </c>
      <c r="L74" s="1227">
        <v>0</v>
      </c>
      <c r="M74" s="1228">
        <v>0</v>
      </c>
      <c r="N74" s="1227">
        <v>0</v>
      </c>
      <c r="O74" s="1227">
        <v>0</v>
      </c>
      <c r="P74" s="1227">
        <v>0</v>
      </c>
      <c r="Q74" s="1227">
        <v>0</v>
      </c>
      <c r="R74" s="1227">
        <v>0</v>
      </c>
      <c r="S74" s="1227">
        <v>0</v>
      </c>
      <c r="T74" s="1227">
        <v>0</v>
      </c>
      <c r="U74" s="1227">
        <v>0</v>
      </c>
      <c r="V74" s="1227">
        <v>0</v>
      </c>
      <c r="W74" s="1227">
        <v>0</v>
      </c>
      <c r="X74" s="1229">
        <f>ROUND(SUM(D74:W74),0)</f>
        <v>6000000</v>
      </c>
      <c r="Y74" s="454"/>
      <c r="AE74" s="454"/>
      <c r="AF74" s="454"/>
      <c r="AG74" s="454"/>
      <c r="AH74" s="454"/>
      <c r="AI74" s="454"/>
      <c r="AJ74" s="454"/>
      <c r="AK74" s="454"/>
      <c r="AL74" s="454"/>
    </row>
    <row r="75" spans="1:38" s="417" customFormat="1" ht="18" customHeight="1">
      <c r="A75" s="417" t="s">
        <v>841</v>
      </c>
      <c r="C75" s="1305"/>
      <c r="D75" s="1227">
        <f>ROUND('001 General Fund'!K52,0)</f>
        <v>888679</v>
      </c>
      <c r="E75" s="1233">
        <f>ROUND('Water and Sewer'!L32+'Central Region'!L31,0)</f>
        <v>47374438</v>
      </c>
      <c r="F75" s="1233" t="e">
        <f>ROUND(#REF!+#REF!+#REF!+#REF!+#REF!+#REF!+#REF!+#REF!+#REF!,0)</f>
        <v>#REF!</v>
      </c>
      <c r="G75" s="1227" t="e">
        <f>ROUND(#REF!+#REF!+#REF!,0)-G72</f>
        <v>#REF!</v>
      </c>
      <c r="H75" s="1227">
        <f>ROUND(Cemtery!L25,0)</f>
        <v>24879487</v>
      </c>
      <c r="I75" s="1227">
        <f>ROUND(Sanitation!L30,0)</f>
        <v>2310762</v>
      </c>
      <c r="J75" s="1227">
        <f>ROUND('Parking System'!L32,0)</f>
        <v>3778896</v>
      </c>
      <c r="K75" s="1227">
        <f>ROUND('Vehicle Rental'!L31,0)</f>
        <v>6915913</v>
      </c>
      <c r="L75" s="1233">
        <f>ROUND(Airport!L31,0)</f>
        <v>13024398</v>
      </c>
      <c r="M75" s="1233">
        <f>ROUND('City Insurance'!L29,0)</f>
        <v>12216</v>
      </c>
      <c r="N75" s="1233">
        <v>0</v>
      </c>
      <c r="O75" s="1233">
        <f>ROUND(Stormwater!L31,0)</f>
        <v>1015642</v>
      </c>
      <c r="P75" s="1233">
        <f>ROUND('Central Service'!L30,0)</f>
        <v>54588</v>
      </c>
      <c r="Q75" s="1233">
        <v>0</v>
      </c>
      <c r="R75" s="1227">
        <f>ROUND('Housing and Community Dev'!L30,0)</f>
        <v>38123</v>
      </c>
      <c r="S75" s="1227">
        <v>0</v>
      </c>
      <c r="T75" s="1227">
        <v>0</v>
      </c>
      <c r="U75" s="1233">
        <v>0</v>
      </c>
      <c r="V75" s="1227">
        <v>0</v>
      </c>
      <c r="W75" s="1227">
        <v>0</v>
      </c>
      <c r="X75" s="1229" t="e">
        <f>ROUND(SUM(D75:W75),0)</f>
        <v>#REF!</v>
      </c>
      <c r="Y75" s="454"/>
      <c r="AE75" s="454"/>
      <c r="AF75" s="454"/>
      <c r="AG75" s="454"/>
      <c r="AH75" s="454"/>
      <c r="AI75" s="454"/>
      <c r="AJ75" s="454"/>
      <c r="AK75" s="454"/>
      <c r="AL75" s="454"/>
    </row>
    <row r="76" spans="1:38" s="1305" customFormat="1" ht="18" customHeight="1">
      <c r="A76" s="1397" t="s">
        <v>945</v>
      </c>
      <c r="C76" s="1305" t="s">
        <v>58</v>
      </c>
      <c r="D76" s="1306">
        <f t="shared" ref="D76:X76" si="22">SUM(D72:D75)</f>
        <v>65696532</v>
      </c>
      <c r="E76" s="1307">
        <f t="shared" si="22"/>
        <v>47374438</v>
      </c>
      <c r="F76" s="1307" t="e">
        <f t="shared" si="22"/>
        <v>#REF!</v>
      </c>
      <c r="G76" s="1307" t="e">
        <f t="shared" si="22"/>
        <v>#REF!</v>
      </c>
      <c r="H76" s="1307">
        <f t="shared" si="22"/>
        <v>24879487</v>
      </c>
      <c r="I76" s="1307">
        <f>SUM(I72:I75)</f>
        <v>2310762</v>
      </c>
      <c r="J76" s="1307">
        <f t="shared" si="22"/>
        <v>7311998</v>
      </c>
      <c r="K76" s="1307">
        <f t="shared" si="22"/>
        <v>9552107</v>
      </c>
      <c r="L76" s="1307">
        <f t="shared" si="22"/>
        <v>13024398</v>
      </c>
      <c r="M76" s="1307">
        <f t="shared" si="22"/>
        <v>3793596</v>
      </c>
      <c r="N76" s="1307">
        <f t="shared" si="22"/>
        <v>0</v>
      </c>
      <c r="O76" s="1307">
        <f t="shared" si="22"/>
        <v>14122949</v>
      </c>
      <c r="P76" s="1307">
        <f t="shared" si="22"/>
        <v>337892</v>
      </c>
      <c r="Q76" s="1307">
        <f t="shared" si="22"/>
        <v>307</v>
      </c>
      <c r="R76" s="1307">
        <f t="shared" si="22"/>
        <v>38123</v>
      </c>
      <c r="S76" s="1307">
        <f t="shared" si="22"/>
        <v>610487</v>
      </c>
      <c r="T76" s="1307">
        <f t="shared" si="22"/>
        <v>404874</v>
      </c>
      <c r="U76" s="1307">
        <f t="shared" si="22"/>
        <v>0</v>
      </c>
      <c r="V76" s="1307">
        <f t="shared" si="22"/>
        <v>137126</v>
      </c>
      <c r="W76" s="1307">
        <f t="shared" si="22"/>
        <v>99940</v>
      </c>
      <c r="X76" s="1308" t="e">
        <f t="shared" si="22"/>
        <v>#REF!</v>
      </c>
      <c r="Y76" s="685"/>
      <c r="AE76" s="685"/>
      <c r="AF76" s="685"/>
      <c r="AG76" s="685"/>
      <c r="AH76" s="685"/>
      <c r="AI76" s="685"/>
      <c r="AJ76" s="685"/>
      <c r="AK76" s="685"/>
      <c r="AL76" s="685"/>
    </row>
    <row r="77" spans="1:38" s="417" customFormat="1" ht="8.25" customHeight="1">
      <c r="C77" s="1305"/>
      <c r="D77" s="1216"/>
      <c r="E77" s="1229"/>
      <c r="F77" s="1229"/>
      <c r="G77" s="1229"/>
      <c r="H77" s="1229"/>
      <c r="I77" s="1229"/>
      <c r="J77" s="1229"/>
      <c r="K77" s="1229"/>
      <c r="L77" s="1229"/>
      <c r="M77" s="1229"/>
      <c r="N77" s="1229"/>
      <c r="O77" s="1229"/>
      <c r="P77" s="1229"/>
      <c r="Q77" s="1229"/>
      <c r="R77" s="1229"/>
      <c r="S77" s="1229"/>
      <c r="T77" s="1229"/>
      <c r="U77" s="1229"/>
      <c r="V77" s="1229"/>
      <c r="W77" s="1229"/>
      <c r="X77" s="1232"/>
      <c r="Y77" s="454"/>
      <c r="AE77" s="454"/>
      <c r="AF77" s="454"/>
      <c r="AG77" s="454"/>
      <c r="AH77" s="454"/>
      <c r="AI77" s="454"/>
      <c r="AJ77" s="454"/>
      <c r="AK77" s="454"/>
      <c r="AL77" s="454"/>
    </row>
    <row r="78" spans="1:38" s="1305" customFormat="1" ht="30" customHeight="1" thickBot="1">
      <c r="A78" s="1401" t="s">
        <v>942</v>
      </c>
      <c r="B78" s="1401"/>
      <c r="C78" s="1402" t="s">
        <v>424</v>
      </c>
      <c r="D78" s="1404" t="e">
        <f>+D67+D76+D69</f>
        <v>#REF!</v>
      </c>
      <c r="E78" s="1404">
        <f t="shared" ref="E78:X78" si="23">+E67+E76+E69</f>
        <v>185359848</v>
      </c>
      <c r="F78" s="1404" t="e">
        <f t="shared" si="23"/>
        <v>#REF!</v>
      </c>
      <c r="G78" s="1404" t="e">
        <f t="shared" si="23"/>
        <v>#REF!</v>
      </c>
      <c r="H78" s="1404">
        <f t="shared" si="23"/>
        <v>26129746</v>
      </c>
      <c r="I78" s="1404" t="e">
        <f>+I67+I76+I69</f>
        <v>#REF!</v>
      </c>
      <c r="J78" s="1404">
        <f t="shared" si="23"/>
        <v>29062116</v>
      </c>
      <c r="K78" s="1404">
        <f t="shared" si="23"/>
        <v>24932499</v>
      </c>
      <c r="L78" s="1404">
        <f t="shared" si="23"/>
        <v>21576377</v>
      </c>
      <c r="M78" s="1404">
        <f t="shared" si="23"/>
        <v>24515380</v>
      </c>
      <c r="N78" s="1404">
        <f t="shared" si="23"/>
        <v>18231232</v>
      </c>
      <c r="O78" s="1404">
        <f t="shared" si="23"/>
        <v>20152835</v>
      </c>
      <c r="P78" s="1404" t="e">
        <f t="shared" si="23"/>
        <v>#REF!</v>
      </c>
      <c r="Q78" s="1404">
        <f t="shared" si="23"/>
        <v>17695009</v>
      </c>
      <c r="R78" s="1404">
        <f t="shared" si="23"/>
        <v>9409896</v>
      </c>
      <c r="S78" s="1404">
        <f t="shared" si="23"/>
        <v>1999972</v>
      </c>
      <c r="T78" s="1404">
        <f t="shared" si="23"/>
        <v>1103981</v>
      </c>
      <c r="U78" s="1404">
        <f t="shared" si="23"/>
        <v>1160555</v>
      </c>
      <c r="V78" s="1404">
        <f t="shared" si="23"/>
        <v>1030138</v>
      </c>
      <c r="W78" s="1404">
        <f t="shared" si="23"/>
        <v>180248.3</v>
      </c>
      <c r="X78" s="1404" t="e">
        <f t="shared" si="23"/>
        <v>#REF!</v>
      </c>
      <c r="Y78" s="685"/>
      <c r="AE78" s="685"/>
      <c r="AF78" s="685"/>
      <c r="AG78" s="685"/>
      <c r="AH78" s="685"/>
      <c r="AI78" s="685"/>
      <c r="AJ78" s="685"/>
      <c r="AK78" s="685"/>
      <c r="AL78" s="685"/>
    </row>
    <row r="79" spans="1:38" s="417" customFormat="1" ht="21.95" customHeight="1" thickTop="1">
      <c r="A79" s="476"/>
      <c r="B79" s="449"/>
      <c r="C79" s="1305"/>
      <c r="D79" s="1232"/>
      <c r="E79" s="483"/>
      <c r="F79" s="483"/>
      <c r="G79" s="1232" t="s">
        <v>58</v>
      </c>
      <c r="H79" s="483"/>
      <c r="I79" s="483"/>
      <c r="J79" s="483"/>
      <c r="K79" s="483"/>
      <c r="L79" s="483"/>
      <c r="M79" s="483"/>
      <c r="N79" s="483"/>
      <c r="O79" s="483"/>
      <c r="P79" s="483"/>
      <c r="Q79" s="1232" t="s">
        <v>58</v>
      </c>
      <c r="R79" s="1232"/>
      <c r="S79" s="1232" t="s">
        <v>58</v>
      </c>
      <c r="T79" s="1232"/>
      <c r="U79" s="483"/>
      <c r="V79" s="1232"/>
      <c r="W79" s="1232" t="s">
        <v>58</v>
      </c>
      <c r="X79" s="483" t="s">
        <v>58</v>
      </c>
      <c r="Y79" s="454"/>
      <c r="AA79" s="476"/>
      <c r="AB79" s="476"/>
      <c r="AC79" s="476"/>
      <c r="AD79" s="476"/>
      <c r="AE79" s="476"/>
      <c r="AF79" s="454"/>
      <c r="AG79" s="454"/>
      <c r="AH79" s="454"/>
      <c r="AI79" s="454"/>
      <c r="AJ79" s="454"/>
      <c r="AK79" s="454"/>
      <c r="AL79" s="454"/>
    </row>
    <row r="80" spans="1:38" ht="21" customHeight="1">
      <c r="A80" s="356"/>
      <c r="B80" s="356"/>
      <c r="C80" s="1049"/>
      <c r="D80" s="1439">
        <f>D18/D37</f>
        <v>0.27866270843382701</v>
      </c>
      <c r="E80" s="1440">
        <f>D18/D29</f>
        <v>0.34335108736716791</v>
      </c>
      <c r="F80" s="375"/>
      <c r="G80" s="375"/>
      <c r="H80" s="375"/>
      <c r="I80" s="375"/>
      <c r="J80" s="375"/>
      <c r="K80" s="375"/>
      <c r="L80" s="375"/>
      <c r="M80" s="375"/>
      <c r="N80" s="375"/>
      <c r="O80" s="375" t="s">
        <v>58</v>
      </c>
      <c r="P80" s="375"/>
      <c r="Q80" s="375"/>
      <c r="R80" s="375"/>
      <c r="S80" s="375"/>
      <c r="T80" s="375"/>
      <c r="U80" s="375"/>
      <c r="V80" s="375"/>
      <c r="W80" s="375"/>
      <c r="X80" s="375" t="s">
        <v>58</v>
      </c>
      <c r="AA80" s="1232"/>
      <c r="AB80" s="454"/>
      <c r="AC80" s="454"/>
      <c r="AD80" s="454"/>
    </row>
    <row r="81" spans="1:38" ht="9.9499999999999993" customHeight="1" thickBot="1">
      <c r="A81" s="356"/>
      <c r="B81" s="356"/>
      <c r="C81" s="1049"/>
      <c r="D81" s="380"/>
      <c r="E81" s="375"/>
      <c r="F81" s="375"/>
      <c r="G81" s="375"/>
      <c r="H81" s="375"/>
      <c r="I81" s="375"/>
      <c r="J81" s="375"/>
      <c r="K81" s="375"/>
      <c r="L81" s="375"/>
      <c r="M81" s="375"/>
      <c r="N81" s="375"/>
      <c r="O81" s="375"/>
      <c r="P81" s="375"/>
      <c r="Q81" s="375"/>
      <c r="R81" s="375"/>
      <c r="S81" s="375"/>
      <c r="T81" s="375"/>
      <c r="U81" s="375"/>
      <c r="V81" s="375"/>
      <c r="W81" s="375"/>
      <c r="X81" s="375"/>
      <c r="AA81" s="1238"/>
      <c r="AB81" s="454"/>
      <c r="AC81" s="454"/>
      <c r="AD81" s="454"/>
    </row>
    <row r="82" spans="1:38" s="903" customFormat="1" ht="19.5" thickTop="1">
      <c r="A82" s="1110" t="s">
        <v>469</v>
      </c>
      <c r="B82" s="1110"/>
      <c r="C82" s="1110"/>
      <c r="D82" s="1114" t="e">
        <f t="shared" ref="D82:J82" si="24">D37-D78</f>
        <v>#REF!</v>
      </c>
      <c r="E82" s="1113">
        <f t="shared" si="24"/>
        <v>223129</v>
      </c>
      <c r="F82" s="1113" t="e">
        <f t="shared" si="24"/>
        <v>#REF!</v>
      </c>
      <c r="G82" s="1113" t="e">
        <f t="shared" si="24"/>
        <v>#REF!</v>
      </c>
      <c r="H82" s="1113">
        <f t="shared" si="24"/>
        <v>0</v>
      </c>
      <c r="I82" s="1114"/>
      <c r="J82" s="1114">
        <f t="shared" si="24"/>
        <v>0</v>
      </c>
      <c r="K82" s="1114">
        <f t="shared" ref="K82:X82" si="25">K37-K78</f>
        <v>0</v>
      </c>
      <c r="L82" s="1114">
        <f t="shared" si="25"/>
        <v>0</v>
      </c>
      <c r="M82" s="1114">
        <f t="shared" si="25"/>
        <v>0</v>
      </c>
      <c r="N82" s="1113">
        <f t="shared" si="25"/>
        <v>1776441</v>
      </c>
      <c r="O82" s="1113">
        <f t="shared" si="25"/>
        <v>-1352273</v>
      </c>
      <c r="P82" s="1113" t="e">
        <f t="shared" si="25"/>
        <v>#REF!</v>
      </c>
      <c r="Q82" s="1114">
        <f t="shared" si="25"/>
        <v>-25021</v>
      </c>
      <c r="R82" s="1113">
        <f t="shared" si="25"/>
        <v>0</v>
      </c>
      <c r="S82" s="1113">
        <f t="shared" si="25"/>
        <v>-46252</v>
      </c>
      <c r="T82" s="1113">
        <f t="shared" si="25"/>
        <v>0</v>
      </c>
      <c r="U82" s="1113">
        <f t="shared" si="25"/>
        <v>-4560</v>
      </c>
      <c r="V82" s="1310">
        <f t="shared" si="25"/>
        <v>-20412</v>
      </c>
      <c r="W82" s="1113">
        <f t="shared" si="25"/>
        <v>-0.29999999998835847</v>
      </c>
      <c r="X82" s="1113" t="e">
        <f t="shared" si="25"/>
        <v>#REF!</v>
      </c>
      <c r="Y82" s="904"/>
      <c r="AA82" s="454"/>
      <c r="AB82" s="454"/>
      <c r="AC82" s="454"/>
      <c r="AD82" s="454"/>
      <c r="AE82" s="904"/>
      <c r="AF82" s="904"/>
      <c r="AG82" s="904"/>
      <c r="AH82" s="904"/>
      <c r="AI82" s="904"/>
      <c r="AJ82" s="904"/>
      <c r="AK82" s="904"/>
      <c r="AL82" s="904"/>
    </row>
    <row r="83" spans="1:38" ht="18.75">
      <c r="A83" s="365" t="s">
        <v>951</v>
      </c>
      <c r="D83" s="1276" t="e">
        <f>D72/D58</f>
        <v>#REF!</v>
      </c>
      <c r="E83" s="1226">
        <f>8707238-E72</f>
        <v>8707238</v>
      </c>
      <c r="F83" s="1226" t="s">
        <v>58</v>
      </c>
      <c r="G83" s="1226" t="s">
        <v>58</v>
      </c>
      <c r="H83" s="1226"/>
      <c r="I83" s="1226"/>
      <c r="J83" s="1226"/>
      <c r="K83" s="1226"/>
      <c r="L83" s="1226"/>
      <c r="M83" s="1226"/>
      <c r="N83" s="1226"/>
      <c r="O83" s="1303">
        <v>666092.38</v>
      </c>
      <c r="P83" s="1226"/>
      <c r="W83" s="971" t="s">
        <v>58</v>
      </c>
      <c r="AA83" s="454"/>
      <c r="AB83" s="454"/>
    </row>
    <row r="84" spans="1:38" ht="18.75">
      <c r="A84" s="365" t="s">
        <v>952</v>
      </c>
      <c r="D84" s="1045">
        <f>D18/D29</f>
        <v>0.34335108736716791</v>
      </c>
      <c r="E84" s="1226"/>
      <c r="F84" s="1226"/>
      <c r="H84" s="1226"/>
      <c r="I84" s="1226"/>
      <c r="J84" s="1226"/>
      <c r="K84" s="1226"/>
      <c r="L84" s="1226"/>
      <c r="M84" s="1226"/>
      <c r="N84" s="1226"/>
      <c r="O84" s="1304" t="s">
        <v>927</v>
      </c>
      <c r="P84" s="1226"/>
      <c r="AA84" s="454"/>
    </row>
    <row r="85" spans="1:38" ht="18.75">
      <c r="D85" s="571" t="e">
        <f>D78/'All Funds Sch A 2014 Page (2)'!Z69</f>
        <v>#REF!</v>
      </c>
      <c r="E85" s="1226"/>
      <c r="F85" s="1226"/>
      <c r="G85" s="1226"/>
      <c r="H85" s="1226"/>
      <c r="I85" s="1226"/>
      <c r="J85" s="1226"/>
      <c r="K85" s="1226"/>
      <c r="L85" s="1226"/>
      <c r="M85" s="1226"/>
      <c r="N85" s="1226"/>
      <c r="O85" s="1226"/>
      <c r="P85" s="1226"/>
      <c r="AA85" s="454"/>
      <c r="AC85" s="904"/>
      <c r="AD85" s="904"/>
    </row>
    <row r="86" spans="1:38" ht="15.75">
      <c r="D86" s="567" t="s">
        <v>58</v>
      </c>
      <c r="E86" s="1226"/>
      <c r="F86" s="1226"/>
      <c r="G86" s="1226"/>
      <c r="H86" s="1226"/>
      <c r="I86" s="1226"/>
      <c r="J86" s="1226"/>
      <c r="K86" s="1226"/>
      <c r="L86" s="1226"/>
      <c r="M86" s="1226"/>
      <c r="N86" s="1226"/>
      <c r="O86" s="1226"/>
      <c r="P86" s="1226"/>
      <c r="Y86" s="363" t="s">
        <v>58</v>
      </c>
      <c r="AA86" s="363"/>
      <c r="AB86" s="904"/>
    </row>
    <row r="87" spans="1:38">
      <c r="D87" s="377" t="s">
        <v>58</v>
      </c>
      <c r="E87" s="1226"/>
      <c r="F87" s="1226"/>
      <c r="G87" s="1226"/>
      <c r="H87" s="1226"/>
      <c r="I87" s="1226"/>
      <c r="J87" s="1226"/>
      <c r="K87" s="1226"/>
      <c r="L87" s="1226"/>
      <c r="M87" s="1226"/>
      <c r="N87" s="1226"/>
      <c r="O87" s="1226"/>
      <c r="P87" s="1226"/>
      <c r="Y87" s="363" t="s">
        <v>58</v>
      </c>
      <c r="AA87" s="363"/>
    </row>
    <row r="88" spans="1:38" ht="15.75">
      <c r="D88" s="377" t="s">
        <v>58</v>
      </c>
      <c r="E88" s="1226"/>
      <c r="F88" s="1226"/>
      <c r="G88" s="1226"/>
      <c r="H88" s="1226"/>
      <c r="I88" s="1226"/>
      <c r="J88" s="1226"/>
      <c r="K88" s="1226"/>
      <c r="L88" s="1226"/>
      <c r="M88" s="1226"/>
      <c r="N88" s="1226"/>
      <c r="O88" s="1226"/>
      <c r="P88" s="1226"/>
      <c r="AA88" s="904"/>
    </row>
    <row r="89" spans="1:38">
      <c r="D89" s="377"/>
      <c r="E89" s="1226"/>
      <c r="F89" s="1226"/>
      <c r="G89" s="1226"/>
      <c r="H89" s="1226"/>
      <c r="I89" s="1226"/>
      <c r="J89" s="1226"/>
      <c r="K89" s="1226"/>
      <c r="L89" s="1226"/>
      <c r="M89" s="1226"/>
      <c r="N89" s="1226"/>
      <c r="O89" s="1226"/>
      <c r="P89" s="1226"/>
      <c r="Q89" s="1226" t="s">
        <v>58</v>
      </c>
      <c r="AA89" s="363"/>
    </row>
    <row r="90" spans="1:38" s="417" customFormat="1" ht="21.95" customHeight="1" thickBot="1">
      <c r="A90" s="476" t="s">
        <v>783</v>
      </c>
      <c r="B90" s="449"/>
      <c r="C90" s="1305" t="s">
        <v>424</v>
      </c>
      <c r="D90" s="1236">
        <v>335746022</v>
      </c>
      <c r="E90" s="1236">
        <v>167642633</v>
      </c>
      <c r="F90" s="1238">
        <v>50117301</v>
      </c>
      <c r="G90" s="1236">
        <v>31636882</v>
      </c>
      <c r="H90" s="1238">
        <v>27933741</v>
      </c>
      <c r="I90" s="1236">
        <v>27927525</v>
      </c>
      <c r="J90" s="1236">
        <v>25601639</v>
      </c>
      <c r="K90" s="1236"/>
      <c r="L90" s="1236">
        <v>24222670</v>
      </c>
      <c r="M90" s="1236"/>
      <c r="N90" s="1236"/>
      <c r="O90" s="1236">
        <v>18380424</v>
      </c>
      <c r="P90" s="1236"/>
      <c r="Q90" s="1236">
        <v>13763947</v>
      </c>
      <c r="R90" s="1236">
        <v>11053527</v>
      </c>
      <c r="S90" s="1236">
        <v>2788008</v>
      </c>
      <c r="T90" s="1236">
        <v>1023241</v>
      </c>
      <c r="U90" s="1236">
        <v>900000</v>
      </c>
      <c r="V90" s="1236">
        <v>800007.6</v>
      </c>
      <c r="W90" s="1236">
        <v>145662</v>
      </c>
      <c r="X90" s="1229">
        <f>ROUND(SUM(D90:W90),0)</f>
        <v>739683230</v>
      </c>
      <c r="Y90" s="454"/>
      <c r="AA90" s="363"/>
      <c r="AB90" s="363"/>
      <c r="AC90" s="363"/>
      <c r="AD90" s="363"/>
      <c r="AE90" s="454"/>
      <c r="AF90" s="454"/>
      <c r="AG90" s="454"/>
      <c r="AH90" s="454"/>
      <c r="AI90" s="454"/>
      <c r="AJ90" s="454"/>
      <c r="AK90" s="454"/>
      <c r="AL90" s="454"/>
    </row>
    <row r="91" spans="1:38" ht="15.75" thickTop="1">
      <c r="D91" s="1416" t="e">
        <f>D78-D90</f>
        <v>#REF!</v>
      </c>
      <c r="E91" s="1416">
        <f t="shared" ref="E91:X91" si="26">E78-E90</f>
        <v>17717215</v>
      </c>
      <c r="F91" s="1416" t="e">
        <f t="shared" si="26"/>
        <v>#REF!</v>
      </c>
      <c r="G91" s="1416" t="e">
        <f t="shared" si="26"/>
        <v>#REF!</v>
      </c>
      <c r="H91" s="1416">
        <f t="shared" si="26"/>
        <v>-1803995</v>
      </c>
      <c r="I91" s="1416">
        <v>-3655000</v>
      </c>
      <c r="J91" s="1416">
        <f t="shared" si="26"/>
        <v>3460477</v>
      </c>
      <c r="K91" s="1416">
        <f t="shared" si="26"/>
        <v>24932499</v>
      </c>
      <c r="L91" s="1416">
        <f t="shared" si="26"/>
        <v>-2646293</v>
      </c>
      <c r="M91" s="1416">
        <f t="shared" si="26"/>
        <v>24515380</v>
      </c>
      <c r="N91" s="1416">
        <f>N78-N90</f>
        <v>18231232</v>
      </c>
      <c r="O91" s="1416">
        <f t="shared" si="26"/>
        <v>1772411</v>
      </c>
      <c r="P91" s="1416" t="e">
        <f t="shared" si="26"/>
        <v>#REF!</v>
      </c>
      <c r="Q91" s="1416">
        <f t="shared" si="26"/>
        <v>3931062</v>
      </c>
      <c r="R91" s="1416">
        <f t="shared" si="26"/>
        <v>-1643631</v>
      </c>
      <c r="S91" s="1416">
        <f t="shared" si="26"/>
        <v>-788036</v>
      </c>
      <c r="T91" s="1416">
        <f t="shared" si="26"/>
        <v>80740</v>
      </c>
      <c r="U91" s="1416">
        <f t="shared" si="26"/>
        <v>260555</v>
      </c>
      <c r="V91" s="1416">
        <f t="shared" si="26"/>
        <v>230130.40000000002</v>
      </c>
      <c r="W91" s="1416">
        <f t="shared" si="26"/>
        <v>34586.299999999988</v>
      </c>
      <c r="X91" s="1416" t="e">
        <f t="shared" si="26"/>
        <v>#REF!</v>
      </c>
      <c r="AA91" s="363"/>
    </row>
    <row r="92" spans="1:38">
      <c r="D92" s="922" t="s">
        <v>58</v>
      </c>
      <c r="E92" s="1226"/>
      <c r="I92" s="1226"/>
      <c r="J92" s="1226"/>
      <c r="K92" s="1226"/>
      <c r="L92" s="1226"/>
      <c r="M92" s="1226"/>
      <c r="N92" s="1226"/>
      <c r="O92" s="1226"/>
      <c r="P92" s="1226"/>
      <c r="AA92" s="363"/>
    </row>
    <row r="93" spans="1:38" s="1216" customFormat="1" ht="18.75">
      <c r="C93" s="1417"/>
      <c r="D93" s="1435" t="e">
        <f>D58</f>
        <v>#REF!</v>
      </c>
      <c r="E93" s="1435">
        <f t="shared" ref="E93:X93" si="27">E58</f>
        <v>131758142</v>
      </c>
      <c r="F93" s="1435" t="e">
        <f t="shared" si="27"/>
        <v>#REF!</v>
      </c>
      <c r="G93" s="1435" t="e">
        <f t="shared" si="27"/>
        <v>#REF!</v>
      </c>
      <c r="H93" s="1435">
        <f t="shared" si="27"/>
        <v>1250259</v>
      </c>
      <c r="I93" s="1435" t="e">
        <f>I58</f>
        <v>#REF!</v>
      </c>
      <c r="J93" s="1435">
        <f t="shared" si="27"/>
        <v>21750118</v>
      </c>
      <c r="K93" s="1435">
        <f t="shared" si="27"/>
        <v>15380392</v>
      </c>
      <c r="L93" s="1435">
        <f t="shared" si="27"/>
        <v>7966111</v>
      </c>
      <c r="M93" s="1435">
        <f t="shared" si="27"/>
        <v>20643758</v>
      </c>
      <c r="N93" s="1435">
        <f t="shared" si="27"/>
        <v>18231232</v>
      </c>
      <c r="O93" s="1435">
        <f t="shared" si="27"/>
        <v>6029886</v>
      </c>
      <c r="P93" s="1435" t="e">
        <f t="shared" si="27"/>
        <v>#REF!</v>
      </c>
      <c r="Q93" s="1435">
        <f t="shared" si="27"/>
        <v>12213467</v>
      </c>
      <c r="R93" s="1435">
        <f t="shared" si="27"/>
        <v>9371773</v>
      </c>
      <c r="S93" s="1435">
        <f t="shared" si="27"/>
        <v>1359256</v>
      </c>
      <c r="T93" s="1435">
        <f t="shared" si="27"/>
        <v>699107</v>
      </c>
      <c r="U93" s="1435">
        <f t="shared" si="27"/>
        <v>1160555</v>
      </c>
      <c r="V93" s="1435">
        <f t="shared" si="27"/>
        <v>893012</v>
      </c>
      <c r="W93" s="1435">
        <f t="shared" si="27"/>
        <v>80308.3</v>
      </c>
      <c r="X93" s="1435" t="e">
        <f t="shared" si="27"/>
        <v>#REF!</v>
      </c>
      <c r="Y93" s="1229" t="e">
        <f>X93-P93-N93-M93-K93</f>
        <v>#REF!</v>
      </c>
      <c r="AA93" s="1229"/>
      <c r="AB93" s="1229"/>
      <c r="AC93" s="1229"/>
      <c r="AD93" s="1229"/>
      <c r="AE93" s="1229"/>
      <c r="AF93" s="1229"/>
      <c r="AG93" s="1229"/>
      <c r="AH93" s="1229"/>
      <c r="AI93" s="1229"/>
      <c r="AJ93" s="1229"/>
      <c r="AK93" s="1229"/>
      <c r="AL93" s="1229"/>
    </row>
    <row r="94" spans="1:38" s="1216" customFormat="1" ht="18.75">
      <c r="C94" s="1417"/>
      <c r="D94" s="1216">
        <f>'All Funds Sch A 2013 Page -1'!D68</f>
        <v>238601769.07999998</v>
      </c>
      <c r="E94" s="1216">
        <f>'All Funds Sch A 2013 Page -1'!F68</f>
        <v>116716289</v>
      </c>
      <c r="F94" s="1216">
        <f>'All Funds Sch A 2013 Page -1'!E68</f>
        <v>47393158</v>
      </c>
      <c r="G94" s="1216">
        <f>'All Funds Sch A 2013 Page -1'!N68</f>
        <v>6352542.7000000002</v>
      </c>
      <c r="H94" s="1216">
        <f>'All Funds Sch A 2013 Page -1'!K68</f>
        <v>889492</v>
      </c>
      <c r="I94" s="1229">
        <f>'All Funds Sch A 2013 Page -1'!J68</f>
        <v>20136439.859999999</v>
      </c>
      <c r="J94" s="1229">
        <f>'All Funds Sch A 2013 Page -1'!I68</f>
        <v>14050869.43</v>
      </c>
      <c r="K94" s="1436">
        <f>18213699-35237</f>
        <v>18178462</v>
      </c>
      <c r="L94" s="1229">
        <f>'All Funds Sch A 2013 Page -1'!M68</f>
        <v>7160710.6100000003</v>
      </c>
      <c r="M94" s="1436">
        <f>23445240-100793</f>
        <v>23344447</v>
      </c>
      <c r="N94" s="1436">
        <v>19104500</v>
      </c>
      <c r="O94" s="1229">
        <f>'All Funds Sch A 2013 Page -1'!O68</f>
        <v>5186261.63</v>
      </c>
      <c r="P94" s="1436">
        <f>15226507-1395675</f>
        <v>13830832</v>
      </c>
      <c r="Q94" s="1229">
        <f>'All Funds Sch A 2013 Page -1'!R68</f>
        <v>3273952.21</v>
      </c>
      <c r="R94" s="1229">
        <f>'All Funds Sch A 2013 Page -1'!Q68</f>
        <v>11632668</v>
      </c>
      <c r="S94" s="1229">
        <f>'All Funds Sch A 2013 Page -1'!S68</f>
        <v>1741096.49</v>
      </c>
      <c r="T94" s="1229">
        <f>'All Funds Sch A 2013 Page -1'!V68</f>
        <v>684031.91</v>
      </c>
      <c r="U94" s="1229">
        <f>'All Funds Sch A 2013 Page -1'!T68</f>
        <v>1451345</v>
      </c>
      <c r="V94" s="1229">
        <f>'All Funds Sch A 2013 Page -1'!U68</f>
        <v>800000</v>
      </c>
      <c r="W94" s="1229">
        <f>'All Funds Sch A 2013 Page -1'!W68</f>
        <v>79500</v>
      </c>
      <c r="X94" s="1229">
        <f>SUM(D94:W94)</f>
        <v>550608366.91999996</v>
      </c>
      <c r="Y94" s="1229">
        <f>X94-P94-N94-M94-K94</f>
        <v>476150125.91999996</v>
      </c>
      <c r="AA94" s="1229"/>
      <c r="AB94" s="1229"/>
      <c r="AC94" s="1229"/>
      <c r="AD94" s="1229"/>
      <c r="AE94" s="1229"/>
      <c r="AF94" s="1229"/>
      <c r="AG94" s="1229"/>
      <c r="AH94" s="1229"/>
      <c r="AI94" s="1229"/>
      <c r="AJ94" s="1229"/>
      <c r="AK94" s="1229"/>
      <c r="AL94" s="1229"/>
    </row>
    <row r="95" spans="1:38" s="1216" customFormat="1" ht="18.75">
      <c r="C95" s="1417"/>
      <c r="D95" s="1216" t="e">
        <f>D93-D94</f>
        <v>#REF!</v>
      </c>
      <c r="E95" s="1216">
        <f t="shared" ref="E95:Y95" si="28">E93-E94</f>
        <v>15041853</v>
      </c>
      <c r="F95" s="1216" t="e">
        <f t="shared" si="28"/>
        <v>#REF!</v>
      </c>
      <c r="G95" s="1216" t="e">
        <f t="shared" si="28"/>
        <v>#REF!</v>
      </c>
      <c r="H95" s="1216">
        <f t="shared" si="28"/>
        <v>360767</v>
      </c>
      <c r="I95" s="1216" t="e">
        <f>I93-I94</f>
        <v>#REF!</v>
      </c>
      <c r="J95" s="1216">
        <f t="shared" si="28"/>
        <v>7699248.5700000003</v>
      </c>
      <c r="K95" s="1216">
        <f t="shared" si="28"/>
        <v>-2798070</v>
      </c>
      <c r="L95" s="1216">
        <f t="shared" si="28"/>
        <v>805400.38999999966</v>
      </c>
      <c r="M95" s="1216">
        <f t="shared" si="28"/>
        <v>-2700689</v>
      </c>
      <c r="N95" s="1216">
        <f t="shared" si="28"/>
        <v>-873268</v>
      </c>
      <c r="O95" s="1216">
        <f t="shared" si="28"/>
        <v>843624.37000000011</v>
      </c>
      <c r="P95" s="1216" t="e">
        <f t="shared" si="28"/>
        <v>#REF!</v>
      </c>
      <c r="Q95" s="1216">
        <f t="shared" si="28"/>
        <v>8939514.7899999991</v>
      </c>
      <c r="R95" s="1216">
        <f t="shared" si="28"/>
        <v>-2260895</v>
      </c>
      <c r="S95" s="1216">
        <f t="shared" si="28"/>
        <v>-381840.49</v>
      </c>
      <c r="T95" s="1216">
        <f t="shared" si="28"/>
        <v>15075.089999999967</v>
      </c>
      <c r="U95" s="1216">
        <f t="shared" si="28"/>
        <v>-290790</v>
      </c>
      <c r="V95" s="1216">
        <f t="shared" si="28"/>
        <v>93012</v>
      </c>
      <c r="W95" s="1216">
        <f t="shared" si="28"/>
        <v>808.30000000000291</v>
      </c>
      <c r="X95" s="1436" t="e">
        <f t="shared" si="28"/>
        <v>#REF!</v>
      </c>
      <c r="Y95" s="1216" t="e">
        <f t="shared" si="28"/>
        <v>#REF!</v>
      </c>
      <c r="AA95" s="1229"/>
      <c r="AB95" s="1229"/>
      <c r="AC95" s="1229"/>
      <c r="AD95" s="1229"/>
      <c r="AE95" s="1229"/>
      <c r="AF95" s="1229"/>
      <c r="AG95" s="1229"/>
      <c r="AH95" s="1229"/>
      <c r="AI95" s="1229"/>
      <c r="AJ95" s="1229"/>
      <c r="AK95" s="1229"/>
      <c r="AL95" s="1229"/>
    </row>
    <row r="96" spans="1:38" s="1216" customFormat="1" ht="18.75">
      <c r="C96" s="1417"/>
      <c r="D96" s="1229" t="s">
        <v>58</v>
      </c>
      <c r="E96" s="1229" t="s">
        <v>58</v>
      </c>
      <c r="F96" s="1229" t="s">
        <v>58</v>
      </c>
      <c r="G96" s="1229" t="s">
        <v>58</v>
      </c>
      <c r="H96" s="1229" t="s">
        <v>58</v>
      </c>
      <c r="I96" s="1229" t="s">
        <v>58</v>
      </c>
      <c r="J96" s="1229" t="s">
        <v>58</v>
      </c>
      <c r="K96" s="1229" t="s">
        <v>58</v>
      </c>
      <c r="L96" s="1229" t="s">
        <v>58</v>
      </c>
      <c r="M96" s="1229" t="s">
        <v>58</v>
      </c>
      <c r="N96" s="1229" t="s">
        <v>58</v>
      </c>
      <c r="O96" s="1229" t="s">
        <v>58</v>
      </c>
      <c r="P96" s="1229" t="s">
        <v>58</v>
      </c>
      <c r="Q96" s="1229" t="s">
        <v>58</v>
      </c>
      <c r="R96" s="1229" t="s">
        <v>58</v>
      </c>
      <c r="S96" s="1229" t="s">
        <v>58</v>
      </c>
      <c r="T96" s="1229" t="s">
        <v>58</v>
      </c>
      <c r="U96" s="1229" t="s">
        <v>58</v>
      </c>
      <c r="V96" s="1229" t="s">
        <v>58</v>
      </c>
      <c r="W96" s="1229" t="s">
        <v>58</v>
      </c>
      <c r="X96" s="1229" t="s">
        <v>58</v>
      </c>
      <c r="Y96" s="1229" t="s">
        <v>58</v>
      </c>
      <c r="AA96" s="1229"/>
      <c r="AB96" s="1229"/>
      <c r="AC96" s="1229"/>
      <c r="AD96" s="1229"/>
      <c r="AE96" s="1229"/>
      <c r="AF96" s="1229"/>
      <c r="AG96" s="1229"/>
      <c r="AH96" s="1229"/>
      <c r="AI96" s="1229"/>
      <c r="AJ96" s="1229"/>
      <c r="AK96" s="1229"/>
      <c r="AL96" s="1229"/>
    </row>
    <row r="97" spans="1:38" s="417" customFormat="1" ht="18.75">
      <c r="C97" s="1305"/>
      <c r="D97" s="953"/>
      <c r="E97" s="953"/>
      <c r="F97" s="953"/>
      <c r="G97" s="953"/>
      <c r="H97" s="953"/>
      <c r="I97" s="1229"/>
      <c r="J97" s="1229"/>
      <c r="K97" s="1229"/>
      <c r="L97" s="1229"/>
      <c r="M97" s="1229"/>
      <c r="N97" s="1229"/>
      <c r="O97" s="1229"/>
      <c r="P97" s="1229"/>
      <c r="Q97" s="1229"/>
      <c r="R97" s="1229"/>
      <c r="S97" s="1229"/>
      <c r="T97" s="1229"/>
      <c r="U97" s="1229"/>
      <c r="V97" s="1229"/>
      <c r="W97" s="1229"/>
      <c r="X97" s="1229"/>
      <c r="Y97" s="1229" t="s">
        <v>58</v>
      </c>
      <c r="AA97" s="454"/>
      <c r="AB97" s="454"/>
      <c r="AC97" s="454"/>
      <c r="AD97" s="454"/>
      <c r="AE97" s="454"/>
      <c r="AF97" s="454"/>
      <c r="AG97" s="454"/>
      <c r="AH97" s="454"/>
      <c r="AI97" s="454"/>
      <c r="AJ97" s="454"/>
      <c r="AK97" s="454"/>
      <c r="AL97" s="454"/>
    </row>
    <row r="98" spans="1:38" ht="18.75">
      <c r="D98" s="1216" t="e">
        <f t="shared" ref="D98:X98" si="29">D93+D94</f>
        <v>#REF!</v>
      </c>
      <c r="E98" s="1216">
        <f t="shared" si="29"/>
        <v>248474431</v>
      </c>
      <c r="F98" s="1216" t="e">
        <f t="shared" si="29"/>
        <v>#REF!</v>
      </c>
      <c r="G98" s="1216" t="e">
        <f t="shared" si="29"/>
        <v>#REF!</v>
      </c>
      <c r="H98" s="1216">
        <f t="shared" si="29"/>
        <v>2139751</v>
      </c>
      <c r="I98" s="1216" t="e">
        <f>I93+I94</f>
        <v>#REF!</v>
      </c>
      <c r="J98" s="1216">
        <f t="shared" si="29"/>
        <v>35800987.43</v>
      </c>
      <c r="K98" s="1216">
        <f t="shared" si="29"/>
        <v>33558854</v>
      </c>
      <c r="L98" s="1216">
        <f t="shared" si="29"/>
        <v>15126821.609999999</v>
      </c>
      <c r="M98" s="1216">
        <f t="shared" si="29"/>
        <v>43988205</v>
      </c>
      <c r="N98" s="1216">
        <f t="shared" si="29"/>
        <v>37335732</v>
      </c>
      <c r="O98" s="1216">
        <f t="shared" si="29"/>
        <v>11216147.629999999</v>
      </c>
      <c r="P98" s="1216" t="e">
        <f t="shared" si="29"/>
        <v>#REF!</v>
      </c>
      <c r="Q98" s="1216">
        <f t="shared" si="29"/>
        <v>15487419.210000001</v>
      </c>
      <c r="R98" s="1216">
        <f t="shared" si="29"/>
        <v>21004441</v>
      </c>
      <c r="S98" s="1216">
        <f t="shared" si="29"/>
        <v>3100352.49</v>
      </c>
      <c r="T98" s="1216">
        <f t="shared" si="29"/>
        <v>1383138.9100000001</v>
      </c>
      <c r="U98" s="1216">
        <f t="shared" si="29"/>
        <v>2611900</v>
      </c>
      <c r="V98" s="1216">
        <f t="shared" si="29"/>
        <v>1693012</v>
      </c>
      <c r="W98" s="1216">
        <f t="shared" si="29"/>
        <v>159808.29999999999</v>
      </c>
      <c r="X98" s="1216" t="e">
        <f t="shared" si="29"/>
        <v>#REF!</v>
      </c>
      <c r="Y98" s="1229" t="e">
        <f>X98-P98-N98-M98-K98</f>
        <v>#REF!</v>
      </c>
      <c r="AA98" s="363"/>
    </row>
    <row r="99" spans="1:38" s="417" customFormat="1" ht="18.75">
      <c r="C99" s="1305"/>
      <c r="D99" s="751" t="e">
        <f>D58+D65</f>
        <v>#REF!</v>
      </c>
      <c r="E99" s="751">
        <f t="shared" ref="E99:X99" si="30">E58+E65</f>
        <v>137985410</v>
      </c>
      <c r="F99" s="751" t="e">
        <f t="shared" si="30"/>
        <v>#REF!</v>
      </c>
      <c r="G99" s="751" t="e">
        <f t="shared" si="30"/>
        <v>#REF!</v>
      </c>
      <c r="H99" s="751">
        <f t="shared" si="30"/>
        <v>1250259</v>
      </c>
      <c r="I99" s="751" t="e">
        <f>I58+I65</f>
        <v>#REF!</v>
      </c>
      <c r="J99" s="751">
        <f t="shared" si="30"/>
        <v>21750118</v>
      </c>
      <c r="K99" s="751">
        <f t="shared" si="30"/>
        <v>15380392</v>
      </c>
      <c r="L99" s="751">
        <f t="shared" si="30"/>
        <v>8551979</v>
      </c>
      <c r="M99" s="751">
        <f t="shared" si="30"/>
        <v>20721784</v>
      </c>
      <c r="N99" s="751">
        <f t="shared" si="30"/>
        <v>18231232</v>
      </c>
      <c r="O99" s="751">
        <f t="shared" si="30"/>
        <v>6029886</v>
      </c>
      <c r="P99" s="751" t="e">
        <f t="shared" si="30"/>
        <v>#REF!</v>
      </c>
      <c r="Q99" s="751">
        <f t="shared" si="30"/>
        <v>17694702</v>
      </c>
      <c r="R99" s="751">
        <f t="shared" si="30"/>
        <v>9371773</v>
      </c>
      <c r="S99" s="751">
        <f t="shared" si="30"/>
        <v>1389485</v>
      </c>
      <c r="T99" s="751">
        <f t="shared" si="30"/>
        <v>699107</v>
      </c>
      <c r="U99" s="751">
        <f t="shared" si="30"/>
        <v>1160555</v>
      </c>
      <c r="V99" s="751">
        <f t="shared" si="30"/>
        <v>893012</v>
      </c>
      <c r="W99" s="751">
        <f t="shared" si="30"/>
        <v>80308.3</v>
      </c>
      <c r="X99" s="751" t="e">
        <f t="shared" si="30"/>
        <v>#REF!</v>
      </c>
      <c r="Y99" s="1229" t="e">
        <f>X99-P99-N99-M99-K99</f>
        <v>#REF!</v>
      </c>
      <c r="AA99" s="454"/>
      <c r="AB99" s="454"/>
      <c r="AC99" s="454"/>
      <c r="AD99" s="454"/>
      <c r="AE99" s="454"/>
      <c r="AF99" s="454"/>
      <c r="AG99" s="454"/>
      <c r="AH99" s="454"/>
      <c r="AI99" s="454"/>
      <c r="AJ99" s="454"/>
      <c r="AK99" s="454"/>
      <c r="AL99" s="454"/>
    </row>
    <row r="100" spans="1:38" ht="18.75">
      <c r="B100" s="1045" t="e">
        <f>D72/D58</f>
        <v>#REF!</v>
      </c>
      <c r="D100" s="1216" t="e">
        <f t="shared" ref="D100:X100" si="31">D99-D98</f>
        <v>#REF!</v>
      </c>
      <c r="E100" s="1216">
        <f t="shared" si="31"/>
        <v>-110489021</v>
      </c>
      <c r="F100" s="1216" t="e">
        <f t="shared" si="31"/>
        <v>#REF!</v>
      </c>
      <c r="G100" s="1216" t="e">
        <f t="shared" si="31"/>
        <v>#REF!</v>
      </c>
      <c r="H100" s="1216">
        <f t="shared" si="31"/>
        <v>-889492</v>
      </c>
      <c r="I100" s="1216" t="e">
        <f>I99-I98</f>
        <v>#REF!</v>
      </c>
      <c r="J100" s="1216">
        <f t="shared" si="31"/>
        <v>-14050869.43</v>
      </c>
      <c r="K100" s="1216">
        <f t="shared" si="31"/>
        <v>-18178462</v>
      </c>
      <c r="L100" s="1216">
        <f t="shared" si="31"/>
        <v>-6574842.6099999994</v>
      </c>
      <c r="M100" s="1216">
        <f t="shared" si="31"/>
        <v>-23266421</v>
      </c>
      <c r="N100" s="1216">
        <f t="shared" si="31"/>
        <v>-19104500</v>
      </c>
      <c r="O100" s="1216">
        <f t="shared" si="31"/>
        <v>-5186261.629999999</v>
      </c>
      <c r="P100" s="1216" t="e">
        <f t="shared" si="31"/>
        <v>#REF!</v>
      </c>
      <c r="Q100" s="1216">
        <f t="shared" si="31"/>
        <v>2207282.7899999991</v>
      </c>
      <c r="R100" s="1216">
        <f t="shared" si="31"/>
        <v>-11632668</v>
      </c>
      <c r="S100" s="1216">
        <f t="shared" si="31"/>
        <v>-1710867.4900000002</v>
      </c>
      <c r="T100" s="1216">
        <f t="shared" si="31"/>
        <v>-684031.91000000015</v>
      </c>
      <c r="U100" s="1216">
        <f t="shared" si="31"/>
        <v>-1451345</v>
      </c>
      <c r="V100" s="1216">
        <f t="shared" si="31"/>
        <v>-800000</v>
      </c>
      <c r="W100" s="1216">
        <f t="shared" si="31"/>
        <v>-79499.999999999985</v>
      </c>
      <c r="X100" s="1216" t="e">
        <f t="shared" si="31"/>
        <v>#REF!</v>
      </c>
      <c r="Y100" s="1229" t="e">
        <f>X100-P100-N100-M100-K100</f>
        <v>#REF!</v>
      </c>
      <c r="AA100" s="363"/>
    </row>
    <row r="101" spans="1:38" ht="18.75">
      <c r="B101" s="1045"/>
      <c r="D101" s="1216"/>
      <c r="E101" s="1216"/>
      <c r="F101" s="1216"/>
      <c r="G101" s="1216"/>
      <c r="H101" s="1216"/>
      <c r="I101" s="1216"/>
      <c r="J101" s="1216"/>
      <c r="K101" s="1216"/>
      <c r="L101" s="1216"/>
      <c r="M101" s="1216"/>
      <c r="N101" s="1216"/>
      <c r="O101" s="1216"/>
      <c r="P101" s="1216"/>
      <c r="Q101" s="1216"/>
      <c r="R101" s="1216"/>
      <c r="S101" s="1216"/>
      <c r="T101" s="1216"/>
      <c r="U101" s="1216"/>
      <c r="V101" s="1216"/>
      <c r="W101" s="1216"/>
      <c r="X101" s="1216"/>
      <c r="Y101" s="1229"/>
      <c r="AA101" s="363"/>
    </row>
    <row r="102" spans="1:38" ht="18.75">
      <c r="B102" s="1045"/>
      <c r="D102" s="1216" t="e">
        <f t="shared" ref="D102:X102" si="32">D35-D67</f>
        <v>#REF!</v>
      </c>
      <c r="E102" s="1216">
        <f t="shared" si="32"/>
        <v>-9264904</v>
      </c>
      <c r="F102" s="1216" t="e">
        <f t="shared" si="32"/>
        <v>#REF!</v>
      </c>
      <c r="G102" s="1216" t="e">
        <f t="shared" si="32"/>
        <v>#REF!</v>
      </c>
      <c r="H102" s="1216">
        <f t="shared" si="32"/>
        <v>949741</v>
      </c>
      <c r="I102" s="1216" t="e">
        <f>I35-I67</f>
        <v>#REF!</v>
      </c>
      <c r="J102" s="1216">
        <f t="shared" si="32"/>
        <v>-6425006</v>
      </c>
      <c r="K102" s="1216">
        <f t="shared" si="32"/>
        <v>1113363</v>
      </c>
      <c r="L102" s="1216">
        <f t="shared" si="32"/>
        <v>-856384</v>
      </c>
      <c r="M102" s="1216">
        <f t="shared" si="32"/>
        <v>665705</v>
      </c>
      <c r="N102" s="1216">
        <f t="shared" si="32"/>
        <v>1226218</v>
      </c>
      <c r="O102" s="1216">
        <f t="shared" si="32"/>
        <v>557457</v>
      </c>
      <c r="P102" s="1216" t="e">
        <f t="shared" si="32"/>
        <v>#REF!</v>
      </c>
      <c r="Q102" s="1216">
        <f t="shared" si="32"/>
        <v>-4818784</v>
      </c>
      <c r="R102" s="1216">
        <f t="shared" si="32"/>
        <v>0</v>
      </c>
      <c r="S102" s="1216">
        <f t="shared" si="32"/>
        <v>-1115485</v>
      </c>
      <c r="T102" s="1216">
        <f t="shared" si="32"/>
        <v>4975</v>
      </c>
      <c r="U102" s="1216">
        <f t="shared" si="32"/>
        <v>-4560</v>
      </c>
      <c r="V102" s="1216">
        <f t="shared" si="32"/>
        <v>-20412</v>
      </c>
      <c r="W102" s="1216">
        <f t="shared" si="32"/>
        <v>-0.30000000000291038</v>
      </c>
      <c r="X102" s="1216" t="e">
        <f t="shared" si="32"/>
        <v>#REF!</v>
      </c>
      <c r="Y102" s="1229"/>
      <c r="AA102" s="363"/>
    </row>
    <row r="103" spans="1:38" ht="18.75">
      <c r="B103" s="1045"/>
      <c r="D103" s="1216"/>
      <c r="E103" s="1216"/>
      <c r="F103" s="1216"/>
      <c r="G103" s="1216"/>
      <c r="H103" s="1216"/>
      <c r="I103" s="1216"/>
      <c r="J103" s="1216"/>
      <c r="K103" s="1216"/>
      <c r="L103" s="1216"/>
      <c r="M103" s="1216"/>
      <c r="N103" s="1216"/>
      <c r="O103" s="1216"/>
      <c r="P103" s="1216"/>
      <c r="Q103" s="1216"/>
      <c r="R103" s="1216"/>
      <c r="S103" s="1216"/>
      <c r="T103" s="1216"/>
      <c r="U103" s="1216"/>
      <c r="V103" s="1216"/>
      <c r="W103" s="1216"/>
      <c r="X103" s="1216"/>
      <c r="Y103" s="1229"/>
      <c r="AA103" s="363"/>
    </row>
    <row r="104" spans="1:38" ht="18.75">
      <c r="B104" s="1045"/>
      <c r="D104" s="1216" t="s">
        <v>58</v>
      </c>
      <c r="E104" s="1216"/>
      <c r="F104" s="1216"/>
      <c r="G104" s="1216"/>
      <c r="H104" s="1216"/>
      <c r="I104" s="1216"/>
      <c r="J104" s="1216"/>
      <c r="K104" s="1216"/>
      <c r="L104" s="1216"/>
      <c r="M104" s="1216"/>
      <c r="N104" s="1216"/>
      <c r="O104" s="1216"/>
      <c r="P104" s="1216"/>
      <c r="Q104" s="1216"/>
      <c r="R104" s="1216"/>
      <c r="S104" s="1216"/>
      <c r="T104" s="1216"/>
      <c r="U104" s="1216"/>
      <c r="V104" s="1216"/>
      <c r="W104" s="1216"/>
      <c r="X104" s="1216"/>
      <c r="Y104" s="1229"/>
      <c r="AA104" s="363"/>
    </row>
    <row r="105" spans="1:38" ht="18.75">
      <c r="B105" s="1045"/>
      <c r="D105" s="1216"/>
      <c r="E105" s="1216"/>
      <c r="F105" s="1216"/>
      <c r="G105" s="1216"/>
      <c r="H105" s="1216"/>
      <c r="I105" s="1216"/>
      <c r="J105" s="1216"/>
      <c r="K105" s="1216"/>
      <c r="L105" s="1216"/>
      <c r="M105" s="1216"/>
      <c r="N105" s="1216"/>
      <c r="O105" s="1216"/>
      <c r="P105" s="1216"/>
      <c r="Q105" s="1216"/>
      <c r="R105" s="1216"/>
      <c r="S105" s="1216"/>
      <c r="T105" s="1216"/>
      <c r="U105" s="1216"/>
      <c r="V105" s="1216"/>
      <c r="W105" s="1216"/>
      <c r="X105" s="1216"/>
      <c r="Y105" s="1229"/>
      <c r="AA105" s="363"/>
    </row>
    <row r="106" spans="1:38" s="394" customFormat="1" ht="18.75">
      <c r="A106" s="393"/>
      <c r="B106" s="393"/>
      <c r="C106" s="1297"/>
      <c r="D106" s="1065" t="e">
        <f>D72/(D58+D67)</f>
        <v>#REF!</v>
      </c>
      <c r="E106" s="1065"/>
      <c r="F106" s="1065"/>
      <c r="G106" s="1065"/>
      <c r="H106" s="1065"/>
      <c r="I106" s="1226"/>
      <c r="J106" s="1226"/>
      <c r="K106" s="1226"/>
      <c r="L106" s="1226"/>
      <c r="M106" s="1226"/>
      <c r="N106" s="1226"/>
      <c r="O106" s="1226"/>
      <c r="P106" s="1226"/>
      <c r="Q106" s="1181"/>
      <c r="R106" s="961"/>
      <c r="S106" s="961"/>
      <c r="T106" s="1181"/>
      <c r="U106" s="1226"/>
      <c r="V106" s="961"/>
      <c r="W106" s="1181"/>
      <c r="X106" s="1226"/>
      <c r="Y106" s="396"/>
      <c r="AA106" s="363"/>
      <c r="AB106" s="363"/>
      <c r="AC106" s="363"/>
      <c r="AD106" s="363"/>
      <c r="AE106" s="396"/>
      <c r="AF106" s="396"/>
      <c r="AG106" s="396"/>
      <c r="AH106" s="396"/>
      <c r="AI106" s="396"/>
      <c r="AJ106" s="396"/>
      <c r="AK106" s="396"/>
      <c r="AL106" s="396"/>
    </row>
    <row r="107" spans="1:38" s="394" customFormat="1" ht="18.75">
      <c r="A107" s="398"/>
      <c r="B107" s="398"/>
      <c r="C107" s="1294"/>
      <c r="D107" s="1066" t="e">
        <f>47746545/(D58+D67)</f>
        <v>#REF!</v>
      </c>
      <c r="E107" s="1066"/>
      <c r="F107" s="1066"/>
      <c r="G107" s="1066"/>
      <c r="H107" s="1066"/>
      <c r="I107" s="1226"/>
      <c r="J107" s="1226"/>
      <c r="K107" s="1226"/>
      <c r="L107" s="1226"/>
      <c r="M107" s="1226"/>
      <c r="N107" s="1226"/>
      <c r="O107" s="1226"/>
      <c r="P107" s="1226"/>
      <c r="Q107" s="450"/>
      <c r="R107" s="962"/>
      <c r="S107" s="962"/>
      <c r="T107" s="450"/>
      <c r="U107" s="1226"/>
      <c r="V107" s="962"/>
      <c r="W107" s="450"/>
      <c r="X107" s="1226"/>
      <c r="Y107" s="396"/>
      <c r="AA107" s="363"/>
      <c r="AB107" s="363"/>
      <c r="AC107" s="363"/>
      <c r="AD107" s="363"/>
      <c r="AE107" s="396"/>
      <c r="AF107" s="396"/>
      <c r="AG107" s="396"/>
      <c r="AH107" s="396"/>
      <c r="AI107" s="396"/>
      <c r="AJ107" s="396"/>
      <c r="AK107" s="396"/>
      <c r="AL107" s="396"/>
    </row>
    <row r="108" spans="1:38">
      <c r="I108" s="1226"/>
      <c r="J108" s="1226"/>
      <c r="K108" s="1226"/>
      <c r="L108" s="1226"/>
      <c r="M108" s="1226"/>
      <c r="N108" s="1226"/>
      <c r="O108" s="1226"/>
      <c r="P108" s="1226"/>
      <c r="AA108" s="363"/>
    </row>
    <row r="109" spans="1:38">
      <c r="I109" s="1226"/>
      <c r="J109" s="1226"/>
      <c r="K109" s="1226"/>
      <c r="L109" s="1226"/>
      <c r="M109" s="1226"/>
      <c r="N109" s="1226"/>
      <c r="O109" s="1226"/>
      <c r="P109" s="1226"/>
      <c r="AA109" s="363"/>
      <c r="AC109" s="396"/>
      <c r="AD109" s="396"/>
    </row>
    <row r="110" spans="1:38">
      <c r="I110" s="1226"/>
      <c r="J110" s="1226"/>
      <c r="K110" s="1226"/>
      <c r="L110" s="1226"/>
      <c r="M110" s="1226"/>
      <c r="N110" s="1226"/>
      <c r="O110" s="1226"/>
      <c r="P110" s="1226"/>
      <c r="AA110" s="363"/>
      <c r="AB110" s="396"/>
      <c r="AC110" s="396"/>
      <c r="AD110" s="396"/>
    </row>
    <row r="111" spans="1:38">
      <c r="I111" s="1226"/>
      <c r="J111" s="1226"/>
      <c r="K111" s="1226"/>
      <c r="L111" s="1226"/>
      <c r="M111" s="1226"/>
      <c r="N111" s="1226"/>
      <c r="O111" s="1226"/>
      <c r="P111" s="1226"/>
      <c r="AA111" s="363"/>
      <c r="AB111" s="396"/>
    </row>
    <row r="112" spans="1:38" ht="15">
      <c r="D112" s="1416" t="e">
        <f t="shared" ref="D112:J112" si="33">D67</f>
        <v>#REF!</v>
      </c>
      <c r="E112" s="1416">
        <f t="shared" si="33"/>
        <v>137985410</v>
      </c>
      <c r="F112" s="1416" t="e">
        <f t="shared" si="33"/>
        <v>#REF!</v>
      </c>
      <c r="G112" s="1416" t="e">
        <f t="shared" si="33"/>
        <v>#REF!</v>
      </c>
      <c r="H112" s="1416">
        <f t="shared" si="33"/>
        <v>1250259</v>
      </c>
      <c r="I112" s="1416"/>
      <c r="J112" s="1416">
        <f t="shared" si="33"/>
        <v>21750118</v>
      </c>
      <c r="K112" s="1416">
        <f t="shared" ref="K112:X112" si="34">K67</f>
        <v>15380392</v>
      </c>
      <c r="L112" s="1416">
        <f t="shared" si="34"/>
        <v>8551979</v>
      </c>
      <c r="M112" s="1416">
        <f t="shared" si="34"/>
        <v>20721784</v>
      </c>
      <c r="N112" s="1416">
        <f t="shared" si="34"/>
        <v>18231232</v>
      </c>
      <c r="O112" s="1416">
        <f t="shared" si="34"/>
        <v>6029886</v>
      </c>
      <c r="P112" s="1416" t="e">
        <f t="shared" si="34"/>
        <v>#REF!</v>
      </c>
      <c r="Q112" s="1416">
        <f t="shared" si="34"/>
        <v>17694702</v>
      </c>
      <c r="R112" s="1416">
        <f t="shared" si="34"/>
        <v>9371773</v>
      </c>
      <c r="S112" s="1416">
        <f t="shared" si="34"/>
        <v>1389485</v>
      </c>
      <c r="T112" s="1416">
        <f t="shared" si="34"/>
        <v>699107</v>
      </c>
      <c r="U112" s="1416">
        <f t="shared" si="34"/>
        <v>1160555</v>
      </c>
      <c r="V112" s="1416">
        <f t="shared" si="34"/>
        <v>893012</v>
      </c>
      <c r="W112" s="1416">
        <f t="shared" si="34"/>
        <v>80308.3</v>
      </c>
      <c r="X112" s="1416" t="e">
        <f t="shared" si="34"/>
        <v>#REF!</v>
      </c>
      <c r="AA112" s="396"/>
    </row>
    <row r="113" spans="4:27" ht="15">
      <c r="D113" s="1416">
        <f t="shared" ref="D113:J113" si="35">D76</f>
        <v>65696532</v>
      </c>
      <c r="E113" s="1416">
        <f t="shared" si="35"/>
        <v>47374438</v>
      </c>
      <c r="F113" s="1416" t="e">
        <f t="shared" si="35"/>
        <v>#REF!</v>
      </c>
      <c r="G113" s="1416" t="e">
        <f t="shared" si="35"/>
        <v>#REF!</v>
      </c>
      <c r="H113" s="1416">
        <f t="shared" si="35"/>
        <v>24879487</v>
      </c>
      <c r="I113" s="1416"/>
      <c r="J113" s="1416">
        <f t="shared" si="35"/>
        <v>7311998</v>
      </c>
      <c r="K113" s="1416">
        <f t="shared" ref="K113:X113" si="36">K76</f>
        <v>9552107</v>
      </c>
      <c r="L113" s="1416">
        <f t="shared" si="36"/>
        <v>13024398</v>
      </c>
      <c r="M113" s="1416">
        <f t="shared" si="36"/>
        <v>3793596</v>
      </c>
      <c r="N113" s="1416">
        <f t="shared" si="36"/>
        <v>0</v>
      </c>
      <c r="O113" s="1416">
        <f t="shared" si="36"/>
        <v>14122949</v>
      </c>
      <c r="P113" s="1416">
        <f t="shared" si="36"/>
        <v>337892</v>
      </c>
      <c r="Q113" s="1416">
        <f t="shared" si="36"/>
        <v>307</v>
      </c>
      <c r="R113" s="1416">
        <f t="shared" si="36"/>
        <v>38123</v>
      </c>
      <c r="S113" s="1416">
        <f t="shared" si="36"/>
        <v>610487</v>
      </c>
      <c r="T113" s="1416">
        <f t="shared" si="36"/>
        <v>404874</v>
      </c>
      <c r="U113" s="1416">
        <f t="shared" si="36"/>
        <v>0</v>
      </c>
      <c r="V113" s="1416">
        <f t="shared" si="36"/>
        <v>137126</v>
      </c>
      <c r="W113" s="1416">
        <f t="shared" si="36"/>
        <v>99940</v>
      </c>
      <c r="X113" s="1416" t="e">
        <f t="shared" si="36"/>
        <v>#REF!</v>
      </c>
      <c r="AA113" s="396"/>
    </row>
    <row r="114" spans="4:27" ht="15">
      <c r="D114" s="1416" t="e">
        <f t="shared" ref="D114:J114" si="37">D78</f>
        <v>#REF!</v>
      </c>
      <c r="E114" s="1416">
        <f t="shared" si="37"/>
        <v>185359848</v>
      </c>
      <c r="F114" s="1416" t="e">
        <f t="shared" si="37"/>
        <v>#REF!</v>
      </c>
      <c r="G114" s="1416" t="e">
        <f t="shared" si="37"/>
        <v>#REF!</v>
      </c>
      <c r="H114" s="1416">
        <f t="shared" si="37"/>
        <v>26129746</v>
      </c>
      <c r="I114" s="1416"/>
      <c r="J114" s="1416">
        <f t="shared" si="37"/>
        <v>29062116</v>
      </c>
      <c r="K114" s="1416">
        <f t="shared" ref="K114:X114" si="38">K78</f>
        <v>24932499</v>
      </c>
      <c r="L114" s="1416">
        <f t="shared" si="38"/>
        <v>21576377</v>
      </c>
      <c r="M114" s="1416">
        <f t="shared" si="38"/>
        <v>24515380</v>
      </c>
      <c r="N114" s="1416">
        <f t="shared" si="38"/>
        <v>18231232</v>
      </c>
      <c r="O114" s="1416">
        <f t="shared" si="38"/>
        <v>20152835</v>
      </c>
      <c r="P114" s="1416" t="e">
        <f t="shared" si="38"/>
        <v>#REF!</v>
      </c>
      <c r="Q114" s="1416">
        <f t="shared" si="38"/>
        <v>17695009</v>
      </c>
      <c r="R114" s="1416">
        <f t="shared" si="38"/>
        <v>9409896</v>
      </c>
      <c r="S114" s="1416">
        <f t="shared" si="38"/>
        <v>1999972</v>
      </c>
      <c r="T114" s="1416">
        <f t="shared" si="38"/>
        <v>1103981</v>
      </c>
      <c r="U114" s="1416">
        <f t="shared" si="38"/>
        <v>1160555</v>
      </c>
      <c r="V114" s="1416">
        <f t="shared" si="38"/>
        <v>1030138</v>
      </c>
      <c r="W114" s="1416">
        <f t="shared" si="38"/>
        <v>180248.3</v>
      </c>
      <c r="X114" s="1416" t="e">
        <f t="shared" si="38"/>
        <v>#REF!</v>
      </c>
      <c r="AA114" s="363"/>
    </row>
    <row r="115" spans="4:27">
      <c r="I115" s="1226"/>
      <c r="J115" s="1226"/>
      <c r="K115" s="1226"/>
      <c r="L115" s="1226"/>
      <c r="M115" s="1226"/>
      <c r="N115" s="1226"/>
      <c r="O115" s="1226"/>
      <c r="P115" s="1226"/>
      <c r="AA115" s="363"/>
    </row>
    <row r="116" spans="4:27" ht="15">
      <c r="D116" s="1416">
        <v>284143442</v>
      </c>
      <c r="E116" s="1416">
        <v>126775959</v>
      </c>
      <c r="F116" s="1416">
        <v>34632541</v>
      </c>
      <c r="G116" s="1416">
        <v>12247986</v>
      </c>
      <c r="H116" s="1416">
        <v>870000</v>
      </c>
      <c r="I116" s="1416"/>
      <c r="J116" s="1416">
        <v>15677666</v>
      </c>
      <c r="K116" s="1416">
        <v>15308240</v>
      </c>
      <c r="L116" s="1416">
        <v>9339011</v>
      </c>
      <c r="M116" s="1416">
        <v>21470479</v>
      </c>
      <c r="N116" s="1416">
        <v>19876500</v>
      </c>
      <c r="O116" s="1416">
        <v>9208909</v>
      </c>
      <c r="P116" s="1416">
        <v>16442937</v>
      </c>
      <c r="Q116" s="1416">
        <v>10993661</v>
      </c>
      <c r="R116" s="1416">
        <v>10469854</v>
      </c>
      <c r="S116" s="1416">
        <v>1659665</v>
      </c>
      <c r="T116" s="1416">
        <v>674056</v>
      </c>
      <c r="U116" s="1416">
        <v>899584</v>
      </c>
      <c r="V116" s="1416">
        <v>800000</v>
      </c>
      <c r="W116" s="1416">
        <v>75000</v>
      </c>
      <c r="X116" s="1416">
        <f>SUM(D116:W116)</f>
        <v>591565490</v>
      </c>
      <c r="AA116" s="396"/>
    </row>
    <row r="117" spans="4:27" ht="15">
      <c r="D117" s="1416">
        <v>61134329</v>
      </c>
      <c r="E117" s="1416">
        <v>41322821</v>
      </c>
      <c r="F117" s="1416">
        <v>15484760</v>
      </c>
      <c r="G117" s="1416">
        <v>19388896</v>
      </c>
      <c r="H117" s="1416">
        <v>27063741</v>
      </c>
      <c r="I117" s="1416"/>
      <c r="J117" s="1416">
        <v>9958895</v>
      </c>
      <c r="K117" s="1416">
        <v>9227063</v>
      </c>
      <c r="L117" s="1416">
        <v>14930802</v>
      </c>
      <c r="M117" s="1416">
        <v>1097928</v>
      </c>
      <c r="N117" s="1416">
        <v>-2102596</v>
      </c>
      <c r="O117" s="1416">
        <v>9171515</v>
      </c>
      <c r="P117" s="1416">
        <v>807787</v>
      </c>
      <c r="Q117" s="1416">
        <v>2661905</v>
      </c>
      <c r="R117" s="1416">
        <v>583673</v>
      </c>
      <c r="S117" s="1416">
        <v>1128343</v>
      </c>
      <c r="T117" s="1416">
        <v>349185</v>
      </c>
      <c r="U117" s="1416">
        <v>0</v>
      </c>
      <c r="V117" s="1416">
        <v>8</v>
      </c>
      <c r="W117" s="1416">
        <v>70662</v>
      </c>
      <c r="X117" s="1416">
        <f>SUM(D117:W117)</f>
        <v>212279717</v>
      </c>
      <c r="AA117" s="396"/>
    </row>
    <row r="118" spans="4:27" ht="15">
      <c r="D118" s="1416">
        <f>D116+D117</f>
        <v>345277771</v>
      </c>
      <c r="E118" s="1416">
        <f t="shared" ref="E118:X118" si="39">E116+E117</f>
        <v>168098780</v>
      </c>
      <c r="F118" s="1416">
        <f t="shared" si="39"/>
        <v>50117301</v>
      </c>
      <c r="G118" s="1416">
        <f t="shared" si="39"/>
        <v>31636882</v>
      </c>
      <c r="H118" s="1416">
        <f t="shared" si="39"/>
        <v>27933741</v>
      </c>
      <c r="I118" s="1416"/>
      <c r="J118" s="1416">
        <f t="shared" si="39"/>
        <v>25636561</v>
      </c>
      <c r="K118" s="1416">
        <f t="shared" si="39"/>
        <v>24535303</v>
      </c>
      <c r="L118" s="1416">
        <f t="shared" si="39"/>
        <v>24269813</v>
      </c>
      <c r="M118" s="1416">
        <f t="shared" si="39"/>
        <v>22568407</v>
      </c>
      <c r="N118" s="1416">
        <f>N116+N117</f>
        <v>17773904</v>
      </c>
      <c r="O118" s="1416">
        <f t="shared" si="39"/>
        <v>18380424</v>
      </c>
      <c r="P118" s="1416">
        <f t="shared" si="39"/>
        <v>17250724</v>
      </c>
      <c r="Q118" s="1416">
        <f t="shared" si="39"/>
        <v>13655566</v>
      </c>
      <c r="R118" s="1416">
        <f t="shared" si="39"/>
        <v>11053527</v>
      </c>
      <c r="S118" s="1416">
        <f t="shared" si="39"/>
        <v>2788008</v>
      </c>
      <c r="T118" s="1416">
        <f t="shared" si="39"/>
        <v>1023241</v>
      </c>
      <c r="U118" s="1416">
        <f t="shared" si="39"/>
        <v>899584</v>
      </c>
      <c r="V118" s="1416">
        <f t="shared" si="39"/>
        <v>800008</v>
      </c>
      <c r="W118" s="1416">
        <f t="shared" si="39"/>
        <v>145662</v>
      </c>
      <c r="X118" s="1416">
        <f t="shared" si="39"/>
        <v>803845207</v>
      </c>
      <c r="AA118" s="363"/>
    </row>
    <row r="119" spans="4:27">
      <c r="I119" s="1226"/>
      <c r="J119" s="1226"/>
      <c r="K119" s="1226"/>
      <c r="L119" s="1226"/>
      <c r="M119" s="1226"/>
      <c r="N119" s="1226"/>
      <c r="O119" s="1226"/>
      <c r="P119" s="1226"/>
      <c r="AA119" s="363"/>
    </row>
    <row r="120" spans="4:27">
      <c r="D120" s="922" t="e">
        <f>D116-D112</f>
        <v>#REF!</v>
      </c>
      <c r="E120" s="922">
        <f t="shared" ref="E120:X122" si="40">E116-E112</f>
        <v>-11209451</v>
      </c>
      <c r="F120" s="922" t="e">
        <f t="shared" si="40"/>
        <v>#REF!</v>
      </c>
      <c r="G120" s="922" t="e">
        <f t="shared" si="40"/>
        <v>#REF!</v>
      </c>
      <c r="H120" s="922">
        <f t="shared" si="40"/>
        <v>-380259</v>
      </c>
      <c r="J120" s="922">
        <f t="shared" si="40"/>
        <v>-6072452</v>
      </c>
      <c r="K120" s="922">
        <f t="shared" si="40"/>
        <v>-72152</v>
      </c>
      <c r="L120" s="922">
        <f t="shared" si="40"/>
        <v>787032</v>
      </c>
      <c r="M120" s="922">
        <f t="shared" si="40"/>
        <v>748695</v>
      </c>
      <c r="N120" s="922">
        <f>N116-N112</f>
        <v>1645268</v>
      </c>
      <c r="O120" s="922">
        <f t="shared" si="40"/>
        <v>3179023</v>
      </c>
      <c r="P120" s="922" t="e">
        <f t="shared" si="40"/>
        <v>#REF!</v>
      </c>
      <c r="Q120" s="922">
        <f t="shared" si="40"/>
        <v>-6701041</v>
      </c>
      <c r="R120" s="922">
        <f t="shared" si="40"/>
        <v>1098081</v>
      </c>
      <c r="S120" s="922">
        <f t="shared" si="40"/>
        <v>270180</v>
      </c>
      <c r="T120" s="922">
        <f t="shared" si="40"/>
        <v>-25051</v>
      </c>
      <c r="U120" s="922">
        <f t="shared" si="40"/>
        <v>-260971</v>
      </c>
      <c r="V120" s="922">
        <f t="shared" si="40"/>
        <v>-93012</v>
      </c>
      <c r="W120" s="922">
        <f t="shared" si="40"/>
        <v>-5308.3000000000029</v>
      </c>
      <c r="X120" s="922" t="e">
        <f t="shared" si="40"/>
        <v>#REF!</v>
      </c>
      <c r="AA120" s="363"/>
    </row>
    <row r="121" spans="4:27">
      <c r="D121" s="922">
        <f t="shared" ref="D121:S122" si="41">D117-D113</f>
        <v>-4562203</v>
      </c>
      <c r="E121" s="922">
        <f t="shared" si="41"/>
        <v>-6051617</v>
      </c>
      <c r="F121" s="922" t="e">
        <f t="shared" si="41"/>
        <v>#REF!</v>
      </c>
      <c r="G121" s="922" t="e">
        <f t="shared" si="41"/>
        <v>#REF!</v>
      </c>
      <c r="H121" s="922">
        <f t="shared" si="41"/>
        <v>2184254</v>
      </c>
      <c r="J121" s="922">
        <f t="shared" si="41"/>
        <v>2646897</v>
      </c>
      <c r="K121" s="922">
        <f t="shared" si="41"/>
        <v>-325044</v>
      </c>
      <c r="L121" s="922">
        <f t="shared" si="41"/>
        <v>1906404</v>
      </c>
      <c r="M121" s="922">
        <f t="shared" si="41"/>
        <v>-2695668</v>
      </c>
      <c r="N121" s="922">
        <f>N117-N113</f>
        <v>-2102596</v>
      </c>
      <c r="O121" s="922">
        <f t="shared" si="41"/>
        <v>-4951434</v>
      </c>
      <c r="P121" s="922">
        <f t="shared" si="41"/>
        <v>469895</v>
      </c>
      <c r="Q121" s="922">
        <f t="shared" si="41"/>
        <v>2661598</v>
      </c>
      <c r="R121" s="922">
        <f t="shared" si="41"/>
        <v>545550</v>
      </c>
      <c r="S121" s="922">
        <f t="shared" si="41"/>
        <v>517856</v>
      </c>
      <c r="T121" s="922">
        <f t="shared" si="40"/>
        <v>-55689</v>
      </c>
      <c r="U121" s="922">
        <f t="shared" si="40"/>
        <v>0</v>
      </c>
      <c r="V121" s="922">
        <f t="shared" si="40"/>
        <v>-137118</v>
      </c>
      <c r="W121" s="922">
        <f t="shared" si="40"/>
        <v>-29278</v>
      </c>
      <c r="X121" s="922" t="e">
        <f t="shared" si="40"/>
        <v>#REF!</v>
      </c>
      <c r="AA121" s="363"/>
    </row>
    <row r="122" spans="4:27">
      <c r="D122" s="922" t="e">
        <f t="shared" si="41"/>
        <v>#REF!</v>
      </c>
      <c r="E122" s="922">
        <f t="shared" si="40"/>
        <v>-17261068</v>
      </c>
      <c r="F122" s="922" t="e">
        <f t="shared" si="40"/>
        <v>#REF!</v>
      </c>
      <c r="G122" s="922" t="e">
        <f t="shared" si="40"/>
        <v>#REF!</v>
      </c>
      <c r="H122" s="922">
        <f t="shared" si="40"/>
        <v>1803995</v>
      </c>
      <c r="J122" s="922">
        <f t="shared" si="40"/>
        <v>-3425555</v>
      </c>
      <c r="K122" s="922">
        <f t="shared" si="40"/>
        <v>-397196</v>
      </c>
      <c r="L122" s="922">
        <f t="shared" si="40"/>
        <v>2693436</v>
      </c>
      <c r="M122" s="922">
        <f t="shared" si="40"/>
        <v>-1946973</v>
      </c>
      <c r="N122" s="922">
        <f>N118-N114</f>
        <v>-457328</v>
      </c>
      <c r="O122" s="922">
        <f t="shared" si="40"/>
        <v>-1772411</v>
      </c>
      <c r="P122" s="922" t="e">
        <f t="shared" si="40"/>
        <v>#REF!</v>
      </c>
      <c r="Q122" s="922">
        <f t="shared" si="40"/>
        <v>-4039443</v>
      </c>
      <c r="R122" s="922">
        <f t="shared" si="40"/>
        <v>1643631</v>
      </c>
      <c r="S122" s="922">
        <f t="shared" si="40"/>
        <v>788036</v>
      </c>
      <c r="T122" s="922">
        <f t="shared" si="40"/>
        <v>-80740</v>
      </c>
      <c r="U122" s="922">
        <f t="shared" si="40"/>
        <v>-260971</v>
      </c>
      <c r="V122" s="922">
        <f t="shared" si="40"/>
        <v>-230130</v>
      </c>
      <c r="W122" s="922">
        <f t="shared" si="40"/>
        <v>-34586.299999999988</v>
      </c>
      <c r="X122" s="922" t="e">
        <f t="shared" si="40"/>
        <v>#REF!</v>
      </c>
      <c r="AA122" s="363"/>
    </row>
    <row r="123" spans="4:27">
      <c r="D123" s="922" t="e">
        <f>7163+D120</f>
        <v>#REF!</v>
      </c>
      <c r="O123" s="922">
        <v>-1700000</v>
      </c>
      <c r="Q123" s="922"/>
      <c r="R123" s="922"/>
      <c r="S123" s="922">
        <f>850000+200000</f>
        <v>1050000</v>
      </c>
      <c r="T123" s="922"/>
      <c r="U123" s="922"/>
      <c r="V123" s="922"/>
      <c r="W123" s="922"/>
      <c r="X123" s="922"/>
      <c r="AA123" s="363"/>
    </row>
    <row r="124" spans="4:27">
      <c r="D124" s="922" t="s">
        <v>58</v>
      </c>
      <c r="I124" s="1226"/>
      <c r="J124" s="1226"/>
      <c r="K124" s="1226"/>
      <c r="L124" s="1226"/>
      <c r="M124" s="1226"/>
      <c r="N124" s="1226"/>
      <c r="O124" s="1226"/>
      <c r="P124" s="1226"/>
      <c r="AA124" s="363"/>
    </row>
    <row r="125" spans="4:27">
      <c r="I125" s="1226"/>
      <c r="J125" s="1226"/>
      <c r="K125" s="1226"/>
      <c r="L125" s="1226"/>
      <c r="M125" s="1226"/>
      <c r="N125" s="1226"/>
      <c r="O125" s="1226"/>
      <c r="P125" s="1226"/>
      <c r="AA125" s="363"/>
    </row>
    <row r="126" spans="4:27">
      <c r="D126" s="922">
        <f>56127166</f>
        <v>56127166</v>
      </c>
      <c r="I126" s="1226"/>
      <c r="J126" s="1226"/>
      <c r="K126" s="1226"/>
      <c r="L126" s="1226"/>
      <c r="M126" s="1226"/>
      <c r="N126" s="1226"/>
      <c r="O126" s="1226"/>
      <c r="P126" s="1226"/>
      <c r="AA126" s="363"/>
    </row>
    <row r="127" spans="4:27">
      <c r="D127" s="922">
        <v>56034743</v>
      </c>
      <c r="I127" s="1226"/>
      <c r="J127" s="1226"/>
      <c r="K127" s="1226"/>
      <c r="L127" s="1226"/>
      <c r="M127" s="1226"/>
      <c r="N127" s="1226"/>
      <c r="O127" s="1226"/>
      <c r="P127" s="1226"/>
      <c r="AA127" s="363"/>
    </row>
    <row r="128" spans="4:27">
      <c r="D128" s="922">
        <f>D126-D127</f>
        <v>92423</v>
      </c>
      <c r="I128" s="1226"/>
      <c r="J128" s="1226"/>
      <c r="K128" s="1226"/>
      <c r="L128" s="1226"/>
      <c r="M128" s="1226"/>
      <c r="N128" s="1226"/>
      <c r="O128" s="1226"/>
      <c r="P128" s="1226"/>
      <c r="AA128" s="363"/>
    </row>
    <row r="129" spans="9:27">
      <c r="I129" s="1226"/>
      <c r="J129" s="1226"/>
      <c r="K129" s="1226"/>
      <c r="L129" s="1226"/>
      <c r="M129" s="1226"/>
      <c r="N129" s="1226"/>
      <c r="O129" s="1226"/>
      <c r="P129" s="1226"/>
      <c r="AA129" s="363"/>
    </row>
    <row r="130" spans="9:27">
      <c r="I130" s="1226"/>
      <c r="J130" s="1226"/>
      <c r="K130" s="1226"/>
      <c r="L130" s="1226"/>
      <c r="M130" s="1226"/>
      <c r="N130" s="1226"/>
      <c r="O130" s="1226"/>
      <c r="P130" s="1226"/>
      <c r="AA130" s="363"/>
    </row>
    <row r="131" spans="9:27">
      <c r="I131" s="1226"/>
      <c r="J131" s="1226"/>
      <c r="K131" s="1226"/>
      <c r="L131" s="1226"/>
      <c r="M131" s="1226"/>
      <c r="N131" s="1226"/>
      <c r="O131" s="1226"/>
      <c r="P131" s="1226"/>
      <c r="AA131" s="363"/>
    </row>
    <row r="132" spans="9:27">
      <c r="I132" s="1226"/>
      <c r="J132" s="1226"/>
      <c r="K132" s="1226"/>
      <c r="L132" s="1226"/>
      <c r="M132" s="1226"/>
      <c r="N132" s="1226"/>
      <c r="O132" s="1226"/>
      <c r="P132" s="1226"/>
      <c r="AA132" s="363"/>
    </row>
    <row r="133" spans="9:27">
      <c r="I133" s="1226"/>
      <c r="J133" s="1226"/>
      <c r="K133" s="1226"/>
      <c r="L133" s="1226"/>
      <c r="M133" s="1226"/>
      <c r="N133" s="1226"/>
      <c r="O133" s="1226"/>
      <c r="P133" s="1226"/>
      <c r="AA133" s="363"/>
    </row>
    <row r="134" spans="9:27">
      <c r="I134" s="1226"/>
      <c r="J134" s="1226"/>
      <c r="K134" s="1226"/>
      <c r="L134" s="1226"/>
      <c r="M134" s="1226"/>
      <c r="N134" s="1226"/>
      <c r="O134" s="1226"/>
      <c r="P134" s="1226"/>
      <c r="AA134" s="363"/>
    </row>
    <row r="135" spans="9:27">
      <c r="I135" s="1226"/>
      <c r="J135" s="1226"/>
      <c r="K135" s="1226"/>
      <c r="L135" s="1226"/>
      <c r="M135" s="1226"/>
      <c r="N135" s="1226"/>
      <c r="O135" s="1226"/>
      <c r="P135" s="1226"/>
      <c r="AA135" s="363"/>
    </row>
    <row r="136" spans="9:27">
      <c r="I136" s="1226"/>
      <c r="J136" s="1226"/>
      <c r="K136" s="1226"/>
      <c r="L136" s="1226"/>
      <c r="M136" s="1226"/>
      <c r="N136" s="1226"/>
      <c r="O136" s="1226"/>
      <c r="P136" s="1226"/>
      <c r="AA136" s="363"/>
    </row>
    <row r="137" spans="9:27">
      <c r="I137" s="1226"/>
      <c r="J137" s="1226"/>
      <c r="K137" s="1226"/>
      <c r="L137" s="1226"/>
      <c r="M137" s="1226"/>
      <c r="N137" s="1226"/>
      <c r="O137" s="1226"/>
      <c r="P137" s="1226"/>
      <c r="AA137" s="363"/>
    </row>
    <row r="138" spans="9:27">
      <c r="I138" s="1226"/>
      <c r="J138" s="1226"/>
      <c r="K138" s="1226"/>
      <c r="L138" s="1226"/>
      <c r="M138" s="1226"/>
      <c r="N138" s="1226"/>
      <c r="O138" s="1226"/>
      <c r="P138" s="1226"/>
      <c r="AA138" s="363"/>
    </row>
    <row r="139" spans="9:27">
      <c r="I139" s="1226"/>
      <c r="J139" s="1226"/>
      <c r="K139" s="1226"/>
      <c r="L139" s="1226"/>
      <c r="M139" s="1226"/>
      <c r="N139" s="1226"/>
      <c r="O139" s="1226"/>
      <c r="P139" s="1226"/>
      <c r="AA139" s="363"/>
    </row>
    <row r="140" spans="9:27">
      <c r="I140" s="1226"/>
      <c r="J140" s="1226"/>
      <c r="K140" s="1226"/>
      <c r="L140" s="1226"/>
      <c r="M140" s="1226"/>
      <c r="N140" s="1226"/>
      <c r="O140" s="1226"/>
      <c r="P140" s="1226"/>
      <c r="AA140" s="363"/>
    </row>
    <row r="141" spans="9:27">
      <c r="I141" s="1226"/>
      <c r="J141" s="1226"/>
      <c r="K141" s="1226"/>
      <c r="L141" s="1226"/>
      <c r="M141" s="1226"/>
      <c r="N141" s="1226"/>
      <c r="O141" s="1226"/>
      <c r="P141" s="1226"/>
      <c r="AA141" s="363"/>
    </row>
    <row r="142" spans="9:27">
      <c r="I142" s="1226"/>
      <c r="J142" s="1226"/>
      <c r="K142" s="1226"/>
      <c r="L142" s="1226"/>
      <c r="M142" s="1226"/>
      <c r="N142" s="1226"/>
      <c r="O142" s="1226"/>
      <c r="P142" s="1226"/>
      <c r="AA142" s="363"/>
    </row>
    <row r="143" spans="9:27">
      <c r="I143" s="1226"/>
      <c r="J143" s="1226"/>
      <c r="K143" s="1226"/>
      <c r="L143" s="1226"/>
      <c r="M143" s="1226"/>
      <c r="N143" s="1226"/>
      <c r="O143" s="1226"/>
      <c r="P143" s="1226"/>
      <c r="AA143" s="363"/>
    </row>
    <row r="144" spans="9:27">
      <c r="I144" s="1226"/>
      <c r="J144" s="1226"/>
      <c r="K144" s="1226"/>
      <c r="L144" s="1226"/>
      <c r="M144" s="1226"/>
      <c r="N144" s="1226"/>
      <c r="O144" s="1226"/>
      <c r="P144" s="1226"/>
      <c r="AA144" s="363"/>
    </row>
    <row r="145" spans="9:27">
      <c r="I145" s="1226"/>
      <c r="J145" s="1226"/>
      <c r="K145" s="1226"/>
      <c r="L145" s="1226"/>
      <c r="M145" s="1226"/>
      <c r="N145" s="1226"/>
      <c r="O145" s="1226"/>
      <c r="P145" s="1226"/>
      <c r="AA145" s="363"/>
    </row>
    <row r="146" spans="9:27">
      <c r="I146" s="1226"/>
      <c r="J146" s="1226"/>
      <c r="K146" s="1226"/>
      <c r="L146" s="1226"/>
      <c r="M146" s="1226"/>
      <c r="N146" s="1226"/>
      <c r="O146" s="1226"/>
      <c r="P146" s="1226"/>
      <c r="AA146" s="363"/>
    </row>
    <row r="147" spans="9:27">
      <c r="I147" s="1226"/>
      <c r="J147" s="1226"/>
      <c r="K147" s="1226"/>
      <c r="L147" s="1226"/>
      <c r="M147" s="1226"/>
      <c r="N147" s="1226"/>
      <c r="O147" s="1226"/>
      <c r="P147" s="1226"/>
      <c r="AA147" s="363"/>
    </row>
    <row r="148" spans="9:27">
      <c r="I148" s="1226"/>
      <c r="J148" s="1226"/>
      <c r="K148" s="1226"/>
      <c r="L148" s="1226"/>
      <c r="M148" s="1226"/>
      <c r="N148" s="1226"/>
      <c r="O148" s="1226"/>
      <c r="P148" s="1226"/>
      <c r="AA148" s="363"/>
    </row>
    <row r="149" spans="9:27">
      <c r="AA149" s="363"/>
    </row>
    <row r="150" spans="9:27">
      <c r="AA150" s="363"/>
    </row>
    <row r="151" spans="9:27">
      <c r="AA151" s="363"/>
    </row>
    <row r="152" spans="9:27">
      <c r="AA152" s="363"/>
    </row>
    <row r="153" spans="9:27">
      <c r="AA153" s="363"/>
    </row>
    <row r="154" spans="9:27">
      <c r="AA154" s="363"/>
    </row>
    <row r="155" spans="9:27">
      <c r="AA155" s="363"/>
    </row>
    <row r="156" spans="9:27">
      <c r="AA156" s="363"/>
    </row>
    <row r="157" spans="9:27">
      <c r="AA157" s="363"/>
    </row>
    <row r="158" spans="9:27">
      <c r="AA158" s="363"/>
    </row>
    <row r="159" spans="9:27">
      <c r="AA159" s="363"/>
    </row>
    <row r="160" spans="9:27">
      <c r="AA160" s="363"/>
    </row>
    <row r="161" spans="27:27">
      <c r="AA161" s="363"/>
    </row>
    <row r="162" spans="27:27">
      <c r="AA162" s="363"/>
    </row>
    <row r="163" spans="27:27">
      <c r="AA163" s="363"/>
    </row>
    <row r="164" spans="27:27">
      <c r="AA164" s="363"/>
    </row>
    <row r="295" spans="4:4">
      <c r="D295" s="922">
        <v>0</v>
      </c>
    </row>
  </sheetData>
  <mergeCells count="4">
    <mergeCell ref="A1:X1"/>
    <mergeCell ref="A2:X2"/>
    <mergeCell ref="B3:X3"/>
    <mergeCell ref="A4:X4"/>
  </mergeCells>
  <printOptions horizontalCentered="1"/>
  <pageMargins left="0" right="0" top="0.25" bottom="0.17" header="0.17" footer="0.2"/>
  <pageSetup paperSize="3" scale="4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pageSetUpPr fitToPage="1"/>
  </sheetPr>
  <dimension ref="A1:AH283"/>
  <sheetViews>
    <sheetView showGridLines="0" topLeftCell="A2" zoomScale="75" zoomScaleNormal="75" workbookViewId="0">
      <pane xSplit="3" ySplit="7" topLeftCell="D56" activePane="bottomRight" state="frozen"/>
      <selection activeCell="D71" sqref="D71"/>
      <selection pane="topRight" activeCell="D71" sqref="D71"/>
      <selection pane="bottomLeft" activeCell="D71" sqref="D71"/>
      <selection pane="bottomRight" activeCell="D71" sqref="D71"/>
    </sheetView>
  </sheetViews>
  <sheetFormatPr defaultRowHeight="12.75"/>
  <cols>
    <col min="1" max="1" width="36.85546875" style="365" customWidth="1"/>
    <col min="2" max="2" width="9" style="365" customWidth="1"/>
    <col min="3" max="3" width="2.28515625" style="365" bestFit="1" customWidth="1"/>
    <col min="4" max="4" width="16.28515625" style="922" bestFit="1" customWidth="1"/>
    <col min="5" max="5" width="18.7109375" style="922" customWidth="1"/>
    <col min="6" max="6" width="17.85546875" style="922" bestFit="1" customWidth="1"/>
    <col min="7" max="7" width="14.7109375" style="922" bestFit="1" customWidth="1"/>
    <col min="8" max="8" width="18.5703125" style="922" customWidth="1"/>
    <col min="9" max="9" width="19.5703125" style="922" customWidth="1"/>
    <col min="10" max="11" width="14.7109375" style="922" bestFit="1" customWidth="1"/>
    <col min="12" max="12" width="17" style="922" bestFit="1" customWidth="1"/>
    <col min="13" max="13" width="21.28515625" style="1226" bestFit="1" customWidth="1"/>
    <col min="14" max="14" width="18.42578125" style="1226" bestFit="1" customWidth="1"/>
    <col min="15" max="15" width="17.28515625" style="1226" customWidth="1"/>
    <col min="16" max="16" width="18.7109375" style="1226" customWidth="1"/>
    <col min="17" max="17" width="15.28515625" style="1226" customWidth="1"/>
    <col min="18" max="18" width="14.5703125" style="1226" customWidth="1"/>
    <col min="19" max="19" width="12.5703125" style="1226" customWidth="1"/>
    <col min="20" max="20" width="19.7109375" style="1226" customWidth="1"/>
    <col min="21" max="21" width="19.42578125" style="363" bestFit="1" customWidth="1"/>
    <col min="22" max="22" width="36.85546875" style="365" customWidth="1"/>
    <col min="23" max="23" width="17.5703125" style="365" customWidth="1"/>
    <col min="24" max="26" width="17.5703125" style="363" bestFit="1" customWidth="1"/>
    <col min="27" max="34" width="9.140625" style="363" customWidth="1"/>
    <col min="35" max="229" width="8.85546875" style="365"/>
    <col min="230" max="230" width="44.5703125" style="365" customWidth="1"/>
    <col min="231" max="231" width="14.28515625" style="365" bestFit="1" customWidth="1"/>
    <col min="232" max="232" width="1.7109375" style="365" customWidth="1"/>
    <col min="233" max="233" width="14.85546875" style="365" customWidth="1"/>
    <col min="234" max="234" width="0" style="365" hidden="1" customWidth="1"/>
    <col min="235" max="235" width="17.42578125" style="365" customWidth="1"/>
    <col min="236" max="236" width="0" style="365" hidden="1" customWidth="1"/>
    <col min="237" max="237" width="12.85546875" style="365" customWidth="1"/>
    <col min="238" max="238" width="0" style="365" hidden="1" customWidth="1"/>
    <col min="239" max="239" width="14.42578125" style="365" customWidth="1"/>
    <col min="240" max="240" width="0" style="365" hidden="1" customWidth="1"/>
    <col min="241" max="241" width="17.42578125" style="365" customWidth="1"/>
    <col min="242" max="242" width="0" style="365" hidden="1" customWidth="1"/>
    <col min="243" max="243" width="14" style="365" customWidth="1"/>
    <col min="244" max="244" width="14.28515625" style="365" bestFit="1" customWidth="1"/>
    <col min="245" max="245" width="0" style="365" hidden="1" customWidth="1"/>
    <col min="246" max="246" width="15.5703125" style="365" customWidth="1"/>
    <col min="247" max="247" width="44.5703125" style="365" customWidth="1"/>
    <col min="248" max="248" width="14.28515625" style="365" bestFit="1" customWidth="1"/>
    <col min="249" max="249" width="0" style="365" hidden="1" customWidth="1"/>
    <col min="250" max="250" width="18.140625" style="365" customWidth="1"/>
    <col min="251" max="251" width="0" style="365" hidden="1" customWidth="1"/>
    <col min="252" max="252" width="14" style="365" customWidth="1"/>
    <col min="253" max="253" width="0" style="365" hidden="1" customWidth="1"/>
    <col min="254" max="254" width="20.85546875" style="365" customWidth="1"/>
    <col min="255" max="255" width="0" style="365" hidden="1" customWidth="1"/>
    <col min="256" max="256" width="13.28515625" style="365" customWidth="1"/>
    <col min="257" max="257" width="0" style="365" hidden="1" customWidth="1"/>
    <col min="258" max="258" width="15" style="365" customWidth="1"/>
    <col min="259" max="259" width="0" style="365" hidden="1" customWidth="1"/>
    <col min="260" max="260" width="13.28515625" style="365" customWidth="1"/>
    <col min="261" max="261" width="0" style="365" hidden="1" customWidth="1"/>
    <col min="262" max="262" width="20.140625" style="365" customWidth="1"/>
    <col min="263" max="263" width="14.42578125" style="365" bestFit="1" customWidth="1"/>
    <col min="264" max="264" width="14" style="365" bestFit="1" customWidth="1"/>
    <col min="265" max="265" width="12.28515625" style="365" bestFit="1" customWidth="1"/>
    <col min="266" max="290" width="9.140625" style="365" customWidth="1"/>
    <col min="291" max="485" width="8.85546875" style="365"/>
    <col min="486" max="486" width="44.5703125" style="365" customWidth="1"/>
    <col min="487" max="487" width="14.28515625" style="365" bestFit="1" customWidth="1"/>
    <col min="488" max="488" width="1.7109375" style="365" customWidth="1"/>
    <col min="489" max="489" width="14.85546875" style="365" customWidth="1"/>
    <col min="490" max="490" width="0" style="365" hidden="1" customWidth="1"/>
    <col min="491" max="491" width="17.42578125" style="365" customWidth="1"/>
    <col min="492" max="492" width="0" style="365" hidden="1" customWidth="1"/>
    <col min="493" max="493" width="12.85546875" style="365" customWidth="1"/>
    <col min="494" max="494" width="0" style="365" hidden="1" customWidth="1"/>
    <col min="495" max="495" width="14.42578125" style="365" customWidth="1"/>
    <col min="496" max="496" width="0" style="365" hidden="1" customWidth="1"/>
    <col min="497" max="497" width="17.42578125" style="365" customWidth="1"/>
    <col min="498" max="498" width="0" style="365" hidden="1" customWidth="1"/>
    <col min="499" max="499" width="14" style="365" customWidth="1"/>
    <col min="500" max="500" width="14.28515625" style="365" bestFit="1" customWidth="1"/>
    <col min="501" max="501" width="0" style="365" hidden="1" customWidth="1"/>
    <col min="502" max="502" width="15.5703125" style="365" customWidth="1"/>
    <col min="503" max="503" width="44.5703125" style="365" customWidth="1"/>
    <col min="504" max="504" width="14.28515625" style="365" bestFit="1" customWidth="1"/>
    <col min="505" max="505" width="0" style="365" hidden="1" customWidth="1"/>
    <col min="506" max="506" width="18.140625" style="365" customWidth="1"/>
    <col min="507" max="507" width="0" style="365" hidden="1" customWidth="1"/>
    <col min="508" max="508" width="14" style="365" customWidth="1"/>
    <col min="509" max="509" width="0" style="365" hidden="1" customWidth="1"/>
    <col min="510" max="510" width="20.85546875" style="365" customWidth="1"/>
    <col min="511" max="511" width="0" style="365" hidden="1" customWidth="1"/>
    <col min="512" max="512" width="13.28515625" style="365" customWidth="1"/>
    <col min="513" max="513" width="0" style="365" hidden="1" customWidth="1"/>
    <col min="514" max="514" width="15" style="365" customWidth="1"/>
    <col min="515" max="515" width="0" style="365" hidden="1" customWidth="1"/>
    <col min="516" max="516" width="13.28515625" style="365" customWidth="1"/>
    <col min="517" max="517" width="0" style="365" hidden="1" customWidth="1"/>
    <col min="518" max="518" width="20.140625" style="365" customWidth="1"/>
    <col min="519" max="519" width="14.42578125" style="365" bestFit="1" customWidth="1"/>
    <col min="520" max="520" width="14" style="365" bestFit="1" customWidth="1"/>
    <col min="521" max="521" width="12.28515625" style="365" bestFit="1" customWidth="1"/>
    <col min="522" max="546" width="9.140625" style="365" customWidth="1"/>
    <col min="547" max="741" width="8.85546875" style="365"/>
    <col min="742" max="742" width="44.5703125" style="365" customWidth="1"/>
    <col min="743" max="743" width="14.28515625" style="365" bestFit="1" customWidth="1"/>
    <col min="744" max="744" width="1.7109375" style="365" customWidth="1"/>
    <col min="745" max="745" width="14.85546875" style="365" customWidth="1"/>
    <col min="746" max="746" width="0" style="365" hidden="1" customWidth="1"/>
    <col min="747" max="747" width="17.42578125" style="365" customWidth="1"/>
    <col min="748" max="748" width="0" style="365" hidden="1" customWidth="1"/>
    <col min="749" max="749" width="12.85546875" style="365" customWidth="1"/>
    <col min="750" max="750" width="0" style="365" hidden="1" customWidth="1"/>
    <col min="751" max="751" width="14.42578125" style="365" customWidth="1"/>
    <col min="752" max="752" width="0" style="365" hidden="1" customWidth="1"/>
    <col min="753" max="753" width="17.42578125" style="365" customWidth="1"/>
    <col min="754" max="754" width="0" style="365" hidden="1" customWidth="1"/>
    <col min="755" max="755" width="14" style="365" customWidth="1"/>
    <col min="756" max="756" width="14.28515625" style="365" bestFit="1" customWidth="1"/>
    <col min="757" max="757" width="0" style="365" hidden="1" customWidth="1"/>
    <col min="758" max="758" width="15.5703125" style="365" customWidth="1"/>
    <col min="759" max="759" width="44.5703125" style="365" customWidth="1"/>
    <col min="760" max="760" width="14.28515625" style="365" bestFit="1" customWidth="1"/>
    <col min="761" max="761" width="0" style="365" hidden="1" customWidth="1"/>
    <col min="762" max="762" width="18.140625" style="365" customWidth="1"/>
    <col min="763" max="763" width="0" style="365" hidden="1" customWidth="1"/>
    <col min="764" max="764" width="14" style="365" customWidth="1"/>
    <col min="765" max="765" width="0" style="365" hidden="1" customWidth="1"/>
    <col min="766" max="766" width="20.85546875" style="365" customWidth="1"/>
    <col min="767" max="767" width="0" style="365" hidden="1" customWidth="1"/>
    <col min="768" max="768" width="13.28515625" style="365" customWidth="1"/>
    <col min="769" max="769" width="0" style="365" hidden="1" customWidth="1"/>
    <col min="770" max="770" width="15" style="365" customWidth="1"/>
    <col min="771" max="771" width="0" style="365" hidden="1" customWidth="1"/>
    <col min="772" max="772" width="13.28515625" style="365" customWidth="1"/>
    <col min="773" max="773" width="0" style="365" hidden="1" customWidth="1"/>
    <col min="774" max="774" width="20.140625" style="365" customWidth="1"/>
    <col min="775" max="775" width="14.42578125" style="365" bestFit="1" customWidth="1"/>
    <col min="776" max="776" width="14" style="365" bestFit="1" customWidth="1"/>
    <col min="777" max="777" width="12.28515625" style="365" bestFit="1" customWidth="1"/>
    <col min="778" max="802" width="9.140625" style="365" customWidth="1"/>
    <col min="803" max="997" width="8.85546875" style="365"/>
    <col min="998" max="998" width="44.5703125" style="365" customWidth="1"/>
    <col min="999" max="999" width="14.28515625" style="365" bestFit="1" customWidth="1"/>
    <col min="1000" max="1000" width="1.7109375" style="365" customWidth="1"/>
    <col min="1001" max="1001" width="14.85546875" style="365" customWidth="1"/>
    <col min="1002" max="1002" width="0" style="365" hidden="1" customWidth="1"/>
    <col min="1003" max="1003" width="17.42578125" style="365" customWidth="1"/>
    <col min="1004" max="1004" width="0" style="365" hidden="1" customWidth="1"/>
    <col min="1005" max="1005" width="12.85546875" style="365" customWidth="1"/>
    <col min="1006" max="1006" width="0" style="365" hidden="1" customWidth="1"/>
    <col min="1007" max="1007" width="14.42578125" style="365" customWidth="1"/>
    <col min="1008" max="1008" width="0" style="365" hidden="1" customWidth="1"/>
    <col min="1009" max="1009" width="17.42578125" style="365" customWidth="1"/>
    <col min="1010" max="1010" width="0" style="365" hidden="1" customWidth="1"/>
    <col min="1011" max="1011" width="14" style="365" customWidth="1"/>
    <col min="1012" max="1012" width="14.28515625" style="365" bestFit="1" customWidth="1"/>
    <col min="1013" max="1013" width="0" style="365" hidden="1" customWidth="1"/>
    <col min="1014" max="1014" width="15.5703125" style="365" customWidth="1"/>
    <col min="1015" max="1015" width="44.5703125" style="365" customWidth="1"/>
    <col min="1016" max="1016" width="14.28515625" style="365" bestFit="1" customWidth="1"/>
    <col min="1017" max="1017" width="0" style="365" hidden="1" customWidth="1"/>
    <col min="1018" max="1018" width="18.140625" style="365" customWidth="1"/>
    <col min="1019" max="1019" width="0" style="365" hidden="1" customWidth="1"/>
    <col min="1020" max="1020" width="14" style="365" customWidth="1"/>
    <col min="1021" max="1021" width="0" style="365" hidden="1" customWidth="1"/>
    <col min="1022" max="1022" width="20.85546875" style="365" customWidth="1"/>
    <col min="1023" max="1023" width="0" style="365" hidden="1" customWidth="1"/>
    <col min="1024" max="1024" width="13.28515625" style="365" customWidth="1"/>
    <col min="1025" max="1025" width="0" style="365" hidden="1" customWidth="1"/>
    <col min="1026" max="1026" width="15" style="365" customWidth="1"/>
    <col min="1027" max="1027" width="0" style="365" hidden="1" customWidth="1"/>
    <col min="1028" max="1028" width="13.28515625" style="365" customWidth="1"/>
    <col min="1029" max="1029" width="0" style="365" hidden="1" customWidth="1"/>
    <col min="1030" max="1030" width="20.140625" style="365" customWidth="1"/>
    <col min="1031" max="1031" width="14.42578125" style="365" bestFit="1" customWidth="1"/>
    <col min="1032" max="1032" width="14" style="365" bestFit="1" customWidth="1"/>
    <col min="1033" max="1033" width="12.28515625" style="365" bestFit="1" customWidth="1"/>
    <col min="1034" max="1058" width="9.140625" style="365" customWidth="1"/>
    <col min="1059" max="1253" width="8.85546875" style="365"/>
    <col min="1254" max="1254" width="44.5703125" style="365" customWidth="1"/>
    <col min="1255" max="1255" width="14.28515625" style="365" bestFit="1" customWidth="1"/>
    <col min="1256" max="1256" width="1.7109375" style="365" customWidth="1"/>
    <col min="1257" max="1257" width="14.85546875" style="365" customWidth="1"/>
    <col min="1258" max="1258" width="0" style="365" hidden="1" customWidth="1"/>
    <col min="1259" max="1259" width="17.42578125" style="365" customWidth="1"/>
    <col min="1260" max="1260" width="0" style="365" hidden="1" customWidth="1"/>
    <col min="1261" max="1261" width="12.85546875" style="365" customWidth="1"/>
    <col min="1262" max="1262" width="0" style="365" hidden="1" customWidth="1"/>
    <col min="1263" max="1263" width="14.42578125" style="365" customWidth="1"/>
    <col min="1264" max="1264" width="0" style="365" hidden="1" customWidth="1"/>
    <col min="1265" max="1265" width="17.42578125" style="365" customWidth="1"/>
    <col min="1266" max="1266" width="0" style="365" hidden="1" customWidth="1"/>
    <col min="1267" max="1267" width="14" style="365" customWidth="1"/>
    <col min="1268" max="1268" width="14.28515625" style="365" bestFit="1" customWidth="1"/>
    <col min="1269" max="1269" width="0" style="365" hidden="1" customWidth="1"/>
    <col min="1270" max="1270" width="15.5703125" style="365" customWidth="1"/>
    <col min="1271" max="1271" width="44.5703125" style="365" customWidth="1"/>
    <col min="1272" max="1272" width="14.28515625" style="365" bestFit="1" customWidth="1"/>
    <col min="1273" max="1273" width="0" style="365" hidden="1" customWidth="1"/>
    <col min="1274" max="1274" width="18.140625" style="365" customWidth="1"/>
    <col min="1275" max="1275" width="0" style="365" hidden="1" customWidth="1"/>
    <col min="1276" max="1276" width="14" style="365" customWidth="1"/>
    <col min="1277" max="1277" width="0" style="365" hidden="1" customWidth="1"/>
    <col min="1278" max="1278" width="20.85546875" style="365" customWidth="1"/>
    <col min="1279" max="1279" width="0" style="365" hidden="1" customWidth="1"/>
    <col min="1280" max="1280" width="13.28515625" style="365" customWidth="1"/>
    <col min="1281" max="1281" width="0" style="365" hidden="1" customWidth="1"/>
    <col min="1282" max="1282" width="15" style="365" customWidth="1"/>
    <col min="1283" max="1283" width="0" style="365" hidden="1" customWidth="1"/>
    <col min="1284" max="1284" width="13.28515625" style="365" customWidth="1"/>
    <col min="1285" max="1285" width="0" style="365" hidden="1" customWidth="1"/>
    <col min="1286" max="1286" width="20.140625" style="365" customWidth="1"/>
    <col min="1287" max="1287" width="14.42578125" style="365" bestFit="1" customWidth="1"/>
    <col min="1288" max="1288" width="14" style="365" bestFit="1" customWidth="1"/>
    <col min="1289" max="1289" width="12.28515625" style="365" bestFit="1" customWidth="1"/>
    <col min="1290" max="1314" width="9.140625" style="365" customWidth="1"/>
    <col min="1315" max="1509" width="8.85546875" style="365"/>
    <col min="1510" max="1510" width="44.5703125" style="365" customWidth="1"/>
    <col min="1511" max="1511" width="14.28515625" style="365" bestFit="1" customWidth="1"/>
    <col min="1512" max="1512" width="1.7109375" style="365" customWidth="1"/>
    <col min="1513" max="1513" width="14.85546875" style="365" customWidth="1"/>
    <col min="1514" max="1514" width="0" style="365" hidden="1" customWidth="1"/>
    <col min="1515" max="1515" width="17.42578125" style="365" customWidth="1"/>
    <col min="1516" max="1516" width="0" style="365" hidden="1" customWidth="1"/>
    <col min="1517" max="1517" width="12.85546875" style="365" customWidth="1"/>
    <col min="1518" max="1518" width="0" style="365" hidden="1" customWidth="1"/>
    <col min="1519" max="1519" width="14.42578125" style="365" customWidth="1"/>
    <col min="1520" max="1520" width="0" style="365" hidden="1" customWidth="1"/>
    <col min="1521" max="1521" width="17.42578125" style="365" customWidth="1"/>
    <col min="1522" max="1522" width="0" style="365" hidden="1" customWidth="1"/>
    <col min="1523" max="1523" width="14" style="365" customWidth="1"/>
    <col min="1524" max="1524" width="14.28515625" style="365" bestFit="1" customWidth="1"/>
    <col min="1525" max="1525" width="0" style="365" hidden="1" customWidth="1"/>
    <col min="1526" max="1526" width="15.5703125" style="365" customWidth="1"/>
    <col min="1527" max="1527" width="44.5703125" style="365" customWidth="1"/>
    <col min="1528" max="1528" width="14.28515625" style="365" bestFit="1" customWidth="1"/>
    <col min="1529" max="1529" width="0" style="365" hidden="1" customWidth="1"/>
    <col min="1530" max="1530" width="18.140625" style="365" customWidth="1"/>
    <col min="1531" max="1531" width="0" style="365" hidden="1" customWidth="1"/>
    <col min="1532" max="1532" width="14" style="365" customWidth="1"/>
    <col min="1533" max="1533" width="0" style="365" hidden="1" customWidth="1"/>
    <col min="1534" max="1534" width="20.85546875" style="365" customWidth="1"/>
    <col min="1535" max="1535" width="0" style="365" hidden="1" customWidth="1"/>
    <col min="1536" max="1536" width="13.28515625" style="365" customWidth="1"/>
    <col min="1537" max="1537" width="0" style="365" hidden="1" customWidth="1"/>
    <col min="1538" max="1538" width="15" style="365" customWidth="1"/>
    <col min="1539" max="1539" width="0" style="365" hidden="1" customWidth="1"/>
    <col min="1540" max="1540" width="13.28515625" style="365" customWidth="1"/>
    <col min="1541" max="1541" width="0" style="365" hidden="1" customWidth="1"/>
    <col min="1542" max="1542" width="20.140625" style="365" customWidth="1"/>
    <col min="1543" max="1543" width="14.42578125" style="365" bestFit="1" customWidth="1"/>
    <col min="1544" max="1544" width="14" style="365" bestFit="1" customWidth="1"/>
    <col min="1545" max="1545" width="12.28515625" style="365" bestFit="1" customWidth="1"/>
    <col min="1546" max="1570" width="9.140625" style="365" customWidth="1"/>
    <col min="1571" max="1765" width="8.85546875" style="365"/>
    <col min="1766" max="1766" width="44.5703125" style="365" customWidth="1"/>
    <col min="1767" max="1767" width="14.28515625" style="365" bestFit="1" customWidth="1"/>
    <col min="1768" max="1768" width="1.7109375" style="365" customWidth="1"/>
    <col min="1769" max="1769" width="14.85546875" style="365" customWidth="1"/>
    <col min="1770" max="1770" width="0" style="365" hidden="1" customWidth="1"/>
    <col min="1771" max="1771" width="17.42578125" style="365" customWidth="1"/>
    <col min="1772" max="1772" width="0" style="365" hidden="1" customWidth="1"/>
    <col min="1773" max="1773" width="12.85546875" style="365" customWidth="1"/>
    <col min="1774" max="1774" width="0" style="365" hidden="1" customWidth="1"/>
    <col min="1775" max="1775" width="14.42578125" style="365" customWidth="1"/>
    <col min="1776" max="1776" width="0" style="365" hidden="1" customWidth="1"/>
    <col min="1777" max="1777" width="17.42578125" style="365" customWidth="1"/>
    <col min="1778" max="1778" width="0" style="365" hidden="1" customWidth="1"/>
    <col min="1779" max="1779" width="14" style="365" customWidth="1"/>
    <col min="1780" max="1780" width="14.28515625" style="365" bestFit="1" customWidth="1"/>
    <col min="1781" max="1781" width="0" style="365" hidden="1" customWidth="1"/>
    <col min="1782" max="1782" width="15.5703125" style="365" customWidth="1"/>
    <col min="1783" max="1783" width="44.5703125" style="365" customWidth="1"/>
    <col min="1784" max="1784" width="14.28515625" style="365" bestFit="1" customWidth="1"/>
    <col min="1785" max="1785" width="0" style="365" hidden="1" customWidth="1"/>
    <col min="1786" max="1786" width="18.140625" style="365" customWidth="1"/>
    <col min="1787" max="1787" width="0" style="365" hidden="1" customWidth="1"/>
    <col min="1788" max="1788" width="14" style="365" customWidth="1"/>
    <col min="1789" max="1789" width="0" style="365" hidden="1" customWidth="1"/>
    <col min="1790" max="1790" width="20.85546875" style="365" customWidth="1"/>
    <col min="1791" max="1791" width="0" style="365" hidden="1" customWidth="1"/>
    <col min="1792" max="1792" width="13.28515625" style="365" customWidth="1"/>
    <col min="1793" max="1793" width="0" style="365" hidden="1" customWidth="1"/>
    <col min="1794" max="1794" width="15" style="365" customWidth="1"/>
    <col min="1795" max="1795" width="0" style="365" hidden="1" customWidth="1"/>
    <col min="1796" max="1796" width="13.28515625" style="365" customWidth="1"/>
    <col min="1797" max="1797" width="0" style="365" hidden="1" customWidth="1"/>
    <col min="1798" max="1798" width="20.140625" style="365" customWidth="1"/>
    <col min="1799" max="1799" width="14.42578125" style="365" bestFit="1" customWidth="1"/>
    <col min="1800" max="1800" width="14" style="365" bestFit="1" customWidth="1"/>
    <col min="1801" max="1801" width="12.28515625" style="365" bestFit="1" customWidth="1"/>
    <col min="1802" max="1826" width="9.140625" style="365" customWidth="1"/>
    <col min="1827" max="2021" width="8.85546875" style="365"/>
    <col min="2022" max="2022" width="44.5703125" style="365" customWidth="1"/>
    <col min="2023" max="2023" width="14.28515625" style="365" bestFit="1" customWidth="1"/>
    <col min="2024" max="2024" width="1.7109375" style="365" customWidth="1"/>
    <col min="2025" max="2025" width="14.85546875" style="365" customWidth="1"/>
    <col min="2026" max="2026" width="0" style="365" hidden="1" customWidth="1"/>
    <col min="2027" max="2027" width="17.42578125" style="365" customWidth="1"/>
    <col min="2028" max="2028" width="0" style="365" hidden="1" customWidth="1"/>
    <col min="2029" max="2029" width="12.85546875" style="365" customWidth="1"/>
    <col min="2030" max="2030" width="0" style="365" hidden="1" customWidth="1"/>
    <col min="2031" max="2031" width="14.42578125" style="365" customWidth="1"/>
    <col min="2032" max="2032" width="0" style="365" hidden="1" customWidth="1"/>
    <col min="2033" max="2033" width="17.42578125" style="365" customWidth="1"/>
    <col min="2034" max="2034" width="0" style="365" hidden="1" customWidth="1"/>
    <col min="2035" max="2035" width="14" style="365" customWidth="1"/>
    <col min="2036" max="2036" width="14.28515625" style="365" bestFit="1" customWidth="1"/>
    <col min="2037" max="2037" width="0" style="365" hidden="1" customWidth="1"/>
    <col min="2038" max="2038" width="15.5703125" style="365" customWidth="1"/>
    <col min="2039" max="2039" width="44.5703125" style="365" customWidth="1"/>
    <col min="2040" max="2040" width="14.28515625" style="365" bestFit="1" customWidth="1"/>
    <col min="2041" max="2041" width="0" style="365" hidden="1" customWidth="1"/>
    <col min="2042" max="2042" width="18.140625" style="365" customWidth="1"/>
    <col min="2043" max="2043" width="0" style="365" hidden="1" customWidth="1"/>
    <col min="2044" max="2044" width="14" style="365" customWidth="1"/>
    <col min="2045" max="2045" width="0" style="365" hidden="1" customWidth="1"/>
    <col min="2046" max="2046" width="20.85546875" style="365" customWidth="1"/>
    <col min="2047" max="2047" width="0" style="365" hidden="1" customWidth="1"/>
    <col min="2048" max="2048" width="13.28515625" style="365" customWidth="1"/>
    <col min="2049" max="2049" width="0" style="365" hidden="1" customWidth="1"/>
    <col min="2050" max="2050" width="15" style="365" customWidth="1"/>
    <col min="2051" max="2051" width="0" style="365" hidden="1" customWidth="1"/>
    <col min="2052" max="2052" width="13.28515625" style="365" customWidth="1"/>
    <col min="2053" max="2053" width="0" style="365" hidden="1" customWidth="1"/>
    <col min="2054" max="2054" width="20.140625" style="365" customWidth="1"/>
    <col min="2055" max="2055" width="14.42578125" style="365" bestFit="1" customWidth="1"/>
    <col min="2056" max="2056" width="14" style="365" bestFit="1" customWidth="1"/>
    <col min="2057" max="2057" width="12.28515625" style="365" bestFit="1" customWidth="1"/>
    <col min="2058" max="2082" width="9.140625" style="365" customWidth="1"/>
    <col min="2083" max="2277" width="8.85546875" style="365"/>
    <col min="2278" max="2278" width="44.5703125" style="365" customWidth="1"/>
    <col min="2279" max="2279" width="14.28515625" style="365" bestFit="1" customWidth="1"/>
    <col min="2280" max="2280" width="1.7109375" style="365" customWidth="1"/>
    <col min="2281" max="2281" width="14.85546875" style="365" customWidth="1"/>
    <col min="2282" max="2282" width="0" style="365" hidden="1" customWidth="1"/>
    <col min="2283" max="2283" width="17.42578125" style="365" customWidth="1"/>
    <col min="2284" max="2284" width="0" style="365" hidden="1" customWidth="1"/>
    <col min="2285" max="2285" width="12.85546875" style="365" customWidth="1"/>
    <col min="2286" max="2286" width="0" style="365" hidden="1" customWidth="1"/>
    <col min="2287" max="2287" width="14.42578125" style="365" customWidth="1"/>
    <col min="2288" max="2288" width="0" style="365" hidden="1" customWidth="1"/>
    <col min="2289" max="2289" width="17.42578125" style="365" customWidth="1"/>
    <col min="2290" max="2290" width="0" style="365" hidden="1" customWidth="1"/>
    <col min="2291" max="2291" width="14" style="365" customWidth="1"/>
    <col min="2292" max="2292" width="14.28515625" style="365" bestFit="1" customWidth="1"/>
    <col min="2293" max="2293" width="0" style="365" hidden="1" customWidth="1"/>
    <col min="2294" max="2294" width="15.5703125" style="365" customWidth="1"/>
    <col min="2295" max="2295" width="44.5703125" style="365" customWidth="1"/>
    <col min="2296" max="2296" width="14.28515625" style="365" bestFit="1" customWidth="1"/>
    <col min="2297" max="2297" width="0" style="365" hidden="1" customWidth="1"/>
    <col min="2298" max="2298" width="18.140625" style="365" customWidth="1"/>
    <col min="2299" max="2299" width="0" style="365" hidden="1" customWidth="1"/>
    <col min="2300" max="2300" width="14" style="365" customWidth="1"/>
    <col min="2301" max="2301" width="0" style="365" hidden="1" customWidth="1"/>
    <col min="2302" max="2302" width="20.85546875" style="365" customWidth="1"/>
    <col min="2303" max="2303" width="0" style="365" hidden="1" customWidth="1"/>
    <col min="2304" max="2304" width="13.28515625" style="365" customWidth="1"/>
    <col min="2305" max="2305" width="0" style="365" hidden="1" customWidth="1"/>
    <col min="2306" max="2306" width="15" style="365" customWidth="1"/>
    <col min="2307" max="2307" width="0" style="365" hidden="1" customWidth="1"/>
    <col min="2308" max="2308" width="13.28515625" style="365" customWidth="1"/>
    <col min="2309" max="2309" width="0" style="365" hidden="1" customWidth="1"/>
    <col min="2310" max="2310" width="20.140625" style="365" customWidth="1"/>
    <col min="2311" max="2311" width="14.42578125" style="365" bestFit="1" customWidth="1"/>
    <col min="2312" max="2312" width="14" style="365" bestFit="1" customWidth="1"/>
    <col min="2313" max="2313" width="12.28515625" style="365" bestFit="1" customWidth="1"/>
    <col min="2314" max="2338" width="9.140625" style="365" customWidth="1"/>
    <col min="2339" max="2533" width="8.85546875" style="365"/>
    <col min="2534" max="2534" width="44.5703125" style="365" customWidth="1"/>
    <col min="2535" max="2535" width="14.28515625" style="365" bestFit="1" customWidth="1"/>
    <col min="2536" max="2536" width="1.7109375" style="365" customWidth="1"/>
    <col min="2537" max="2537" width="14.85546875" style="365" customWidth="1"/>
    <col min="2538" max="2538" width="0" style="365" hidden="1" customWidth="1"/>
    <col min="2539" max="2539" width="17.42578125" style="365" customWidth="1"/>
    <col min="2540" max="2540" width="0" style="365" hidden="1" customWidth="1"/>
    <col min="2541" max="2541" width="12.85546875" style="365" customWidth="1"/>
    <col min="2542" max="2542" width="0" style="365" hidden="1" customWidth="1"/>
    <col min="2543" max="2543" width="14.42578125" style="365" customWidth="1"/>
    <col min="2544" max="2544" width="0" style="365" hidden="1" customWidth="1"/>
    <col min="2545" max="2545" width="17.42578125" style="365" customWidth="1"/>
    <col min="2546" max="2546" width="0" style="365" hidden="1" customWidth="1"/>
    <col min="2547" max="2547" width="14" style="365" customWidth="1"/>
    <col min="2548" max="2548" width="14.28515625" style="365" bestFit="1" customWidth="1"/>
    <col min="2549" max="2549" width="0" style="365" hidden="1" customWidth="1"/>
    <col min="2550" max="2550" width="15.5703125" style="365" customWidth="1"/>
    <col min="2551" max="2551" width="44.5703125" style="365" customWidth="1"/>
    <col min="2552" max="2552" width="14.28515625" style="365" bestFit="1" customWidth="1"/>
    <col min="2553" max="2553" width="0" style="365" hidden="1" customWidth="1"/>
    <col min="2554" max="2554" width="18.140625" style="365" customWidth="1"/>
    <col min="2555" max="2555" width="0" style="365" hidden="1" customWidth="1"/>
    <col min="2556" max="2556" width="14" style="365" customWidth="1"/>
    <col min="2557" max="2557" width="0" style="365" hidden="1" customWidth="1"/>
    <col min="2558" max="2558" width="20.85546875" style="365" customWidth="1"/>
    <col min="2559" max="2559" width="0" style="365" hidden="1" customWidth="1"/>
    <col min="2560" max="2560" width="13.28515625" style="365" customWidth="1"/>
    <col min="2561" max="2561" width="0" style="365" hidden="1" customWidth="1"/>
    <col min="2562" max="2562" width="15" style="365" customWidth="1"/>
    <col min="2563" max="2563" width="0" style="365" hidden="1" customWidth="1"/>
    <col min="2564" max="2564" width="13.28515625" style="365" customWidth="1"/>
    <col min="2565" max="2565" width="0" style="365" hidden="1" customWidth="1"/>
    <col min="2566" max="2566" width="20.140625" style="365" customWidth="1"/>
    <col min="2567" max="2567" width="14.42578125" style="365" bestFit="1" customWidth="1"/>
    <col min="2568" max="2568" width="14" style="365" bestFit="1" customWidth="1"/>
    <col min="2569" max="2569" width="12.28515625" style="365" bestFit="1" customWidth="1"/>
    <col min="2570" max="2594" width="9.140625" style="365" customWidth="1"/>
    <col min="2595" max="2789" width="8.85546875" style="365"/>
    <col min="2790" max="2790" width="44.5703125" style="365" customWidth="1"/>
    <col min="2791" max="2791" width="14.28515625" style="365" bestFit="1" customWidth="1"/>
    <col min="2792" max="2792" width="1.7109375" style="365" customWidth="1"/>
    <col min="2793" max="2793" width="14.85546875" style="365" customWidth="1"/>
    <col min="2794" max="2794" width="0" style="365" hidden="1" customWidth="1"/>
    <col min="2795" max="2795" width="17.42578125" style="365" customWidth="1"/>
    <col min="2796" max="2796" width="0" style="365" hidden="1" customWidth="1"/>
    <col min="2797" max="2797" width="12.85546875" style="365" customWidth="1"/>
    <col min="2798" max="2798" width="0" style="365" hidden="1" customWidth="1"/>
    <col min="2799" max="2799" width="14.42578125" style="365" customWidth="1"/>
    <col min="2800" max="2800" width="0" style="365" hidden="1" customWidth="1"/>
    <col min="2801" max="2801" width="17.42578125" style="365" customWidth="1"/>
    <col min="2802" max="2802" width="0" style="365" hidden="1" customWidth="1"/>
    <col min="2803" max="2803" width="14" style="365" customWidth="1"/>
    <col min="2804" max="2804" width="14.28515625" style="365" bestFit="1" customWidth="1"/>
    <col min="2805" max="2805" width="0" style="365" hidden="1" customWidth="1"/>
    <col min="2806" max="2806" width="15.5703125" style="365" customWidth="1"/>
    <col min="2807" max="2807" width="44.5703125" style="365" customWidth="1"/>
    <col min="2808" max="2808" width="14.28515625" style="365" bestFit="1" customWidth="1"/>
    <col min="2809" max="2809" width="0" style="365" hidden="1" customWidth="1"/>
    <col min="2810" max="2810" width="18.140625" style="365" customWidth="1"/>
    <col min="2811" max="2811" width="0" style="365" hidden="1" customWidth="1"/>
    <col min="2812" max="2812" width="14" style="365" customWidth="1"/>
    <col min="2813" max="2813" width="0" style="365" hidden="1" customWidth="1"/>
    <col min="2814" max="2814" width="20.85546875" style="365" customWidth="1"/>
    <col min="2815" max="2815" width="0" style="365" hidden="1" customWidth="1"/>
    <col min="2816" max="2816" width="13.28515625" style="365" customWidth="1"/>
    <col min="2817" max="2817" width="0" style="365" hidden="1" customWidth="1"/>
    <col min="2818" max="2818" width="15" style="365" customWidth="1"/>
    <col min="2819" max="2819" width="0" style="365" hidden="1" customWidth="1"/>
    <col min="2820" max="2820" width="13.28515625" style="365" customWidth="1"/>
    <col min="2821" max="2821" width="0" style="365" hidden="1" customWidth="1"/>
    <col min="2822" max="2822" width="20.140625" style="365" customWidth="1"/>
    <col min="2823" max="2823" width="14.42578125" style="365" bestFit="1" customWidth="1"/>
    <col min="2824" max="2824" width="14" style="365" bestFit="1" customWidth="1"/>
    <col min="2825" max="2825" width="12.28515625" style="365" bestFit="1" customWidth="1"/>
    <col min="2826" max="2850" width="9.140625" style="365" customWidth="1"/>
    <col min="2851" max="3045" width="8.85546875" style="365"/>
    <col min="3046" max="3046" width="44.5703125" style="365" customWidth="1"/>
    <col min="3047" max="3047" width="14.28515625" style="365" bestFit="1" customWidth="1"/>
    <col min="3048" max="3048" width="1.7109375" style="365" customWidth="1"/>
    <col min="3049" max="3049" width="14.85546875" style="365" customWidth="1"/>
    <col min="3050" max="3050" width="0" style="365" hidden="1" customWidth="1"/>
    <col min="3051" max="3051" width="17.42578125" style="365" customWidth="1"/>
    <col min="3052" max="3052" width="0" style="365" hidden="1" customWidth="1"/>
    <col min="3053" max="3053" width="12.85546875" style="365" customWidth="1"/>
    <col min="3054" max="3054" width="0" style="365" hidden="1" customWidth="1"/>
    <col min="3055" max="3055" width="14.42578125" style="365" customWidth="1"/>
    <col min="3056" max="3056" width="0" style="365" hidden="1" customWidth="1"/>
    <col min="3057" max="3057" width="17.42578125" style="365" customWidth="1"/>
    <col min="3058" max="3058" width="0" style="365" hidden="1" customWidth="1"/>
    <col min="3059" max="3059" width="14" style="365" customWidth="1"/>
    <col min="3060" max="3060" width="14.28515625" style="365" bestFit="1" customWidth="1"/>
    <col min="3061" max="3061" width="0" style="365" hidden="1" customWidth="1"/>
    <col min="3062" max="3062" width="15.5703125" style="365" customWidth="1"/>
    <col min="3063" max="3063" width="44.5703125" style="365" customWidth="1"/>
    <col min="3064" max="3064" width="14.28515625" style="365" bestFit="1" customWidth="1"/>
    <col min="3065" max="3065" width="0" style="365" hidden="1" customWidth="1"/>
    <col min="3066" max="3066" width="18.140625" style="365" customWidth="1"/>
    <col min="3067" max="3067" width="0" style="365" hidden="1" customWidth="1"/>
    <col min="3068" max="3068" width="14" style="365" customWidth="1"/>
    <col min="3069" max="3069" width="0" style="365" hidden="1" customWidth="1"/>
    <col min="3070" max="3070" width="20.85546875" style="365" customWidth="1"/>
    <col min="3071" max="3071" width="0" style="365" hidden="1" customWidth="1"/>
    <col min="3072" max="3072" width="13.28515625" style="365" customWidth="1"/>
    <col min="3073" max="3073" width="0" style="365" hidden="1" customWidth="1"/>
    <col min="3074" max="3074" width="15" style="365" customWidth="1"/>
    <col min="3075" max="3075" width="0" style="365" hidden="1" customWidth="1"/>
    <col min="3076" max="3076" width="13.28515625" style="365" customWidth="1"/>
    <col min="3077" max="3077" width="0" style="365" hidden="1" customWidth="1"/>
    <col min="3078" max="3078" width="20.140625" style="365" customWidth="1"/>
    <col min="3079" max="3079" width="14.42578125" style="365" bestFit="1" customWidth="1"/>
    <col min="3080" max="3080" width="14" style="365" bestFit="1" customWidth="1"/>
    <col min="3081" max="3081" width="12.28515625" style="365" bestFit="1" customWidth="1"/>
    <col min="3082" max="3106" width="9.140625" style="365" customWidth="1"/>
    <col min="3107" max="3301" width="8.85546875" style="365"/>
    <col min="3302" max="3302" width="44.5703125" style="365" customWidth="1"/>
    <col min="3303" max="3303" width="14.28515625" style="365" bestFit="1" customWidth="1"/>
    <col min="3304" max="3304" width="1.7109375" style="365" customWidth="1"/>
    <col min="3305" max="3305" width="14.85546875" style="365" customWidth="1"/>
    <col min="3306" max="3306" width="0" style="365" hidden="1" customWidth="1"/>
    <col min="3307" max="3307" width="17.42578125" style="365" customWidth="1"/>
    <col min="3308" max="3308" width="0" style="365" hidden="1" customWidth="1"/>
    <col min="3309" max="3309" width="12.85546875" style="365" customWidth="1"/>
    <col min="3310" max="3310" width="0" style="365" hidden="1" customWidth="1"/>
    <col min="3311" max="3311" width="14.42578125" style="365" customWidth="1"/>
    <col min="3312" max="3312" width="0" style="365" hidden="1" customWidth="1"/>
    <col min="3313" max="3313" width="17.42578125" style="365" customWidth="1"/>
    <col min="3314" max="3314" width="0" style="365" hidden="1" customWidth="1"/>
    <col min="3315" max="3315" width="14" style="365" customWidth="1"/>
    <col min="3316" max="3316" width="14.28515625" style="365" bestFit="1" customWidth="1"/>
    <col min="3317" max="3317" width="0" style="365" hidden="1" customWidth="1"/>
    <col min="3318" max="3318" width="15.5703125" style="365" customWidth="1"/>
    <col min="3319" max="3319" width="44.5703125" style="365" customWidth="1"/>
    <col min="3320" max="3320" width="14.28515625" style="365" bestFit="1" customWidth="1"/>
    <col min="3321" max="3321" width="0" style="365" hidden="1" customWidth="1"/>
    <col min="3322" max="3322" width="18.140625" style="365" customWidth="1"/>
    <col min="3323" max="3323" width="0" style="365" hidden="1" customWidth="1"/>
    <col min="3324" max="3324" width="14" style="365" customWidth="1"/>
    <col min="3325" max="3325" width="0" style="365" hidden="1" customWidth="1"/>
    <col min="3326" max="3326" width="20.85546875" style="365" customWidth="1"/>
    <col min="3327" max="3327" width="0" style="365" hidden="1" customWidth="1"/>
    <col min="3328" max="3328" width="13.28515625" style="365" customWidth="1"/>
    <col min="3329" max="3329" width="0" style="365" hidden="1" customWidth="1"/>
    <col min="3330" max="3330" width="15" style="365" customWidth="1"/>
    <col min="3331" max="3331" width="0" style="365" hidden="1" customWidth="1"/>
    <col min="3332" max="3332" width="13.28515625" style="365" customWidth="1"/>
    <col min="3333" max="3333" width="0" style="365" hidden="1" customWidth="1"/>
    <col min="3334" max="3334" width="20.140625" style="365" customWidth="1"/>
    <col min="3335" max="3335" width="14.42578125" style="365" bestFit="1" customWidth="1"/>
    <col min="3336" max="3336" width="14" style="365" bestFit="1" customWidth="1"/>
    <col min="3337" max="3337" width="12.28515625" style="365" bestFit="1" customWidth="1"/>
    <col min="3338" max="3362" width="9.140625" style="365" customWidth="1"/>
    <col min="3363" max="3557" width="8.85546875" style="365"/>
    <col min="3558" max="3558" width="44.5703125" style="365" customWidth="1"/>
    <col min="3559" max="3559" width="14.28515625" style="365" bestFit="1" customWidth="1"/>
    <col min="3560" max="3560" width="1.7109375" style="365" customWidth="1"/>
    <col min="3561" max="3561" width="14.85546875" style="365" customWidth="1"/>
    <col min="3562" max="3562" width="0" style="365" hidden="1" customWidth="1"/>
    <col min="3563" max="3563" width="17.42578125" style="365" customWidth="1"/>
    <col min="3564" max="3564" width="0" style="365" hidden="1" customWidth="1"/>
    <col min="3565" max="3565" width="12.85546875" style="365" customWidth="1"/>
    <col min="3566" max="3566" width="0" style="365" hidden="1" customWidth="1"/>
    <col min="3567" max="3567" width="14.42578125" style="365" customWidth="1"/>
    <col min="3568" max="3568" width="0" style="365" hidden="1" customWidth="1"/>
    <col min="3569" max="3569" width="17.42578125" style="365" customWidth="1"/>
    <col min="3570" max="3570" width="0" style="365" hidden="1" customWidth="1"/>
    <col min="3571" max="3571" width="14" style="365" customWidth="1"/>
    <col min="3572" max="3572" width="14.28515625" style="365" bestFit="1" customWidth="1"/>
    <col min="3573" max="3573" width="0" style="365" hidden="1" customWidth="1"/>
    <col min="3574" max="3574" width="15.5703125" style="365" customWidth="1"/>
    <col min="3575" max="3575" width="44.5703125" style="365" customWidth="1"/>
    <col min="3576" max="3576" width="14.28515625" style="365" bestFit="1" customWidth="1"/>
    <col min="3577" max="3577" width="0" style="365" hidden="1" customWidth="1"/>
    <col min="3578" max="3578" width="18.140625" style="365" customWidth="1"/>
    <col min="3579" max="3579" width="0" style="365" hidden="1" customWidth="1"/>
    <col min="3580" max="3580" width="14" style="365" customWidth="1"/>
    <col min="3581" max="3581" width="0" style="365" hidden="1" customWidth="1"/>
    <col min="3582" max="3582" width="20.85546875" style="365" customWidth="1"/>
    <col min="3583" max="3583" width="0" style="365" hidden="1" customWidth="1"/>
    <col min="3584" max="3584" width="13.28515625" style="365" customWidth="1"/>
    <col min="3585" max="3585" width="0" style="365" hidden="1" customWidth="1"/>
    <col min="3586" max="3586" width="15" style="365" customWidth="1"/>
    <col min="3587" max="3587" width="0" style="365" hidden="1" customWidth="1"/>
    <col min="3588" max="3588" width="13.28515625" style="365" customWidth="1"/>
    <col min="3589" max="3589" width="0" style="365" hidden="1" customWidth="1"/>
    <col min="3590" max="3590" width="20.140625" style="365" customWidth="1"/>
    <col min="3591" max="3591" width="14.42578125" style="365" bestFit="1" customWidth="1"/>
    <col min="3592" max="3592" width="14" style="365" bestFit="1" customWidth="1"/>
    <col min="3593" max="3593" width="12.28515625" style="365" bestFit="1" customWidth="1"/>
    <col min="3594" max="3618" width="9.140625" style="365" customWidth="1"/>
    <col min="3619" max="3813" width="8.85546875" style="365"/>
    <col min="3814" max="3814" width="44.5703125" style="365" customWidth="1"/>
    <col min="3815" max="3815" width="14.28515625" style="365" bestFit="1" customWidth="1"/>
    <col min="3816" max="3816" width="1.7109375" style="365" customWidth="1"/>
    <col min="3817" max="3817" width="14.85546875" style="365" customWidth="1"/>
    <col min="3818" max="3818" width="0" style="365" hidden="1" customWidth="1"/>
    <col min="3819" max="3819" width="17.42578125" style="365" customWidth="1"/>
    <col min="3820" max="3820" width="0" style="365" hidden="1" customWidth="1"/>
    <col min="3821" max="3821" width="12.85546875" style="365" customWidth="1"/>
    <col min="3822" max="3822" width="0" style="365" hidden="1" customWidth="1"/>
    <col min="3823" max="3823" width="14.42578125" style="365" customWidth="1"/>
    <col min="3824" max="3824" width="0" style="365" hidden="1" customWidth="1"/>
    <col min="3825" max="3825" width="17.42578125" style="365" customWidth="1"/>
    <col min="3826" max="3826" width="0" style="365" hidden="1" customWidth="1"/>
    <col min="3827" max="3827" width="14" style="365" customWidth="1"/>
    <col min="3828" max="3828" width="14.28515625" style="365" bestFit="1" customWidth="1"/>
    <col min="3829" max="3829" width="0" style="365" hidden="1" customWidth="1"/>
    <col min="3830" max="3830" width="15.5703125" style="365" customWidth="1"/>
    <col min="3831" max="3831" width="44.5703125" style="365" customWidth="1"/>
    <col min="3832" max="3832" width="14.28515625" style="365" bestFit="1" customWidth="1"/>
    <col min="3833" max="3833" width="0" style="365" hidden="1" customWidth="1"/>
    <col min="3834" max="3834" width="18.140625" style="365" customWidth="1"/>
    <col min="3835" max="3835" width="0" style="365" hidden="1" customWidth="1"/>
    <col min="3836" max="3836" width="14" style="365" customWidth="1"/>
    <col min="3837" max="3837" width="0" style="365" hidden="1" customWidth="1"/>
    <col min="3838" max="3838" width="20.85546875" style="365" customWidth="1"/>
    <col min="3839" max="3839" width="0" style="365" hidden="1" customWidth="1"/>
    <col min="3840" max="3840" width="13.28515625" style="365" customWidth="1"/>
    <col min="3841" max="3841" width="0" style="365" hidden="1" customWidth="1"/>
    <col min="3842" max="3842" width="15" style="365" customWidth="1"/>
    <col min="3843" max="3843" width="0" style="365" hidden="1" customWidth="1"/>
    <col min="3844" max="3844" width="13.28515625" style="365" customWidth="1"/>
    <col min="3845" max="3845" width="0" style="365" hidden="1" customWidth="1"/>
    <col min="3846" max="3846" width="20.140625" style="365" customWidth="1"/>
    <col min="3847" max="3847" width="14.42578125" style="365" bestFit="1" customWidth="1"/>
    <col min="3848" max="3848" width="14" style="365" bestFit="1" customWidth="1"/>
    <col min="3849" max="3849" width="12.28515625" style="365" bestFit="1" customWidth="1"/>
    <col min="3850" max="3874" width="9.140625" style="365" customWidth="1"/>
    <col min="3875" max="4069" width="8.85546875" style="365"/>
    <col min="4070" max="4070" width="44.5703125" style="365" customWidth="1"/>
    <col min="4071" max="4071" width="14.28515625" style="365" bestFit="1" customWidth="1"/>
    <col min="4072" max="4072" width="1.7109375" style="365" customWidth="1"/>
    <col min="4073" max="4073" width="14.85546875" style="365" customWidth="1"/>
    <col min="4074" max="4074" width="0" style="365" hidden="1" customWidth="1"/>
    <col min="4075" max="4075" width="17.42578125" style="365" customWidth="1"/>
    <col min="4076" max="4076" width="0" style="365" hidden="1" customWidth="1"/>
    <col min="4077" max="4077" width="12.85546875" style="365" customWidth="1"/>
    <col min="4078" max="4078" width="0" style="365" hidden="1" customWidth="1"/>
    <col min="4079" max="4079" width="14.42578125" style="365" customWidth="1"/>
    <col min="4080" max="4080" width="0" style="365" hidden="1" customWidth="1"/>
    <col min="4081" max="4081" width="17.42578125" style="365" customWidth="1"/>
    <col min="4082" max="4082" width="0" style="365" hidden="1" customWidth="1"/>
    <col min="4083" max="4083" width="14" style="365" customWidth="1"/>
    <col min="4084" max="4084" width="14.28515625" style="365" bestFit="1" customWidth="1"/>
    <col min="4085" max="4085" width="0" style="365" hidden="1" customWidth="1"/>
    <col min="4086" max="4086" width="15.5703125" style="365" customWidth="1"/>
    <col min="4087" max="4087" width="44.5703125" style="365" customWidth="1"/>
    <col min="4088" max="4088" width="14.28515625" style="365" bestFit="1" customWidth="1"/>
    <col min="4089" max="4089" width="0" style="365" hidden="1" customWidth="1"/>
    <col min="4090" max="4090" width="18.140625" style="365" customWidth="1"/>
    <col min="4091" max="4091" width="0" style="365" hidden="1" customWidth="1"/>
    <col min="4092" max="4092" width="14" style="365" customWidth="1"/>
    <col min="4093" max="4093" width="0" style="365" hidden="1" customWidth="1"/>
    <col min="4094" max="4094" width="20.85546875" style="365" customWidth="1"/>
    <col min="4095" max="4095" width="0" style="365" hidden="1" customWidth="1"/>
    <col min="4096" max="4096" width="13.28515625" style="365" customWidth="1"/>
    <col min="4097" max="4097" width="0" style="365" hidden="1" customWidth="1"/>
    <col min="4098" max="4098" width="15" style="365" customWidth="1"/>
    <col min="4099" max="4099" width="0" style="365" hidden="1" customWidth="1"/>
    <col min="4100" max="4100" width="13.28515625" style="365" customWidth="1"/>
    <col min="4101" max="4101" width="0" style="365" hidden="1" customWidth="1"/>
    <col min="4102" max="4102" width="20.140625" style="365" customWidth="1"/>
    <col min="4103" max="4103" width="14.42578125" style="365" bestFit="1" customWidth="1"/>
    <col min="4104" max="4104" width="14" style="365" bestFit="1" customWidth="1"/>
    <col min="4105" max="4105" width="12.28515625" style="365" bestFit="1" customWidth="1"/>
    <col min="4106" max="4130" width="9.140625" style="365" customWidth="1"/>
    <col min="4131" max="4325" width="8.85546875" style="365"/>
    <col min="4326" max="4326" width="44.5703125" style="365" customWidth="1"/>
    <col min="4327" max="4327" width="14.28515625" style="365" bestFit="1" customWidth="1"/>
    <col min="4328" max="4328" width="1.7109375" style="365" customWidth="1"/>
    <col min="4329" max="4329" width="14.85546875" style="365" customWidth="1"/>
    <col min="4330" max="4330" width="0" style="365" hidden="1" customWidth="1"/>
    <col min="4331" max="4331" width="17.42578125" style="365" customWidth="1"/>
    <col min="4332" max="4332" width="0" style="365" hidden="1" customWidth="1"/>
    <col min="4333" max="4333" width="12.85546875" style="365" customWidth="1"/>
    <col min="4334" max="4334" width="0" style="365" hidden="1" customWidth="1"/>
    <col min="4335" max="4335" width="14.42578125" style="365" customWidth="1"/>
    <col min="4336" max="4336" width="0" style="365" hidden="1" customWidth="1"/>
    <col min="4337" max="4337" width="17.42578125" style="365" customWidth="1"/>
    <col min="4338" max="4338" width="0" style="365" hidden="1" customWidth="1"/>
    <col min="4339" max="4339" width="14" style="365" customWidth="1"/>
    <col min="4340" max="4340" width="14.28515625" style="365" bestFit="1" customWidth="1"/>
    <col min="4341" max="4341" width="0" style="365" hidden="1" customWidth="1"/>
    <col min="4342" max="4342" width="15.5703125" style="365" customWidth="1"/>
    <col min="4343" max="4343" width="44.5703125" style="365" customWidth="1"/>
    <col min="4344" max="4344" width="14.28515625" style="365" bestFit="1" customWidth="1"/>
    <col min="4345" max="4345" width="0" style="365" hidden="1" customWidth="1"/>
    <col min="4346" max="4346" width="18.140625" style="365" customWidth="1"/>
    <col min="4347" max="4347" width="0" style="365" hidden="1" customWidth="1"/>
    <col min="4348" max="4348" width="14" style="365" customWidth="1"/>
    <col min="4349" max="4349" width="0" style="365" hidden="1" customWidth="1"/>
    <col min="4350" max="4350" width="20.85546875" style="365" customWidth="1"/>
    <col min="4351" max="4351" width="0" style="365" hidden="1" customWidth="1"/>
    <col min="4352" max="4352" width="13.28515625" style="365" customWidth="1"/>
    <col min="4353" max="4353" width="0" style="365" hidden="1" customWidth="1"/>
    <col min="4354" max="4354" width="15" style="365" customWidth="1"/>
    <col min="4355" max="4355" width="0" style="365" hidden="1" customWidth="1"/>
    <col min="4356" max="4356" width="13.28515625" style="365" customWidth="1"/>
    <col min="4357" max="4357" width="0" style="365" hidden="1" customWidth="1"/>
    <col min="4358" max="4358" width="20.140625" style="365" customWidth="1"/>
    <col min="4359" max="4359" width="14.42578125" style="365" bestFit="1" customWidth="1"/>
    <col min="4360" max="4360" width="14" style="365" bestFit="1" customWidth="1"/>
    <col min="4361" max="4361" width="12.28515625" style="365" bestFit="1" customWidth="1"/>
    <col min="4362" max="4386" width="9.140625" style="365" customWidth="1"/>
    <col min="4387" max="4581" width="8.85546875" style="365"/>
    <col min="4582" max="4582" width="44.5703125" style="365" customWidth="1"/>
    <col min="4583" max="4583" width="14.28515625" style="365" bestFit="1" customWidth="1"/>
    <col min="4584" max="4584" width="1.7109375" style="365" customWidth="1"/>
    <col min="4585" max="4585" width="14.85546875" style="365" customWidth="1"/>
    <col min="4586" max="4586" width="0" style="365" hidden="1" customWidth="1"/>
    <col min="4587" max="4587" width="17.42578125" style="365" customWidth="1"/>
    <col min="4588" max="4588" width="0" style="365" hidden="1" customWidth="1"/>
    <col min="4589" max="4589" width="12.85546875" style="365" customWidth="1"/>
    <col min="4590" max="4590" width="0" style="365" hidden="1" customWidth="1"/>
    <col min="4591" max="4591" width="14.42578125" style="365" customWidth="1"/>
    <col min="4592" max="4592" width="0" style="365" hidden="1" customWidth="1"/>
    <col min="4593" max="4593" width="17.42578125" style="365" customWidth="1"/>
    <col min="4594" max="4594" width="0" style="365" hidden="1" customWidth="1"/>
    <col min="4595" max="4595" width="14" style="365" customWidth="1"/>
    <col min="4596" max="4596" width="14.28515625" style="365" bestFit="1" customWidth="1"/>
    <col min="4597" max="4597" width="0" style="365" hidden="1" customWidth="1"/>
    <col min="4598" max="4598" width="15.5703125" style="365" customWidth="1"/>
    <col min="4599" max="4599" width="44.5703125" style="365" customWidth="1"/>
    <col min="4600" max="4600" width="14.28515625" style="365" bestFit="1" customWidth="1"/>
    <col min="4601" max="4601" width="0" style="365" hidden="1" customWidth="1"/>
    <col min="4602" max="4602" width="18.140625" style="365" customWidth="1"/>
    <col min="4603" max="4603" width="0" style="365" hidden="1" customWidth="1"/>
    <col min="4604" max="4604" width="14" style="365" customWidth="1"/>
    <col min="4605" max="4605" width="0" style="365" hidden="1" customWidth="1"/>
    <col min="4606" max="4606" width="20.85546875" style="365" customWidth="1"/>
    <col min="4607" max="4607" width="0" style="365" hidden="1" customWidth="1"/>
    <col min="4608" max="4608" width="13.28515625" style="365" customWidth="1"/>
    <col min="4609" max="4609" width="0" style="365" hidden="1" customWidth="1"/>
    <col min="4610" max="4610" width="15" style="365" customWidth="1"/>
    <col min="4611" max="4611" width="0" style="365" hidden="1" customWidth="1"/>
    <col min="4612" max="4612" width="13.28515625" style="365" customWidth="1"/>
    <col min="4613" max="4613" width="0" style="365" hidden="1" customWidth="1"/>
    <col min="4614" max="4614" width="20.140625" style="365" customWidth="1"/>
    <col min="4615" max="4615" width="14.42578125" style="365" bestFit="1" customWidth="1"/>
    <col min="4616" max="4616" width="14" style="365" bestFit="1" customWidth="1"/>
    <col min="4617" max="4617" width="12.28515625" style="365" bestFit="1" customWidth="1"/>
    <col min="4618" max="4642" width="9.140625" style="365" customWidth="1"/>
    <col min="4643" max="4837" width="8.85546875" style="365"/>
    <col min="4838" max="4838" width="44.5703125" style="365" customWidth="1"/>
    <col min="4839" max="4839" width="14.28515625" style="365" bestFit="1" customWidth="1"/>
    <col min="4840" max="4840" width="1.7109375" style="365" customWidth="1"/>
    <col min="4841" max="4841" width="14.85546875" style="365" customWidth="1"/>
    <col min="4842" max="4842" width="0" style="365" hidden="1" customWidth="1"/>
    <col min="4843" max="4843" width="17.42578125" style="365" customWidth="1"/>
    <col min="4844" max="4844" width="0" style="365" hidden="1" customWidth="1"/>
    <col min="4845" max="4845" width="12.85546875" style="365" customWidth="1"/>
    <col min="4846" max="4846" width="0" style="365" hidden="1" customWidth="1"/>
    <col min="4847" max="4847" width="14.42578125" style="365" customWidth="1"/>
    <col min="4848" max="4848" width="0" style="365" hidden="1" customWidth="1"/>
    <col min="4849" max="4849" width="17.42578125" style="365" customWidth="1"/>
    <col min="4850" max="4850" width="0" style="365" hidden="1" customWidth="1"/>
    <col min="4851" max="4851" width="14" style="365" customWidth="1"/>
    <col min="4852" max="4852" width="14.28515625" style="365" bestFit="1" customWidth="1"/>
    <col min="4853" max="4853" width="0" style="365" hidden="1" customWidth="1"/>
    <col min="4854" max="4854" width="15.5703125" style="365" customWidth="1"/>
    <col min="4855" max="4855" width="44.5703125" style="365" customWidth="1"/>
    <col min="4856" max="4856" width="14.28515625" style="365" bestFit="1" customWidth="1"/>
    <col min="4857" max="4857" width="0" style="365" hidden="1" customWidth="1"/>
    <col min="4858" max="4858" width="18.140625" style="365" customWidth="1"/>
    <col min="4859" max="4859" width="0" style="365" hidden="1" customWidth="1"/>
    <col min="4860" max="4860" width="14" style="365" customWidth="1"/>
    <col min="4861" max="4861" width="0" style="365" hidden="1" customWidth="1"/>
    <col min="4862" max="4862" width="20.85546875" style="365" customWidth="1"/>
    <col min="4863" max="4863" width="0" style="365" hidden="1" customWidth="1"/>
    <col min="4864" max="4864" width="13.28515625" style="365" customWidth="1"/>
    <col min="4865" max="4865" width="0" style="365" hidden="1" customWidth="1"/>
    <col min="4866" max="4866" width="15" style="365" customWidth="1"/>
    <col min="4867" max="4867" width="0" style="365" hidden="1" customWidth="1"/>
    <col min="4868" max="4868" width="13.28515625" style="365" customWidth="1"/>
    <col min="4869" max="4869" width="0" style="365" hidden="1" customWidth="1"/>
    <col min="4870" max="4870" width="20.140625" style="365" customWidth="1"/>
    <col min="4871" max="4871" width="14.42578125" style="365" bestFit="1" customWidth="1"/>
    <col min="4872" max="4872" width="14" style="365" bestFit="1" customWidth="1"/>
    <col min="4873" max="4873" width="12.28515625" style="365" bestFit="1" customWidth="1"/>
    <col min="4874" max="4898" width="9.140625" style="365" customWidth="1"/>
    <col min="4899" max="5093" width="8.85546875" style="365"/>
    <col min="5094" max="5094" width="44.5703125" style="365" customWidth="1"/>
    <col min="5095" max="5095" width="14.28515625" style="365" bestFit="1" customWidth="1"/>
    <col min="5096" max="5096" width="1.7109375" style="365" customWidth="1"/>
    <col min="5097" max="5097" width="14.85546875" style="365" customWidth="1"/>
    <col min="5098" max="5098" width="0" style="365" hidden="1" customWidth="1"/>
    <col min="5099" max="5099" width="17.42578125" style="365" customWidth="1"/>
    <col min="5100" max="5100" width="0" style="365" hidden="1" customWidth="1"/>
    <col min="5101" max="5101" width="12.85546875" style="365" customWidth="1"/>
    <col min="5102" max="5102" width="0" style="365" hidden="1" customWidth="1"/>
    <col min="5103" max="5103" width="14.42578125" style="365" customWidth="1"/>
    <col min="5104" max="5104" width="0" style="365" hidden="1" customWidth="1"/>
    <col min="5105" max="5105" width="17.42578125" style="365" customWidth="1"/>
    <col min="5106" max="5106" width="0" style="365" hidden="1" customWidth="1"/>
    <col min="5107" max="5107" width="14" style="365" customWidth="1"/>
    <col min="5108" max="5108" width="14.28515625" style="365" bestFit="1" customWidth="1"/>
    <col min="5109" max="5109" width="0" style="365" hidden="1" customWidth="1"/>
    <col min="5110" max="5110" width="15.5703125" style="365" customWidth="1"/>
    <col min="5111" max="5111" width="44.5703125" style="365" customWidth="1"/>
    <col min="5112" max="5112" width="14.28515625" style="365" bestFit="1" customWidth="1"/>
    <col min="5113" max="5113" width="0" style="365" hidden="1" customWidth="1"/>
    <col min="5114" max="5114" width="18.140625" style="365" customWidth="1"/>
    <col min="5115" max="5115" width="0" style="365" hidden="1" customWidth="1"/>
    <col min="5116" max="5116" width="14" style="365" customWidth="1"/>
    <col min="5117" max="5117" width="0" style="365" hidden="1" customWidth="1"/>
    <col min="5118" max="5118" width="20.85546875" style="365" customWidth="1"/>
    <col min="5119" max="5119" width="0" style="365" hidden="1" customWidth="1"/>
    <col min="5120" max="5120" width="13.28515625" style="365" customWidth="1"/>
    <col min="5121" max="5121" width="0" style="365" hidden="1" customWidth="1"/>
    <col min="5122" max="5122" width="15" style="365" customWidth="1"/>
    <col min="5123" max="5123" width="0" style="365" hidden="1" customWidth="1"/>
    <col min="5124" max="5124" width="13.28515625" style="365" customWidth="1"/>
    <col min="5125" max="5125" width="0" style="365" hidden="1" customWidth="1"/>
    <col min="5126" max="5126" width="20.140625" style="365" customWidth="1"/>
    <col min="5127" max="5127" width="14.42578125" style="365" bestFit="1" customWidth="1"/>
    <col min="5128" max="5128" width="14" style="365" bestFit="1" customWidth="1"/>
    <col min="5129" max="5129" width="12.28515625" style="365" bestFit="1" customWidth="1"/>
    <col min="5130" max="5154" width="9.140625" style="365" customWidth="1"/>
    <col min="5155" max="5349" width="8.85546875" style="365"/>
    <col min="5350" max="5350" width="44.5703125" style="365" customWidth="1"/>
    <col min="5351" max="5351" width="14.28515625" style="365" bestFit="1" customWidth="1"/>
    <col min="5352" max="5352" width="1.7109375" style="365" customWidth="1"/>
    <col min="5353" max="5353" width="14.85546875" style="365" customWidth="1"/>
    <col min="5354" max="5354" width="0" style="365" hidden="1" customWidth="1"/>
    <col min="5355" max="5355" width="17.42578125" style="365" customWidth="1"/>
    <col min="5356" max="5356" width="0" style="365" hidden="1" customWidth="1"/>
    <col min="5357" max="5357" width="12.85546875" style="365" customWidth="1"/>
    <col min="5358" max="5358" width="0" style="365" hidden="1" customWidth="1"/>
    <col min="5359" max="5359" width="14.42578125" style="365" customWidth="1"/>
    <col min="5360" max="5360" width="0" style="365" hidden="1" customWidth="1"/>
    <col min="5361" max="5361" width="17.42578125" style="365" customWidth="1"/>
    <col min="5362" max="5362" width="0" style="365" hidden="1" customWidth="1"/>
    <col min="5363" max="5363" width="14" style="365" customWidth="1"/>
    <col min="5364" max="5364" width="14.28515625" style="365" bestFit="1" customWidth="1"/>
    <col min="5365" max="5365" width="0" style="365" hidden="1" customWidth="1"/>
    <col min="5366" max="5366" width="15.5703125" style="365" customWidth="1"/>
    <col min="5367" max="5367" width="44.5703125" style="365" customWidth="1"/>
    <col min="5368" max="5368" width="14.28515625" style="365" bestFit="1" customWidth="1"/>
    <col min="5369" max="5369" width="0" style="365" hidden="1" customWidth="1"/>
    <col min="5370" max="5370" width="18.140625" style="365" customWidth="1"/>
    <col min="5371" max="5371" width="0" style="365" hidden="1" customWidth="1"/>
    <col min="5372" max="5372" width="14" style="365" customWidth="1"/>
    <col min="5373" max="5373" width="0" style="365" hidden="1" customWidth="1"/>
    <col min="5374" max="5374" width="20.85546875" style="365" customWidth="1"/>
    <col min="5375" max="5375" width="0" style="365" hidden="1" customWidth="1"/>
    <col min="5376" max="5376" width="13.28515625" style="365" customWidth="1"/>
    <col min="5377" max="5377" width="0" style="365" hidden="1" customWidth="1"/>
    <col min="5378" max="5378" width="15" style="365" customWidth="1"/>
    <col min="5379" max="5379" width="0" style="365" hidden="1" customWidth="1"/>
    <col min="5380" max="5380" width="13.28515625" style="365" customWidth="1"/>
    <col min="5381" max="5381" width="0" style="365" hidden="1" customWidth="1"/>
    <col min="5382" max="5382" width="20.140625" style="365" customWidth="1"/>
    <col min="5383" max="5383" width="14.42578125" style="365" bestFit="1" customWidth="1"/>
    <col min="5384" max="5384" width="14" style="365" bestFit="1" customWidth="1"/>
    <col min="5385" max="5385" width="12.28515625" style="365" bestFit="1" customWidth="1"/>
    <col min="5386" max="5410" width="9.140625" style="365" customWidth="1"/>
    <col min="5411" max="5605" width="8.85546875" style="365"/>
    <col min="5606" max="5606" width="44.5703125" style="365" customWidth="1"/>
    <col min="5607" max="5607" width="14.28515625" style="365" bestFit="1" customWidth="1"/>
    <col min="5608" max="5608" width="1.7109375" style="365" customWidth="1"/>
    <col min="5609" max="5609" width="14.85546875" style="365" customWidth="1"/>
    <col min="5610" max="5610" width="0" style="365" hidden="1" customWidth="1"/>
    <col min="5611" max="5611" width="17.42578125" style="365" customWidth="1"/>
    <col min="5612" max="5612" width="0" style="365" hidden="1" customWidth="1"/>
    <col min="5613" max="5613" width="12.85546875" style="365" customWidth="1"/>
    <col min="5614" max="5614" width="0" style="365" hidden="1" customWidth="1"/>
    <col min="5615" max="5615" width="14.42578125" style="365" customWidth="1"/>
    <col min="5616" max="5616" width="0" style="365" hidden="1" customWidth="1"/>
    <col min="5617" max="5617" width="17.42578125" style="365" customWidth="1"/>
    <col min="5618" max="5618" width="0" style="365" hidden="1" customWidth="1"/>
    <col min="5619" max="5619" width="14" style="365" customWidth="1"/>
    <col min="5620" max="5620" width="14.28515625" style="365" bestFit="1" customWidth="1"/>
    <col min="5621" max="5621" width="0" style="365" hidden="1" customWidth="1"/>
    <col min="5622" max="5622" width="15.5703125" style="365" customWidth="1"/>
    <col min="5623" max="5623" width="44.5703125" style="365" customWidth="1"/>
    <col min="5624" max="5624" width="14.28515625" style="365" bestFit="1" customWidth="1"/>
    <col min="5625" max="5625" width="0" style="365" hidden="1" customWidth="1"/>
    <col min="5626" max="5626" width="18.140625" style="365" customWidth="1"/>
    <col min="5627" max="5627" width="0" style="365" hidden="1" customWidth="1"/>
    <col min="5628" max="5628" width="14" style="365" customWidth="1"/>
    <col min="5629" max="5629" width="0" style="365" hidden="1" customWidth="1"/>
    <col min="5630" max="5630" width="20.85546875" style="365" customWidth="1"/>
    <col min="5631" max="5631" width="0" style="365" hidden="1" customWidth="1"/>
    <col min="5632" max="5632" width="13.28515625" style="365" customWidth="1"/>
    <col min="5633" max="5633" width="0" style="365" hidden="1" customWidth="1"/>
    <col min="5634" max="5634" width="15" style="365" customWidth="1"/>
    <col min="5635" max="5635" width="0" style="365" hidden="1" customWidth="1"/>
    <col min="5636" max="5636" width="13.28515625" style="365" customWidth="1"/>
    <col min="5637" max="5637" width="0" style="365" hidden="1" customWidth="1"/>
    <col min="5638" max="5638" width="20.140625" style="365" customWidth="1"/>
    <col min="5639" max="5639" width="14.42578125" style="365" bestFit="1" customWidth="1"/>
    <col min="5640" max="5640" width="14" style="365" bestFit="1" customWidth="1"/>
    <col min="5641" max="5641" width="12.28515625" style="365" bestFit="1" customWidth="1"/>
    <col min="5642" max="5666" width="9.140625" style="365" customWidth="1"/>
    <col min="5667" max="5861" width="8.85546875" style="365"/>
    <col min="5862" max="5862" width="44.5703125" style="365" customWidth="1"/>
    <col min="5863" max="5863" width="14.28515625" style="365" bestFit="1" customWidth="1"/>
    <col min="5864" max="5864" width="1.7109375" style="365" customWidth="1"/>
    <col min="5865" max="5865" width="14.85546875" style="365" customWidth="1"/>
    <col min="5866" max="5866" width="0" style="365" hidden="1" customWidth="1"/>
    <col min="5867" max="5867" width="17.42578125" style="365" customWidth="1"/>
    <col min="5868" max="5868" width="0" style="365" hidden="1" customWidth="1"/>
    <col min="5869" max="5869" width="12.85546875" style="365" customWidth="1"/>
    <col min="5870" max="5870" width="0" style="365" hidden="1" customWidth="1"/>
    <col min="5871" max="5871" width="14.42578125" style="365" customWidth="1"/>
    <col min="5872" max="5872" width="0" style="365" hidden="1" customWidth="1"/>
    <col min="5873" max="5873" width="17.42578125" style="365" customWidth="1"/>
    <col min="5874" max="5874" width="0" style="365" hidden="1" customWidth="1"/>
    <col min="5875" max="5875" width="14" style="365" customWidth="1"/>
    <col min="5876" max="5876" width="14.28515625" style="365" bestFit="1" customWidth="1"/>
    <col min="5877" max="5877" width="0" style="365" hidden="1" customWidth="1"/>
    <col min="5878" max="5878" width="15.5703125" style="365" customWidth="1"/>
    <col min="5879" max="5879" width="44.5703125" style="365" customWidth="1"/>
    <col min="5880" max="5880" width="14.28515625" style="365" bestFit="1" customWidth="1"/>
    <col min="5881" max="5881" width="0" style="365" hidden="1" customWidth="1"/>
    <col min="5882" max="5882" width="18.140625" style="365" customWidth="1"/>
    <col min="5883" max="5883" width="0" style="365" hidden="1" customWidth="1"/>
    <col min="5884" max="5884" width="14" style="365" customWidth="1"/>
    <col min="5885" max="5885" width="0" style="365" hidden="1" customWidth="1"/>
    <col min="5886" max="5886" width="20.85546875" style="365" customWidth="1"/>
    <col min="5887" max="5887" width="0" style="365" hidden="1" customWidth="1"/>
    <col min="5888" max="5888" width="13.28515625" style="365" customWidth="1"/>
    <col min="5889" max="5889" width="0" style="365" hidden="1" customWidth="1"/>
    <col min="5890" max="5890" width="15" style="365" customWidth="1"/>
    <col min="5891" max="5891" width="0" style="365" hidden="1" customWidth="1"/>
    <col min="5892" max="5892" width="13.28515625" style="365" customWidth="1"/>
    <col min="5893" max="5893" width="0" style="365" hidden="1" customWidth="1"/>
    <col min="5894" max="5894" width="20.140625" style="365" customWidth="1"/>
    <col min="5895" max="5895" width="14.42578125" style="365" bestFit="1" customWidth="1"/>
    <col min="5896" max="5896" width="14" style="365" bestFit="1" customWidth="1"/>
    <col min="5897" max="5897" width="12.28515625" style="365" bestFit="1" customWidth="1"/>
    <col min="5898" max="5922" width="9.140625" style="365" customWidth="1"/>
    <col min="5923" max="6117" width="8.85546875" style="365"/>
    <col min="6118" max="6118" width="44.5703125" style="365" customWidth="1"/>
    <col min="6119" max="6119" width="14.28515625" style="365" bestFit="1" customWidth="1"/>
    <col min="6120" max="6120" width="1.7109375" style="365" customWidth="1"/>
    <col min="6121" max="6121" width="14.85546875" style="365" customWidth="1"/>
    <col min="6122" max="6122" width="0" style="365" hidden="1" customWidth="1"/>
    <col min="6123" max="6123" width="17.42578125" style="365" customWidth="1"/>
    <col min="6124" max="6124" width="0" style="365" hidden="1" customWidth="1"/>
    <col min="6125" max="6125" width="12.85546875" style="365" customWidth="1"/>
    <col min="6126" max="6126" width="0" style="365" hidden="1" customWidth="1"/>
    <col min="6127" max="6127" width="14.42578125" style="365" customWidth="1"/>
    <col min="6128" max="6128" width="0" style="365" hidden="1" customWidth="1"/>
    <col min="6129" max="6129" width="17.42578125" style="365" customWidth="1"/>
    <col min="6130" max="6130" width="0" style="365" hidden="1" customWidth="1"/>
    <col min="6131" max="6131" width="14" style="365" customWidth="1"/>
    <col min="6132" max="6132" width="14.28515625" style="365" bestFit="1" customWidth="1"/>
    <col min="6133" max="6133" width="0" style="365" hidden="1" customWidth="1"/>
    <col min="6134" max="6134" width="15.5703125" style="365" customWidth="1"/>
    <col min="6135" max="6135" width="44.5703125" style="365" customWidth="1"/>
    <col min="6136" max="6136" width="14.28515625" style="365" bestFit="1" customWidth="1"/>
    <col min="6137" max="6137" width="0" style="365" hidden="1" customWidth="1"/>
    <col min="6138" max="6138" width="18.140625" style="365" customWidth="1"/>
    <col min="6139" max="6139" width="0" style="365" hidden="1" customWidth="1"/>
    <col min="6140" max="6140" width="14" style="365" customWidth="1"/>
    <col min="6141" max="6141" width="0" style="365" hidden="1" customWidth="1"/>
    <col min="6142" max="6142" width="20.85546875" style="365" customWidth="1"/>
    <col min="6143" max="6143" width="0" style="365" hidden="1" customWidth="1"/>
    <col min="6144" max="6144" width="13.28515625" style="365" customWidth="1"/>
    <col min="6145" max="6145" width="0" style="365" hidden="1" customWidth="1"/>
    <col min="6146" max="6146" width="15" style="365" customWidth="1"/>
    <col min="6147" max="6147" width="0" style="365" hidden="1" customWidth="1"/>
    <col min="6148" max="6148" width="13.28515625" style="365" customWidth="1"/>
    <col min="6149" max="6149" width="0" style="365" hidden="1" customWidth="1"/>
    <col min="6150" max="6150" width="20.140625" style="365" customWidth="1"/>
    <col min="6151" max="6151" width="14.42578125" style="365" bestFit="1" customWidth="1"/>
    <col min="6152" max="6152" width="14" style="365" bestFit="1" customWidth="1"/>
    <col min="6153" max="6153" width="12.28515625" style="365" bestFit="1" customWidth="1"/>
    <col min="6154" max="6178" width="9.140625" style="365" customWidth="1"/>
    <col min="6179" max="6373" width="8.85546875" style="365"/>
    <col min="6374" max="6374" width="44.5703125" style="365" customWidth="1"/>
    <col min="6375" max="6375" width="14.28515625" style="365" bestFit="1" customWidth="1"/>
    <col min="6376" max="6376" width="1.7109375" style="365" customWidth="1"/>
    <col min="6377" max="6377" width="14.85546875" style="365" customWidth="1"/>
    <col min="6378" max="6378" width="0" style="365" hidden="1" customWidth="1"/>
    <col min="6379" max="6379" width="17.42578125" style="365" customWidth="1"/>
    <col min="6380" max="6380" width="0" style="365" hidden="1" customWidth="1"/>
    <col min="6381" max="6381" width="12.85546875" style="365" customWidth="1"/>
    <col min="6382" max="6382" width="0" style="365" hidden="1" customWidth="1"/>
    <col min="6383" max="6383" width="14.42578125" style="365" customWidth="1"/>
    <col min="6384" max="6384" width="0" style="365" hidden="1" customWidth="1"/>
    <col min="6385" max="6385" width="17.42578125" style="365" customWidth="1"/>
    <col min="6386" max="6386" width="0" style="365" hidden="1" customWidth="1"/>
    <col min="6387" max="6387" width="14" style="365" customWidth="1"/>
    <col min="6388" max="6388" width="14.28515625" style="365" bestFit="1" customWidth="1"/>
    <col min="6389" max="6389" width="0" style="365" hidden="1" customWidth="1"/>
    <col min="6390" max="6390" width="15.5703125" style="365" customWidth="1"/>
    <col min="6391" max="6391" width="44.5703125" style="365" customWidth="1"/>
    <col min="6392" max="6392" width="14.28515625" style="365" bestFit="1" customWidth="1"/>
    <col min="6393" max="6393" width="0" style="365" hidden="1" customWidth="1"/>
    <col min="6394" max="6394" width="18.140625" style="365" customWidth="1"/>
    <col min="6395" max="6395" width="0" style="365" hidden="1" customWidth="1"/>
    <col min="6396" max="6396" width="14" style="365" customWidth="1"/>
    <col min="6397" max="6397" width="0" style="365" hidden="1" customWidth="1"/>
    <col min="6398" max="6398" width="20.85546875" style="365" customWidth="1"/>
    <col min="6399" max="6399" width="0" style="365" hidden="1" customWidth="1"/>
    <col min="6400" max="6400" width="13.28515625" style="365" customWidth="1"/>
    <col min="6401" max="6401" width="0" style="365" hidden="1" customWidth="1"/>
    <col min="6402" max="6402" width="15" style="365" customWidth="1"/>
    <col min="6403" max="6403" width="0" style="365" hidden="1" customWidth="1"/>
    <col min="6404" max="6404" width="13.28515625" style="365" customWidth="1"/>
    <col min="6405" max="6405" width="0" style="365" hidden="1" customWidth="1"/>
    <col min="6406" max="6406" width="20.140625" style="365" customWidth="1"/>
    <col min="6407" max="6407" width="14.42578125" style="365" bestFit="1" customWidth="1"/>
    <col min="6408" max="6408" width="14" style="365" bestFit="1" customWidth="1"/>
    <col min="6409" max="6409" width="12.28515625" style="365" bestFit="1" customWidth="1"/>
    <col min="6410" max="6434" width="9.140625" style="365" customWidth="1"/>
    <col min="6435" max="6629" width="8.85546875" style="365"/>
    <col min="6630" max="6630" width="44.5703125" style="365" customWidth="1"/>
    <col min="6631" max="6631" width="14.28515625" style="365" bestFit="1" customWidth="1"/>
    <col min="6632" max="6632" width="1.7109375" style="365" customWidth="1"/>
    <col min="6633" max="6633" width="14.85546875" style="365" customWidth="1"/>
    <col min="6634" max="6634" width="0" style="365" hidden="1" customWidth="1"/>
    <col min="6635" max="6635" width="17.42578125" style="365" customWidth="1"/>
    <col min="6636" max="6636" width="0" style="365" hidden="1" customWidth="1"/>
    <col min="6637" max="6637" width="12.85546875" style="365" customWidth="1"/>
    <col min="6638" max="6638" width="0" style="365" hidden="1" customWidth="1"/>
    <col min="6639" max="6639" width="14.42578125" style="365" customWidth="1"/>
    <col min="6640" max="6640" width="0" style="365" hidden="1" customWidth="1"/>
    <col min="6641" max="6641" width="17.42578125" style="365" customWidth="1"/>
    <col min="6642" max="6642" width="0" style="365" hidden="1" customWidth="1"/>
    <col min="6643" max="6643" width="14" style="365" customWidth="1"/>
    <col min="6644" max="6644" width="14.28515625" style="365" bestFit="1" customWidth="1"/>
    <col min="6645" max="6645" width="0" style="365" hidden="1" customWidth="1"/>
    <col min="6646" max="6646" width="15.5703125" style="365" customWidth="1"/>
    <col min="6647" max="6647" width="44.5703125" style="365" customWidth="1"/>
    <col min="6648" max="6648" width="14.28515625" style="365" bestFit="1" customWidth="1"/>
    <col min="6649" max="6649" width="0" style="365" hidden="1" customWidth="1"/>
    <col min="6650" max="6650" width="18.140625" style="365" customWidth="1"/>
    <col min="6651" max="6651" width="0" style="365" hidden="1" customWidth="1"/>
    <col min="6652" max="6652" width="14" style="365" customWidth="1"/>
    <col min="6653" max="6653" width="0" style="365" hidden="1" customWidth="1"/>
    <col min="6654" max="6654" width="20.85546875" style="365" customWidth="1"/>
    <col min="6655" max="6655" width="0" style="365" hidden="1" customWidth="1"/>
    <col min="6656" max="6656" width="13.28515625" style="365" customWidth="1"/>
    <col min="6657" max="6657" width="0" style="365" hidden="1" customWidth="1"/>
    <col min="6658" max="6658" width="15" style="365" customWidth="1"/>
    <col min="6659" max="6659" width="0" style="365" hidden="1" customWidth="1"/>
    <col min="6660" max="6660" width="13.28515625" style="365" customWidth="1"/>
    <col min="6661" max="6661" width="0" style="365" hidden="1" customWidth="1"/>
    <col min="6662" max="6662" width="20.140625" style="365" customWidth="1"/>
    <col min="6663" max="6663" width="14.42578125" style="365" bestFit="1" customWidth="1"/>
    <col min="6664" max="6664" width="14" style="365" bestFit="1" customWidth="1"/>
    <col min="6665" max="6665" width="12.28515625" style="365" bestFit="1" customWidth="1"/>
    <col min="6666" max="6690" width="9.140625" style="365" customWidth="1"/>
    <col min="6691" max="6885" width="8.85546875" style="365"/>
    <col min="6886" max="6886" width="44.5703125" style="365" customWidth="1"/>
    <col min="6887" max="6887" width="14.28515625" style="365" bestFit="1" customWidth="1"/>
    <col min="6888" max="6888" width="1.7109375" style="365" customWidth="1"/>
    <col min="6889" max="6889" width="14.85546875" style="365" customWidth="1"/>
    <col min="6890" max="6890" width="0" style="365" hidden="1" customWidth="1"/>
    <col min="6891" max="6891" width="17.42578125" style="365" customWidth="1"/>
    <col min="6892" max="6892" width="0" style="365" hidden="1" customWidth="1"/>
    <col min="6893" max="6893" width="12.85546875" style="365" customWidth="1"/>
    <col min="6894" max="6894" width="0" style="365" hidden="1" customWidth="1"/>
    <col min="6895" max="6895" width="14.42578125" style="365" customWidth="1"/>
    <col min="6896" max="6896" width="0" style="365" hidden="1" customWidth="1"/>
    <col min="6897" max="6897" width="17.42578125" style="365" customWidth="1"/>
    <col min="6898" max="6898" width="0" style="365" hidden="1" customWidth="1"/>
    <col min="6899" max="6899" width="14" style="365" customWidth="1"/>
    <col min="6900" max="6900" width="14.28515625" style="365" bestFit="1" customWidth="1"/>
    <col min="6901" max="6901" width="0" style="365" hidden="1" customWidth="1"/>
    <col min="6902" max="6902" width="15.5703125" style="365" customWidth="1"/>
    <col min="6903" max="6903" width="44.5703125" style="365" customWidth="1"/>
    <col min="6904" max="6904" width="14.28515625" style="365" bestFit="1" customWidth="1"/>
    <col min="6905" max="6905" width="0" style="365" hidden="1" customWidth="1"/>
    <col min="6906" max="6906" width="18.140625" style="365" customWidth="1"/>
    <col min="6907" max="6907" width="0" style="365" hidden="1" customWidth="1"/>
    <col min="6908" max="6908" width="14" style="365" customWidth="1"/>
    <col min="6909" max="6909" width="0" style="365" hidden="1" customWidth="1"/>
    <col min="6910" max="6910" width="20.85546875" style="365" customWidth="1"/>
    <col min="6911" max="6911" width="0" style="365" hidden="1" customWidth="1"/>
    <col min="6912" max="6912" width="13.28515625" style="365" customWidth="1"/>
    <col min="6913" max="6913" width="0" style="365" hidden="1" customWidth="1"/>
    <col min="6914" max="6914" width="15" style="365" customWidth="1"/>
    <col min="6915" max="6915" width="0" style="365" hidden="1" customWidth="1"/>
    <col min="6916" max="6916" width="13.28515625" style="365" customWidth="1"/>
    <col min="6917" max="6917" width="0" style="365" hidden="1" customWidth="1"/>
    <col min="6918" max="6918" width="20.140625" style="365" customWidth="1"/>
    <col min="6919" max="6919" width="14.42578125" style="365" bestFit="1" customWidth="1"/>
    <col min="6920" max="6920" width="14" style="365" bestFit="1" customWidth="1"/>
    <col min="6921" max="6921" width="12.28515625" style="365" bestFit="1" customWidth="1"/>
    <col min="6922" max="6946" width="9.140625" style="365" customWidth="1"/>
    <col min="6947" max="7141" width="8.85546875" style="365"/>
    <col min="7142" max="7142" width="44.5703125" style="365" customWidth="1"/>
    <col min="7143" max="7143" width="14.28515625" style="365" bestFit="1" customWidth="1"/>
    <col min="7144" max="7144" width="1.7109375" style="365" customWidth="1"/>
    <col min="7145" max="7145" width="14.85546875" style="365" customWidth="1"/>
    <col min="7146" max="7146" width="0" style="365" hidden="1" customWidth="1"/>
    <col min="7147" max="7147" width="17.42578125" style="365" customWidth="1"/>
    <col min="7148" max="7148" width="0" style="365" hidden="1" customWidth="1"/>
    <col min="7149" max="7149" width="12.85546875" style="365" customWidth="1"/>
    <col min="7150" max="7150" width="0" style="365" hidden="1" customWidth="1"/>
    <col min="7151" max="7151" width="14.42578125" style="365" customWidth="1"/>
    <col min="7152" max="7152" width="0" style="365" hidden="1" customWidth="1"/>
    <col min="7153" max="7153" width="17.42578125" style="365" customWidth="1"/>
    <col min="7154" max="7154" width="0" style="365" hidden="1" customWidth="1"/>
    <col min="7155" max="7155" width="14" style="365" customWidth="1"/>
    <col min="7156" max="7156" width="14.28515625" style="365" bestFit="1" customWidth="1"/>
    <col min="7157" max="7157" width="0" style="365" hidden="1" customWidth="1"/>
    <col min="7158" max="7158" width="15.5703125" style="365" customWidth="1"/>
    <col min="7159" max="7159" width="44.5703125" style="365" customWidth="1"/>
    <col min="7160" max="7160" width="14.28515625" style="365" bestFit="1" customWidth="1"/>
    <col min="7161" max="7161" width="0" style="365" hidden="1" customWidth="1"/>
    <col min="7162" max="7162" width="18.140625" style="365" customWidth="1"/>
    <col min="7163" max="7163" width="0" style="365" hidden="1" customWidth="1"/>
    <col min="7164" max="7164" width="14" style="365" customWidth="1"/>
    <col min="7165" max="7165" width="0" style="365" hidden="1" customWidth="1"/>
    <col min="7166" max="7166" width="20.85546875" style="365" customWidth="1"/>
    <col min="7167" max="7167" width="0" style="365" hidden="1" customWidth="1"/>
    <col min="7168" max="7168" width="13.28515625" style="365" customWidth="1"/>
    <col min="7169" max="7169" width="0" style="365" hidden="1" customWidth="1"/>
    <col min="7170" max="7170" width="15" style="365" customWidth="1"/>
    <col min="7171" max="7171" width="0" style="365" hidden="1" customWidth="1"/>
    <col min="7172" max="7172" width="13.28515625" style="365" customWidth="1"/>
    <col min="7173" max="7173" width="0" style="365" hidden="1" customWidth="1"/>
    <col min="7174" max="7174" width="20.140625" style="365" customWidth="1"/>
    <col min="7175" max="7175" width="14.42578125" style="365" bestFit="1" customWidth="1"/>
    <col min="7176" max="7176" width="14" style="365" bestFit="1" customWidth="1"/>
    <col min="7177" max="7177" width="12.28515625" style="365" bestFit="1" customWidth="1"/>
    <col min="7178" max="7202" width="9.140625" style="365" customWidth="1"/>
    <col min="7203" max="7397" width="8.85546875" style="365"/>
    <col min="7398" max="7398" width="44.5703125" style="365" customWidth="1"/>
    <col min="7399" max="7399" width="14.28515625" style="365" bestFit="1" customWidth="1"/>
    <col min="7400" max="7400" width="1.7109375" style="365" customWidth="1"/>
    <col min="7401" max="7401" width="14.85546875" style="365" customWidth="1"/>
    <col min="7402" max="7402" width="0" style="365" hidden="1" customWidth="1"/>
    <col min="7403" max="7403" width="17.42578125" style="365" customWidth="1"/>
    <col min="7404" max="7404" width="0" style="365" hidden="1" customWidth="1"/>
    <col min="7405" max="7405" width="12.85546875" style="365" customWidth="1"/>
    <col min="7406" max="7406" width="0" style="365" hidden="1" customWidth="1"/>
    <col min="7407" max="7407" width="14.42578125" style="365" customWidth="1"/>
    <col min="7408" max="7408" width="0" style="365" hidden="1" customWidth="1"/>
    <col min="7409" max="7409" width="17.42578125" style="365" customWidth="1"/>
    <col min="7410" max="7410" width="0" style="365" hidden="1" customWidth="1"/>
    <col min="7411" max="7411" width="14" style="365" customWidth="1"/>
    <col min="7412" max="7412" width="14.28515625" style="365" bestFit="1" customWidth="1"/>
    <col min="7413" max="7413" width="0" style="365" hidden="1" customWidth="1"/>
    <col min="7414" max="7414" width="15.5703125" style="365" customWidth="1"/>
    <col min="7415" max="7415" width="44.5703125" style="365" customWidth="1"/>
    <col min="7416" max="7416" width="14.28515625" style="365" bestFit="1" customWidth="1"/>
    <col min="7417" max="7417" width="0" style="365" hidden="1" customWidth="1"/>
    <col min="7418" max="7418" width="18.140625" style="365" customWidth="1"/>
    <col min="7419" max="7419" width="0" style="365" hidden="1" customWidth="1"/>
    <col min="7420" max="7420" width="14" style="365" customWidth="1"/>
    <col min="7421" max="7421" width="0" style="365" hidden="1" customWidth="1"/>
    <col min="7422" max="7422" width="20.85546875" style="365" customWidth="1"/>
    <col min="7423" max="7423" width="0" style="365" hidden="1" customWidth="1"/>
    <col min="7424" max="7424" width="13.28515625" style="365" customWidth="1"/>
    <col min="7425" max="7425" width="0" style="365" hidden="1" customWidth="1"/>
    <col min="7426" max="7426" width="15" style="365" customWidth="1"/>
    <col min="7427" max="7427" width="0" style="365" hidden="1" customWidth="1"/>
    <col min="7428" max="7428" width="13.28515625" style="365" customWidth="1"/>
    <col min="7429" max="7429" width="0" style="365" hidden="1" customWidth="1"/>
    <col min="7430" max="7430" width="20.140625" style="365" customWidth="1"/>
    <col min="7431" max="7431" width="14.42578125" style="365" bestFit="1" customWidth="1"/>
    <col min="7432" max="7432" width="14" style="365" bestFit="1" customWidth="1"/>
    <col min="7433" max="7433" width="12.28515625" style="365" bestFit="1" customWidth="1"/>
    <col min="7434" max="7458" width="9.140625" style="365" customWidth="1"/>
    <col min="7459" max="7653" width="8.85546875" style="365"/>
    <col min="7654" max="7654" width="44.5703125" style="365" customWidth="1"/>
    <col min="7655" max="7655" width="14.28515625" style="365" bestFit="1" customWidth="1"/>
    <col min="7656" max="7656" width="1.7109375" style="365" customWidth="1"/>
    <col min="7657" max="7657" width="14.85546875" style="365" customWidth="1"/>
    <col min="7658" max="7658" width="0" style="365" hidden="1" customWidth="1"/>
    <col min="7659" max="7659" width="17.42578125" style="365" customWidth="1"/>
    <col min="7660" max="7660" width="0" style="365" hidden="1" customWidth="1"/>
    <col min="7661" max="7661" width="12.85546875" style="365" customWidth="1"/>
    <col min="7662" max="7662" width="0" style="365" hidden="1" customWidth="1"/>
    <col min="7663" max="7663" width="14.42578125" style="365" customWidth="1"/>
    <col min="7664" max="7664" width="0" style="365" hidden="1" customWidth="1"/>
    <col min="7665" max="7665" width="17.42578125" style="365" customWidth="1"/>
    <col min="7666" max="7666" width="0" style="365" hidden="1" customWidth="1"/>
    <col min="7667" max="7667" width="14" style="365" customWidth="1"/>
    <col min="7668" max="7668" width="14.28515625" style="365" bestFit="1" customWidth="1"/>
    <col min="7669" max="7669" width="0" style="365" hidden="1" customWidth="1"/>
    <col min="7670" max="7670" width="15.5703125" style="365" customWidth="1"/>
    <col min="7671" max="7671" width="44.5703125" style="365" customWidth="1"/>
    <col min="7672" max="7672" width="14.28515625" style="365" bestFit="1" customWidth="1"/>
    <col min="7673" max="7673" width="0" style="365" hidden="1" customWidth="1"/>
    <col min="7674" max="7674" width="18.140625" style="365" customWidth="1"/>
    <col min="7675" max="7675" width="0" style="365" hidden="1" customWidth="1"/>
    <col min="7676" max="7676" width="14" style="365" customWidth="1"/>
    <col min="7677" max="7677" width="0" style="365" hidden="1" customWidth="1"/>
    <col min="7678" max="7678" width="20.85546875" style="365" customWidth="1"/>
    <col min="7679" max="7679" width="0" style="365" hidden="1" customWidth="1"/>
    <col min="7680" max="7680" width="13.28515625" style="365" customWidth="1"/>
    <col min="7681" max="7681" width="0" style="365" hidden="1" customWidth="1"/>
    <col min="7682" max="7682" width="15" style="365" customWidth="1"/>
    <col min="7683" max="7683" width="0" style="365" hidden="1" customWidth="1"/>
    <col min="7684" max="7684" width="13.28515625" style="365" customWidth="1"/>
    <col min="7685" max="7685" width="0" style="365" hidden="1" customWidth="1"/>
    <col min="7686" max="7686" width="20.140625" style="365" customWidth="1"/>
    <col min="7687" max="7687" width="14.42578125" style="365" bestFit="1" customWidth="1"/>
    <col min="7688" max="7688" width="14" style="365" bestFit="1" customWidth="1"/>
    <col min="7689" max="7689" width="12.28515625" style="365" bestFit="1" customWidth="1"/>
    <col min="7690" max="7714" width="9.140625" style="365" customWidth="1"/>
    <col min="7715" max="7909" width="8.85546875" style="365"/>
    <col min="7910" max="7910" width="44.5703125" style="365" customWidth="1"/>
    <col min="7911" max="7911" width="14.28515625" style="365" bestFit="1" customWidth="1"/>
    <col min="7912" max="7912" width="1.7109375" style="365" customWidth="1"/>
    <col min="7913" max="7913" width="14.85546875" style="365" customWidth="1"/>
    <col min="7914" max="7914" width="0" style="365" hidden="1" customWidth="1"/>
    <col min="7915" max="7915" width="17.42578125" style="365" customWidth="1"/>
    <col min="7916" max="7916" width="0" style="365" hidden="1" customWidth="1"/>
    <col min="7917" max="7917" width="12.85546875" style="365" customWidth="1"/>
    <col min="7918" max="7918" width="0" style="365" hidden="1" customWidth="1"/>
    <col min="7919" max="7919" width="14.42578125" style="365" customWidth="1"/>
    <col min="7920" max="7920" width="0" style="365" hidden="1" customWidth="1"/>
    <col min="7921" max="7921" width="17.42578125" style="365" customWidth="1"/>
    <col min="7922" max="7922" width="0" style="365" hidden="1" customWidth="1"/>
    <col min="7923" max="7923" width="14" style="365" customWidth="1"/>
    <col min="7924" max="7924" width="14.28515625" style="365" bestFit="1" customWidth="1"/>
    <col min="7925" max="7925" width="0" style="365" hidden="1" customWidth="1"/>
    <col min="7926" max="7926" width="15.5703125" style="365" customWidth="1"/>
    <col min="7927" max="7927" width="44.5703125" style="365" customWidth="1"/>
    <col min="7928" max="7928" width="14.28515625" style="365" bestFit="1" customWidth="1"/>
    <col min="7929" max="7929" width="0" style="365" hidden="1" customWidth="1"/>
    <col min="7930" max="7930" width="18.140625" style="365" customWidth="1"/>
    <col min="7931" max="7931" width="0" style="365" hidden="1" customWidth="1"/>
    <col min="7932" max="7932" width="14" style="365" customWidth="1"/>
    <col min="7933" max="7933" width="0" style="365" hidden="1" customWidth="1"/>
    <col min="7934" max="7934" width="20.85546875" style="365" customWidth="1"/>
    <col min="7935" max="7935" width="0" style="365" hidden="1" customWidth="1"/>
    <col min="7936" max="7936" width="13.28515625" style="365" customWidth="1"/>
    <col min="7937" max="7937" width="0" style="365" hidden="1" customWidth="1"/>
    <col min="7938" max="7938" width="15" style="365" customWidth="1"/>
    <col min="7939" max="7939" width="0" style="365" hidden="1" customWidth="1"/>
    <col min="7940" max="7940" width="13.28515625" style="365" customWidth="1"/>
    <col min="7941" max="7941" width="0" style="365" hidden="1" customWidth="1"/>
    <col min="7942" max="7942" width="20.140625" style="365" customWidth="1"/>
    <col min="7943" max="7943" width="14.42578125" style="365" bestFit="1" customWidth="1"/>
    <col min="7944" max="7944" width="14" style="365" bestFit="1" customWidth="1"/>
    <col min="7945" max="7945" width="12.28515625" style="365" bestFit="1" customWidth="1"/>
    <col min="7946" max="7970" width="9.140625" style="365" customWidth="1"/>
    <col min="7971" max="8165" width="8.85546875" style="365"/>
    <col min="8166" max="8166" width="44.5703125" style="365" customWidth="1"/>
    <col min="8167" max="8167" width="14.28515625" style="365" bestFit="1" customWidth="1"/>
    <col min="8168" max="8168" width="1.7109375" style="365" customWidth="1"/>
    <col min="8169" max="8169" width="14.85546875" style="365" customWidth="1"/>
    <col min="8170" max="8170" width="0" style="365" hidden="1" customWidth="1"/>
    <col min="8171" max="8171" width="17.42578125" style="365" customWidth="1"/>
    <col min="8172" max="8172" width="0" style="365" hidden="1" customWidth="1"/>
    <col min="8173" max="8173" width="12.85546875" style="365" customWidth="1"/>
    <col min="8174" max="8174" width="0" style="365" hidden="1" customWidth="1"/>
    <col min="8175" max="8175" width="14.42578125" style="365" customWidth="1"/>
    <col min="8176" max="8176" width="0" style="365" hidden="1" customWidth="1"/>
    <col min="8177" max="8177" width="17.42578125" style="365" customWidth="1"/>
    <col min="8178" max="8178" width="0" style="365" hidden="1" customWidth="1"/>
    <col min="8179" max="8179" width="14" style="365" customWidth="1"/>
    <col min="8180" max="8180" width="14.28515625" style="365" bestFit="1" customWidth="1"/>
    <col min="8181" max="8181" width="0" style="365" hidden="1" customWidth="1"/>
    <col min="8182" max="8182" width="15.5703125" style="365" customWidth="1"/>
    <col min="8183" max="8183" width="44.5703125" style="365" customWidth="1"/>
    <col min="8184" max="8184" width="14.28515625" style="365" bestFit="1" customWidth="1"/>
    <col min="8185" max="8185" width="0" style="365" hidden="1" customWidth="1"/>
    <col min="8186" max="8186" width="18.140625" style="365" customWidth="1"/>
    <col min="8187" max="8187" width="0" style="365" hidden="1" customWidth="1"/>
    <col min="8188" max="8188" width="14" style="365" customWidth="1"/>
    <col min="8189" max="8189" width="0" style="365" hidden="1" customWidth="1"/>
    <col min="8190" max="8190" width="20.85546875" style="365" customWidth="1"/>
    <col min="8191" max="8191" width="0" style="365" hidden="1" customWidth="1"/>
    <col min="8192" max="8192" width="13.28515625" style="365" customWidth="1"/>
    <col min="8193" max="8193" width="0" style="365" hidden="1" customWidth="1"/>
    <col min="8194" max="8194" width="15" style="365" customWidth="1"/>
    <col min="8195" max="8195" width="0" style="365" hidden="1" customWidth="1"/>
    <col min="8196" max="8196" width="13.28515625" style="365" customWidth="1"/>
    <col min="8197" max="8197" width="0" style="365" hidden="1" customWidth="1"/>
    <col min="8198" max="8198" width="20.140625" style="365" customWidth="1"/>
    <col min="8199" max="8199" width="14.42578125" style="365" bestFit="1" customWidth="1"/>
    <col min="8200" max="8200" width="14" style="365" bestFit="1" customWidth="1"/>
    <col min="8201" max="8201" width="12.28515625" style="365" bestFit="1" customWidth="1"/>
    <col min="8202" max="8226" width="9.140625" style="365" customWidth="1"/>
    <col min="8227" max="8421" width="8.85546875" style="365"/>
    <col min="8422" max="8422" width="44.5703125" style="365" customWidth="1"/>
    <col min="8423" max="8423" width="14.28515625" style="365" bestFit="1" customWidth="1"/>
    <col min="8424" max="8424" width="1.7109375" style="365" customWidth="1"/>
    <col min="8425" max="8425" width="14.85546875" style="365" customWidth="1"/>
    <col min="8426" max="8426" width="0" style="365" hidden="1" customWidth="1"/>
    <col min="8427" max="8427" width="17.42578125" style="365" customWidth="1"/>
    <col min="8428" max="8428" width="0" style="365" hidden="1" customWidth="1"/>
    <col min="8429" max="8429" width="12.85546875" style="365" customWidth="1"/>
    <col min="8430" max="8430" width="0" style="365" hidden="1" customWidth="1"/>
    <col min="8431" max="8431" width="14.42578125" style="365" customWidth="1"/>
    <col min="8432" max="8432" width="0" style="365" hidden="1" customWidth="1"/>
    <col min="8433" max="8433" width="17.42578125" style="365" customWidth="1"/>
    <col min="8434" max="8434" width="0" style="365" hidden="1" customWidth="1"/>
    <col min="8435" max="8435" width="14" style="365" customWidth="1"/>
    <col min="8436" max="8436" width="14.28515625" style="365" bestFit="1" customWidth="1"/>
    <col min="8437" max="8437" width="0" style="365" hidden="1" customWidth="1"/>
    <col min="8438" max="8438" width="15.5703125" style="365" customWidth="1"/>
    <col min="8439" max="8439" width="44.5703125" style="365" customWidth="1"/>
    <col min="8440" max="8440" width="14.28515625" style="365" bestFit="1" customWidth="1"/>
    <col min="8441" max="8441" width="0" style="365" hidden="1" customWidth="1"/>
    <col min="8442" max="8442" width="18.140625" style="365" customWidth="1"/>
    <col min="8443" max="8443" width="0" style="365" hidden="1" customWidth="1"/>
    <col min="8444" max="8444" width="14" style="365" customWidth="1"/>
    <col min="8445" max="8445" width="0" style="365" hidden="1" customWidth="1"/>
    <col min="8446" max="8446" width="20.85546875" style="365" customWidth="1"/>
    <col min="8447" max="8447" width="0" style="365" hidden="1" customWidth="1"/>
    <col min="8448" max="8448" width="13.28515625" style="365" customWidth="1"/>
    <col min="8449" max="8449" width="0" style="365" hidden="1" customWidth="1"/>
    <col min="8450" max="8450" width="15" style="365" customWidth="1"/>
    <col min="8451" max="8451" width="0" style="365" hidden="1" customWidth="1"/>
    <col min="8452" max="8452" width="13.28515625" style="365" customWidth="1"/>
    <col min="8453" max="8453" width="0" style="365" hidden="1" customWidth="1"/>
    <col min="8454" max="8454" width="20.140625" style="365" customWidth="1"/>
    <col min="8455" max="8455" width="14.42578125" style="365" bestFit="1" customWidth="1"/>
    <col min="8456" max="8456" width="14" style="365" bestFit="1" customWidth="1"/>
    <col min="8457" max="8457" width="12.28515625" style="365" bestFit="1" customWidth="1"/>
    <col min="8458" max="8482" width="9.140625" style="365" customWidth="1"/>
    <col min="8483" max="8677" width="8.85546875" style="365"/>
    <col min="8678" max="8678" width="44.5703125" style="365" customWidth="1"/>
    <col min="8679" max="8679" width="14.28515625" style="365" bestFit="1" customWidth="1"/>
    <col min="8680" max="8680" width="1.7109375" style="365" customWidth="1"/>
    <col min="8681" max="8681" width="14.85546875" style="365" customWidth="1"/>
    <col min="8682" max="8682" width="0" style="365" hidden="1" customWidth="1"/>
    <col min="8683" max="8683" width="17.42578125" style="365" customWidth="1"/>
    <col min="8684" max="8684" width="0" style="365" hidden="1" customWidth="1"/>
    <col min="8685" max="8685" width="12.85546875" style="365" customWidth="1"/>
    <col min="8686" max="8686" width="0" style="365" hidden="1" customWidth="1"/>
    <col min="8687" max="8687" width="14.42578125" style="365" customWidth="1"/>
    <col min="8688" max="8688" width="0" style="365" hidden="1" customWidth="1"/>
    <col min="8689" max="8689" width="17.42578125" style="365" customWidth="1"/>
    <col min="8690" max="8690" width="0" style="365" hidden="1" customWidth="1"/>
    <col min="8691" max="8691" width="14" style="365" customWidth="1"/>
    <col min="8692" max="8692" width="14.28515625" style="365" bestFit="1" customWidth="1"/>
    <col min="8693" max="8693" width="0" style="365" hidden="1" customWidth="1"/>
    <col min="8694" max="8694" width="15.5703125" style="365" customWidth="1"/>
    <col min="8695" max="8695" width="44.5703125" style="365" customWidth="1"/>
    <col min="8696" max="8696" width="14.28515625" style="365" bestFit="1" customWidth="1"/>
    <col min="8697" max="8697" width="0" style="365" hidden="1" customWidth="1"/>
    <col min="8698" max="8698" width="18.140625" style="365" customWidth="1"/>
    <col min="8699" max="8699" width="0" style="365" hidden="1" customWidth="1"/>
    <col min="8700" max="8700" width="14" style="365" customWidth="1"/>
    <col min="8701" max="8701" width="0" style="365" hidden="1" customWidth="1"/>
    <col min="8702" max="8702" width="20.85546875" style="365" customWidth="1"/>
    <col min="8703" max="8703" width="0" style="365" hidden="1" customWidth="1"/>
    <col min="8704" max="8704" width="13.28515625" style="365" customWidth="1"/>
    <col min="8705" max="8705" width="0" style="365" hidden="1" customWidth="1"/>
    <col min="8706" max="8706" width="15" style="365" customWidth="1"/>
    <col min="8707" max="8707" width="0" style="365" hidden="1" customWidth="1"/>
    <col min="8708" max="8708" width="13.28515625" style="365" customWidth="1"/>
    <col min="8709" max="8709" width="0" style="365" hidden="1" customWidth="1"/>
    <col min="8710" max="8710" width="20.140625" style="365" customWidth="1"/>
    <col min="8711" max="8711" width="14.42578125" style="365" bestFit="1" customWidth="1"/>
    <col min="8712" max="8712" width="14" style="365" bestFit="1" customWidth="1"/>
    <col min="8713" max="8713" width="12.28515625" style="365" bestFit="1" customWidth="1"/>
    <col min="8714" max="8738" width="9.140625" style="365" customWidth="1"/>
    <col min="8739" max="8933" width="8.85546875" style="365"/>
    <col min="8934" max="8934" width="44.5703125" style="365" customWidth="1"/>
    <col min="8935" max="8935" width="14.28515625" style="365" bestFit="1" customWidth="1"/>
    <col min="8936" max="8936" width="1.7109375" style="365" customWidth="1"/>
    <col min="8937" max="8937" width="14.85546875" style="365" customWidth="1"/>
    <col min="8938" max="8938" width="0" style="365" hidden="1" customWidth="1"/>
    <col min="8939" max="8939" width="17.42578125" style="365" customWidth="1"/>
    <col min="8940" max="8940" width="0" style="365" hidden="1" customWidth="1"/>
    <col min="8941" max="8941" width="12.85546875" style="365" customWidth="1"/>
    <col min="8942" max="8942" width="0" style="365" hidden="1" customWidth="1"/>
    <col min="8943" max="8943" width="14.42578125" style="365" customWidth="1"/>
    <col min="8944" max="8944" width="0" style="365" hidden="1" customWidth="1"/>
    <col min="8945" max="8945" width="17.42578125" style="365" customWidth="1"/>
    <col min="8946" max="8946" width="0" style="365" hidden="1" customWidth="1"/>
    <col min="8947" max="8947" width="14" style="365" customWidth="1"/>
    <col min="8948" max="8948" width="14.28515625" style="365" bestFit="1" customWidth="1"/>
    <col min="8949" max="8949" width="0" style="365" hidden="1" customWidth="1"/>
    <col min="8950" max="8950" width="15.5703125" style="365" customWidth="1"/>
    <col min="8951" max="8951" width="44.5703125" style="365" customWidth="1"/>
    <col min="8952" max="8952" width="14.28515625" style="365" bestFit="1" customWidth="1"/>
    <col min="8953" max="8953" width="0" style="365" hidden="1" customWidth="1"/>
    <col min="8954" max="8954" width="18.140625" style="365" customWidth="1"/>
    <col min="8955" max="8955" width="0" style="365" hidden="1" customWidth="1"/>
    <col min="8956" max="8956" width="14" style="365" customWidth="1"/>
    <col min="8957" max="8957" width="0" style="365" hidden="1" customWidth="1"/>
    <col min="8958" max="8958" width="20.85546875" style="365" customWidth="1"/>
    <col min="8959" max="8959" width="0" style="365" hidden="1" customWidth="1"/>
    <col min="8960" max="8960" width="13.28515625" style="365" customWidth="1"/>
    <col min="8961" max="8961" width="0" style="365" hidden="1" customWidth="1"/>
    <col min="8962" max="8962" width="15" style="365" customWidth="1"/>
    <col min="8963" max="8963" width="0" style="365" hidden="1" customWidth="1"/>
    <col min="8964" max="8964" width="13.28515625" style="365" customWidth="1"/>
    <col min="8965" max="8965" width="0" style="365" hidden="1" customWidth="1"/>
    <col min="8966" max="8966" width="20.140625" style="365" customWidth="1"/>
    <col min="8967" max="8967" width="14.42578125" style="365" bestFit="1" customWidth="1"/>
    <col min="8968" max="8968" width="14" style="365" bestFit="1" customWidth="1"/>
    <col min="8969" max="8969" width="12.28515625" style="365" bestFit="1" customWidth="1"/>
    <col min="8970" max="8994" width="9.140625" style="365" customWidth="1"/>
    <col min="8995" max="9189" width="8.85546875" style="365"/>
    <col min="9190" max="9190" width="44.5703125" style="365" customWidth="1"/>
    <col min="9191" max="9191" width="14.28515625" style="365" bestFit="1" customWidth="1"/>
    <col min="9192" max="9192" width="1.7109375" style="365" customWidth="1"/>
    <col min="9193" max="9193" width="14.85546875" style="365" customWidth="1"/>
    <col min="9194" max="9194" width="0" style="365" hidden="1" customWidth="1"/>
    <col min="9195" max="9195" width="17.42578125" style="365" customWidth="1"/>
    <col min="9196" max="9196" width="0" style="365" hidden="1" customWidth="1"/>
    <col min="9197" max="9197" width="12.85546875" style="365" customWidth="1"/>
    <col min="9198" max="9198" width="0" style="365" hidden="1" customWidth="1"/>
    <col min="9199" max="9199" width="14.42578125" style="365" customWidth="1"/>
    <col min="9200" max="9200" width="0" style="365" hidden="1" customWidth="1"/>
    <col min="9201" max="9201" width="17.42578125" style="365" customWidth="1"/>
    <col min="9202" max="9202" width="0" style="365" hidden="1" customWidth="1"/>
    <col min="9203" max="9203" width="14" style="365" customWidth="1"/>
    <col min="9204" max="9204" width="14.28515625" style="365" bestFit="1" customWidth="1"/>
    <col min="9205" max="9205" width="0" style="365" hidden="1" customWidth="1"/>
    <col min="9206" max="9206" width="15.5703125" style="365" customWidth="1"/>
    <col min="9207" max="9207" width="44.5703125" style="365" customWidth="1"/>
    <col min="9208" max="9208" width="14.28515625" style="365" bestFit="1" customWidth="1"/>
    <col min="9209" max="9209" width="0" style="365" hidden="1" customWidth="1"/>
    <col min="9210" max="9210" width="18.140625" style="365" customWidth="1"/>
    <col min="9211" max="9211" width="0" style="365" hidden="1" customWidth="1"/>
    <col min="9212" max="9212" width="14" style="365" customWidth="1"/>
    <col min="9213" max="9213" width="0" style="365" hidden="1" customWidth="1"/>
    <col min="9214" max="9214" width="20.85546875" style="365" customWidth="1"/>
    <col min="9215" max="9215" width="0" style="365" hidden="1" customWidth="1"/>
    <col min="9216" max="9216" width="13.28515625" style="365" customWidth="1"/>
    <col min="9217" max="9217" width="0" style="365" hidden="1" customWidth="1"/>
    <col min="9218" max="9218" width="15" style="365" customWidth="1"/>
    <col min="9219" max="9219" width="0" style="365" hidden="1" customWidth="1"/>
    <col min="9220" max="9220" width="13.28515625" style="365" customWidth="1"/>
    <col min="9221" max="9221" width="0" style="365" hidden="1" customWidth="1"/>
    <col min="9222" max="9222" width="20.140625" style="365" customWidth="1"/>
    <col min="9223" max="9223" width="14.42578125" style="365" bestFit="1" customWidth="1"/>
    <col min="9224" max="9224" width="14" style="365" bestFit="1" customWidth="1"/>
    <col min="9225" max="9225" width="12.28515625" style="365" bestFit="1" customWidth="1"/>
    <col min="9226" max="9250" width="9.140625" style="365" customWidth="1"/>
    <col min="9251" max="9445" width="8.85546875" style="365"/>
    <col min="9446" max="9446" width="44.5703125" style="365" customWidth="1"/>
    <col min="9447" max="9447" width="14.28515625" style="365" bestFit="1" customWidth="1"/>
    <col min="9448" max="9448" width="1.7109375" style="365" customWidth="1"/>
    <col min="9449" max="9449" width="14.85546875" style="365" customWidth="1"/>
    <col min="9450" max="9450" width="0" style="365" hidden="1" customWidth="1"/>
    <col min="9451" max="9451" width="17.42578125" style="365" customWidth="1"/>
    <col min="9452" max="9452" width="0" style="365" hidden="1" customWidth="1"/>
    <col min="9453" max="9453" width="12.85546875" style="365" customWidth="1"/>
    <col min="9454" max="9454" width="0" style="365" hidden="1" customWidth="1"/>
    <col min="9455" max="9455" width="14.42578125" style="365" customWidth="1"/>
    <col min="9456" max="9456" width="0" style="365" hidden="1" customWidth="1"/>
    <col min="9457" max="9457" width="17.42578125" style="365" customWidth="1"/>
    <col min="9458" max="9458" width="0" style="365" hidden="1" customWidth="1"/>
    <col min="9459" max="9459" width="14" style="365" customWidth="1"/>
    <col min="9460" max="9460" width="14.28515625" style="365" bestFit="1" customWidth="1"/>
    <col min="9461" max="9461" width="0" style="365" hidden="1" customWidth="1"/>
    <col min="9462" max="9462" width="15.5703125" style="365" customWidth="1"/>
    <col min="9463" max="9463" width="44.5703125" style="365" customWidth="1"/>
    <col min="9464" max="9464" width="14.28515625" style="365" bestFit="1" customWidth="1"/>
    <col min="9465" max="9465" width="0" style="365" hidden="1" customWidth="1"/>
    <col min="9466" max="9466" width="18.140625" style="365" customWidth="1"/>
    <col min="9467" max="9467" width="0" style="365" hidden="1" customWidth="1"/>
    <col min="9468" max="9468" width="14" style="365" customWidth="1"/>
    <col min="9469" max="9469" width="0" style="365" hidden="1" customWidth="1"/>
    <col min="9470" max="9470" width="20.85546875" style="365" customWidth="1"/>
    <col min="9471" max="9471" width="0" style="365" hidden="1" customWidth="1"/>
    <col min="9472" max="9472" width="13.28515625" style="365" customWidth="1"/>
    <col min="9473" max="9473" width="0" style="365" hidden="1" customWidth="1"/>
    <col min="9474" max="9474" width="15" style="365" customWidth="1"/>
    <col min="9475" max="9475" width="0" style="365" hidden="1" customWidth="1"/>
    <col min="9476" max="9476" width="13.28515625" style="365" customWidth="1"/>
    <col min="9477" max="9477" width="0" style="365" hidden="1" customWidth="1"/>
    <col min="9478" max="9478" width="20.140625" style="365" customWidth="1"/>
    <col min="9479" max="9479" width="14.42578125" style="365" bestFit="1" customWidth="1"/>
    <col min="9480" max="9480" width="14" style="365" bestFit="1" customWidth="1"/>
    <col min="9481" max="9481" width="12.28515625" style="365" bestFit="1" customWidth="1"/>
    <col min="9482" max="9506" width="9.140625" style="365" customWidth="1"/>
    <col min="9507" max="9701" width="8.85546875" style="365"/>
    <col min="9702" max="9702" width="44.5703125" style="365" customWidth="1"/>
    <col min="9703" max="9703" width="14.28515625" style="365" bestFit="1" customWidth="1"/>
    <col min="9704" max="9704" width="1.7109375" style="365" customWidth="1"/>
    <col min="9705" max="9705" width="14.85546875" style="365" customWidth="1"/>
    <col min="9706" max="9706" width="0" style="365" hidden="1" customWidth="1"/>
    <col min="9707" max="9707" width="17.42578125" style="365" customWidth="1"/>
    <col min="9708" max="9708" width="0" style="365" hidden="1" customWidth="1"/>
    <col min="9709" max="9709" width="12.85546875" style="365" customWidth="1"/>
    <col min="9710" max="9710" width="0" style="365" hidden="1" customWidth="1"/>
    <col min="9711" max="9711" width="14.42578125" style="365" customWidth="1"/>
    <col min="9712" max="9712" width="0" style="365" hidden="1" customWidth="1"/>
    <col min="9713" max="9713" width="17.42578125" style="365" customWidth="1"/>
    <col min="9714" max="9714" width="0" style="365" hidden="1" customWidth="1"/>
    <col min="9715" max="9715" width="14" style="365" customWidth="1"/>
    <col min="9716" max="9716" width="14.28515625" style="365" bestFit="1" customWidth="1"/>
    <col min="9717" max="9717" width="0" style="365" hidden="1" customWidth="1"/>
    <col min="9718" max="9718" width="15.5703125" style="365" customWidth="1"/>
    <col min="9719" max="9719" width="44.5703125" style="365" customWidth="1"/>
    <col min="9720" max="9720" width="14.28515625" style="365" bestFit="1" customWidth="1"/>
    <col min="9721" max="9721" width="0" style="365" hidden="1" customWidth="1"/>
    <col min="9722" max="9722" width="18.140625" style="365" customWidth="1"/>
    <col min="9723" max="9723" width="0" style="365" hidden="1" customWidth="1"/>
    <col min="9724" max="9724" width="14" style="365" customWidth="1"/>
    <col min="9725" max="9725" width="0" style="365" hidden="1" customWidth="1"/>
    <col min="9726" max="9726" width="20.85546875" style="365" customWidth="1"/>
    <col min="9727" max="9727" width="0" style="365" hidden="1" customWidth="1"/>
    <col min="9728" max="9728" width="13.28515625" style="365" customWidth="1"/>
    <col min="9729" max="9729" width="0" style="365" hidden="1" customWidth="1"/>
    <col min="9730" max="9730" width="15" style="365" customWidth="1"/>
    <col min="9731" max="9731" width="0" style="365" hidden="1" customWidth="1"/>
    <col min="9732" max="9732" width="13.28515625" style="365" customWidth="1"/>
    <col min="9733" max="9733" width="0" style="365" hidden="1" customWidth="1"/>
    <col min="9734" max="9734" width="20.140625" style="365" customWidth="1"/>
    <col min="9735" max="9735" width="14.42578125" style="365" bestFit="1" customWidth="1"/>
    <col min="9736" max="9736" width="14" style="365" bestFit="1" customWidth="1"/>
    <col min="9737" max="9737" width="12.28515625" style="365" bestFit="1" customWidth="1"/>
    <col min="9738" max="9762" width="9.140625" style="365" customWidth="1"/>
    <col min="9763" max="9957" width="8.85546875" style="365"/>
    <col min="9958" max="9958" width="44.5703125" style="365" customWidth="1"/>
    <col min="9959" max="9959" width="14.28515625" style="365" bestFit="1" customWidth="1"/>
    <col min="9960" max="9960" width="1.7109375" style="365" customWidth="1"/>
    <col min="9961" max="9961" width="14.85546875" style="365" customWidth="1"/>
    <col min="9962" max="9962" width="0" style="365" hidden="1" customWidth="1"/>
    <col min="9963" max="9963" width="17.42578125" style="365" customWidth="1"/>
    <col min="9964" max="9964" width="0" style="365" hidden="1" customWidth="1"/>
    <col min="9965" max="9965" width="12.85546875" style="365" customWidth="1"/>
    <col min="9966" max="9966" width="0" style="365" hidden="1" customWidth="1"/>
    <col min="9967" max="9967" width="14.42578125" style="365" customWidth="1"/>
    <col min="9968" max="9968" width="0" style="365" hidden="1" customWidth="1"/>
    <col min="9969" max="9969" width="17.42578125" style="365" customWidth="1"/>
    <col min="9970" max="9970" width="0" style="365" hidden="1" customWidth="1"/>
    <col min="9971" max="9971" width="14" style="365" customWidth="1"/>
    <col min="9972" max="9972" width="14.28515625" style="365" bestFit="1" customWidth="1"/>
    <col min="9973" max="9973" width="0" style="365" hidden="1" customWidth="1"/>
    <col min="9974" max="9974" width="15.5703125" style="365" customWidth="1"/>
    <col min="9975" max="9975" width="44.5703125" style="365" customWidth="1"/>
    <col min="9976" max="9976" width="14.28515625" style="365" bestFit="1" customWidth="1"/>
    <col min="9977" max="9977" width="0" style="365" hidden="1" customWidth="1"/>
    <col min="9978" max="9978" width="18.140625" style="365" customWidth="1"/>
    <col min="9979" max="9979" width="0" style="365" hidden="1" customWidth="1"/>
    <col min="9980" max="9980" width="14" style="365" customWidth="1"/>
    <col min="9981" max="9981" width="0" style="365" hidden="1" customWidth="1"/>
    <col min="9982" max="9982" width="20.85546875" style="365" customWidth="1"/>
    <col min="9983" max="9983" width="0" style="365" hidden="1" customWidth="1"/>
    <col min="9984" max="9984" width="13.28515625" style="365" customWidth="1"/>
    <col min="9985" max="9985" width="0" style="365" hidden="1" customWidth="1"/>
    <col min="9986" max="9986" width="15" style="365" customWidth="1"/>
    <col min="9987" max="9987" width="0" style="365" hidden="1" customWidth="1"/>
    <col min="9988" max="9988" width="13.28515625" style="365" customWidth="1"/>
    <col min="9989" max="9989" width="0" style="365" hidden="1" customWidth="1"/>
    <col min="9990" max="9990" width="20.140625" style="365" customWidth="1"/>
    <col min="9991" max="9991" width="14.42578125" style="365" bestFit="1" customWidth="1"/>
    <col min="9992" max="9992" width="14" style="365" bestFit="1" customWidth="1"/>
    <col min="9993" max="9993" width="12.28515625" style="365" bestFit="1" customWidth="1"/>
    <col min="9994" max="10018" width="9.140625" style="365" customWidth="1"/>
    <col min="10019" max="10213" width="8.85546875" style="365"/>
    <col min="10214" max="10214" width="44.5703125" style="365" customWidth="1"/>
    <col min="10215" max="10215" width="14.28515625" style="365" bestFit="1" customWidth="1"/>
    <col min="10216" max="10216" width="1.7109375" style="365" customWidth="1"/>
    <col min="10217" max="10217" width="14.85546875" style="365" customWidth="1"/>
    <col min="10218" max="10218" width="0" style="365" hidden="1" customWidth="1"/>
    <col min="10219" max="10219" width="17.42578125" style="365" customWidth="1"/>
    <col min="10220" max="10220" width="0" style="365" hidden="1" customWidth="1"/>
    <col min="10221" max="10221" width="12.85546875" style="365" customWidth="1"/>
    <col min="10222" max="10222" width="0" style="365" hidden="1" customWidth="1"/>
    <col min="10223" max="10223" width="14.42578125" style="365" customWidth="1"/>
    <col min="10224" max="10224" width="0" style="365" hidden="1" customWidth="1"/>
    <col min="10225" max="10225" width="17.42578125" style="365" customWidth="1"/>
    <col min="10226" max="10226" width="0" style="365" hidden="1" customWidth="1"/>
    <col min="10227" max="10227" width="14" style="365" customWidth="1"/>
    <col min="10228" max="10228" width="14.28515625" style="365" bestFit="1" customWidth="1"/>
    <col min="10229" max="10229" width="0" style="365" hidden="1" customWidth="1"/>
    <col min="10230" max="10230" width="15.5703125" style="365" customWidth="1"/>
    <col min="10231" max="10231" width="44.5703125" style="365" customWidth="1"/>
    <col min="10232" max="10232" width="14.28515625" style="365" bestFit="1" customWidth="1"/>
    <col min="10233" max="10233" width="0" style="365" hidden="1" customWidth="1"/>
    <col min="10234" max="10234" width="18.140625" style="365" customWidth="1"/>
    <col min="10235" max="10235" width="0" style="365" hidden="1" customWidth="1"/>
    <col min="10236" max="10236" width="14" style="365" customWidth="1"/>
    <col min="10237" max="10237" width="0" style="365" hidden="1" customWidth="1"/>
    <col min="10238" max="10238" width="20.85546875" style="365" customWidth="1"/>
    <col min="10239" max="10239" width="0" style="365" hidden="1" customWidth="1"/>
    <col min="10240" max="10240" width="13.28515625" style="365" customWidth="1"/>
    <col min="10241" max="10241" width="0" style="365" hidden="1" customWidth="1"/>
    <col min="10242" max="10242" width="15" style="365" customWidth="1"/>
    <col min="10243" max="10243" width="0" style="365" hidden="1" customWidth="1"/>
    <col min="10244" max="10244" width="13.28515625" style="365" customWidth="1"/>
    <col min="10245" max="10245" width="0" style="365" hidden="1" customWidth="1"/>
    <col min="10246" max="10246" width="20.140625" style="365" customWidth="1"/>
    <col min="10247" max="10247" width="14.42578125" style="365" bestFit="1" customWidth="1"/>
    <col min="10248" max="10248" width="14" style="365" bestFit="1" customWidth="1"/>
    <col min="10249" max="10249" width="12.28515625" style="365" bestFit="1" customWidth="1"/>
    <col min="10250" max="10274" width="9.140625" style="365" customWidth="1"/>
    <col min="10275" max="10469" width="8.85546875" style="365"/>
    <col min="10470" max="10470" width="44.5703125" style="365" customWidth="1"/>
    <col min="10471" max="10471" width="14.28515625" style="365" bestFit="1" customWidth="1"/>
    <col min="10472" max="10472" width="1.7109375" style="365" customWidth="1"/>
    <col min="10473" max="10473" width="14.85546875" style="365" customWidth="1"/>
    <col min="10474" max="10474" width="0" style="365" hidden="1" customWidth="1"/>
    <col min="10475" max="10475" width="17.42578125" style="365" customWidth="1"/>
    <col min="10476" max="10476" width="0" style="365" hidden="1" customWidth="1"/>
    <col min="10477" max="10477" width="12.85546875" style="365" customWidth="1"/>
    <col min="10478" max="10478" width="0" style="365" hidden="1" customWidth="1"/>
    <col min="10479" max="10479" width="14.42578125" style="365" customWidth="1"/>
    <col min="10480" max="10480" width="0" style="365" hidden="1" customWidth="1"/>
    <col min="10481" max="10481" width="17.42578125" style="365" customWidth="1"/>
    <col min="10482" max="10482" width="0" style="365" hidden="1" customWidth="1"/>
    <col min="10483" max="10483" width="14" style="365" customWidth="1"/>
    <col min="10484" max="10484" width="14.28515625" style="365" bestFit="1" customWidth="1"/>
    <col min="10485" max="10485" width="0" style="365" hidden="1" customWidth="1"/>
    <col min="10486" max="10486" width="15.5703125" style="365" customWidth="1"/>
    <col min="10487" max="10487" width="44.5703125" style="365" customWidth="1"/>
    <col min="10488" max="10488" width="14.28515625" style="365" bestFit="1" customWidth="1"/>
    <col min="10489" max="10489" width="0" style="365" hidden="1" customWidth="1"/>
    <col min="10490" max="10490" width="18.140625" style="365" customWidth="1"/>
    <col min="10491" max="10491" width="0" style="365" hidden="1" customWidth="1"/>
    <col min="10492" max="10492" width="14" style="365" customWidth="1"/>
    <col min="10493" max="10493" width="0" style="365" hidden="1" customWidth="1"/>
    <col min="10494" max="10494" width="20.85546875" style="365" customWidth="1"/>
    <col min="10495" max="10495" width="0" style="365" hidden="1" customWidth="1"/>
    <col min="10496" max="10496" width="13.28515625" style="365" customWidth="1"/>
    <col min="10497" max="10497" width="0" style="365" hidden="1" customWidth="1"/>
    <col min="10498" max="10498" width="15" style="365" customWidth="1"/>
    <col min="10499" max="10499" width="0" style="365" hidden="1" customWidth="1"/>
    <col min="10500" max="10500" width="13.28515625" style="365" customWidth="1"/>
    <col min="10501" max="10501" width="0" style="365" hidden="1" customWidth="1"/>
    <col min="10502" max="10502" width="20.140625" style="365" customWidth="1"/>
    <col min="10503" max="10503" width="14.42578125" style="365" bestFit="1" customWidth="1"/>
    <col min="10504" max="10504" width="14" style="365" bestFit="1" customWidth="1"/>
    <col min="10505" max="10505" width="12.28515625" style="365" bestFit="1" customWidth="1"/>
    <col min="10506" max="10530" width="9.140625" style="365" customWidth="1"/>
    <col min="10531" max="10725" width="8.85546875" style="365"/>
    <col min="10726" max="10726" width="44.5703125" style="365" customWidth="1"/>
    <col min="10727" max="10727" width="14.28515625" style="365" bestFit="1" customWidth="1"/>
    <col min="10728" max="10728" width="1.7109375" style="365" customWidth="1"/>
    <col min="10729" max="10729" width="14.85546875" style="365" customWidth="1"/>
    <col min="10730" max="10730" width="0" style="365" hidden="1" customWidth="1"/>
    <col min="10731" max="10731" width="17.42578125" style="365" customWidth="1"/>
    <col min="10732" max="10732" width="0" style="365" hidden="1" customWidth="1"/>
    <col min="10733" max="10733" width="12.85546875" style="365" customWidth="1"/>
    <col min="10734" max="10734" width="0" style="365" hidden="1" customWidth="1"/>
    <col min="10735" max="10735" width="14.42578125" style="365" customWidth="1"/>
    <col min="10736" max="10736" width="0" style="365" hidden="1" customWidth="1"/>
    <col min="10737" max="10737" width="17.42578125" style="365" customWidth="1"/>
    <col min="10738" max="10738" width="0" style="365" hidden="1" customWidth="1"/>
    <col min="10739" max="10739" width="14" style="365" customWidth="1"/>
    <col min="10740" max="10740" width="14.28515625" style="365" bestFit="1" customWidth="1"/>
    <col min="10741" max="10741" width="0" style="365" hidden="1" customWidth="1"/>
    <col min="10742" max="10742" width="15.5703125" style="365" customWidth="1"/>
    <col min="10743" max="10743" width="44.5703125" style="365" customWidth="1"/>
    <col min="10744" max="10744" width="14.28515625" style="365" bestFit="1" customWidth="1"/>
    <col min="10745" max="10745" width="0" style="365" hidden="1" customWidth="1"/>
    <col min="10746" max="10746" width="18.140625" style="365" customWidth="1"/>
    <col min="10747" max="10747" width="0" style="365" hidden="1" customWidth="1"/>
    <col min="10748" max="10748" width="14" style="365" customWidth="1"/>
    <col min="10749" max="10749" width="0" style="365" hidden="1" customWidth="1"/>
    <col min="10750" max="10750" width="20.85546875" style="365" customWidth="1"/>
    <col min="10751" max="10751" width="0" style="365" hidden="1" customWidth="1"/>
    <col min="10752" max="10752" width="13.28515625" style="365" customWidth="1"/>
    <col min="10753" max="10753" width="0" style="365" hidden="1" customWidth="1"/>
    <col min="10754" max="10754" width="15" style="365" customWidth="1"/>
    <col min="10755" max="10755" width="0" style="365" hidden="1" customWidth="1"/>
    <col min="10756" max="10756" width="13.28515625" style="365" customWidth="1"/>
    <col min="10757" max="10757" width="0" style="365" hidden="1" customWidth="1"/>
    <col min="10758" max="10758" width="20.140625" style="365" customWidth="1"/>
    <col min="10759" max="10759" width="14.42578125" style="365" bestFit="1" customWidth="1"/>
    <col min="10760" max="10760" width="14" style="365" bestFit="1" customWidth="1"/>
    <col min="10761" max="10761" width="12.28515625" style="365" bestFit="1" customWidth="1"/>
    <col min="10762" max="10786" width="9.140625" style="365" customWidth="1"/>
    <col min="10787" max="10981" width="8.85546875" style="365"/>
    <col min="10982" max="10982" width="44.5703125" style="365" customWidth="1"/>
    <col min="10983" max="10983" width="14.28515625" style="365" bestFit="1" customWidth="1"/>
    <col min="10984" max="10984" width="1.7109375" style="365" customWidth="1"/>
    <col min="10985" max="10985" width="14.85546875" style="365" customWidth="1"/>
    <col min="10986" max="10986" width="0" style="365" hidden="1" customWidth="1"/>
    <col min="10987" max="10987" width="17.42578125" style="365" customWidth="1"/>
    <col min="10988" max="10988" width="0" style="365" hidden="1" customWidth="1"/>
    <col min="10989" max="10989" width="12.85546875" style="365" customWidth="1"/>
    <col min="10990" max="10990" width="0" style="365" hidden="1" customWidth="1"/>
    <col min="10991" max="10991" width="14.42578125" style="365" customWidth="1"/>
    <col min="10992" max="10992" width="0" style="365" hidden="1" customWidth="1"/>
    <col min="10993" max="10993" width="17.42578125" style="365" customWidth="1"/>
    <col min="10994" max="10994" width="0" style="365" hidden="1" customWidth="1"/>
    <col min="10995" max="10995" width="14" style="365" customWidth="1"/>
    <col min="10996" max="10996" width="14.28515625" style="365" bestFit="1" customWidth="1"/>
    <col min="10997" max="10997" width="0" style="365" hidden="1" customWidth="1"/>
    <col min="10998" max="10998" width="15.5703125" style="365" customWidth="1"/>
    <col min="10999" max="10999" width="44.5703125" style="365" customWidth="1"/>
    <col min="11000" max="11000" width="14.28515625" style="365" bestFit="1" customWidth="1"/>
    <col min="11001" max="11001" width="0" style="365" hidden="1" customWidth="1"/>
    <col min="11002" max="11002" width="18.140625" style="365" customWidth="1"/>
    <col min="11003" max="11003" width="0" style="365" hidden="1" customWidth="1"/>
    <col min="11004" max="11004" width="14" style="365" customWidth="1"/>
    <col min="11005" max="11005" width="0" style="365" hidden="1" customWidth="1"/>
    <col min="11006" max="11006" width="20.85546875" style="365" customWidth="1"/>
    <col min="11007" max="11007" width="0" style="365" hidden="1" customWidth="1"/>
    <col min="11008" max="11008" width="13.28515625" style="365" customWidth="1"/>
    <col min="11009" max="11009" width="0" style="365" hidden="1" customWidth="1"/>
    <col min="11010" max="11010" width="15" style="365" customWidth="1"/>
    <col min="11011" max="11011" width="0" style="365" hidden="1" customWidth="1"/>
    <col min="11012" max="11012" width="13.28515625" style="365" customWidth="1"/>
    <col min="11013" max="11013" width="0" style="365" hidden="1" customWidth="1"/>
    <col min="11014" max="11014" width="20.140625" style="365" customWidth="1"/>
    <col min="11015" max="11015" width="14.42578125" style="365" bestFit="1" customWidth="1"/>
    <col min="11016" max="11016" width="14" style="365" bestFit="1" customWidth="1"/>
    <col min="11017" max="11017" width="12.28515625" style="365" bestFit="1" customWidth="1"/>
    <col min="11018" max="11042" width="9.140625" style="365" customWidth="1"/>
    <col min="11043" max="11237" width="8.85546875" style="365"/>
    <col min="11238" max="11238" width="44.5703125" style="365" customWidth="1"/>
    <col min="11239" max="11239" width="14.28515625" style="365" bestFit="1" customWidth="1"/>
    <col min="11240" max="11240" width="1.7109375" style="365" customWidth="1"/>
    <col min="11241" max="11241" width="14.85546875" style="365" customWidth="1"/>
    <col min="11242" max="11242" width="0" style="365" hidden="1" customWidth="1"/>
    <col min="11243" max="11243" width="17.42578125" style="365" customWidth="1"/>
    <col min="11244" max="11244" width="0" style="365" hidden="1" customWidth="1"/>
    <col min="11245" max="11245" width="12.85546875" style="365" customWidth="1"/>
    <col min="11246" max="11246" width="0" style="365" hidden="1" customWidth="1"/>
    <col min="11247" max="11247" width="14.42578125" style="365" customWidth="1"/>
    <col min="11248" max="11248" width="0" style="365" hidden="1" customWidth="1"/>
    <col min="11249" max="11249" width="17.42578125" style="365" customWidth="1"/>
    <col min="11250" max="11250" width="0" style="365" hidden="1" customWidth="1"/>
    <col min="11251" max="11251" width="14" style="365" customWidth="1"/>
    <col min="11252" max="11252" width="14.28515625" style="365" bestFit="1" customWidth="1"/>
    <col min="11253" max="11253" width="0" style="365" hidden="1" customWidth="1"/>
    <col min="11254" max="11254" width="15.5703125" style="365" customWidth="1"/>
    <col min="11255" max="11255" width="44.5703125" style="365" customWidth="1"/>
    <col min="11256" max="11256" width="14.28515625" style="365" bestFit="1" customWidth="1"/>
    <col min="11257" max="11257" width="0" style="365" hidden="1" customWidth="1"/>
    <col min="11258" max="11258" width="18.140625" style="365" customWidth="1"/>
    <col min="11259" max="11259" width="0" style="365" hidden="1" customWidth="1"/>
    <col min="11260" max="11260" width="14" style="365" customWidth="1"/>
    <col min="11261" max="11261" width="0" style="365" hidden="1" customWidth="1"/>
    <col min="11262" max="11262" width="20.85546875" style="365" customWidth="1"/>
    <col min="11263" max="11263" width="0" style="365" hidden="1" customWidth="1"/>
    <col min="11264" max="11264" width="13.28515625" style="365" customWidth="1"/>
    <col min="11265" max="11265" width="0" style="365" hidden="1" customWidth="1"/>
    <col min="11266" max="11266" width="15" style="365" customWidth="1"/>
    <col min="11267" max="11267" width="0" style="365" hidden="1" customWidth="1"/>
    <col min="11268" max="11268" width="13.28515625" style="365" customWidth="1"/>
    <col min="11269" max="11269" width="0" style="365" hidden="1" customWidth="1"/>
    <col min="11270" max="11270" width="20.140625" style="365" customWidth="1"/>
    <col min="11271" max="11271" width="14.42578125" style="365" bestFit="1" customWidth="1"/>
    <col min="11272" max="11272" width="14" style="365" bestFit="1" customWidth="1"/>
    <col min="11273" max="11273" width="12.28515625" style="365" bestFit="1" customWidth="1"/>
    <col min="11274" max="11298" width="9.140625" style="365" customWidth="1"/>
    <col min="11299" max="11493" width="8.85546875" style="365"/>
    <col min="11494" max="11494" width="44.5703125" style="365" customWidth="1"/>
    <col min="11495" max="11495" width="14.28515625" style="365" bestFit="1" customWidth="1"/>
    <col min="11496" max="11496" width="1.7109375" style="365" customWidth="1"/>
    <col min="11497" max="11497" width="14.85546875" style="365" customWidth="1"/>
    <col min="11498" max="11498" width="0" style="365" hidden="1" customWidth="1"/>
    <col min="11499" max="11499" width="17.42578125" style="365" customWidth="1"/>
    <col min="11500" max="11500" width="0" style="365" hidden="1" customWidth="1"/>
    <col min="11501" max="11501" width="12.85546875" style="365" customWidth="1"/>
    <col min="11502" max="11502" width="0" style="365" hidden="1" customWidth="1"/>
    <col min="11503" max="11503" width="14.42578125" style="365" customWidth="1"/>
    <col min="11504" max="11504" width="0" style="365" hidden="1" customWidth="1"/>
    <col min="11505" max="11505" width="17.42578125" style="365" customWidth="1"/>
    <col min="11506" max="11506" width="0" style="365" hidden="1" customWidth="1"/>
    <col min="11507" max="11507" width="14" style="365" customWidth="1"/>
    <col min="11508" max="11508" width="14.28515625" style="365" bestFit="1" customWidth="1"/>
    <col min="11509" max="11509" width="0" style="365" hidden="1" customWidth="1"/>
    <col min="11510" max="11510" width="15.5703125" style="365" customWidth="1"/>
    <col min="11511" max="11511" width="44.5703125" style="365" customWidth="1"/>
    <col min="11512" max="11512" width="14.28515625" style="365" bestFit="1" customWidth="1"/>
    <col min="11513" max="11513" width="0" style="365" hidden="1" customWidth="1"/>
    <col min="11514" max="11514" width="18.140625" style="365" customWidth="1"/>
    <col min="11515" max="11515" width="0" style="365" hidden="1" customWidth="1"/>
    <col min="11516" max="11516" width="14" style="365" customWidth="1"/>
    <col min="11517" max="11517" width="0" style="365" hidden="1" customWidth="1"/>
    <col min="11518" max="11518" width="20.85546875" style="365" customWidth="1"/>
    <col min="11519" max="11519" width="0" style="365" hidden="1" customWidth="1"/>
    <col min="11520" max="11520" width="13.28515625" style="365" customWidth="1"/>
    <col min="11521" max="11521" width="0" style="365" hidden="1" customWidth="1"/>
    <col min="11522" max="11522" width="15" style="365" customWidth="1"/>
    <col min="11523" max="11523" width="0" style="365" hidden="1" customWidth="1"/>
    <col min="11524" max="11524" width="13.28515625" style="365" customWidth="1"/>
    <col min="11525" max="11525" width="0" style="365" hidden="1" customWidth="1"/>
    <col min="11526" max="11526" width="20.140625" style="365" customWidth="1"/>
    <col min="11527" max="11527" width="14.42578125" style="365" bestFit="1" customWidth="1"/>
    <col min="11528" max="11528" width="14" style="365" bestFit="1" customWidth="1"/>
    <col min="11529" max="11529" width="12.28515625" style="365" bestFit="1" customWidth="1"/>
    <col min="11530" max="11554" width="9.140625" style="365" customWidth="1"/>
    <col min="11555" max="11749" width="8.85546875" style="365"/>
    <col min="11750" max="11750" width="44.5703125" style="365" customWidth="1"/>
    <col min="11751" max="11751" width="14.28515625" style="365" bestFit="1" customWidth="1"/>
    <col min="11752" max="11752" width="1.7109375" style="365" customWidth="1"/>
    <col min="11753" max="11753" width="14.85546875" style="365" customWidth="1"/>
    <col min="11754" max="11754" width="0" style="365" hidden="1" customWidth="1"/>
    <col min="11755" max="11755" width="17.42578125" style="365" customWidth="1"/>
    <col min="11756" max="11756" width="0" style="365" hidden="1" customWidth="1"/>
    <col min="11757" max="11757" width="12.85546875" style="365" customWidth="1"/>
    <col min="11758" max="11758" width="0" style="365" hidden="1" customWidth="1"/>
    <col min="11759" max="11759" width="14.42578125" style="365" customWidth="1"/>
    <col min="11760" max="11760" width="0" style="365" hidden="1" customWidth="1"/>
    <col min="11761" max="11761" width="17.42578125" style="365" customWidth="1"/>
    <col min="11762" max="11762" width="0" style="365" hidden="1" customWidth="1"/>
    <col min="11763" max="11763" width="14" style="365" customWidth="1"/>
    <col min="11764" max="11764" width="14.28515625" style="365" bestFit="1" customWidth="1"/>
    <col min="11765" max="11765" width="0" style="365" hidden="1" customWidth="1"/>
    <col min="11766" max="11766" width="15.5703125" style="365" customWidth="1"/>
    <col min="11767" max="11767" width="44.5703125" style="365" customWidth="1"/>
    <col min="11768" max="11768" width="14.28515625" style="365" bestFit="1" customWidth="1"/>
    <col min="11769" max="11769" width="0" style="365" hidden="1" customWidth="1"/>
    <col min="11770" max="11770" width="18.140625" style="365" customWidth="1"/>
    <col min="11771" max="11771" width="0" style="365" hidden="1" customWidth="1"/>
    <col min="11772" max="11772" width="14" style="365" customWidth="1"/>
    <col min="11773" max="11773" width="0" style="365" hidden="1" customWidth="1"/>
    <col min="11774" max="11774" width="20.85546875" style="365" customWidth="1"/>
    <col min="11775" max="11775" width="0" style="365" hidden="1" customWidth="1"/>
    <col min="11776" max="11776" width="13.28515625" style="365" customWidth="1"/>
    <col min="11777" max="11777" width="0" style="365" hidden="1" customWidth="1"/>
    <col min="11778" max="11778" width="15" style="365" customWidth="1"/>
    <col min="11779" max="11779" width="0" style="365" hidden="1" customWidth="1"/>
    <col min="11780" max="11780" width="13.28515625" style="365" customWidth="1"/>
    <col min="11781" max="11781" width="0" style="365" hidden="1" customWidth="1"/>
    <col min="11782" max="11782" width="20.140625" style="365" customWidth="1"/>
    <col min="11783" max="11783" width="14.42578125" style="365" bestFit="1" customWidth="1"/>
    <col min="11784" max="11784" width="14" style="365" bestFit="1" customWidth="1"/>
    <col min="11785" max="11785" width="12.28515625" style="365" bestFit="1" customWidth="1"/>
    <col min="11786" max="11810" width="9.140625" style="365" customWidth="1"/>
    <col min="11811" max="12005" width="8.85546875" style="365"/>
    <col min="12006" max="12006" width="44.5703125" style="365" customWidth="1"/>
    <col min="12007" max="12007" width="14.28515625" style="365" bestFit="1" customWidth="1"/>
    <col min="12008" max="12008" width="1.7109375" style="365" customWidth="1"/>
    <col min="12009" max="12009" width="14.85546875" style="365" customWidth="1"/>
    <col min="12010" max="12010" width="0" style="365" hidden="1" customWidth="1"/>
    <col min="12011" max="12011" width="17.42578125" style="365" customWidth="1"/>
    <col min="12012" max="12012" width="0" style="365" hidden="1" customWidth="1"/>
    <col min="12013" max="12013" width="12.85546875" style="365" customWidth="1"/>
    <col min="12014" max="12014" width="0" style="365" hidden="1" customWidth="1"/>
    <col min="12015" max="12015" width="14.42578125" style="365" customWidth="1"/>
    <col min="12016" max="12016" width="0" style="365" hidden="1" customWidth="1"/>
    <col min="12017" max="12017" width="17.42578125" style="365" customWidth="1"/>
    <col min="12018" max="12018" width="0" style="365" hidden="1" customWidth="1"/>
    <col min="12019" max="12019" width="14" style="365" customWidth="1"/>
    <col min="12020" max="12020" width="14.28515625" style="365" bestFit="1" customWidth="1"/>
    <col min="12021" max="12021" width="0" style="365" hidden="1" customWidth="1"/>
    <col min="12022" max="12022" width="15.5703125" style="365" customWidth="1"/>
    <col min="12023" max="12023" width="44.5703125" style="365" customWidth="1"/>
    <col min="12024" max="12024" width="14.28515625" style="365" bestFit="1" customWidth="1"/>
    <col min="12025" max="12025" width="0" style="365" hidden="1" customWidth="1"/>
    <col min="12026" max="12026" width="18.140625" style="365" customWidth="1"/>
    <col min="12027" max="12027" width="0" style="365" hidden="1" customWidth="1"/>
    <col min="12028" max="12028" width="14" style="365" customWidth="1"/>
    <col min="12029" max="12029" width="0" style="365" hidden="1" customWidth="1"/>
    <col min="12030" max="12030" width="20.85546875" style="365" customWidth="1"/>
    <col min="12031" max="12031" width="0" style="365" hidden="1" customWidth="1"/>
    <col min="12032" max="12032" width="13.28515625" style="365" customWidth="1"/>
    <col min="12033" max="12033" width="0" style="365" hidden="1" customWidth="1"/>
    <col min="12034" max="12034" width="15" style="365" customWidth="1"/>
    <col min="12035" max="12035" width="0" style="365" hidden="1" customWidth="1"/>
    <col min="12036" max="12036" width="13.28515625" style="365" customWidth="1"/>
    <col min="12037" max="12037" width="0" style="365" hidden="1" customWidth="1"/>
    <col min="12038" max="12038" width="20.140625" style="365" customWidth="1"/>
    <col min="12039" max="12039" width="14.42578125" style="365" bestFit="1" customWidth="1"/>
    <col min="12040" max="12040" width="14" style="365" bestFit="1" customWidth="1"/>
    <col min="12041" max="12041" width="12.28515625" style="365" bestFit="1" customWidth="1"/>
    <col min="12042" max="12066" width="9.140625" style="365" customWidth="1"/>
    <col min="12067" max="12261" width="8.85546875" style="365"/>
    <col min="12262" max="12262" width="44.5703125" style="365" customWidth="1"/>
    <col min="12263" max="12263" width="14.28515625" style="365" bestFit="1" customWidth="1"/>
    <col min="12264" max="12264" width="1.7109375" style="365" customWidth="1"/>
    <col min="12265" max="12265" width="14.85546875" style="365" customWidth="1"/>
    <col min="12266" max="12266" width="0" style="365" hidden="1" customWidth="1"/>
    <col min="12267" max="12267" width="17.42578125" style="365" customWidth="1"/>
    <col min="12268" max="12268" width="0" style="365" hidden="1" customWidth="1"/>
    <col min="12269" max="12269" width="12.85546875" style="365" customWidth="1"/>
    <col min="12270" max="12270" width="0" style="365" hidden="1" customWidth="1"/>
    <col min="12271" max="12271" width="14.42578125" style="365" customWidth="1"/>
    <col min="12272" max="12272" width="0" style="365" hidden="1" customWidth="1"/>
    <col min="12273" max="12273" width="17.42578125" style="365" customWidth="1"/>
    <col min="12274" max="12274" width="0" style="365" hidden="1" customWidth="1"/>
    <col min="12275" max="12275" width="14" style="365" customWidth="1"/>
    <col min="12276" max="12276" width="14.28515625" style="365" bestFit="1" customWidth="1"/>
    <col min="12277" max="12277" width="0" style="365" hidden="1" customWidth="1"/>
    <col min="12278" max="12278" width="15.5703125" style="365" customWidth="1"/>
    <col min="12279" max="12279" width="44.5703125" style="365" customWidth="1"/>
    <col min="12280" max="12280" width="14.28515625" style="365" bestFit="1" customWidth="1"/>
    <col min="12281" max="12281" width="0" style="365" hidden="1" customWidth="1"/>
    <col min="12282" max="12282" width="18.140625" style="365" customWidth="1"/>
    <col min="12283" max="12283" width="0" style="365" hidden="1" customWidth="1"/>
    <col min="12284" max="12284" width="14" style="365" customWidth="1"/>
    <col min="12285" max="12285" width="0" style="365" hidden="1" customWidth="1"/>
    <col min="12286" max="12286" width="20.85546875" style="365" customWidth="1"/>
    <col min="12287" max="12287" width="0" style="365" hidden="1" customWidth="1"/>
    <col min="12288" max="12288" width="13.28515625" style="365" customWidth="1"/>
    <col min="12289" max="12289" width="0" style="365" hidden="1" customWidth="1"/>
    <col min="12290" max="12290" width="15" style="365" customWidth="1"/>
    <col min="12291" max="12291" width="0" style="365" hidden="1" customWidth="1"/>
    <col min="12292" max="12292" width="13.28515625" style="365" customWidth="1"/>
    <col min="12293" max="12293" width="0" style="365" hidden="1" customWidth="1"/>
    <col min="12294" max="12294" width="20.140625" style="365" customWidth="1"/>
    <col min="12295" max="12295" width="14.42578125" style="365" bestFit="1" customWidth="1"/>
    <col min="12296" max="12296" width="14" style="365" bestFit="1" customWidth="1"/>
    <col min="12297" max="12297" width="12.28515625" style="365" bestFit="1" customWidth="1"/>
    <col min="12298" max="12322" width="9.140625" style="365" customWidth="1"/>
    <col min="12323" max="12517" width="8.85546875" style="365"/>
    <col min="12518" max="12518" width="44.5703125" style="365" customWidth="1"/>
    <col min="12519" max="12519" width="14.28515625" style="365" bestFit="1" customWidth="1"/>
    <col min="12520" max="12520" width="1.7109375" style="365" customWidth="1"/>
    <col min="12521" max="12521" width="14.85546875" style="365" customWidth="1"/>
    <col min="12522" max="12522" width="0" style="365" hidden="1" customWidth="1"/>
    <col min="12523" max="12523" width="17.42578125" style="365" customWidth="1"/>
    <col min="12524" max="12524" width="0" style="365" hidden="1" customWidth="1"/>
    <col min="12525" max="12525" width="12.85546875" style="365" customWidth="1"/>
    <col min="12526" max="12526" width="0" style="365" hidden="1" customWidth="1"/>
    <col min="12527" max="12527" width="14.42578125" style="365" customWidth="1"/>
    <col min="12528" max="12528" width="0" style="365" hidden="1" customWidth="1"/>
    <col min="12529" max="12529" width="17.42578125" style="365" customWidth="1"/>
    <col min="12530" max="12530" width="0" style="365" hidden="1" customWidth="1"/>
    <col min="12531" max="12531" width="14" style="365" customWidth="1"/>
    <col min="12532" max="12532" width="14.28515625" style="365" bestFit="1" customWidth="1"/>
    <col min="12533" max="12533" width="0" style="365" hidden="1" customWidth="1"/>
    <col min="12534" max="12534" width="15.5703125" style="365" customWidth="1"/>
    <col min="12535" max="12535" width="44.5703125" style="365" customWidth="1"/>
    <col min="12536" max="12536" width="14.28515625" style="365" bestFit="1" customWidth="1"/>
    <col min="12537" max="12537" width="0" style="365" hidden="1" customWidth="1"/>
    <col min="12538" max="12538" width="18.140625" style="365" customWidth="1"/>
    <col min="12539" max="12539" width="0" style="365" hidden="1" customWidth="1"/>
    <col min="12540" max="12540" width="14" style="365" customWidth="1"/>
    <col min="12541" max="12541" width="0" style="365" hidden="1" customWidth="1"/>
    <col min="12542" max="12542" width="20.85546875" style="365" customWidth="1"/>
    <col min="12543" max="12543" width="0" style="365" hidden="1" customWidth="1"/>
    <col min="12544" max="12544" width="13.28515625" style="365" customWidth="1"/>
    <col min="12545" max="12545" width="0" style="365" hidden="1" customWidth="1"/>
    <col min="12546" max="12546" width="15" style="365" customWidth="1"/>
    <col min="12547" max="12547" width="0" style="365" hidden="1" customWidth="1"/>
    <col min="12548" max="12548" width="13.28515625" style="365" customWidth="1"/>
    <col min="12549" max="12549" width="0" style="365" hidden="1" customWidth="1"/>
    <col min="12550" max="12550" width="20.140625" style="365" customWidth="1"/>
    <col min="12551" max="12551" width="14.42578125" style="365" bestFit="1" customWidth="1"/>
    <col min="12552" max="12552" width="14" style="365" bestFit="1" customWidth="1"/>
    <col min="12553" max="12553" width="12.28515625" style="365" bestFit="1" customWidth="1"/>
    <col min="12554" max="12578" width="9.140625" style="365" customWidth="1"/>
    <col min="12579" max="12773" width="8.85546875" style="365"/>
    <col min="12774" max="12774" width="44.5703125" style="365" customWidth="1"/>
    <col min="12775" max="12775" width="14.28515625" style="365" bestFit="1" customWidth="1"/>
    <col min="12776" max="12776" width="1.7109375" style="365" customWidth="1"/>
    <col min="12777" max="12777" width="14.85546875" style="365" customWidth="1"/>
    <col min="12778" max="12778" width="0" style="365" hidden="1" customWidth="1"/>
    <col min="12779" max="12779" width="17.42578125" style="365" customWidth="1"/>
    <col min="12780" max="12780" width="0" style="365" hidden="1" customWidth="1"/>
    <col min="12781" max="12781" width="12.85546875" style="365" customWidth="1"/>
    <col min="12782" max="12782" width="0" style="365" hidden="1" customWidth="1"/>
    <col min="12783" max="12783" width="14.42578125" style="365" customWidth="1"/>
    <col min="12784" max="12784" width="0" style="365" hidden="1" customWidth="1"/>
    <col min="12785" max="12785" width="17.42578125" style="365" customWidth="1"/>
    <col min="12786" max="12786" width="0" style="365" hidden="1" customWidth="1"/>
    <col min="12787" max="12787" width="14" style="365" customWidth="1"/>
    <col min="12788" max="12788" width="14.28515625" style="365" bestFit="1" customWidth="1"/>
    <col min="12789" max="12789" width="0" style="365" hidden="1" customWidth="1"/>
    <col min="12790" max="12790" width="15.5703125" style="365" customWidth="1"/>
    <col min="12791" max="12791" width="44.5703125" style="365" customWidth="1"/>
    <col min="12792" max="12792" width="14.28515625" style="365" bestFit="1" customWidth="1"/>
    <col min="12793" max="12793" width="0" style="365" hidden="1" customWidth="1"/>
    <col min="12794" max="12794" width="18.140625" style="365" customWidth="1"/>
    <col min="12795" max="12795" width="0" style="365" hidden="1" customWidth="1"/>
    <col min="12796" max="12796" width="14" style="365" customWidth="1"/>
    <col min="12797" max="12797" width="0" style="365" hidden="1" customWidth="1"/>
    <col min="12798" max="12798" width="20.85546875" style="365" customWidth="1"/>
    <col min="12799" max="12799" width="0" style="365" hidden="1" customWidth="1"/>
    <col min="12800" max="12800" width="13.28515625" style="365" customWidth="1"/>
    <col min="12801" max="12801" width="0" style="365" hidden="1" customWidth="1"/>
    <col min="12802" max="12802" width="15" style="365" customWidth="1"/>
    <col min="12803" max="12803" width="0" style="365" hidden="1" customWidth="1"/>
    <col min="12804" max="12804" width="13.28515625" style="365" customWidth="1"/>
    <col min="12805" max="12805" width="0" style="365" hidden="1" customWidth="1"/>
    <col min="12806" max="12806" width="20.140625" style="365" customWidth="1"/>
    <col min="12807" max="12807" width="14.42578125" style="365" bestFit="1" customWidth="1"/>
    <col min="12808" max="12808" width="14" style="365" bestFit="1" customWidth="1"/>
    <col min="12809" max="12809" width="12.28515625" style="365" bestFit="1" customWidth="1"/>
    <col min="12810" max="12834" width="9.140625" style="365" customWidth="1"/>
    <col min="12835" max="13029" width="8.85546875" style="365"/>
    <col min="13030" max="13030" width="44.5703125" style="365" customWidth="1"/>
    <col min="13031" max="13031" width="14.28515625" style="365" bestFit="1" customWidth="1"/>
    <col min="13032" max="13032" width="1.7109375" style="365" customWidth="1"/>
    <col min="13033" max="13033" width="14.85546875" style="365" customWidth="1"/>
    <col min="13034" max="13034" width="0" style="365" hidden="1" customWidth="1"/>
    <col min="13035" max="13035" width="17.42578125" style="365" customWidth="1"/>
    <col min="13036" max="13036" width="0" style="365" hidden="1" customWidth="1"/>
    <col min="13037" max="13037" width="12.85546875" style="365" customWidth="1"/>
    <col min="13038" max="13038" width="0" style="365" hidden="1" customWidth="1"/>
    <col min="13039" max="13039" width="14.42578125" style="365" customWidth="1"/>
    <col min="13040" max="13040" width="0" style="365" hidden="1" customWidth="1"/>
    <col min="13041" max="13041" width="17.42578125" style="365" customWidth="1"/>
    <col min="13042" max="13042" width="0" style="365" hidden="1" customWidth="1"/>
    <col min="13043" max="13043" width="14" style="365" customWidth="1"/>
    <col min="13044" max="13044" width="14.28515625" style="365" bestFit="1" customWidth="1"/>
    <col min="13045" max="13045" width="0" style="365" hidden="1" customWidth="1"/>
    <col min="13046" max="13046" width="15.5703125" style="365" customWidth="1"/>
    <col min="13047" max="13047" width="44.5703125" style="365" customWidth="1"/>
    <col min="13048" max="13048" width="14.28515625" style="365" bestFit="1" customWidth="1"/>
    <col min="13049" max="13049" width="0" style="365" hidden="1" customWidth="1"/>
    <col min="13050" max="13050" width="18.140625" style="365" customWidth="1"/>
    <col min="13051" max="13051" width="0" style="365" hidden="1" customWidth="1"/>
    <col min="13052" max="13052" width="14" style="365" customWidth="1"/>
    <col min="13053" max="13053" width="0" style="365" hidden="1" customWidth="1"/>
    <col min="13054" max="13054" width="20.85546875" style="365" customWidth="1"/>
    <col min="13055" max="13055" width="0" style="365" hidden="1" customWidth="1"/>
    <col min="13056" max="13056" width="13.28515625" style="365" customWidth="1"/>
    <col min="13057" max="13057" width="0" style="365" hidden="1" customWidth="1"/>
    <col min="13058" max="13058" width="15" style="365" customWidth="1"/>
    <col min="13059" max="13059" width="0" style="365" hidden="1" customWidth="1"/>
    <col min="13060" max="13060" width="13.28515625" style="365" customWidth="1"/>
    <col min="13061" max="13061" width="0" style="365" hidden="1" customWidth="1"/>
    <col min="13062" max="13062" width="20.140625" style="365" customWidth="1"/>
    <col min="13063" max="13063" width="14.42578125" style="365" bestFit="1" customWidth="1"/>
    <col min="13064" max="13064" width="14" style="365" bestFit="1" customWidth="1"/>
    <col min="13065" max="13065" width="12.28515625" style="365" bestFit="1" customWidth="1"/>
    <col min="13066" max="13090" width="9.140625" style="365" customWidth="1"/>
    <col min="13091" max="13285" width="8.85546875" style="365"/>
    <col min="13286" max="13286" width="44.5703125" style="365" customWidth="1"/>
    <col min="13287" max="13287" width="14.28515625" style="365" bestFit="1" customWidth="1"/>
    <col min="13288" max="13288" width="1.7109375" style="365" customWidth="1"/>
    <col min="13289" max="13289" width="14.85546875" style="365" customWidth="1"/>
    <col min="13290" max="13290" width="0" style="365" hidden="1" customWidth="1"/>
    <col min="13291" max="13291" width="17.42578125" style="365" customWidth="1"/>
    <col min="13292" max="13292" width="0" style="365" hidden="1" customWidth="1"/>
    <col min="13293" max="13293" width="12.85546875" style="365" customWidth="1"/>
    <col min="13294" max="13294" width="0" style="365" hidden="1" customWidth="1"/>
    <col min="13295" max="13295" width="14.42578125" style="365" customWidth="1"/>
    <col min="13296" max="13296" width="0" style="365" hidden="1" customWidth="1"/>
    <col min="13297" max="13297" width="17.42578125" style="365" customWidth="1"/>
    <col min="13298" max="13298" width="0" style="365" hidden="1" customWidth="1"/>
    <col min="13299" max="13299" width="14" style="365" customWidth="1"/>
    <col min="13300" max="13300" width="14.28515625" style="365" bestFit="1" customWidth="1"/>
    <col min="13301" max="13301" width="0" style="365" hidden="1" customWidth="1"/>
    <col min="13302" max="13302" width="15.5703125" style="365" customWidth="1"/>
    <col min="13303" max="13303" width="44.5703125" style="365" customWidth="1"/>
    <col min="13304" max="13304" width="14.28515625" style="365" bestFit="1" customWidth="1"/>
    <col min="13305" max="13305" width="0" style="365" hidden="1" customWidth="1"/>
    <col min="13306" max="13306" width="18.140625" style="365" customWidth="1"/>
    <col min="13307" max="13307" width="0" style="365" hidden="1" customWidth="1"/>
    <col min="13308" max="13308" width="14" style="365" customWidth="1"/>
    <col min="13309" max="13309" width="0" style="365" hidden="1" customWidth="1"/>
    <col min="13310" max="13310" width="20.85546875" style="365" customWidth="1"/>
    <col min="13311" max="13311" width="0" style="365" hidden="1" customWidth="1"/>
    <col min="13312" max="13312" width="13.28515625" style="365" customWidth="1"/>
    <col min="13313" max="13313" width="0" style="365" hidden="1" customWidth="1"/>
    <col min="13314" max="13314" width="15" style="365" customWidth="1"/>
    <col min="13315" max="13315" width="0" style="365" hidden="1" customWidth="1"/>
    <col min="13316" max="13316" width="13.28515625" style="365" customWidth="1"/>
    <col min="13317" max="13317" width="0" style="365" hidden="1" customWidth="1"/>
    <col min="13318" max="13318" width="20.140625" style="365" customWidth="1"/>
    <col min="13319" max="13319" width="14.42578125" style="365" bestFit="1" customWidth="1"/>
    <col min="13320" max="13320" width="14" style="365" bestFit="1" customWidth="1"/>
    <col min="13321" max="13321" width="12.28515625" style="365" bestFit="1" customWidth="1"/>
    <col min="13322" max="13346" width="9.140625" style="365" customWidth="1"/>
    <col min="13347" max="13541" width="8.85546875" style="365"/>
    <col min="13542" max="13542" width="44.5703125" style="365" customWidth="1"/>
    <col min="13543" max="13543" width="14.28515625" style="365" bestFit="1" customWidth="1"/>
    <col min="13544" max="13544" width="1.7109375" style="365" customWidth="1"/>
    <col min="13545" max="13545" width="14.85546875" style="365" customWidth="1"/>
    <col min="13546" max="13546" width="0" style="365" hidden="1" customWidth="1"/>
    <col min="13547" max="13547" width="17.42578125" style="365" customWidth="1"/>
    <col min="13548" max="13548" width="0" style="365" hidden="1" customWidth="1"/>
    <col min="13549" max="13549" width="12.85546875" style="365" customWidth="1"/>
    <col min="13550" max="13550" width="0" style="365" hidden="1" customWidth="1"/>
    <col min="13551" max="13551" width="14.42578125" style="365" customWidth="1"/>
    <col min="13552" max="13552" width="0" style="365" hidden="1" customWidth="1"/>
    <col min="13553" max="13553" width="17.42578125" style="365" customWidth="1"/>
    <col min="13554" max="13554" width="0" style="365" hidden="1" customWidth="1"/>
    <col min="13555" max="13555" width="14" style="365" customWidth="1"/>
    <col min="13556" max="13556" width="14.28515625" style="365" bestFit="1" customWidth="1"/>
    <col min="13557" max="13557" width="0" style="365" hidden="1" customWidth="1"/>
    <col min="13558" max="13558" width="15.5703125" style="365" customWidth="1"/>
    <col min="13559" max="13559" width="44.5703125" style="365" customWidth="1"/>
    <col min="13560" max="13560" width="14.28515625" style="365" bestFit="1" customWidth="1"/>
    <col min="13561" max="13561" width="0" style="365" hidden="1" customWidth="1"/>
    <col min="13562" max="13562" width="18.140625" style="365" customWidth="1"/>
    <col min="13563" max="13563" width="0" style="365" hidden="1" customWidth="1"/>
    <col min="13564" max="13564" width="14" style="365" customWidth="1"/>
    <col min="13565" max="13565" width="0" style="365" hidden="1" customWidth="1"/>
    <col min="13566" max="13566" width="20.85546875" style="365" customWidth="1"/>
    <col min="13567" max="13567" width="0" style="365" hidden="1" customWidth="1"/>
    <col min="13568" max="13568" width="13.28515625" style="365" customWidth="1"/>
    <col min="13569" max="13569" width="0" style="365" hidden="1" customWidth="1"/>
    <col min="13570" max="13570" width="15" style="365" customWidth="1"/>
    <col min="13571" max="13571" width="0" style="365" hidden="1" customWidth="1"/>
    <col min="13572" max="13572" width="13.28515625" style="365" customWidth="1"/>
    <col min="13573" max="13573" width="0" style="365" hidden="1" customWidth="1"/>
    <col min="13574" max="13574" width="20.140625" style="365" customWidth="1"/>
    <col min="13575" max="13575" width="14.42578125" style="365" bestFit="1" customWidth="1"/>
    <col min="13576" max="13576" width="14" style="365" bestFit="1" customWidth="1"/>
    <col min="13577" max="13577" width="12.28515625" style="365" bestFit="1" customWidth="1"/>
    <col min="13578" max="13602" width="9.140625" style="365" customWidth="1"/>
    <col min="13603" max="13797" width="8.85546875" style="365"/>
    <col min="13798" max="13798" width="44.5703125" style="365" customWidth="1"/>
    <col min="13799" max="13799" width="14.28515625" style="365" bestFit="1" customWidth="1"/>
    <col min="13800" max="13800" width="1.7109375" style="365" customWidth="1"/>
    <col min="13801" max="13801" width="14.85546875" style="365" customWidth="1"/>
    <col min="13802" max="13802" width="0" style="365" hidden="1" customWidth="1"/>
    <col min="13803" max="13803" width="17.42578125" style="365" customWidth="1"/>
    <col min="13804" max="13804" width="0" style="365" hidden="1" customWidth="1"/>
    <col min="13805" max="13805" width="12.85546875" style="365" customWidth="1"/>
    <col min="13806" max="13806" width="0" style="365" hidden="1" customWidth="1"/>
    <col min="13807" max="13807" width="14.42578125" style="365" customWidth="1"/>
    <col min="13808" max="13808" width="0" style="365" hidden="1" customWidth="1"/>
    <col min="13809" max="13809" width="17.42578125" style="365" customWidth="1"/>
    <col min="13810" max="13810" width="0" style="365" hidden="1" customWidth="1"/>
    <col min="13811" max="13811" width="14" style="365" customWidth="1"/>
    <col min="13812" max="13812" width="14.28515625" style="365" bestFit="1" customWidth="1"/>
    <col min="13813" max="13813" width="0" style="365" hidden="1" customWidth="1"/>
    <col min="13814" max="13814" width="15.5703125" style="365" customWidth="1"/>
    <col min="13815" max="13815" width="44.5703125" style="365" customWidth="1"/>
    <col min="13816" max="13816" width="14.28515625" style="365" bestFit="1" customWidth="1"/>
    <col min="13817" max="13817" width="0" style="365" hidden="1" customWidth="1"/>
    <col min="13818" max="13818" width="18.140625" style="365" customWidth="1"/>
    <col min="13819" max="13819" width="0" style="365" hidden="1" customWidth="1"/>
    <col min="13820" max="13820" width="14" style="365" customWidth="1"/>
    <col min="13821" max="13821" width="0" style="365" hidden="1" customWidth="1"/>
    <col min="13822" max="13822" width="20.85546875" style="365" customWidth="1"/>
    <col min="13823" max="13823" width="0" style="365" hidden="1" customWidth="1"/>
    <col min="13824" max="13824" width="13.28515625" style="365" customWidth="1"/>
    <col min="13825" max="13825" width="0" style="365" hidden="1" customWidth="1"/>
    <col min="13826" max="13826" width="15" style="365" customWidth="1"/>
    <col min="13827" max="13827" width="0" style="365" hidden="1" customWidth="1"/>
    <col min="13828" max="13828" width="13.28515625" style="365" customWidth="1"/>
    <col min="13829" max="13829" width="0" style="365" hidden="1" customWidth="1"/>
    <col min="13830" max="13830" width="20.140625" style="365" customWidth="1"/>
    <col min="13831" max="13831" width="14.42578125" style="365" bestFit="1" customWidth="1"/>
    <col min="13832" max="13832" width="14" style="365" bestFit="1" customWidth="1"/>
    <col min="13833" max="13833" width="12.28515625" style="365" bestFit="1" customWidth="1"/>
    <col min="13834" max="13858" width="9.140625" style="365" customWidth="1"/>
    <col min="13859" max="14053" width="8.85546875" style="365"/>
    <col min="14054" max="14054" width="44.5703125" style="365" customWidth="1"/>
    <col min="14055" max="14055" width="14.28515625" style="365" bestFit="1" customWidth="1"/>
    <col min="14056" max="14056" width="1.7109375" style="365" customWidth="1"/>
    <col min="14057" max="14057" width="14.85546875" style="365" customWidth="1"/>
    <col min="14058" max="14058" width="0" style="365" hidden="1" customWidth="1"/>
    <col min="14059" max="14059" width="17.42578125" style="365" customWidth="1"/>
    <col min="14060" max="14060" width="0" style="365" hidden="1" customWidth="1"/>
    <col min="14061" max="14061" width="12.85546875" style="365" customWidth="1"/>
    <col min="14062" max="14062" width="0" style="365" hidden="1" customWidth="1"/>
    <col min="14063" max="14063" width="14.42578125" style="365" customWidth="1"/>
    <col min="14064" max="14064" width="0" style="365" hidden="1" customWidth="1"/>
    <col min="14065" max="14065" width="17.42578125" style="365" customWidth="1"/>
    <col min="14066" max="14066" width="0" style="365" hidden="1" customWidth="1"/>
    <col min="14067" max="14067" width="14" style="365" customWidth="1"/>
    <col min="14068" max="14068" width="14.28515625" style="365" bestFit="1" customWidth="1"/>
    <col min="14069" max="14069" width="0" style="365" hidden="1" customWidth="1"/>
    <col min="14070" max="14070" width="15.5703125" style="365" customWidth="1"/>
    <col min="14071" max="14071" width="44.5703125" style="365" customWidth="1"/>
    <col min="14072" max="14072" width="14.28515625" style="365" bestFit="1" customWidth="1"/>
    <col min="14073" max="14073" width="0" style="365" hidden="1" customWidth="1"/>
    <col min="14074" max="14074" width="18.140625" style="365" customWidth="1"/>
    <col min="14075" max="14075" width="0" style="365" hidden="1" customWidth="1"/>
    <col min="14076" max="14076" width="14" style="365" customWidth="1"/>
    <col min="14077" max="14077" width="0" style="365" hidden="1" customWidth="1"/>
    <col min="14078" max="14078" width="20.85546875" style="365" customWidth="1"/>
    <col min="14079" max="14079" width="0" style="365" hidden="1" customWidth="1"/>
    <col min="14080" max="14080" width="13.28515625" style="365" customWidth="1"/>
    <col min="14081" max="14081" width="0" style="365" hidden="1" customWidth="1"/>
    <col min="14082" max="14082" width="15" style="365" customWidth="1"/>
    <col min="14083" max="14083" width="0" style="365" hidden="1" customWidth="1"/>
    <col min="14084" max="14084" width="13.28515625" style="365" customWidth="1"/>
    <col min="14085" max="14085" width="0" style="365" hidden="1" customWidth="1"/>
    <col min="14086" max="14086" width="20.140625" style="365" customWidth="1"/>
    <col min="14087" max="14087" width="14.42578125" style="365" bestFit="1" customWidth="1"/>
    <col min="14088" max="14088" width="14" style="365" bestFit="1" customWidth="1"/>
    <col min="14089" max="14089" width="12.28515625" style="365" bestFit="1" customWidth="1"/>
    <col min="14090" max="14114" width="9.140625" style="365" customWidth="1"/>
    <col min="14115" max="14309" width="8.85546875" style="365"/>
    <col min="14310" max="14310" width="44.5703125" style="365" customWidth="1"/>
    <col min="14311" max="14311" width="14.28515625" style="365" bestFit="1" customWidth="1"/>
    <col min="14312" max="14312" width="1.7109375" style="365" customWidth="1"/>
    <col min="14313" max="14313" width="14.85546875" style="365" customWidth="1"/>
    <col min="14314" max="14314" width="0" style="365" hidden="1" customWidth="1"/>
    <col min="14315" max="14315" width="17.42578125" style="365" customWidth="1"/>
    <col min="14316" max="14316" width="0" style="365" hidden="1" customWidth="1"/>
    <col min="14317" max="14317" width="12.85546875" style="365" customWidth="1"/>
    <col min="14318" max="14318" width="0" style="365" hidden="1" customWidth="1"/>
    <col min="14319" max="14319" width="14.42578125" style="365" customWidth="1"/>
    <col min="14320" max="14320" width="0" style="365" hidden="1" customWidth="1"/>
    <col min="14321" max="14321" width="17.42578125" style="365" customWidth="1"/>
    <col min="14322" max="14322" width="0" style="365" hidden="1" customWidth="1"/>
    <col min="14323" max="14323" width="14" style="365" customWidth="1"/>
    <col min="14324" max="14324" width="14.28515625" style="365" bestFit="1" customWidth="1"/>
    <col min="14325" max="14325" width="0" style="365" hidden="1" customWidth="1"/>
    <col min="14326" max="14326" width="15.5703125" style="365" customWidth="1"/>
    <col min="14327" max="14327" width="44.5703125" style="365" customWidth="1"/>
    <col min="14328" max="14328" width="14.28515625" style="365" bestFit="1" customWidth="1"/>
    <col min="14329" max="14329" width="0" style="365" hidden="1" customWidth="1"/>
    <col min="14330" max="14330" width="18.140625" style="365" customWidth="1"/>
    <col min="14331" max="14331" width="0" style="365" hidden="1" customWidth="1"/>
    <col min="14332" max="14332" width="14" style="365" customWidth="1"/>
    <col min="14333" max="14333" width="0" style="365" hidden="1" customWidth="1"/>
    <col min="14334" max="14334" width="20.85546875" style="365" customWidth="1"/>
    <col min="14335" max="14335" width="0" style="365" hidden="1" customWidth="1"/>
    <col min="14336" max="14336" width="13.28515625" style="365" customWidth="1"/>
    <col min="14337" max="14337" width="0" style="365" hidden="1" customWidth="1"/>
    <col min="14338" max="14338" width="15" style="365" customWidth="1"/>
    <col min="14339" max="14339" width="0" style="365" hidden="1" customWidth="1"/>
    <col min="14340" max="14340" width="13.28515625" style="365" customWidth="1"/>
    <col min="14341" max="14341" width="0" style="365" hidden="1" customWidth="1"/>
    <col min="14342" max="14342" width="20.140625" style="365" customWidth="1"/>
    <col min="14343" max="14343" width="14.42578125" style="365" bestFit="1" customWidth="1"/>
    <col min="14344" max="14344" width="14" style="365" bestFit="1" customWidth="1"/>
    <col min="14345" max="14345" width="12.28515625" style="365" bestFit="1" customWidth="1"/>
    <col min="14346" max="14370" width="9.140625" style="365" customWidth="1"/>
    <col min="14371" max="14565" width="8.85546875" style="365"/>
    <col min="14566" max="14566" width="44.5703125" style="365" customWidth="1"/>
    <col min="14567" max="14567" width="14.28515625" style="365" bestFit="1" customWidth="1"/>
    <col min="14568" max="14568" width="1.7109375" style="365" customWidth="1"/>
    <col min="14569" max="14569" width="14.85546875" style="365" customWidth="1"/>
    <col min="14570" max="14570" width="0" style="365" hidden="1" customWidth="1"/>
    <col min="14571" max="14571" width="17.42578125" style="365" customWidth="1"/>
    <col min="14572" max="14572" width="0" style="365" hidden="1" customWidth="1"/>
    <col min="14573" max="14573" width="12.85546875" style="365" customWidth="1"/>
    <col min="14574" max="14574" width="0" style="365" hidden="1" customWidth="1"/>
    <col min="14575" max="14575" width="14.42578125" style="365" customWidth="1"/>
    <col min="14576" max="14576" width="0" style="365" hidden="1" customWidth="1"/>
    <col min="14577" max="14577" width="17.42578125" style="365" customWidth="1"/>
    <col min="14578" max="14578" width="0" style="365" hidden="1" customWidth="1"/>
    <col min="14579" max="14579" width="14" style="365" customWidth="1"/>
    <col min="14580" max="14580" width="14.28515625" style="365" bestFit="1" customWidth="1"/>
    <col min="14581" max="14581" width="0" style="365" hidden="1" customWidth="1"/>
    <col min="14582" max="14582" width="15.5703125" style="365" customWidth="1"/>
    <col min="14583" max="14583" width="44.5703125" style="365" customWidth="1"/>
    <col min="14584" max="14584" width="14.28515625" style="365" bestFit="1" customWidth="1"/>
    <col min="14585" max="14585" width="0" style="365" hidden="1" customWidth="1"/>
    <col min="14586" max="14586" width="18.140625" style="365" customWidth="1"/>
    <col min="14587" max="14587" width="0" style="365" hidden="1" customWidth="1"/>
    <col min="14588" max="14588" width="14" style="365" customWidth="1"/>
    <col min="14589" max="14589" width="0" style="365" hidden="1" customWidth="1"/>
    <col min="14590" max="14590" width="20.85546875" style="365" customWidth="1"/>
    <col min="14591" max="14591" width="0" style="365" hidden="1" customWidth="1"/>
    <col min="14592" max="14592" width="13.28515625" style="365" customWidth="1"/>
    <col min="14593" max="14593" width="0" style="365" hidden="1" customWidth="1"/>
    <col min="14594" max="14594" width="15" style="365" customWidth="1"/>
    <col min="14595" max="14595" width="0" style="365" hidden="1" customWidth="1"/>
    <col min="14596" max="14596" width="13.28515625" style="365" customWidth="1"/>
    <col min="14597" max="14597" width="0" style="365" hidden="1" customWidth="1"/>
    <col min="14598" max="14598" width="20.140625" style="365" customWidth="1"/>
    <col min="14599" max="14599" width="14.42578125" style="365" bestFit="1" customWidth="1"/>
    <col min="14600" max="14600" width="14" style="365" bestFit="1" customWidth="1"/>
    <col min="14601" max="14601" width="12.28515625" style="365" bestFit="1" customWidth="1"/>
    <col min="14602" max="14626" width="9.140625" style="365" customWidth="1"/>
    <col min="14627" max="14821" width="8.85546875" style="365"/>
    <col min="14822" max="14822" width="44.5703125" style="365" customWidth="1"/>
    <col min="14823" max="14823" width="14.28515625" style="365" bestFit="1" customWidth="1"/>
    <col min="14824" max="14824" width="1.7109375" style="365" customWidth="1"/>
    <col min="14825" max="14825" width="14.85546875" style="365" customWidth="1"/>
    <col min="14826" max="14826" width="0" style="365" hidden="1" customWidth="1"/>
    <col min="14827" max="14827" width="17.42578125" style="365" customWidth="1"/>
    <col min="14828" max="14828" width="0" style="365" hidden="1" customWidth="1"/>
    <col min="14829" max="14829" width="12.85546875" style="365" customWidth="1"/>
    <col min="14830" max="14830" width="0" style="365" hidden="1" customWidth="1"/>
    <col min="14831" max="14831" width="14.42578125" style="365" customWidth="1"/>
    <col min="14832" max="14832" width="0" style="365" hidden="1" customWidth="1"/>
    <col min="14833" max="14833" width="17.42578125" style="365" customWidth="1"/>
    <col min="14834" max="14834" width="0" style="365" hidden="1" customWidth="1"/>
    <col min="14835" max="14835" width="14" style="365" customWidth="1"/>
    <col min="14836" max="14836" width="14.28515625" style="365" bestFit="1" customWidth="1"/>
    <col min="14837" max="14837" width="0" style="365" hidden="1" customWidth="1"/>
    <col min="14838" max="14838" width="15.5703125" style="365" customWidth="1"/>
    <col min="14839" max="14839" width="44.5703125" style="365" customWidth="1"/>
    <col min="14840" max="14840" width="14.28515625" style="365" bestFit="1" customWidth="1"/>
    <col min="14841" max="14841" width="0" style="365" hidden="1" customWidth="1"/>
    <col min="14842" max="14842" width="18.140625" style="365" customWidth="1"/>
    <col min="14843" max="14843" width="0" style="365" hidden="1" customWidth="1"/>
    <col min="14844" max="14844" width="14" style="365" customWidth="1"/>
    <col min="14845" max="14845" width="0" style="365" hidden="1" customWidth="1"/>
    <col min="14846" max="14846" width="20.85546875" style="365" customWidth="1"/>
    <col min="14847" max="14847" width="0" style="365" hidden="1" customWidth="1"/>
    <col min="14848" max="14848" width="13.28515625" style="365" customWidth="1"/>
    <col min="14849" max="14849" width="0" style="365" hidden="1" customWidth="1"/>
    <col min="14850" max="14850" width="15" style="365" customWidth="1"/>
    <col min="14851" max="14851" width="0" style="365" hidden="1" customWidth="1"/>
    <col min="14852" max="14852" width="13.28515625" style="365" customWidth="1"/>
    <col min="14853" max="14853" width="0" style="365" hidden="1" customWidth="1"/>
    <col min="14854" max="14854" width="20.140625" style="365" customWidth="1"/>
    <col min="14855" max="14855" width="14.42578125" style="365" bestFit="1" customWidth="1"/>
    <col min="14856" max="14856" width="14" style="365" bestFit="1" customWidth="1"/>
    <col min="14857" max="14857" width="12.28515625" style="365" bestFit="1" customWidth="1"/>
    <col min="14858" max="14882" width="9.140625" style="365" customWidth="1"/>
    <col min="14883" max="15077" width="8.85546875" style="365"/>
    <col min="15078" max="15078" width="44.5703125" style="365" customWidth="1"/>
    <col min="15079" max="15079" width="14.28515625" style="365" bestFit="1" customWidth="1"/>
    <col min="15080" max="15080" width="1.7109375" style="365" customWidth="1"/>
    <col min="15081" max="15081" width="14.85546875" style="365" customWidth="1"/>
    <col min="15082" max="15082" width="0" style="365" hidden="1" customWidth="1"/>
    <col min="15083" max="15083" width="17.42578125" style="365" customWidth="1"/>
    <col min="15084" max="15084" width="0" style="365" hidden="1" customWidth="1"/>
    <col min="15085" max="15085" width="12.85546875" style="365" customWidth="1"/>
    <col min="15086" max="15086" width="0" style="365" hidden="1" customWidth="1"/>
    <col min="15087" max="15087" width="14.42578125" style="365" customWidth="1"/>
    <col min="15088" max="15088" width="0" style="365" hidden="1" customWidth="1"/>
    <col min="15089" max="15089" width="17.42578125" style="365" customWidth="1"/>
    <col min="15090" max="15090" width="0" style="365" hidden="1" customWidth="1"/>
    <col min="15091" max="15091" width="14" style="365" customWidth="1"/>
    <col min="15092" max="15092" width="14.28515625" style="365" bestFit="1" customWidth="1"/>
    <col min="15093" max="15093" width="0" style="365" hidden="1" customWidth="1"/>
    <col min="15094" max="15094" width="15.5703125" style="365" customWidth="1"/>
    <col min="15095" max="15095" width="44.5703125" style="365" customWidth="1"/>
    <col min="15096" max="15096" width="14.28515625" style="365" bestFit="1" customWidth="1"/>
    <col min="15097" max="15097" width="0" style="365" hidden="1" customWidth="1"/>
    <col min="15098" max="15098" width="18.140625" style="365" customWidth="1"/>
    <col min="15099" max="15099" width="0" style="365" hidden="1" customWidth="1"/>
    <col min="15100" max="15100" width="14" style="365" customWidth="1"/>
    <col min="15101" max="15101" width="0" style="365" hidden="1" customWidth="1"/>
    <col min="15102" max="15102" width="20.85546875" style="365" customWidth="1"/>
    <col min="15103" max="15103" width="0" style="365" hidden="1" customWidth="1"/>
    <col min="15104" max="15104" width="13.28515625" style="365" customWidth="1"/>
    <col min="15105" max="15105" width="0" style="365" hidden="1" customWidth="1"/>
    <col min="15106" max="15106" width="15" style="365" customWidth="1"/>
    <col min="15107" max="15107" width="0" style="365" hidden="1" customWidth="1"/>
    <col min="15108" max="15108" width="13.28515625" style="365" customWidth="1"/>
    <col min="15109" max="15109" width="0" style="365" hidden="1" customWidth="1"/>
    <col min="15110" max="15110" width="20.140625" style="365" customWidth="1"/>
    <col min="15111" max="15111" width="14.42578125" style="365" bestFit="1" customWidth="1"/>
    <col min="15112" max="15112" width="14" style="365" bestFit="1" customWidth="1"/>
    <col min="15113" max="15113" width="12.28515625" style="365" bestFit="1" customWidth="1"/>
    <col min="15114" max="15138" width="9.140625" style="365" customWidth="1"/>
    <col min="15139" max="15333" width="8.85546875" style="365"/>
    <col min="15334" max="15334" width="44.5703125" style="365" customWidth="1"/>
    <col min="15335" max="15335" width="14.28515625" style="365" bestFit="1" customWidth="1"/>
    <col min="15336" max="15336" width="1.7109375" style="365" customWidth="1"/>
    <col min="15337" max="15337" width="14.85546875" style="365" customWidth="1"/>
    <col min="15338" max="15338" width="0" style="365" hidden="1" customWidth="1"/>
    <col min="15339" max="15339" width="17.42578125" style="365" customWidth="1"/>
    <col min="15340" max="15340" width="0" style="365" hidden="1" customWidth="1"/>
    <col min="15341" max="15341" width="12.85546875" style="365" customWidth="1"/>
    <col min="15342" max="15342" width="0" style="365" hidden="1" customWidth="1"/>
    <col min="15343" max="15343" width="14.42578125" style="365" customWidth="1"/>
    <col min="15344" max="15344" width="0" style="365" hidden="1" customWidth="1"/>
    <col min="15345" max="15345" width="17.42578125" style="365" customWidth="1"/>
    <col min="15346" max="15346" width="0" style="365" hidden="1" customWidth="1"/>
    <col min="15347" max="15347" width="14" style="365" customWidth="1"/>
    <col min="15348" max="15348" width="14.28515625" style="365" bestFit="1" customWidth="1"/>
    <col min="15349" max="15349" width="0" style="365" hidden="1" customWidth="1"/>
    <col min="15350" max="15350" width="15.5703125" style="365" customWidth="1"/>
    <col min="15351" max="15351" width="44.5703125" style="365" customWidth="1"/>
    <col min="15352" max="15352" width="14.28515625" style="365" bestFit="1" customWidth="1"/>
    <col min="15353" max="15353" width="0" style="365" hidden="1" customWidth="1"/>
    <col min="15354" max="15354" width="18.140625" style="365" customWidth="1"/>
    <col min="15355" max="15355" width="0" style="365" hidden="1" customWidth="1"/>
    <col min="15356" max="15356" width="14" style="365" customWidth="1"/>
    <col min="15357" max="15357" width="0" style="365" hidden="1" customWidth="1"/>
    <col min="15358" max="15358" width="20.85546875" style="365" customWidth="1"/>
    <col min="15359" max="15359" width="0" style="365" hidden="1" customWidth="1"/>
    <col min="15360" max="15360" width="13.28515625" style="365" customWidth="1"/>
    <col min="15361" max="15361" width="0" style="365" hidden="1" customWidth="1"/>
    <col min="15362" max="15362" width="15" style="365" customWidth="1"/>
    <col min="15363" max="15363" width="0" style="365" hidden="1" customWidth="1"/>
    <col min="15364" max="15364" width="13.28515625" style="365" customWidth="1"/>
    <col min="15365" max="15365" width="0" style="365" hidden="1" customWidth="1"/>
    <col min="15366" max="15366" width="20.140625" style="365" customWidth="1"/>
    <col min="15367" max="15367" width="14.42578125" style="365" bestFit="1" customWidth="1"/>
    <col min="15368" max="15368" width="14" style="365" bestFit="1" customWidth="1"/>
    <col min="15369" max="15369" width="12.28515625" style="365" bestFit="1" customWidth="1"/>
    <col min="15370" max="15394" width="9.140625" style="365" customWidth="1"/>
    <col min="15395" max="15589" width="8.85546875" style="365"/>
    <col min="15590" max="15590" width="44.5703125" style="365" customWidth="1"/>
    <col min="15591" max="15591" width="14.28515625" style="365" bestFit="1" customWidth="1"/>
    <col min="15592" max="15592" width="1.7109375" style="365" customWidth="1"/>
    <col min="15593" max="15593" width="14.85546875" style="365" customWidth="1"/>
    <col min="15594" max="15594" width="0" style="365" hidden="1" customWidth="1"/>
    <col min="15595" max="15595" width="17.42578125" style="365" customWidth="1"/>
    <col min="15596" max="15596" width="0" style="365" hidden="1" customWidth="1"/>
    <col min="15597" max="15597" width="12.85546875" style="365" customWidth="1"/>
    <col min="15598" max="15598" width="0" style="365" hidden="1" customWidth="1"/>
    <col min="15599" max="15599" width="14.42578125" style="365" customWidth="1"/>
    <col min="15600" max="15600" width="0" style="365" hidden="1" customWidth="1"/>
    <col min="15601" max="15601" width="17.42578125" style="365" customWidth="1"/>
    <col min="15602" max="15602" width="0" style="365" hidden="1" customWidth="1"/>
    <col min="15603" max="15603" width="14" style="365" customWidth="1"/>
    <col min="15604" max="15604" width="14.28515625" style="365" bestFit="1" customWidth="1"/>
    <col min="15605" max="15605" width="0" style="365" hidden="1" customWidth="1"/>
    <col min="15606" max="15606" width="15.5703125" style="365" customWidth="1"/>
    <col min="15607" max="15607" width="44.5703125" style="365" customWidth="1"/>
    <col min="15608" max="15608" width="14.28515625" style="365" bestFit="1" customWidth="1"/>
    <col min="15609" max="15609" width="0" style="365" hidden="1" customWidth="1"/>
    <col min="15610" max="15610" width="18.140625" style="365" customWidth="1"/>
    <col min="15611" max="15611" width="0" style="365" hidden="1" customWidth="1"/>
    <col min="15612" max="15612" width="14" style="365" customWidth="1"/>
    <col min="15613" max="15613" width="0" style="365" hidden="1" customWidth="1"/>
    <col min="15614" max="15614" width="20.85546875" style="365" customWidth="1"/>
    <col min="15615" max="15615" width="0" style="365" hidden="1" customWidth="1"/>
    <col min="15616" max="15616" width="13.28515625" style="365" customWidth="1"/>
    <col min="15617" max="15617" width="0" style="365" hidden="1" customWidth="1"/>
    <col min="15618" max="15618" width="15" style="365" customWidth="1"/>
    <col min="15619" max="15619" width="0" style="365" hidden="1" customWidth="1"/>
    <col min="15620" max="15620" width="13.28515625" style="365" customWidth="1"/>
    <col min="15621" max="15621" width="0" style="365" hidden="1" customWidth="1"/>
    <col min="15622" max="15622" width="20.140625" style="365" customWidth="1"/>
    <col min="15623" max="15623" width="14.42578125" style="365" bestFit="1" customWidth="1"/>
    <col min="15624" max="15624" width="14" style="365" bestFit="1" customWidth="1"/>
    <col min="15625" max="15625" width="12.28515625" style="365" bestFit="1" customWidth="1"/>
    <col min="15626" max="15650" width="9.140625" style="365" customWidth="1"/>
    <col min="15651" max="15845" width="8.85546875" style="365"/>
    <col min="15846" max="15846" width="44.5703125" style="365" customWidth="1"/>
    <col min="15847" max="15847" width="14.28515625" style="365" bestFit="1" customWidth="1"/>
    <col min="15848" max="15848" width="1.7109375" style="365" customWidth="1"/>
    <col min="15849" max="15849" width="14.85546875" style="365" customWidth="1"/>
    <col min="15850" max="15850" width="0" style="365" hidden="1" customWidth="1"/>
    <col min="15851" max="15851" width="17.42578125" style="365" customWidth="1"/>
    <col min="15852" max="15852" width="0" style="365" hidden="1" customWidth="1"/>
    <col min="15853" max="15853" width="12.85546875" style="365" customWidth="1"/>
    <col min="15854" max="15854" width="0" style="365" hidden="1" customWidth="1"/>
    <col min="15855" max="15855" width="14.42578125" style="365" customWidth="1"/>
    <col min="15856" max="15856" width="0" style="365" hidden="1" customWidth="1"/>
    <col min="15857" max="15857" width="17.42578125" style="365" customWidth="1"/>
    <col min="15858" max="15858" width="0" style="365" hidden="1" customWidth="1"/>
    <col min="15859" max="15859" width="14" style="365" customWidth="1"/>
    <col min="15860" max="15860" width="14.28515625" style="365" bestFit="1" customWidth="1"/>
    <col min="15861" max="15861" width="0" style="365" hidden="1" customWidth="1"/>
    <col min="15862" max="15862" width="15.5703125" style="365" customWidth="1"/>
    <col min="15863" max="15863" width="44.5703125" style="365" customWidth="1"/>
    <col min="15864" max="15864" width="14.28515625" style="365" bestFit="1" customWidth="1"/>
    <col min="15865" max="15865" width="0" style="365" hidden="1" customWidth="1"/>
    <col min="15866" max="15866" width="18.140625" style="365" customWidth="1"/>
    <col min="15867" max="15867" width="0" style="365" hidden="1" customWidth="1"/>
    <col min="15868" max="15868" width="14" style="365" customWidth="1"/>
    <col min="15869" max="15869" width="0" style="365" hidden="1" customWidth="1"/>
    <col min="15870" max="15870" width="20.85546875" style="365" customWidth="1"/>
    <col min="15871" max="15871" width="0" style="365" hidden="1" customWidth="1"/>
    <col min="15872" max="15872" width="13.28515625" style="365" customWidth="1"/>
    <col min="15873" max="15873" width="0" style="365" hidden="1" customWidth="1"/>
    <col min="15874" max="15874" width="15" style="365" customWidth="1"/>
    <col min="15875" max="15875" width="0" style="365" hidden="1" customWidth="1"/>
    <col min="15876" max="15876" width="13.28515625" style="365" customWidth="1"/>
    <col min="15877" max="15877" width="0" style="365" hidden="1" customWidth="1"/>
    <col min="15878" max="15878" width="20.140625" style="365" customWidth="1"/>
    <col min="15879" max="15879" width="14.42578125" style="365" bestFit="1" customWidth="1"/>
    <col min="15880" max="15880" width="14" style="365" bestFit="1" customWidth="1"/>
    <col min="15881" max="15881" width="12.28515625" style="365" bestFit="1" customWidth="1"/>
    <col min="15882" max="15906" width="9.140625" style="365" customWidth="1"/>
    <col min="15907" max="16101" width="8.85546875" style="365"/>
    <col min="16102" max="16102" width="44.5703125" style="365" customWidth="1"/>
    <col min="16103" max="16103" width="14.28515625" style="365" bestFit="1" customWidth="1"/>
    <col min="16104" max="16104" width="1.7109375" style="365" customWidth="1"/>
    <col min="16105" max="16105" width="14.85546875" style="365" customWidth="1"/>
    <col min="16106" max="16106" width="0" style="365" hidden="1" customWidth="1"/>
    <col min="16107" max="16107" width="17.42578125" style="365" customWidth="1"/>
    <col min="16108" max="16108" width="0" style="365" hidden="1" customWidth="1"/>
    <col min="16109" max="16109" width="12.85546875" style="365" customWidth="1"/>
    <col min="16110" max="16110" width="0" style="365" hidden="1" customWidth="1"/>
    <col min="16111" max="16111" width="14.42578125" style="365" customWidth="1"/>
    <col min="16112" max="16112" width="0" style="365" hidden="1" customWidth="1"/>
    <col min="16113" max="16113" width="17.42578125" style="365" customWidth="1"/>
    <col min="16114" max="16114" width="0" style="365" hidden="1" customWidth="1"/>
    <col min="16115" max="16115" width="14" style="365" customWidth="1"/>
    <col min="16116" max="16116" width="14.28515625" style="365" bestFit="1" customWidth="1"/>
    <col min="16117" max="16117" width="0" style="365" hidden="1" customWidth="1"/>
    <col min="16118" max="16118" width="15.5703125" style="365" customWidth="1"/>
    <col min="16119" max="16119" width="44.5703125" style="365" customWidth="1"/>
    <col min="16120" max="16120" width="14.28515625" style="365" bestFit="1" customWidth="1"/>
    <col min="16121" max="16121" width="0" style="365" hidden="1" customWidth="1"/>
    <col min="16122" max="16122" width="18.140625" style="365" customWidth="1"/>
    <col min="16123" max="16123" width="0" style="365" hidden="1" customWidth="1"/>
    <col min="16124" max="16124" width="14" style="365" customWidth="1"/>
    <col min="16125" max="16125" width="0" style="365" hidden="1" customWidth="1"/>
    <col min="16126" max="16126" width="20.85546875" style="365" customWidth="1"/>
    <col min="16127" max="16127" width="0" style="365" hidden="1" customWidth="1"/>
    <col min="16128" max="16128" width="13.28515625" style="365" customWidth="1"/>
    <col min="16129" max="16129" width="0" style="365" hidden="1" customWidth="1"/>
    <col min="16130" max="16130" width="15" style="365" customWidth="1"/>
    <col min="16131" max="16131" width="0" style="365" hidden="1" customWidth="1"/>
    <col min="16132" max="16132" width="13.28515625" style="365" customWidth="1"/>
    <col min="16133" max="16133" width="0" style="365" hidden="1" customWidth="1"/>
    <col min="16134" max="16134" width="20.140625" style="365" customWidth="1"/>
    <col min="16135" max="16135" width="14.42578125" style="365" bestFit="1" customWidth="1"/>
    <col min="16136" max="16136" width="14" style="365" bestFit="1" customWidth="1"/>
    <col min="16137" max="16137" width="12.28515625" style="365" bestFit="1" customWidth="1"/>
    <col min="16138" max="16162" width="9.140625" style="365" customWidth="1"/>
    <col min="16163" max="16384" width="8.85546875" style="365"/>
  </cols>
  <sheetData>
    <row r="1" spans="1:34" s="354" customFormat="1" ht="19.899999999999999" hidden="1" customHeight="1">
      <c r="A1" s="1632"/>
      <c r="B1" s="1632"/>
      <c r="C1" s="1632"/>
      <c r="D1" s="1632"/>
      <c r="E1" s="1632"/>
      <c r="F1" s="1632"/>
      <c r="G1" s="1632"/>
      <c r="H1" s="1632"/>
      <c r="I1" s="1632"/>
      <c r="J1" s="1632"/>
      <c r="K1" s="1632"/>
      <c r="L1" s="1632"/>
      <c r="M1" s="1632"/>
      <c r="N1" s="1632"/>
      <c r="O1" s="1632"/>
      <c r="P1" s="1632"/>
      <c r="Q1" s="1632"/>
      <c r="R1" s="1632"/>
      <c r="S1" s="1632"/>
      <c r="T1" s="1632"/>
      <c r="U1" s="353"/>
      <c r="V1" s="353"/>
      <c r="W1" s="353"/>
      <c r="X1" s="353"/>
      <c r="Y1" s="353"/>
      <c r="Z1" s="353"/>
      <c r="AA1" s="353"/>
      <c r="AB1" s="353"/>
      <c r="AC1" s="353"/>
      <c r="AD1" s="353"/>
      <c r="AE1" s="353"/>
      <c r="AF1" s="353"/>
      <c r="AG1" s="353"/>
      <c r="AH1" s="353"/>
    </row>
    <row r="2" spans="1:34" s="354" customFormat="1" ht="88.9" customHeight="1">
      <c r="A2" s="1688" t="s">
        <v>905</v>
      </c>
      <c r="B2" s="1688"/>
      <c r="C2" s="1688"/>
      <c r="D2" s="1688"/>
      <c r="E2" s="1688"/>
      <c r="F2" s="1688"/>
      <c r="G2" s="1688"/>
      <c r="H2" s="1688"/>
      <c r="I2" s="1688"/>
      <c r="J2" s="1688"/>
      <c r="K2" s="1688"/>
      <c r="L2" s="1688"/>
      <c r="M2" s="1688"/>
      <c r="N2" s="1688"/>
      <c r="O2" s="1688"/>
      <c r="P2" s="1688"/>
      <c r="Q2" s="1688"/>
      <c r="R2" s="1688"/>
      <c r="S2" s="1688"/>
      <c r="T2" s="1688"/>
      <c r="U2" s="353"/>
      <c r="V2" s="353"/>
      <c r="W2" s="353"/>
      <c r="X2" s="353"/>
      <c r="Y2" s="353"/>
      <c r="Z2" s="353"/>
      <c r="AA2" s="353"/>
      <c r="AB2" s="353"/>
      <c r="AC2" s="353"/>
      <c r="AD2" s="353"/>
      <c r="AE2" s="353"/>
      <c r="AF2" s="353"/>
      <c r="AG2" s="353"/>
      <c r="AH2" s="353"/>
    </row>
    <row r="3" spans="1:34" s="354" customFormat="1" ht="47.45" hidden="1" customHeight="1">
      <c r="A3" s="1293"/>
      <c r="B3" s="1636" t="str">
        <f>PROPER(B1)</f>
        <v/>
      </c>
      <c r="C3" s="1636"/>
      <c r="D3" s="1636"/>
      <c r="E3" s="1636"/>
      <c r="F3" s="1636"/>
      <c r="G3" s="1636"/>
      <c r="H3" s="1636"/>
      <c r="I3" s="1636"/>
      <c r="J3" s="1636"/>
      <c r="K3" s="1636"/>
      <c r="L3" s="1636"/>
      <c r="M3" s="1636"/>
      <c r="N3" s="1636"/>
      <c r="O3" s="1636"/>
      <c r="P3" s="1636"/>
      <c r="Q3" s="1636"/>
      <c r="R3" s="1636"/>
      <c r="S3" s="1636"/>
      <c r="T3" s="1636"/>
      <c r="U3" s="353"/>
      <c r="V3" s="1293"/>
      <c r="W3" s="1293"/>
      <c r="X3" s="353"/>
      <c r="Y3" s="353"/>
      <c r="Z3" s="353"/>
      <c r="AA3" s="353"/>
      <c r="AB3" s="353"/>
      <c r="AC3" s="353"/>
      <c r="AD3" s="353"/>
      <c r="AE3" s="353"/>
      <c r="AF3" s="353"/>
      <c r="AG3" s="353"/>
      <c r="AH3" s="353"/>
    </row>
    <row r="4" spans="1:34" s="354" customFormat="1" ht="15.6" hidden="1" customHeight="1">
      <c r="A4" s="1635"/>
      <c r="B4" s="1635"/>
      <c r="C4" s="1635"/>
      <c r="D4" s="1635"/>
      <c r="E4" s="1635"/>
      <c r="F4" s="1635"/>
      <c r="G4" s="1635"/>
      <c r="H4" s="1635"/>
      <c r="I4" s="1635"/>
      <c r="J4" s="1635"/>
      <c r="K4" s="1635"/>
      <c r="L4" s="1635"/>
      <c r="M4" s="1635"/>
      <c r="N4" s="1635"/>
      <c r="O4" s="1635"/>
      <c r="P4" s="1635"/>
      <c r="Q4" s="1635"/>
      <c r="R4" s="1635"/>
      <c r="S4" s="1635"/>
      <c r="T4" s="1635"/>
      <c r="U4" s="353"/>
      <c r="V4" s="353"/>
      <c r="W4" s="353"/>
      <c r="X4" s="353"/>
      <c r="Y4" s="353"/>
      <c r="Z4" s="353"/>
      <c r="AA4" s="353"/>
      <c r="AB4" s="353"/>
      <c r="AC4" s="353"/>
      <c r="AD4" s="353"/>
      <c r="AE4" s="353"/>
      <c r="AF4" s="353"/>
      <c r="AG4" s="353"/>
      <c r="AH4" s="353"/>
    </row>
    <row r="5" spans="1:34" s="363" customFormat="1" ht="9.6" customHeight="1" thickBot="1">
      <c r="A5" s="360" t="s">
        <v>58</v>
      </c>
      <c r="B5" s="361"/>
      <c r="C5" s="577"/>
      <c r="D5" s="945"/>
      <c r="E5" s="945"/>
      <c r="F5" s="945"/>
      <c r="G5" s="945"/>
      <c r="H5" s="945"/>
      <c r="I5" s="945"/>
      <c r="J5" s="945"/>
      <c r="K5" s="945"/>
      <c r="L5" s="945"/>
      <c r="M5" s="362"/>
      <c r="N5" s="362"/>
      <c r="O5" s="362"/>
      <c r="P5" s="362"/>
      <c r="Q5" s="362"/>
      <c r="R5" s="362"/>
      <c r="S5" s="362"/>
      <c r="T5" s="362"/>
      <c r="V5" s="360" t="s">
        <v>58</v>
      </c>
      <c r="W5" s="360"/>
    </row>
    <row r="6" spans="1:34" s="490" customFormat="1" ht="112.15" customHeight="1" thickTop="1" thickBot="1">
      <c r="A6" s="484"/>
      <c r="B6" s="485"/>
      <c r="C6" s="486"/>
      <c r="D6" s="988" t="s">
        <v>573</v>
      </c>
      <c r="E6" s="1190" t="s">
        <v>575</v>
      </c>
      <c r="F6" s="1179" t="s">
        <v>414</v>
      </c>
      <c r="G6" s="1179" t="s">
        <v>413</v>
      </c>
      <c r="H6" s="1179" t="s">
        <v>805</v>
      </c>
      <c r="I6" s="1190" t="s">
        <v>417</v>
      </c>
      <c r="J6" s="989" t="s">
        <v>420</v>
      </c>
      <c r="K6" s="989" t="s">
        <v>421</v>
      </c>
      <c r="L6" s="1179" t="s">
        <v>419</v>
      </c>
      <c r="M6" s="1179" t="s">
        <v>718</v>
      </c>
      <c r="N6" s="1179" t="s">
        <v>412</v>
      </c>
      <c r="O6" s="1179" t="s">
        <v>781</v>
      </c>
      <c r="P6" s="1179" t="s">
        <v>411</v>
      </c>
      <c r="Q6" s="1179" t="s">
        <v>416</v>
      </c>
      <c r="R6" s="1179" t="s">
        <v>772</v>
      </c>
      <c r="S6" s="1179" t="s">
        <v>154</v>
      </c>
      <c r="T6" s="1179" t="s">
        <v>422</v>
      </c>
      <c r="U6" s="488"/>
      <c r="AA6" s="488"/>
      <c r="AB6" s="488"/>
      <c r="AC6" s="488"/>
      <c r="AD6" s="488"/>
      <c r="AE6" s="488"/>
      <c r="AF6" s="488"/>
      <c r="AG6" s="488"/>
      <c r="AH6" s="488"/>
    </row>
    <row r="7" spans="1:34" ht="13.9" customHeight="1" thickTop="1">
      <c r="A7" s="356"/>
      <c r="B7" s="356"/>
      <c r="C7" s="357"/>
      <c r="D7" s="947"/>
      <c r="E7" s="1191"/>
      <c r="F7" s="1185"/>
      <c r="G7" s="374"/>
      <c r="H7" s="1185"/>
      <c r="I7" s="1191"/>
      <c r="J7" s="924"/>
      <c r="K7" s="924"/>
      <c r="L7" s="374"/>
      <c r="M7" s="374"/>
      <c r="N7" s="374"/>
      <c r="O7" s="374"/>
      <c r="P7" s="374"/>
      <c r="Q7" s="374"/>
      <c r="R7" s="374"/>
      <c r="S7" s="374"/>
      <c r="T7" s="374"/>
    </row>
    <row r="8" spans="1:34" s="417" customFormat="1" ht="15.95" customHeight="1">
      <c r="A8" s="417" t="s">
        <v>423</v>
      </c>
      <c r="C8" s="449"/>
      <c r="D8" s="948"/>
      <c r="E8" s="456" t="s">
        <v>58</v>
      </c>
      <c r="F8" s="1186"/>
      <c r="G8" s="456"/>
      <c r="H8" s="1186"/>
      <c r="I8" s="969"/>
      <c r="J8" s="915" t="s">
        <v>58</v>
      </c>
      <c r="K8" s="915" t="s">
        <v>58</v>
      </c>
      <c r="L8" s="456" t="s">
        <v>58</v>
      </c>
      <c r="M8" s="456"/>
      <c r="N8" s="456"/>
      <c r="O8" s="456"/>
      <c r="P8" s="456"/>
      <c r="Q8" s="456"/>
      <c r="R8" s="456"/>
      <c r="S8" s="456"/>
      <c r="T8" s="456"/>
      <c r="U8" s="454"/>
      <c r="AA8" s="454"/>
      <c r="AB8" s="454"/>
      <c r="AC8" s="454"/>
      <c r="AD8" s="454"/>
      <c r="AE8" s="454"/>
      <c r="AF8" s="454"/>
      <c r="AG8" s="454"/>
      <c r="AH8" s="454"/>
    </row>
    <row r="9" spans="1:34" s="417" customFormat="1" ht="20.100000000000001" customHeight="1">
      <c r="A9" s="417" t="s">
        <v>27</v>
      </c>
      <c r="C9" s="417" t="s">
        <v>424</v>
      </c>
      <c r="D9" s="1227">
        <f>ROUND('001 General Fund'!K23,0)</f>
        <v>50418790</v>
      </c>
      <c r="E9" s="1227">
        <f>ROUND('Water and Sewer'!L15+'Central Region'!L15+'Water and Sewer'!L11+'Central Region'!L11,0)</f>
        <v>56639343</v>
      </c>
      <c r="F9" s="1227" t="e">
        <f>ROUND(#REF!+#REF!+#REF!+#REF!+#REF!+#REF!+#REF!+#REF!+#REF!+#REF!+#REF!+#REF!+#REF!,0)</f>
        <v>#REF!</v>
      </c>
      <c r="G9" s="1227" t="e">
        <f>ROUND(#REF!,0)</f>
        <v>#REF!</v>
      </c>
      <c r="H9" s="1227">
        <f>ROUND(Cemtery!L13+Cemtery!L9,0)</f>
        <v>23929746</v>
      </c>
      <c r="I9" s="1227">
        <f>ROUND(Sanitation!L16+Sanitation!L12,0)</f>
        <v>7903598</v>
      </c>
      <c r="J9" s="1227">
        <f>ROUND('Parking System'!L16+'Parking System'!L12,0)</f>
        <v>13737004</v>
      </c>
      <c r="K9" s="1227">
        <f>ROUND(Airport!L16+Airport!L12,0)</f>
        <v>13880782</v>
      </c>
      <c r="L9" s="1227">
        <f>ROUND(Stormwater!L16+Stormwater!L12,0)</f>
        <v>12213219</v>
      </c>
      <c r="M9" s="1227">
        <f>ROUND('CRA-Beach'!L11+'CRA-Beach'!L15+'CRA-NW Progresso'!L12+'CRA-NW Progresso'!L16+'CRA-Central City'!L10+'CRA-Central City'!L14,0)</f>
        <v>4794070</v>
      </c>
      <c r="N9" s="1227">
        <f>ROUND('Housing and Community Dev'!L15+'Housing and Community Dev'!L11,0)</f>
        <v>38123</v>
      </c>
      <c r="O9" s="1227">
        <f>ROUND(Police!L11+'Drug Enforcement Agency'!L11+Police!L16+'Drug Enforcement Agency'!L16,0)</f>
        <v>1679720</v>
      </c>
      <c r="P9" s="1227">
        <f>ROUND('Beach Bus Improv District'!L13+'Beach Bus Improv District'!L9,0)</f>
        <v>399899</v>
      </c>
      <c r="Q9" s="1227">
        <f>ROUND('Arts Science District Garage'!L14+Cemtery!L9,0)</f>
        <v>0</v>
      </c>
      <c r="R9" s="1227">
        <f>'School Crossing Guard'!L14</f>
        <v>137125.75</v>
      </c>
      <c r="S9" s="1227">
        <f>ROUND('Sunrise Key'!L14+'Sunrise Key'!L10,0)</f>
        <v>99940</v>
      </c>
      <c r="T9" s="1229" t="e">
        <f>ROUND(SUM(D9:S9),0)</f>
        <v>#REF!</v>
      </c>
      <c r="U9" s="454"/>
      <c r="AA9" s="454"/>
      <c r="AB9" s="454"/>
      <c r="AC9" s="454"/>
      <c r="AD9" s="454"/>
      <c r="AE9" s="454"/>
      <c r="AF9" s="454"/>
      <c r="AG9" s="454"/>
      <c r="AH9" s="454"/>
    </row>
    <row r="10" spans="1:34" s="417" customFormat="1" ht="20.100000000000001" customHeight="1">
      <c r="A10" s="417" t="s">
        <v>782</v>
      </c>
      <c r="D10" s="1227">
        <f>ROUND('001 General Fund'!K19,0)</f>
        <v>4457240</v>
      </c>
      <c r="E10" s="1227">
        <v>0</v>
      </c>
      <c r="F10" s="1227">
        <v>0</v>
      </c>
      <c r="G10" s="1227">
        <v>0</v>
      </c>
      <c r="H10" s="1227">
        <v>0</v>
      </c>
      <c r="I10" s="1227">
        <v>0</v>
      </c>
      <c r="J10" s="1227">
        <v>0</v>
      </c>
      <c r="K10" s="1227">
        <v>0</v>
      </c>
      <c r="L10" s="1227">
        <v>0</v>
      </c>
      <c r="M10" s="1227">
        <v>0</v>
      </c>
      <c r="N10" s="1227">
        <v>0</v>
      </c>
      <c r="O10" s="1227">
        <v>0</v>
      </c>
      <c r="P10" s="1227">
        <v>0</v>
      </c>
      <c r="Q10" s="1227">
        <v>0</v>
      </c>
      <c r="R10" s="1227">
        <v>0</v>
      </c>
      <c r="S10" s="1227">
        <v>0</v>
      </c>
      <c r="T10" s="1229">
        <f>ROUND(SUM(D10:S10),0)</f>
        <v>4457240</v>
      </c>
      <c r="U10" s="454"/>
      <c r="AA10" s="454"/>
      <c r="AB10" s="454"/>
      <c r="AC10" s="454"/>
      <c r="AD10" s="454"/>
      <c r="AE10" s="454"/>
      <c r="AF10" s="454"/>
      <c r="AG10" s="454"/>
      <c r="AH10" s="454"/>
    </row>
    <row r="11" spans="1:34" s="417" customFormat="1" ht="20.100000000000001" customHeight="1">
      <c r="A11" s="417" t="s">
        <v>690</v>
      </c>
      <c r="D11" s="1227">
        <f>ROUND('001 General Fund'!K20,0)</f>
        <v>5000000</v>
      </c>
      <c r="E11" s="1227">
        <v>0</v>
      </c>
      <c r="F11" s="1227">
        <v>0</v>
      </c>
      <c r="G11" s="1227">
        <v>0</v>
      </c>
      <c r="H11" s="1227">
        <v>0</v>
      </c>
      <c r="I11" s="1227">
        <v>0</v>
      </c>
      <c r="J11" s="1227">
        <v>0</v>
      </c>
      <c r="K11" s="1227">
        <v>0</v>
      </c>
      <c r="L11" s="1227">
        <v>0</v>
      </c>
      <c r="M11" s="1227">
        <v>0</v>
      </c>
      <c r="N11" s="1227">
        <v>0</v>
      </c>
      <c r="O11" s="1227">
        <v>0</v>
      </c>
      <c r="P11" s="1227">
        <v>0</v>
      </c>
      <c r="Q11" s="1227">
        <v>0</v>
      </c>
      <c r="R11" s="1227">
        <v>0</v>
      </c>
      <c r="S11" s="1227">
        <v>0</v>
      </c>
      <c r="T11" s="1229">
        <f>ROUND(SUM(D11:S11),0)</f>
        <v>5000000</v>
      </c>
      <c r="U11" s="454"/>
      <c r="AA11" s="454"/>
      <c r="AB11" s="454"/>
      <c r="AC11" s="454"/>
      <c r="AD11" s="454"/>
      <c r="AE11" s="454"/>
      <c r="AF11" s="454"/>
      <c r="AG11" s="454"/>
      <c r="AH11" s="454"/>
    </row>
    <row r="12" spans="1:34" s="417" customFormat="1" ht="20.100000000000001" customHeight="1">
      <c r="A12" s="417" t="s">
        <v>830</v>
      </c>
      <c r="D12" s="1227">
        <f>ROUND('001 General Fund'!K21,0)</f>
        <v>4273912</v>
      </c>
      <c r="E12" s="1227">
        <v>0</v>
      </c>
      <c r="F12" s="1227">
        <v>0</v>
      </c>
      <c r="G12" s="1227">
        <v>0</v>
      </c>
      <c r="H12" s="1227">
        <v>0</v>
      </c>
      <c r="I12" s="1227">
        <v>0</v>
      </c>
      <c r="J12" s="1227">
        <v>0</v>
      </c>
      <c r="K12" s="1227">
        <v>0</v>
      </c>
      <c r="L12" s="1227">
        <v>0</v>
      </c>
      <c r="M12" s="1227">
        <v>0</v>
      </c>
      <c r="N12" s="1227">
        <v>0</v>
      </c>
      <c r="O12" s="1227">
        <v>0</v>
      </c>
      <c r="P12" s="1227">
        <v>0</v>
      </c>
      <c r="Q12" s="1227">
        <v>0</v>
      </c>
      <c r="R12" s="1227">
        <v>0</v>
      </c>
      <c r="S12" s="1227">
        <v>0</v>
      </c>
      <c r="T12" s="1229">
        <f>ROUND(SUM(D12:S12),0)</f>
        <v>4273912</v>
      </c>
      <c r="U12" s="454"/>
      <c r="AA12" s="454"/>
      <c r="AB12" s="454"/>
      <c r="AC12" s="454"/>
      <c r="AD12" s="454"/>
      <c r="AE12" s="454"/>
      <c r="AF12" s="454"/>
      <c r="AG12" s="454"/>
      <c r="AH12" s="454"/>
    </row>
    <row r="13" spans="1:34" s="417" customFormat="1" ht="20.100000000000001" customHeight="1">
      <c r="A13" s="417" t="s">
        <v>841</v>
      </c>
      <c r="D13" s="1227">
        <f>ROUND('001 General Fund'!K22,0)</f>
        <v>833479</v>
      </c>
      <c r="E13" s="1227">
        <v>0</v>
      </c>
      <c r="F13" s="1227">
        <v>0</v>
      </c>
      <c r="G13" s="1227" t="e">
        <f>ROUND(#REF!+#REF!+#REF!+#REF!+#REF!+#REF!-G9,0)</f>
        <v>#REF!</v>
      </c>
      <c r="H13" s="1227">
        <v>0</v>
      </c>
      <c r="I13" s="1227">
        <v>0</v>
      </c>
      <c r="J13" s="1227">
        <v>0</v>
      </c>
      <c r="K13" s="1227">
        <v>0</v>
      </c>
      <c r="L13" s="1227">
        <v>0</v>
      </c>
      <c r="M13" s="1227">
        <v>0</v>
      </c>
      <c r="N13" s="1227">
        <v>0</v>
      </c>
      <c r="O13" s="1227">
        <v>0</v>
      </c>
      <c r="P13" s="1227">
        <v>0</v>
      </c>
      <c r="Q13" s="1227">
        <v>0</v>
      </c>
      <c r="R13" s="1227">
        <v>0</v>
      </c>
      <c r="S13" s="1227">
        <v>0</v>
      </c>
      <c r="T13" s="1229" t="e">
        <f>ROUND(SUM(D13:S13),0)</f>
        <v>#REF!</v>
      </c>
      <c r="U13" s="465"/>
      <c r="AA13" s="454"/>
      <c r="AB13" s="454"/>
      <c r="AC13" s="454"/>
      <c r="AD13" s="454"/>
      <c r="AE13" s="454"/>
      <c r="AF13" s="454"/>
      <c r="AG13" s="454"/>
      <c r="AH13" s="454"/>
    </row>
    <row r="14" spans="1:34" s="417" customFormat="1" ht="18.75">
      <c r="A14" s="417" t="s">
        <v>688</v>
      </c>
      <c r="C14" s="417" t="s">
        <v>424</v>
      </c>
      <c r="D14" s="1212">
        <f>SUM(D9:D13)</f>
        <v>64983421</v>
      </c>
      <c r="E14" s="1230">
        <f>SUM(E9:E11)</f>
        <v>56639343</v>
      </c>
      <c r="F14" s="1230" t="e">
        <f>SUM(F9:F9)</f>
        <v>#REF!</v>
      </c>
      <c r="G14" s="1212" t="e">
        <f>SUM(G9:G13)</f>
        <v>#REF!</v>
      </c>
      <c r="H14" s="1230">
        <f>SUM(H9:H11)</f>
        <v>23929746</v>
      </c>
      <c r="I14" s="1230">
        <f>SUM(I9:I11)</f>
        <v>7903598</v>
      </c>
      <c r="J14" s="1230">
        <f>SUM(J9:J11)</f>
        <v>13737004</v>
      </c>
      <c r="K14" s="1230">
        <f>SUM(K9:K11)</f>
        <v>13880782</v>
      </c>
      <c r="L14" s="1230">
        <f>SUM(L9:L11)</f>
        <v>12213219</v>
      </c>
      <c r="M14" s="1212">
        <f>SUM(M9:M13)</f>
        <v>4794070</v>
      </c>
      <c r="N14" s="1212">
        <f>SUM(N9:N13)</f>
        <v>38123</v>
      </c>
      <c r="O14" s="1212">
        <f>SUM(O9:O13)</f>
        <v>1679720</v>
      </c>
      <c r="P14" s="1212">
        <f>SUM(P9:P13)</f>
        <v>399899</v>
      </c>
      <c r="Q14" s="1230">
        <f>SUM(Q9:Q11)</f>
        <v>0</v>
      </c>
      <c r="R14" s="1212">
        <f>SUM(R9:R13)</f>
        <v>137125.75</v>
      </c>
      <c r="S14" s="1212">
        <f>SUM(S9:S13)</f>
        <v>99940</v>
      </c>
      <c r="T14" s="1230" t="e">
        <f>SUM(T9:T13)</f>
        <v>#REF!</v>
      </c>
      <c r="U14" s="454"/>
      <c r="AA14" s="454"/>
      <c r="AB14" s="454"/>
      <c r="AC14" s="454"/>
      <c r="AD14" s="454"/>
      <c r="AE14" s="454"/>
      <c r="AF14" s="454"/>
      <c r="AG14" s="454"/>
      <c r="AH14" s="454"/>
    </row>
    <row r="15" spans="1:34" s="417" customFormat="1" ht="12" customHeight="1">
      <c r="D15" s="1215"/>
      <c r="E15" s="1228"/>
      <c r="F15" s="1227"/>
      <c r="G15" s="1228"/>
      <c r="H15" s="1227"/>
      <c r="I15" s="1228"/>
      <c r="J15" s="1228"/>
      <c r="K15" s="1228"/>
      <c r="L15" s="1228"/>
      <c r="M15" s="1228"/>
      <c r="N15" s="1228"/>
      <c r="O15" s="1228"/>
      <c r="P15" s="1228"/>
      <c r="Q15" s="1228"/>
      <c r="R15" s="1228"/>
      <c r="S15" s="1228"/>
      <c r="T15" s="1232"/>
      <c r="U15" s="454"/>
      <c r="AA15" s="454"/>
      <c r="AB15" s="454"/>
      <c r="AC15" s="454"/>
      <c r="AD15" s="454"/>
      <c r="AE15" s="454"/>
      <c r="AF15" s="454"/>
      <c r="AG15" s="454"/>
      <c r="AH15" s="454"/>
    </row>
    <row r="16" spans="1:34" s="454" customFormat="1" ht="15.75" customHeight="1">
      <c r="A16" s="454" t="s">
        <v>426</v>
      </c>
      <c r="D16" s="1228"/>
      <c r="E16" s="1228"/>
      <c r="F16" s="1227"/>
      <c r="G16" s="1228"/>
      <c r="H16" s="1227"/>
      <c r="I16" s="1228"/>
      <c r="J16" s="1228"/>
      <c r="K16" s="1228"/>
      <c r="L16" s="1228"/>
      <c r="M16" s="1228"/>
      <c r="N16" s="1228"/>
      <c r="O16" s="1228"/>
      <c r="P16" s="1228"/>
      <c r="Q16" s="1228"/>
      <c r="R16" s="1228"/>
      <c r="S16" s="1228"/>
      <c r="T16" s="1232"/>
    </row>
    <row r="17" spans="1:20" s="454" customFormat="1" ht="16.5" customHeight="1">
      <c r="A17" s="454" t="s">
        <v>584</v>
      </c>
      <c r="B17" s="700" t="s">
        <v>585</v>
      </c>
      <c r="D17" s="1227"/>
      <c r="E17" s="1227"/>
      <c r="F17" s="1227"/>
      <c r="G17" s="1227"/>
      <c r="H17" s="1227"/>
      <c r="I17" s="1227"/>
      <c r="J17" s="1227"/>
      <c r="K17" s="1227"/>
      <c r="L17" s="1227"/>
      <c r="M17" s="1227"/>
      <c r="N17" s="1227"/>
      <c r="O17" s="1227"/>
      <c r="P17" s="1227"/>
      <c r="Q17" s="1227"/>
      <c r="R17" s="1227"/>
      <c r="S17" s="1227"/>
      <c r="T17" s="1229"/>
    </row>
    <row r="18" spans="1:20" s="454" customFormat="1" ht="20.100000000000001" customHeight="1">
      <c r="A18" s="454" t="s">
        <v>582</v>
      </c>
      <c r="B18" s="468">
        <v>4.1193</v>
      </c>
      <c r="D18" s="1228">
        <f>ROUND('[1]GF Resources'!$J$7,0)</f>
        <v>97569296</v>
      </c>
      <c r="E18" s="1227">
        <v>0</v>
      </c>
      <c r="F18" s="1227">
        <v>0</v>
      </c>
      <c r="G18" s="1228">
        <v>0</v>
      </c>
      <c r="H18" s="1228">
        <v>0</v>
      </c>
      <c r="I18" s="1228">
        <v>0</v>
      </c>
      <c r="J18" s="1227">
        <v>0</v>
      </c>
      <c r="K18" s="1227">
        <v>0</v>
      </c>
      <c r="L18" s="1227">
        <v>0</v>
      </c>
      <c r="M18" s="1228">
        <v>0</v>
      </c>
      <c r="N18" s="1228">
        <v>0</v>
      </c>
      <c r="O18" s="1228">
        <v>0</v>
      </c>
      <c r="P18" s="1228">
        <v>0</v>
      </c>
      <c r="Q18" s="1228">
        <v>0</v>
      </c>
      <c r="R18" s="1228">
        <v>0</v>
      </c>
      <c r="S18" s="1228">
        <v>0</v>
      </c>
      <c r="T18" s="1229">
        <f t="shared" ref="T18:T28" si="0">ROUND(SUM(D18:S18),0)</f>
        <v>97569296</v>
      </c>
    </row>
    <row r="19" spans="1:20" s="454" customFormat="1" ht="20.100000000000001" customHeight="1">
      <c r="A19" s="454" t="s">
        <v>873</v>
      </c>
      <c r="B19" s="468">
        <v>0.20710000000000001</v>
      </c>
      <c r="D19" s="1228">
        <v>0</v>
      </c>
      <c r="E19" s="1227">
        <v>0</v>
      </c>
      <c r="F19" s="1228" t="e">
        <f>ROUND(#REF!+#REF!+#REF!,0)</f>
        <v>#REF!</v>
      </c>
      <c r="G19" s="1228">
        <v>0</v>
      </c>
      <c r="H19" s="1228">
        <v>0</v>
      </c>
      <c r="I19" s="1228">
        <v>0</v>
      </c>
      <c r="J19" s="1227">
        <v>0</v>
      </c>
      <c r="K19" s="1227">
        <v>0</v>
      </c>
      <c r="L19" s="1227">
        <v>0</v>
      </c>
      <c r="M19" s="1228">
        <v>0</v>
      </c>
      <c r="N19" s="1228">
        <v>0</v>
      </c>
      <c r="O19" s="1228"/>
      <c r="P19" s="1228">
        <v>0</v>
      </c>
      <c r="Q19" s="1228">
        <v>0</v>
      </c>
      <c r="R19" s="1228">
        <v>0</v>
      </c>
      <c r="S19" s="1228">
        <v>0</v>
      </c>
      <c r="T19" s="1229" t="e">
        <f t="shared" si="0"/>
        <v>#REF!</v>
      </c>
    </row>
    <row r="20" spans="1:20" s="454" customFormat="1" ht="20.100000000000001" customHeight="1">
      <c r="A20" s="454" t="s">
        <v>581</v>
      </c>
      <c r="B20" s="576">
        <v>1</v>
      </c>
      <c r="D20" s="1229">
        <v>0</v>
      </c>
      <c r="E20" s="1228">
        <v>0</v>
      </c>
      <c r="F20" s="1228">
        <v>0</v>
      </c>
      <c r="G20" s="1228">
        <v>0</v>
      </c>
      <c r="H20" s="1228">
        <v>0</v>
      </c>
      <c r="I20" s="1228">
        <v>0</v>
      </c>
      <c r="J20" s="1228">
        <v>0</v>
      </c>
      <c r="K20" s="1228">
        <v>0</v>
      </c>
      <c r="L20" s="1228">
        <v>0</v>
      </c>
      <c r="M20" s="1228">
        <v>0</v>
      </c>
      <c r="N20" s="1228">
        <v>0</v>
      </c>
      <c r="O20" s="1228">
        <v>0</v>
      </c>
      <c r="P20" s="1228">
        <v>0</v>
      </c>
      <c r="Q20" s="1228">
        <v>0</v>
      </c>
      <c r="R20" s="1228">
        <v>0</v>
      </c>
      <c r="S20" s="1227">
        <f>ROUND('Sunrise Key'!L8,0)</f>
        <v>80098</v>
      </c>
      <c r="T20" s="1229">
        <f t="shared" si="0"/>
        <v>80098</v>
      </c>
    </row>
    <row r="21" spans="1:20" s="454" customFormat="1" ht="20.100000000000001" customHeight="1">
      <c r="A21" s="454" t="s">
        <v>580</v>
      </c>
      <c r="B21" s="684"/>
      <c r="D21" s="1228">
        <f>ROUND('[1]GF Resources'!$J$14,0)</f>
        <v>4882276</v>
      </c>
      <c r="E21" s="1228">
        <v>0</v>
      </c>
      <c r="F21" s="1228">
        <v>0</v>
      </c>
      <c r="G21" s="1228">
        <v>0</v>
      </c>
      <c r="H21" s="1228">
        <v>0</v>
      </c>
      <c r="I21" s="1228">
        <v>0</v>
      </c>
      <c r="J21" s="1228">
        <v>0</v>
      </c>
      <c r="K21" s="1228">
        <v>0</v>
      </c>
      <c r="L21" s="1228">
        <v>0</v>
      </c>
      <c r="M21" s="1228">
        <v>0</v>
      </c>
      <c r="N21" s="1228">
        <v>0</v>
      </c>
      <c r="O21" s="1228">
        <v>0</v>
      </c>
      <c r="P21" s="1228">
        <v>0</v>
      </c>
      <c r="Q21" s="1228">
        <v>0</v>
      </c>
      <c r="R21" s="1228">
        <v>0</v>
      </c>
      <c r="S21" s="1228">
        <v>0</v>
      </c>
      <c r="T21" s="1229">
        <f t="shared" si="0"/>
        <v>4882276</v>
      </c>
    </row>
    <row r="22" spans="1:20" s="454" customFormat="1" ht="20.100000000000001" customHeight="1">
      <c r="A22" s="454" t="s">
        <v>579</v>
      </c>
      <c r="D22" s="1228">
        <f>ROUND('[1]GF Resources'!$J$15,0)</f>
        <v>15228206</v>
      </c>
      <c r="E22" s="1227">
        <v>0</v>
      </c>
      <c r="F22" s="1228">
        <v>0</v>
      </c>
      <c r="G22" s="1228">
        <v>0</v>
      </c>
      <c r="H22" s="1228">
        <v>0</v>
      </c>
      <c r="I22" s="1228">
        <v>0</v>
      </c>
      <c r="J22" s="1227">
        <v>0</v>
      </c>
      <c r="K22" s="1227">
        <v>0</v>
      </c>
      <c r="L22" s="1227">
        <v>0</v>
      </c>
      <c r="M22" s="1228">
        <v>0</v>
      </c>
      <c r="N22" s="1228">
        <v>0</v>
      </c>
      <c r="O22" s="1228">
        <v>0</v>
      </c>
      <c r="P22" s="1228">
        <v>0</v>
      </c>
      <c r="Q22" s="1228">
        <v>0</v>
      </c>
      <c r="R22" s="1228">
        <v>0</v>
      </c>
      <c r="S22" s="1228">
        <v>0</v>
      </c>
      <c r="T22" s="1229">
        <f t="shared" si="0"/>
        <v>15228206</v>
      </c>
    </row>
    <row r="23" spans="1:20" s="454" customFormat="1" ht="20.100000000000001" customHeight="1">
      <c r="A23" s="454" t="s">
        <v>578</v>
      </c>
      <c r="D23" s="1228">
        <f>ROUND('[1]GF Resources'!$J$16,0)</f>
        <v>36592965</v>
      </c>
      <c r="E23" s="1227">
        <v>0</v>
      </c>
      <c r="F23" s="1228">
        <v>0</v>
      </c>
      <c r="G23" s="1228">
        <v>0</v>
      </c>
      <c r="H23" s="1228">
        <v>0</v>
      </c>
      <c r="I23" s="1228">
        <v>0</v>
      </c>
      <c r="J23" s="1227">
        <v>0</v>
      </c>
      <c r="K23" s="1227">
        <v>0</v>
      </c>
      <c r="L23" s="1227">
        <v>0</v>
      </c>
      <c r="M23" s="1228">
        <v>0</v>
      </c>
      <c r="N23" s="1228">
        <v>0</v>
      </c>
      <c r="O23" s="1228">
        <v>0</v>
      </c>
      <c r="P23" s="1228">
        <v>0</v>
      </c>
      <c r="Q23" s="1228">
        <v>0</v>
      </c>
      <c r="R23" s="1228">
        <v>0</v>
      </c>
      <c r="S23" s="1228">
        <v>0</v>
      </c>
      <c r="T23" s="1229">
        <f t="shared" si="0"/>
        <v>36592965</v>
      </c>
    </row>
    <row r="24" spans="1:20" s="454" customFormat="1" ht="20.100000000000001" customHeight="1">
      <c r="A24" s="454" t="s">
        <v>435</v>
      </c>
      <c r="D24" s="1228">
        <f>ROUND('[1]GF Resources'!$J$22,0)</f>
        <v>2924286</v>
      </c>
      <c r="E24" s="1227">
        <v>0</v>
      </c>
      <c r="F24" s="1228">
        <v>0</v>
      </c>
      <c r="G24" s="1228" t="e">
        <f>ROUND(#REF!+#REF!+#REF!,0)</f>
        <v>#REF!</v>
      </c>
      <c r="H24" s="1228">
        <v>0</v>
      </c>
      <c r="I24" s="1228">
        <v>0</v>
      </c>
      <c r="J24" s="1227">
        <v>0</v>
      </c>
      <c r="K24" s="1227">
        <v>0</v>
      </c>
      <c r="L24" s="1227">
        <v>0</v>
      </c>
      <c r="M24" s="1228">
        <v>0</v>
      </c>
      <c r="N24" s="1228">
        <v>0</v>
      </c>
      <c r="O24" s="1228">
        <v>0</v>
      </c>
      <c r="P24" s="1228">
        <v>0</v>
      </c>
      <c r="Q24" s="1228">
        <v>0</v>
      </c>
      <c r="R24" s="1228">
        <v>0</v>
      </c>
      <c r="S24" s="1228">
        <v>0</v>
      </c>
      <c r="T24" s="1229" t="e">
        <f t="shared" si="0"/>
        <v>#REF!</v>
      </c>
    </row>
    <row r="25" spans="1:20" s="454" customFormat="1" ht="20.100000000000001" customHeight="1">
      <c r="A25" s="454" t="s">
        <v>408</v>
      </c>
      <c r="D25" s="1228">
        <f>ROUND('[1]GF Resources'!$J$28,0)</f>
        <v>17749691</v>
      </c>
      <c r="E25" s="1227">
        <v>0</v>
      </c>
      <c r="F25" s="1228">
        <v>0</v>
      </c>
      <c r="G25" s="1227">
        <v>0</v>
      </c>
      <c r="H25" s="1228">
        <v>0</v>
      </c>
      <c r="I25" s="1228">
        <v>0</v>
      </c>
      <c r="J25" s="1227">
        <v>0</v>
      </c>
      <c r="K25" s="1227">
        <v>0</v>
      </c>
      <c r="L25" s="1227">
        <v>0</v>
      </c>
      <c r="M25" s="1227">
        <f>ROUND('CRA-Beach'!L8+'CRA-NW Progresso'!L8,0)</f>
        <v>8187921</v>
      </c>
      <c r="N25" s="1227">
        <f>ROUND('Housing and Community Dev'!L8,0)</f>
        <v>9371773</v>
      </c>
      <c r="O25" s="1227">
        <v>0</v>
      </c>
      <c r="P25" s="1228">
        <v>0</v>
      </c>
      <c r="Q25" s="1228">
        <v>0</v>
      </c>
      <c r="R25" s="1227">
        <v>0</v>
      </c>
      <c r="S25" s="1228">
        <v>0</v>
      </c>
      <c r="T25" s="1229">
        <f t="shared" si="0"/>
        <v>35309385</v>
      </c>
    </row>
    <row r="26" spans="1:20" s="454" customFormat="1" ht="20.100000000000001" customHeight="1">
      <c r="A26" s="454" t="s">
        <v>114</v>
      </c>
      <c r="D26" s="1228">
        <f>ROUND('[1]GF Resources'!$J$40,0)</f>
        <v>26036670</v>
      </c>
      <c r="E26" s="1227">
        <f>ROUND('Water and Sewer'!L8+'Central Region'!L8,0)</f>
        <v>122220191</v>
      </c>
      <c r="F26" s="1228">
        <v>0</v>
      </c>
      <c r="G26" s="1228" t="e">
        <f>ROUND(#REF!,0)</f>
        <v>#REF!</v>
      </c>
      <c r="H26" s="1228">
        <v>0</v>
      </c>
      <c r="I26" s="1227">
        <f>ROUND(Sanitation!L9,0)</f>
        <v>15162899</v>
      </c>
      <c r="J26" s="1227">
        <f>ROUND('Parking System'!L8,0)</f>
        <v>11903785</v>
      </c>
      <c r="K26" s="1227">
        <f>ROUND(Airport!L9,0)</f>
        <v>3796402</v>
      </c>
      <c r="L26" s="1227">
        <f>ROUND(Stormwater!L8,0)</f>
        <v>0</v>
      </c>
      <c r="M26" s="1228">
        <f>ROUND(+'CRA-NW Progresso'!L9,0)</f>
        <v>0</v>
      </c>
      <c r="N26" s="1228">
        <v>0</v>
      </c>
      <c r="O26" s="1228">
        <v>0</v>
      </c>
      <c r="P26" s="1228">
        <v>0</v>
      </c>
      <c r="Q26" s="1227">
        <f>ROUND('Arts Science District Garage'!L8,0)</f>
        <v>1155995</v>
      </c>
      <c r="R26" s="1228">
        <v>0</v>
      </c>
      <c r="S26" s="1228">
        <v>0</v>
      </c>
      <c r="T26" s="1229" t="e">
        <f t="shared" si="0"/>
        <v>#REF!</v>
      </c>
    </row>
    <row r="27" spans="1:20" s="454" customFormat="1" ht="20.100000000000001" customHeight="1">
      <c r="A27" s="454" t="s">
        <v>436</v>
      </c>
      <c r="D27" s="1228">
        <f>ROUND('[1]GF Resources'!$J$45,0)</f>
        <v>4799918</v>
      </c>
      <c r="E27" s="1227">
        <v>0</v>
      </c>
      <c r="F27" s="1228">
        <v>0</v>
      </c>
      <c r="G27" s="1228">
        <v>0</v>
      </c>
      <c r="H27" s="1228">
        <v>0</v>
      </c>
      <c r="I27" s="1227">
        <f>ROUND(Sanitation!L11,0)</f>
        <v>3000000</v>
      </c>
      <c r="J27" s="1227">
        <f>ROUND('Parking System'!L9,0)</f>
        <v>3038435</v>
      </c>
      <c r="K27" s="1227">
        <v>0</v>
      </c>
      <c r="L27" s="1227">
        <v>0</v>
      </c>
      <c r="M27" s="1228">
        <v>0</v>
      </c>
      <c r="N27" s="1228">
        <v>0</v>
      </c>
      <c r="O27" s="1228">
        <f>Police!L9</f>
        <v>255000</v>
      </c>
      <c r="P27" s="1228">
        <v>0</v>
      </c>
      <c r="Q27" s="1228">
        <v>0</v>
      </c>
      <c r="R27" s="1228">
        <f>ROUND('School Crossing Guard'!L8,0)</f>
        <v>872600</v>
      </c>
      <c r="S27" s="1228">
        <v>0</v>
      </c>
      <c r="T27" s="1229">
        <f t="shared" si="0"/>
        <v>11965953</v>
      </c>
    </row>
    <row r="28" spans="1:20" s="454" customFormat="1" ht="20.100000000000001" customHeight="1">
      <c r="A28" s="454" t="s">
        <v>437</v>
      </c>
      <c r="D28" s="1228">
        <f>ROUND('[1]GF Resources'!$J$54,0)</f>
        <v>78384413</v>
      </c>
      <c r="E28" s="1227">
        <f>ROUND('Water and Sewer'!L9+'Central Region'!L9,0)</f>
        <v>6500315</v>
      </c>
      <c r="F28" s="1228">
        <v>0</v>
      </c>
      <c r="G28" s="1228" t="e">
        <f>ROUND(#REF!+#REF!+#REF!,0)</f>
        <v>#REF!</v>
      </c>
      <c r="H28" s="1227">
        <f>ROUND(Cemtery!L8,0)</f>
        <v>2200000</v>
      </c>
      <c r="I28" s="1228">
        <f>Sanitation!L10</f>
        <v>103553</v>
      </c>
      <c r="J28" s="1227">
        <f>ROUND('Parking System'!L10,0)</f>
        <v>382892</v>
      </c>
      <c r="K28" s="1227">
        <f>ROUND(Airport!L10,0)</f>
        <v>3899193</v>
      </c>
      <c r="L28" s="1227">
        <f>ROUND(Stormwater!L10,0)</f>
        <v>170400</v>
      </c>
      <c r="M28" s="1227">
        <f>ROUND('CRA-Beach'!L9+'CRA-NW Progresso'!L10+'CRA-Central City'!L8,0)</f>
        <v>191468</v>
      </c>
      <c r="N28" s="1228">
        <v>0</v>
      </c>
      <c r="O28" s="1228">
        <f>Police!L10</f>
        <v>19000</v>
      </c>
      <c r="P28" s="1227">
        <f>ROUND('Beach Bus Improv District'!L8,0)</f>
        <v>704082</v>
      </c>
      <c r="Q28" s="1227">
        <v>0</v>
      </c>
      <c r="R28" s="1228">
        <v>0</v>
      </c>
      <c r="S28" s="1227">
        <f>ROUND('Sunrise Key'!L9,0)</f>
        <v>210</v>
      </c>
      <c r="T28" s="1229" t="e">
        <f t="shared" si="0"/>
        <v>#REF!</v>
      </c>
    </row>
    <row r="29" spans="1:20" s="454" customFormat="1" ht="20.100000000000001" customHeight="1">
      <c r="A29" s="454" t="s">
        <v>438</v>
      </c>
      <c r="C29" s="454" t="s">
        <v>424</v>
      </c>
      <c r="D29" s="1230">
        <f>SUM(D17:D28)</f>
        <v>284167721</v>
      </c>
      <c r="E29" s="1231">
        <f t="shared" ref="E29:T29" si="1">SUM(E18:E28)</f>
        <v>128720506</v>
      </c>
      <c r="F29" s="1231" t="e">
        <f t="shared" si="1"/>
        <v>#REF!</v>
      </c>
      <c r="G29" s="1230" t="e">
        <f t="shared" si="1"/>
        <v>#REF!</v>
      </c>
      <c r="H29" s="1231">
        <f t="shared" si="1"/>
        <v>2200000</v>
      </c>
      <c r="I29" s="1231">
        <f t="shared" si="1"/>
        <v>18266452</v>
      </c>
      <c r="J29" s="1231">
        <f t="shared" si="1"/>
        <v>15325112</v>
      </c>
      <c r="K29" s="1231">
        <f t="shared" si="1"/>
        <v>7695595</v>
      </c>
      <c r="L29" s="1231">
        <f t="shared" si="1"/>
        <v>170400</v>
      </c>
      <c r="M29" s="1230">
        <f t="shared" si="1"/>
        <v>8379389</v>
      </c>
      <c r="N29" s="1230">
        <f t="shared" si="1"/>
        <v>9371773</v>
      </c>
      <c r="O29" s="1230">
        <f t="shared" si="1"/>
        <v>274000</v>
      </c>
      <c r="P29" s="1230">
        <f t="shared" si="1"/>
        <v>704082</v>
      </c>
      <c r="Q29" s="1231">
        <f t="shared" si="1"/>
        <v>1155995</v>
      </c>
      <c r="R29" s="1230">
        <f t="shared" si="1"/>
        <v>872600</v>
      </c>
      <c r="S29" s="1230">
        <f t="shared" si="1"/>
        <v>80308</v>
      </c>
      <c r="T29" s="1231" t="e">
        <f t="shared" si="1"/>
        <v>#REF!</v>
      </c>
    </row>
    <row r="30" spans="1:20" s="454" customFormat="1" ht="15.95" customHeight="1">
      <c r="D30" s="1227"/>
      <c r="E30" s="1227"/>
      <c r="F30" s="1227"/>
      <c r="G30" s="1227"/>
      <c r="H30" s="1227"/>
      <c r="I30" s="1227"/>
      <c r="J30" s="1227"/>
      <c r="K30" s="1227"/>
      <c r="L30" s="1227"/>
      <c r="M30" s="1227"/>
      <c r="N30" s="1227"/>
      <c r="O30" s="1227"/>
      <c r="P30" s="1227"/>
      <c r="Q30" s="1227"/>
      <c r="R30" s="1227"/>
      <c r="S30" s="1227"/>
      <c r="T30" s="1227"/>
    </row>
    <row r="31" spans="1:20" s="454" customFormat="1" ht="20.100000000000001" customHeight="1">
      <c r="A31" s="454" t="s">
        <v>439</v>
      </c>
      <c r="C31" s="454" t="s">
        <v>424</v>
      </c>
      <c r="D31" s="1233">
        <f>ROUND('[1]GF Resources'!$J$57,0)</f>
        <v>982884</v>
      </c>
      <c r="E31" s="1233">
        <f>'Water and Sewer'!L10</f>
        <v>0</v>
      </c>
      <c r="F31" s="1233" t="e">
        <f>ROUND(#REF!+#REF!+#REF!+#REF!+#REF!+#REF!,0)</f>
        <v>#REF!</v>
      </c>
      <c r="G31" s="1233">
        <v>0</v>
      </c>
      <c r="H31" s="1233">
        <v>0</v>
      </c>
      <c r="I31" s="1233">
        <v>0</v>
      </c>
      <c r="J31" s="1233">
        <v>0</v>
      </c>
      <c r="K31" s="1233">
        <v>0</v>
      </c>
      <c r="L31" s="1233">
        <v>0</v>
      </c>
      <c r="M31" s="1233">
        <f>'CRA-Beach'!L10+'CRA-NW Progresso'!L11</f>
        <v>4496529</v>
      </c>
      <c r="N31" s="1233">
        <v>0</v>
      </c>
      <c r="O31" s="1233"/>
      <c r="P31" s="1233">
        <v>0</v>
      </c>
      <c r="Q31" s="1233">
        <v>0</v>
      </c>
      <c r="R31" s="1233">
        <v>0</v>
      </c>
      <c r="S31" s="1233">
        <v>0</v>
      </c>
      <c r="T31" s="1234" t="e">
        <f>ROUND(SUM(D31:S31),0)</f>
        <v>#REF!</v>
      </c>
    </row>
    <row r="32" spans="1:20" s="454" customFormat="1" ht="10.5" customHeight="1">
      <c r="D32" s="1227"/>
      <c r="E32" s="1227"/>
      <c r="F32" s="1227"/>
      <c r="G32" s="1227"/>
      <c r="H32" s="1227"/>
      <c r="I32" s="1227"/>
      <c r="J32" s="1227"/>
      <c r="K32" s="1227"/>
      <c r="L32" s="1227"/>
      <c r="M32" s="1227"/>
      <c r="N32" s="1227"/>
      <c r="O32" s="1227"/>
      <c r="P32" s="1227"/>
      <c r="Q32" s="1227"/>
      <c r="R32" s="1227"/>
      <c r="S32" s="1227"/>
      <c r="T32" s="1229"/>
    </row>
    <row r="33" spans="1:34" s="454" customFormat="1" ht="21.95" customHeight="1" thickBot="1">
      <c r="A33" s="713" t="s">
        <v>21</v>
      </c>
      <c r="B33" s="714"/>
      <c r="C33" s="454" t="s">
        <v>424</v>
      </c>
      <c r="D33" s="1235">
        <f t="shared" ref="D33:T33" si="2">D14+D29+D31</f>
        <v>350134026</v>
      </c>
      <c r="E33" s="1235">
        <f t="shared" si="2"/>
        <v>185359849</v>
      </c>
      <c r="F33" s="1235" t="e">
        <f t="shared" si="2"/>
        <v>#REF!</v>
      </c>
      <c r="G33" s="1235" t="e">
        <f t="shared" si="2"/>
        <v>#REF!</v>
      </c>
      <c r="H33" s="1235">
        <f t="shared" si="2"/>
        <v>26129746</v>
      </c>
      <c r="I33" s="1235">
        <f t="shared" si="2"/>
        <v>26170050</v>
      </c>
      <c r="J33" s="1235">
        <f t="shared" si="2"/>
        <v>29062116</v>
      </c>
      <c r="K33" s="1235">
        <f t="shared" si="2"/>
        <v>21576377</v>
      </c>
      <c r="L33" s="1235">
        <f t="shared" si="2"/>
        <v>12383619</v>
      </c>
      <c r="M33" s="1235">
        <f t="shared" si="2"/>
        <v>17669988</v>
      </c>
      <c r="N33" s="1235">
        <f t="shared" si="2"/>
        <v>9409896</v>
      </c>
      <c r="O33" s="1235">
        <f t="shared" si="2"/>
        <v>1953720</v>
      </c>
      <c r="P33" s="1235">
        <f t="shared" si="2"/>
        <v>1103981</v>
      </c>
      <c r="Q33" s="1235">
        <f t="shared" si="2"/>
        <v>1155995</v>
      </c>
      <c r="R33" s="1235">
        <f t="shared" si="2"/>
        <v>1009725.75</v>
      </c>
      <c r="S33" s="1235">
        <f t="shared" si="2"/>
        <v>180248</v>
      </c>
      <c r="T33" s="1235" t="e">
        <f t="shared" si="2"/>
        <v>#REF!</v>
      </c>
    </row>
    <row r="34" spans="1:34" s="454" customFormat="1" ht="10.5" customHeight="1" thickTop="1">
      <c r="D34" s="1227"/>
      <c r="E34" s="1227"/>
      <c r="F34" s="1227"/>
      <c r="G34" s="1227"/>
      <c r="H34" s="1227"/>
      <c r="I34" s="1227"/>
      <c r="J34" s="1227"/>
      <c r="K34" s="1227"/>
      <c r="L34" s="1227"/>
      <c r="M34" s="1227"/>
      <c r="N34" s="1227"/>
      <c r="O34" s="1227"/>
      <c r="P34" s="1227"/>
      <c r="Q34" s="1227"/>
      <c r="R34" s="1227"/>
      <c r="S34" s="1227"/>
      <c r="T34" s="1229"/>
    </row>
    <row r="35" spans="1:34" s="454" customFormat="1" ht="14.1" customHeight="1">
      <c r="A35" s="685"/>
      <c r="D35" s="1228" t="s">
        <v>58</v>
      </c>
      <c r="E35" s="1227"/>
      <c r="F35" s="1227"/>
      <c r="G35" s="1227"/>
      <c r="H35" s="1227"/>
      <c r="I35" s="1227"/>
      <c r="J35" s="1227"/>
      <c r="K35" s="1227"/>
      <c r="L35" s="1227"/>
      <c r="M35" s="1227"/>
      <c r="N35" s="1227"/>
      <c r="O35" s="1227"/>
      <c r="P35" s="1227"/>
      <c r="Q35" s="1227"/>
      <c r="R35" s="1227"/>
      <c r="S35" s="1227"/>
      <c r="T35" s="1229"/>
      <c r="AA35" s="685"/>
      <c r="AB35" s="685"/>
    </row>
    <row r="36" spans="1:34" s="454" customFormat="1" ht="6.95" customHeight="1">
      <c r="D36" s="1227"/>
      <c r="E36" s="1227"/>
      <c r="F36" s="1227"/>
      <c r="G36" s="1227"/>
      <c r="H36" s="1227"/>
      <c r="I36" s="1227"/>
      <c r="J36" s="1227"/>
      <c r="K36" s="1227"/>
      <c r="L36" s="1227"/>
      <c r="M36" s="1227"/>
      <c r="N36" s="1227"/>
      <c r="O36" s="1227"/>
      <c r="P36" s="1227"/>
      <c r="Q36" s="1227"/>
      <c r="R36" s="1227"/>
      <c r="S36" s="1227"/>
      <c r="T36" s="1229"/>
    </row>
    <row r="37" spans="1:34" s="454" customFormat="1" ht="17.25" customHeight="1">
      <c r="A37" s="454" t="s">
        <v>811</v>
      </c>
      <c r="D37" s="1227"/>
      <c r="E37" s="1227"/>
      <c r="F37" s="1227"/>
      <c r="G37" s="1227"/>
      <c r="H37" s="1227"/>
      <c r="I37" s="1227"/>
      <c r="J37" s="1227"/>
      <c r="K37" s="1227"/>
      <c r="L37" s="1227"/>
      <c r="M37" s="1227"/>
      <c r="N37" s="1227"/>
      <c r="O37" s="1227"/>
      <c r="P37" s="1227"/>
      <c r="Q37" s="1227"/>
      <c r="R37" s="1227"/>
      <c r="S37" s="1227"/>
      <c r="T37" s="1229"/>
    </row>
    <row r="38" spans="1:34" s="454" customFormat="1" ht="20.100000000000001" customHeight="1">
      <c r="A38" s="454" t="s">
        <v>442</v>
      </c>
      <c r="C38" s="454" t="s">
        <v>424</v>
      </c>
      <c r="D38" s="1227" t="e">
        <f>ROUND(VLOOKUP(A38,#REF!,3,FALSE),0)</f>
        <v>#REF!</v>
      </c>
      <c r="E38" s="1227">
        <v>0</v>
      </c>
      <c r="F38" s="1227">
        <v>0</v>
      </c>
      <c r="G38" s="1227">
        <v>0</v>
      </c>
      <c r="H38" s="1227">
        <v>0</v>
      </c>
      <c r="I38" s="1227">
        <v>0</v>
      </c>
      <c r="J38" s="1227">
        <v>0</v>
      </c>
      <c r="K38" s="1227">
        <v>0</v>
      </c>
      <c r="L38" s="1227">
        <v>0</v>
      </c>
      <c r="M38" s="1227">
        <v>0</v>
      </c>
      <c r="N38" s="1227">
        <v>0</v>
      </c>
      <c r="O38" s="1227">
        <v>0</v>
      </c>
      <c r="P38" s="1227">
        <v>0</v>
      </c>
      <c r="Q38" s="1227">
        <v>0</v>
      </c>
      <c r="R38" s="1227">
        <v>0</v>
      </c>
      <c r="S38" s="1227">
        <v>0</v>
      </c>
      <c r="T38" s="1229" t="e">
        <f t="shared" ref="T38:T52" si="3">ROUND(SUM(D38:S38),0)</f>
        <v>#REF!</v>
      </c>
    </row>
    <row r="39" spans="1:34" s="417" customFormat="1" ht="20.100000000000001" customHeight="1">
      <c r="A39" s="417" t="s">
        <v>443</v>
      </c>
      <c r="D39" s="1227" t="e">
        <f>ROUND(VLOOKUP(A39,#REF!,3,FALSE),0)</f>
        <v>#REF!</v>
      </c>
      <c r="E39" s="1227">
        <v>0</v>
      </c>
      <c r="F39" s="1227">
        <v>0</v>
      </c>
      <c r="G39" s="1227">
        <v>0</v>
      </c>
      <c r="H39" s="1227">
        <v>0</v>
      </c>
      <c r="I39" s="1227">
        <v>0</v>
      </c>
      <c r="J39" s="1227">
        <v>0</v>
      </c>
      <c r="K39" s="1227">
        <v>0</v>
      </c>
      <c r="L39" s="1227">
        <v>0</v>
      </c>
      <c r="M39" s="1227">
        <v>0</v>
      </c>
      <c r="N39" s="1227">
        <v>0</v>
      </c>
      <c r="O39" s="1227">
        <v>0</v>
      </c>
      <c r="P39" s="1227">
        <v>0</v>
      </c>
      <c r="Q39" s="1227">
        <v>0</v>
      </c>
      <c r="R39" s="1227">
        <v>0</v>
      </c>
      <c r="S39" s="1227">
        <v>0</v>
      </c>
      <c r="T39" s="1229" t="e">
        <f t="shared" si="3"/>
        <v>#REF!</v>
      </c>
      <c r="U39" s="454"/>
      <c r="AA39" s="454"/>
      <c r="AB39" s="454"/>
      <c r="AC39" s="454"/>
      <c r="AD39" s="454"/>
      <c r="AE39" s="454"/>
      <c r="AF39" s="454"/>
      <c r="AG39" s="454"/>
      <c r="AH39" s="454"/>
    </row>
    <row r="40" spans="1:34" s="417" customFormat="1" ht="20.100000000000001" customHeight="1">
      <c r="A40" s="417" t="s">
        <v>444</v>
      </c>
      <c r="D40" s="1227" t="e">
        <f>ROUNDDOWN(VLOOKUP(A40,#REF!,3,FALSE),0)</f>
        <v>#REF!</v>
      </c>
      <c r="E40" s="1227">
        <v>0</v>
      </c>
      <c r="F40" s="1227">
        <v>0</v>
      </c>
      <c r="G40" s="1227">
        <v>0</v>
      </c>
      <c r="H40" s="1227">
        <v>0</v>
      </c>
      <c r="I40" s="1227">
        <v>0</v>
      </c>
      <c r="J40" s="1227">
        <v>0</v>
      </c>
      <c r="K40" s="1227">
        <v>0</v>
      </c>
      <c r="L40" s="1227">
        <v>0</v>
      </c>
      <c r="M40" s="1227">
        <v>0</v>
      </c>
      <c r="N40" s="1227">
        <v>0</v>
      </c>
      <c r="O40" s="1227">
        <v>0</v>
      </c>
      <c r="P40" s="1227">
        <v>0</v>
      </c>
      <c r="Q40" s="1227">
        <v>0</v>
      </c>
      <c r="R40" s="1227">
        <v>0</v>
      </c>
      <c r="S40" s="1227">
        <v>0</v>
      </c>
      <c r="T40" s="1229" t="e">
        <f t="shared" si="3"/>
        <v>#REF!</v>
      </c>
      <c r="U40" s="454"/>
      <c r="AA40" s="454"/>
      <c r="AB40" s="454"/>
      <c r="AC40" s="454"/>
      <c r="AD40" s="454"/>
      <c r="AE40" s="454"/>
      <c r="AF40" s="454"/>
      <c r="AG40" s="454"/>
      <c r="AH40" s="454"/>
    </row>
    <row r="41" spans="1:34" s="417" customFormat="1" ht="20.100000000000001" customHeight="1">
      <c r="A41" s="417" t="s">
        <v>445</v>
      </c>
      <c r="D41" s="1227" t="e">
        <f>ROUND(VLOOKUP(A41,#REF!,3,FALSE),0)</f>
        <v>#REF!</v>
      </c>
      <c r="E41" s="1227">
        <v>0</v>
      </c>
      <c r="F41" s="1227">
        <v>0</v>
      </c>
      <c r="G41" s="1227">
        <v>0</v>
      </c>
      <c r="H41" s="1227">
        <v>0</v>
      </c>
      <c r="I41" s="1227">
        <v>0</v>
      </c>
      <c r="J41" s="1227">
        <v>0</v>
      </c>
      <c r="K41" s="1227">
        <v>0</v>
      </c>
      <c r="L41" s="1227">
        <v>0</v>
      </c>
      <c r="M41" s="1227">
        <v>0</v>
      </c>
      <c r="N41" s="1227">
        <v>0</v>
      </c>
      <c r="O41" s="1227">
        <v>0</v>
      </c>
      <c r="P41" s="1227">
        <v>0</v>
      </c>
      <c r="Q41" s="1227">
        <v>0</v>
      </c>
      <c r="R41" s="1227">
        <v>0</v>
      </c>
      <c r="S41" s="1227">
        <v>0</v>
      </c>
      <c r="T41" s="1229" t="e">
        <f t="shared" si="3"/>
        <v>#REF!</v>
      </c>
      <c r="U41" s="454"/>
      <c r="AA41" s="454"/>
      <c r="AB41" s="454"/>
      <c r="AC41" s="454"/>
      <c r="AD41" s="454"/>
      <c r="AE41" s="454"/>
      <c r="AF41" s="454"/>
      <c r="AG41" s="454"/>
      <c r="AH41" s="454"/>
    </row>
    <row r="42" spans="1:34" s="417" customFormat="1" ht="20.100000000000001" customHeight="1">
      <c r="A42" s="417" t="s">
        <v>446</v>
      </c>
      <c r="D42" s="1227" t="e">
        <f>ROUND(VLOOKUP(A42,#REF!,3,FALSE),0)</f>
        <v>#REF!</v>
      </c>
      <c r="E42" s="1227">
        <v>0</v>
      </c>
      <c r="F42" s="1227">
        <v>0</v>
      </c>
      <c r="G42" s="1227">
        <v>0</v>
      </c>
      <c r="H42" s="1227">
        <v>0</v>
      </c>
      <c r="I42" s="1227">
        <v>0</v>
      </c>
      <c r="J42" s="1227">
        <v>0</v>
      </c>
      <c r="K42" s="1227">
        <v>0</v>
      </c>
      <c r="L42" s="1227">
        <v>0</v>
      </c>
      <c r="M42" s="1227">
        <v>0</v>
      </c>
      <c r="N42" s="1227">
        <v>0</v>
      </c>
      <c r="O42" s="1227">
        <v>0</v>
      </c>
      <c r="P42" s="1227">
        <v>0</v>
      </c>
      <c r="Q42" s="1227">
        <v>0</v>
      </c>
      <c r="R42" s="1227">
        <v>0</v>
      </c>
      <c r="S42" s="1227">
        <v>0</v>
      </c>
      <c r="T42" s="1229" t="e">
        <f t="shared" si="3"/>
        <v>#REF!</v>
      </c>
      <c r="U42" s="454"/>
      <c r="AA42" s="454"/>
      <c r="AB42" s="454"/>
      <c r="AC42" s="454"/>
      <c r="AD42" s="454"/>
      <c r="AE42" s="454"/>
      <c r="AF42" s="454"/>
      <c r="AG42" s="454"/>
      <c r="AH42" s="454"/>
    </row>
    <row r="43" spans="1:34" s="417" customFormat="1" ht="20.100000000000001" customHeight="1">
      <c r="A43" s="417" t="s">
        <v>448</v>
      </c>
      <c r="D43" s="1227" t="e">
        <f>ROUND(VLOOKUP(A43,#REF!,3,FALSE),0)</f>
        <v>#REF!</v>
      </c>
      <c r="E43" s="1227">
        <v>0</v>
      </c>
      <c r="F43" s="1227">
        <v>0</v>
      </c>
      <c r="G43" s="1227">
        <v>0</v>
      </c>
      <c r="H43" s="1227">
        <v>0</v>
      </c>
      <c r="I43" s="1227">
        <v>0</v>
      </c>
      <c r="J43" s="1227">
        <v>0</v>
      </c>
      <c r="K43" s="1227">
        <v>0</v>
      </c>
      <c r="L43" s="1227">
        <v>0</v>
      </c>
      <c r="M43" s="1227">
        <v>0</v>
      </c>
      <c r="N43" s="1227">
        <v>0</v>
      </c>
      <c r="O43" s="1227">
        <v>0</v>
      </c>
      <c r="P43" s="1227">
        <v>0</v>
      </c>
      <c r="Q43" s="1227">
        <v>0</v>
      </c>
      <c r="R43" s="1227">
        <v>0</v>
      </c>
      <c r="S43" s="1227">
        <v>0</v>
      </c>
      <c r="T43" s="1229" t="e">
        <f t="shared" si="3"/>
        <v>#REF!</v>
      </c>
      <c r="U43" s="454"/>
      <c r="AA43" s="454"/>
      <c r="AB43" s="454"/>
      <c r="AC43" s="454"/>
      <c r="AD43" s="454"/>
      <c r="AE43" s="454"/>
      <c r="AF43" s="454"/>
      <c r="AG43" s="454"/>
      <c r="AH43" s="454"/>
    </row>
    <row r="44" spans="1:34" s="417" customFormat="1" ht="20.100000000000001" customHeight="1">
      <c r="A44" s="417" t="s">
        <v>683</v>
      </c>
      <c r="D44" s="1227" t="e">
        <f>ROUND(VLOOKUP(A44,#REF!,3,FALSE),0)</f>
        <v>#REF!</v>
      </c>
      <c r="E44" s="1227">
        <v>0</v>
      </c>
      <c r="F44" s="1250">
        <v>0</v>
      </c>
      <c r="G44" s="1227">
        <v>0</v>
      </c>
      <c r="H44" s="1227">
        <v>0</v>
      </c>
      <c r="I44" s="1227">
        <v>0</v>
      </c>
      <c r="J44" s="1227">
        <v>0</v>
      </c>
      <c r="K44" s="1227">
        <v>0</v>
      </c>
      <c r="L44" s="1227">
        <v>0</v>
      </c>
      <c r="M44" s="1227">
        <v>0</v>
      </c>
      <c r="N44" s="1227">
        <v>0</v>
      </c>
      <c r="O44" s="1227">
        <v>0</v>
      </c>
      <c r="P44" s="1227">
        <v>0</v>
      </c>
      <c r="Q44" s="1227">
        <v>0</v>
      </c>
      <c r="R44" s="1227">
        <v>0</v>
      </c>
      <c r="S44" s="1227">
        <v>0</v>
      </c>
      <c r="T44" s="1229" t="e">
        <f t="shared" si="3"/>
        <v>#REF!</v>
      </c>
      <c r="U44" s="454"/>
      <c r="AA44" s="454"/>
      <c r="AB44" s="454"/>
      <c r="AC44" s="454"/>
      <c r="AD44" s="454"/>
      <c r="AE44" s="454"/>
      <c r="AF44" s="454"/>
      <c r="AG44" s="454"/>
      <c r="AH44" s="454"/>
    </row>
    <row r="45" spans="1:34" s="417" customFormat="1" ht="20.100000000000001" customHeight="1">
      <c r="A45" s="417" t="s">
        <v>450</v>
      </c>
      <c r="D45" s="1227" t="e">
        <f>ROUND(VLOOKUP(A45,#REF!,3,FALSE),0)</f>
        <v>#REF!</v>
      </c>
      <c r="E45" s="1227">
        <v>0</v>
      </c>
      <c r="F45" s="1227">
        <v>0</v>
      </c>
      <c r="G45" s="1227">
        <v>0</v>
      </c>
      <c r="H45" s="1227">
        <v>0</v>
      </c>
      <c r="I45" s="1227">
        <v>0</v>
      </c>
      <c r="J45" s="1227">
        <v>0</v>
      </c>
      <c r="K45" s="1227">
        <v>0</v>
      </c>
      <c r="L45" s="1227">
        <v>0</v>
      </c>
      <c r="M45" s="1227">
        <v>0</v>
      </c>
      <c r="N45" s="1227">
        <v>0</v>
      </c>
      <c r="O45" s="1227">
        <v>0</v>
      </c>
      <c r="P45" s="1227">
        <v>0</v>
      </c>
      <c r="Q45" s="1227">
        <v>0</v>
      </c>
      <c r="R45" s="1227">
        <v>0</v>
      </c>
      <c r="S45" s="1227">
        <v>0</v>
      </c>
      <c r="T45" s="1229" t="e">
        <f t="shared" si="3"/>
        <v>#REF!</v>
      </c>
      <c r="U45" s="454"/>
      <c r="AA45" s="454"/>
      <c r="AB45" s="454"/>
      <c r="AC45" s="454"/>
      <c r="AD45" s="454"/>
      <c r="AE45" s="454"/>
      <c r="AF45" s="454"/>
      <c r="AG45" s="454"/>
      <c r="AH45" s="454"/>
    </row>
    <row r="46" spans="1:34" s="417" customFormat="1" ht="20.100000000000001" customHeight="1">
      <c r="A46" s="417" t="s">
        <v>454</v>
      </c>
      <c r="D46" s="1227" t="e">
        <f>ROUND(VLOOKUP(A46,#REF!,3,FALSE),0)</f>
        <v>#REF!</v>
      </c>
      <c r="E46" s="1227">
        <v>0</v>
      </c>
      <c r="F46" s="1227">
        <v>0</v>
      </c>
      <c r="G46" s="1227">
        <v>0</v>
      </c>
      <c r="H46" s="1228">
        <f>ROUND(Cemtery!L22,0)</f>
        <v>1250259</v>
      </c>
      <c r="I46" s="1227" t="e">
        <f>ROUND(#REF!,0)</f>
        <v>#REF!</v>
      </c>
      <c r="J46" s="1227">
        <v>0</v>
      </c>
      <c r="K46" s="1227">
        <v>0</v>
      </c>
      <c r="L46" s="1227">
        <v>0</v>
      </c>
      <c r="M46" s="1227">
        <v>0</v>
      </c>
      <c r="N46" s="1227">
        <v>0</v>
      </c>
      <c r="O46" s="1227">
        <v>0</v>
      </c>
      <c r="P46" s="1227">
        <v>0</v>
      </c>
      <c r="Q46" s="1227">
        <v>0</v>
      </c>
      <c r="R46" s="1227">
        <v>0</v>
      </c>
      <c r="S46" s="1227">
        <v>0</v>
      </c>
      <c r="T46" s="1229" t="e">
        <f t="shared" si="3"/>
        <v>#REF!</v>
      </c>
      <c r="U46" s="454"/>
      <c r="AA46" s="454"/>
      <c r="AB46" s="454"/>
      <c r="AC46" s="454"/>
      <c r="AD46" s="454"/>
      <c r="AE46" s="454"/>
      <c r="AF46" s="454"/>
      <c r="AG46" s="454"/>
      <c r="AH46" s="454"/>
    </row>
    <row r="47" spans="1:34" s="417" customFormat="1" ht="20.100000000000001" customHeight="1">
      <c r="A47" s="417" t="s">
        <v>456</v>
      </c>
      <c r="D47" s="1227" t="e">
        <f>ROUND(VLOOKUP(A47,#REF!,3,FALSE),0)</f>
        <v>#REF!</v>
      </c>
      <c r="E47" s="1227">
        <v>0</v>
      </c>
      <c r="F47" s="1227">
        <v>0</v>
      </c>
      <c r="G47" s="1227">
        <v>0</v>
      </c>
      <c r="H47" s="1227">
        <v>0</v>
      </c>
      <c r="I47" s="1227">
        <v>0</v>
      </c>
      <c r="J47" s="1227">
        <v>0</v>
      </c>
      <c r="K47" s="1227">
        <v>0</v>
      </c>
      <c r="L47" s="1227">
        <v>0</v>
      </c>
      <c r="M47" s="1227">
        <v>0</v>
      </c>
      <c r="N47" s="1227">
        <v>0</v>
      </c>
      <c r="O47" s="1227">
        <f>ROUND(Police!L27+'Drug Enforcement Agency'!L26-O56,0)</f>
        <v>1359256</v>
      </c>
      <c r="P47" s="1227">
        <v>0</v>
      </c>
      <c r="Q47" s="1227">
        <v>0</v>
      </c>
      <c r="R47" s="1227">
        <f>ROUND('School Crossing Guard'!L19,0)</f>
        <v>893012</v>
      </c>
      <c r="S47" s="1227">
        <v>0</v>
      </c>
      <c r="T47" s="1229" t="e">
        <f t="shared" si="3"/>
        <v>#REF!</v>
      </c>
      <c r="U47" s="454"/>
      <c r="AA47" s="454"/>
      <c r="AB47" s="454"/>
      <c r="AC47" s="454"/>
      <c r="AD47" s="454"/>
      <c r="AE47" s="454"/>
      <c r="AF47" s="454"/>
      <c r="AG47" s="454"/>
      <c r="AH47" s="454"/>
    </row>
    <row r="48" spans="1:34" s="417" customFormat="1" ht="20.100000000000001" customHeight="1">
      <c r="A48" s="417" t="s">
        <v>459</v>
      </c>
      <c r="D48" s="1227" t="e">
        <f>ROUND(VLOOKUP(A48,#REF!,3,FALSE),0)</f>
        <v>#REF!</v>
      </c>
      <c r="E48" s="1227">
        <f>ROUNDDOWN('Water and Sewer'!L29+'Central Region'!L28-'Water and Sewer'!L27-'Central Region'!L26-'Water and Sewer'!L25-'Central Region'!L25,0)</f>
        <v>98641940</v>
      </c>
      <c r="F48" s="1227">
        <v>0</v>
      </c>
      <c r="G48" s="1227">
        <v>0</v>
      </c>
      <c r="H48" s="1227">
        <v>0</v>
      </c>
      <c r="I48" s="1227" t="e">
        <f>ROUND(#REF!,0)</f>
        <v>#REF!</v>
      </c>
      <c r="J48" s="1227">
        <v>0</v>
      </c>
      <c r="K48" s="1227">
        <v>0</v>
      </c>
      <c r="L48" s="1227">
        <f>ROUND(Stormwater!L28-Stormwater!L26,0)</f>
        <v>6029886</v>
      </c>
      <c r="M48" s="1227">
        <v>0</v>
      </c>
      <c r="N48" s="1227">
        <v>0</v>
      </c>
      <c r="O48" s="1227">
        <v>0</v>
      </c>
      <c r="P48" s="1227">
        <v>0</v>
      </c>
      <c r="Q48" s="1227">
        <v>0</v>
      </c>
      <c r="R48" s="1227">
        <v>0</v>
      </c>
      <c r="S48" s="1227">
        <v>0</v>
      </c>
      <c r="T48" s="1229" t="e">
        <f t="shared" si="3"/>
        <v>#REF!</v>
      </c>
      <c r="U48" s="454"/>
      <c r="AA48" s="454"/>
      <c r="AB48" s="454"/>
      <c r="AC48" s="454"/>
      <c r="AD48" s="454"/>
      <c r="AE48" s="454"/>
      <c r="AF48" s="454"/>
      <c r="AG48" s="454"/>
      <c r="AH48" s="454"/>
    </row>
    <row r="49" spans="1:34" s="417" customFormat="1" ht="20.100000000000001" customHeight="1">
      <c r="A49" s="417" t="s">
        <v>570</v>
      </c>
      <c r="D49" s="1227" t="e">
        <f>ROUND(VLOOKUP(A49,#REF!,3,FALSE),0)</f>
        <v>#REF!</v>
      </c>
      <c r="E49" s="1227">
        <v>0</v>
      </c>
      <c r="F49" s="1228">
        <v>0</v>
      </c>
      <c r="G49" s="1228" t="e">
        <f>ROUNDDOWN(#REF!+#REF!+#REF!-#REF!,1)</f>
        <v>#REF!</v>
      </c>
      <c r="H49" s="1228">
        <v>0</v>
      </c>
      <c r="I49" s="1227">
        <v>0</v>
      </c>
      <c r="J49" s="1227">
        <v>0</v>
      </c>
      <c r="K49" s="1227">
        <v>0</v>
      </c>
      <c r="L49" s="1227">
        <v>0</v>
      </c>
      <c r="M49" s="1227">
        <f>ROUND('CRA-Beach'!L28+'CRA-NW Progresso'!L29-'CRA-Beach'!L27-'CRA-NW Progresso'!L25+'CRA-Central City'!L19,0)</f>
        <v>12213467</v>
      </c>
      <c r="N49" s="1228">
        <f>ROUND('Housing and Community Dev'!L27-'Housing and Community Dev'!L26,0)</f>
        <v>9371773</v>
      </c>
      <c r="O49" s="1228">
        <v>0</v>
      </c>
      <c r="P49" s="1227">
        <f>ROUND('Beach Bus Improv District'!L21,0)</f>
        <v>699107</v>
      </c>
      <c r="Q49" s="1227">
        <v>0</v>
      </c>
      <c r="R49" s="1228">
        <v>0</v>
      </c>
      <c r="S49" s="1228">
        <v>0</v>
      </c>
      <c r="T49" s="1229" t="e">
        <f t="shared" si="3"/>
        <v>#REF!</v>
      </c>
      <c r="U49" s="454"/>
      <c r="AA49" s="454"/>
      <c r="AB49" s="454"/>
      <c r="AC49" s="454"/>
      <c r="AD49" s="454"/>
      <c r="AE49" s="454"/>
      <c r="AF49" s="454"/>
      <c r="AG49" s="454"/>
      <c r="AH49" s="454"/>
    </row>
    <row r="50" spans="1:34" s="417" customFormat="1" ht="20.100000000000001" customHeight="1">
      <c r="A50" s="417" t="s">
        <v>476</v>
      </c>
      <c r="D50" s="1227" t="e">
        <f>ROUND(VLOOKUP(A50,#REF!,3,FALSE),0)</f>
        <v>#REF!</v>
      </c>
      <c r="E50" s="1227">
        <v>0</v>
      </c>
      <c r="F50" s="1227">
        <v>0</v>
      </c>
      <c r="G50" s="1227">
        <v>0</v>
      </c>
      <c r="H50" s="1227">
        <v>0</v>
      </c>
      <c r="I50" s="1227">
        <v>0</v>
      </c>
      <c r="J50" s="1227">
        <f>ROUND('Parking System'!L29-'Parking System'!L27,0)</f>
        <v>21750118</v>
      </c>
      <c r="K50" s="1227">
        <f>ROUND(Airport!L28-Airport!L26,0)</f>
        <v>7966111</v>
      </c>
      <c r="L50" s="1227">
        <v>0</v>
      </c>
      <c r="M50" s="1227">
        <v>0</v>
      </c>
      <c r="N50" s="1227">
        <v>0</v>
      </c>
      <c r="O50" s="1227">
        <v>0</v>
      </c>
      <c r="P50" s="1227">
        <v>0</v>
      </c>
      <c r="Q50" s="1227">
        <f>ROUND('Arts Science District Garage'!L25,0)</f>
        <v>1160555</v>
      </c>
      <c r="R50" s="1227">
        <v>0</v>
      </c>
      <c r="S50" s="1227">
        <v>0</v>
      </c>
      <c r="T50" s="1229" t="e">
        <f t="shared" si="3"/>
        <v>#REF!</v>
      </c>
      <c r="U50" s="454"/>
      <c r="AA50" s="454"/>
      <c r="AB50" s="454"/>
      <c r="AC50" s="454"/>
      <c r="AD50" s="454"/>
      <c r="AE50" s="454"/>
      <c r="AF50" s="454"/>
      <c r="AG50" s="454"/>
      <c r="AH50" s="454"/>
    </row>
    <row r="51" spans="1:34" s="363" customFormat="1" ht="18.75">
      <c r="A51" s="454" t="s">
        <v>16</v>
      </c>
      <c r="D51" s="1227" t="e">
        <f>ROUND(VLOOKUP(A51,#REF!,3,FALSE),0)</f>
        <v>#REF!</v>
      </c>
      <c r="E51" s="1227">
        <f>ROUND('Water and Sewer'!L25+'Central Region'!L25,0)</f>
        <v>33116202</v>
      </c>
      <c r="F51" s="1227" t="e">
        <f>ROUND(#REF!+#REF!+#REF!+#REF!+#REF!+#REF!+#REF!,0)</f>
        <v>#REF!</v>
      </c>
      <c r="G51" s="1227">
        <v>0</v>
      </c>
      <c r="H51" s="1227">
        <v>0</v>
      </c>
      <c r="I51" s="1227">
        <v>0</v>
      </c>
      <c r="J51" s="1227">
        <v>0</v>
      </c>
      <c r="K51" s="1227">
        <v>0</v>
      </c>
      <c r="L51" s="1227">
        <v>0</v>
      </c>
      <c r="M51" s="1227">
        <v>0</v>
      </c>
      <c r="N51" s="1227">
        <v>0</v>
      </c>
      <c r="O51" s="1227">
        <v>0</v>
      </c>
      <c r="P51" s="1227">
        <v>0</v>
      </c>
      <c r="Q51" s="1227">
        <v>0</v>
      </c>
      <c r="R51" s="1227">
        <v>0</v>
      </c>
      <c r="S51" s="1227">
        <v>0</v>
      </c>
      <c r="T51" s="1229" t="e">
        <f t="shared" si="3"/>
        <v>#REF!</v>
      </c>
    </row>
    <row r="52" spans="1:34" s="417" customFormat="1" ht="20.100000000000001" customHeight="1">
      <c r="A52" s="417" t="s">
        <v>460</v>
      </c>
      <c r="D52" s="1227" t="e">
        <f>ROUND(VLOOKUP(A52,#REF!,3,FALSE),0)</f>
        <v>#REF!</v>
      </c>
      <c r="E52" s="1227">
        <v>0</v>
      </c>
      <c r="F52" s="1227">
        <v>0</v>
      </c>
      <c r="G52" s="1227">
        <v>0</v>
      </c>
      <c r="H52" s="1228">
        <v>0</v>
      </c>
      <c r="I52" s="1227">
        <v>0</v>
      </c>
      <c r="J52" s="1227">
        <v>0</v>
      </c>
      <c r="K52" s="1227">
        <v>0</v>
      </c>
      <c r="L52" s="1227">
        <v>0</v>
      </c>
      <c r="M52" s="1228">
        <v>0</v>
      </c>
      <c r="N52" s="1227">
        <v>0</v>
      </c>
      <c r="O52" s="1227">
        <v>0</v>
      </c>
      <c r="P52" s="1227">
        <v>0</v>
      </c>
      <c r="Q52" s="1227">
        <v>0</v>
      </c>
      <c r="R52" s="1227">
        <v>0</v>
      </c>
      <c r="S52" s="1227">
        <f>'Sunrise Key'!L21</f>
        <v>80308.3</v>
      </c>
      <c r="T52" s="1229" t="e">
        <f t="shared" si="3"/>
        <v>#REF!</v>
      </c>
      <c r="U52" s="454"/>
      <c r="AA52" s="454"/>
      <c r="AB52" s="454"/>
      <c r="AC52" s="454"/>
      <c r="AD52" s="454"/>
      <c r="AE52" s="454"/>
      <c r="AF52" s="454"/>
      <c r="AG52" s="454"/>
      <c r="AH52" s="454"/>
    </row>
    <row r="53" spans="1:34" s="417" customFormat="1" ht="20.100000000000001" customHeight="1">
      <c r="A53" s="417" t="s">
        <v>574</v>
      </c>
      <c r="C53" s="417" t="s">
        <v>424</v>
      </c>
      <c r="D53" s="1230" t="e">
        <f>SUM(D38:D52)</f>
        <v>#REF!</v>
      </c>
      <c r="E53" s="1230">
        <f t="shared" ref="E53:T53" si="4">SUM(E38:E52)</f>
        <v>131758142</v>
      </c>
      <c r="F53" s="1230" t="e">
        <f t="shared" si="4"/>
        <v>#REF!</v>
      </c>
      <c r="G53" s="1230" t="e">
        <f t="shared" si="4"/>
        <v>#REF!</v>
      </c>
      <c r="H53" s="1230">
        <f t="shared" si="4"/>
        <v>1250259</v>
      </c>
      <c r="I53" s="1230" t="e">
        <f t="shared" si="4"/>
        <v>#REF!</v>
      </c>
      <c r="J53" s="1230">
        <f t="shared" si="4"/>
        <v>21750118</v>
      </c>
      <c r="K53" s="1230">
        <f t="shared" si="4"/>
        <v>7966111</v>
      </c>
      <c r="L53" s="1230">
        <f t="shared" si="4"/>
        <v>6029886</v>
      </c>
      <c r="M53" s="1230">
        <f t="shared" si="4"/>
        <v>12213467</v>
      </c>
      <c r="N53" s="1230">
        <f t="shared" si="4"/>
        <v>9371773</v>
      </c>
      <c r="O53" s="1230">
        <f t="shared" si="4"/>
        <v>1359256</v>
      </c>
      <c r="P53" s="1230">
        <f t="shared" si="4"/>
        <v>699107</v>
      </c>
      <c r="Q53" s="1230">
        <f t="shared" si="4"/>
        <v>1160555</v>
      </c>
      <c r="R53" s="1230">
        <f t="shared" si="4"/>
        <v>893012</v>
      </c>
      <c r="S53" s="1230">
        <f t="shared" si="4"/>
        <v>80308.3</v>
      </c>
      <c r="T53" s="1230" t="e">
        <f t="shared" si="4"/>
        <v>#REF!</v>
      </c>
      <c r="U53" s="454"/>
      <c r="AA53" s="454"/>
      <c r="AB53" s="454"/>
      <c r="AC53" s="454"/>
      <c r="AD53" s="454"/>
      <c r="AE53" s="454"/>
      <c r="AF53" s="454"/>
      <c r="AG53" s="454"/>
      <c r="AH53" s="454"/>
    </row>
    <row r="54" spans="1:34" s="417" customFormat="1" ht="12.75" customHeight="1">
      <c r="D54" s="1209"/>
      <c r="E54" s="1227"/>
      <c r="F54" s="1227"/>
      <c r="G54" s="1227"/>
      <c r="H54" s="1227"/>
      <c r="I54" s="1227"/>
      <c r="J54" s="1227"/>
      <c r="K54" s="1227"/>
      <c r="L54" s="1227"/>
      <c r="M54" s="1227"/>
      <c r="N54" s="1227"/>
      <c r="O54" s="1227"/>
      <c r="P54" s="1227"/>
      <c r="Q54" s="1227"/>
      <c r="R54" s="1227"/>
      <c r="S54" s="1227"/>
      <c r="T54" s="1229"/>
      <c r="U54" s="454"/>
      <c r="AA54" s="454"/>
      <c r="AB54" s="454"/>
      <c r="AC54" s="454"/>
      <c r="AD54" s="454"/>
      <c r="AE54" s="454"/>
      <c r="AF54" s="454"/>
      <c r="AG54" s="454"/>
      <c r="AH54" s="454"/>
    </row>
    <row r="55" spans="1:34" s="417" customFormat="1" ht="14.25" customHeight="1">
      <c r="A55" s="417" t="s">
        <v>462</v>
      </c>
      <c r="D55" s="1209"/>
      <c r="E55" s="1227"/>
      <c r="F55" s="1227"/>
      <c r="G55" s="1227"/>
      <c r="H55" s="1227"/>
      <c r="I55" s="1227"/>
      <c r="J55" s="1227"/>
      <c r="K55" s="1227"/>
      <c r="L55" s="1227"/>
      <c r="M55" s="1227"/>
      <c r="N55" s="1227"/>
      <c r="O55" s="1227"/>
      <c r="P55" s="1227"/>
      <c r="Q55" s="1227"/>
      <c r="R55" s="1227"/>
      <c r="S55" s="1227"/>
      <c r="T55" s="1229"/>
      <c r="U55" s="454"/>
      <c r="AA55" s="454"/>
      <c r="AB55" s="454"/>
      <c r="AC55" s="454"/>
      <c r="AD55" s="454"/>
      <c r="AE55" s="454"/>
      <c r="AF55" s="454"/>
      <c r="AG55" s="454"/>
      <c r="AH55" s="454"/>
    </row>
    <row r="56" spans="1:34" s="417" customFormat="1" ht="18" customHeight="1">
      <c r="A56" s="417" t="s">
        <v>463</v>
      </c>
      <c r="D56" s="1227" t="e">
        <f>'001 General Fund'!K136-D57-D59-D58</f>
        <v>#REF!</v>
      </c>
      <c r="E56" s="1227">
        <f>174241+2211552</f>
        <v>2385793</v>
      </c>
      <c r="F56" s="1227" t="e">
        <f>ROUND(#REF!,0)</f>
        <v>#REF!</v>
      </c>
      <c r="G56" s="1227" t="e">
        <f>ROUND(#REF!,0)</f>
        <v>#REF!</v>
      </c>
      <c r="H56" s="1227">
        <v>0</v>
      </c>
      <c r="I56" s="1227">
        <f>ROUND(Sanitation!L26,0)</f>
        <v>534730</v>
      </c>
      <c r="J56" s="1227">
        <v>362672</v>
      </c>
      <c r="K56" s="1227">
        <v>103663.46</v>
      </c>
      <c r="L56" s="1227">
        <v>170178</v>
      </c>
      <c r="M56" s="1227">
        <v>117801</v>
      </c>
      <c r="N56" s="1227">
        <v>0</v>
      </c>
      <c r="O56" s="1227">
        <f>ROUND(Police!L26,0)</f>
        <v>30229</v>
      </c>
      <c r="P56" s="1227">
        <v>0</v>
      </c>
      <c r="Q56" s="1227">
        <v>0</v>
      </c>
      <c r="R56" s="1227">
        <v>0</v>
      </c>
      <c r="S56" s="1227">
        <v>0</v>
      </c>
      <c r="T56" s="1229" t="e">
        <f>ROUND(SUM(D56:S56),0)</f>
        <v>#REF!</v>
      </c>
      <c r="U56" s="454"/>
      <c r="AA56" s="454"/>
      <c r="AB56" s="454"/>
      <c r="AC56" s="454"/>
      <c r="AD56" s="454"/>
      <c r="AE56" s="454"/>
      <c r="AF56" s="454"/>
      <c r="AG56" s="454"/>
      <c r="AH56" s="454"/>
    </row>
    <row r="57" spans="1:34" s="417" customFormat="1" ht="18" customHeight="1">
      <c r="A57" s="417" t="s">
        <v>464</v>
      </c>
      <c r="D57" s="1227">
        <f>ROUND('[4]As of June 19, 2013'!$L$242,0)</f>
        <v>450000</v>
      </c>
      <c r="E57" s="1227">
        <v>0</v>
      </c>
      <c r="F57" s="1227">
        <v>0</v>
      </c>
      <c r="G57" s="1227">
        <v>0</v>
      </c>
      <c r="H57" s="1227">
        <v>0</v>
      </c>
      <c r="I57" s="1227">
        <v>0</v>
      </c>
      <c r="J57" s="1227">
        <v>0</v>
      </c>
      <c r="K57" s="1227">
        <v>0</v>
      </c>
      <c r="L57" s="1227">
        <v>0</v>
      </c>
      <c r="M57" s="1227">
        <v>0</v>
      </c>
      <c r="N57" s="1227">
        <v>0</v>
      </c>
      <c r="O57" s="1227">
        <v>0</v>
      </c>
      <c r="P57" s="1227">
        <v>0</v>
      </c>
      <c r="Q57" s="1227">
        <v>0</v>
      </c>
      <c r="R57" s="1227">
        <v>0</v>
      </c>
      <c r="S57" s="1227">
        <v>0</v>
      </c>
      <c r="T57" s="1229">
        <f>ROUND(SUM(D57:S57),0)</f>
        <v>450000</v>
      </c>
      <c r="U57" s="454"/>
      <c r="AA57" s="454"/>
      <c r="AB57" s="454"/>
      <c r="AC57" s="454"/>
      <c r="AD57" s="454"/>
      <c r="AE57" s="454"/>
      <c r="AF57" s="454"/>
      <c r="AG57" s="454"/>
      <c r="AH57" s="454"/>
    </row>
    <row r="58" spans="1:34" s="417" customFormat="1" ht="18" customHeight="1">
      <c r="A58" s="417" t="s">
        <v>906</v>
      </c>
      <c r="D58" s="1227">
        <v>2095875</v>
      </c>
      <c r="E58" s="1227">
        <v>0</v>
      </c>
      <c r="F58" s="1227">
        <v>0</v>
      </c>
      <c r="G58" s="1227">
        <v>0</v>
      </c>
      <c r="H58" s="1227">
        <v>0</v>
      </c>
      <c r="I58" s="1227">
        <v>0</v>
      </c>
      <c r="J58" s="1227">
        <v>0</v>
      </c>
      <c r="K58" s="1227">
        <v>0</v>
      </c>
      <c r="L58" s="1227">
        <v>0</v>
      </c>
      <c r="M58" s="1227">
        <v>0</v>
      </c>
      <c r="N58" s="1227">
        <v>0</v>
      </c>
      <c r="O58" s="1227">
        <v>0</v>
      </c>
      <c r="P58" s="1227">
        <v>0</v>
      </c>
      <c r="Q58" s="1227">
        <v>0</v>
      </c>
      <c r="R58" s="1227">
        <v>0</v>
      </c>
      <c r="S58" s="1227">
        <v>0</v>
      </c>
      <c r="T58" s="1229">
        <f>ROUND(SUM(D58:S58),0)</f>
        <v>2095875</v>
      </c>
      <c r="U58" s="454"/>
      <c r="AA58" s="454"/>
      <c r="AB58" s="454"/>
      <c r="AC58" s="454"/>
      <c r="AD58" s="454"/>
      <c r="AE58" s="454"/>
      <c r="AF58" s="454"/>
      <c r="AG58" s="454"/>
      <c r="AH58" s="454"/>
    </row>
    <row r="59" spans="1:34" s="417" customFormat="1" ht="18" customHeight="1">
      <c r="A59" s="417" t="s">
        <v>465</v>
      </c>
      <c r="D59" s="1218">
        <f>'[3]As of August 20, 2013'!$T$240-D58</f>
        <v>2713600</v>
      </c>
      <c r="E59" s="1233">
        <f>ROUND('Water and Sewer'!L27+'Central Region'!L26-E56,0)</f>
        <v>3841475</v>
      </c>
      <c r="F59" s="1227">
        <v>0</v>
      </c>
      <c r="G59" s="1227">
        <v>0</v>
      </c>
      <c r="H59" s="1227">
        <v>0</v>
      </c>
      <c r="I59" s="1233">
        <v>0</v>
      </c>
      <c r="J59" s="1233">
        <f>ROUND('Parking System'!L27,0)-J56</f>
        <v>-362672</v>
      </c>
      <c r="K59" s="1233">
        <f>ROUND(Airport!L26-K56,0)</f>
        <v>482205</v>
      </c>
      <c r="L59" s="1233">
        <f>Stormwater!L26-L56</f>
        <v>-170178</v>
      </c>
      <c r="M59" s="1227">
        <f>ROUND('CRA-Beach'!L27+'CRA-NW Progresso'!L25-M56,0)</f>
        <v>5363434</v>
      </c>
      <c r="N59" s="1227">
        <f>ROUND('Housing and Community Dev'!L26,0)</f>
        <v>0</v>
      </c>
      <c r="O59" s="1227">
        <v>0</v>
      </c>
      <c r="P59" s="1227">
        <v>0</v>
      </c>
      <c r="Q59" s="1233">
        <v>0</v>
      </c>
      <c r="R59" s="1227">
        <v>0</v>
      </c>
      <c r="S59" s="1227">
        <v>0</v>
      </c>
      <c r="T59" s="1229">
        <f>ROUND(SUM(D59:S59),0)</f>
        <v>11867864</v>
      </c>
      <c r="U59" s="454"/>
      <c r="AA59" s="454"/>
      <c r="AB59" s="454"/>
      <c r="AC59" s="454"/>
      <c r="AD59" s="454"/>
      <c r="AE59" s="454"/>
      <c r="AF59" s="454"/>
      <c r="AG59" s="454"/>
      <c r="AH59" s="454"/>
    </row>
    <row r="60" spans="1:34" s="417" customFormat="1" ht="18" customHeight="1">
      <c r="A60" s="417" t="s">
        <v>932</v>
      </c>
      <c r="C60" s="417" t="s">
        <v>424</v>
      </c>
      <c r="D60" s="1212" t="e">
        <f>SUM(D56:D59)</f>
        <v>#REF!</v>
      </c>
      <c r="E60" s="1212">
        <f t="shared" ref="E60:T60" si="5">SUM(E56:E59)</f>
        <v>6227268</v>
      </c>
      <c r="F60" s="1212" t="e">
        <f t="shared" si="5"/>
        <v>#REF!</v>
      </c>
      <c r="G60" s="1212" t="e">
        <f t="shared" si="5"/>
        <v>#REF!</v>
      </c>
      <c r="H60" s="1212">
        <f t="shared" si="5"/>
        <v>0</v>
      </c>
      <c r="I60" s="1212">
        <f t="shared" si="5"/>
        <v>534730</v>
      </c>
      <c r="J60" s="1212">
        <f t="shared" si="5"/>
        <v>0</v>
      </c>
      <c r="K60" s="1212">
        <f t="shared" si="5"/>
        <v>585868.46</v>
      </c>
      <c r="L60" s="1212">
        <f t="shared" si="5"/>
        <v>0</v>
      </c>
      <c r="M60" s="1212">
        <f t="shared" si="5"/>
        <v>5481235</v>
      </c>
      <c r="N60" s="1212">
        <f t="shared" si="5"/>
        <v>0</v>
      </c>
      <c r="O60" s="1212">
        <f t="shared" si="5"/>
        <v>30229</v>
      </c>
      <c r="P60" s="1212">
        <f t="shared" si="5"/>
        <v>0</v>
      </c>
      <c r="Q60" s="1212">
        <f t="shared" si="5"/>
        <v>0</v>
      </c>
      <c r="R60" s="1212">
        <f t="shared" si="5"/>
        <v>0</v>
      </c>
      <c r="S60" s="1212">
        <f t="shared" si="5"/>
        <v>0</v>
      </c>
      <c r="T60" s="1212" t="e">
        <f t="shared" si="5"/>
        <v>#REF!</v>
      </c>
      <c r="U60" s="454"/>
      <c r="AA60" s="454"/>
      <c r="AB60" s="454"/>
      <c r="AC60" s="454"/>
      <c r="AD60" s="454"/>
      <c r="AE60" s="454"/>
      <c r="AF60" s="454"/>
      <c r="AG60" s="454"/>
      <c r="AH60" s="454"/>
    </row>
    <row r="61" spans="1:34" s="417" customFormat="1" ht="18" customHeight="1">
      <c r="D61" s="1215"/>
      <c r="E61" s="1228"/>
      <c r="F61" s="1228"/>
      <c r="G61" s="1215"/>
      <c r="H61" s="1228"/>
      <c r="I61" s="1228"/>
      <c r="J61" s="1228"/>
      <c r="K61" s="1228"/>
      <c r="L61" s="1228"/>
      <c r="M61" s="1215"/>
      <c r="N61" s="1215"/>
      <c r="O61" s="1215"/>
      <c r="P61" s="1215"/>
      <c r="Q61" s="1228"/>
      <c r="R61" s="1215"/>
      <c r="S61" s="1215"/>
      <c r="T61" s="1228"/>
      <c r="U61" s="454"/>
      <c r="AA61" s="454"/>
      <c r="AB61" s="454"/>
      <c r="AC61" s="454"/>
      <c r="AD61" s="454"/>
      <c r="AE61" s="454"/>
      <c r="AF61" s="454"/>
      <c r="AG61" s="454"/>
      <c r="AH61" s="454"/>
    </row>
    <row r="62" spans="1:34" s="417" customFormat="1" ht="18" customHeight="1">
      <c r="A62" s="417" t="s">
        <v>587</v>
      </c>
      <c r="D62" s="1212" t="e">
        <f>D53+D60</f>
        <v>#REF!</v>
      </c>
      <c r="E62" s="1212">
        <f t="shared" ref="E62:T62" si="6">E53+E60</f>
        <v>137985410</v>
      </c>
      <c r="F62" s="1212" t="e">
        <f t="shared" si="6"/>
        <v>#REF!</v>
      </c>
      <c r="G62" s="1212" t="e">
        <f t="shared" si="6"/>
        <v>#REF!</v>
      </c>
      <c r="H62" s="1212">
        <f t="shared" si="6"/>
        <v>1250259</v>
      </c>
      <c r="I62" s="1212" t="e">
        <f t="shared" si="6"/>
        <v>#REF!</v>
      </c>
      <c r="J62" s="1212">
        <f t="shared" si="6"/>
        <v>21750118</v>
      </c>
      <c r="K62" s="1212">
        <f t="shared" si="6"/>
        <v>8551979.4600000009</v>
      </c>
      <c r="L62" s="1212">
        <f t="shared" si="6"/>
        <v>6029886</v>
      </c>
      <c r="M62" s="1212">
        <f t="shared" si="6"/>
        <v>17694702</v>
      </c>
      <c r="N62" s="1212">
        <f t="shared" si="6"/>
        <v>9371773</v>
      </c>
      <c r="O62" s="1212">
        <f t="shared" si="6"/>
        <v>1389485</v>
      </c>
      <c r="P62" s="1212">
        <f t="shared" si="6"/>
        <v>699107</v>
      </c>
      <c r="Q62" s="1212">
        <f t="shared" si="6"/>
        <v>1160555</v>
      </c>
      <c r="R62" s="1212">
        <f t="shared" si="6"/>
        <v>893012</v>
      </c>
      <c r="S62" s="1212">
        <f t="shared" si="6"/>
        <v>80308.3</v>
      </c>
      <c r="T62" s="1212" t="e">
        <f t="shared" si="6"/>
        <v>#REF!</v>
      </c>
      <c r="U62" s="454"/>
      <c r="AA62" s="454"/>
      <c r="AB62" s="454"/>
      <c r="AC62" s="454"/>
      <c r="AD62" s="454"/>
      <c r="AE62" s="454"/>
      <c r="AF62" s="454"/>
      <c r="AG62" s="454"/>
      <c r="AH62" s="454"/>
    </row>
    <row r="63" spans="1:34" s="417" customFormat="1" ht="18.75">
      <c r="D63" s="1209"/>
      <c r="E63" s="1227"/>
      <c r="F63" s="1227"/>
      <c r="G63" s="1227"/>
      <c r="H63" s="1227"/>
      <c r="I63" s="1227"/>
      <c r="J63" s="1227"/>
      <c r="K63" s="1227"/>
      <c r="L63" s="1227"/>
      <c r="M63" s="1227"/>
      <c r="N63" s="1227"/>
      <c r="O63" s="1227"/>
      <c r="P63" s="1227"/>
      <c r="Q63" s="1227"/>
      <c r="R63" s="1227"/>
      <c r="S63" s="1227"/>
      <c r="T63" s="1229"/>
      <c r="U63" s="454"/>
      <c r="AA63" s="454"/>
      <c r="AB63" s="454"/>
      <c r="AC63" s="454"/>
      <c r="AD63" s="454"/>
      <c r="AE63" s="454"/>
      <c r="AF63" s="454"/>
      <c r="AG63" s="454"/>
      <c r="AH63" s="454"/>
    </row>
    <row r="64" spans="1:34" s="417" customFormat="1" ht="17.25" customHeight="1">
      <c r="A64" s="417" t="s">
        <v>466</v>
      </c>
      <c r="D64" s="1209"/>
      <c r="E64" s="1227"/>
      <c r="F64" s="1227"/>
      <c r="G64" s="1227"/>
      <c r="H64" s="1227"/>
      <c r="I64" s="1227"/>
      <c r="J64" s="1227"/>
      <c r="K64" s="1227"/>
      <c r="L64" s="1227"/>
      <c r="M64" s="1227"/>
      <c r="N64" s="1227"/>
      <c r="O64" s="1227"/>
      <c r="P64" s="1227"/>
      <c r="Q64" s="1227"/>
      <c r="R64" s="1227"/>
      <c r="S64" s="1227"/>
      <c r="T64" s="1229"/>
      <c r="U64" s="454"/>
      <c r="AA64" s="454"/>
      <c r="AB64" s="454"/>
      <c r="AC64" s="454"/>
      <c r="AD64" s="454"/>
      <c r="AE64" s="454"/>
      <c r="AF64" s="454"/>
      <c r="AG64" s="454"/>
      <c r="AH64" s="454"/>
    </row>
    <row r="65" spans="1:34" s="417" customFormat="1" ht="18" customHeight="1">
      <c r="A65" s="417" t="s">
        <v>36</v>
      </c>
      <c r="D65" s="1227">
        <f>ROUND('001 General Fund'!K53,0)</f>
        <v>54350613</v>
      </c>
      <c r="E65" s="1227">
        <f>ROUND('Water and Sewer'!L33+'Central Region'!L32,0)</f>
        <v>0</v>
      </c>
      <c r="F65" s="1227">
        <v>0</v>
      </c>
      <c r="G65" s="1227" t="e">
        <f>ROUND(#REF!,0)</f>
        <v>#REF!</v>
      </c>
      <c r="H65" s="1227">
        <v>0</v>
      </c>
      <c r="I65" s="1227">
        <f>ROUND(Sanitation!L31,0)</f>
        <v>0</v>
      </c>
      <c r="J65" s="1227">
        <f>ROUND('Parking System'!L33,0)</f>
        <v>3533102</v>
      </c>
      <c r="K65" s="1228">
        <v>0</v>
      </c>
      <c r="L65" s="1227">
        <f>ROUND(Stormwater!L32,0)</f>
        <v>13107307</v>
      </c>
      <c r="M65" s="1227">
        <f>ROUND('CRA-Beach'!L32+'CRA-NW Progresso'!L33+'CRA-Central City'!L24,0)</f>
        <v>307</v>
      </c>
      <c r="N65" s="1227">
        <v>0</v>
      </c>
      <c r="O65" s="1227">
        <f>ROUND(Police!L31+'Drug Enforcement Agency'!L30,0)</f>
        <v>610487</v>
      </c>
      <c r="P65" s="1227">
        <f>ROUND('Beach Bus Improv District'!L25,0)</f>
        <v>404874</v>
      </c>
      <c r="Q65" s="1227">
        <v>0</v>
      </c>
      <c r="R65" s="1227">
        <f>'School Crossing Guard'!L25</f>
        <v>137125.75</v>
      </c>
      <c r="S65" s="1227">
        <f>ROUND('Sunrise Key'!L24,0)</f>
        <v>99940</v>
      </c>
      <c r="T65" s="1229" t="e">
        <f>ROUND(SUM(D65:S65),0)</f>
        <v>#REF!</v>
      </c>
      <c r="U65" s="454"/>
      <c r="AA65" s="454"/>
      <c r="AB65" s="454"/>
      <c r="AC65" s="454"/>
      <c r="AD65" s="454"/>
      <c r="AE65" s="454"/>
      <c r="AF65" s="454"/>
      <c r="AG65" s="454"/>
      <c r="AH65" s="454"/>
    </row>
    <row r="66" spans="1:34" s="417" customFormat="1" ht="18" customHeight="1">
      <c r="A66" s="417" t="s">
        <v>782</v>
      </c>
      <c r="D66" s="1227">
        <f>ROUND('001 General Fund'!K49,0)</f>
        <v>4457240</v>
      </c>
      <c r="E66" s="1227">
        <f>0</f>
        <v>0</v>
      </c>
      <c r="F66" s="1227">
        <v>0</v>
      </c>
      <c r="G66" s="1227">
        <v>0</v>
      </c>
      <c r="H66" s="1227">
        <v>0</v>
      </c>
      <c r="I66" s="1227">
        <f>0</f>
        <v>0</v>
      </c>
      <c r="J66" s="1227">
        <f>0</f>
        <v>0</v>
      </c>
      <c r="K66" s="1227">
        <f>0</f>
        <v>0</v>
      </c>
      <c r="L66" s="1227">
        <f>0</f>
        <v>0</v>
      </c>
      <c r="M66" s="1227">
        <v>0</v>
      </c>
      <c r="N66" s="1227">
        <v>0</v>
      </c>
      <c r="O66" s="1227">
        <v>0</v>
      </c>
      <c r="P66" s="1227">
        <v>0</v>
      </c>
      <c r="Q66" s="1227">
        <f>0</f>
        <v>0</v>
      </c>
      <c r="R66" s="1227">
        <v>0</v>
      </c>
      <c r="S66" s="1227">
        <v>0</v>
      </c>
      <c r="T66" s="1229">
        <f>ROUND(SUM(D66:S66),0)</f>
        <v>4457240</v>
      </c>
      <c r="U66" s="454"/>
      <c r="AA66" s="454"/>
      <c r="AB66" s="454"/>
      <c r="AC66" s="454"/>
      <c r="AD66" s="454"/>
      <c r="AE66" s="454"/>
      <c r="AF66" s="454"/>
      <c r="AG66" s="454"/>
      <c r="AH66" s="454"/>
    </row>
    <row r="67" spans="1:34" s="417" customFormat="1" ht="18" customHeight="1">
      <c r="A67" s="417" t="s">
        <v>690</v>
      </c>
      <c r="D67" s="1227">
        <f>ROUND('001 General Fund'!K50,0)</f>
        <v>6000000</v>
      </c>
      <c r="E67" s="1227">
        <v>0</v>
      </c>
      <c r="F67" s="1227">
        <v>0</v>
      </c>
      <c r="G67" s="1227">
        <v>0</v>
      </c>
      <c r="H67" s="1227">
        <v>0</v>
      </c>
      <c r="I67" s="1227">
        <v>0</v>
      </c>
      <c r="J67" s="1227">
        <v>0</v>
      </c>
      <c r="K67" s="1227">
        <v>0</v>
      </c>
      <c r="L67" s="1227">
        <v>0</v>
      </c>
      <c r="M67" s="1227">
        <v>0</v>
      </c>
      <c r="N67" s="1227">
        <v>0</v>
      </c>
      <c r="O67" s="1227">
        <v>0</v>
      </c>
      <c r="P67" s="1227">
        <v>0</v>
      </c>
      <c r="Q67" s="1227">
        <v>0</v>
      </c>
      <c r="R67" s="1227">
        <v>0</v>
      </c>
      <c r="S67" s="1227">
        <v>0</v>
      </c>
      <c r="T67" s="1229">
        <f>ROUND(SUM(D67:S67),0)</f>
        <v>6000000</v>
      </c>
      <c r="U67" s="454"/>
      <c r="AA67" s="454"/>
      <c r="AB67" s="454"/>
      <c r="AC67" s="454"/>
      <c r="AD67" s="454"/>
      <c r="AE67" s="454"/>
      <c r="AF67" s="454"/>
      <c r="AG67" s="454"/>
      <c r="AH67" s="454"/>
    </row>
    <row r="68" spans="1:34" s="417" customFormat="1" ht="18" customHeight="1">
      <c r="A68" s="417" t="s">
        <v>841</v>
      </c>
      <c r="D68" s="1227">
        <f>ROUND('001 General Fund'!K52,0)</f>
        <v>888679</v>
      </c>
      <c r="E68" s="1233">
        <f>ROUND('Water and Sewer'!L32+'Central Region'!L31,0)</f>
        <v>47374438</v>
      </c>
      <c r="F68" s="1233" t="e">
        <f>ROUND(#REF!+#REF!+#REF!+#REF!+#REF!+#REF!+#REF!+#REF!+#REF!,0)</f>
        <v>#REF!</v>
      </c>
      <c r="G68" s="1227" t="e">
        <f>ROUND(#REF!+#REF!+#REF!,0)-G65</f>
        <v>#REF!</v>
      </c>
      <c r="H68" s="1227">
        <f>ROUND(Cemtery!L25,0)</f>
        <v>24879487</v>
      </c>
      <c r="I68" s="1227">
        <f>ROUND(Sanitation!L30,0)</f>
        <v>2310762</v>
      </c>
      <c r="J68" s="1227">
        <f>ROUND('Parking System'!L32,0)</f>
        <v>3778896</v>
      </c>
      <c r="K68" s="1233">
        <f>Airport!L31</f>
        <v>13024398</v>
      </c>
      <c r="L68" s="1233">
        <f>ROUND(Stormwater!L31,0)</f>
        <v>1015642</v>
      </c>
      <c r="M68" s="1233">
        <v>0</v>
      </c>
      <c r="N68" s="1227">
        <f>'Housing and Community Dev'!L30</f>
        <v>38123</v>
      </c>
      <c r="O68" s="1227">
        <v>0</v>
      </c>
      <c r="P68" s="1227">
        <v>0</v>
      </c>
      <c r="Q68" s="1233">
        <v>0</v>
      </c>
      <c r="R68" s="1227">
        <v>0</v>
      </c>
      <c r="S68" s="1227">
        <v>0</v>
      </c>
      <c r="T68" s="1229" t="e">
        <f>ROUND(SUM(D68:S68),0)</f>
        <v>#REF!</v>
      </c>
      <c r="U68" s="454"/>
      <c r="AA68" s="454"/>
      <c r="AB68" s="454"/>
      <c r="AC68" s="454"/>
      <c r="AD68" s="454"/>
      <c r="AE68" s="454"/>
      <c r="AF68" s="454"/>
      <c r="AG68" s="454"/>
      <c r="AH68" s="454"/>
    </row>
    <row r="69" spans="1:34" s="417" customFormat="1" ht="18" customHeight="1">
      <c r="A69" s="417" t="s">
        <v>468</v>
      </c>
      <c r="C69" s="417" t="s">
        <v>424</v>
      </c>
      <c r="D69" s="1212">
        <f t="shared" ref="D69:T69" si="7">SUM(D65:D68)</f>
        <v>65696532</v>
      </c>
      <c r="E69" s="1230">
        <f t="shared" si="7"/>
        <v>47374438</v>
      </c>
      <c r="F69" s="1230" t="e">
        <f t="shared" si="7"/>
        <v>#REF!</v>
      </c>
      <c r="G69" s="1230" t="e">
        <f t="shared" si="7"/>
        <v>#REF!</v>
      </c>
      <c r="H69" s="1230">
        <f t="shared" si="7"/>
        <v>24879487</v>
      </c>
      <c r="I69" s="1230">
        <f t="shared" si="7"/>
        <v>2310762</v>
      </c>
      <c r="J69" s="1230">
        <f t="shared" si="7"/>
        <v>7311998</v>
      </c>
      <c r="K69" s="1230">
        <f t="shared" si="7"/>
        <v>13024398</v>
      </c>
      <c r="L69" s="1230">
        <f t="shared" si="7"/>
        <v>14122949</v>
      </c>
      <c r="M69" s="1230">
        <f t="shared" si="7"/>
        <v>307</v>
      </c>
      <c r="N69" s="1230">
        <f t="shared" si="7"/>
        <v>38123</v>
      </c>
      <c r="O69" s="1230">
        <f t="shared" si="7"/>
        <v>610487</v>
      </c>
      <c r="P69" s="1230">
        <f t="shared" si="7"/>
        <v>404874</v>
      </c>
      <c r="Q69" s="1230">
        <f t="shared" si="7"/>
        <v>0</v>
      </c>
      <c r="R69" s="1230">
        <f t="shared" si="7"/>
        <v>137125.75</v>
      </c>
      <c r="S69" s="1230">
        <f t="shared" si="7"/>
        <v>99940</v>
      </c>
      <c r="T69" s="1231" t="e">
        <f t="shared" si="7"/>
        <v>#REF!</v>
      </c>
      <c r="U69" s="454"/>
      <c r="AA69" s="454"/>
      <c r="AB69" s="454"/>
      <c r="AC69" s="454"/>
      <c r="AD69" s="454"/>
      <c r="AE69" s="454"/>
      <c r="AF69" s="454"/>
      <c r="AG69" s="454"/>
      <c r="AH69" s="454"/>
    </row>
    <row r="70" spans="1:34" s="417" customFormat="1" ht="8.25" customHeight="1">
      <c r="D70" s="1216"/>
      <c r="E70" s="1229"/>
      <c r="F70" s="1229"/>
      <c r="G70" s="1229"/>
      <c r="H70" s="1229"/>
      <c r="I70" s="1229"/>
      <c r="J70" s="1229"/>
      <c r="K70" s="1229"/>
      <c r="L70" s="1229"/>
      <c r="M70" s="1229"/>
      <c r="N70" s="1229"/>
      <c r="O70" s="1229"/>
      <c r="P70" s="1229"/>
      <c r="Q70" s="1229"/>
      <c r="R70" s="1229"/>
      <c r="S70" s="1229"/>
      <c r="T70" s="1232"/>
      <c r="U70" s="454"/>
      <c r="AA70" s="454"/>
      <c r="AB70" s="454"/>
      <c r="AC70" s="454"/>
      <c r="AD70" s="454"/>
      <c r="AE70" s="454"/>
      <c r="AF70" s="454"/>
      <c r="AG70" s="454"/>
      <c r="AH70" s="454"/>
    </row>
    <row r="71" spans="1:34" s="417" customFormat="1" ht="21.95" customHeight="1" thickBot="1">
      <c r="A71" s="476" t="s">
        <v>25</v>
      </c>
      <c r="B71" s="449"/>
      <c r="C71" s="417" t="s">
        <v>424</v>
      </c>
      <c r="D71" s="1236" t="e">
        <f>D62+D69</f>
        <v>#REF!</v>
      </c>
      <c r="E71" s="1238">
        <f>+E60+E69</f>
        <v>53601706</v>
      </c>
      <c r="F71" s="1238" t="e">
        <f>+F60+F69</f>
        <v>#REF!</v>
      </c>
      <c r="G71" s="1236" t="e">
        <f>G60+G69</f>
        <v>#REF!</v>
      </c>
      <c r="H71" s="1238">
        <f>+H60+H69</f>
        <v>24879487</v>
      </c>
      <c r="I71" s="1238">
        <f>+I60+I69</f>
        <v>2845492</v>
      </c>
      <c r="J71" s="1238">
        <f>+J60+J69</f>
        <v>7311998</v>
      </c>
      <c r="K71" s="1238">
        <f>+K60+K69</f>
        <v>13610266.460000001</v>
      </c>
      <c r="L71" s="1238">
        <f>+L60+L69</f>
        <v>14122949</v>
      </c>
      <c r="M71" s="1236">
        <f>M60+M69</f>
        <v>5481542</v>
      </c>
      <c r="N71" s="1236">
        <f>N60+N69</f>
        <v>38123</v>
      </c>
      <c r="O71" s="1236">
        <f>O60+O69</f>
        <v>640716</v>
      </c>
      <c r="P71" s="1236">
        <f>P60+P69</f>
        <v>404874</v>
      </c>
      <c r="Q71" s="1238">
        <f>+Q60+Q69</f>
        <v>0</v>
      </c>
      <c r="R71" s="1236">
        <f>R60+R69</f>
        <v>137125.75</v>
      </c>
      <c r="S71" s="1236">
        <f>S60+S69</f>
        <v>99940</v>
      </c>
      <c r="T71" s="1238" t="e">
        <f>+T60+T69</f>
        <v>#REF!</v>
      </c>
      <c r="U71" s="454"/>
      <c r="AA71" s="454"/>
      <c r="AB71" s="454"/>
      <c r="AC71" s="454"/>
      <c r="AD71" s="454"/>
      <c r="AE71" s="454"/>
      <c r="AF71" s="454"/>
      <c r="AG71" s="454"/>
      <c r="AH71" s="454"/>
    </row>
    <row r="72" spans="1:34" s="417" customFormat="1" ht="21.95" customHeight="1" thickTop="1">
      <c r="A72" s="476"/>
      <c r="B72" s="449"/>
      <c r="D72" s="1232"/>
      <c r="E72" s="483"/>
      <c r="F72" s="483"/>
      <c r="G72" s="1232" t="s">
        <v>58</v>
      </c>
      <c r="H72" s="483"/>
      <c r="I72" s="483"/>
      <c r="J72" s="483"/>
      <c r="K72" s="483"/>
      <c r="L72" s="483"/>
      <c r="M72" s="1232" t="s">
        <v>58</v>
      </c>
      <c r="N72" s="1232"/>
      <c r="O72" s="1232" t="s">
        <v>58</v>
      </c>
      <c r="P72" s="1232"/>
      <c r="Q72" s="483"/>
      <c r="R72" s="1232"/>
      <c r="S72" s="1232" t="s">
        <v>58</v>
      </c>
      <c r="T72" s="483" t="s">
        <v>58</v>
      </c>
      <c r="U72" s="454"/>
      <c r="W72" s="476"/>
      <c r="X72" s="476"/>
      <c r="Y72" s="476"/>
      <c r="Z72" s="476"/>
      <c r="AA72" s="476"/>
      <c r="AB72" s="454"/>
      <c r="AC72" s="454"/>
      <c r="AD72" s="454"/>
      <c r="AE72" s="454"/>
      <c r="AF72" s="454"/>
      <c r="AG72" s="454"/>
      <c r="AH72" s="454"/>
    </row>
    <row r="73" spans="1:34" ht="21" customHeight="1">
      <c r="A73" s="356"/>
      <c r="B73" s="356"/>
      <c r="C73" s="356"/>
      <c r="D73" s="1283" t="e">
        <f>ROUND(D71-'001 General Fund'!K56,0)</f>
        <v>#REF!</v>
      </c>
      <c r="E73" s="375"/>
      <c r="F73" s="375"/>
      <c r="G73" s="375"/>
      <c r="H73" s="375"/>
      <c r="I73" s="375"/>
      <c r="J73" s="375"/>
      <c r="K73" s="375"/>
      <c r="L73" s="375"/>
      <c r="M73" s="375"/>
      <c r="N73" s="375"/>
      <c r="O73" s="375"/>
      <c r="P73" s="375"/>
      <c r="Q73" s="375"/>
      <c r="R73" s="375"/>
      <c r="S73" s="375"/>
      <c r="T73" s="375"/>
      <c r="W73" s="1232"/>
      <c r="X73" s="454"/>
      <c r="Y73" s="454"/>
      <c r="Z73" s="454"/>
    </row>
    <row r="74" spans="1:34" ht="9.9499999999999993" customHeight="1" thickBot="1">
      <c r="A74" s="356"/>
      <c r="B74" s="356"/>
      <c r="C74" s="356"/>
      <c r="D74" s="380"/>
      <c r="E74" s="375"/>
      <c r="F74" s="375"/>
      <c r="G74" s="375"/>
      <c r="H74" s="375"/>
      <c r="I74" s="375"/>
      <c r="J74" s="375"/>
      <c r="K74" s="375"/>
      <c r="L74" s="375"/>
      <c r="M74" s="375"/>
      <c r="N74" s="375"/>
      <c r="O74" s="375"/>
      <c r="P74" s="375"/>
      <c r="Q74" s="375"/>
      <c r="R74" s="375"/>
      <c r="S74" s="375"/>
      <c r="T74" s="375"/>
      <c r="W74" s="1238"/>
      <c r="X74" s="454"/>
      <c r="Y74" s="454"/>
      <c r="Z74" s="454"/>
    </row>
    <row r="75" spans="1:34" s="903" customFormat="1" ht="19.5" thickTop="1">
      <c r="A75" s="1110" t="s">
        <v>469</v>
      </c>
      <c r="B75" s="1110"/>
      <c r="C75" s="1110"/>
      <c r="D75" s="1114" t="e">
        <f t="shared" ref="D75:T75" si="8">D33-D71</f>
        <v>#REF!</v>
      </c>
      <c r="E75" s="1113">
        <f t="shared" si="8"/>
        <v>131758143</v>
      </c>
      <c r="F75" s="1113" t="e">
        <f t="shared" si="8"/>
        <v>#REF!</v>
      </c>
      <c r="G75" s="1113" t="e">
        <f t="shared" si="8"/>
        <v>#REF!</v>
      </c>
      <c r="H75" s="1113">
        <f t="shared" si="8"/>
        <v>1250259</v>
      </c>
      <c r="I75" s="1172">
        <f t="shared" si="8"/>
        <v>23324558</v>
      </c>
      <c r="J75" s="1114">
        <f t="shared" si="8"/>
        <v>21750118</v>
      </c>
      <c r="K75" s="1114">
        <f t="shared" si="8"/>
        <v>7966110.5399999991</v>
      </c>
      <c r="L75" s="1113">
        <f t="shared" si="8"/>
        <v>-1739330</v>
      </c>
      <c r="M75" s="1114">
        <f t="shared" si="8"/>
        <v>12188446</v>
      </c>
      <c r="N75" s="1113">
        <f t="shared" si="8"/>
        <v>9371773</v>
      </c>
      <c r="O75" s="1113">
        <f t="shared" si="8"/>
        <v>1313004</v>
      </c>
      <c r="P75" s="1113">
        <f t="shared" si="8"/>
        <v>699107</v>
      </c>
      <c r="Q75" s="1113">
        <f t="shared" si="8"/>
        <v>1155995</v>
      </c>
      <c r="R75" s="1113">
        <f t="shared" si="8"/>
        <v>872600</v>
      </c>
      <c r="S75" s="1113">
        <f t="shared" si="8"/>
        <v>80308</v>
      </c>
      <c r="T75" s="1113" t="e">
        <f t="shared" si="8"/>
        <v>#REF!</v>
      </c>
      <c r="U75" s="904"/>
      <c r="W75" s="454"/>
      <c r="X75" s="454"/>
      <c r="Y75" s="454"/>
      <c r="Z75" s="454"/>
      <c r="AA75" s="904"/>
      <c r="AB75" s="904"/>
      <c r="AC75" s="904"/>
      <c r="AD75" s="904"/>
      <c r="AE75" s="904"/>
      <c r="AF75" s="904"/>
      <c r="AG75" s="904"/>
      <c r="AH75" s="904"/>
    </row>
    <row r="76" spans="1:34" ht="18.75">
      <c r="D76" s="1276" t="e">
        <f>D65/D53</f>
        <v>#REF!</v>
      </c>
      <c r="E76" s="1226"/>
      <c r="F76" s="1226" t="s">
        <v>58</v>
      </c>
      <c r="G76" s="1226" t="s">
        <v>58</v>
      </c>
      <c r="H76" s="1226"/>
      <c r="I76" s="1173" t="s">
        <v>814</v>
      </c>
      <c r="J76" s="1226"/>
      <c r="K76" s="1226"/>
      <c r="L76" s="1226"/>
      <c r="M76" s="1226" t="s">
        <v>58</v>
      </c>
      <c r="S76" s="971" t="s">
        <v>58</v>
      </c>
      <c r="W76" s="454"/>
      <c r="X76" s="454"/>
    </row>
    <row r="77" spans="1:34" ht="18.75">
      <c r="D77" s="1045">
        <f>D18/D29</f>
        <v>0.34335108736716791</v>
      </c>
      <c r="E77" s="1226"/>
      <c r="F77" s="1226"/>
      <c r="H77" s="1226"/>
      <c r="I77" s="1173" t="s">
        <v>815</v>
      </c>
      <c r="J77" s="1226"/>
      <c r="K77" s="1226">
        <f>K53</f>
        <v>7966111</v>
      </c>
      <c r="L77" s="1226"/>
      <c r="M77" s="1226">
        <f>M53</f>
        <v>12213467</v>
      </c>
      <c r="T77" s="1226" t="e">
        <f>T53</f>
        <v>#REF!</v>
      </c>
      <c r="W77" s="454"/>
    </row>
    <row r="78" spans="1:34" ht="18.75">
      <c r="D78" s="571" t="e">
        <f>D71/'All Funds Sch A 2014 Page (2)'!Z69</f>
        <v>#REF!</v>
      </c>
      <c r="E78" s="1226"/>
      <c r="F78" s="1226"/>
      <c r="G78" s="1226"/>
      <c r="H78" s="1226"/>
      <c r="I78" s="971">
        <v>28029</v>
      </c>
      <c r="J78" s="1226"/>
      <c r="K78" s="1226">
        <f>7170848</f>
        <v>7170848</v>
      </c>
      <c r="L78" s="1226"/>
      <c r="M78" s="1226">
        <v>3476513</v>
      </c>
      <c r="T78" s="1226">
        <v>478727583</v>
      </c>
      <c r="W78" s="454"/>
      <c r="Y78" s="904"/>
      <c r="Z78" s="904"/>
    </row>
    <row r="79" spans="1:34" ht="15.75">
      <c r="D79" s="567" t="s">
        <v>58</v>
      </c>
      <c r="E79" s="1226"/>
      <c r="F79" s="1226"/>
      <c r="G79" s="1226"/>
      <c r="H79" s="1226"/>
      <c r="I79" s="971">
        <v>5188</v>
      </c>
      <c r="J79" s="1226"/>
      <c r="K79" s="1226">
        <f>K77-K78</f>
        <v>795263</v>
      </c>
      <c r="L79" s="1226"/>
      <c r="M79" s="1226">
        <f>M77-M78</f>
        <v>8736954</v>
      </c>
      <c r="T79" s="1226" t="e">
        <f>T77-T78</f>
        <v>#REF!</v>
      </c>
      <c r="U79" s="363" t="s">
        <v>924</v>
      </c>
      <c r="W79" s="363"/>
      <c r="X79" s="904"/>
    </row>
    <row r="80" spans="1:34">
      <c r="D80" s="377" t="s">
        <v>58</v>
      </c>
      <c r="E80" s="1300">
        <f>119217384-E53</f>
        <v>-12540758</v>
      </c>
      <c r="F80" s="1226"/>
      <c r="G80" s="1300" t="e">
        <f>10754251-G53</f>
        <v>#REF!</v>
      </c>
      <c r="H80" s="1226"/>
      <c r="I80" s="1300" t="e">
        <f>20533115-I53</f>
        <v>#REF!</v>
      </c>
      <c r="J80" s="1226"/>
      <c r="K80" s="1300">
        <f>7170848-K53</f>
        <v>-795263</v>
      </c>
      <c r="L80" s="1226"/>
      <c r="M80" s="1300">
        <f>3476513-M53</f>
        <v>-8736954</v>
      </c>
      <c r="O80" s="1300">
        <f>1636683-O53</f>
        <v>277427</v>
      </c>
      <c r="T80" s="1226" t="e">
        <f>747099649-T71</f>
        <v>#REF!</v>
      </c>
      <c r="U80" s="363" t="s">
        <v>491</v>
      </c>
      <c r="W80" s="363"/>
    </row>
    <row r="81" spans="1:34" ht="15.75">
      <c r="D81" s="377" t="s">
        <v>58</v>
      </c>
      <c r="E81" s="1226">
        <f>-219134+103205</f>
        <v>-115929</v>
      </c>
      <c r="F81" s="1226"/>
      <c r="G81" s="1226"/>
      <c r="H81" s="1226"/>
      <c r="I81" s="1226">
        <f>-420000-219134</f>
        <v>-639134</v>
      </c>
      <c r="J81" s="1226"/>
      <c r="K81" s="1226"/>
      <c r="L81" s="1226"/>
      <c r="T81" s="1300" t="e">
        <f>478727584-T53</f>
        <v>#REF!</v>
      </c>
      <c r="W81" s="904"/>
    </row>
    <row r="82" spans="1:34">
      <c r="D82" s="377"/>
      <c r="E82" s="1226"/>
      <c r="F82" s="1226"/>
      <c r="G82" s="1226"/>
      <c r="H82" s="1226"/>
      <c r="I82" s="1226" t="e">
        <f>I80-I81</f>
        <v>#REF!</v>
      </c>
      <c r="J82" s="1226"/>
      <c r="K82" s="1226"/>
      <c r="L82" s="1226"/>
      <c r="M82" s="1226" t="s">
        <v>58</v>
      </c>
      <c r="W82" s="363"/>
    </row>
    <row r="83" spans="1:34" s="417" customFormat="1" ht="21.95" customHeight="1" thickBot="1">
      <c r="A83" s="476" t="s">
        <v>783</v>
      </c>
      <c r="B83" s="449"/>
      <c r="C83" s="417" t="s">
        <v>424</v>
      </c>
      <c r="D83" s="1236">
        <v>335746022</v>
      </c>
      <c r="E83" s="1236">
        <v>167642633</v>
      </c>
      <c r="F83" s="1238">
        <v>50117301</v>
      </c>
      <c r="G83" s="1236">
        <v>31636882</v>
      </c>
      <c r="H83" s="1238">
        <v>27933741</v>
      </c>
      <c r="I83" s="1236">
        <v>27927525</v>
      </c>
      <c r="J83" s="1236">
        <v>25601639</v>
      </c>
      <c r="K83" s="1236">
        <v>24222670</v>
      </c>
      <c r="L83" s="1236">
        <v>18380424</v>
      </c>
      <c r="M83" s="1236">
        <v>13763947</v>
      </c>
      <c r="N83" s="1236">
        <v>11053527</v>
      </c>
      <c r="O83" s="1236">
        <v>2788008</v>
      </c>
      <c r="P83" s="1236">
        <v>1023241</v>
      </c>
      <c r="Q83" s="1236">
        <v>900000</v>
      </c>
      <c r="R83" s="1236">
        <v>800007.6</v>
      </c>
      <c r="S83" s="1236">
        <v>145662</v>
      </c>
      <c r="T83" s="1229">
        <f>ROUND(SUM(D83:S83),0)</f>
        <v>739683230</v>
      </c>
      <c r="U83" s="454"/>
      <c r="W83" s="363"/>
      <c r="X83" s="363"/>
      <c r="Y83" s="363"/>
      <c r="Z83" s="363"/>
      <c r="AA83" s="454"/>
      <c r="AB83" s="454"/>
      <c r="AC83" s="454"/>
      <c r="AD83" s="454"/>
      <c r="AE83" s="454"/>
      <c r="AF83" s="454"/>
      <c r="AG83" s="454"/>
      <c r="AH83" s="454"/>
    </row>
    <row r="84" spans="1:34" ht="13.5" thickTop="1">
      <c r="D84" s="922" t="e">
        <f t="shared" ref="D84:T84" si="9">D71-D83</f>
        <v>#REF!</v>
      </c>
      <c r="E84" s="377">
        <f t="shared" si="9"/>
        <v>-114040927</v>
      </c>
      <c r="F84" s="377" t="e">
        <f t="shared" si="9"/>
        <v>#REF!</v>
      </c>
      <c r="G84" s="377" t="e">
        <f t="shared" si="9"/>
        <v>#REF!</v>
      </c>
      <c r="H84" s="377">
        <f t="shared" si="9"/>
        <v>-3054254</v>
      </c>
      <c r="I84" s="377">
        <f t="shared" si="9"/>
        <v>-25082033</v>
      </c>
      <c r="J84" s="377">
        <f t="shared" si="9"/>
        <v>-18289641</v>
      </c>
      <c r="K84" s="377">
        <f t="shared" si="9"/>
        <v>-10612403.539999999</v>
      </c>
      <c r="L84" s="377">
        <f t="shared" si="9"/>
        <v>-4257475</v>
      </c>
      <c r="M84" s="377">
        <f t="shared" si="9"/>
        <v>-8282405</v>
      </c>
      <c r="N84" s="377">
        <f t="shared" si="9"/>
        <v>-11015404</v>
      </c>
      <c r="O84" s="377">
        <f t="shared" si="9"/>
        <v>-2147292</v>
      </c>
      <c r="P84" s="377">
        <f t="shared" si="9"/>
        <v>-618367</v>
      </c>
      <c r="Q84" s="377">
        <f t="shared" si="9"/>
        <v>-900000</v>
      </c>
      <c r="R84" s="377">
        <f t="shared" si="9"/>
        <v>-662881.85</v>
      </c>
      <c r="S84" s="377">
        <f t="shared" si="9"/>
        <v>-45722</v>
      </c>
      <c r="T84" s="377" t="e">
        <f t="shared" si="9"/>
        <v>#REF!</v>
      </c>
      <c r="W84" s="363"/>
    </row>
    <row r="85" spans="1:34">
      <c r="D85" s="922" t="s">
        <v>58</v>
      </c>
      <c r="E85" s="1226"/>
      <c r="I85" s="1226"/>
      <c r="J85" s="1226"/>
      <c r="K85" s="1226"/>
      <c r="L85" s="1226"/>
      <c r="W85" s="363"/>
    </row>
    <row r="86" spans="1:34" ht="18.75">
      <c r="I86" s="1226"/>
      <c r="J86" s="1226"/>
      <c r="K86" s="1226"/>
      <c r="L86" s="1226"/>
      <c r="W86" s="363"/>
      <c r="Y86" s="454"/>
      <c r="Z86" s="454"/>
    </row>
    <row r="87" spans="1:34" ht="18.75">
      <c r="I87" s="1226"/>
      <c r="J87" s="1226"/>
      <c r="K87" s="1226"/>
      <c r="L87" s="1226"/>
      <c r="W87" s="363"/>
      <c r="X87" s="454"/>
    </row>
    <row r="88" spans="1:34">
      <c r="I88" s="1226"/>
      <c r="J88" s="1226"/>
      <c r="K88" s="1226"/>
      <c r="L88" s="1226"/>
      <c r="W88" s="363"/>
    </row>
    <row r="89" spans="1:34" ht="21">
      <c r="D89" s="922" t="e">
        <f>D60+D53</f>
        <v>#REF!</v>
      </c>
      <c r="I89" s="1226"/>
      <c r="J89" s="1226"/>
      <c r="K89" s="1226"/>
      <c r="L89" s="1226"/>
      <c r="M89" s="1180" t="e">
        <f>D65/D89</f>
        <v>#REF!</v>
      </c>
      <c r="W89" s="454"/>
    </row>
    <row r="90" spans="1:34">
      <c r="I90" s="1226"/>
      <c r="J90" s="1226"/>
      <c r="K90" s="1226"/>
      <c r="L90" s="1226"/>
      <c r="W90" s="363"/>
    </row>
    <row r="91" spans="1:34">
      <c r="I91" s="960"/>
      <c r="J91" s="960"/>
      <c r="K91" s="960"/>
      <c r="L91" s="960"/>
      <c r="Q91" s="960"/>
      <c r="T91" s="960"/>
      <c r="W91" s="363"/>
    </row>
    <row r="92" spans="1:34">
      <c r="D92" s="1045" t="e">
        <f>D65/D53</f>
        <v>#REF!</v>
      </c>
      <c r="E92" s="1045"/>
      <c r="F92" s="1045"/>
      <c r="G92" s="1045"/>
      <c r="H92" s="1045"/>
      <c r="I92" s="960"/>
      <c r="J92" s="960"/>
      <c r="K92" s="960"/>
      <c r="L92" s="960"/>
      <c r="Q92" s="960"/>
      <c r="T92" s="960"/>
      <c r="W92" s="363"/>
    </row>
    <row r="93" spans="1:34">
      <c r="I93" s="1226"/>
      <c r="J93" s="1226"/>
      <c r="K93" s="1226"/>
      <c r="L93" s="1226"/>
      <c r="W93" s="363"/>
    </row>
    <row r="94" spans="1:34" s="394" customFormat="1" ht="18.75">
      <c r="A94" s="393"/>
      <c r="B94" s="393"/>
      <c r="C94" s="393"/>
      <c r="D94" s="1065" t="e">
        <f>D65/(D53+D60)</f>
        <v>#REF!</v>
      </c>
      <c r="E94" s="1065"/>
      <c r="F94" s="1065"/>
      <c r="G94" s="1065"/>
      <c r="H94" s="1065"/>
      <c r="I94" s="1226"/>
      <c r="J94" s="1226"/>
      <c r="K94" s="1226"/>
      <c r="L94" s="1226"/>
      <c r="M94" s="1181"/>
      <c r="N94" s="961"/>
      <c r="O94" s="961"/>
      <c r="P94" s="1181"/>
      <c r="Q94" s="1226"/>
      <c r="R94" s="961"/>
      <c r="S94" s="1181"/>
      <c r="T94" s="1226"/>
      <c r="U94" s="396"/>
      <c r="W94" s="363"/>
      <c r="X94" s="363"/>
      <c r="Y94" s="363"/>
      <c r="Z94" s="363"/>
      <c r="AA94" s="396"/>
      <c r="AB94" s="396"/>
      <c r="AC94" s="396"/>
      <c r="AD94" s="396"/>
      <c r="AE94" s="396"/>
      <c r="AF94" s="396"/>
      <c r="AG94" s="396"/>
      <c r="AH94" s="396"/>
    </row>
    <row r="95" spans="1:34" s="394" customFormat="1" ht="18.75">
      <c r="A95" s="398"/>
      <c r="B95" s="398"/>
      <c r="C95" s="398"/>
      <c r="D95" s="1066" t="e">
        <f>47746545/(D53+D60)</f>
        <v>#REF!</v>
      </c>
      <c r="E95" s="1066"/>
      <c r="F95" s="1066"/>
      <c r="G95" s="1066"/>
      <c r="H95" s="1066"/>
      <c r="I95" s="1226"/>
      <c r="J95" s="1226"/>
      <c r="K95" s="1226"/>
      <c r="L95" s="1226"/>
      <c r="M95" s="450"/>
      <c r="N95" s="962"/>
      <c r="O95" s="962"/>
      <c r="P95" s="450"/>
      <c r="Q95" s="1226"/>
      <c r="R95" s="962"/>
      <c r="S95" s="450"/>
      <c r="T95" s="1226"/>
      <c r="U95" s="396"/>
      <c r="W95" s="363"/>
      <c r="X95" s="363"/>
      <c r="Y95" s="363"/>
      <c r="Z95" s="363"/>
      <c r="AA95" s="396"/>
      <c r="AB95" s="396"/>
      <c r="AC95" s="396"/>
      <c r="AD95" s="396"/>
      <c r="AE95" s="396"/>
      <c r="AF95" s="396"/>
      <c r="AG95" s="396"/>
      <c r="AH95" s="396"/>
    </row>
    <row r="96" spans="1:34">
      <c r="I96" s="1226"/>
      <c r="J96" s="1226"/>
      <c r="K96" s="1226"/>
      <c r="L96" s="1226"/>
      <c r="W96" s="363"/>
    </row>
    <row r="97" spans="1:26">
      <c r="I97" s="1226"/>
      <c r="J97" s="1226"/>
      <c r="K97" s="1226"/>
      <c r="L97" s="1226"/>
      <c r="W97" s="363"/>
      <c r="Y97" s="396"/>
      <c r="Z97" s="396"/>
    </row>
    <row r="98" spans="1:26">
      <c r="I98" s="1226"/>
      <c r="J98" s="1226"/>
      <c r="K98" s="1226"/>
      <c r="L98" s="1226"/>
      <c r="W98" s="363"/>
      <c r="X98" s="396"/>
      <c r="Y98" s="396"/>
      <c r="Z98" s="396"/>
    </row>
    <row r="99" spans="1:26" s="363" customFormat="1">
      <c r="A99" s="365"/>
      <c r="B99" s="365"/>
      <c r="C99" s="365"/>
      <c r="D99" s="922"/>
      <c r="E99" s="922"/>
      <c r="F99" s="922"/>
      <c r="G99" s="922"/>
      <c r="H99" s="922"/>
      <c r="I99" s="1226"/>
      <c r="J99" s="1226"/>
      <c r="K99" s="1226"/>
      <c r="L99" s="1226"/>
      <c r="M99" s="1226"/>
      <c r="N99" s="1226"/>
      <c r="O99" s="1226"/>
      <c r="P99" s="1226"/>
      <c r="Q99" s="1226"/>
      <c r="R99" s="1226"/>
      <c r="S99" s="1226"/>
      <c r="T99" s="1226"/>
      <c r="V99" s="365"/>
      <c r="X99" s="396"/>
    </row>
    <row r="100" spans="1:26" s="363" customFormat="1">
      <c r="A100" s="365"/>
      <c r="B100" s="365"/>
      <c r="C100" s="365"/>
      <c r="D100" s="922"/>
      <c r="E100" s="922"/>
      <c r="F100" s="922"/>
      <c r="G100" s="922"/>
      <c r="H100" s="922"/>
      <c r="I100" s="1226"/>
      <c r="J100" s="1226"/>
      <c r="K100" s="1226"/>
      <c r="L100" s="1226"/>
      <c r="M100" s="1226"/>
      <c r="N100" s="1226"/>
      <c r="O100" s="1226"/>
      <c r="P100" s="1226"/>
      <c r="Q100" s="1226"/>
      <c r="R100" s="1226"/>
      <c r="S100" s="1226"/>
      <c r="T100" s="1226"/>
      <c r="V100" s="365"/>
      <c r="W100" s="396"/>
    </row>
    <row r="101" spans="1:26" s="363" customFormat="1">
      <c r="A101" s="365"/>
      <c r="B101" s="365"/>
      <c r="C101" s="365"/>
      <c r="D101" s="922"/>
      <c r="E101" s="922"/>
      <c r="F101" s="922"/>
      <c r="G101" s="922"/>
      <c r="H101" s="922"/>
      <c r="I101" s="1226"/>
      <c r="J101" s="1226"/>
      <c r="K101" s="1226"/>
      <c r="L101" s="1226"/>
      <c r="M101" s="1226"/>
      <c r="N101" s="1226"/>
      <c r="O101" s="1226"/>
      <c r="P101" s="1226"/>
      <c r="Q101" s="1226"/>
      <c r="R101" s="1226"/>
      <c r="S101" s="1226"/>
      <c r="T101" s="1226"/>
      <c r="V101" s="365"/>
      <c r="W101" s="396"/>
    </row>
    <row r="102" spans="1:26" s="363" customFormat="1">
      <c r="A102" s="365"/>
      <c r="B102" s="365"/>
      <c r="C102" s="365"/>
      <c r="D102" s="922"/>
      <c r="E102" s="922"/>
      <c r="F102" s="922"/>
      <c r="G102" s="922"/>
      <c r="H102" s="922"/>
      <c r="I102" s="1226"/>
      <c r="J102" s="1226"/>
      <c r="K102" s="1226"/>
      <c r="L102" s="1226"/>
      <c r="M102" s="1226"/>
      <c r="N102" s="1226"/>
      <c r="O102" s="1226"/>
      <c r="P102" s="1226"/>
      <c r="Q102" s="1226"/>
      <c r="R102" s="1226"/>
      <c r="S102" s="1226"/>
      <c r="T102" s="1226"/>
      <c r="V102" s="365"/>
    </row>
    <row r="103" spans="1:26" s="363" customFormat="1">
      <c r="A103" s="365"/>
      <c r="B103" s="365"/>
      <c r="C103" s="365"/>
      <c r="D103" s="922"/>
      <c r="E103" s="922"/>
      <c r="F103" s="922"/>
      <c r="G103" s="922"/>
      <c r="H103" s="922"/>
      <c r="I103" s="1226"/>
      <c r="J103" s="1226"/>
      <c r="K103" s="1226"/>
      <c r="L103" s="1226"/>
      <c r="M103" s="1226"/>
      <c r="N103" s="1226"/>
      <c r="O103" s="1226"/>
      <c r="P103" s="1226"/>
      <c r="Q103" s="1226"/>
      <c r="R103" s="1226"/>
      <c r="S103" s="1226"/>
      <c r="T103" s="1226"/>
      <c r="V103" s="365"/>
    </row>
    <row r="104" spans="1:26" s="363" customFormat="1">
      <c r="A104" s="365"/>
      <c r="B104" s="365"/>
      <c r="C104" s="365"/>
      <c r="D104" s="922"/>
      <c r="E104" s="922"/>
      <c r="F104" s="922"/>
      <c r="G104" s="922"/>
      <c r="H104" s="922"/>
      <c r="I104" s="1226"/>
      <c r="J104" s="1226"/>
      <c r="K104" s="1226"/>
      <c r="L104" s="1226"/>
      <c r="M104" s="1226"/>
      <c r="N104" s="1226"/>
      <c r="O104" s="1226"/>
      <c r="P104" s="1226"/>
      <c r="Q104" s="1226"/>
      <c r="R104" s="1226"/>
      <c r="S104" s="1226"/>
      <c r="T104" s="1226"/>
      <c r="V104" s="365"/>
    </row>
    <row r="105" spans="1:26" s="363" customFormat="1">
      <c r="A105" s="365"/>
      <c r="B105" s="365"/>
      <c r="C105" s="365"/>
      <c r="D105" s="922"/>
      <c r="E105" s="922"/>
      <c r="F105" s="922"/>
      <c r="G105" s="922"/>
      <c r="H105" s="922"/>
      <c r="I105" s="1226"/>
      <c r="J105" s="1226"/>
      <c r="K105" s="1226"/>
      <c r="L105" s="1226"/>
      <c r="M105" s="1226"/>
      <c r="N105" s="1226"/>
      <c r="O105" s="1226"/>
      <c r="P105" s="1226"/>
      <c r="Q105" s="1226"/>
      <c r="R105" s="1226"/>
      <c r="S105" s="1226"/>
      <c r="T105" s="1226"/>
      <c r="V105" s="365"/>
    </row>
    <row r="106" spans="1:26" s="363" customFormat="1">
      <c r="A106" s="365"/>
      <c r="B106" s="365"/>
      <c r="C106" s="365"/>
      <c r="D106" s="922"/>
      <c r="E106" s="922"/>
      <c r="F106" s="922"/>
      <c r="G106" s="922"/>
      <c r="H106" s="922"/>
      <c r="I106" s="1226"/>
      <c r="J106" s="1226"/>
      <c r="K106" s="1226"/>
      <c r="L106" s="1226"/>
      <c r="M106" s="1226"/>
      <c r="N106" s="1226"/>
      <c r="O106" s="1226"/>
      <c r="P106" s="1226"/>
      <c r="Q106" s="1226"/>
      <c r="R106" s="1226"/>
      <c r="S106" s="1226"/>
      <c r="T106" s="1226"/>
      <c r="V106" s="365"/>
    </row>
    <row r="107" spans="1:26" s="363" customFormat="1">
      <c r="A107" s="365"/>
      <c r="B107" s="365"/>
      <c r="C107" s="365"/>
      <c r="D107" s="922"/>
      <c r="E107" s="922"/>
      <c r="F107" s="922"/>
      <c r="G107" s="922"/>
      <c r="H107" s="922"/>
      <c r="I107" s="1226"/>
      <c r="J107" s="1226"/>
      <c r="K107" s="1226"/>
      <c r="L107" s="1226"/>
      <c r="M107" s="1226"/>
      <c r="N107" s="1226"/>
      <c r="O107" s="1226"/>
      <c r="P107" s="1226"/>
      <c r="Q107" s="1226"/>
      <c r="R107" s="1226"/>
      <c r="S107" s="1226"/>
      <c r="T107" s="1226"/>
      <c r="V107" s="365"/>
    </row>
    <row r="108" spans="1:26" s="363" customFormat="1">
      <c r="A108" s="365"/>
      <c r="B108" s="365"/>
      <c r="C108" s="365"/>
      <c r="D108" s="922"/>
      <c r="E108" s="922"/>
      <c r="F108" s="922"/>
      <c r="G108" s="922"/>
      <c r="H108" s="922"/>
      <c r="I108" s="1226"/>
      <c r="J108" s="1226"/>
      <c r="K108" s="1226"/>
      <c r="L108" s="1226"/>
      <c r="M108" s="1226"/>
      <c r="N108" s="1226"/>
      <c r="O108" s="1226"/>
      <c r="P108" s="1226"/>
      <c r="Q108" s="1226"/>
      <c r="R108" s="1226"/>
      <c r="S108" s="1226"/>
      <c r="T108" s="1226"/>
      <c r="V108" s="365"/>
    </row>
    <row r="109" spans="1:26" s="363" customFormat="1">
      <c r="A109" s="365"/>
      <c r="B109" s="365"/>
      <c r="C109" s="365"/>
      <c r="D109" s="922"/>
      <c r="E109" s="922"/>
      <c r="F109" s="922"/>
      <c r="G109" s="922"/>
      <c r="H109" s="922"/>
      <c r="I109" s="1226"/>
      <c r="J109" s="1226"/>
      <c r="K109" s="1226"/>
      <c r="L109" s="1226"/>
      <c r="M109" s="1226"/>
      <c r="N109" s="1226"/>
      <c r="O109" s="1226"/>
      <c r="P109" s="1226"/>
      <c r="Q109" s="1226"/>
      <c r="R109" s="1226"/>
      <c r="S109" s="1226"/>
      <c r="T109" s="1226"/>
      <c r="V109" s="365"/>
    </row>
    <row r="110" spans="1:26" s="363" customFormat="1">
      <c r="A110" s="365"/>
      <c r="B110" s="365"/>
      <c r="C110" s="365"/>
      <c r="D110" s="922"/>
      <c r="E110" s="922"/>
      <c r="F110" s="922"/>
      <c r="G110" s="922"/>
      <c r="H110" s="922"/>
      <c r="I110" s="1226"/>
      <c r="J110" s="1226"/>
      <c r="K110" s="1226"/>
      <c r="L110" s="1226"/>
      <c r="M110" s="1226"/>
      <c r="N110" s="1226"/>
      <c r="O110" s="1226"/>
      <c r="P110" s="1226"/>
      <c r="Q110" s="1226"/>
      <c r="R110" s="1226"/>
      <c r="S110" s="1226"/>
      <c r="T110" s="1226"/>
      <c r="V110" s="365"/>
    </row>
    <row r="111" spans="1:26" s="363" customFormat="1">
      <c r="A111" s="365"/>
      <c r="B111" s="365"/>
      <c r="C111" s="365"/>
      <c r="D111" s="922"/>
      <c r="E111" s="922"/>
      <c r="F111" s="922"/>
      <c r="G111" s="922"/>
      <c r="H111" s="922"/>
      <c r="I111" s="1226"/>
      <c r="J111" s="1226"/>
      <c r="K111" s="1226"/>
      <c r="L111" s="1226"/>
      <c r="M111" s="1226"/>
      <c r="N111" s="1226"/>
      <c r="O111" s="1226"/>
      <c r="P111" s="1226"/>
      <c r="Q111" s="1226"/>
      <c r="R111" s="1226"/>
      <c r="S111" s="1226"/>
      <c r="T111" s="1226"/>
      <c r="V111" s="365"/>
    </row>
    <row r="112" spans="1:26" s="363" customFormat="1">
      <c r="A112" s="365"/>
      <c r="B112" s="365"/>
      <c r="C112" s="365"/>
      <c r="D112" s="922"/>
      <c r="E112" s="922"/>
      <c r="F112" s="922"/>
      <c r="G112" s="922"/>
      <c r="H112" s="922"/>
      <c r="I112" s="1226"/>
      <c r="J112" s="1226"/>
      <c r="K112" s="1226"/>
      <c r="L112" s="1226"/>
      <c r="M112" s="1226"/>
      <c r="N112" s="1226"/>
      <c r="O112" s="1226"/>
      <c r="P112" s="1226"/>
      <c r="Q112" s="1226"/>
      <c r="R112" s="1226"/>
      <c r="S112" s="1226"/>
      <c r="T112" s="1226"/>
      <c r="V112" s="365"/>
    </row>
    <row r="113" spans="1:22" s="363" customFormat="1">
      <c r="A113" s="365"/>
      <c r="B113" s="365"/>
      <c r="C113" s="365"/>
      <c r="D113" s="922"/>
      <c r="E113" s="922"/>
      <c r="F113" s="922"/>
      <c r="G113" s="922"/>
      <c r="H113" s="922"/>
      <c r="I113" s="1226"/>
      <c r="J113" s="1226"/>
      <c r="K113" s="1226"/>
      <c r="L113" s="1226"/>
      <c r="M113" s="1226"/>
      <c r="N113" s="1226"/>
      <c r="O113" s="1226"/>
      <c r="P113" s="1226"/>
      <c r="Q113" s="1226"/>
      <c r="R113" s="1226"/>
      <c r="S113" s="1226"/>
      <c r="T113" s="1226"/>
      <c r="V113" s="365"/>
    </row>
    <row r="114" spans="1:22" s="363" customFormat="1">
      <c r="A114" s="365"/>
      <c r="B114" s="365"/>
      <c r="C114" s="365"/>
      <c r="D114" s="922"/>
      <c r="E114" s="922"/>
      <c r="F114" s="922"/>
      <c r="G114" s="922"/>
      <c r="H114" s="922"/>
      <c r="I114" s="1226"/>
      <c r="J114" s="1226"/>
      <c r="K114" s="1226"/>
      <c r="L114" s="1226"/>
      <c r="M114" s="1226"/>
      <c r="N114" s="1226"/>
      <c r="O114" s="1226"/>
      <c r="P114" s="1226"/>
      <c r="Q114" s="1226"/>
      <c r="R114" s="1226"/>
      <c r="S114" s="1226"/>
      <c r="T114" s="1226"/>
      <c r="V114" s="365"/>
    </row>
    <row r="115" spans="1:22" s="363" customFormat="1">
      <c r="A115" s="365"/>
      <c r="B115" s="365"/>
      <c r="C115" s="365"/>
      <c r="D115" s="922"/>
      <c r="E115" s="922"/>
      <c r="F115" s="922"/>
      <c r="G115" s="922"/>
      <c r="H115" s="922"/>
      <c r="I115" s="1226"/>
      <c r="J115" s="1226"/>
      <c r="K115" s="1226"/>
      <c r="L115" s="1226"/>
      <c r="M115" s="1226"/>
      <c r="N115" s="1226"/>
      <c r="O115" s="1226"/>
      <c r="P115" s="1226"/>
      <c r="Q115" s="1226"/>
      <c r="R115" s="1226"/>
      <c r="S115" s="1226"/>
      <c r="T115" s="1226"/>
      <c r="V115" s="365"/>
    </row>
    <row r="116" spans="1:22" s="363" customFormat="1">
      <c r="A116" s="365"/>
      <c r="B116" s="365"/>
      <c r="C116" s="365"/>
      <c r="D116" s="922"/>
      <c r="E116" s="922"/>
      <c r="F116" s="922"/>
      <c r="G116" s="922"/>
      <c r="H116" s="922"/>
      <c r="I116" s="1226"/>
      <c r="J116" s="1226"/>
      <c r="K116" s="1226"/>
      <c r="L116" s="1226"/>
      <c r="M116" s="1226"/>
      <c r="N116" s="1226"/>
      <c r="O116" s="1226"/>
      <c r="P116" s="1226"/>
      <c r="Q116" s="1226"/>
      <c r="R116" s="1226"/>
      <c r="S116" s="1226"/>
      <c r="T116" s="1226"/>
      <c r="V116" s="365"/>
    </row>
    <row r="117" spans="1:22" s="363" customFormat="1">
      <c r="A117" s="365"/>
      <c r="B117" s="365"/>
      <c r="C117" s="365"/>
      <c r="D117" s="922"/>
      <c r="E117" s="922"/>
      <c r="F117" s="922"/>
      <c r="G117" s="922"/>
      <c r="H117" s="922"/>
      <c r="I117" s="1226"/>
      <c r="J117" s="1226"/>
      <c r="K117" s="1226"/>
      <c r="L117" s="1226"/>
      <c r="M117" s="1226"/>
      <c r="N117" s="1226"/>
      <c r="O117" s="1226"/>
      <c r="P117" s="1226"/>
      <c r="Q117" s="1226"/>
      <c r="R117" s="1226"/>
      <c r="S117" s="1226"/>
      <c r="T117" s="1226"/>
      <c r="V117" s="365"/>
    </row>
    <row r="118" spans="1:22" s="363" customFormat="1">
      <c r="A118" s="365"/>
      <c r="B118" s="365"/>
      <c r="C118" s="365"/>
      <c r="D118" s="922"/>
      <c r="E118" s="922"/>
      <c r="F118" s="922"/>
      <c r="G118" s="922"/>
      <c r="H118" s="922"/>
      <c r="I118" s="1226"/>
      <c r="J118" s="1226"/>
      <c r="K118" s="1226"/>
      <c r="L118" s="1226"/>
      <c r="M118" s="1226"/>
      <c r="N118" s="1226"/>
      <c r="O118" s="1226"/>
      <c r="P118" s="1226"/>
      <c r="Q118" s="1226"/>
      <c r="R118" s="1226"/>
      <c r="S118" s="1226"/>
      <c r="T118" s="1226"/>
      <c r="V118" s="365"/>
    </row>
    <row r="119" spans="1:22" s="363" customFormat="1">
      <c r="A119" s="365"/>
      <c r="B119" s="365"/>
      <c r="C119" s="365"/>
      <c r="D119" s="922"/>
      <c r="E119" s="922"/>
      <c r="F119" s="922"/>
      <c r="G119" s="922"/>
      <c r="H119" s="922"/>
      <c r="I119" s="1226"/>
      <c r="J119" s="1226"/>
      <c r="K119" s="1226"/>
      <c r="L119" s="1226"/>
      <c r="M119" s="1226"/>
      <c r="N119" s="1226"/>
      <c r="O119" s="1226"/>
      <c r="P119" s="1226"/>
      <c r="Q119" s="1226"/>
      <c r="R119" s="1226"/>
      <c r="S119" s="1226"/>
      <c r="T119" s="1226"/>
      <c r="V119" s="365"/>
    </row>
    <row r="120" spans="1:22" s="363" customFormat="1">
      <c r="A120" s="365"/>
      <c r="B120" s="365"/>
      <c r="C120" s="365"/>
      <c r="D120" s="922"/>
      <c r="E120" s="922"/>
      <c r="F120" s="922"/>
      <c r="G120" s="922"/>
      <c r="H120" s="922"/>
      <c r="I120" s="1226"/>
      <c r="J120" s="1226"/>
      <c r="K120" s="1226"/>
      <c r="L120" s="1226"/>
      <c r="M120" s="1226"/>
      <c r="N120" s="1226"/>
      <c r="O120" s="1226"/>
      <c r="P120" s="1226"/>
      <c r="Q120" s="1226"/>
      <c r="R120" s="1226"/>
      <c r="S120" s="1226"/>
      <c r="T120" s="1226"/>
      <c r="V120" s="365"/>
    </row>
    <row r="121" spans="1:22" s="363" customFormat="1">
      <c r="A121" s="365"/>
      <c r="B121" s="365"/>
      <c r="C121" s="365"/>
      <c r="D121" s="922"/>
      <c r="E121" s="922"/>
      <c r="F121" s="922"/>
      <c r="G121" s="922"/>
      <c r="H121" s="922"/>
      <c r="I121" s="1226"/>
      <c r="J121" s="1226"/>
      <c r="K121" s="1226"/>
      <c r="L121" s="1226"/>
      <c r="M121" s="1226"/>
      <c r="N121" s="1226"/>
      <c r="O121" s="1226"/>
      <c r="P121" s="1226"/>
      <c r="Q121" s="1226"/>
      <c r="R121" s="1226"/>
      <c r="S121" s="1226"/>
      <c r="T121" s="1226"/>
      <c r="V121" s="365"/>
    </row>
    <row r="122" spans="1:22" s="363" customFormat="1">
      <c r="A122" s="365"/>
      <c r="B122" s="365"/>
      <c r="C122" s="365"/>
      <c r="D122" s="922"/>
      <c r="E122" s="922"/>
      <c r="F122" s="922"/>
      <c r="G122" s="922"/>
      <c r="H122" s="922"/>
      <c r="I122" s="1226"/>
      <c r="J122" s="1226"/>
      <c r="K122" s="1226"/>
      <c r="L122" s="1226"/>
      <c r="M122" s="1226"/>
      <c r="N122" s="1226"/>
      <c r="O122" s="1226"/>
      <c r="P122" s="1226"/>
      <c r="Q122" s="1226"/>
      <c r="R122" s="1226"/>
      <c r="S122" s="1226"/>
      <c r="T122" s="1226"/>
      <c r="V122" s="365"/>
    </row>
    <row r="123" spans="1:22" s="363" customFormat="1">
      <c r="A123" s="365"/>
      <c r="B123" s="365"/>
      <c r="C123" s="365"/>
      <c r="D123" s="922"/>
      <c r="E123" s="922"/>
      <c r="F123" s="922"/>
      <c r="G123" s="922"/>
      <c r="H123" s="922"/>
      <c r="I123" s="1226"/>
      <c r="J123" s="1226"/>
      <c r="K123" s="1226"/>
      <c r="L123" s="1226"/>
      <c r="M123" s="1226"/>
      <c r="N123" s="1226"/>
      <c r="O123" s="1226"/>
      <c r="P123" s="1226"/>
      <c r="Q123" s="1226"/>
      <c r="R123" s="1226"/>
      <c r="S123" s="1226"/>
      <c r="T123" s="1226"/>
      <c r="V123" s="365"/>
    </row>
    <row r="124" spans="1:22" s="363" customFormat="1">
      <c r="A124" s="365"/>
      <c r="B124" s="365"/>
      <c r="C124" s="365"/>
      <c r="D124" s="922"/>
      <c r="E124" s="922"/>
      <c r="F124" s="922"/>
      <c r="G124" s="922"/>
      <c r="H124" s="922"/>
      <c r="I124" s="1226"/>
      <c r="J124" s="1226"/>
      <c r="K124" s="1226"/>
      <c r="L124" s="1226"/>
      <c r="M124" s="1226"/>
      <c r="N124" s="1226"/>
      <c r="O124" s="1226"/>
      <c r="P124" s="1226"/>
      <c r="Q124" s="1226"/>
      <c r="R124" s="1226"/>
      <c r="S124" s="1226"/>
      <c r="T124" s="1226"/>
      <c r="V124" s="365"/>
    </row>
    <row r="125" spans="1:22" s="363" customFormat="1">
      <c r="A125" s="365"/>
      <c r="B125" s="365"/>
      <c r="C125" s="365"/>
      <c r="D125" s="922"/>
      <c r="E125" s="922"/>
      <c r="F125" s="922"/>
      <c r="G125" s="922"/>
      <c r="H125" s="922"/>
      <c r="I125" s="1226"/>
      <c r="J125" s="1226"/>
      <c r="K125" s="1226"/>
      <c r="L125" s="1226"/>
      <c r="M125" s="1226"/>
      <c r="N125" s="1226"/>
      <c r="O125" s="1226"/>
      <c r="P125" s="1226"/>
      <c r="Q125" s="1226"/>
      <c r="R125" s="1226"/>
      <c r="S125" s="1226"/>
      <c r="T125" s="1226"/>
      <c r="V125" s="365"/>
    </row>
    <row r="126" spans="1:22" s="363" customFormat="1">
      <c r="A126" s="365"/>
      <c r="B126" s="365"/>
      <c r="C126" s="365"/>
      <c r="D126" s="922"/>
      <c r="E126" s="922"/>
      <c r="F126" s="922"/>
      <c r="G126" s="922"/>
      <c r="H126" s="922"/>
      <c r="I126" s="1226"/>
      <c r="J126" s="1226"/>
      <c r="K126" s="1226"/>
      <c r="L126" s="1226"/>
      <c r="M126" s="1226"/>
      <c r="N126" s="1226"/>
      <c r="O126" s="1226"/>
      <c r="P126" s="1226"/>
      <c r="Q126" s="1226"/>
      <c r="R126" s="1226"/>
      <c r="S126" s="1226"/>
      <c r="T126" s="1226"/>
      <c r="V126" s="365"/>
    </row>
    <row r="127" spans="1:22" s="363" customFormat="1">
      <c r="A127" s="365"/>
      <c r="B127" s="365"/>
      <c r="C127" s="365"/>
      <c r="D127" s="922"/>
      <c r="E127" s="922"/>
      <c r="F127" s="922"/>
      <c r="G127" s="922"/>
      <c r="H127" s="922"/>
      <c r="I127" s="1226"/>
      <c r="J127" s="1226"/>
      <c r="K127" s="1226"/>
      <c r="L127" s="1226"/>
      <c r="M127" s="1226"/>
      <c r="N127" s="1226"/>
      <c r="O127" s="1226"/>
      <c r="P127" s="1226"/>
      <c r="Q127" s="1226"/>
      <c r="R127" s="1226"/>
      <c r="S127" s="1226"/>
      <c r="T127" s="1226"/>
      <c r="V127" s="365"/>
    </row>
    <row r="128" spans="1:22" s="363" customFormat="1">
      <c r="A128" s="365"/>
      <c r="B128" s="365"/>
      <c r="C128" s="365"/>
      <c r="D128" s="922"/>
      <c r="E128" s="922"/>
      <c r="F128" s="922"/>
      <c r="G128" s="922"/>
      <c r="H128" s="922"/>
      <c r="I128" s="1226"/>
      <c r="J128" s="1226"/>
      <c r="K128" s="1226"/>
      <c r="L128" s="1226"/>
      <c r="M128" s="1226"/>
      <c r="N128" s="1226"/>
      <c r="O128" s="1226"/>
      <c r="P128" s="1226"/>
      <c r="Q128" s="1226"/>
      <c r="R128" s="1226"/>
      <c r="S128" s="1226"/>
      <c r="T128" s="1226"/>
      <c r="V128" s="365"/>
    </row>
    <row r="129" spans="1:22" s="363" customFormat="1">
      <c r="A129" s="365"/>
      <c r="B129" s="365"/>
      <c r="C129" s="365"/>
      <c r="D129" s="922"/>
      <c r="E129" s="922"/>
      <c r="F129" s="922"/>
      <c r="G129" s="922"/>
      <c r="H129" s="922"/>
      <c r="I129" s="1226"/>
      <c r="J129" s="1226"/>
      <c r="K129" s="1226"/>
      <c r="L129" s="1226"/>
      <c r="M129" s="1226"/>
      <c r="N129" s="1226"/>
      <c r="O129" s="1226"/>
      <c r="P129" s="1226"/>
      <c r="Q129" s="1226"/>
      <c r="R129" s="1226"/>
      <c r="S129" s="1226"/>
      <c r="T129" s="1226"/>
      <c r="V129" s="365"/>
    </row>
    <row r="130" spans="1:22" s="363" customFormat="1">
      <c r="A130" s="365"/>
      <c r="B130" s="365"/>
      <c r="C130" s="365"/>
      <c r="D130" s="922"/>
      <c r="E130" s="922"/>
      <c r="F130" s="922"/>
      <c r="G130" s="922"/>
      <c r="H130" s="922"/>
      <c r="I130" s="1226"/>
      <c r="J130" s="1226"/>
      <c r="K130" s="1226"/>
      <c r="L130" s="1226"/>
      <c r="M130" s="1226"/>
      <c r="N130" s="1226"/>
      <c r="O130" s="1226"/>
      <c r="P130" s="1226"/>
      <c r="Q130" s="1226"/>
      <c r="R130" s="1226"/>
      <c r="S130" s="1226"/>
      <c r="T130" s="1226"/>
      <c r="V130" s="365"/>
    </row>
    <row r="131" spans="1:22" s="363" customFormat="1">
      <c r="A131" s="365"/>
      <c r="B131" s="365"/>
      <c r="C131" s="365"/>
      <c r="D131" s="922"/>
      <c r="E131" s="922"/>
      <c r="F131" s="922"/>
      <c r="G131" s="922"/>
      <c r="H131" s="922"/>
      <c r="I131" s="1226"/>
      <c r="J131" s="1226"/>
      <c r="K131" s="1226"/>
      <c r="L131" s="1226"/>
      <c r="M131" s="1226"/>
      <c r="N131" s="1226"/>
      <c r="O131" s="1226"/>
      <c r="P131" s="1226"/>
      <c r="Q131" s="1226"/>
      <c r="R131" s="1226"/>
      <c r="S131" s="1226"/>
      <c r="T131" s="1226"/>
      <c r="V131" s="365"/>
    </row>
    <row r="132" spans="1:22" s="363" customFormat="1">
      <c r="A132" s="365"/>
      <c r="B132" s="365"/>
      <c r="C132" s="365"/>
      <c r="D132" s="922"/>
      <c r="E132" s="922"/>
      <c r="F132" s="922"/>
      <c r="G132" s="922"/>
      <c r="H132" s="922"/>
      <c r="I132" s="1226"/>
      <c r="J132" s="1226"/>
      <c r="K132" s="1226"/>
      <c r="L132" s="1226"/>
      <c r="M132" s="1226"/>
      <c r="N132" s="1226"/>
      <c r="O132" s="1226"/>
      <c r="P132" s="1226"/>
      <c r="Q132" s="1226"/>
      <c r="R132" s="1226"/>
      <c r="S132" s="1226"/>
      <c r="T132" s="1226"/>
      <c r="V132" s="365"/>
    </row>
    <row r="133" spans="1:22" s="363" customFormat="1">
      <c r="A133" s="365"/>
      <c r="B133" s="365"/>
      <c r="C133" s="365"/>
      <c r="D133" s="922"/>
      <c r="E133" s="922"/>
      <c r="F133" s="922"/>
      <c r="G133" s="922"/>
      <c r="H133" s="922"/>
      <c r="I133" s="1226"/>
      <c r="J133" s="1226"/>
      <c r="K133" s="1226"/>
      <c r="L133" s="1226"/>
      <c r="M133" s="1226"/>
      <c r="N133" s="1226"/>
      <c r="O133" s="1226"/>
      <c r="P133" s="1226"/>
      <c r="Q133" s="1226"/>
      <c r="R133" s="1226"/>
      <c r="S133" s="1226"/>
      <c r="T133" s="1226"/>
      <c r="V133" s="365"/>
    </row>
    <row r="134" spans="1:22" s="363" customFormat="1">
      <c r="A134" s="365"/>
      <c r="B134" s="365"/>
      <c r="C134" s="365"/>
      <c r="D134" s="922"/>
      <c r="E134" s="922"/>
      <c r="F134" s="922"/>
      <c r="G134" s="922"/>
      <c r="H134" s="922"/>
      <c r="I134" s="1226"/>
      <c r="J134" s="1226"/>
      <c r="K134" s="1226"/>
      <c r="L134" s="1226"/>
      <c r="M134" s="1226"/>
      <c r="N134" s="1226"/>
      <c r="O134" s="1226"/>
      <c r="P134" s="1226"/>
      <c r="Q134" s="1226"/>
      <c r="R134" s="1226"/>
      <c r="S134" s="1226"/>
      <c r="T134" s="1226"/>
      <c r="V134" s="365"/>
    </row>
    <row r="135" spans="1:22" s="363" customFormat="1">
      <c r="A135" s="365"/>
      <c r="B135" s="365"/>
      <c r="C135" s="365"/>
      <c r="D135" s="922"/>
      <c r="E135" s="922"/>
      <c r="F135" s="922"/>
      <c r="G135" s="922"/>
      <c r="H135" s="922"/>
      <c r="I135" s="1226"/>
      <c r="J135" s="1226"/>
      <c r="K135" s="1226"/>
      <c r="L135" s="1226"/>
      <c r="M135" s="1226"/>
      <c r="N135" s="1226"/>
      <c r="O135" s="1226"/>
      <c r="P135" s="1226"/>
      <c r="Q135" s="1226"/>
      <c r="R135" s="1226"/>
      <c r="S135" s="1226"/>
      <c r="T135" s="1226"/>
      <c r="V135" s="365"/>
    </row>
    <row r="136" spans="1:22" s="363" customFormat="1">
      <c r="A136" s="365"/>
      <c r="B136" s="365"/>
      <c r="C136" s="365"/>
      <c r="D136" s="922"/>
      <c r="E136" s="922"/>
      <c r="F136" s="922"/>
      <c r="G136" s="922"/>
      <c r="H136" s="922"/>
      <c r="I136" s="1226"/>
      <c r="J136" s="1226"/>
      <c r="K136" s="1226"/>
      <c r="L136" s="1226"/>
      <c r="M136" s="1226"/>
      <c r="N136" s="1226"/>
      <c r="O136" s="1226"/>
      <c r="P136" s="1226"/>
      <c r="Q136" s="1226"/>
      <c r="R136" s="1226"/>
      <c r="S136" s="1226"/>
      <c r="T136" s="1226"/>
      <c r="V136" s="365"/>
    </row>
    <row r="137" spans="1:22" s="363" customFormat="1">
      <c r="A137" s="365"/>
      <c r="B137" s="365"/>
      <c r="C137" s="365"/>
      <c r="D137" s="922"/>
      <c r="E137" s="922"/>
      <c r="F137" s="922"/>
      <c r="G137" s="922"/>
      <c r="H137" s="922"/>
      <c r="I137" s="922"/>
      <c r="J137" s="922"/>
      <c r="K137" s="922"/>
      <c r="L137" s="922"/>
      <c r="M137" s="1226"/>
      <c r="N137" s="1226"/>
      <c r="O137" s="1226"/>
      <c r="P137" s="1226"/>
      <c r="Q137" s="1226"/>
      <c r="R137" s="1226"/>
      <c r="S137" s="1226"/>
      <c r="T137" s="1226"/>
      <c r="V137" s="365"/>
    </row>
    <row r="138" spans="1:22" s="363" customFormat="1">
      <c r="A138" s="365"/>
      <c r="B138" s="365"/>
      <c r="C138" s="365"/>
      <c r="D138" s="922"/>
      <c r="E138" s="922"/>
      <c r="F138" s="922"/>
      <c r="G138" s="922"/>
      <c r="H138" s="922"/>
      <c r="I138" s="922"/>
      <c r="J138" s="922"/>
      <c r="K138" s="922"/>
      <c r="L138" s="922"/>
      <c r="M138" s="1226"/>
      <c r="N138" s="1226"/>
      <c r="O138" s="1226"/>
      <c r="P138" s="1226"/>
      <c r="Q138" s="1226"/>
      <c r="R138" s="1226"/>
      <c r="S138" s="1226"/>
      <c r="T138" s="1226"/>
      <c r="V138" s="365"/>
    </row>
    <row r="139" spans="1:22" s="363" customFormat="1">
      <c r="A139" s="365"/>
      <c r="B139" s="365"/>
      <c r="C139" s="365"/>
      <c r="D139" s="922"/>
      <c r="E139" s="922"/>
      <c r="F139" s="922"/>
      <c r="G139" s="922"/>
      <c r="H139" s="922"/>
      <c r="I139" s="922"/>
      <c r="J139" s="922"/>
      <c r="K139" s="922"/>
      <c r="L139" s="922"/>
      <c r="M139" s="1226"/>
      <c r="N139" s="1226"/>
      <c r="O139" s="1226"/>
      <c r="P139" s="1226"/>
      <c r="Q139" s="1226"/>
      <c r="R139" s="1226"/>
      <c r="S139" s="1226"/>
      <c r="T139" s="1226"/>
      <c r="V139" s="365"/>
    </row>
    <row r="140" spans="1:22" s="363" customFormat="1">
      <c r="A140" s="365"/>
      <c r="B140" s="365"/>
      <c r="C140" s="365"/>
      <c r="D140" s="922"/>
      <c r="E140" s="922"/>
      <c r="F140" s="922"/>
      <c r="G140" s="922"/>
      <c r="H140" s="922"/>
      <c r="I140" s="922"/>
      <c r="J140" s="922"/>
      <c r="K140" s="922"/>
      <c r="L140" s="922"/>
      <c r="M140" s="1226"/>
      <c r="N140" s="1226"/>
      <c r="O140" s="1226"/>
      <c r="P140" s="1226"/>
      <c r="Q140" s="1226"/>
      <c r="R140" s="1226"/>
      <c r="S140" s="1226"/>
      <c r="T140" s="1226"/>
      <c r="V140" s="365"/>
    </row>
    <row r="141" spans="1:22" s="363" customFormat="1">
      <c r="A141" s="365"/>
      <c r="B141" s="365"/>
      <c r="C141" s="365"/>
      <c r="D141" s="922"/>
      <c r="E141" s="922"/>
      <c r="F141" s="922"/>
      <c r="G141" s="922"/>
      <c r="H141" s="922"/>
      <c r="I141" s="922"/>
      <c r="J141" s="922"/>
      <c r="K141" s="922"/>
      <c r="L141" s="922"/>
      <c r="M141" s="1226"/>
      <c r="N141" s="1226"/>
      <c r="O141" s="1226"/>
      <c r="P141" s="1226"/>
      <c r="Q141" s="1226"/>
      <c r="R141" s="1226"/>
      <c r="S141" s="1226"/>
      <c r="T141" s="1226"/>
      <c r="V141" s="365"/>
    </row>
    <row r="142" spans="1:22" s="363" customFormat="1">
      <c r="A142" s="365"/>
      <c r="B142" s="365"/>
      <c r="C142" s="365"/>
      <c r="D142" s="922"/>
      <c r="E142" s="922"/>
      <c r="F142" s="922"/>
      <c r="G142" s="922"/>
      <c r="H142" s="922"/>
      <c r="I142" s="922"/>
      <c r="J142" s="922"/>
      <c r="K142" s="922"/>
      <c r="L142" s="922"/>
      <c r="M142" s="1226"/>
      <c r="N142" s="1226"/>
      <c r="O142" s="1226"/>
      <c r="P142" s="1226"/>
      <c r="Q142" s="1226"/>
      <c r="R142" s="1226"/>
      <c r="S142" s="1226"/>
      <c r="T142" s="1226"/>
      <c r="V142" s="365"/>
    </row>
    <row r="143" spans="1:22" s="363" customFormat="1">
      <c r="A143" s="365"/>
      <c r="B143" s="365"/>
      <c r="C143" s="365"/>
      <c r="D143" s="922"/>
      <c r="E143" s="922"/>
      <c r="F143" s="922"/>
      <c r="G143" s="922"/>
      <c r="H143" s="922"/>
      <c r="I143" s="922"/>
      <c r="J143" s="922"/>
      <c r="K143" s="922"/>
      <c r="L143" s="922"/>
      <c r="M143" s="1226"/>
      <c r="N143" s="1226"/>
      <c r="O143" s="1226"/>
      <c r="P143" s="1226"/>
      <c r="Q143" s="1226"/>
      <c r="R143" s="1226"/>
      <c r="S143" s="1226"/>
      <c r="T143" s="1226"/>
      <c r="V143" s="365"/>
    </row>
    <row r="144" spans="1:22" s="363" customFormat="1">
      <c r="A144" s="365"/>
      <c r="B144" s="365"/>
      <c r="C144" s="365"/>
      <c r="D144" s="922"/>
      <c r="E144" s="922"/>
      <c r="F144" s="922"/>
      <c r="G144" s="922"/>
      <c r="H144" s="922"/>
      <c r="I144" s="922"/>
      <c r="J144" s="922"/>
      <c r="K144" s="922"/>
      <c r="L144" s="922"/>
      <c r="M144" s="1226"/>
      <c r="N144" s="1226"/>
      <c r="O144" s="1226"/>
      <c r="P144" s="1226"/>
      <c r="Q144" s="1226"/>
      <c r="R144" s="1226"/>
      <c r="S144" s="1226"/>
      <c r="T144" s="1226"/>
      <c r="V144" s="365"/>
    </row>
    <row r="145" spans="1:22" s="363" customFormat="1">
      <c r="A145" s="365"/>
      <c r="B145" s="365"/>
      <c r="C145" s="365"/>
      <c r="D145" s="922"/>
      <c r="E145" s="922"/>
      <c r="F145" s="922"/>
      <c r="G145" s="922"/>
      <c r="H145" s="922"/>
      <c r="I145" s="922"/>
      <c r="J145" s="922"/>
      <c r="K145" s="922"/>
      <c r="L145" s="922"/>
      <c r="M145" s="1226"/>
      <c r="N145" s="1226"/>
      <c r="O145" s="1226"/>
      <c r="P145" s="1226"/>
      <c r="Q145" s="1226"/>
      <c r="R145" s="1226"/>
      <c r="S145" s="1226"/>
      <c r="T145" s="1226"/>
      <c r="V145" s="365"/>
    </row>
    <row r="146" spans="1:22" s="363" customFormat="1">
      <c r="A146" s="365"/>
      <c r="B146" s="365"/>
      <c r="C146" s="365"/>
      <c r="D146" s="922"/>
      <c r="E146" s="922"/>
      <c r="F146" s="922"/>
      <c r="G146" s="922"/>
      <c r="H146" s="922"/>
      <c r="I146" s="922"/>
      <c r="J146" s="922"/>
      <c r="K146" s="922"/>
      <c r="L146" s="922"/>
      <c r="M146" s="1226"/>
      <c r="N146" s="1226"/>
      <c r="O146" s="1226"/>
      <c r="P146" s="1226"/>
      <c r="Q146" s="1226"/>
      <c r="R146" s="1226"/>
      <c r="S146" s="1226"/>
      <c r="T146" s="1226"/>
      <c r="V146" s="365"/>
    </row>
    <row r="147" spans="1:22" s="363" customFormat="1">
      <c r="A147" s="365"/>
      <c r="B147" s="365"/>
      <c r="C147" s="365"/>
      <c r="D147" s="922"/>
      <c r="E147" s="922"/>
      <c r="F147" s="922"/>
      <c r="G147" s="922"/>
      <c r="H147" s="922"/>
      <c r="I147" s="922"/>
      <c r="J147" s="922"/>
      <c r="K147" s="922"/>
      <c r="L147" s="922"/>
      <c r="M147" s="1226"/>
      <c r="N147" s="1226"/>
      <c r="O147" s="1226"/>
      <c r="P147" s="1226"/>
      <c r="Q147" s="1226"/>
      <c r="R147" s="1226"/>
      <c r="S147" s="1226"/>
      <c r="T147" s="1226"/>
      <c r="V147" s="365"/>
    </row>
    <row r="148" spans="1:22" s="363" customFormat="1">
      <c r="A148" s="365"/>
      <c r="B148" s="365"/>
      <c r="C148" s="365"/>
      <c r="D148" s="922"/>
      <c r="E148" s="922"/>
      <c r="F148" s="922"/>
      <c r="G148" s="922"/>
      <c r="H148" s="922"/>
      <c r="I148" s="922"/>
      <c r="J148" s="922"/>
      <c r="K148" s="922"/>
      <c r="L148" s="922"/>
      <c r="M148" s="1226"/>
      <c r="N148" s="1226"/>
      <c r="O148" s="1226"/>
      <c r="P148" s="1226"/>
      <c r="Q148" s="1226"/>
      <c r="R148" s="1226"/>
      <c r="S148" s="1226"/>
      <c r="T148" s="1226"/>
      <c r="V148" s="365"/>
    </row>
    <row r="149" spans="1:22" s="363" customFormat="1">
      <c r="A149" s="365"/>
      <c r="B149" s="365"/>
      <c r="C149" s="365"/>
      <c r="D149" s="922"/>
      <c r="E149" s="922"/>
      <c r="F149" s="922"/>
      <c r="G149" s="922"/>
      <c r="H149" s="922"/>
      <c r="I149" s="922"/>
      <c r="J149" s="922"/>
      <c r="K149" s="922"/>
      <c r="L149" s="922"/>
      <c r="M149" s="1226"/>
      <c r="N149" s="1226"/>
      <c r="O149" s="1226"/>
      <c r="P149" s="1226"/>
      <c r="Q149" s="1226"/>
      <c r="R149" s="1226"/>
      <c r="S149" s="1226"/>
      <c r="T149" s="1226"/>
      <c r="V149" s="365"/>
    </row>
    <row r="150" spans="1:22" s="363" customFormat="1">
      <c r="A150" s="365"/>
      <c r="B150" s="365"/>
      <c r="C150" s="365"/>
      <c r="D150" s="922"/>
      <c r="E150" s="922"/>
      <c r="F150" s="922"/>
      <c r="G150" s="922"/>
      <c r="H150" s="922"/>
      <c r="I150" s="922"/>
      <c r="J150" s="922"/>
      <c r="K150" s="922"/>
      <c r="L150" s="922"/>
      <c r="M150" s="1226"/>
      <c r="N150" s="1226"/>
      <c r="O150" s="1226"/>
      <c r="P150" s="1226"/>
      <c r="Q150" s="1226"/>
      <c r="R150" s="1226"/>
      <c r="S150" s="1226"/>
      <c r="T150" s="1226"/>
      <c r="V150" s="365"/>
    </row>
    <row r="151" spans="1:22" s="363" customFormat="1">
      <c r="A151" s="365"/>
      <c r="B151" s="365"/>
      <c r="C151" s="365"/>
      <c r="D151" s="922"/>
      <c r="E151" s="922"/>
      <c r="F151" s="922"/>
      <c r="G151" s="922"/>
      <c r="H151" s="922"/>
      <c r="I151" s="922"/>
      <c r="J151" s="922"/>
      <c r="K151" s="922"/>
      <c r="L151" s="922"/>
      <c r="M151" s="1226"/>
      <c r="N151" s="1226"/>
      <c r="O151" s="1226"/>
      <c r="P151" s="1226"/>
      <c r="Q151" s="1226"/>
      <c r="R151" s="1226"/>
      <c r="S151" s="1226"/>
      <c r="T151" s="1226"/>
      <c r="V151" s="365"/>
    </row>
    <row r="152" spans="1:22" s="363" customFormat="1">
      <c r="A152" s="365"/>
      <c r="B152" s="365"/>
      <c r="C152" s="365"/>
      <c r="D152" s="922"/>
      <c r="E152" s="922"/>
      <c r="F152" s="922"/>
      <c r="G152" s="922"/>
      <c r="H152" s="922"/>
      <c r="I152" s="922"/>
      <c r="J152" s="922"/>
      <c r="K152" s="922"/>
      <c r="L152" s="922"/>
      <c r="M152" s="1226"/>
      <c r="N152" s="1226"/>
      <c r="O152" s="1226"/>
      <c r="P152" s="1226"/>
      <c r="Q152" s="1226"/>
      <c r="R152" s="1226"/>
      <c r="S152" s="1226"/>
      <c r="T152" s="1226"/>
      <c r="V152" s="365"/>
    </row>
    <row r="283" spans="1:34" s="922" customFormat="1">
      <c r="A283" s="365"/>
      <c r="B283" s="365"/>
      <c r="C283" s="365"/>
      <c r="D283" s="922">
        <v>0</v>
      </c>
      <c r="M283" s="1226"/>
      <c r="N283" s="1226"/>
      <c r="O283" s="1226"/>
      <c r="P283" s="1226"/>
      <c r="Q283" s="1226"/>
      <c r="R283" s="1226"/>
      <c r="S283" s="1226"/>
      <c r="T283" s="1226"/>
      <c r="U283" s="363"/>
      <c r="V283" s="365"/>
      <c r="W283" s="365"/>
      <c r="X283" s="363"/>
      <c r="Y283" s="363"/>
      <c r="Z283" s="363"/>
      <c r="AA283" s="363"/>
      <c r="AB283" s="363"/>
      <c r="AC283" s="363"/>
      <c r="AD283" s="363"/>
      <c r="AE283" s="363"/>
      <c r="AF283" s="363"/>
      <c r="AG283" s="363"/>
      <c r="AH283" s="363"/>
    </row>
  </sheetData>
  <mergeCells count="4">
    <mergeCell ref="A1:T1"/>
    <mergeCell ref="A2:T2"/>
    <mergeCell ref="B3:T3"/>
    <mergeCell ref="A4:T4"/>
  </mergeCells>
  <printOptions horizontalCentered="1"/>
  <pageMargins left="0.17" right="0.17" top="0.5" bottom="0.17" header="0.17" footer="0.2"/>
  <pageSetup scale="42"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Z82"/>
  <sheetViews>
    <sheetView showGridLines="0" tabSelected="1" topLeftCell="A2" zoomScale="75" zoomScaleNormal="75" workbookViewId="0">
      <pane xSplit="3" ySplit="7" topLeftCell="D9" activePane="bottomRight" state="frozen"/>
      <selection activeCell="A304" sqref="A304"/>
      <selection pane="topRight" activeCell="A304" sqref="A304"/>
      <selection pane="bottomLeft" activeCell="A304" sqref="A304"/>
      <selection pane="bottomRight" activeCell="P41" sqref="P41"/>
    </sheetView>
  </sheetViews>
  <sheetFormatPr defaultRowHeight="12.75"/>
  <cols>
    <col min="1" max="1" width="33.85546875" style="365" customWidth="1"/>
    <col min="2" max="2" width="10.5703125" style="365" bestFit="1" customWidth="1"/>
    <col min="3" max="3" width="2.28515625" style="418" bestFit="1" customWidth="1"/>
    <col min="4" max="4" width="18.7109375" style="922" bestFit="1" customWidth="1"/>
    <col min="5" max="5" width="18.7109375" style="922" customWidth="1"/>
    <col min="6" max="6" width="18.85546875" style="922" bestFit="1" customWidth="1"/>
    <col min="7" max="7" width="17.140625" style="922" bestFit="1" customWidth="1"/>
    <col min="8" max="8" width="17.140625" style="922" customWidth="1"/>
    <col min="9" max="11" width="17.140625" style="922" bestFit="1" customWidth="1"/>
    <col min="12" max="12" width="17.140625" style="922" customWidth="1"/>
    <col min="13" max="13" width="17.140625" style="922" bestFit="1" customWidth="1"/>
    <col min="14" max="14" width="17.140625" style="922" customWidth="1"/>
    <col min="15" max="15" width="17.140625" style="363" bestFit="1" customWidth="1"/>
    <col min="16" max="18" width="17.5703125" style="363" bestFit="1" customWidth="1"/>
    <col min="19" max="26" width="9.140625" style="363" customWidth="1"/>
    <col min="27" max="221" width="8.85546875" style="365"/>
    <col min="222" max="222" width="44.5703125" style="365" customWidth="1"/>
    <col min="223" max="223" width="14.28515625" style="365" bestFit="1" customWidth="1"/>
    <col min="224" max="224" width="1.7109375" style="365" customWidth="1"/>
    <col min="225" max="225" width="14.85546875" style="365" customWidth="1"/>
    <col min="226" max="226" width="0" style="365" hidden="1" customWidth="1"/>
    <col min="227" max="227" width="17.42578125" style="365" customWidth="1"/>
    <col min="228" max="228" width="0" style="365" hidden="1" customWidth="1"/>
    <col min="229" max="229" width="12.85546875" style="365" customWidth="1"/>
    <col min="230" max="230" width="0" style="365" hidden="1" customWidth="1"/>
    <col min="231" max="231" width="14.42578125" style="365" customWidth="1"/>
    <col min="232" max="232" width="0" style="365" hidden="1" customWidth="1"/>
    <col min="233" max="233" width="17.42578125" style="365" customWidth="1"/>
    <col min="234" max="234" width="0" style="365" hidden="1" customWidth="1"/>
    <col min="235" max="235" width="14" style="365" customWidth="1"/>
    <col min="236" max="236" width="14.28515625" style="365" bestFit="1" customWidth="1"/>
    <col min="237" max="237" width="0" style="365" hidden="1" customWidth="1"/>
    <col min="238" max="238" width="15.5703125" style="365" customWidth="1"/>
    <col min="239" max="239" width="44.5703125" style="365" customWidth="1"/>
    <col min="240" max="240" width="14.28515625" style="365" bestFit="1" customWidth="1"/>
    <col min="241" max="241" width="0" style="365" hidden="1" customWidth="1"/>
    <col min="242" max="242" width="18.140625" style="365" customWidth="1"/>
    <col min="243" max="243" width="0" style="365" hidden="1" customWidth="1"/>
    <col min="244" max="244" width="14" style="365" customWidth="1"/>
    <col min="245" max="245" width="0" style="365" hidden="1" customWidth="1"/>
    <col min="246" max="246" width="20.85546875" style="365" customWidth="1"/>
    <col min="247" max="247" width="0" style="365" hidden="1" customWidth="1"/>
    <col min="248" max="248" width="13.28515625" style="365" customWidth="1"/>
    <col min="249" max="249" width="0" style="365" hidden="1" customWidth="1"/>
    <col min="250" max="250" width="15" style="365" customWidth="1"/>
    <col min="251" max="251" width="0" style="365" hidden="1" customWidth="1"/>
    <col min="252" max="252" width="13.28515625" style="365" customWidth="1"/>
    <col min="253" max="253" width="0" style="365" hidden="1" customWidth="1"/>
    <col min="254" max="254" width="20.140625" style="365" customWidth="1"/>
    <col min="255" max="255" width="14.42578125" style="365" bestFit="1" customWidth="1"/>
    <col min="256" max="256" width="14" style="365" bestFit="1" customWidth="1"/>
    <col min="257" max="257" width="12.28515625" style="365" bestFit="1" customWidth="1"/>
    <col min="258" max="282" width="9.140625" style="365" customWidth="1"/>
    <col min="283" max="477" width="8.85546875" style="365"/>
    <col min="478" max="478" width="44.5703125" style="365" customWidth="1"/>
    <col min="479" max="479" width="14.28515625" style="365" bestFit="1" customWidth="1"/>
    <col min="480" max="480" width="1.7109375" style="365" customWidth="1"/>
    <col min="481" max="481" width="14.85546875" style="365" customWidth="1"/>
    <col min="482" max="482" width="0" style="365" hidden="1" customWidth="1"/>
    <col min="483" max="483" width="17.42578125" style="365" customWidth="1"/>
    <col min="484" max="484" width="0" style="365" hidden="1" customWidth="1"/>
    <col min="485" max="485" width="12.85546875" style="365" customWidth="1"/>
    <col min="486" max="486" width="0" style="365" hidden="1" customWidth="1"/>
    <col min="487" max="487" width="14.42578125" style="365" customWidth="1"/>
    <col min="488" max="488" width="0" style="365" hidden="1" customWidth="1"/>
    <col min="489" max="489" width="17.42578125" style="365" customWidth="1"/>
    <col min="490" max="490" width="0" style="365" hidden="1" customWidth="1"/>
    <col min="491" max="491" width="14" style="365" customWidth="1"/>
    <col min="492" max="492" width="14.28515625" style="365" bestFit="1" customWidth="1"/>
    <col min="493" max="493" width="0" style="365" hidden="1" customWidth="1"/>
    <col min="494" max="494" width="15.5703125" style="365" customWidth="1"/>
    <col min="495" max="495" width="44.5703125" style="365" customWidth="1"/>
    <col min="496" max="496" width="14.28515625" style="365" bestFit="1" customWidth="1"/>
    <col min="497" max="497" width="0" style="365" hidden="1" customWidth="1"/>
    <col min="498" max="498" width="18.140625" style="365" customWidth="1"/>
    <col min="499" max="499" width="0" style="365" hidden="1" customWidth="1"/>
    <col min="500" max="500" width="14" style="365" customWidth="1"/>
    <col min="501" max="501" width="0" style="365" hidden="1" customWidth="1"/>
    <col min="502" max="502" width="20.85546875" style="365" customWidth="1"/>
    <col min="503" max="503" width="0" style="365" hidden="1" customWidth="1"/>
    <col min="504" max="504" width="13.28515625" style="365" customWidth="1"/>
    <col min="505" max="505" width="0" style="365" hidden="1" customWidth="1"/>
    <col min="506" max="506" width="15" style="365" customWidth="1"/>
    <col min="507" max="507" width="0" style="365" hidden="1" customWidth="1"/>
    <col min="508" max="508" width="13.28515625" style="365" customWidth="1"/>
    <col min="509" max="509" width="0" style="365" hidden="1" customWidth="1"/>
    <col min="510" max="510" width="20.140625" style="365" customWidth="1"/>
    <col min="511" max="511" width="14.42578125" style="365" bestFit="1" customWidth="1"/>
    <col min="512" max="512" width="14" style="365" bestFit="1" customWidth="1"/>
    <col min="513" max="513" width="12.28515625" style="365" bestFit="1" customWidth="1"/>
    <col min="514" max="538" width="9.140625" style="365" customWidth="1"/>
    <col min="539" max="733" width="8.85546875" style="365"/>
    <col min="734" max="734" width="44.5703125" style="365" customWidth="1"/>
    <col min="735" max="735" width="14.28515625" style="365" bestFit="1" customWidth="1"/>
    <col min="736" max="736" width="1.7109375" style="365" customWidth="1"/>
    <col min="737" max="737" width="14.85546875" style="365" customWidth="1"/>
    <col min="738" max="738" width="0" style="365" hidden="1" customWidth="1"/>
    <col min="739" max="739" width="17.42578125" style="365" customWidth="1"/>
    <col min="740" max="740" width="0" style="365" hidden="1" customWidth="1"/>
    <col min="741" max="741" width="12.85546875" style="365" customWidth="1"/>
    <col min="742" max="742" width="0" style="365" hidden="1" customWidth="1"/>
    <col min="743" max="743" width="14.42578125" style="365" customWidth="1"/>
    <col min="744" max="744" width="0" style="365" hidden="1" customWidth="1"/>
    <col min="745" max="745" width="17.42578125" style="365" customWidth="1"/>
    <col min="746" max="746" width="0" style="365" hidden="1" customWidth="1"/>
    <col min="747" max="747" width="14" style="365" customWidth="1"/>
    <col min="748" max="748" width="14.28515625" style="365" bestFit="1" customWidth="1"/>
    <col min="749" max="749" width="0" style="365" hidden="1" customWidth="1"/>
    <col min="750" max="750" width="15.5703125" style="365" customWidth="1"/>
    <col min="751" max="751" width="44.5703125" style="365" customWidth="1"/>
    <col min="752" max="752" width="14.28515625" style="365" bestFit="1" customWidth="1"/>
    <col min="753" max="753" width="0" style="365" hidden="1" customWidth="1"/>
    <col min="754" max="754" width="18.140625" style="365" customWidth="1"/>
    <col min="755" max="755" width="0" style="365" hidden="1" customWidth="1"/>
    <col min="756" max="756" width="14" style="365" customWidth="1"/>
    <col min="757" max="757" width="0" style="365" hidden="1" customWidth="1"/>
    <col min="758" max="758" width="20.85546875" style="365" customWidth="1"/>
    <col min="759" max="759" width="0" style="365" hidden="1" customWidth="1"/>
    <col min="760" max="760" width="13.28515625" style="365" customWidth="1"/>
    <col min="761" max="761" width="0" style="365" hidden="1" customWidth="1"/>
    <col min="762" max="762" width="15" style="365" customWidth="1"/>
    <col min="763" max="763" width="0" style="365" hidden="1" customWidth="1"/>
    <col min="764" max="764" width="13.28515625" style="365" customWidth="1"/>
    <col min="765" max="765" width="0" style="365" hidden="1" customWidth="1"/>
    <col min="766" max="766" width="20.140625" style="365" customWidth="1"/>
    <col min="767" max="767" width="14.42578125" style="365" bestFit="1" customWidth="1"/>
    <col min="768" max="768" width="14" style="365" bestFit="1" customWidth="1"/>
    <col min="769" max="769" width="12.28515625" style="365" bestFit="1" customWidth="1"/>
    <col min="770" max="794" width="9.140625" style="365" customWidth="1"/>
    <col min="795" max="989" width="8.85546875" style="365"/>
    <col min="990" max="990" width="44.5703125" style="365" customWidth="1"/>
    <col min="991" max="991" width="14.28515625" style="365" bestFit="1" customWidth="1"/>
    <col min="992" max="992" width="1.7109375" style="365" customWidth="1"/>
    <col min="993" max="993" width="14.85546875" style="365" customWidth="1"/>
    <col min="994" max="994" width="0" style="365" hidden="1" customWidth="1"/>
    <col min="995" max="995" width="17.42578125" style="365" customWidth="1"/>
    <col min="996" max="996" width="0" style="365" hidden="1" customWidth="1"/>
    <col min="997" max="997" width="12.85546875" style="365" customWidth="1"/>
    <col min="998" max="998" width="0" style="365" hidden="1" customWidth="1"/>
    <col min="999" max="999" width="14.42578125" style="365" customWidth="1"/>
    <col min="1000" max="1000" width="0" style="365" hidden="1" customWidth="1"/>
    <col min="1001" max="1001" width="17.42578125" style="365" customWidth="1"/>
    <col min="1002" max="1002" width="0" style="365" hidden="1" customWidth="1"/>
    <col min="1003" max="1003" width="14" style="365" customWidth="1"/>
    <col min="1004" max="1004" width="14.28515625" style="365" bestFit="1" customWidth="1"/>
    <col min="1005" max="1005" width="0" style="365" hidden="1" customWidth="1"/>
    <col min="1006" max="1006" width="15.5703125" style="365" customWidth="1"/>
    <col min="1007" max="1007" width="44.5703125" style="365" customWidth="1"/>
    <col min="1008" max="1008" width="14.28515625" style="365" bestFit="1" customWidth="1"/>
    <col min="1009" max="1009" width="0" style="365" hidden="1" customWidth="1"/>
    <col min="1010" max="1010" width="18.140625" style="365" customWidth="1"/>
    <col min="1011" max="1011" width="0" style="365" hidden="1" customWidth="1"/>
    <col min="1012" max="1012" width="14" style="365" customWidth="1"/>
    <col min="1013" max="1013" width="0" style="365" hidden="1" customWidth="1"/>
    <col min="1014" max="1014" width="20.85546875" style="365" customWidth="1"/>
    <col min="1015" max="1015" width="0" style="365" hidden="1" customWidth="1"/>
    <col min="1016" max="1016" width="13.28515625" style="365" customWidth="1"/>
    <col min="1017" max="1017" width="0" style="365" hidden="1" customWidth="1"/>
    <col min="1018" max="1018" width="15" style="365" customWidth="1"/>
    <col min="1019" max="1019" width="0" style="365" hidden="1" customWidth="1"/>
    <col min="1020" max="1020" width="13.28515625" style="365" customWidth="1"/>
    <col min="1021" max="1021" width="0" style="365" hidden="1" customWidth="1"/>
    <col min="1022" max="1022" width="20.140625" style="365" customWidth="1"/>
    <col min="1023" max="1023" width="14.42578125" style="365" bestFit="1" customWidth="1"/>
    <col min="1024" max="1024" width="14" style="365" bestFit="1" customWidth="1"/>
    <col min="1025" max="1025" width="12.28515625" style="365" bestFit="1" customWidth="1"/>
    <col min="1026" max="1050" width="9.140625" style="365" customWidth="1"/>
    <col min="1051" max="1245" width="8.85546875" style="365"/>
    <col min="1246" max="1246" width="44.5703125" style="365" customWidth="1"/>
    <col min="1247" max="1247" width="14.28515625" style="365" bestFit="1" customWidth="1"/>
    <col min="1248" max="1248" width="1.7109375" style="365" customWidth="1"/>
    <col min="1249" max="1249" width="14.85546875" style="365" customWidth="1"/>
    <col min="1250" max="1250" width="0" style="365" hidden="1" customWidth="1"/>
    <col min="1251" max="1251" width="17.42578125" style="365" customWidth="1"/>
    <col min="1252" max="1252" width="0" style="365" hidden="1" customWidth="1"/>
    <col min="1253" max="1253" width="12.85546875" style="365" customWidth="1"/>
    <col min="1254" max="1254" width="0" style="365" hidden="1" customWidth="1"/>
    <col min="1255" max="1255" width="14.42578125" style="365" customWidth="1"/>
    <col min="1256" max="1256" width="0" style="365" hidden="1" customWidth="1"/>
    <col min="1257" max="1257" width="17.42578125" style="365" customWidth="1"/>
    <col min="1258" max="1258" width="0" style="365" hidden="1" customWidth="1"/>
    <col min="1259" max="1259" width="14" style="365" customWidth="1"/>
    <col min="1260" max="1260" width="14.28515625" style="365" bestFit="1" customWidth="1"/>
    <col min="1261" max="1261" width="0" style="365" hidden="1" customWidth="1"/>
    <col min="1262" max="1262" width="15.5703125" style="365" customWidth="1"/>
    <col min="1263" max="1263" width="44.5703125" style="365" customWidth="1"/>
    <col min="1264" max="1264" width="14.28515625" style="365" bestFit="1" customWidth="1"/>
    <col min="1265" max="1265" width="0" style="365" hidden="1" customWidth="1"/>
    <col min="1266" max="1266" width="18.140625" style="365" customWidth="1"/>
    <col min="1267" max="1267" width="0" style="365" hidden="1" customWidth="1"/>
    <col min="1268" max="1268" width="14" style="365" customWidth="1"/>
    <col min="1269" max="1269" width="0" style="365" hidden="1" customWidth="1"/>
    <col min="1270" max="1270" width="20.85546875" style="365" customWidth="1"/>
    <col min="1271" max="1271" width="0" style="365" hidden="1" customWidth="1"/>
    <col min="1272" max="1272" width="13.28515625" style="365" customWidth="1"/>
    <col min="1273" max="1273" width="0" style="365" hidden="1" customWidth="1"/>
    <col min="1274" max="1274" width="15" style="365" customWidth="1"/>
    <col min="1275" max="1275" width="0" style="365" hidden="1" customWidth="1"/>
    <col min="1276" max="1276" width="13.28515625" style="365" customWidth="1"/>
    <col min="1277" max="1277" width="0" style="365" hidden="1" customWidth="1"/>
    <col min="1278" max="1278" width="20.140625" style="365" customWidth="1"/>
    <col min="1279" max="1279" width="14.42578125" style="365" bestFit="1" customWidth="1"/>
    <col min="1280" max="1280" width="14" style="365" bestFit="1" customWidth="1"/>
    <col min="1281" max="1281" width="12.28515625" style="365" bestFit="1" customWidth="1"/>
    <col min="1282" max="1306" width="9.140625" style="365" customWidth="1"/>
    <col min="1307" max="1501" width="8.85546875" style="365"/>
    <col min="1502" max="1502" width="44.5703125" style="365" customWidth="1"/>
    <col min="1503" max="1503" width="14.28515625" style="365" bestFit="1" customWidth="1"/>
    <col min="1504" max="1504" width="1.7109375" style="365" customWidth="1"/>
    <col min="1505" max="1505" width="14.85546875" style="365" customWidth="1"/>
    <col min="1506" max="1506" width="0" style="365" hidden="1" customWidth="1"/>
    <col min="1507" max="1507" width="17.42578125" style="365" customWidth="1"/>
    <col min="1508" max="1508" width="0" style="365" hidden="1" customWidth="1"/>
    <col min="1509" max="1509" width="12.85546875" style="365" customWidth="1"/>
    <col min="1510" max="1510" width="0" style="365" hidden="1" customWidth="1"/>
    <col min="1511" max="1511" width="14.42578125" style="365" customWidth="1"/>
    <col min="1512" max="1512" width="0" style="365" hidden="1" customWidth="1"/>
    <col min="1513" max="1513" width="17.42578125" style="365" customWidth="1"/>
    <col min="1514" max="1514" width="0" style="365" hidden="1" customWidth="1"/>
    <col min="1515" max="1515" width="14" style="365" customWidth="1"/>
    <col min="1516" max="1516" width="14.28515625" style="365" bestFit="1" customWidth="1"/>
    <col min="1517" max="1517" width="0" style="365" hidden="1" customWidth="1"/>
    <col min="1518" max="1518" width="15.5703125" style="365" customWidth="1"/>
    <col min="1519" max="1519" width="44.5703125" style="365" customWidth="1"/>
    <col min="1520" max="1520" width="14.28515625" style="365" bestFit="1" customWidth="1"/>
    <col min="1521" max="1521" width="0" style="365" hidden="1" customWidth="1"/>
    <col min="1522" max="1522" width="18.140625" style="365" customWidth="1"/>
    <col min="1523" max="1523" width="0" style="365" hidden="1" customWidth="1"/>
    <col min="1524" max="1524" width="14" style="365" customWidth="1"/>
    <col min="1525" max="1525" width="0" style="365" hidden="1" customWidth="1"/>
    <col min="1526" max="1526" width="20.85546875" style="365" customWidth="1"/>
    <col min="1527" max="1527" width="0" style="365" hidden="1" customWidth="1"/>
    <col min="1528" max="1528" width="13.28515625" style="365" customWidth="1"/>
    <col min="1529" max="1529" width="0" style="365" hidden="1" customWidth="1"/>
    <col min="1530" max="1530" width="15" style="365" customWidth="1"/>
    <col min="1531" max="1531" width="0" style="365" hidden="1" customWidth="1"/>
    <col min="1532" max="1532" width="13.28515625" style="365" customWidth="1"/>
    <col min="1533" max="1533" width="0" style="365" hidden="1" customWidth="1"/>
    <col min="1534" max="1534" width="20.140625" style="365" customWidth="1"/>
    <col min="1535" max="1535" width="14.42578125" style="365" bestFit="1" customWidth="1"/>
    <col min="1536" max="1536" width="14" style="365" bestFit="1" customWidth="1"/>
    <col min="1537" max="1537" width="12.28515625" style="365" bestFit="1" customWidth="1"/>
    <col min="1538" max="1562" width="9.140625" style="365" customWidth="1"/>
    <col min="1563" max="1757" width="8.85546875" style="365"/>
    <col min="1758" max="1758" width="44.5703125" style="365" customWidth="1"/>
    <col min="1759" max="1759" width="14.28515625" style="365" bestFit="1" customWidth="1"/>
    <col min="1760" max="1760" width="1.7109375" style="365" customWidth="1"/>
    <col min="1761" max="1761" width="14.85546875" style="365" customWidth="1"/>
    <col min="1762" max="1762" width="0" style="365" hidden="1" customWidth="1"/>
    <col min="1763" max="1763" width="17.42578125" style="365" customWidth="1"/>
    <col min="1764" max="1764" width="0" style="365" hidden="1" customWidth="1"/>
    <col min="1765" max="1765" width="12.85546875" style="365" customWidth="1"/>
    <col min="1766" max="1766" width="0" style="365" hidden="1" customWidth="1"/>
    <col min="1767" max="1767" width="14.42578125" style="365" customWidth="1"/>
    <col min="1768" max="1768" width="0" style="365" hidden="1" customWidth="1"/>
    <col min="1769" max="1769" width="17.42578125" style="365" customWidth="1"/>
    <col min="1770" max="1770" width="0" style="365" hidden="1" customWidth="1"/>
    <col min="1771" max="1771" width="14" style="365" customWidth="1"/>
    <col min="1772" max="1772" width="14.28515625" style="365" bestFit="1" customWidth="1"/>
    <col min="1773" max="1773" width="0" style="365" hidden="1" customWidth="1"/>
    <col min="1774" max="1774" width="15.5703125" style="365" customWidth="1"/>
    <col min="1775" max="1775" width="44.5703125" style="365" customWidth="1"/>
    <col min="1776" max="1776" width="14.28515625" style="365" bestFit="1" customWidth="1"/>
    <col min="1777" max="1777" width="0" style="365" hidden="1" customWidth="1"/>
    <col min="1778" max="1778" width="18.140625" style="365" customWidth="1"/>
    <col min="1779" max="1779" width="0" style="365" hidden="1" customWidth="1"/>
    <col min="1780" max="1780" width="14" style="365" customWidth="1"/>
    <col min="1781" max="1781" width="0" style="365" hidden="1" customWidth="1"/>
    <col min="1782" max="1782" width="20.85546875" style="365" customWidth="1"/>
    <col min="1783" max="1783" width="0" style="365" hidden="1" customWidth="1"/>
    <col min="1784" max="1784" width="13.28515625" style="365" customWidth="1"/>
    <col min="1785" max="1785" width="0" style="365" hidden="1" customWidth="1"/>
    <col min="1786" max="1786" width="15" style="365" customWidth="1"/>
    <col min="1787" max="1787" width="0" style="365" hidden="1" customWidth="1"/>
    <col min="1788" max="1788" width="13.28515625" style="365" customWidth="1"/>
    <col min="1789" max="1789" width="0" style="365" hidden="1" customWidth="1"/>
    <col min="1790" max="1790" width="20.140625" style="365" customWidth="1"/>
    <col min="1791" max="1791" width="14.42578125" style="365" bestFit="1" customWidth="1"/>
    <col min="1792" max="1792" width="14" style="365" bestFit="1" customWidth="1"/>
    <col min="1793" max="1793" width="12.28515625" style="365" bestFit="1" customWidth="1"/>
    <col min="1794" max="1818" width="9.140625" style="365" customWidth="1"/>
    <col min="1819" max="2013" width="8.85546875" style="365"/>
    <col min="2014" max="2014" width="44.5703125" style="365" customWidth="1"/>
    <col min="2015" max="2015" width="14.28515625" style="365" bestFit="1" customWidth="1"/>
    <col min="2016" max="2016" width="1.7109375" style="365" customWidth="1"/>
    <col min="2017" max="2017" width="14.85546875" style="365" customWidth="1"/>
    <col min="2018" max="2018" width="0" style="365" hidden="1" customWidth="1"/>
    <col min="2019" max="2019" width="17.42578125" style="365" customWidth="1"/>
    <col min="2020" max="2020" width="0" style="365" hidden="1" customWidth="1"/>
    <col min="2021" max="2021" width="12.85546875" style="365" customWidth="1"/>
    <col min="2022" max="2022" width="0" style="365" hidden="1" customWidth="1"/>
    <col min="2023" max="2023" width="14.42578125" style="365" customWidth="1"/>
    <col min="2024" max="2024" width="0" style="365" hidden="1" customWidth="1"/>
    <col min="2025" max="2025" width="17.42578125" style="365" customWidth="1"/>
    <col min="2026" max="2026" width="0" style="365" hidden="1" customWidth="1"/>
    <col min="2027" max="2027" width="14" style="365" customWidth="1"/>
    <col min="2028" max="2028" width="14.28515625" style="365" bestFit="1" customWidth="1"/>
    <col min="2029" max="2029" width="0" style="365" hidden="1" customWidth="1"/>
    <col min="2030" max="2030" width="15.5703125" style="365" customWidth="1"/>
    <col min="2031" max="2031" width="44.5703125" style="365" customWidth="1"/>
    <col min="2032" max="2032" width="14.28515625" style="365" bestFit="1" customWidth="1"/>
    <col min="2033" max="2033" width="0" style="365" hidden="1" customWidth="1"/>
    <col min="2034" max="2034" width="18.140625" style="365" customWidth="1"/>
    <col min="2035" max="2035" width="0" style="365" hidden="1" customWidth="1"/>
    <col min="2036" max="2036" width="14" style="365" customWidth="1"/>
    <col min="2037" max="2037" width="0" style="365" hidden="1" customWidth="1"/>
    <col min="2038" max="2038" width="20.85546875" style="365" customWidth="1"/>
    <col min="2039" max="2039" width="0" style="365" hidden="1" customWidth="1"/>
    <col min="2040" max="2040" width="13.28515625" style="365" customWidth="1"/>
    <col min="2041" max="2041" width="0" style="365" hidden="1" customWidth="1"/>
    <col min="2042" max="2042" width="15" style="365" customWidth="1"/>
    <col min="2043" max="2043" width="0" style="365" hidden="1" customWidth="1"/>
    <col min="2044" max="2044" width="13.28515625" style="365" customWidth="1"/>
    <col min="2045" max="2045" width="0" style="365" hidden="1" customWidth="1"/>
    <col min="2046" max="2046" width="20.140625" style="365" customWidth="1"/>
    <col min="2047" max="2047" width="14.42578125" style="365" bestFit="1" customWidth="1"/>
    <col min="2048" max="2048" width="14" style="365" bestFit="1" customWidth="1"/>
    <col min="2049" max="2049" width="12.28515625" style="365" bestFit="1" customWidth="1"/>
    <col min="2050" max="2074" width="9.140625" style="365" customWidth="1"/>
    <col min="2075" max="2269" width="8.85546875" style="365"/>
    <col min="2270" max="2270" width="44.5703125" style="365" customWidth="1"/>
    <col min="2271" max="2271" width="14.28515625" style="365" bestFit="1" customWidth="1"/>
    <col min="2272" max="2272" width="1.7109375" style="365" customWidth="1"/>
    <col min="2273" max="2273" width="14.85546875" style="365" customWidth="1"/>
    <col min="2274" max="2274" width="0" style="365" hidden="1" customWidth="1"/>
    <col min="2275" max="2275" width="17.42578125" style="365" customWidth="1"/>
    <col min="2276" max="2276" width="0" style="365" hidden="1" customWidth="1"/>
    <col min="2277" max="2277" width="12.85546875" style="365" customWidth="1"/>
    <col min="2278" max="2278" width="0" style="365" hidden="1" customWidth="1"/>
    <col min="2279" max="2279" width="14.42578125" style="365" customWidth="1"/>
    <col min="2280" max="2280" width="0" style="365" hidden="1" customWidth="1"/>
    <col min="2281" max="2281" width="17.42578125" style="365" customWidth="1"/>
    <col min="2282" max="2282" width="0" style="365" hidden="1" customWidth="1"/>
    <col min="2283" max="2283" width="14" style="365" customWidth="1"/>
    <col min="2284" max="2284" width="14.28515625" style="365" bestFit="1" customWidth="1"/>
    <col min="2285" max="2285" width="0" style="365" hidden="1" customWidth="1"/>
    <col min="2286" max="2286" width="15.5703125" style="365" customWidth="1"/>
    <col min="2287" max="2287" width="44.5703125" style="365" customWidth="1"/>
    <col min="2288" max="2288" width="14.28515625" style="365" bestFit="1" customWidth="1"/>
    <col min="2289" max="2289" width="0" style="365" hidden="1" customWidth="1"/>
    <col min="2290" max="2290" width="18.140625" style="365" customWidth="1"/>
    <col min="2291" max="2291" width="0" style="365" hidden="1" customWidth="1"/>
    <col min="2292" max="2292" width="14" style="365" customWidth="1"/>
    <col min="2293" max="2293" width="0" style="365" hidden="1" customWidth="1"/>
    <col min="2294" max="2294" width="20.85546875" style="365" customWidth="1"/>
    <col min="2295" max="2295" width="0" style="365" hidden="1" customWidth="1"/>
    <col min="2296" max="2296" width="13.28515625" style="365" customWidth="1"/>
    <col min="2297" max="2297" width="0" style="365" hidden="1" customWidth="1"/>
    <col min="2298" max="2298" width="15" style="365" customWidth="1"/>
    <col min="2299" max="2299" width="0" style="365" hidden="1" customWidth="1"/>
    <col min="2300" max="2300" width="13.28515625" style="365" customWidth="1"/>
    <col min="2301" max="2301" width="0" style="365" hidden="1" customWidth="1"/>
    <col min="2302" max="2302" width="20.140625" style="365" customWidth="1"/>
    <col min="2303" max="2303" width="14.42578125" style="365" bestFit="1" customWidth="1"/>
    <col min="2304" max="2304" width="14" style="365" bestFit="1" customWidth="1"/>
    <col min="2305" max="2305" width="12.28515625" style="365" bestFit="1" customWidth="1"/>
    <col min="2306" max="2330" width="9.140625" style="365" customWidth="1"/>
    <col min="2331" max="2525" width="8.85546875" style="365"/>
    <col min="2526" max="2526" width="44.5703125" style="365" customWidth="1"/>
    <col min="2527" max="2527" width="14.28515625" style="365" bestFit="1" customWidth="1"/>
    <col min="2528" max="2528" width="1.7109375" style="365" customWidth="1"/>
    <col min="2529" max="2529" width="14.85546875" style="365" customWidth="1"/>
    <col min="2530" max="2530" width="0" style="365" hidden="1" customWidth="1"/>
    <col min="2531" max="2531" width="17.42578125" style="365" customWidth="1"/>
    <col min="2532" max="2532" width="0" style="365" hidden="1" customWidth="1"/>
    <col min="2533" max="2533" width="12.85546875" style="365" customWidth="1"/>
    <col min="2534" max="2534" width="0" style="365" hidden="1" customWidth="1"/>
    <col min="2535" max="2535" width="14.42578125" style="365" customWidth="1"/>
    <col min="2536" max="2536" width="0" style="365" hidden="1" customWidth="1"/>
    <col min="2537" max="2537" width="17.42578125" style="365" customWidth="1"/>
    <col min="2538" max="2538" width="0" style="365" hidden="1" customWidth="1"/>
    <col min="2539" max="2539" width="14" style="365" customWidth="1"/>
    <col min="2540" max="2540" width="14.28515625" style="365" bestFit="1" customWidth="1"/>
    <col min="2541" max="2541" width="0" style="365" hidden="1" customWidth="1"/>
    <col min="2542" max="2542" width="15.5703125" style="365" customWidth="1"/>
    <col min="2543" max="2543" width="44.5703125" style="365" customWidth="1"/>
    <col min="2544" max="2544" width="14.28515625" style="365" bestFit="1" customWidth="1"/>
    <col min="2545" max="2545" width="0" style="365" hidden="1" customWidth="1"/>
    <col min="2546" max="2546" width="18.140625" style="365" customWidth="1"/>
    <col min="2547" max="2547" width="0" style="365" hidden="1" customWidth="1"/>
    <col min="2548" max="2548" width="14" style="365" customWidth="1"/>
    <col min="2549" max="2549" width="0" style="365" hidden="1" customWidth="1"/>
    <col min="2550" max="2550" width="20.85546875" style="365" customWidth="1"/>
    <col min="2551" max="2551" width="0" style="365" hidden="1" customWidth="1"/>
    <col min="2552" max="2552" width="13.28515625" style="365" customWidth="1"/>
    <col min="2553" max="2553" width="0" style="365" hidden="1" customWidth="1"/>
    <col min="2554" max="2554" width="15" style="365" customWidth="1"/>
    <col min="2555" max="2555" width="0" style="365" hidden="1" customWidth="1"/>
    <col min="2556" max="2556" width="13.28515625" style="365" customWidth="1"/>
    <col min="2557" max="2557" width="0" style="365" hidden="1" customWidth="1"/>
    <col min="2558" max="2558" width="20.140625" style="365" customWidth="1"/>
    <col min="2559" max="2559" width="14.42578125" style="365" bestFit="1" customWidth="1"/>
    <col min="2560" max="2560" width="14" style="365" bestFit="1" customWidth="1"/>
    <col min="2561" max="2561" width="12.28515625" style="365" bestFit="1" customWidth="1"/>
    <col min="2562" max="2586" width="9.140625" style="365" customWidth="1"/>
    <col min="2587" max="2781" width="8.85546875" style="365"/>
    <col min="2782" max="2782" width="44.5703125" style="365" customWidth="1"/>
    <col min="2783" max="2783" width="14.28515625" style="365" bestFit="1" customWidth="1"/>
    <col min="2784" max="2784" width="1.7109375" style="365" customWidth="1"/>
    <col min="2785" max="2785" width="14.85546875" style="365" customWidth="1"/>
    <col min="2786" max="2786" width="0" style="365" hidden="1" customWidth="1"/>
    <col min="2787" max="2787" width="17.42578125" style="365" customWidth="1"/>
    <col min="2788" max="2788" width="0" style="365" hidden="1" customWidth="1"/>
    <col min="2789" max="2789" width="12.85546875" style="365" customWidth="1"/>
    <col min="2790" max="2790" width="0" style="365" hidden="1" customWidth="1"/>
    <col min="2791" max="2791" width="14.42578125" style="365" customWidth="1"/>
    <col min="2792" max="2792" width="0" style="365" hidden="1" customWidth="1"/>
    <col min="2793" max="2793" width="17.42578125" style="365" customWidth="1"/>
    <col min="2794" max="2794" width="0" style="365" hidden="1" customWidth="1"/>
    <col min="2795" max="2795" width="14" style="365" customWidth="1"/>
    <col min="2796" max="2796" width="14.28515625" style="365" bestFit="1" customWidth="1"/>
    <col min="2797" max="2797" width="0" style="365" hidden="1" customWidth="1"/>
    <col min="2798" max="2798" width="15.5703125" style="365" customWidth="1"/>
    <col min="2799" max="2799" width="44.5703125" style="365" customWidth="1"/>
    <col min="2800" max="2800" width="14.28515625" style="365" bestFit="1" customWidth="1"/>
    <col min="2801" max="2801" width="0" style="365" hidden="1" customWidth="1"/>
    <col min="2802" max="2802" width="18.140625" style="365" customWidth="1"/>
    <col min="2803" max="2803" width="0" style="365" hidden="1" customWidth="1"/>
    <col min="2804" max="2804" width="14" style="365" customWidth="1"/>
    <col min="2805" max="2805" width="0" style="365" hidden="1" customWidth="1"/>
    <col min="2806" max="2806" width="20.85546875" style="365" customWidth="1"/>
    <col min="2807" max="2807" width="0" style="365" hidden="1" customWidth="1"/>
    <col min="2808" max="2808" width="13.28515625" style="365" customWidth="1"/>
    <col min="2809" max="2809" width="0" style="365" hidden="1" customWidth="1"/>
    <col min="2810" max="2810" width="15" style="365" customWidth="1"/>
    <col min="2811" max="2811" width="0" style="365" hidden="1" customWidth="1"/>
    <col min="2812" max="2812" width="13.28515625" style="365" customWidth="1"/>
    <col min="2813" max="2813" width="0" style="365" hidden="1" customWidth="1"/>
    <col min="2814" max="2814" width="20.140625" style="365" customWidth="1"/>
    <col min="2815" max="2815" width="14.42578125" style="365" bestFit="1" customWidth="1"/>
    <col min="2816" max="2816" width="14" style="365" bestFit="1" customWidth="1"/>
    <col min="2817" max="2817" width="12.28515625" style="365" bestFit="1" customWidth="1"/>
    <col min="2818" max="2842" width="9.140625" style="365" customWidth="1"/>
    <col min="2843" max="3037" width="8.85546875" style="365"/>
    <col min="3038" max="3038" width="44.5703125" style="365" customWidth="1"/>
    <col min="3039" max="3039" width="14.28515625" style="365" bestFit="1" customWidth="1"/>
    <col min="3040" max="3040" width="1.7109375" style="365" customWidth="1"/>
    <col min="3041" max="3041" width="14.85546875" style="365" customWidth="1"/>
    <col min="3042" max="3042" width="0" style="365" hidden="1" customWidth="1"/>
    <col min="3043" max="3043" width="17.42578125" style="365" customWidth="1"/>
    <col min="3044" max="3044" width="0" style="365" hidden="1" customWidth="1"/>
    <col min="3045" max="3045" width="12.85546875" style="365" customWidth="1"/>
    <col min="3046" max="3046" width="0" style="365" hidden="1" customWidth="1"/>
    <col min="3047" max="3047" width="14.42578125" style="365" customWidth="1"/>
    <col min="3048" max="3048" width="0" style="365" hidden="1" customWidth="1"/>
    <col min="3049" max="3049" width="17.42578125" style="365" customWidth="1"/>
    <col min="3050" max="3050" width="0" style="365" hidden="1" customWidth="1"/>
    <col min="3051" max="3051" width="14" style="365" customWidth="1"/>
    <col min="3052" max="3052" width="14.28515625" style="365" bestFit="1" customWidth="1"/>
    <col min="3053" max="3053" width="0" style="365" hidden="1" customWidth="1"/>
    <col min="3054" max="3054" width="15.5703125" style="365" customWidth="1"/>
    <col min="3055" max="3055" width="44.5703125" style="365" customWidth="1"/>
    <col min="3056" max="3056" width="14.28515625" style="365" bestFit="1" customWidth="1"/>
    <col min="3057" max="3057" width="0" style="365" hidden="1" customWidth="1"/>
    <col min="3058" max="3058" width="18.140625" style="365" customWidth="1"/>
    <col min="3059" max="3059" width="0" style="365" hidden="1" customWidth="1"/>
    <col min="3060" max="3060" width="14" style="365" customWidth="1"/>
    <col min="3061" max="3061" width="0" style="365" hidden="1" customWidth="1"/>
    <col min="3062" max="3062" width="20.85546875" style="365" customWidth="1"/>
    <col min="3063" max="3063" width="0" style="365" hidden="1" customWidth="1"/>
    <col min="3064" max="3064" width="13.28515625" style="365" customWidth="1"/>
    <col min="3065" max="3065" width="0" style="365" hidden="1" customWidth="1"/>
    <col min="3066" max="3066" width="15" style="365" customWidth="1"/>
    <col min="3067" max="3067" width="0" style="365" hidden="1" customWidth="1"/>
    <col min="3068" max="3068" width="13.28515625" style="365" customWidth="1"/>
    <col min="3069" max="3069" width="0" style="365" hidden="1" customWidth="1"/>
    <col min="3070" max="3070" width="20.140625" style="365" customWidth="1"/>
    <col min="3071" max="3071" width="14.42578125" style="365" bestFit="1" customWidth="1"/>
    <col min="3072" max="3072" width="14" style="365" bestFit="1" customWidth="1"/>
    <col min="3073" max="3073" width="12.28515625" style="365" bestFit="1" customWidth="1"/>
    <col min="3074" max="3098" width="9.140625" style="365" customWidth="1"/>
    <col min="3099" max="3293" width="8.85546875" style="365"/>
    <col min="3294" max="3294" width="44.5703125" style="365" customWidth="1"/>
    <col min="3295" max="3295" width="14.28515625" style="365" bestFit="1" customWidth="1"/>
    <col min="3296" max="3296" width="1.7109375" style="365" customWidth="1"/>
    <col min="3297" max="3297" width="14.85546875" style="365" customWidth="1"/>
    <col min="3298" max="3298" width="0" style="365" hidden="1" customWidth="1"/>
    <col min="3299" max="3299" width="17.42578125" style="365" customWidth="1"/>
    <col min="3300" max="3300" width="0" style="365" hidden="1" customWidth="1"/>
    <col min="3301" max="3301" width="12.85546875" style="365" customWidth="1"/>
    <col min="3302" max="3302" width="0" style="365" hidden="1" customWidth="1"/>
    <col min="3303" max="3303" width="14.42578125" style="365" customWidth="1"/>
    <col min="3304" max="3304" width="0" style="365" hidden="1" customWidth="1"/>
    <col min="3305" max="3305" width="17.42578125" style="365" customWidth="1"/>
    <col min="3306" max="3306" width="0" style="365" hidden="1" customWidth="1"/>
    <col min="3307" max="3307" width="14" style="365" customWidth="1"/>
    <col min="3308" max="3308" width="14.28515625" style="365" bestFit="1" customWidth="1"/>
    <col min="3309" max="3309" width="0" style="365" hidden="1" customWidth="1"/>
    <col min="3310" max="3310" width="15.5703125" style="365" customWidth="1"/>
    <col min="3311" max="3311" width="44.5703125" style="365" customWidth="1"/>
    <col min="3312" max="3312" width="14.28515625" style="365" bestFit="1" customWidth="1"/>
    <col min="3313" max="3313" width="0" style="365" hidden="1" customWidth="1"/>
    <col min="3314" max="3314" width="18.140625" style="365" customWidth="1"/>
    <col min="3315" max="3315" width="0" style="365" hidden="1" customWidth="1"/>
    <col min="3316" max="3316" width="14" style="365" customWidth="1"/>
    <col min="3317" max="3317" width="0" style="365" hidden="1" customWidth="1"/>
    <col min="3318" max="3318" width="20.85546875" style="365" customWidth="1"/>
    <col min="3319" max="3319" width="0" style="365" hidden="1" customWidth="1"/>
    <col min="3320" max="3320" width="13.28515625" style="365" customWidth="1"/>
    <col min="3321" max="3321" width="0" style="365" hidden="1" customWidth="1"/>
    <col min="3322" max="3322" width="15" style="365" customWidth="1"/>
    <col min="3323" max="3323" width="0" style="365" hidden="1" customWidth="1"/>
    <col min="3324" max="3324" width="13.28515625" style="365" customWidth="1"/>
    <col min="3325" max="3325" width="0" style="365" hidden="1" customWidth="1"/>
    <col min="3326" max="3326" width="20.140625" style="365" customWidth="1"/>
    <col min="3327" max="3327" width="14.42578125" style="365" bestFit="1" customWidth="1"/>
    <col min="3328" max="3328" width="14" style="365" bestFit="1" customWidth="1"/>
    <col min="3329" max="3329" width="12.28515625" style="365" bestFit="1" customWidth="1"/>
    <col min="3330" max="3354" width="9.140625" style="365" customWidth="1"/>
    <col min="3355" max="3549" width="8.85546875" style="365"/>
    <col min="3550" max="3550" width="44.5703125" style="365" customWidth="1"/>
    <col min="3551" max="3551" width="14.28515625" style="365" bestFit="1" customWidth="1"/>
    <col min="3552" max="3552" width="1.7109375" style="365" customWidth="1"/>
    <col min="3553" max="3553" width="14.85546875" style="365" customWidth="1"/>
    <col min="3554" max="3554" width="0" style="365" hidden="1" customWidth="1"/>
    <col min="3555" max="3555" width="17.42578125" style="365" customWidth="1"/>
    <col min="3556" max="3556" width="0" style="365" hidden="1" customWidth="1"/>
    <col min="3557" max="3557" width="12.85546875" style="365" customWidth="1"/>
    <col min="3558" max="3558" width="0" style="365" hidden="1" customWidth="1"/>
    <col min="3559" max="3559" width="14.42578125" style="365" customWidth="1"/>
    <col min="3560" max="3560" width="0" style="365" hidden="1" customWidth="1"/>
    <col min="3561" max="3561" width="17.42578125" style="365" customWidth="1"/>
    <col min="3562" max="3562" width="0" style="365" hidden="1" customWidth="1"/>
    <col min="3563" max="3563" width="14" style="365" customWidth="1"/>
    <col min="3564" max="3564" width="14.28515625" style="365" bestFit="1" customWidth="1"/>
    <col min="3565" max="3565" width="0" style="365" hidden="1" customWidth="1"/>
    <col min="3566" max="3566" width="15.5703125" style="365" customWidth="1"/>
    <col min="3567" max="3567" width="44.5703125" style="365" customWidth="1"/>
    <col min="3568" max="3568" width="14.28515625" style="365" bestFit="1" customWidth="1"/>
    <col min="3569" max="3569" width="0" style="365" hidden="1" customWidth="1"/>
    <col min="3570" max="3570" width="18.140625" style="365" customWidth="1"/>
    <col min="3571" max="3571" width="0" style="365" hidden="1" customWidth="1"/>
    <col min="3572" max="3572" width="14" style="365" customWidth="1"/>
    <col min="3573" max="3573" width="0" style="365" hidden="1" customWidth="1"/>
    <col min="3574" max="3574" width="20.85546875" style="365" customWidth="1"/>
    <col min="3575" max="3575" width="0" style="365" hidden="1" customWidth="1"/>
    <col min="3576" max="3576" width="13.28515625" style="365" customWidth="1"/>
    <col min="3577" max="3577" width="0" style="365" hidden="1" customWidth="1"/>
    <col min="3578" max="3578" width="15" style="365" customWidth="1"/>
    <col min="3579" max="3579" width="0" style="365" hidden="1" customWidth="1"/>
    <col min="3580" max="3580" width="13.28515625" style="365" customWidth="1"/>
    <col min="3581" max="3581" width="0" style="365" hidden="1" customWidth="1"/>
    <col min="3582" max="3582" width="20.140625" style="365" customWidth="1"/>
    <col min="3583" max="3583" width="14.42578125" style="365" bestFit="1" customWidth="1"/>
    <col min="3584" max="3584" width="14" style="365" bestFit="1" customWidth="1"/>
    <col min="3585" max="3585" width="12.28515625" style="365" bestFit="1" customWidth="1"/>
    <col min="3586" max="3610" width="9.140625" style="365" customWidth="1"/>
    <col min="3611" max="3805" width="8.85546875" style="365"/>
    <col min="3806" max="3806" width="44.5703125" style="365" customWidth="1"/>
    <col min="3807" max="3807" width="14.28515625" style="365" bestFit="1" customWidth="1"/>
    <col min="3808" max="3808" width="1.7109375" style="365" customWidth="1"/>
    <col min="3809" max="3809" width="14.85546875" style="365" customWidth="1"/>
    <col min="3810" max="3810" width="0" style="365" hidden="1" customWidth="1"/>
    <col min="3811" max="3811" width="17.42578125" style="365" customWidth="1"/>
    <col min="3812" max="3812" width="0" style="365" hidden="1" customWidth="1"/>
    <col min="3813" max="3813" width="12.85546875" style="365" customWidth="1"/>
    <col min="3814" max="3814" width="0" style="365" hidden="1" customWidth="1"/>
    <col min="3815" max="3815" width="14.42578125" style="365" customWidth="1"/>
    <col min="3816" max="3816" width="0" style="365" hidden="1" customWidth="1"/>
    <col min="3817" max="3817" width="17.42578125" style="365" customWidth="1"/>
    <col min="3818" max="3818" width="0" style="365" hidden="1" customWidth="1"/>
    <col min="3819" max="3819" width="14" style="365" customWidth="1"/>
    <col min="3820" max="3820" width="14.28515625" style="365" bestFit="1" customWidth="1"/>
    <col min="3821" max="3821" width="0" style="365" hidden="1" customWidth="1"/>
    <col min="3822" max="3822" width="15.5703125" style="365" customWidth="1"/>
    <col min="3823" max="3823" width="44.5703125" style="365" customWidth="1"/>
    <col min="3824" max="3824" width="14.28515625" style="365" bestFit="1" customWidth="1"/>
    <col min="3825" max="3825" width="0" style="365" hidden="1" customWidth="1"/>
    <col min="3826" max="3826" width="18.140625" style="365" customWidth="1"/>
    <col min="3827" max="3827" width="0" style="365" hidden="1" customWidth="1"/>
    <col min="3828" max="3828" width="14" style="365" customWidth="1"/>
    <col min="3829" max="3829" width="0" style="365" hidden="1" customWidth="1"/>
    <col min="3830" max="3830" width="20.85546875" style="365" customWidth="1"/>
    <col min="3831" max="3831" width="0" style="365" hidden="1" customWidth="1"/>
    <col min="3832" max="3832" width="13.28515625" style="365" customWidth="1"/>
    <col min="3833" max="3833" width="0" style="365" hidden="1" customWidth="1"/>
    <col min="3834" max="3834" width="15" style="365" customWidth="1"/>
    <col min="3835" max="3835" width="0" style="365" hidden="1" customWidth="1"/>
    <col min="3836" max="3836" width="13.28515625" style="365" customWidth="1"/>
    <col min="3837" max="3837" width="0" style="365" hidden="1" customWidth="1"/>
    <col min="3838" max="3838" width="20.140625" style="365" customWidth="1"/>
    <col min="3839" max="3839" width="14.42578125" style="365" bestFit="1" customWidth="1"/>
    <col min="3840" max="3840" width="14" style="365" bestFit="1" customWidth="1"/>
    <col min="3841" max="3841" width="12.28515625" style="365" bestFit="1" customWidth="1"/>
    <col min="3842" max="3866" width="9.140625" style="365" customWidth="1"/>
    <col min="3867" max="4061" width="8.85546875" style="365"/>
    <col min="4062" max="4062" width="44.5703125" style="365" customWidth="1"/>
    <col min="4063" max="4063" width="14.28515625" style="365" bestFit="1" customWidth="1"/>
    <col min="4064" max="4064" width="1.7109375" style="365" customWidth="1"/>
    <col min="4065" max="4065" width="14.85546875" style="365" customWidth="1"/>
    <col min="4066" max="4066" width="0" style="365" hidden="1" customWidth="1"/>
    <col min="4067" max="4067" width="17.42578125" style="365" customWidth="1"/>
    <col min="4068" max="4068" width="0" style="365" hidden="1" customWidth="1"/>
    <col min="4069" max="4069" width="12.85546875" style="365" customWidth="1"/>
    <col min="4070" max="4070" width="0" style="365" hidden="1" customWidth="1"/>
    <col min="4071" max="4071" width="14.42578125" style="365" customWidth="1"/>
    <col min="4072" max="4072" width="0" style="365" hidden="1" customWidth="1"/>
    <col min="4073" max="4073" width="17.42578125" style="365" customWidth="1"/>
    <col min="4074" max="4074" width="0" style="365" hidden="1" customWidth="1"/>
    <col min="4075" max="4075" width="14" style="365" customWidth="1"/>
    <col min="4076" max="4076" width="14.28515625" style="365" bestFit="1" customWidth="1"/>
    <col min="4077" max="4077" width="0" style="365" hidden="1" customWidth="1"/>
    <col min="4078" max="4078" width="15.5703125" style="365" customWidth="1"/>
    <col min="4079" max="4079" width="44.5703125" style="365" customWidth="1"/>
    <col min="4080" max="4080" width="14.28515625" style="365" bestFit="1" customWidth="1"/>
    <col min="4081" max="4081" width="0" style="365" hidden="1" customWidth="1"/>
    <col min="4082" max="4082" width="18.140625" style="365" customWidth="1"/>
    <col min="4083" max="4083" width="0" style="365" hidden="1" customWidth="1"/>
    <col min="4084" max="4084" width="14" style="365" customWidth="1"/>
    <col min="4085" max="4085" width="0" style="365" hidden="1" customWidth="1"/>
    <col min="4086" max="4086" width="20.85546875" style="365" customWidth="1"/>
    <col min="4087" max="4087" width="0" style="365" hidden="1" customWidth="1"/>
    <col min="4088" max="4088" width="13.28515625" style="365" customWidth="1"/>
    <col min="4089" max="4089" width="0" style="365" hidden="1" customWidth="1"/>
    <col min="4090" max="4090" width="15" style="365" customWidth="1"/>
    <col min="4091" max="4091" width="0" style="365" hidden="1" customWidth="1"/>
    <col min="4092" max="4092" width="13.28515625" style="365" customWidth="1"/>
    <col min="4093" max="4093" width="0" style="365" hidden="1" customWidth="1"/>
    <col min="4094" max="4094" width="20.140625" style="365" customWidth="1"/>
    <col min="4095" max="4095" width="14.42578125" style="365" bestFit="1" customWidth="1"/>
    <col min="4096" max="4096" width="14" style="365" bestFit="1" customWidth="1"/>
    <col min="4097" max="4097" width="12.28515625" style="365" bestFit="1" customWidth="1"/>
    <col min="4098" max="4122" width="9.140625" style="365" customWidth="1"/>
    <col min="4123" max="4317" width="8.85546875" style="365"/>
    <col min="4318" max="4318" width="44.5703125" style="365" customWidth="1"/>
    <col min="4319" max="4319" width="14.28515625" style="365" bestFit="1" customWidth="1"/>
    <col min="4320" max="4320" width="1.7109375" style="365" customWidth="1"/>
    <col min="4321" max="4321" width="14.85546875" style="365" customWidth="1"/>
    <col min="4322" max="4322" width="0" style="365" hidden="1" customWidth="1"/>
    <col min="4323" max="4323" width="17.42578125" style="365" customWidth="1"/>
    <col min="4324" max="4324" width="0" style="365" hidden="1" customWidth="1"/>
    <col min="4325" max="4325" width="12.85546875" style="365" customWidth="1"/>
    <col min="4326" max="4326" width="0" style="365" hidden="1" customWidth="1"/>
    <col min="4327" max="4327" width="14.42578125" style="365" customWidth="1"/>
    <col min="4328" max="4328" width="0" style="365" hidden="1" customWidth="1"/>
    <col min="4329" max="4329" width="17.42578125" style="365" customWidth="1"/>
    <col min="4330" max="4330" width="0" style="365" hidden="1" customWidth="1"/>
    <col min="4331" max="4331" width="14" style="365" customWidth="1"/>
    <col min="4332" max="4332" width="14.28515625" style="365" bestFit="1" customWidth="1"/>
    <col min="4333" max="4333" width="0" style="365" hidden="1" customWidth="1"/>
    <col min="4334" max="4334" width="15.5703125" style="365" customWidth="1"/>
    <col min="4335" max="4335" width="44.5703125" style="365" customWidth="1"/>
    <col min="4336" max="4336" width="14.28515625" style="365" bestFit="1" customWidth="1"/>
    <col min="4337" max="4337" width="0" style="365" hidden="1" customWidth="1"/>
    <col min="4338" max="4338" width="18.140625" style="365" customWidth="1"/>
    <col min="4339" max="4339" width="0" style="365" hidden="1" customWidth="1"/>
    <col min="4340" max="4340" width="14" style="365" customWidth="1"/>
    <col min="4341" max="4341" width="0" style="365" hidden="1" customWidth="1"/>
    <col min="4342" max="4342" width="20.85546875" style="365" customWidth="1"/>
    <col min="4343" max="4343" width="0" style="365" hidden="1" customWidth="1"/>
    <col min="4344" max="4344" width="13.28515625" style="365" customWidth="1"/>
    <col min="4345" max="4345" width="0" style="365" hidden="1" customWidth="1"/>
    <col min="4346" max="4346" width="15" style="365" customWidth="1"/>
    <col min="4347" max="4347" width="0" style="365" hidden="1" customWidth="1"/>
    <col min="4348" max="4348" width="13.28515625" style="365" customWidth="1"/>
    <col min="4349" max="4349" width="0" style="365" hidden="1" customWidth="1"/>
    <col min="4350" max="4350" width="20.140625" style="365" customWidth="1"/>
    <col min="4351" max="4351" width="14.42578125" style="365" bestFit="1" customWidth="1"/>
    <col min="4352" max="4352" width="14" style="365" bestFit="1" customWidth="1"/>
    <col min="4353" max="4353" width="12.28515625" style="365" bestFit="1" customWidth="1"/>
    <col min="4354" max="4378" width="9.140625" style="365" customWidth="1"/>
    <col min="4379" max="4573" width="8.85546875" style="365"/>
    <col min="4574" max="4574" width="44.5703125" style="365" customWidth="1"/>
    <col min="4575" max="4575" width="14.28515625" style="365" bestFit="1" customWidth="1"/>
    <col min="4576" max="4576" width="1.7109375" style="365" customWidth="1"/>
    <col min="4577" max="4577" width="14.85546875" style="365" customWidth="1"/>
    <col min="4578" max="4578" width="0" style="365" hidden="1" customWidth="1"/>
    <col min="4579" max="4579" width="17.42578125" style="365" customWidth="1"/>
    <col min="4580" max="4580" width="0" style="365" hidden="1" customWidth="1"/>
    <col min="4581" max="4581" width="12.85546875" style="365" customWidth="1"/>
    <col min="4582" max="4582" width="0" style="365" hidden="1" customWidth="1"/>
    <col min="4583" max="4583" width="14.42578125" style="365" customWidth="1"/>
    <col min="4584" max="4584" width="0" style="365" hidden="1" customWidth="1"/>
    <col min="4585" max="4585" width="17.42578125" style="365" customWidth="1"/>
    <col min="4586" max="4586" width="0" style="365" hidden="1" customWidth="1"/>
    <col min="4587" max="4587" width="14" style="365" customWidth="1"/>
    <col min="4588" max="4588" width="14.28515625" style="365" bestFit="1" customWidth="1"/>
    <col min="4589" max="4589" width="0" style="365" hidden="1" customWidth="1"/>
    <col min="4590" max="4590" width="15.5703125" style="365" customWidth="1"/>
    <col min="4591" max="4591" width="44.5703125" style="365" customWidth="1"/>
    <col min="4592" max="4592" width="14.28515625" style="365" bestFit="1" customWidth="1"/>
    <col min="4593" max="4593" width="0" style="365" hidden="1" customWidth="1"/>
    <col min="4594" max="4594" width="18.140625" style="365" customWidth="1"/>
    <col min="4595" max="4595" width="0" style="365" hidden="1" customWidth="1"/>
    <col min="4596" max="4596" width="14" style="365" customWidth="1"/>
    <col min="4597" max="4597" width="0" style="365" hidden="1" customWidth="1"/>
    <col min="4598" max="4598" width="20.85546875" style="365" customWidth="1"/>
    <col min="4599" max="4599" width="0" style="365" hidden="1" customWidth="1"/>
    <col min="4600" max="4600" width="13.28515625" style="365" customWidth="1"/>
    <col min="4601" max="4601" width="0" style="365" hidden="1" customWidth="1"/>
    <col min="4602" max="4602" width="15" style="365" customWidth="1"/>
    <col min="4603" max="4603" width="0" style="365" hidden="1" customWidth="1"/>
    <col min="4604" max="4604" width="13.28515625" style="365" customWidth="1"/>
    <col min="4605" max="4605" width="0" style="365" hidden="1" customWidth="1"/>
    <col min="4606" max="4606" width="20.140625" style="365" customWidth="1"/>
    <col min="4607" max="4607" width="14.42578125" style="365" bestFit="1" customWidth="1"/>
    <col min="4608" max="4608" width="14" style="365" bestFit="1" customWidth="1"/>
    <col min="4609" max="4609" width="12.28515625" style="365" bestFit="1" customWidth="1"/>
    <col min="4610" max="4634" width="9.140625" style="365" customWidth="1"/>
    <col min="4635" max="4829" width="8.85546875" style="365"/>
    <col min="4830" max="4830" width="44.5703125" style="365" customWidth="1"/>
    <col min="4831" max="4831" width="14.28515625" style="365" bestFit="1" customWidth="1"/>
    <col min="4832" max="4832" width="1.7109375" style="365" customWidth="1"/>
    <col min="4833" max="4833" width="14.85546875" style="365" customWidth="1"/>
    <col min="4834" max="4834" width="0" style="365" hidden="1" customWidth="1"/>
    <col min="4835" max="4835" width="17.42578125" style="365" customWidth="1"/>
    <col min="4836" max="4836" width="0" style="365" hidden="1" customWidth="1"/>
    <col min="4837" max="4837" width="12.85546875" style="365" customWidth="1"/>
    <col min="4838" max="4838" width="0" style="365" hidden="1" customWidth="1"/>
    <col min="4839" max="4839" width="14.42578125" style="365" customWidth="1"/>
    <col min="4840" max="4840" width="0" style="365" hidden="1" customWidth="1"/>
    <col min="4841" max="4841" width="17.42578125" style="365" customWidth="1"/>
    <col min="4842" max="4842" width="0" style="365" hidden="1" customWidth="1"/>
    <col min="4843" max="4843" width="14" style="365" customWidth="1"/>
    <col min="4844" max="4844" width="14.28515625" style="365" bestFit="1" customWidth="1"/>
    <col min="4845" max="4845" width="0" style="365" hidden="1" customWidth="1"/>
    <col min="4846" max="4846" width="15.5703125" style="365" customWidth="1"/>
    <col min="4847" max="4847" width="44.5703125" style="365" customWidth="1"/>
    <col min="4848" max="4848" width="14.28515625" style="365" bestFit="1" customWidth="1"/>
    <col min="4849" max="4849" width="0" style="365" hidden="1" customWidth="1"/>
    <col min="4850" max="4850" width="18.140625" style="365" customWidth="1"/>
    <col min="4851" max="4851" width="0" style="365" hidden="1" customWidth="1"/>
    <col min="4852" max="4852" width="14" style="365" customWidth="1"/>
    <col min="4853" max="4853" width="0" style="365" hidden="1" customWidth="1"/>
    <col min="4854" max="4854" width="20.85546875" style="365" customWidth="1"/>
    <col min="4855" max="4855" width="0" style="365" hidden="1" customWidth="1"/>
    <col min="4856" max="4856" width="13.28515625" style="365" customWidth="1"/>
    <col min="4857" max="4857" width="0" style="365" hidden="1" customWidth="1"/>
    <col min="4858" max="4858" width="15" style="365" customWidth="1"/>
    <col min="4859" max="4859" width="0" style="365" hidden="1" customWidth="1"/>
    <col min="4860" max="4860" width="13.28515625" style="365" customWidth="1"/>
    <col min="4861" max="4861" width="0" style="365" hidden="1" customWidth="1"/>
    <col min="4862" max="4862" width="20.140625" style="365" customWidth="1"/>
    <col min="4863" max="4863" width="14.42578125" style="365" bestFit="1" customWidth="1"/>
    <col min="4864" max="4864" width="14" style="365" bestFit="1" customWidth="1"/>
    <col min="4865" max="4865" width="12.28515625" style="365" bestFit="1" customWidth="1"/>
    <col min="4866" max="4890" width="9.140625" style="365" customWidth="1"/>
    <col min="4891" max="5085" width="8.85546875" style="365"/>
    <col min="5086" max="5086" width="44.5703125" style="365" customWidth="1"/>
    <col min="5087" max="5087" width="14.28515625" style="365" bestFit="1" customWidth="1"/>
    <col min="5088" max="5088" width="1.7109375" style="365" customWidth="1"/>
    <col min="5089" max="5089" width="14.85546875" style="365" customWidth="1"/>
    <col min="5090" max="5090" width="0" style="365" hidden="1" customWidth="1"/>
    <col min="5091" max="5091" width="17.42578125" style="365" customWidth="1"/>
    <col min="5092" max="5092" width="0" style="365" hidden="1" customWidth="1"/>
    <col min="5093" max="5093" width="12.85546875" style="365" customWidth="1"/>
    <col min="5094" max="5094" width="0" style="365" hidden="1" customWidth="1"/>
    <col min="5095" max="5095" width="14.42578125" style="365" customWidth="1"/>
    <col min="5096" max="5096" width="0" style="365" hidden="1" customWidth="1"/>
    <col min="5097" max="5097" width="17.42578125" style="365" customWidth="1"/>
    <col min="5098" max="5098" width="0" style="365" hidden="1" customWidth="1"/>
    <col min="5099" max="5099" width="14" style="365" customWidth="1"/>
    <col min="5100" max="5100" width="14.28515625" style="365" bestFit="1" customWidth="1"/>
    <col min="5101" max="5101" width="0" style="365" hidden="1" customWidth="1"/>
    <col min="5102" max="5102" width="15.5703125" style="365" customWidth="1"/>
    <col min="5103" max="5103" width="44.5703125" style="365" customWidth="1"/>
    <col min="5104" max="5104" width="14.28515625" style="365" bestFit="1" customWidth="1"/>
    <col min="5105" max="5105" width="0" style="365" hidden="1" customWidth="1"/>
    <col min="5106" max="5106" width="18.140625" style="365" customWidth="1"/>
    <col min="5107" max="5107" width="0" style="365" hidden="1" customWidth="1"/>
    <col min="5108" max="5108" width="14" style="365" customWidth="1"/>
    <col min="5109" max="5109" width="0" style="365" hidden="1" customWidth="1"/>
    <col min="5110" max="5110" width="20.85546875" style="365" customWidth="1"/>
    <col min="5111" max="5111" width="0" style="365" hidden="1" customWidth="1"/>
    <col min="5112" max="5112" width="13.28515625" style="365" customWidth="1"/>
    <col min="5113" max="5113" width="0" style="365" hidden="1" customWidth="1"/>
    <col min="5114" max="5114" width="15" style="365" customWidth="1"/>
    <col min="5115" max="5115" width="0" style="365" hidden="1" customWidth="1"/>
    <col min="5116" max="5116" width="13.28515625" style="365" customWidth="1"/>
    <col min="5117" max="5117" width="0" style="365" hidden="1" customWidth="1"/>
    <col min="5118" max="5118" width="20.140625" style="365" customWidth="1"/>
    <col min="5119" max="5119" width="14.42578125" style="365" bestFit="1" customWidth="1"/>
    <col min="5120" max="5120" width="14" style="365" bestFit="1" customWidth="1"/>
    <col min="5121" max="5121" width="12.28515625" style="365" bestFit="1" customWidth="1"/>
    <col min="5122" max="5146" width="9.140625" style="365" customWidth="1"/>
    <col min="5147" max="5341" width="8.85546875" style="365"/>
    <col min="5342" max="5342" width="44.5703125" style="365" customWidth="1"/>
    <col min="5343" max="5343" width="14.28515625" style="365" bestFit="1" customWidth="1"/>
    <col min="5344" max="5344" width="1.7109375" style="365" customWidth="1"/>
    <col min="5345" max="5345" width="14.85546875" style="365" customWidth="1"/>
    <col min="5346" max="5346" width="0" style="365" hidden="1" customWidth="1"/>
    <col min="5347" max="5347" width="17.42578125" style="365" customWidth="1"/>
    <col min="5348" max="5348" width="0" style="365" hidden="1" customWidth="1"/>
    <col min="5349" max="5349" width="12.85546875" style="365" customWidth="1"/>
    <col min="5350" max="5350" width="0" style="365" hidden="1" customWidth="1"/>
    <col min="5351" max="5351" width="14.42578125" style="365" customWidth="1"/>
    <col min="5352" max="5352" width="0" style="365" hidden="1" customWidth="1"/>
    <col min="5353" max="5353" width="17.42578125" style="365" customWidth="1"/>
    <col min="5354" max="5354" width="0" style="365" hidden="1" customWidth="1"/>
    <col min="5355" max="5355" width="14" style="365" customWidth="1"/>
    <col min="5356" max="5356" width="14.28515625" style="365" bestFit="1" customWidth="1"/>
    <col min="5357" max="5357" width="0" style="365" hidden="1" customWidth="1"/>
    <col min="5358" max="5358" width="15.5703125" style="365" customWidth="1"/>
    <col min="5359" max="5359" width="44.5703125" style="365" customWidth="1"/>
    <col min="5360" max="5360" width="14.28515625" style="365" bestFit="1" customWidth="1"/>
    <col min="5361" max="5361" width="0" style="365" hidden="1" customWidth="1"/>
    <col min="5362" max="5362" width="18.140625" style="365" customWidth="1"/>
    <col min="5363" max="5363" width="0" style="365" hidden="1" customWidth="1"/>
    <col min="5364" max="5364" width="14" style="365" customWidth="1"/>
    <col min="5365" max="5365" width="0" style="365" hidden="1" customWidth="1"/>
    <col min="5366" max="5366" width="20.85546875" style="365" customWidth="1"/>
    <col min="5367" max="5367" width="0" style="365" hidden="1" customWidth="1"/>
    <col min="5368" max="5368" width="13.28515625" style="365" customWidth="1"/>
    <col min="5369" max="5369" width="0" style="365" hidden="1" customWidth="1"/>
    <col min="5370" max="5370" width="15" style="365" customWidth="1"/>
    <col min="5371" max="5371" width="0" style="365" hidden="1" customWidth="1"/>
    <col min="5372" max="5372" width="13.28515625" style="365" customWidth="1"/>
    <col min="5373" max="5373" width="0" style="365" hidden="1" customWidth="1"/>
    <col min="5374" max="5374" width="20.140625" style="365" customWidth="1"/>
    <col min="5375" max="5375" width="14.42578125" style="365" bestFit="1" customWidth="1"/>
    <col min="5376" max="5376" width="14" style="365" bestFit="1" customWidth="1"/>
    <col min="5377" max="5377" width="12.28515625" style="365" bestFit="1" customWidth="1"/>
    <col min="5378" max="5402" width="9.140625" style="365" customWidth="1"/>
    <col min="5403" max="5597" width="8.85546875" style="365"/>
    <col min="5598" max="5598" width="44.5703125" style="365" customWidth="1"/>
    <col min="5599" max="5599" width="14.28515625" style="365" bestFit="1" customWidth="1"/>
    <col min="5600" max="5600" width="1.7109375" style="365" customWidth="1"/>
    <col min="5601" max="5601" width="14.85546875" style="365" customWidth="1"/>
    <col min="5602" max="5602" width="0" style="365" hidden="1" customWidth="1"/>
    <col min="5603" max="5603" width="17.42578125" style="365" customWidth="1"/>
    <col min="5604" max="5604" width="0" style="365" hidden="1" customWidth="1"/>
    <col min="5605" max="5605" width="12.85546875" style="365" customWidth="1"/>
    <col min="5606" max="5606" width="0" style="365" hidden="1" customWidth="1"/>
    <col min="5607" max="5607" width="14.42578125" style="365" customWidth="1"/>
    <col min="5608" max="5608" width="0" style="365" hidden="1" customWidth="1"/>
    <col min="5609" max="5609" width="17.42578125" style="365" customWidth="1"/>
    <col min="5610" max="5610" width="0" style="365" hidden="1" customWidth="1"/>
    <col min="5611" max="5611" width="14" style="365" customWidth="1"/>
    <col min="5612" max="5612" width="14.28515625" style="365" bestFit="1" customWidth="1"/>
    <col min="5613" max="5613" width="0" style="365" hidden="1" customWidth="1"/>
    <col min="5614" max="5614" width="15.5703125" style="365" customWidth="1"/>
    <col min="5615" max="5615" width="44.5703125" style="365" customWidth="1"/>
    <col min="5616" max="5616" width="14.28515625" style="365" bestFit="1" customWidth="1"/>
    <col min="5617" max="5617" width="0" style="365" hidden="1" customWidth="1"/>
    <col min="5618" max="5618" width="18.140625" style="365" customWidth="1"/>
    <col min="5619" max="5619" width="0" style="365" hidden="1" customWidth="1"/>
    <col min="5620" max="5620" width="14" style="365" customWidth="1"/>
    <col min="5621" max="5621" width="0" style="365" hidden="1" customWidth="1"/>
    <col min="5622" max="5622" width="20.85546875" style="365" customWidth="1"/>
    <col min="5623" max="5623" width="0" style="365" hidden="1" customWidth="1"/>
    <col min="5624" max="5624" width="13.28515625" style="365" customWidth="1"/>
    <col min="5625" max="5625" width="0" style="365" hidden="1" customWidth="1"/>
    <col min="5626" max="5626" width="15" style="365" customWidth="1"/>
    <col min="5627" max="5627" width="0" style="365" hidden="1" customWidth="1"/>
    <col min="5628" max="5628" width="13.28515625" style="365" customWidth="1"/>
    <col min="5629" max="5629" width="0" style="365" hidden="1" customWidth="1"/>
    <col min="5630" max="5630" width="20.140625" style="365" customWidth="1"/>
    <col min="5631" max="5631" width="14.42578125" style="365" bestFit="1" customWidth="1"/>
    <col min="5632" max="5632" width="14" style="365" bestFit="1" customWidth="1"/>
    <col min="5633" max="5633" width="12.28515625" style="365" bestFit="1" customWidth="1"/>
    <col min="5634" max="5658" width="9.140625" style="365" customWidth="1"/>
    <col min="5659" max="5853" width="8.85546875" style="365"/>
    <col min="5854" max="5854" width="44.5703125" style="365" customWidth="1"/>
    <col min="5855" max="5855" width="14.28515625" style="365" bestFit="1" customWidth="1"/>
    <col min="5856" max="5856" width="1.7109375" style="365" customWidth="1"/>
    <col min="5857" max="5857" width="14.85546875" style="365" customWidth="1"/>
    <col min="5858" max="5858" width="0" style="365" hidden="1" customWidth="1"/>
    <col min="5859" max="5859" width="17.42578125" style="365" customWidth="1"/>
    <col min="5860" max="5860" width="0" style="365" hidden="1" customWidth="1"/>
    <col min="5861" max="5861" width="12.85546875" style="365" customWidth="1"/>
    <col min="5862" max="5862" width="0" style="365" hidden="1" customWidth="1"/>
    <col min="5863" max="5863" width="14.42578125" style="365" customWidth="1"/>
    <col min="5864" max="5864" width="0" style="365" hidden="1" customWidth="1"/>
    <col min="5865" max="5865" width="17.42578125" style="365" customWidth="1"/>
    <col min="5866" max="5866" width="0" style="365" hidden="1" customWidth="1"/>
    <col min="5867" max="5867" width="14" style="365" customWidth="1"/>
    <col min="5868" max="5868" width="14.28515625" style="365" bestFit="1" customWidth="1"/>
    <col min="5869" max="5869" width="0" style="365" hidden="1" customWidth="1"/>
    <col min="5870" max="5870" width="15.5703125" style="365" customWidth="1"/>
    <col min="5871" max="5871" width="44.5703125" style="365" customWidth="1"/>
    <col min="5872" max="5872" width="14.28515625" style="365" bestFit="1" customWidth="1"/>
    <col min="5873" max="5873" width="0" style="365" hidden="1" customWidth="1"/>
    <col min="5874" max="5874" width="18.140625" style="365" customWidth="1"/>
    <col min="5875" max="5875" width="0" style="365" hidden="1" customWidth="1"/>
    <col min="5876" max="5876" width="14" style="365" customWidth="1"/>
    <col min="5877" max="5877" width="0" style="365" hidden="1" customWidth="1"/>
    <col min="5878" max="5878" width="20.85546875" style="365" customWidth="1"/>
    <col min="5879" max="5879" width="0" style="365" hidden="1" customWidth="1"/>
    <col min="5880" max="5880" width="13.28515625" style="365" customWidth="1"/>
    <col min="5881" max="5881" width="0" style="365" hidden="1" customWidth="1"/>
    <col min="5882" max="5882" width="15" style="365" customWidth="1"/>
    <col min="5883" max="5883" width="0" style="365" hidden="1" customWidth="1"/>
    <col min="5884" max="5884" width="13.28515625" style="365" customWidth="1"/>
    <col min="5885" max="5885" width="0" style="365" hidden="1" customWidth="1"/>
    <col min="5886" max="5886" width="20.140625" style="365" customWidth="1"/>
    <col min="5887" max="5887" width="14.42578125" style="365" bestFit="1" customWidth="1"/>
    <col min="5888" max="5888" width="14" style="365" bestFit="1" customWidth="1"/>
    <col min="5889" max="5889" width="12.28515625" style="365" bestFit="1" customWidth="1"/>
    <col min="5890" max="5914" width="9.140625" style="365" customWidth="1"/>
    <col min="5915" max="6109" width="8.85546875" style="365"/>
    <col min="6110" max="6110" width="44.5703125" style="365" customWidth="1"/>
    <col min="6111" max="6111" width="14.28515625" style="365" bestFit="1" customWidth="1"/>
    <col min="6112" max="6112" width="1.7109375" style="365" customWidth="1"/>
    <col min="6113" max="6113" width="14.85546875" style="365" customWidth="1"/>
    <col min="6114" max="6114" width="0" style="365" hidden="1" customWidth="1"/>
    <col min="6115" max="6115" width="17.42578125" style="365" customWidth="1"/>
    <col min="6116" max="6116" width="0" style="365" hidden="1" customWidth="1"/>
    <col min="6117" max="6117" width="12.85546875" style="365" customWidth="1"/>
    <col min="6118" max="6118" width="0" style="365" hidden="1" customWidth="1"/>
    <col min="6119" max="6119" width="14.42578125" style="365" customWidth="1"/>
    <col min="6120" max="6120" width="0" style="365" hidden="1" customWidth="1"/>
    <col min="6121" max="6121" width="17.42578125" style="365" customWidth="1"/>
    <col min="6122" max="6122" width="0" style="365" hidden="1" customWidth="1"/>
    <col min="6123" max="6123" width="14" style="365" customWidth="1"/>
    <col min="6124" max="6124" width="14.28515625" style="365" bestFit="1" customWidth="1"/>
    <col min="6125" max="6125" width="0" style="365" hidden="1" customWidth="1"/>
    <col min="6126" max="6126" width="15.5703125" style="365" customWidth="1"/>
    <col min="6127" max="6127" width="44.5703125" style="365" customWidth="1"/>
    <col min="6128" max="6128" width="14.28515625" style="365" bestFit="1" customWidth="1"/>
    <col min="6129" max="6129" width="0" style="365" hidden="1" customWidth="1"/>
    <col min="6130" max="6130" width="18.140625" style="365" customWidth="1"/>
    <col min="6131" max="6131" width="0" style="365" hidden="1" customWidth="1"/>
    <col min="6132" max="6132" width="14" style="365" customWidth="1"/>
    <col min="6133" max="6133" width="0" style="365" hidden="1" customWidth="1"/>
    <col min="6134" max="6134" width="20.85546875" style="365" customWidth="1"/>
    <col min="6135" max="6135" width="0" style="365" hidden="1" customWidth="1"/>
    <col min="6136" max="6136" width="13.28515625" style="365" customWidth="1"/>
    <col min="6137" max="6137" width="0" style="365" hidden="1" customWidth="1"/>
    <col min="6138" max="6138" width="15" style="365" customWidth="1"/>
    <col min="6139" max="6139" width="0" style="365" hidden="1" customWidth="1"/>
    <col min="6140" max="6140" width="13.28515625" style="365" customWidth="1"/>
    <col min="6141" max="6141" width="0" style="365" hidden="1" customWidth="1"/>
    <col min="6142" max="6142" width="20.140625" style="365" customWidth="1"/>
    <col min="6143" max="6143" width="14.42578125" style="365" bestFit="1" customWidth="1"/>
    <col min="6144" max="6144" width="14" style="365" bestFit="1" customWidth="1"/>
    <col min="6145" max="6145" width="12.28515625" style="365" bestFit="1" customWidth="1"/>
    <col min="6146" max="6170" width="9.140625" style="365" customWidth="1"/>
    <col min="6171" max="6365" width="8.85546875" style="365"/>
    <col min="6366" max="6366" width="44.5703125" style="365" customWidth="1"/>
    <col min="6367" max="6367" width="14.28515625" style="365" bestFit="1" customWidth="1"/>
    <col min="6368" max="6368" width="1.7109375" style="365" customWidth="1"/>
    <col min="6369" max="6369" width="14.85546875" style="365" customWidth="1"/>
    <col min="6370" max="6370" width="0" style="365" hidden="1" customWidth="1"/>
    <col min="6371" max="6371" width="17.42578125" style="365" customWidth="1"/>
    <col min="6372" max="6372" width="0" style="365" hidden="1" customWidth="1"/>
    <col min="6373" max="6373" width="12.85546875" style="365" customWidth="1"/>
    <col min="6374" max="6374" width="0" style="365" hidden="1" customWidth="1"/>
    <col min="6375" max="6375" width="14.42578125" style="365" customWidth="1"/>
    <col min="6376" max="6376" width="0" style="365" hidden="1" customWidth="1"/>
    <col min="6377" max="6377" width="17.42578125" style="365" customWidth="1"/>
    <col min="6378" max="6378" width="0" style="365" hidden="1" customWidth="1"/>
    <col min="6379" max="6379" width="14" style="365" customWidth="1"/>
    <col min="6380" max="6380" width="14.28515625" style="365" bestFit="1" customWidth="1"/>
    <col min="6381" max="6381" width="0" style="365" hidden="1" customWidth="1"/>
    <col min="6382" max="6382" width="15.5703125" style="365" customWidth="1"/>
    <col min="6383" max="6383" width="44.5703125" style="365" customWidth="1"/>
    <col min="6384" max="6384" width="14.28515625" style="365" bestFit="1" customWidth="1"/>
    <col min="6385" max="6385" width="0" style="365" hidden="1" customWidth="1"/>
    <col min="6386" max="6386" width="18.140625" style="365" customWidth="1"/>
    <col min="6387" max="6387" width="0" style="365" hidden="1" customWidth="1"/>
    <col min="6388" max="6388" width="14" style="365" customWidth="1"/>
    <col min="6389" max="6389" width="0" style="365" hidden="1" customWidth="1"/>
    <col min="6390" max="6390" width="20.85546875" style="365" customWidth="1"/>
    <col min="6391" max="6391" width="0" style="365" hidden="1" customWidth="1"/>
    <col min="6392" max="6392" width="13.28515625" style="365" customWidth="1"/>
    <col min="6393" max="6393" width="0" style="365" hidden="1" customWidth="1"/>
    <col min="6394" max="6394" width="15" style="365" customWidth="1"/>
    <col min="6395" max="6395" width="0" style="365" hidden="1" customWidth="1"/>
    <col min="6396" max="6396" width="13.28515625" style="365" customWidth="1"/>
    <col min="6397" max="6397" width="0" style="365" hidden="1" customWidth="1"/>
    <col min="6398" max="6398" width="20.140625" style="365" customWidth="1"/>
    <col min="6399" max="6399" width="14.42578125" style="365" bestFit="1" customWidth="1"/>
    <col min="6400" max="6400" width="14" style="365" bestFit="1" customWidth="1"/>
    <col min="6401" max="6401" width="12.28515625" style="365" bestFit="1" customWidth="1"/>
    <col min="6402" max="6426" width="9.140625" style="365" customWidth="1"/>
    <col min="6427" max="6621" width="8.85546875" style="365"/>
    <col min="6622" max="6622" width="44.5703125" style="365" customWidth="1"/>
    <col min="6623" max="6623" width="14.28515625" style="365" bestFit="1" customWidth="1"/>
    <col min="6624" max="6624" width="1.7109375" style="365" customWidth="1"/>
    <col min="6625" max="6625" width="14.85546875" style="365" customWidth="1"/>
    <col min="6626" max="6626" width="0" style="365" hidden="1" customWidth="1"/>
    <col min="6627" max="6627" width="17.42578125" style="365" customWidth="1"/>
    <col min="6628" max="6628" width="0" style="365" hidden="1" customWidth="1"/>
    <col min="6629" max="6629" width="12.85546875" style="365" customWidth="1"/>
    <col min="6630" max="6630" width="0" style="365" hidden="1" customWidth="1"/>
    <col min="6631" max="6631" width="14.42578125" style="365" customWidth="1"/>
    <col min="6632" max="6632" width="0" style="365" hidden="1" customWidth="1"/>
    <col min="6633" max="6633" width="17.42578125" style="365" customWidth="1"/>
    <col min="6634" max="6634" width="0" style="365" hidden="1" customWidth="1"/>
    <col min="6635" max="6635" width="14" style="365" customWidth="1"/>
    <col min="6636" max="6636" width="14.28515625" style="365" bestFit="1" customWidth="1"/>
    <col min="6637" max="6637" width="0" style="365" hidden="1" customWidth="1"/>
    <col min="6638" max="6638" width="15.5703125" style="365" customWidth="1"/>
    <col min="6639" max="6639" width="44.5703125" style="365" customWidth="1"/>
    <col min="6640" max="6640" width="14.28515625" style="365" bestFit="1" customWidth="1"/>
    <col min="6641" max="6641" width="0" style="365" hidden="1" customWidth="1"/>
    <col min="6642" max="6642" width="18.140625" style="365" customWidth="1"/>
    <col min="6643" max="6643" width="0" style="365" hidden="1" customWidth="1"/>
    <col min="6644" max="6644" width="14" style="365" customWidth="1"/>
    <col min="6645" max="6645" width="0" style="365" hidden="1" customWidth="1"/>
    <col min="6646" max="6646" width="20.85546875" style="365" customWidth="1"/>
    <col min="6647" max="6647" width="0" style="365" hidden="1" customWidth="1"/>
    <col min="6648" max="6648" width="13.28515625" style="365" customWidth="1"/>
    <col min="6649" max="6649" width="0" style="365" hidden="1" customWidth="1"/>
    <col min="6650" max="6650" width="15" style="365" customWidth="1"/>
    <col min="6651" max="6651" width="0" style="365" hidden="1" customWidth="1"/>
    <col min="6652" max="6652" width="13.28515625" style="365" customWidth="1"/>
    <col min="6653" max="6653" width="0" style="365" hidden="1" customWidth="1"/>
    <col min="6654" max="6654" width="20.140625" style="365" customWidth="1"/>
    <col min="6655" max="6655" width="14.42578125" style="365" bestFit="1" customWidth="1"/>
    <col min="6656" max="6656" width="14" style="365" bestFit="1" customWidth="1"/>
    <col min="6657" max="6657" width="12.28515625" style="365" bestFit="1" customWidth="1"/>
    <col min="6658" max="6682" width="9.140625" style="365" customWidth="1"/>
    <col min="6683" max="6877" width="8.85546875" style="365"/>
    <col min="6878" max="6878" width="44.5703125" style="365" customWidth="1"/>
    <col min="6879" max="6879" width="14.28515625" style="365" bestFit="1" customWidth="1"/>
    <col min="6880" max="6880" width="1.7109375" style="365" customWidth="1"/>
    <col min="6881" max="6881" width="14.85546875" style="365" customWidth="1"/>
    <col min="6882" max="6882" width="0" style="365" hidden="1" customWidth="1"/>
    <col min="6883" max="6883" width="17.42578125" style="365" customWidth="1"/>
    <col min="6884" max="6884" width="0" style="365" hidden="1" customWidth="1"/>
    <col min="6885" max="6885" width="12.85546875" style="365" customWidth="1"/>
    <col min="6886" max="6886" width="0" style="365" hidden="1" customWidth="1"/>
    <col min="6887" max="6887" width="14.42578125" style="365" customWidth="1"/>
    <col min="6888" max="6888" width="0" style="365" hidden="1" customWidth="1"/>
    <col min="6889" max="6889" width="17.42578125" style="365" customWidth="1"/>
    <col min="6890" max="6890" width="0" style="365" hidden="1" customWidth="1"/>
    <col min="6891" max="6891" width="14" style="365" customWidth="1"/>
    <col min="6892" max="6892" width="14.28515625" style="365" bestFit="1" customWidth="1"/>
    <col min="6893" max="6893" width="0" style="365" hidden="1" customWidth="1"/>
    <col min="6894" max="6894" width="15.5703125" style="365" customWidth="1"/>
    <col min="6895" max="6895" width="44.5703125" style="365" customWidth="1"/>
    <col min="6896" max="6896" width="14.28515625" style="365" bestFit="1" customWidth="1"/>
    <col min="6897" max="6897" width="0" style="365" hidden="1" customWidth="1"/>
    <col min="6898" max="6898" width="18.140625" style="365" customWidth="1"/>
    <col min="6899" max="6899" width="0" style="365" hidden="1" customWidth="1"/>
    <col min="6900" max="6900" width="14" style="365" customWidth="1"/>
    <col min="6901" max="6901" width="0" style="365" hidden="1" customWidth="1"/>
    <col min="6902" max="6902" width="20.85546875" style="365" customWidth="1"/>
    <col min="6903" max="6903" width="0" style="365" hidden="1" customWidth="1"/>
    <col min="6904" max="6904" width="13.28515625" style="365" customWidth="1"/>
    <col min="6905" max="6905" width="0" style="365" hidden="1" customWidth="1"/>
    <col min="6906" max="6906" width="15" style="365" customWidth="1"/>
    <col min="6907" max="6907" width="0" style="365" hidden="1" customWidth="1"/>
    <col min="6908" max="6908" width="13.28515625" style="365" customWidth="1"/>
    <col min="6909" max="6909" width="0" style="365" hidden="1" customWidth="1"/>
    <col min="6910" max="6910" width="20.140625" style="365" customWidth="1"/>
    <col min="6911" max="6911" width="14.42578125" style="365" bestFit="1" customWidth="1"/>
    <col min="6912" max="6912" width="14" style="365" bestFit="1" customWidth="1"/>
    <col min="6913" max="6913" width="12.28515625" style="365" bestFit="1" customWidth="1"/>
    <col min="6914" max="6938" width="9.140625" style="365" customWidth="1"/>
    <col min="6939" max="7133" width="8.85546875" style="365"/>
    <col min="7134" max="7134" width="44.5703125" style="365" customWidth="1"/>
    <col min="7135" max="7135" width="14.28515625" style="365" bestFit="1" customWidth="1"/>
    <col min="7136" max="7136" width="1.7109375" style="365" customWidth="1"/>
    <col min="7137" max="7137" width="14.85546875" style="365" customWidth="1"/>
    <col min="7138" max="7138" width="0" style="365" hidden="1" customWidth="1"/>
    <col min="7139" max="7139" width="17.42578125" style="365" customWidth="1"/>
    <col min="7140" max="7140" width="0" style="365" hidden="1" customWidth="1"/>
    <col min="7141" max="7141" width="12.85546875" style="365" customWidth="1"/>
    <col min="7142" max="7142" width="0" style="365" hidden="1" customWidth="1"/>
    <col min="7143" max="7143" width="14.42578125" style="365" customWidth="1"/>
    <col min="7144" max="7144" width="0" style="365" hidden="1" customWidth="1"/>
    <col min="7145" max="7145" width="17.42578125" style="365" customWidth="1"/>
    <col min="7146" max="7146" width="0" style="365" hidden="1" customWidth="1"/>
    <col min="7147" max="7147" width="14" style="365" customWidth="1"/>
    <col min="7148" max="7148" width="14.28515625" style="365" bestFit="1" customWidth="1"/>
    <col min="7149" max="7149" width="0" style="365" hidden="1" customWidth="1"/>
    <col min="7150" max="7150" width="15.5703125" style="365" customWidth="1"/>
    <col min="7151" max="7151" width="44.5703125" style="365" customWidth="1"/>
    <col min="7152" max="7152" width="14.28515625" style="365" bestFit="1" customWidth="1"/>
    <col min="7153" max="7153" width="0" style="365" hidden="1" customWidth="1"/>
    <col min="7154" max="7154" width="18.140625" style="365" customWidth="1"/>
    <col min="7155" max="7155" width="0" style="365" hidden="1" customWidth="1"/>
    <col min="7156" max="7156" width="14" style="365" customWidth="1"/>
    <col min="7157" max="7157" width="0" style="365" hidden="1" customWidth="1"/>
    <col min="7158" max="7158" width="20.85546875" style="365" customWidth="1"/>
    <col min="7159" max="7159" width="0" style="365" hidden="1" customWidth="1"/>
    <col min="7160" max="7160" width="13.28515625" style="365" customWidth="1"/>
    <col min="7161" max="7161" width="0" style="365" hidden="1" customWidth="1"/>
    <col min="7162" max="7162" width="15" style="365" customWidth="1"/>
    <col min="7163" max="7163" width="0" style="365" hidden="1" customWidth="1"/>
    <col min="7164" max="7164" width="13.28515625" style="365" customWidth="1"/>
    <col min="7165" max="7165" width="0" style="365" hidden="1" customWidth="1"/>
    <col min="7166" max="7166" width="20.140625" style="365" customWidth="1"/>
    <col min="7167" max="7167" width="14.42578125" style="365" bestFit="1" customWidth="1"/>
    <col min="7168" max="7168" width="14" style="365" bestFit="1" customWidth="1"/>
    <col min="7169" max="7169" width="12.28515625" style="365" bestFit="1" customWidth="1"/>
    <col min="7170" max="7194" width="9.140625" style="365" customWidth="1"/>
    <col min="7195" max="7389" width="8.85546875" style="365"/>
    <col min="7390" max="7390" width="44.5703125" style="365" customWidth="1"/>
    <col min="7391" max="7391" width="14.28515625" style="365" bestFit="1" customWidth="1"/>
    <col min="7392" max="7392" width="1.7109375" style="365" customWidth="1"/>
    <col min="7393" max="7393" width="14.85546875" style="365" customWidth="1"/>
    <col min="7394" max="7394" width="0" style="365" hidden="1" customWidth="1"/>
    <col min="7395" max="7395" width="17.42578125" style="365" customWidth="1"/>
    <col min="7396" max="7396" width="0" style="365" hidden="1" customWidth="1"/>
    <col min="7397" max="7397" width="12.85546875" style="365" customWidth="1"/>
    <col min="7398" max="7398" width="0" style="365" hidden="1" customWidth="1"/>
    <col min="7399" max="7399" width="14.42578125" style="365" customWidth="1"/>
    <col min="7400" max="7400" width="0" style="365" hidden="1" customWidth="1"/>
    <col min="7401" max="7401" width="17.42578125" style="365" customWidth="1"/>
    <col min="7402" max="7402" width="0" style="365" hidden="1" customWidth="1"/>
    <col min="7403" max="7403" width="14" style="365" customWidth="1"/>
    <col min="7404" max="7404" width="14.28515625" style="365" bestFit="1" customWidth="1"/>
    <col min="7405" max="7405" width="0" style="365" hidden="1" customWidth="1"/>
    <col min="7406" max="7406" width="15.5703125" style="365" customWidth="1"/>
    <col min="7407" max="7407" width="44.5703125" style="365" customWidth="1"/>
    <col min="7408" max="7408" width="14.28515625" style="365" bestFit="1" customWidth="1"/>
    <col min="7409" max="7409" width="0" style="365" hidden="1" customWidth="1"/>
    <col min="7410" max="7410" width="18.140625" style="365" customWidth="1"/>
    <col min="7411" max="7411" width="0" style="365" hidden="1" customWidth="1"/>
    <col min="7412" max="7412" width="14" style="365" customWidth="1"/>
    <col min="7413" max="7413" width="0" style="365" hidden="1" customWidth="1"/>
    <col min="7414" max="7414" width="20.85546875" style="365" customWidth="1"/>
    <col min="7415" max="7415" width="0" style="365" hidden="1" customWidth="1"/>
    <col min="7416" max="7416" width="13.28515625" style="365" customWidth="1"/>
    <col min="7417" max="7417" width="0" style="365" hidden="1" customWidth="1"/>
    <col min="7418" max="7418" width="15" style="365" customWidth="1"/>
    <col min="7419" max="7419" width="0" style="365" hidden="1" customWidth="1"/>
    <col min="7420" max="7420" width="13.28515625" style="365" customWidth="1"/>
    <col min="7421" max="7421" width="0" style="365" hidden="1" customWidth="1"/>
    <col min="7422" max="7422" width="20.140625" style="365" customWidth="1"/>
    <col min="7423" max="7423" width="14.42578125" style="365" bestFit="1" customWidth="1"/>
    <col min="7424" max="7424" width="14" style="365" bestFit="1" customWidth="1"/>
    <col min="7425" max="7425" width="12.28515625" style="365" bestFit="1" customWidth="1"/>
    <col min="7426" max="7450" width="9.140625" style="365" customWidth="1"/>
    <col min="7451" max="7645" width="8.85546875" style="365"/>
    <col min="7646" max="7646" width="44.5703125" style="365" customWidth="1"/>
    <col min="7647" max="7647" width="14.28515625" style="365" bestFit="1" customWidth="1"/>
    <col min="7648" max="7648" width="1.7109375" style="365" customWidth="1"/>
    <col min="7649" max="7649" width="14.85546875" style="365" customWidth="1"/>
    <col min="7650" max="7650" width="0" style="365" hidden="1" customWidth="1"/>
    <col min="7651" max="7651" width="17.42578125" style="365" customWidth="1"/>
    <col min="7652" max="7652" width="0" style="365" hidden="1" customWidth="1"/>
    <col min="7653" max="7653" width="12.85546875" style="365" customWidth="1"/>
    <col min="7654" max="7654" width="0" style="365" hidden="1" customWidth="1"/>
    <col min="7655" max="7655" width="14.42578125" style="365" customWidth="1"/>
    <col min="7656" max="7656" width="0" style="365" hidden="1" customWidth="1"/>
    <col min="7657" max="7657" width="17.42578125" style="365" customWidth="1"/>
    <col min="7658" max="7658" width="0" style="365" hidden="1" customWidth="1"/>
    <col min="7659" max="7659" width="14" style="365" customWidth="1"/>
    <col min="7660" max="7660" width="14.28515625" style="365" bestFit="1" customWidth="1"/>
    <col min="7661" max="7661" width="0" style="365" hidden="1" customWidth="1"/>
    <col min="7662" max="7662" width="15.5703125" style="365" customWidth="1"/>
    <col min="7663" max="7663" width="44.5703125" style="365" customWidth="1"/>
    <col min="7664" max="7664" width="14.28515625" style="365" bestFit="1" customWidth="1"/>
    <col min="7665" max="7665" width="0" style="365" hidden="1" customWidth="1"/>
    <col min="7666" max="7666" width="18.140625" style="365" customWidth="1"/>
    <col min="7667" max="7667" width="0" style="365" hidden="1" customWidth="1"/>
    <col min="7668" max="7668" width="14" style="365" customWidth="1"/>
    <col min="7669" max="7669" width="0" style="365" hidden="1" customWidth="1"/>
    <col min="7670" max="7670" width="20.85546875" style="365" customWidth="1"/>
    <col min="7671" max="7671" width="0" style="365" hidden="1" customWidth="1"/>
    <col min="7672" max="7672" width="13.28515625" style="365" customWidth="1"/>
    <col min="7673" max="7673" width="0" style="365" hidden="1" customWidth="1"/>
    <col min="7674" max="7674" width="15" style="365" customWidth="1"/>
    <col min="7675" max="7675" width="0" style="365" hidden="1" customWidth="1"/>
    <col min="7676" max="7676" width="13.28515625" style="365" customWidth="1"/>
    <col min="7677" max="7677" width="0" style="365" hidden="1" customWidth="1"/>
    <col min="7678" max="7678" width="20.140625" style="365" customWidth="1"/>
    <col min="7679" max="7679" width="14.42578125" style="365" bestFit="1" customWidth="1"/>
    <col min="7680" max="7680" width="14" style="365" bestFit="1" customWidth="1"/>
    <col min="7681" max="7681" width="12.28515625" style="365" bestFit="1" customWidth="1"/>
    <col min="7682" max="7706" width="9.140625" style="365" customWidth="1"/>
    <col min="7707" max="7901" width="8.85546875" style="365"/>
    <col min="7902" max="7902" width="44.5703125" style="365" customWidth="1"/>
    <col min="7903" max="7903" width="14.28515625" style="365" bestFit="1" customWidth="1"/>
    <col min="7904" max="7904" width="1.7109375" style="365" customWidth="1"/>
    <col min="7905" max="7905" width="14.85546875" style="365" customWidth="1"/>
    <col min="7906" max="7906" width="0" style="365" hidden="1" customWidth="1"/>
    <col min="7907" max="7907" width="17.42578125" style="365" customWidth="1"/>
    <col min="7908" max="7908" width="0" style="365" hidden="1" customWidth="1"/>
    <col min="7909" max="7909" width="12.85546875" style="365" customWidth="1"/>
    <col min="7910" max="7910" width="0" style="365" hidden="1" customWidth="1"/>
    <col min="7911" max="7911" width="14.42578125" style="365" customWidth="1"/>
    <col min="7912" max="7912" width="0" style="365" hidden="1" customWidth="1"/>
    <col min="7913" max="7913" width="17.42578125" style="365" customWidth="1"/>
    <col min="7914" max="7914" width="0" style="365" hidden="1" customWidth="1"/>
    <col min="7915" max="7915" width="14" style="365" customWidth="1"/>
    <col min="7916" max="7916" width="14.28515625" style="365" bestFit="1" customWidth="1"/>
    <col min="7917" max="7917" width="0" style="365" hidden="1" customWidth="1"/>
    <col min="7918" max="7918" width="15.5703125" style="365" customWidth="1"/>
    <col min="7919" max="7919" width="44.5703125" style="365" customWidth="1"/>
    <col min="7920" max="7920" width="14.28515625" style="365" bestFit="1" customWidth="1"/>
    <col min="7921" max="7921" width="0" style="365" hidden="1" customWidth="1"/>
    <col min="7922" max="7922" width="18.140625" style="365" customWidth="1"/>
    <col min="7923" max="7923" width="0" style="365" hidden="1" customWidth="1"/>
    <col min="7924" max="7924" width="14" style="365" customWidth="1"/>
    <col min="7925" max="7925" width="0" style="365" hidden="1" customWidth="1"/>
    <col min="7926" max="7926" width="20.85546875" style="365" customWidth="1"/>
    <col min="7927" max="7927" width="0" style="365" hidden="1" customWidth="1"/>
    <col min="7928" max="7928" width="13.28515625" style="365" customWidth="1"/>
    <col min="7929" max="7929" width="0" style="365" hidden="1" customWidth="1"/>
    <col min="7930" max="7930" width="15" style="365" customWidth="1"/>
    <col min="7931" max="7931" width="0" style="365" hidden="1" customWidth="1"/>
    <col min="7932" max="7932" width="13.28515625" style="365" customWidth="1"/>
    <col min="7933" max="7933" width="0" style="365" hidden="1" customWidth="1"/>
    <col min="7934" max="7934" width="20.140625" style="365" customWidth="1"/>
    <col min="7935" max="7935" width="14.42578125" style="365" bestFit="1" customWidth="1"/>
    <col min="7936" max="7936" width="14" style="365" bestFit="1" customWidth="1"/>
    <col min="7937" max="7937" width="12.28515625" style="365" bestFit="1" customWidth="1"/>
    <col min="7938" max="7962" width="9.140625" style="365" customWidth="1"/>
    <col min="7963" max="8157" width="8.85546875" style="365"/>
    <col min="8158" max="8158" width="44.5703125" style="365" customWidth="1"/>
    <col min="8159" max="8159" width="14.28515625" style="365" bestFit="1" customWidth="1"/>
    <col min="8160" max="8160" width="1.7109375" style="365" customWidth="1"/>
    <col min="8161" max="8161" width="14.85546875" style="365" customWidth="1"/>
    <col min="8162" max="8162" width="0" style="365" hidden="1" customWidth="1"/>
    <col min="8163" max="8163" width="17.42578125" style="365" customWidth="1"/>
    <col min="8164" max="8164" width="0" style="365" hidden="1" customWidth="1"/>
    <col min="8165" max="8165" width="12.85546875" style="365" customWidth="1"/>
    <col min="8166" max="8166" width="0" style="365" hidden="1" customWidth="1"/>
    <col min="8167" max="8167" width="14.42578125" style="365" customWidth="1"/>
    <col min="8168" max="8168" width="0" style="365" hidden="1" customWidth="1"/>
    <col min="8169" max="8169" width="17.42578125" style="365" customWidth="1"/>
    <col min="8170" max="8170" width="0" style="365" hidden="1" customWidth="1"/>
    <col min="8171" max="8171" width="14" style="365" customWidth="1"/>
    <col min="8172" max="8172" width="14.28515625" style="365" bestFit="1" customWidth="1"/>
    <col min="8173" max="8173" width="0" style="365" hidden="1" customWidth="1"/>
    <col min="8174" max="8174" width="15.5703125" style="365" customWidth="1"/>
    <col min="8175" max="8175" width="44.5703125" style="365" customWidth="1"/>
    <col min="8176" max="8176" width="14.28515625" style="365" bestFit="1" customWidth="1"/>
    <col min="8177" max="8177" width="0" style="365" hidden="1" customWidth="1"/>
    <col min="8178" max="8178" width="18.140625" style="365" customWidth="1"/>
    <col min="8179" max="8179" width="0" style="365" hidden="1" customWidth="1"/>
    <col min="8180" max="8180" width="14" style="365" customWidth="1"/>
    <col min="8181" max="8181" width="0" style="365" hidden="1" customWidth="1"/>
    <col min="8182" max="8182" width="20.85546875" style="365" customWidth="1"/>
    <col min="8183" max="8183" width="0" style="365" hidden="1" customWidth="1"/>
    <col min="8184" max="8184" width="13.28515625" style="365" customWidth="1"/>
    <col min="8185" max="8185" width="0" style="365" hidden="1" customWidth="1"/>
    <col min="8186" max="8186" width="15" style="365" customWidth="1"/>
    <col min="8187" max="8187" width="0" style="365" hidden="1" customWidth="1"/>
    <col min="8188" max="8188" width="13.28515625" style="365" customWidth="1"/>
    <col min="8189" max="8189" width="0" style="365" hidden="1" customWidth="1"/>
    <col min="8190" max="8190" width="20.140625" style="365" customWidth="1"/>
    <col min="8191" max="8191" width="14.42578125" style="365" bestFit="1" customWidth="1"/>
    <col min="8192" max="8192" width="14" style="365" bestFit="1" customWidth="1"/>
    <col min="8193" max="8193" width="12.28515625" style="365" bestFit="1" customWidth="1"/>
    <col min="8194" max="8218" width="9.140625" style="365" customWidth="1"/>
    <col min="8219" max="8413" width="8.85546875" style="365"/>
    <col min="8414" max="8414" width="44.5703125" style="365" customWidth="1"/>
    <col min="8415" max="8415" width="14.28515625" style="365" bestFit="1" customWidth="1"/>
    <col min="8416" max="8416" width="1.7109375" style="365" customWidth="1"/>
    <col min="8417" max="8417" width="14.85546875" style="365" customWidth="1"/>
    <col min="8418" max="8418" width="0" style="365" hidden="1" customWidth="1"/>
    <col min="8419" max="8419" width="17.42578125" style="365" customWidth="1"/>
    <col min="8420" max="8420" width="0" style="365" hidden="1" customWidth="1"/>
    <col min="8421" max="8421" width="12.85546875" style="365" customWidth="1"/>
    <col min="8422" max="8422" width="0" style="365" hidden="1" customWidth="1"/>
    <col min="8423" max="8423" width="14.42578125" style="365" customWidth="1"/>
    <col min="8424" max="8424" width="0" style="365" hidden="1" customWidth="1"/>
    <col min="8425" max="8425" width="17.42578125" style="365" customWidth="1"/>
    <col min="8426" max="8426" width="0" style="365" hidden="1" customWidth="1"/>
    <col min="8427" max="8427" width="14" style="365" customWidth="1"/>
    <col min="8428" max="8428" width="14.28515625" style="365" bestFit="1" customWidth="1"/>
    <col min="8429" max="8429" width="0" style="365" hidden="1" customWidth="1"/>
    <col min="8430" max="8430" width="15.5703125" style="365" customWidth="1"/>
    <col min="8431" max="8431" width="44.5703125" style="365" customWidth="1"/>
    <col min="8432" max="8432" width="14.28515625" style="365" bestFit="1" customWidth="1"/>
    <col min="8433" max="8433" width="0" style="365" hidden="1" customWidth="1"/>
    <col min="8434" max="8434" width="18.140625" style="365" customWidth="1"/>
    <col min="8435" max="8435" width="0" style="365" hidden="1" customWidth="1"/>
    <col min="8436" max="8436" width="14" style="365" customWidth="1"/>
    <col min="8437" max="8437" width="0" style="365" hidden="1" customWidth="1"/>
    <col min="8438" max="8438" width="20.85546875" style="365" customWidth="1"/>
    <col min="8439" max="8439" width="0" style="365" hidden="1" customWidth="1"/>
    <col min="8440" max="8440" width="13.28515625" style="365" customWidth="1"/>
    <col min="8441" max="8441" width="0" style="365" hidden="1" customWidth="1"/>
    <col min="8442" max="8442" width="15" style="365" customWidth="1"/>
    <col min="8443" max="8443" width="0" style="365" hidden="1" customWidth="1"/>
    <col min="8444" max="8444" width="13.28515625" style="365" customWidth="1"/>
    <col min="8445" max="8445" width="0" style="365" hidden="1" customWidth="1"/>
    <col min="8446" max="8446" width="20.140625" style="365" customWidth="1"/>
    <col min="8447" max="8447" width="14.42578125" style="365" bestFit="1" customWidth="1"/>
    <col min="8448" max="8448" width="14" style="365" bestFit="1" customWidth="1"/>
    <col min="8449" max="8449" width="12.28515625" style="365" bestFit="1" customWidth="1"/>
    <col min="8450" max="8474" width="9.140625" style="365" customWidth="1"/>
    <col min="8475" max="8669" width="8.85546875" style="365"/>
    <col min="8670" max="8670" width="44.5703125" style="365" customWidth="1"/>
    <col min="8671" max="8671" width="14.28515625" style="365" bestFit="1" customWidth="1"/>
    <col min="8672" max="8672" width="1.7109375" style="365" customWidth="1"/>
    <col min="8673" max="8673" width="14.85546875" style="365" customWidth="1"/>
    <col min="8674" max="8674" width="0" style="365" hidden="1" customWidth="1"/>
    <col min="8675" max="8675" width="17.42578125" style="365" customWidth="1"/>
    <col min="8676" max="8676" width="0" style="365" hidden="1" customWidth="1"/>
    <col min="8677" max="8677" width="12.85546875" style="365" customWidth="1"/>
    <col min="8678" max="8678" width="0" style="365" hidden="1" customWidth="1"/>
    <col min="8679" max="8679" width="14.42578125" style="365" customWidth="1"/>
    <col min="8680" max="8680" width="0" style="365" hidden="1" customWidth="1"/>
    <col min="8681" max="8681" width="17.42578125" style="365" customWidth="1"/>
    <col min="8682" max="8682" width="0" style="365" hidden="1" customWidth="1"/>
    <col min="8683" max="8683" width="14" style="365" customWidth="1"/>
    <col min="8684" max="8684" width="14.28515625" style="365" bestFit="1" customWidth="1"/>
    <col min="8685" max="8685" width="0" style="365" hidden="1" customWidth="1"/>
    <col min="8686" max="8686" width="15.5703125" style="365" customWidth="1"/>
    <col min="8687" max="8687" width="44.5703125" style="365" customWidth="1"/>
    <col min="8688" max="8688" width="14.28515625" style="365" bestFit="1" customWidth="1"/>
    <col min="8689" max="8689" width="0" style="365" hidden="1" customWidth="1"/>
    <col min="8690" max="8690" width="18.140625" style="365" customWidth="1"/>
    <col min="8691" max="8691" width="0" style="365" hidden="1" customWidth="1"/>
    <col min="8692" max="8692" width="14" style="365" customWidth="1"/>
    <col min="8693" max="8693" width="0" style="365" hidden="1" customWidth="1"/>
    <col min="8694" max="8694" width="20.85546875" style="365" customWidth="1"/>
    <col min="8695" max="8695" width="0" style="365" hidden="1" customWidth="1"/>
    <col min="8696" max="8696" width="13.28515625" style="365" customWidth="1"/>
    <col min="8697" max="8697" width="0" style="365" hidden="1" customWidth="1"/>
    <col min="8698" max="8698" width="15" style="365" customWidth="1"/>
    <col min="8699" max="8699" width="0" style="365" hidden="1" customWidth="1"/>
    <col min="8700" max="8700" width="13.28515625" style="365" customWidth="1"/>
    <col min="8701" max="8701" width="0" style="365" hidden="1" customWidth="1"/>
    <col min="8702" max="8702" width="20.140625" style="365" customWidth="1"/>
    <col min="8703" max="8703" width="14.42578125" style="365" bestFit="1" customWidth="1"/>
    <col min="8704" max="8704" width="14" style="365" bestFit="1" customWidth="1"/>
    <col min="8705" max="8705" width="12.28515625" style="365" bestFit="1" customWidth="1"/>
    <col min="8706" max="8730" width="9.140625" style="365" customWidth="1"/>
    <col min="8731" max="8925" width="8.85546875" style="365"/>
    <col min="8926" max="8926" width="44.5703125" style="365" customWidth="1"/>
    <col min="8927" max="8927" width="14.28515625" style="365" bestFit="1" customWidth="1"/>
    <col min="8928" max="8928" width="1.7109375" style="365" customWidth="1"/>
    <col min="8929" max="8929" width="14.85546875" style="365" customWidth="1"/>
    <col min="8930" max="8930" width="0" style="365" hidden="1" customWidth="1"/>
    <col min="8931" max="8931" width="17.42578125" style="365" customWidth="1"/>
    <col min="8932" max="8932" width="0" style="365" hidden="1" customWidth="1"/>
    <col min="8933" max="8933" width="12.85546875" style="365" customWidth="1"/>
    <col min="8934" max="8934" width="0" style="365" hidden="1" customWidth="1"/>
    <col min="8935" max="8935" width="14.42578125" style="365" customWidth="1"/>
    <col min="8936" max="8936" width="0" style="365" hidden="1" customWidth="1"/>
    <col min="8937" max="8937" width="17.42578125" style="365" customWidth="1"/>
    <col min="8938" max="8938" width="0" style="365" hidden="1" customWidth="1"/>
    <col min="8939" max="8939" width="14" style="365" customWidth="1"/>
    <col min="8940" max="8940" width="14.28515625" style="365" bestFit="1" customWidth="1"/>
    <col min="8941" max="8941" width="0" style="365" hidden="1" customWidth="1"/>
    <col min="8942" max="8942" width="15.5703125" style="365" customWidth="1"/>
    <col min="8943" max="8943" width="44.5703125" style="365" customWidth="1"/>
    <col min="8944" max="8944" width="14.28515625" style="365" bestFit="1" customWidth="1"/>
    <col min="8945" max="8945" width="0" style="365" hidden="1" customWidth="1"/>
    <col min="8946" max="8946" width="18.140625" style="365" customWidth="1"/>
    <col min="8947" max="8947" width="0" style="365" hidden="1" customWidth="1"/>
    <col min="8948" max="8948" width="14" style="365" customWidth="1"/>
    <col min="8949" max="8949" width="0" style="365" hidden="1" customWidth="1"/>
    <col min="8950" max="8950" width="20.85546875" style="365" customWidth="1"/>
    <col min="8951" max="8951" width="0" style="365" hidden="1" customWidth="1"/>
    <col min="8952" max="8952" width="13.28515625" style="365" customWidth="1"/>
    <col min="8953" max="8953" width="0" style="365" hidden="1" customWidth="1"/>
    <col min="8954" max="8954" width="15" style="365" customWidth="1"/>
    <col min="8955" max="8955" width="0" style="365" hidden="1" customWidth="1"/>
    <col min="8956" max="8956" width="13.28515625" style="365" customWidth="1"/>
    <col min="8957" max="8957" width="0" style="365" hidden="1" customWidth="1"/>
    <col min="8958" max="8958" width="20.140625" style="365" customWidth="1"/>
    <col min="8959" max="8959" width="14.42578125" style="365" bestFit="1" customWidth="1"/>
    <col min="8960" max="8960" width="14" style="365" bestFit="1" customWidth="1"/>
    <col min="8961" max="8961" width="12.28515625" style="365" bestFit="1" customWidth="1"/>
    <col min="8962" max="8986" width="9.140625" style="365" customWidth="1"/>
    <col min="8987" max="9181" width="8.85546875" style="365"/>
    <col min="9182" max="9182" width="44.5703125" style="365" customWidth="1"/>
    <col min="9183" max="9183" width="14.28515625" style="365" bestFit="1" customWidth="1"/>
    <col min="9184" max="9184" width="1.7109375" style="365" customWidth="1"/>
    <col min="9185" max="9185" width="14.85546875" style="365" customWidth="1"/>
    <col min="9186" max="9186" width="0" style="365" hidden="1" customWidth="1"/>
    <col min="9187" max="9187" width="17.42578125" style="365" customWidth="1"/>
    <col min="9188" max="9188" width="0" style="365" hidden="1" customWidth="1"/>
    <col min="9189" max="9189" width="12.85546875" style="365" customWidth="1"/>
    <col min="9190" max="9190" width="0" style="365" hidden="1" customWidth="1"/>
    <col min="9191" max="9191" width="14.42578125" style="365" customWidth="1"/>
    <col min="9192" max="9192" width="0" style="365" hidden="1" customWidth="1"/>
    <col min="9193" max="9193" width="17.42578125" style="365" customWidth="1"/>
    <col min="9194" max="9194" width="0" style="365" hidden="1" customWidth="1"/>
    <col min="9195" max="9195" width="14" style="365" customWidth="1"/>
    <col min="9196" max="9196" width="14.28515625" style="365" bestFit="1" customWidth="1"/>
    <col min="9197" max="9197" width="0" style="365" hidden="1" customWidth="1"/>
    <col min="9198" max="9198" width="15.5703125" style="365" customWidth="1"/>
    <col min="9199" max="9199" width="44.5703125" style="365" customWidth="1"/>
    <col min="9200" max="9200" width="14.28515625" style="365" bestFit="1" customWidth="1"/>
    <col min="9201" max="9201" width="0" style="365" hidden="1" customWidth="1"/>
    <col min="9202" max="9202" width="18.140625" style="365" customWidth="1"/>
    <col min="9203" max="9203" width="0" style="365" hidden="1" customWidth="1"/>
    <col min="9204" max="9204" width="14" style="365" customWidth="1"/>
    <col min="9205" max="9205" width="0" style="365" hidden="1" customWidth="1"/>
    <col min="9206" max="9206" width="20.85546875" style="365" customWidth="1"/>
    <col min="9207" max="9207" width="0" style="365" hidden="1" customWidth="1"/>
    <col min="9208" max="9208" width="13.28515625" style="365" customWidth="1"/>
    <col min="9209" max="9209" width="0" style="365" hidden="1" customWidth="1"/>
    <col min="9210" max="9210" width="15" style="365" customWidth="1"/>
    <col min="9211" max="9211" width="0" style="365" hidden="1" customWidth="1"/>
    <col min="9212" max="9212" width="13.28515625" style="365" customWidth="1"/>
    <col min="9213" max="9213" width="0" style="365" hidden="1" customWidth="1"/>
    <col min="9214" max="9214" width="20.140625" style="365" customWidth="1"/>
    <col min="9215" max="9215" width="14.42578125" style="365" bestFit="1" customWidth="1"/>
    <col min="9216" max="9216" width="14" style="365" bestFit="1" customWidth="1"/>
    <col min="9217" max="9217" width="12.28515625" style="365" bestFit="1" customWidth="1"/>
    <col min="9218" max="9242" width="9.140625" style="365" customWidth="1"/>
    <col min="9243" max="9437" width="8.85546875" style="365"/>
    <col min="9438" max="9438" width="44.5703125" style="365" customWidth="1"/>
    <col min="9439" max="9439" width="14.28515625" style="365" bestFit="1" customWidth="1"/>
    <col min="9440" max="9440" width="1.7109375" style="365" customWidth="1"/>
    <col min="9441" max="9441" width="14.85546875" style="365" customWidth="1"/>
    <col min="9442" max="9442" width="0" style="365" hidden="1" customWidth="1"/>
    <col min="9443" max="9443" width="17.42578125" style="365" customWidth="1"/>
    <col min="9444" max="9444" width="0" style="365" hidden="1" customWidth="1"/>
    <col min="9445" max="9445" width="12.85546875" style="365" customWidth="1"/>
    <col min="9446" max="9446" width="0" style="365" hidden="1" customWidth="1"/>
    <col min="9447" max="9447" width="14.42578125" style="365" customWidth="1"/>
    <col min="9448" max="9448" width="0" style="365" hidden="1" customWidth="1"/>
    <col min="9449" max="9449" width="17.42578125" style="365" customWidth="1"/>
    <col min="9450" max="9450" width="0" style="365" hidden="1" customWidth="1"/>
    <col min="9451" max="9451" width="14" style="365" customWidth="1"/>
    <col min="9452" max="9452" width="14.28515625" style="365" bestFit="1" customWidth="1"/>
    <col min="9453" max="9453" width="0" style="365" hidden="1" customWidth="1"/>
    <col min="9454" max="9454" width="15.5703125" style="365" customWidth="1"/>
    <col min="9455" max="9455" width="44.5703125" style="365" customWidth="1"/>
    <col min="9456" max="9456" width="14.28515625" style="365" bestFit="1" customWidth="1"/>
    <col min="9457" max="9457" width="0" style="365" hidden="1" customWidth="1"/>
    <col min="9458" max="9458" width="18.140625" style="365" customWidth="1"/>
    <col min="9459" max="9459" width="0" style="365" hidden="1" customWidth="1"/>
    <col min="9460" max="9460" width="14" style="365" customWidth="1"/>
    <col min="9461" max="9461" width="0" style="365" hidden="1" customWidth="1"/>
    <col min="9462" max="9462" width="20.85546875" style="365" customWidth="1"/>
    <col min="9463" max="9463" width="0" style="365" hidden="1" customWidth="1"/>
    <col min="9464" max="9464" width="13.28515625" style="365" customWidth="1"/>
    <col min="9465" max="9465" width="0" style="365" hidden="1" customWidth="1"/>
    <col min="9466" max="9466" width="15" style="365" customWidth="1"/>
    <col min="9467" max="9467" width="0" style="365" hidden="1" customWidth="1"/>
    <col min="9468" max="9468" width="13.28515625" style="365" customWidth="1"/>
    <col min="9469" max="9469" width="0" style="365" hidden="1" customWidth="1"/>
    <col min="9470" max="9470" width="20.140625" style="365" customWidth="1"/>
    <col min="9471" max="9471" width="14.42578125" style="365" bestFit="1" customWidth="1"/>
    <col min="9472" max="9472" width="14" style="365" bestFit="1" customWidth="1"/>
    <col min="9473" max="9473" width="12.28515625" style="365" bestFit="1" customWidth="1"/>
    <col min="9474" max="9498" width="9.140625" style="365" customWidth="1"/>
    <col min="9499" max="9693" width="8.85546875" style="365"/>
    <col min="9694" max="9694" width="44.5703125" style="365" customWidth="1"/>
    <col min="9695" max="9695" width="14.28515625" style="365" bestFit="1" customWidth="1"/>
    <col min="9696" max="9696" width="1.7109375" style="365" customWidth="1"/>
    <col min="9697" max="9697" width="14.85546875" style="365" customWidth="1"/>
    <col min="9698" max="9698" width="0" style="365" hidden="1" customWidth="1"/>
    <col min="9699" max="9699" width="17.42578125" style="365" customWidth="1"/>
    <col min="9700" max="9700" width="0" style="365" hidden="1" customWidth="1"/>
    <col min="9701" max="9701" width="12.85546875" style="365" customWidth="1"/>
    <col min="9702" max="9702" width="0" style="365" hidden="1" customWidth="1"/>
    <col min="9703" max="9703" width="14.42578125" style="365" customWidth="1"/>
    <col min="9704" max="9704" width="0" style="365" hidden="1" customWidth="1"/>
    <col min="9705" max="9705" width="17.42578125" style="365" customWidth="1"/>
    <col min="9706" max="9706" width="0" style="365" hidden="1" customWidth="1"/>
    <col min="9707" max="9707" width="14" style="365" customWidth="1"/>
    <col min="9708" max="9708" width="14.28515625" style="365" bestFit="1" customWidth="1"/>
    <col min="9709" max="9709" width="0" style="365" hidden="1" customWidth="1"/>
    <col min="9710" max="9710" width="15.5703125" style="365" customWidth="1"/>
    <col min="9711" max="9711" width="44.5703125" style="365" customWidth="1"/>
    <col min="9712" max="9712" width="14.28515625" style="365" bestFit="1" customWidth="1"/>
    <col min="9713" max="9713" width="0" style="365" hidden="1" customWidth="1"/>
    <col min="9714" max="9714" width="18.140625" style="365" customWidth="1"/>
    <col min="9715" max="9715" width="0" style="365" hidden="1" customWidth="1"/>
    <col min="9716" max="9716" width="14" style="365" customWidth="1"/>
    <col min="9717" max="9717" width="0" style="365" hidden="1" customWidth="1"/>
    <col min="9718" max="9718" width="20.85546875" style="365" customWidth="1"/>
    <col min="9719" max="9719" width="0" style="365" hidden="1" customWidth="1"/>
    <col min="9720" max="9720" width="13.28515625" style="365" customWidth="1"/>
    <col min="9721" max="9721" width="0" style="365" hidden="1" customWidth="1"/>
    <col min="9722" max="9722" width="15" style="365" customWidth="1"/>
    <col min="9723" max="9723" width="0" style="365" hidden="1" customWidth="1"/>
    <col min="9724" max="9724" width="13.28515625" style="365" customWidth="1"/>
    <col min="9725" max="9725" width="0" style="365" hidden="1" customWidth="1"/>
    <col min="9726" max="9726" width="20.140625" style="365" customWidth="1"/>
    <col min="9727" max="9727" width="14.42578125" style="365" bestFit="1" customWidth="1"/>
    <col min="9728" max="9728" width="14" style="365" bestFit="1" customWidth="1"/>
    <col min="9729" max="9729" width="12.28515625" style="365" bestFit="1" customWidth="1"/>
    <col min="9730" max="9754" width="9.140625" style="365" customWidth="1"/>
    <col min="9755" max="9949" width="8.85546875" style="365"/>
    <col min="9950" max="9950" width="44.5703125" style="365" customWidth="1"/>
    <col min="9951" max="9951" width="14.28515625" style="365" bestFit="1" customWidth="1"/>
    <col min="9952" max="9952" width="1.7109375" style="365" customWidth="1"/>
    <col min="9953" max="9953" width="14.85546875" style="365" customWidth="1"/>
    <col min="9954" max="9954" width="0" style="365" hidden="1" customWidth="1"/>
    <col min="9955" max="9955" width="17.42578125" style="365" customWidth="1"/>
    <col min="9956" max="9956" width="0" style="365" hidden="1" customWidth="1"/>
    <col min="9957" max="9957" width="12.85546875" style="365" customWidth="1"/>
    <col min="9958" max="9958" width="0" style="365" hidden="1" customWidth="1"/>
    <col min="9959" max="9959" width="14.42578125" style="365" customWidth="1"/>
    <col min="9960" max="9960" width="0" style="365" hidden="1" customWidth="1"/>
    <col min="9961" max="9961" width="17.42578125" style="365" customWidth="1"/>
    <col min="9962" max="9962" width="0" style="365" hidden="1" customWidth="1"/>
    <col min="9963" max="9963" width="14" style="365" customWidth="1"/>
    <col min="9964" max="9964" width="14.28515625" style="365" bestFit="1" customWidth="1"/>
    <col min="9965" max="9965" width="0" style="365" hidden="1" customWidth="1"/>
    <col min="9966" max="9966" width="15.5703125" style="365" customWidth="1"/>
    <col min="9967" max="9967" width="44.5703125" style="365" customWidth="1"/>
    <col min="9968" max="9968" width="14.28515625" style="365" bestFit="1" customWidth="1"/>
    <col min="9969" max="9969" width="0" style="365" hidden="1" customWidth="1"/>
    <col min="9970" max="9970" width="18.140625" style="365" customWidth="1"/>
    <col min="9971" max="9971" width="0" style="365" hidden="1" customWidth="1"/>
    <col min="9972" max="9972" width="14" style="365" customWidth="1"/>
    <col min="9973" max="9973" width="0" style="365" hidden="1" customWidth="1"/>
    <col min="9974" max="9974" width="20.85546875" style="365" customWidth="1"/>
    <col min="9975" max="9975" width="0" style="365" hidden="1" customWidth="1"/>
    <col min="9976" max="9976" width="13.28515625" style="365" customWidth="1"/>
    <col min="9977" max="9977" width="0" style="365" hidden="1" customWidth="1"/>
    <col min="9978" max="9978" width="15" style="365" customWidth="1"/>
    <col min="9979" max="9979" width="0" style="365" hidden="1" customWidth="1"/>
    <col min="9980" max="9980" width="13.28515625" style="365" customWidth="1"/>
    <col min="9981" max="9981" width="0" style="365" hidden="1" customWidth="1"/>
    <col min="9982" max="9982" width="20.140625" style="365" customWidth="1"/>
    <col min="9983" max="9983" width="14.42578125" style="365" bestFit="1" customWidth="1"/>
    <col min="9984" max="9984" width="14" style="365" bestFit="1" customWidth="1"/>
    <col min="9985" max="9985" width="12.28515625" style="365" bestFit="1" customWidth="1"/>
    <col min="9986" max="10010" width="9.140625" style="365" customWidth="1"/>
    <col min="10011" max="10205" width="8.85546875" style="365"/>
    <col min="10206" max="10206" width="44.5703125" style="365" customWidth="1"/>
    <col min="10207" max="10207" width="14.28515625" style="365" bestFit="1" customWidth="1"/>
    <col min="10208" max="10208" width="1.7109375" style="365" customWidth="1"/>
    <col min="10209" max="10209" width="14.85546875" style="365" customWidth="1"/>
    <col min="10210" max="10210" width="0" style="365" hidden="1" customWidth="1"/>
    <col min="10211" max="10211" width="17.42578125" style="365" customWidth="1"/>
    <col min="10212" max="10212" width="0" style="365" hidden="1" customWidth="1"/>
    <col min="10213" max="10213" width="12.85546875" style="365" customWidth="1"/>
    <col min="10214" max="10214" width="0" style="365" hidden="1" customWidth="1"/>
    <col min="10215" max="10215" width="14.42578125" style="365" customWidth="1"/>
    <col min="10216" max="10216" width="0" style="365" hidden="1" customWidth="1"/>
    <col min="10217" max="10217" width="17.42578125" style="365" customWidth="1"/>
    <col min="10218" max="10218" width="0" style="365" hidden="1" customWidth="1"/>
    <col min="10219" max="10219" width="14" style="365" customWidth="1"/>
    <col min="10220" max="10220" width="14.28515625" style="365" bestFit="1" customWidth="1"/>
    <col min="10221" max="10221" width="0" style="365" hidden="1" customWidth="1"/>
    <col min="10222" max="10222" width="15.5703125" style="365" customWidth="1"/>
    <col min="10223" max="10223" width="44.5703125" style="365" customWidth="1"/>
    <col min="10224" max="10224" width="14.28515625" style="365" bestFit="1" customWidth="1"/>
    <col min="10225" max="10225" width="0" style="365" hidden="1" customWidth="1"/>
    <col min="10226" max="10226" width="18.140625" style="365" customWidth="1"/>
    <col min="10227" max="10227" width="0" style="365" hidden="1" customWidth="1"/>
    <col min="10228" max="10228" width="14" style="365" customWidth="1"/>
    <col min="10229" max="10229" width="0" style="365" hidden="1" customWidth="1"/>
    <col min="10230" max="10230" width="20.85546875" style="365" customWidth="1"/>
    <col min="10231" max="10231" width="0" style="365" hidden="1" customWidth="1"/>
    <col min="10232" max="10232" width="13.28515625" style="365" customWidth="1"/>
    <col min="10233" max="10233" width="0" style="365" hidden="1" customWidth="1"/>
    <col min="10234" max="10234" width="15" style="365" customWidth="1"/>
    <col min="10235" max="10235" width="0" style="365" hidden="1" customWidth="1"/>
    <col min="10236" max="10236" width="13.28515625" style="365" customWidth="1"/>
    <col min="10237" max="10237" width="0" style="365" hidden="1" customWidth="1"/>
    <col min="10238" max="10238" width="20.140625" style="365" customWidth="1"/>
    <col min="10239" max="10239" width="14.42578125" style="365" bestFit="1" customWidth="1"/>
    <col min="10240" max="10240" width="14" style="365" bestFit="1" customWidth="1"/>
    <col min="10241" max="10241" width="12.28515625" style="365" bestFit="1" customWidth="1"/>
    <col min="10242" max="10266" width="9.140625" style="365" customWidth="1"/>
    <col min="10267" max="10461" width="8.85546875" style="365"/>
    <col min="10462" max="10462" width="44.5703125" style="365" customWidth="1"/>
    <col min="10463" max="10463" width="14.28515625" style="365" bestFit="1" customWidth="1"/>
    <col min="10464" max="10464" width="1.7109375" style="365" customWidth="1"/>
    <col min="10465" max="10465" width="14.85546875" style="365" customWidth="1"/>
    <col min="10466" max="10466" width="0" style="365" hidden="1" customWidth="1"/>
    <col min="10467" max="10467" width="17.42578125" style="365" customWidth="1"/>
    <col min="10468" max="10468" width="0" style="365" hidden="1" customWidth="1"/>
    <col min="10469" max="10469" width="12.85546875" style="365" customWidth="1"/>
    <col min="10470" max="10470" width="0" style="365" hidden="1" customWidth="1"/>
    <col min="10471" max="10471" width="14.42578125" style="365" customWidth="1"/>
    <col min="10472" max="10472" width="0" style="365" hidden="1" customWidth="1"/>
    <col min="10473" max="10473" width="17.42578125" style="365" customWidth="1"/>
    <col min="10474" max="10474" width="0" style="365" hidden="1" customWidth="1"/>
    <col min="10475" max="10475" width="14" style="365" customWidth="1"/>
    <col min="10476" max="10476" width="14.28515625" style="365" bestFit="1" customWidth="1"/>
    <col min="10477" max="10477" width="0" style="365" hidden="1" customWidth="1"/>
    <col min="10478" max="10478" width="15.5703125" style="365" customWidth="1"/>
    <col min="10479" max="10479" width="44.5703125" style="365" customWidth="1"/>
    <col min="10480" max="10480" width="14.28515625" style="365" bestFit="1" customWidth="1"/>
    <col min="10481" max="10481" width="0" style="365" hidden="1" customWidth="1"/>
    <col min="10482" max="10482" width="18.140625" style="365" customWidth="1"/>
    <col min="10483" max="10483" width="0" style="365" hidden="1" customWidth="1"/>
    <col min="10484" max="10484" width="14" style="365" customWidth="1"/>
    <col min="10485" max="10485" width="0" style="365" hidden="1" customWidth="1"/>
    <col min="10486" max="10486" width="20.85546875" style="365" customWidth="1"/>
    <col min="10487" max="10487" width="0" style="365" hidden="1" customWidth="1"/>
    <col min="10488" max="10488" width="13.28515625" style="365" customWidth="1"/>
    <col min="10489" max="10489" width="0" style="365" hidden="1" customWidth="1"/>
    <col min="10490" max="10490" width="15" style="365" customWidth="1"/>
    <col min="10491" max="10491" width="0" style="365" hidden="1" customWidth="1"/>
    <col min="10492" max="10492" width="13.28515625" style="365" customWidth="1"/>
    <col min="10493" max="10493" width="0" style="365" hidden="1" customWidth="1"/>
    <col min="10494" max="10494" width="20.140625" style="365" customWidth="1"/>
    <col min="10495" max="10495" width="14.42578125" style="365" bestFit="1" customWidth="1"/>
    <col min="10496" max="10496" width="14" style="365" bestFit="1" customWidth="1"/>
    <col min="10497" max="10497" width="12.28515625" style="365" bestFit="1" customWidth="1"/>
    <col min="10498" max="10522" width="9.140625" style="365" customWidth="1"/>
    <col min="10523" max="10717" width="8.85546875" style="365"/>
    <col min="10718" max="10718" width="44.5703125" style="365" customWidth="1"/>
    <col min="10719" max="10719" width="14.28515625" style="365" bestFit="1" customWidth="1"/>
    <col min="10720" max="10720" width="1.7109375" style="365" customWidth="1"/>
    <col min="10721" max="10721" width="14.85546875" style="365" customWidth="1"/>
    <col min="10722" max="10722" width="0" style="365" hidden="1" customWidth="1"/>
    <col min="10723" max="10723" width="17.42578125" style="365" customWidth="1"/>
    <col min="10724" max="10724" width="0" style="365" hidden="1" customWidth="1"/>
    <col min="10725" max="10725" width="12.85546875" style="365" customWidth="1"/>
    <col min="10726" max="10726" width="0" style="365" hidden="1" customWidth="1"/>
    <col min="10727" max="10727" width="14.42578125" style="365" customWidth="1"/>
    <col min="10728" max="10728" width="0" style="365" hidden="1" customWidth="1"/>
    <col min="10729" max="10729" width="17.42578125" style="365" customWidth="1"/>
    <col min="10730" max="10730" width="0" style="365" hidden="1" customWidth="1"/>
    <col min="10731" max="10731" width="14" style="365" customWidth="1"/>
    <col min="10732" max="10732" width="14.28515625" style="365" bestFit="1" customWidth="1"/>
    <col min="10733" max="10733" width="0" style="365" hidden="1" customWidth="1"/>
    <col min="10734" max="10734" width="15.5703125" style="365" customWidth="1"/>
    <col min="10735" max="10735" width="44.5703125" style="365" customWidth="1"/>
    <col min="10736" max="10736" width="14.28515625" style="365" bestFit="1" customWidth="1"/>
    <col min="10737" max="10737" width="0" style="365" hidden="1" customWidth="1"/>
    <col min="10738" max="10738" width="18.140625" style="365" customWidth="1"/>
    <col min="10739" max="10739" width="0" style="365" hidden="1" customWidth="1"/>
    <col min="10740" max="10740" width="14" style="365" customWidth="1"/>
    <col min="10741" max="10741" width="0" style="365" hidden="1" customWidth="1"/>
    <col min="10742" max="10742" width="20.85546875" style="365" customWidth="1"/>
    <col min="10743" max="10743" width="0" style="365" hidden="1" customWidth="1"/>
    <col min="10744" max="10744" width="13.28515625" style="365" customWidth="1"/>
    <col min="10745" max="10745" width="0" style="365" hidden="1" customWidth="1"/>
    <col min="10746" max="10746" width="15" style="365" customWidth="1"/>
    <col min="10747" max="10747" width="0" style="365" hidden="1" customWidth="1"/>
    <col min="10748" max="10748" width="13.28515625" style="365" customWidth="1"/>
    <col min="10749" max="10749" width="0" style="365" hidden="1" customWidth="1"/>
    <col min="10750" max="10750" width="20.140625" style="365" customWidth="1"/>
    <col min="10751" max="10751" width="14.42578125" style="365" bestFit="1" customWidth="1"/>
    <col min="10752" max="10752" width="14" style="365" bestFit="1" customWidth="1"/>
    <col min="10753" max="10753" width="12.28515625" style="365" bestFit="1" customWidth="1"/>
    <col min="10754" max="10778" width="9.140625" style="365" customWidth="1"/>
    <col min="10779" max="10973" width="8.85546875" style="365"/>
    <col min="10974" max="10974" width="44.5703125" style="365" customWidth="1"/>
    <col min="10975" max="10975" width="14.28515625" style="365" bestFit="1" customWidth="1"/>
    <col min="10976" max="10976" width="1.7109375" style="365" customWidth="1"/>
    <col min="10977" max="10977" width="14.85546875" style="365" customWidth="1"/>
    <col min="10978" max="10978" width="0" style="365" hidden="1" customWidth="1"/>
    <col min="10979" max="10979" width="17.42578125" style="365" customWidth="1"/>
    <col min="10980" max="10980" width="0" style="365" hidden="1" customWidth="1"/>
    <col min="10981" max="10981" width="12.85546875" style="365" customWidth="1"/>
    <col min="10982" max="10982" width="0" style="365" hidden="1" customWidth="1"/>
    <col min="10983" max="10983" width="14.42578125" style="365" customWidth="1"/>
    <col min="10984" max="10984" width="0" style="365" hidden="1" customWidth="1"/>
    <col min="10985" max="10985" width="17.42578125" style="365" customWidth="1"/>
    <col min="10986" max="10986" width="0" style="365" hidden="1" customWidth="1"/>
    <col min="10987" max="10987" width="14" style="365" customWidth="1"/>
    <col min="10988" max="10988" width="14.28515625" style="365" bestFit="1" customWidth="1"/>
    <col min="10989" max="10989" width="0" style="365" hidden="1" customWidth="1"/>
    <col min="10990" max="10990" width="15.5703125" style="365" customWidth="1"/>
    <col min="10991" max="10991" width="44.5703125" style="365" customWidth="1"/>
    <col min="10992" max="10992" width="14.28515625" style="365" bestFit="1" customWidth="1"/>
    <col min="10993" max="10993" width="0" style="365" hidden="1" customWidth="1"/>
    <col min="10994" max="10994" width="18.140625" style="365" customWidth="1"/>
    <col min="10995" max="10995" width="0" style="365" hidden="1" customWidth="1"/>
    <col min="10996" max="10996" width="14" style="365" customWidth="1"/>
    <col min="10997" max="10997" width="0" style="365" hidden="1" customWidth="1"/>
    <col min="10998" max="10998" width="20.85546875" style="365" customWidth="1"/>
    <col min="10999" max="10999" width="0" style="365" hidden="1" customWidth="1"/>
    <col min="11000" max="11000" width="13.28515625" style="365" customWidth="1"/>
    <col min="11001" max="11001" width="0" style="365" hidden="1" customWidth="1"/>
    <col min="11002" max="11002" width="15" style="365" customWidth="1"/>
    <col min="11003" max="11003" width="0" style="365" hidden="1" customWidth="1"/>
    <col min="11004" max="11004" width="13.28515625" style="365" customWidth="1"/>
    <col min="11005" max="11005" width="0" style="365" hidden="1" customWidth="1"/>
    <col min="11006" max="11006" width="20.140625" style="365" customWidth="1"/>
    <col min="11007" max="11007" width="14.42578125" style="365" bestFit="1" customWidth="1"/>
    <col min="11008" max="11008" width="14" style="365" bestFit="1" customWidth="1"/>
    <col min="11009" max="11009" width="12.28515625" style="365" bestFit="1" customWidth="1"/>
    <col min="11010" max="11034" width="9.140625" style="365" customWidth="1"/>
    <col min="11035" max="11229" width="8.85546875" style="365"/>
    <col min="11230" max="11230" width="44.5703125" style="365" customWidth="1"/>
    <col min="11231" max="11231" width="14.28515625" style="365" bestFit="1" customWidth="1"/>
    <col min="11232" max="11232" width="1.7109375" style="365" customWidth="1"/>
    <col min="11233" max="11233" width="14.85546875" style="365" customWidth="1"/>
    <col min="11234" max="11234" width="0" style="365" hidden="1" customWidth="1"/>
    <col min="11235" max="11235" width="17.42578125" style="365" customWidth="1"/>
    <col min="11236" max="11236" width="0" style="365" hidden="1" customWidth="1"/>
    <col min="11237" max="11237" width="12.85546875" style="365" customWidth="1"/>
    <col min="11238" max="11238" width="0" style="365" hidden="1" customWidth="1"/>
    <col min="11239" max="11239" width="14.42578125" style="365" customWidth="1"/>
    <col min="11240" max="11240" width="0" style="365" hidden="1" customWidth="1"/>
    <col min="11241" max="11241" width="17.42578125" style="365" customWidth="1"/>
    <col min="11242" max="11242" width="0" style="365" hidden="1" customWidth="1"/>
    <col min="11243" max="11243" width="14" style="365" customWidth="1"/>
    <col min="11244" max="11244" width="14.28515625" style="365" bestFit="1" customWidth="1"/>
    <col min="11245" max="11245" width="0" style="365" hidden="1" customWidth="1"/>
    <col min="11246" max="11246" width="15.5703125" style="365" customWidth="1"/>
    <col min="11247" max="11247" width="44.5703125" style="365" customWidth="1"/>
    <col min="11248" max="11248" width="14.28515625" style="365" bestFit="1" customWidth="1"/>
    <col min="11249" max="11249" width="0" style="365" hidden="1" customWidth="1"/>
    <col min="11250" max="11250" width="18.140625" style="365" customWidth="1"/>
    <col min="11251" max="11251" width="0" style="365" hidden="1" customWidth="1"/>
    <col min="11252" max="11252" width="14" style="365" customWidth="1"/>
    <col min="11253" max="11253" width="0" style="365" hidden="1" customWidth="1"/>
    <col min="11254" max="11254" width="20.85546875" style="365" customWidth="1"/>
    <col min="11255" max="11255" width="0" style="365" hidden="1" customWidth="1"/>
    <col min="11256" max="11256" width="13.28515625" style="365" customWidth="1"/>
    <col min="11257" max="11257" width="0" style="365" hidden="1" customWidth="1"/>
    <col min="11258" max="11258" width="15" style="365" customWidth="1"/>
    <col min="11259" max="11259" width="0" style="365" hidden="1" customWidth="1"/>
    <col min="11260" max="11260" width="13.28515625" style="365" customWidth="1"/>
    <col min="11261" max="11261" width="0" style="365" hidden="1" customWidth="1"/>
    <col min="11262" max="11262" width="20.140625" style="365" customWidth="1"/>
    <col min="11263" max="11263" width="14.42578125" style="365" bestFit="1" customWidth="1"/>
    <col min="11264" max="11264" width="14" style="365" bestFit="1" customWidth="1"/>
    <col min="11265" max="11265" width="12.28515625" style="365" bestFit="1" customWidth="1"/>
    <col min="11266" max="11290" width="9.140625" style="365" customWidth="1"/>
    <col min="11291" max="11485" width="8.85546875" style="365"/>
    <col min="11486" max="11486" width="44.5703125" style="365" customWidth="1"/>
    <col min="11487" max="11487" width="14.28515625" style="365" bestFit="1" customWidth="1"/>
    <col min="11488" max="11488" width="1.7109375" style="365" customWidth="1"/>
    <col min="11489" max="11489" width="14.85546875" style="365" customWidth="1"/>
    <col min="11490" max="11490" width="0" style="365" hidden="1" customWidth="1"/>
    <col min="11491" max="11491" width="17.42578125" style="365" customWidth="1"/>
    <col min="11492" max="11492" width="0" style="365" hidden="1" customWidth="1"/>
    <col min="11493" max="11493" width="12.85546875" style="365" customWidth="1"/>
    <col min="11494" max="11494" width="0" style="365" hidden="1" customWidth="1"/>
    <col min="11495" max="11495" width="14.42578125" style="365" customWidth="1"/>
    <col min="11496" max="11496" width="0" style="365" hidden="1" customWidth="1"/>
    <col min="11497" max="11497" width="17.42578125" style="365" customWidth="1"/>
    <col min="11498" max="11498" width="0" style="365" hidden="1" customWidth="1"/>
    <col min="11499" max="11499" width="14" style="365" customWidth="1"/>
    <col min="11500" max="11500" width="14.28515625" style="365" bestFit="1" customWidth="1"/>
    <col min="11501" max="11501" width="0" style="365" hidden="1" customWidth="1"/>
    <col min="11502" max="11502" width="15.5703125" style="365" customWidth="1"/>
    <col min="11503" max="11503" width="44.5703125" style="365" customWidth="1"/>
    <col min="11504" max="11504" width="14.28515625" style="365" bestFit="1" customWidth="1"/>
    <col min="11505" max="11505" width="0" style="365" hidden="1" customWidth="1"/>
    <col min="11506" max="11506" width="18.140625" style="365" customWidth="1"/>
    <col min="11507" max="11507" width="0" style="365" hidden="1" customWidth="1"/>
    <col min="11508" max="11508" width="14" style="365" customWidth="1"/>
    <col min="11509" max="11509" width="0" style="365" hidden="1" customWidth="1"/>
    <col min="11510" max="11510" width="20.85546875" style="365" customWidth="1"/>
    <col min="11511" max="11511" width="0" style="365" hidden="1" customWidth="1"/>
    <col min="11512" max="11512" width="13.28515625" style="365" customWidth="1"/>
    <col min="11513" max="11513" width="0" style="365" hidden="1" customWidth="1"/>
    <col min="11514" max="11514" width="15" style="365" customWidth="1"/>
    <col min="11515" max="11515" width="0" style="365" hidden="1" customWidth="1"/>
    <col min="11516" max="11516" width="13.28515625" style="365" customWidth="1"/>
    <col min="11517" max="11517" width="0" style="365" hidden="1" customWidth="1"/>
    <col min="11518" max="11518" width="20.140625" style="365" customWidth="1"/>
    <col min="11519" max="11519" width="14.42578125" style="365" bestFit="1" customWidth="1"/>
    <col min="11520" max="11520" width="14" style="365" bestFit="1" customWidth="1"/>
    <col min="11521" max="11521" width="12.28515625" style="365" bestFit="1" customWidth="1"/>
    <col min="11522" max="11546" width="9.140625" style="365" customWidth="1"/>
    <col min="11547" max="11741" width="8.85546875" style="365"/>
    <col min="11742" max="11742" width="44.5703125" style="365" customWidth="1"/>
    <col min="11743" max="11743" width="14.28515625" style="365" bestFit="1" customWidth="1"/>
    <col min="11744" max="11744" width="1.7109375" style="365" customWidth="1"/>
    <col min="11745" max="11745" width="14.85546875" style="365" customWidth="1"/>
    <col min="11746" max="11746" width="0" style="365" hidden="1" customWidth="1"/>
    <col min="11747" max="11747" width="17.42578125" style="365" customWidth="1"/>
    <col min="11748" max="11748" width="0" style="365" hidden="1" customWidth="1"/>
    <col min="11749" max="11749" width="12.85546875" style="365" customWidth="1"/>
    <col min="11750" max="11750" width="0" style="365" hidden="1" customWidth="1"/>
    <col min="11751" max="11751" width="14.42578125" style="365" customWidth="1"/>
    <col min="11752" max="11752" width="0" style="365" hidden="1" customWidth="1"/>
    <col min="11753" max="11753" width="17.42578125" style="365" customWidth="1"/>
    <col min="11754" max="11754" width="0" style="365" hidden="1" customWidth="1"/>
    <col min="11755" max="11755" width="14" style="365" customWidth="1"/>
    <col min="11756" max="11756" width="14.28515625" style="365" bestFit="1" customWidth="1"/>
    <col min="11757" max="11757" width="0" style="365" hidden="1" customWidth="1"/>
    <col min="11758" max="11758" width="15.5703125" style="365" customWidth="1"/>
    <col min="11759" max="11759" width="44.5703125" style="365" customWidth="1"/>
    <col min="11760" max="11760" width="14.28515625" style="365" bestFit="1" customWidth="1"/>
    <col min="11761" max="11761" width="0" style="365" hidden="1" customWidth="1"/>
    <col min="11762" max="11762" width="18.140625" style="365" customWidth="1"/>
    <col min="11763" max="11763" width="0" style="365" hidden="1" customWidth="1"/>
    <col min="11764" max="11764" width="14" style="365" customWidth="1"/>
    <col min="11765" max="11765" width="0" style="365" hidden="1" customWidth="1"/>
    <col min="11766" max="11766" width="20.85546875" style="365" customWidth="1"/>
    <col min="11767" max="11767" width="0" style="365" hidden="1" customWidth="1"/>
    <col min="11768" max="11768" width="13.28515625" style="365" customWidth="1"/>
    <col min="11769" max="11769" width="0" style="365" hidden="1" customWidth="1"/>
    <col min="11770" max="11770" width="15" style="365" customWidth="1"/>
    <col min="11771" max="11771" width="0" style="365" hidden="1" customWidth="1"/>
    <col min="11772" max="11772" width="13.28515625" style="365" customWidth="1"/>
    <col min="11773" max="11773" width="0" style="365" hidden="1" customWidth="1"/>
    <col min="11774" max="11774" width="20.140625" style="365" customWidth="1"/>
    <col min="11775" max="11775" width="14.42578125" style="365" bestFit="1" customWidth="1"/>
    <col min="11776" max="11776" width="14" style="365" bestFit="1" customWidth="1"/>
    <col min="11777" max="11777" width="12.28515625" style="365" bestFit="1" customWidth="1"/>
    <col min="11778" max="11802" width="9.140625" style="365" customWidth="1"/>
    <col min="11803" max="11997" width="8.85546875" style="365"/>
    <col min="11998" max="11998" width="44.5703125" style="365" customWidth="1"/>
    <col min="11999" max="11999" width="14.28515625" style="365" bestFit="1" customWidth="1"/>
    <col min="12000" max="12000" width="1.7109375" style="365" customWidth="1"/>
    <col min="12001" max="12001" width="14.85546875" style="365" customWidth="1"/>
    <col min="12002" max="12002" width="0" style="365" hidden="1" customWidth="1"/>
    <col min="12003" max="12003" width="17.42578125" style="365" customWidth="1"/>
    <col min="12004" max="12004" width="0" style="365" hidden="1" customWidth="1"/>
    <col min="12005" max="12005" width="12.85546875" style="365" customWidth="1"/>
    <col min="12006" max="12006" width="0" style="365" hidden="1" customWidth="1"/>
    <col min="12007" max="12007" width="14.42578125" style="365" customWidth="1"/>
    <col min="12008" max="12008" width="0" style="365" hidden="1" customWidth="1"/>
    <col min="12009" max="12009" width="17.42578125" style="365" customWidth="1"/>
    <col min="12010" max="12010" width="0" style="365" hidden="1" customWidth="1"/>
    <col min="12011" max="12011" width="14" style="365" customWidth="1"/>
    <col min="12012" max="12012" width="14.28515625" style="365" bestFit="1" customWidth="1"/>
    <col min="12013" max="12013" width="0" style="365" hidden="1" customWidth="1"/>
    <col min="12014" max="12014" width="15.5703125" style="365" customWidth="1"/>
    <col min="12015" max="12015" width="44.5703125" style="365" customWidth="1"/>
    <col min="12016" max="12016" width="14.28515625" style="365" bestFit="1" customWidth="1"/>
    <col min="12017" max="12017" width="0" style="365" hidden="1" customWidth="1"/>
    <col min="12018" max="12018" width="18.140625" style="365" customWidth="1"/>
    <col min="12019" max="12019" width="0" style="365" hidden="1" customWidth="1"/>
    <col min="12020" max="12020" width="14" style="365" customWidth="1"/>
    <col min="12021" max="12021" width="0" style="365" hidden="1" customWidth="1"/>
    <col min="12022" max="12022" width="20.85546875" style="365" customWidth="1"/>
    <col min="12023" max="12023" width="0" style="365" hidden="1" customWidth="1"/>
    <col min="12024" max="12024" width="13.28515625" style="365" customWidth="1"/>
    <col min="12025" max="12025" width="0" style="365" hidden="1" customWidth="1"/>
    <col min="12026" max="12026" width="15" style="365" customWidth="1"/>
    <col min="12027" max="12027" width="0" style="365" hidden="1" customWidth="1"/>
    <col min="12028" max="12028" width="13.28515625" style="365" customWidth="1"/>
    <col min="12029" max="12029" width="0" style="365" hidden="1" customWidth="1"/>
    <col min="12030" max="12030" width="20.140625" style="365" customWidth="1"/>
    <col min="12031" max="12031" width="14.42578125" style="365" bestFit="1" customWidth="1"/>
    <col min="12032" max="12032" width="14" style="365" bestFit="1" customWidth="1"/>
    <col min="12033" max="12033" width="12.28515625" style="365" bestFit="1" customWidth="1"/>
    <col min="12034" max="12058" width="9.140625" style="365" customWidth="1"/>
    <col min="12059" max="12253" width="8.85546875" style="365"/>
    <col min="12254" max="12254" width="44.5703125" style="365" customWidth="1"/>
    <col min="12255" max="12255" width="14.28515625" style="365" bestFit="1" customWidth="1"/>
    <col min="12256" max="12256" width="1.7109375" style="365" customWidth="1"/>
    <col min="12257" max="12257" width="14.85546875" style="365" customWidth="1"/>
    <col min="12258" max="12258" width="0" style="365" hidden="1" customWidth="1"/>
    <col min="12259" max="12259" width="17.42578125" style="365" customWidth="1"/>
    <col min="12260" max="12260" width="0" style="365" hidden="1" customWidth="1"/>
    <col min="12261" max="12261" width="12.85546875" style="365" customWidth="1"/>
    <col min="12262" max="12262" width="0" style="365" hidden="1" customWidth="1"/>
    <col min="12263" max="12263" width="14.42578125" style="365" customWidth="1"/>
    <col min="12264" max="12264" width="0" style="365" hidden="1" customWidth="1"/>
    <col min="12265" max="12265" width="17.42578125" style="365" customWidth="1"/>
    <col min="12266" max="12266" width="0" style="365" hidden="1" customWidth="1"/>
    <col min="12267" max="12267" width="14" style="365" customWidth="1"/>
    <col min="12268" max="12268" width="14.28515625" style="365" bestFit="1" customWidth="1"/>
    <col min="12269" max="12269" width="0" style="365" hidden="1" customWidth="1"/>
    <col min="12270" max="12270" width="15.5703125" style="365" customWidth="1"/>
    <col min="12271" max="12271" width="44.5703125" style="365" customWidth="1"/>
    <col min="12272" max="12272" width="14.28515625" style="365" bestFit="1" customWidth="1"/>
    <col min="12273" max="12273" width="0" style="365" hidden="1" customWidth="1"/>
    <col min="12274" max="12274" width="18.140625" style="365" customWidth="1"/>
    <col min="12275" max="12275" width="0" style="365" hidden="1" customWidth="1"/>
    <col min="12276" max="12276" width="14" style="365" customWidth="1"/>
    <col min="12277" max="12277" width="0" style="365" hidden="1" customWidth="1"/>
    <col min="12278" max="12278" width="20.85546875" style="365" customWidth="1"/>
    <col min="12279" max="12279" width="0" style="365" hidden="1" customWidth="1"/>
    <col min="12280" max="12280" width="13.28515625" style="365" customWidth="1"/>
    <col min="12281" max="12281" width="0" style="365" hidden="1" customWidth="1"/>
    <col min="12282" max="12282" width="15" style="365" customWidth="1"/>
    <col min="12283" max="12283" width="0" style="365" hidden="1" customWidth="1"/>
    <col min="12284" max="12284" width="13.28515625" style="365" customWidth="1"/>
    <col min="12285" max="12285" width="0" style="365" hidden="1" customWidth="1"/>
    <col min="12286" max="12286" width="20.140625" style="365" customWidth="1"/>
    <col min="12287" max="12287" width="14.42578125" style="365" bestFit="1" customWidth="1"/>
    <col min="12288" max="12288" width="14" style="365" bestFit="1" customWidth="1"/>
    <col min="12289" max="12289" width="12.28515625" style="365" bestFit="1" customWidth="1"/>
    <col min="12290" max="12314" width="9.140625" style="365" customWidth="1"/>
    <col min="12315" max="12509" width="8.85546875" style="365"/>
    <col min="12510" max="12510" width="44.5703125" style="365" customWidth="1"/>
    <col min="12511" max="12511" width="14.28515625" style="365" bestFit="1" customWidth="1"/>
    <col min="12512" max="12512" width="1.7109375" style="365" customWidth="1"/>
    <col min="12513" max="12513" width="14.85546875" style="365" customWidth="1"/>
    <col min="12514" max="12514" width="0" style="365" hidden="1" customWidth="1"/>
    <col min="12515" max="12515" width="17.42578125" style="365" customWidth="1"/>
    <col min="12516" max="12516" width="0" style="365" hidden="1" customWidth="1"/>
    <col min="12517" max="12517" width="12.85546875" style="365" customWidth="1"/>
    <col min="12518" max="12518" width="0" style="365" hidden="1" customWidth="1"/>
    <col min="12519" max="12519" width="14.42578125" style="365" customWidth="1"/>
    <col min="12520" max="12520" width="0" style="365" hidden="1" customWidth="1"/>
    <col min="12521" max="12521" width="17.42578125" style="365" customWidth="1"/>
    <col min="12522" max="12522" width="0" style="365" hidden="1" customWidth="1"/>
    <col min="12523" max="12523" width="14" style="365" customWidth="1"/>
    <col min="12524" max="12524" width="14.28515625" style="365" bestFit="1" customWidth="1"/>
    <col min="12525" max="12525" width="0" style="365" hidden="1" customWidth="1"/>
    <col min="12526" max="12526" width="15.5703125" style="365" customWidth="1"/>
    <col min="12527" max="12527" width="44.5703125" style="365" customWidth="1"/>
    <col min="12528" max="12528" width="14.28515625" style="365" bestFit="1" customWidth="1"/>
    <col min="12529" max="12529" width="0" style="365" hidden="1" customWidth="1"/>
    <col min="12530" max="12530" width="18.140625" style="365" customWidth="1"/>
    <col min="12531" max="12531" width="0" style="365" hidden="1" customWidth="1"/>
    <col min="12532" max="12532" width="14" style="365" customWidth="1"/>
    <col min="12533" max="12533" width="0" style="365" hidden="1" customWidth="1"/>
    <col min="12534" max="12534" width="20.85546875" style="365" customWidth="1"/>
    <col min="12535" max="12535" width="0" style="365" hidden="1" customWidth="1"/>
    <col min="12536" max="12536" width="13.28515625" style="365" customWidth="1"/>
    <col min="12537" max="12537" width="0" style="365" hidden="1" customWidth="1"/>
    <col min="12538" max="12538" width="15" style="365" customWidth="1"/>
    <col min="12539" max="12539" width="0" style="365" hidden="1" customWidth="1"/>
    <col min="12540" max="12540" width="13.28515625" style="365" customWidth="1"/>
    <col min="12541" max="12541" width="0" style="365" hidden="1" customWidth="1"/>
    <col min="12542" max="12542" width="20.140625" style="365" customWidth="1"/>
    <col min="12543" max="12543" width="14.42578125" style="365" bestFit="1" customWidth="1"/>
    <col min="12544" max="12544" width="14" style="365" bestFit="1" customWidth="1"/>
    <col min="12545" max="12545" width="12.28515625" style="365" bestFit="1" customWidth="1"/>
    <col min="12546" max="12570" width="9.140625" style="365" customWidth="1"/>
    <col min="12571" max="12765" width="8.85546875" style="365"/>
    <col min="12766" max="12766" width="44.5703125" style="365" customWidth="1"/>
    <col min="12767" max="12767" width="14.28515625" style="365" bestFit="1" customWidth="1"/>
    <col min="12768" max="12768" width="1.7109375" style="365" customWidth="1"/>
    <col min="12769" max="12769" width="14.85546875" style="365" customWidth="1"/>
    <col min="12770" max="12770" width="0" style="365" hidden="1" customWidth="1"/>
    <col min="12771" max="12771" width="17.42578125" style="365" customWidth="1"/>
    <col min="12772" max="12772" width="0" style="365" hidden="1" customWidth="1"/>
    <col min="12773" max="12773" width="12.85546875" style="365" customWidth="1"/>
    <col min="12774" max="12774" width="0" style="365" hidden="1" customWidth="1"/>
    <col min="12775" max="12775" width="14.42578125" style="365" customWidth="1"/>
    <col min="12776" max="12776" width="0" style="365" hidden="1" customWidth="1"/>
    <col min="12777" max="12777" width="17.42578125" style="365" customWidth="1"/>
    <col min="12778" max="12778" width="0" style="365" hidden="1" customWidth="1"/>
    <col min="12779" max="12779" width="14" style="365" customWidth="1"/>
    <col min="12780" max="12780" width="14.28515625" style="365" bestFit="1" customWidth="1"/>
    <col min="12781" max="12781" width="0" style="365" hidden="1" customWidth="1"/>
    <col min="12782" max="12782" width="15.5703125" style="365" customWidth="1"/>
    <col min="12783" max="12783" width="44.5703125" style="365" customWidth="1"/>
    <col min="12784" max="12784" width="14.28515625" style="365" bestFit="1" customWidth="1"/>
    <col min="12785" max="12785" width="0" style="365" hidden="1" customWidth="1"/>
    <col min="12786" max="12786" width="18.140625" style="365" customWidth="1"/>
    <col min="12787" max="12787" width="0" style="365" hidden="1" customWidth="1"/>
    <col min="12788" max="12788" width="14" style="365" customWidth="1"/>
    <col min="12789" max="12789" width="0" style="365" hidden="1" customWidth="1"/>
    <col min="12790" max="12790" width="20.85546875" style="365" customWidth="1"/>
    <col min="12791" max="12791" width="0" style="365" hidden="1" customWidth="1"/>
    <col min="12792" max="12792" width="13.28515625" style="365" customWidth="1"/>
    <col min="12793" max="12793" width="0" style="365" hidden="1" customWidth="1"/>
    <col min="12794" max="12794" width="15" style="365" customWidth="1"/>
    <col min="12795" max="12795" width="0" style="365" hidden="1" customWidth="1"/>
    <col min="12796" max="12796" width="13.28515625" style="365" customWidth="1"/>
    <col min="12797" max="12797" width="0" style="365" hidden="1" customWidth="1"/>
    <col min="12798" max="12798" width="20.140625" style="365" customWidth="1"/>
    <col min="12799" max="12799" width="14.42578125" style="365" bestFit="1" customWidth="1"/>
    <col min="12800" max="12800" width="14" style="365" bestFit="1" customWidth="1"/>
    <col min="12801" max="12801" width="12.28515625" style="365" bestFit="1" customWidth="1"/>
    <col min="12802" max="12826" width="9.140625" style="365" customWidth="1"/>
    <col min="12827" max="13021" width="8.85546875" style="365"/>
    <col min="13022" max="13022" width="44.5703125" style="365" customWidth="1"/>
    <col min="13023" max="13023" width="14.28515625" style="365" bestFit="1" customWidth="1"/>
    <col min="13024" max="13024" width="1.7109375" style="365" customWidth="1"/>
    <col min="13025" max="13025" width="14.85546875" style="365" customWidth="1"/>
    <col min="13026" max="13026" width="0" style="365" hidden="1" customWidth="1"/>
    <col min="13027" max="13027" width="17.42578125" style="365" customWidth="1"/>
    <col min="13028" max="13028" width="0" style="365" hidden="1" customWidth="1"/>
    <col min="13029" max="13029" width="12.85546875" style="365" customWidth="1"/>
    <col min="13030" max="13030" width="0" style="365" hidden="1" customWidth="1"/>
    <col min="13031" max="13031" width="14.42578125" style="365" customWidth="1"/>
    <col min="13032" max="13032" width="0" style="365" hidden="1" customWidth="1"/>
    <col min="13033" max="13033" width="17.42578125" style="365" customWidth="1"/>
    <col min="13034" max="13034" width="0" style="365" hidden="1" customWidth="1"/>
    <col min="13035" max="13035" width="14" style="365" customWidth="1"/>
    <col min="13036" max="13036" width="14.28515625" style="365" bestFit="1" customWidth="1"/>
    <col min="13037" max="13037" width="0" style="365" hidden="1" customWidth="1"/>
    <col min="13038" max="13038" width="15.5703125" style="365" customWidth="1"/>
    <col min="13039" max="13039" width="44.5703125" style="365" customWidth="1"/>
    <col min="13040" max="13040" width="14.28515625" style="365" bestFit="1" customWidth="1"/>
    <col min="13041" max="13041" width="0" style="365" hidden="1" customWidth="1"/>
    <col min="13042" max="13042" width="18.140625" style="365" customWidth="1"/>
    <col min="13043" max="13043" width="0" style="365" hidden="1" customWidth="1"/>
    <col min="13044" max="13044" width="14" style="365" customWidth="1"/>
    <col min="13045" max="13045" width="0" style="365" hidden="1" customWidth="1"/>
    <col min="13046" max="13046" width="20.85546875" style="365" customWidth="1"/>
    <col min="13047" max="13047" width="0" style="365" hidden="1" customWidth="1"/>
    <col min="13048" max="13048" width="13.28515625" style="365" customWidth="1"/>
    <col min="13049" max="13049" width="0" style="365" hidden="1" customWidth="1"/>
    <col min="13050" max="13050" width="15" style="365" customWidth="1"/>
    <col min="13051" max="13051" width="0" style="365" hidden="1" customWidth="1"/>
    <col min="13052" max="13052" width="13.28515625" style="365" customWidth="1"/>
    <col min="13053" max="13053" width="0" style="365" hidden="1" customWidth="1"/>
    <col min="13054" max="13054" width="20.140625" style="365" customWidth="1"/>
    <col min="13055" max="13055" width="14.42578125" style="365" bestFit="1" customWidth="1"/>
    <col min="13056" max="13056" width="14" style="365" bestFit="1" customWidth="1"/>
    <col min="13057" max="13057" width="12.28515625" style="365" bestFit="1" customWidth="1"/>
    <col min="13058" max="13082" width="9.140625" style="365" customWidth="1"/>
    <col min="13083" max="13277" width="8.85546875" style="365"/>
    <col min="13278" max="13278" width="44.5703125" style="365" customWidth="1"/>
    <col min="13279" max="13279" width="14.28515625" style="365" bestFit="1" customWidth="1"/>
    <col min="13280" max="13280" width="1.7109375" style="365" customWidth="1"/>
    <col min="13281" max="13281" width="14.85546875" style="365" customWidth="1"/>
    <col min="13282" max="13282" width="0" style="365" hidden="1" customWidth="1"/>
    <col min="13283" max="13283" width="17.42578125" style="365" customWidth="1"/>
    <col min="13284" max="13284" width="0" style="365" hidden="1" customWidth="1"/>
    <col min="13285" max="13285" width="12.85546875" style="365" customWidth="1"/>
    <col min="13286" max="13286" width="0" style="365" hidden="1" customWidth="1"/>
    <col min="13287" max="13287" width="14.42578125" style="365" customWidth="1"/>
    <col min="13288" max="13288" width="0" style="365" hidden="1" customWidth="1"/>
    <col min="13289" max="13289" width="17.42578125" style="365" customWidth="1"/>
    <col min="13290" max="13290" width="0" style="365" hidden="1" customWidth="1"/>
    <col min="13291" max="13291" width="14" style="365" customWidth="1"/>
    <col min="13292" max="13292" width="14.28515625" style="365" bestFit="1" customWidth="1"/>
    <col min="13293" max="13293" width="0" style="365" hidden="1" customWidth="1"/>
    <col min="13294" max="13294" width="15.5703125" style="365" customWidth="1"/>
    <col min="13295" max="13295" width="44.5703125" style="365" customWidth="1"/>
    <col min="13296" max="13296" width="14.28515625" style="365" bestFit="1" customWidth="1"/>
    <col min="13297" max="13297" width="0" style="365" hidden="1" customWidth="1"/>
    <col min="13298" max="13298" width="18.140625" style="365" customWidth="1"/>
    <col min="13299" max="13299" width="0" style="365" hidden="1" customWidth="1"/>
    <col min="13300" max="13300" width="14" style="365" customWidth="1"/>
    <col min="13301" max="13301" width="0" style="365" hidden="1" customWidth="1"/>
    <col min="13302" max="13302" width="20.85546875" style="365" customWidth="1"/>
    <col min="13303" max="13303" width="0" style="365" hidden="1" customWidth="1"/>
    <col min="13304" max="13304" width="13.28515625" style="365" customWidth="1"/>
    <col min="13305" max="13305" width="0" style="365" hidden="1" customWidth="1"/>
    <col min="13306" max="13306" width="15" style="365" customWidth="1"/>
    <col min="13307" max="13307" width="0" style="365" hidden="1" customWidth="1"/>
    <col min="13308" max="13308" width="13.28515625" style="365" customWidth="1"/>
    <col min="13309" max="13309" width="0" style="365" hidden="1" customWidth="1"/>
    <col min="13310" max="13310" width="20.140625" style="365" customWidth="1"/>
    <col min="13311" max="13311" width="14.42578125" style="365" bestFit="1" customWidth="1"/>
    <col min="13312" max="13312" width="14" style="365" bestFit="1" customWidth="1"/>
    <col min="13313" max="13313" width="12.28515625" style="365" bestFit="1" customWidth="1"/>
    <col min="13314" max="13338" width="9.140625" style="365" customWidth="1"/>
    <col min="13339" max="13533" width="8.85546875" style="365"/>
    <col min="13534" max="13534" width="44.5703125" style="365" customWidth="1"/>
    <col min="13535" max="13535" width="14.28515625" style="365" bestFit="1" customWidth="1"/>
    <col min="13536" max="13536" width="1.7109375" style="365" customWidth="1"/>
    <col min="13537" max="13537" width="14.85546875" style="365" customWidth="1"/>
    <col min="13538" max="13538" width="0" style="365" hidden="1" customWidth="1"/>
    <col min="13539" max="13539" width="17.42578125" style="365" customWidth="1"/>
    <col min="13540" max="13540" width="0" style="365" hidden="1" customWidth="1"/>
    <col min="13541" max="13541" width="12.85546875" style="365" customWidth="1"/>
    <col min="13542" max="13542" width="0" style="365" hidden="1" customWidth="1"/>
    <col min="13543" max="13543" width="14.42578125" style="365" customWidth="1"/>
    <col min="13544" max="13544" width="0" style="365" hidden="1" customWidth="1"/>
    <col min="13545" max="13545" width="17.42578125" style="365" customWidth="1"/>
    <col min="13546" max="13546" width="0" style="365" hidden="1" customWidth="1"/>
    <col min="13547" max="13547" width="14" style="365" customWidth="1"/>
    <col min="13548" max="13548" width="14.28515625" style="365" bestFit="1" customWidth="1"/>
    <col min="13549" max="13549" width="0" style="365" hidden="1" customWidth="1"/>
    <col min="13550" max="13550" width="15.5703125" style="365" customWidth="1"/>
    <col min="13551" max="13551" width="44.5703125" style="365" customWidth="1"/>
    <col min="13552" max="13552" width="14.28515625" style="365" bestFit="1" customWidth="1"/>
    <col min="13553" max="13553" width="0" style="365" hidden="1" customWidth="1"/>
    <col min="13554" max="13554" width="18.140625" style="365" customWidth="1"/>
    <col min="13555" max="13555" width="0" style="365" hidden="1" customWidth="1"/>
    <col min="13556" max="13556" width="14" style="365" customWidth="1"/>
    <col min="13557" max="13557" width="0" style="365" hidden="1" customWidth="1"/>
    <col min="13558" max="13558" width="20.85546875" style="365" customWidth="1"/>
    <col min="13559" max="13559" width="0" style="365" hidden="1" customWidth="1"/>
    <col min="13560" max="13560" width="13.28515625" style="365" customWidth="1"/>
    <col min="13561" max="13561" width="0" style="365" hidden="1" customWidth="1"/>
    <col min="13562" max="13562" width="15" style="365" customWidth="1"/>
    <col min="13563" max="13563" width="0" style="365" hidden="1" customWidth="1"/>
    <col min="13564" max="13564" width="13.28515625" style="365" customWidth="1"/>
    <col min="13565" max="13565" width="0" style="365" hidden="1" customWidth="1"/>
    <col min="13566" max="13566" width="20.140625" style="365" customWidth="1"/>
    <col min="13567" max="13567" width="14.42578125" style="365" bestFit="1" customWidth="1"/>
    <col min="13568" max="13568" width="14" style="365" bestFit="1" customWidth="1"/>
    <col min="13569" max="13569" width="12.28515625" style="365" bestFit="1" customWidth="1"/>
    <col min="13570" max="13594" width="9.140625" style="365" customWidth="1"/>
    <col min="13595" max="13789" width="8.85546875" style="365"/>
    <col min="13790" max="13790" width="44.5703125" style="365" customWidth="1"/>
    <col min="13791" max="13791" width="14.28515625" style="365" bestFit="1" customWidth="1"/>
    <col min="13792" max="13792" width="1.7109375" style="365" customWidth="1"/>
    <col min="13793" max="13793" width="14.85546875" style="365" customWidth="1"/>
    <col min="13794" max="13794" width="0" style="365" hidden="1" customWidth="1"/>
    <col min="13795" max="13795" width="17.42578125" style="365" customWidth="1"/>
    <col min="13796" max="13796" width="0" style="365" hidden="1" customWidth="1"/>
    <col min="13797" max="13797" width="12.85546875" style="365" customWidth="1"/>
    <col min="13798" max="13798" width="0" style="365" hidden="1" customWidth="1"/>
    <col min="13799" max="13799" width="14.42578125" style="365" customWidth="1"/>
    <col min="13800" max="13800" width="0" style="365" hidden="1" customWidth="1"/>
    <col min="13801" max="13801" width="17.42578125" style="365" customWidth="1"/>
    <col min="13802" max="13802" width="0" style="365" hidden="1" customWidth="1"/>
    <col min="13803" max="13803" width="14" style="365" customWidth="1"/>
    <col min="13804" max="13804" width="14.28515625" style="365" bestFit="1" customWidth="1"/>
    <col min="13805" max="13805" width="0" style="365" hidden="1" customWidth="1"/>
    <col min="13806" max="13806" width="15.5703125" style="365" customWidth="1"/>
    <col min="13807" max="13807" width="44.5703125" style="365" customWidth="1"/>
    <col min="13808" max="13808" width="14.28515625" style="365" bestFit="1" customWidth="1"/>
    <col min="13809" max="13809" width="0" style="365" hidden="1" customWidth="1"/>
    <col min="13810" max="13810" width="18.140625" style="365" customWidth="1"/>
    <col min="13811" max="13811" width="0" style="365" hidden="1" customWidth="1"/>
    <col min="13812" max="13812" width="14" style="365" customWidth="1"/>
    <col min="13813" max="13813" width="0" style="365" hidden="1" customWidth="1"/>
    <col min="13814" max="13814" width="20.85546875" style="365" customWidth="1"/>
    <col min="13815" max="13815" width="0" style="365" hidden="1" customWidth="1"/>
    <col min="13816" max="13816" width="13.28515625" style="365" customWidth="1"/>
    <col min="13817" max="13817" width="0" style="365" hidden="1" customWidth="1"/>
    <col min="13818" max="13818" width="15" style="365" customWidth="1"/>
    <col min="13819" max="13819" width="0" style="365" hidden="1" customWidth="1"/>
    <col min="13820" max="13820" width="13.28515625" style="365" customWidth="1"/>
    <col min="13821" max="13821" width="0" style="365" hidden="1" customWidth="1"/>
    <col min="13822" max="13822" width="20.140625" style="365" customWidth="1"/>
    <col min="13823" max="13823" width="14.42578125" style="365" bestFit="1" customWidth="1"/>
    <col min="13824" max="13824" width="14" style="365" bestFit="1" customWidth="1"/>
    <col min="13825" max="13825" width="12.28515625" style="365" bestFit="1" customWidth="1"/>
    <col min="13826" max="13850" width="9.140625" style="365" customWidth="1"/>
    <col min="13851" max="14045" width="8.85546875" style="365"/>
    <col min="14046" max="14046" width="44.5703125" style="365" customWidth="1"/>
    <col min="14047" max="14047" width="14.28515625" style="365" bestFit="1" customWidth="1"/>
    <col min="14048" max="14048" width="1.7109375" style="365" customWidth="1"/>
    <col min="14049" max="14049" width="14.85546875" style="365" customWidth="1"/>
    <col min="14050" max="14050" width="0" style="365" hidden="1" customWidth="1"/>
    <col min="14051" max="14051" width="17.42578125" style="365" customWidth="1"/>
    <col min="14052" max="14052" width="0" style="365" hidden="1" customWidth="1"/>
    <col min="14053" max="14053" width="12.85546875" style="365" customWidth="1"/>
    <col min="14054" max="14054" width="0" style="365" hidden="1" customWidth="1"/>
    <col min="14055" max="14055" width="14.42578125" style="365" customWidth="1"/>
    <col min="14056" max="14056" width="0" style="365" hidden="1" customWidth="1"/>
    <col min="14057" max="14057" width="17.42578125" style="365" customWidth="1"/>
    <col min="14058" max="14058" width="0" style="365" hidden="1" customWidth="1"/>
    <col min="14059" max="14059" width="14" style="365" customWidth="1"/>
    <col min="14060" max="14060" width="14.28515625" style="365" bestFit="1" customWidth="1"/>
    <col min="14061" max="14061" width="0" style="365" hidden="1" customWidth="1"/>
    <col min="14062" max="14062" width="15.5703125" style="365" customWidth="1"/>
    <col min="14063" max="14063" width="44.5703125" style="365" customWidth="1"/>
    <col min="14064" max="14064" width="14.28515625" style="365" bestFit="1" customWidth="1"/>
    <col min="14065" max="14065" width="0" style="365" hidden="1" customWidth="1"/>
    <col min="14066" max="14066" width="18.140625" style="365" customWidth="1"/>
    <col min="14067" max="14067" width="0" style="365" hidden="1" customWidth="1"/>
    <col min="14068" max="14068" width="14" style="365" customWidth="1"/>
    <col min="14069" max="14069" width="0" style="365" hidden="1" customWidth="1"/>
    <col min="14070" max="14070" width="20.85546875" style="365" customWidth="1"/>
    <col min="14071" max="14071" width="0" style="365" hidden="1" customWidth="1"/>
    <col min="14072" max="14072" width="13.28515625" style="365" customWidth="1"/>
    <col min="14073" max="14073" width="0" style="365" hidden="1" customWidth="1"/>
    <col min="14074" max="14074" width="15" style="365" customWidth="1"/>
    <col min="14075" max="14075" width="0" style="365" hidden="1" customWidth="1"/>
    <col min="14076" max="14076" width="13.28515625" style="365" customWidth="1"/>
    <col min="14077" max="14077" width="0" style="365" hidden="1" customWidth="1"/>
    <col min="14078" max="14078" width="20.140625" style="365" customWidth="1"/>
    <col min="14079" max="14079" width="14.42578125" style="365" bestFit="1" customWidth="1"/>
    <col min="14080" max="14080" width="14" style="365" bestFit="1" customWidth="1"/>
    <col min="14081" max="14081" width="12.28515625" style="365" bestFit="1" customWidth="1"/>
    <col min="14082" max="14106" width="9.140625" style="365" customWidth="1"/>
    <col min="14107" max="14301" width="8.85546875" style="365"/>
    <col min="14302" max="14302" width="44.5703125" style="365" customWidth="1"/>
    <col min="14303" max="14303" width="14.28515625" style="365" bestFit="1" customWidth="1"/>
    <col min="14304" max="14304" width="1.7109375" style="365" customWidth="1"/>
    <col min="14305" max="14305" width="14.85546875" style="365" customWidth="1"/>
    <col min="14306" max="14306" width="0" style="365" hidden="1" customWidth="1"/>
    <col min="14307" max="14307" width="17.42578125" style="365" customWidth="1"/>
    <col min="14308" max="14308" width="0" style="365" hidden="1" customWidth="1"/>
    <col min="14309" max="14309" width="12.85546875" style="365" customWidth="1"/>
    <col min="14310" max="14310" width="0" style="365" hidden="1" customWidth="1"/>
    <col min="14311" max="14311" width="14.42578125" style="365" customWidth="1"/>
    <col min="14312" max="14312" width="0" style="365" hidden="1" customWidth="1"/>
    <col min="14313" max="14313" width="17.42578125" style="365" customWidth="1"/>
    <col min="14314" max="14314" width="0" style="365" hidden="1" customWidth="1"/>
    <col min="14315" max="14315" width="14" style="365" customWidth="1"/>
    <col min="14316" max="14316" width="14.28515625" style="365" bestFit="1" customWidth="1"/>
    <col min="14317" max="14317" width="0" style="365" hidden="1" customWidth="1"/>
    <col min="14318" max="14318" width="15.5703125" style="365" customWidth="1"/>
    <col min="14319" max="14319" width="44.5703125" style="365" customWidth="1"/>
    <col min="14320" max="14320" width="14.28515625" style="365" bestFit="1" customWidth="1"/>
    <col min="14321" max="14321" width="0" style="365" hidden="1" customWidth="1"/>
    <col min="14322" max="14322" width="18.140625" style="365" customWidth="1"/>
    <col min="14323" max="14323" width="0" style="365" hidden="1" customWidth="1"/>
    <col min="14324" max="14324" width="14" style="365" customWidth="1"/>
    <col min="14325" max="14325" width="0" style="365" hidden="1" customWidth="1"/>
    <col min="14326" max="14326" width="20.85546875" style="365" customWidth="1"/>
    <col min="14327" max="14327" width="0" style="365" hidden="1" customWidth="1"/>
    <col min="14328" max="14328" width="13.28515625" style="365" customWidth="1"/>
    <col min="14329" max="14329" width="0" style="365" hidden="1" customWidth="1"/>
    <col min="14330" max="14330" width="15" style="365" customWidth="1"/>
    <col min="14331" max="14331" width="0" style="365" hidden="1" customWidth="1"/>
    <col min="14332" max="14332" width="13.28515625" style="365" customWidth="1"/>
    <col min="14333" max="14333" width="0" style="365" hidden="1" customWidth="1"/>
    <col min="14334" max="14334" width="20.140625" style="365" customWidth="1"/>
    <col min="14335" max="14335" width="14.42578125" style="365" bestFit="1" customWidth="1"/>
    <col min="14336" max="14336" width="14" style="365" bestFit="1" customWidth="1"/>
    <col min="14337" max="14337" width="12.28515625" style="365" bestFit="1" customWidth="1"/>
    <col min="14338" max="14362" width="9.140625" style="365" customWidth="1"/>
    <col min="14363" max="14557" width="8.85546875" style="365"/>
    <col min="14558" max="14558" width="44.5703125" style="365" customWidth="1"/>
    <col min="14559" max="14559" width="14.28515625" style="365" bestFit="1" customWidth="1"/>
    <col min="14560" max="14560" width="1.7109375" style="365" customWidth="1"/>
    <col min="14561" max="14561" width="14.85546875" style="365" customWidth="1"/>
    <col min="14562" max="14562" width="0" style="365" hidden="1" customWidth="1"/>
    <col min="14563" max="14563" width="17.42578125" style="365" customWidth="1"/>
    <col min="14564" max="14564" width="0" style="365" hidden="1" customWidth="1"/>
    <col min="14565" max="14565" width="12.85546875" style="365" customWidth="1"/>
    <col min="14566" max="14566" width="0" style="365" hidden="1" customWidth="1"/>
    <col min="14567" max="14567" width="14.42578125" style="365" customWidth="1"/>
    <col min="14568" max="14568" width="0" style="365" hidden="1" customWidth="1"/>
    <col min="14569" max="14569" width="17.42578125" style="365" customWidth="1"/>
    <col min="14570" max="14570" width="0" style="365" hidden="1" customWidth="1"/>
    <col min="14571" max="14571" width="14" style="365" customWidth="1"/>
    <col min="14572" max="14572" width="14.28515625" style="365" bestFit="1" customWidth="1"/>
    <col min="14573" max="14573" width="0" style="365" hidden="1" customWidth="1"/>
    <col min="14574" max="14574" width="15.5703125" style="365" customWidth="1"/>
    <col min="14575" max="14575" width="44.5703125" style="365" customWidth="1"/>
    <col min="14576" max="14576" width="14.28515625" style="365" bestFit="1" customWidth="1"/>
    <col min="14577" max="14577" width="0" style="365" hidden="1" customWidth="1"/>
    <col min="14578" max="14578" width="18.140625" style="365" customWidth="1"/>
    <col min="14579" max="14579" width="0" style="365" hidden="1" customWidth="1"/>
    <col min="14580" max="14580" width="14" style="365" customWidth="1"/>
    <col min="14581" max="14581" width="0" style="365" hidden="1" customWidth="1"/>
    <col min="14582" max="14582" width="20.85546875" style="365" customWidth="1"/>
    <col min="14583" max="14583" width="0" style="365" hidden="1" customWidth="1"/>
    <col min="14584" max="14584" width="13.28515625" style="365" customWidth="1"/>
    <col min="14585" max="14585" width="0" style="365" hidden="1" customWidth="1"/>
    <col min="14586" max="14586" width="15" style="365" customWidth="1"/>
    <col min="14587" max="14587" width="0" style="365" hidden="1" customWidth="1"/>
    <col min="14588" max="14588" width="13.28515625" style="365" customWidth="1"/>
    <col min="14589" max="14589" width="0" style="365" hidden="1" customWidth="1"/>
    <col min="14590" max="14590" width="20.140625" style="365" customWidth="1"/>
    <col min="14591" max="14591" width="14.42578125" style="365" bestFit="1" customWidth="1"/>
    <col min="14592" max="14592" width="14" style="365" bestFit="1" customWidth="1"/>
    <col min="14593" max="14593" width="12.28515625" style="365" bestFit="1" customWidth="1"/>
    <col min="14594" max="14618" width="9.140625" style="365" customWidth="1"/>
    <col min="14619" max="14813" width="8.85546875" style="365"/>
    <col min="14814" max="14814" width="44.5703125" style="365" customWidth="1"/>
    <col min="14815" max="14815" width="14.28515625" style="365" bestFit="1" customWidth="1"/>
    <col min="14816" max="14816" width="1.7109375" style="365" customWidth="1"/>
    <col min="14817" max="14817" width="14.85546875" style="365" customWidth="1"/>
    <col min="14818" max="14818" width="0" style="365" hidden="1" customWidth="1"/>
    <col min="14819" max="14819" width="17.42578125" style="365" customWidth="1"/>
    <col min="14820" max="14820" width="0" style="365" hidden="1" customWidth="1"/>
    <col min="14821" max="14821" width="12.85546875" style="365" customWidth="1"/>
    <col min="14822" max="14822" width="0" style="365" hidden="1" customWidth="1"/>
    <col min="14823" max="14823" width="14.42578125" style="365" customWidth="1"/>
    <col min="14824" max="14824" width="0" style="365" hidden="1" customWidth="1"/>
    <col min="14825" max="14825" width="17.42578125" style="365" customWidth="1"/>
    <col min="14826" max="14826" width="0" style="365" hidden="1" customWidth="1"/>
    <col min="14827" max="14827" width="14" style="365" customWidth="1"/>
    <col min="14828" max="14828" width="14.28515625" style="365" bestFit="1" customWidth="1"/>
    <col min="14829" max="14829" width="0" style="365" hidden="1" customWidth="1"/>
    <col min="14830" max="14830" width="15.5703125" style="365" customWidth="1"/>
    <col min="14831" max="14831" width="44.5703125" style="365" customWidth="1"/>
    <col min="14832" max="14832" width="14.28515625" style="365" bestFit="1" customWidth="1"/>
    <col min="14833" max="14833" width="0" style="365" hidden="1" customWidth="1"/>
    <col min="14834" max="14834" width="18.140625" style="365" customWidth="1"/>
    <col min="14835" max="14835" width="0" style="365" hidden="1" customWidth="1"/>
    <col min="14836" max="14836" width="14" style="365" customWidth="1"/>
    <col min="14837" max="14837" width="0" style="365" hidden="1" customWidth="1"/>
    <col min="14838" max="14838" width="20.85546875" style="365" customWidth="1"/>
    <col min="14839" max="14839" width="0" style="365" hidden="1" customWidth="1"/>
    <col min="14840" max="14840" width="13.28515625" style="365" customWidth="1"/>
    <col min="14841" max="14841" width="0" style="365" hidden="1" customWidth="1"/>
    <col min="14842" max="14842" width="15" style="365" customWidth="1"/>
    <col min="14843" max="14843" width="0" style="365" hidden="1" customWidth="1"/>
    <col min="14844" max="14844" width="13.28515625" style="365" customWidth="1"/>
    <col min="14845" max="14845" width="0" style="365" hidden="1" customWidth="1"/>
    <col min="14846" max="14846" width="20.140625" style="365" customWidth="1"/>
    <col min="14847" max="14847" width="14.42578125" style="365" bestFit="1" customWidth="1"/>
    <col min="14848" max="14848" width="14" style="365" bestFit="1" customWidth="1"/>
    <col min="14849" max="14849" width="12.28515625" style="365" bestFit="1" customWidth="1"/>
    <col min="14850" max="14874" width="9.140625" style="365" customWidth="1"/>
    <col min="14875" max="15069" width="8.85546875" style="365"/>
    <col min="15070" max="15070" width="44.5703125" style="365" customWidth="1"/>
    <col min="15071" max="15071" width="14.28515625" style="365" bestFit="1" customWidth="1"/>
    <col min="15072" max="15072" width="1.7109375" style="365" customWidth="1"/>
    <col min="15073" max="15073" width="14.85546875" style="365" customWidth="1"/>
    <col min="15074" max="15074" width="0" style="365" hidden="1" customWidth="1"/>
    <col min="15075" max="15075" width="17.42578125" style="365" customWidth="1"/>
    <col min="15076" max="15076" width="0" style="365" hidden="1" customWidth="1"/>
    <col min="15077" max="15077" width="12.85546875" style="365" customWidth="1"/>
    <col min="15078" max="15078" width="0" style="365" hidden="1" customWidth="1"/>
    <col min="15079" max="15079" width="14.42578125" style="365" customWidth="1"/>
    <col min="15080" max="15080" width="0" style="365" hidden="1" customWidth="1"/>
    <col min="15081" max="15081" width="17.42578125" style="365" customWidth="1"/>
    <col min="15082" max="15082" width="0" style="365" hidden="1" customWidth="1"/>
    <col min="15083" max="15083" width="14" style="365" customWidth="1"/>
    <col min="15084" max="15084" width="14.28515625" style="365" bestFit="1" customWidth="1"/>
    <col min="15085" max="15085" width="0" style="365" hidden="1" customWidth="1"/>
    <col min="15086" max="15086" width="15.5703125" style="365" customWidth="1"/>
    <col min="15087" max="15087" width="44.5703125" style="365" customWidth="1"/>
    <col min="15088" max="15088" width="14.28515625" style="365" bestFit="1" customWidth="1"/>
    <col min="15089" max="15089" width="0" style="365" hidden="1" customWidth="1"/>
    <col min="15090" max="15090" width="18.140625" style="365" customWidth="1"/>
    <col min="15091" max="15091" width="0" style="365" hidden="1" customWidth="1"/>
    <col min="15092" max="15092" width="14" style="365" customWidth="1"/>
    <col min="15093" max="15093" width="0" style="365" hidden="1" customWidth="1"/>
    <col min="15094" max="15094" width="20.85546875" style="365" customWidth="1"/>
    <col min="15095" max="15095" width="0" style="365" hidden="1" customWidth="1"/>
    <col min="15096" max="15096" width="13.28515625" style="365" customWidth="1"/>
    <col min="15097" max="15097" width="0" style="365" hidden="1" customWidth="1"/>
    <col min="15098" max="15098" width="15" style="365" customWidth="1"/>
    <col min="15099" max="15099" width="0" style="365" hidden="1" customWidth="1"/>
    <col min="15100" max="15100" width="13.28515625" style="365" customWidth="1"/>
    <col min="15101" max="15101" width="0" style="365" hidden="1" customWidth="1"/>
    <col min="15102" max="15102" width="20.140625" style="365" customWidth="1"/>
    <col min="15103" max="15103" width="14.42578125" style="365" bestFit="1" customWidth="1"/>
    <col min="15104" max="15104" width="14" style="365" bestFit="1" customWidth="1"/>
    <col min="15105" max="15105" width="12.28515625" style="365" bestFit="1" customWidth="1"/>
    <col min="15106" max="15130" width="9.140625" style="365" customWidth="1"/>
    <col min="15131" max="15325" width="8.85546875" style="365"/>
    <col min="15326" max="15326" width="44.5703125" style="365" customWidth="1"/>
    <col min="15327" max="15327" width="14.28515625" style="365" bestFit="1" customWidth="1"/>
    <col min="15328" max="15328" width="1.7109375" style="365" customWidth="1"/>
    <col min="15329" max="15329" width="14.85546875" style="365" customWidth="1"/>
    <col min="15330" max="15330" width="0" style="365" hidden="1" customWidth="1"/>
    <col min="15331" max="15331" width="17.42578125" style="365" customWidth="1"/>
    <col min="15332" max="15332" width="0" style="365" hidden="1" customWidth="1"/>
    <col min="15333" max="15333" width="12.85546875" style="365" customWidth="1"/>
    <col min="15334" max="15334" width="0" style="365" hidden="1" customWidth="1"/>
    <col min="15335" max="15335" width="14.42578125" style="365" customWidth="1"/>
    <col min="15336" max="15336" width="0" style="365" hidden="1" customWidth="1"/>
    <col min="15337" max="15337" width="17.42578125" style="365" customWidth="1"/>
    <col min="15338" max="15338" width="0" style="365" hidden="1" customWidth="1"/>
    <col min="15339" max="15339" width="14" style="365" customWidth="1"/>
    <col min="15340" max="15340" width="14.28515625" style="365" bestFit="1" customWidth="1"/>
    <col min="15341" max="15341" width="0" style="365" hidden="1" customWidth="1"/>
    <col min="15342" max="15342" width="15.5703125" style="365" customWidth="1"/>
    <col min="15343" max="15343" width="44.5703125" style="365" customWidth="1"/>
    <col min="15344" max="15344" width="14.28515625" style="365" bestFit="1" customWidth="1"/>
    <col min="15345" max="15345" width="0" style="365" hidden="1" customWidth="1"/>
    <col min="15346" max="15346" width="18.140625" style="365" customWidth="1"/>
    <col min="15347" max="15347" width="0" style="365" hidden="1" customWidth="1"/>
    <col min="15348" max="15348" width="14" style="365" customWidth="1"/>
    <col min="15349" max="15349" width="0" style="365" hidden="1" customWidth="1"/>
    <col min="15350" max="15350" width="20.85546875" style="365" customWidth="1"/>
    <col min="15351" max="15351" width="0" style="365" hidden="1" customWidth="1"/>
    <col min="15352" max="15352" width="13.28515625" style="365" customWidth="1"/>
    <col min="15353" max="15353" width="0" style="365" hidden="1" customWidth="1"/>
    <col min="15354" max="15354" width="15" style="365" customWidth="1"/>
    <col min="15355" max="15355" width="0" style="365" hidden="1" customWidth="1"/>
    <col min="15356" max="15356" width="13.28515625" style="365" customWidth="1"/>
    <col min="15357" max="15357" width="0" style="365" hidden="1" customWidth="1"/>
    <col min="15358" max="15358" width="20.140625" style="365" customWidth="1"/>
    <col min="15359" max="15359" width="14.42578125" style="365" bestFit="1" customWidth="1"/>
    <col min="15360" max="15360" width="14" style="365" bestFit="1" customWidth="1"/>
    <col min="15361" max="15361" width="12.28515625" style="365" bestFit="1" customWidth="1"/>
    <col min="15362" max="15386" width="9.140625" style="365" customWidth="1"/>
    <col min="15387" max="15581" width="8.85546875" style="365"/>
    <col min="15582" max="15582" width="44.5703125" style="365" customWidth="1"/>
    <col min="15583" max="15583" width="14.28515625" style="365" bestFit="1" customWidth="1"/>
    <col min="15584" max="15584" width="1.7109375" style="365" customWidth="1"/>
    <col min="15585" max="15585" width="14.85546875" style="365" customWidth="1"/>
    <col min="15586" max="15586" width="0" style="365" hidden="1" customWidth="1"/>
    <col min="15587" max="15587" width="17.42578125" style="365" customWidth="1"/>
    <col min="15588" max="15588" width="0" style="365" hidden="1" customWidth="1"/>
    <col min="15589" max="15589" width="12.85546875" style="365" customWidth="1"/>
    <col min="15590" max="15590" width="0" style="365" hidden="1" customWidth="1"/>
    <col min="15591" max="15591" width="14.42578125" style="365" customWidth="1"/>
    <col min="15592" max="15592" width="0" style="365" hidden="1" customWidth="1"/>
    <col min="15593" max="15593" width="17.42578125" style="365" customWidth="1"/>
    <col min="15594" max="15594" width="0" style="365" hidden="1" customWidth="1"/>
    <col min="15595" max="15595" width="14" style="365" customWidth="1"/>
    <col min="15596" max="15596" width="14.28515625" style="365" bestFit="1" customWidth="1"/>
    <col min="15597" max="15597" width="0" style="365" hidden="1" customWidth="1"/>
    <col min="15598" max="15598" width="15.5703125" style="365" customWidth="1"/>
    <col min="15599" max="15599" width="44.5703125" style="365" customWidth="1"/>
    <col min="15600" max="15600" width="14.28515625" style="365" bestFit="1" customWidth="1"/>
    <col min="15601" max="15601" width="0" style="365" hidden="1" customWidth="1"/>
    <col min="15602" max="15602" width="18.140625" style="365" customWidth="1"/>
    <col min="15603" max="15603" width="0" style="365" hidden="1" customWidth="1"/>
    <col min="15604" max="15604" width="14" style="365" customWidth="1"/>
    <col min="15605" max="15605" width="0" style="365" hidden="1" customWidth="1"/>
    <col min="15606" max="15606" width="20.85546875" style="365" customWidth="1"/>
    <col min="15607" max="15607" width="0" style="365" hidden="1" customWidth="1"/>
    <col min="15608" max="15608" width="13.28515625" style="365" customWidth="1"/>
    <col min="15609" max="15609" width="0" style="365" hidden="1" customWidth="1"/>
    <col min="15610" max="15610" width="15" style="365" customWidth="1"/>
    <col min="15611" max="15611" width="0" style="365" hidden="1" customWidth="1"/>
    <col min="15612" max="15612" width="13.28515625" style="365" customWidth="1"/>
    <col min="15613" max="15613" width="0" style="365" hidden="1" customWidth="1"/>
    <col min="15614" max="15614" width="20.140625" style="365" customWidth="1"/>
    <col min="15615" max="15615" width="14.42578125" style="365" bestFit="1" customWidth="1"/>
    <col min="15616" max="15616" width="14" style="365" bestFit="1" customWidth="1"/>
    <col min="15617" max="15617" width="12.28515625" style="365" bestFit="1" customWidth="1"/>
    <col min="15618" max="15642" width="9.140625" style="365" customWidth="1"/>
    <col min="15643" max="15837" width="8.85546875" style="365"/>
    <col min="15838" max="15838" width="44.5703125" style="365" customWidth="1"/>
    <col min="15839" max="15839" width="14.28515625" style="365" bestFit="1" customWidth="1"/>
    <col min="15840" max="15840" width="1.7109375" style="365" customWidth="1"/>
    <col min="15841" max="15841" width="14.85546875" style="365" customWidth="1"/>
    <col min="15842" max="15842" width="0" style="365" hidden="1" customWidth="1"/>
    <col min="15843" max="15843" width="17.42578125" style="365" customWidth="1"/>
    <col min="15844" max="15844" width="0" style="365" hidden="1" customWidth="1"/>
    <col min="15845" max="15845" width="12.85546875" style="365" customWidth="1"/>
    <col min="15846" max="15846" width="0" style="365" hidden="1" customWidth="1"/>
    <col min="15847" max="15847" width="14.42578125" style="365" customWidth="1"/>
    <col min="15848" max="15848" width="0" style="365" hidden="1" customWidth="1"/>
    <col min="15849" max="15849" width="17.42578125" style="365" customWidth="1"/>
    <col min="15850" max="15850" width="0" style="365" hidden="1" customWidth="1"/>
    <col min="15851" max="15851" width="14" style="365" customWidth="1"/>
    <col min="15852" max="15852" width="14.28515625" style="365" bestFit="1" customWidth="1"/>
    <col min="15853" max="15853" width="0" style="365" hidden="1" customWidth="1"/>
    <col min="15854" max="15854" width="15.5703125" style="365" customWidth="1"/>
    <col min="15855" max="15855" width="44.5703125" style="365" customWidth="1"/>
    <col min="15856" max="15856" width="14.28515625" style="365" bestFit="1" customWidth="1"/>
    <col min="15857" max="15857" width="0" style="365" hidden="1" customWidth="1"/>
    <col min="15858" max="15858" width="18.140625" style="365" customWidth="1"/>
    <col min="15859" max="15859" width="0" style="365" hidden="1" customWidth="1"/>
    <col min="15860" max="15860" width="14" style="365" customWidth="1"/>
    <col min="15861" max="15861" width="0" style="365" hidden="1" customWidth="1"/>
    <col min="15862" max="15862" width="20.85546875" style="365" customWidth="1"/>
    <col min="15863" max="15863" width="0" style="365" hidden="1" customWidth="1"/>
    <col min="15864" max="15864" width="13.28515625" style="365" customWidth="1"/>
    <col min="15865" max="15865" width="0" style="365" hidden="1" customWidth="1"/>
    <col min="15866" max="15866" width="15" style="365" customWidth="1"/>
    <col min="15867" max="15867" width="0" style="365" hidden="1" customWidth="1"/>
    <col min="15868" max="15868" width="13.28515625" style="365" customWidth="1"/>
    <col min="15869" max="15869" width="0" style="365" hidden="1" customWidth="1"/>
    <col min="15870" max="15870" width="20.140625" style="365" customWidth="1"/>
    <col min="15871" max="15871" width="14.42578125" style="365" bestFit="1" customWidth="1"/>
    <col min="15872" max="15872" width="14" style="365" bestFit="1" customWidth="1"/>
    <col min="15873" max="15873" width="12.28515625" style="365" bestFit="1" customWidth="1"/>
    <col min="15874" max="15898" width="9.140625" style="365" customWidth="1"/>
    <col min="15899" max="16093" width="8.85546875" style="365"/>
    <col min="16094" max="16094" width="44.5703125" style="365" customWidth="1"/>
    <col min="16095" max="16095" width="14.28515625" style="365" bestFit="1" customWidth="1"/>
    <col min="16096" max="16096" width="1.7109375" style="365" customWidth="1"/>
    <col min="16097" max="16097" width="14.85546875" style="365" customWidth="1"/>
    <col min="16098" max="16098" width="0" style="365" hidden="1" customWidth="1"/>
    <col min="16099" max="16099" width="17.42578125" style="365" customWidth="1"/>
    <col min="16100" max="16100" width="0" style="365" hidden="1" customWidth="1"/>
    <col min="16101" max="16101" width="12.85546875" style="365" customWidth="1"/>
    <col min="16102" max="16102" width="0" style="365" hidden="1" customWidth="1"/>
    <col min="16103" max="16103" width="14.42578125" style="365" customWidth="1"/>
    <col min="16104" max="16104" width="0" style="365" hidden="1" customWidth="1"/>
    <col min="16105" max="16105" width="17.42578125" style="365" customWidth="1"/>
    <col min="16106" max="16106" width="0" style="365" hidden="1" customWidth="1"/>
    <col min="16107" max="16107" width="14" style="365" customWidth="1"/>
    <col min="16108" max="16108" width="14.28515625" style="365" bestFit="1" customWidth="1"/>
    <col min="16109" max="16109" width="0" style="365" hidden="1" customWidth="1"/>
    <col min="16110" max="16110" width="15.5703125" style="365" customWidth="1"/>
    <col min="16111" max="16111" width="44.5703125" style="365" customWidth="1"/>
    <col min="16112" max="16112" width="14.28515625" style="365" bestFit="1" customWidth="1"/>
    <col min="16113" max="16113" width="0" style="365" hidden="1" customWidth="1"/>
    <col min="16114" max="16114" width="18.140625" style="365" customWidth="1"/>
    <col min="16115" max="16115" width="0" style="365" hidden="1" customWidth="1"/>
    <col min="16116" max="16116" width="14" style="365" customWidth="1"/>
    <col min="16117" max="16117" width="0" style="365" hidden="1" customWidth="1"/>
    <col min="16118" max="16118" width="20.85546875" style="365" customWidth="1"/>
    <col min="16119" max="16119" width="0" style="365" hidden="1" customWidth="1"/>
    <col min="16120" max="16120" width="13.28515625" style="365" customWidth="1"/>
    <col min="16121" max="16121" width="0" style="365" hidden="1" customWidth="1"/>
    <col min="16122" max="16122" width="15" style="365" customWidth="1"/>
    <col min="16123" max="16123" width="0" style="365" hidden="1" customWidth="1"/>
    <col min="16124" max="16124" width="13.28515625" style="365" customWidth="1"/>
    <col min="16125" max="16125" width="0" style="365" hidden="1" customWidth="1"/>
    <col min="16126" max="16126" width="20.140625" style="365" customWidth="1"/>
    <col min="16127" max="16127" width="14.42578125" style="365" bestFit="1" customWidth="1"/>
    <col min="16128" max="16128" width="14" style="365" bestFit="1" customWidth="1"/>
    <col min="16129" max="16129" width="12.28515625" style="365" bestFit="1" customWidth="1"/>
    <col min="16130" max="16154" width="9.140625" style="365" customWidth="1"/>
    <col min="16155" max="16383" width="8.85546875" style="365"/>
    <col min="16384" max="16384" width="8.85546875" style="365" customWidth="1"/>
  </cols>
  <sheetData>
    <row r="1" spans="1:26" s="354" customFormat="1" ht="19.899999999999999" hidden="1" customHeight="1">
      <c r="A1" s="1632"/>
      <c r="B1" s="1632"/>
      <c r="C1" s="1632"/>
      <c r="D1" s="1632"/>
      <c r="E1" s="1632"/>
      <c r="F1" s="1632"/>
      <c r="G1" s="1632"/>
      <c r="H1" s="1632"/>
      <c r="I1" s="1632"/>
      <c r="J1" s="1632"/>
      <c r="K1" s="1632"/>
      <c r="L1" s="1632"/>
      <c r="M1" s="1632"/>
      <c r="N1" s="1538"/>
      <c r="O1" s="353"/>
      <c r="P1" s="353"/>
      <c r="Q1" s="353"/>
      <c r="R1" s="353"/>
      <c r="S1" s="353"/>
      <c r="T1" s="353"/>
      <c r="U1" s="353"/>
      <c r="V1" s="353"/>
      <c r="W1" s="353"/>
      <c r="X1" s="353"/>
      <c r="Y1" s="353"/>
      <c r="Z1" s="353"/>
    </row>
    <row r="2" spans="1:26" s="354" customFormat="1" ht="88.9" customHeight="1">
      <c r="A2" s="1688" t="s">
        <v>991</v>
      </c>
      <c r="B2" s="1688"/>
      <c r="C2" s="1688"/>
      <c r="D2" s="1688"/>
      <c r="E2" s="1688"/>
      <c r="F2" s="1688"/>
      <c r="G2" s="1688"/>
      <c r="H2" s="1688"/>
      <c r="I2" s="1688"/>
      <c r="J2" s="1688"/>
      <c r="K2" s="1688"/>
      <c r="L2" s="1688"/>
      <c r="M2" s="1688"/>
      <c r="N2" s="1688"/>
      <c r="O2" s="1688"/>
      <c r="P2" s="353"/>
      <c r="Q2" s="353"/>
      <c r="R2" s="353"/>
      <c r="S2" s="353"/>
      <c r="T2" s="353"/>
      <c r="U2" s="353"/>
      <c r="V2" s="353"/>
      <c r="W2" s="353"/>
      <c r="X2" s="353"/>
      <c r="Y2" s="353"/>
      <c r="Z2" s="353"/>
    </row>
    <row r="3" spans="1:26" s="354" customFormat="1" ht="47.45" hidden="1" customHeight="1">
      <c r="A3" s="1438"/>
      <c r="B3" s="1636" t="s">
        <v>774</v>
      </c>
      <c r="C3" s="1636"/>
      <c r="D3" s="1636"/>
      <c r="E3" s="1636"/>
      <c r="F3" s="1636"/>
      <c r="G3" s="1636"/>
      <c r="H3" s="1636"/>
      <c r="I3" s="1636"/>
      <c r="J3" s="1636"/>
      <c r="K3" s="1636"/>
      <c r="L3" s="1636"/>
      <c r="M3" s="1636"/>
      <c r="N3" s="1540"/>
      <c r="O3" s="353"/>
      <c r="P3" s="353"/>
      <c r="Q3" s="353"/>
      <c r="R3" s="353"/>
      <c r="S3" s="353"/>
      <c r="T3" s="353"/>
      <c r="U3" s="353"/>
      <c r="V3" s="353"/>
      <c r="W3" s="353"/>
      <c r="X3" s="353"/>
      <c r="Y3" s="353"/>
      <c r="Z3" s="353"/>
    </row>
    <row r="4" spans="1:26" s="354" customFormat="1" ht="15.6" hidden="1" customHeight="1">
      <c r="A4" s="1635"/>
      <c r="B4" s="1635"/>
      <c r="C4" s="1635"/>
      <c r="D4" s="1635"/>
      <c r="E4" s="1635"/>
      <c r="F4" s="1635"/>
      <c r="G4" s="1635"/>
      <c r="H4" s="1635"/>
      <c r="I4" s="1635"/>
      <c r="J4" s="1635"/>
      <c r="K4" s="1635"/>
      <c r="L4" s="1635"/>
      <c r="M4" s="1635"/>
      <c r="N4" s="1539"/>
      <c r="O4" s="353"/>
      <c r="P4" s="353"/>
      <c r="Q4" s="353"/>
      <c r="R4" s="353"/>
      <c r="S4" s="353"/>
      <c r="T4" s="353"/>
      <c r="U4" s="353"/>
      <c r="V4" s="353"/>
      <c r="W4" s="353"/>
      <c r="X4" s="353"/>
      <c r="Y4" s="353"/>
      <c r="Z4" s="353"/>
    </row>
    <row r="5" spans="1:26" s="363" customFormat="1" ht="9.6" customHeight="1" thickBot="1">
      <c r="A5" s="360" t="s">
        <v>58</v>
      </c>
      <c r="B5" s="361"/>
      <c r="C5" s="1052"/>
      <c r="D5" s="945"/>
      <c r="E5" s="945"/>
      <c r="F5" s="945"/>
      <c r="G5" s="945"/>
      <c r="H5" s="945"/>
      <c r="I5" s="945"/>
      <c r="J5" s="945"/>
      <c r="K5" s="945"/>
      <c r="L5" s="945"/>
      <c r="M5" s="945"/>
      <c r="N5" s="945"/>
    </row>
    <row r="6" spans="1:26" s="1409" customFormat="1" ht="112.15" customHeight="1" thickTop="1" thickBot="1">
      <c r="A6" s="1405"/>
      <c r="B6" s="1406"/>
      <c r="C6" s="1407"/>
      <c r="D6" s="1411" t="s">
        <v>573</v>
      </c>
      <c r="E6" s="1412" t="s">
        <v>575</v>
      </c>
      <c r="F6" s="1410" t="s">
        <v>414</v>
      </c>
      <c r="G6" s="1410" t="s">
        <v>413</v>
      </c>
      <c r="H6" s="1413" t="s">
        <v>420</v>
      </c>
      <c r="I6" s="1412" t="s">
        <v>417</v>
      </c>
      <c r="J6" s="1410" t="s">
        <v>926</v>
      </c>
      <c r="K6" s="1413" t="s">
        <v>515</v>
      </c>
      <c r="L6" s="1413" t="s">
        <v>565</v>
      </c>
      <c r="M6" s="1413" t="s">
        <v>421</v>
      </c>
      <c r="N6" s="1410" t="s">
        <v>419</v>
      </c>
      <c r="O6" s="1410" t="s">
        <v>995</v>
      </c>
      <c r="S6" s="1408"/>
      <c r="T6" s="1408"/>
      <c r="U6" s="1408"/>
      <c r="V6" s="1408"/>
      <c r="W6" s="1408"/>
      <c r="X6" s="1408"/>
      <c r="Y6" s="1408"/>
      <c r="Z6" s="1408"/>
    </row>
    <row r="7" spans="1:26" ht="13.9" customHeight="1" thickTop="1">
      <c r="A7" s="356"/>
      <c r="B7" s="356"/>
      <c r="C7" s="1053"/>
      <c r="D7" s="947"/>
      <c r="E7" s="1191"/>
      <c r="F7" s="1185"/>
      <c r="G7" s="374"/>
      <c r="H7" s="924"/>
      <c r="I7" s="1191"/>
      <c r="J7" s="1185"/>
      <c r="K7" s="924"/>
      <c r="L7" s="924"/>
      <c r="M7" s="924"/>
      <c r="N7" s="374"/>
      <c r="O7" s="374"/>
    </row>
    <row r="8" spans="1:26" s="1546" customFormat="1" ht="15.95" customHeight="1">
      <c r="A8" s="1545" t="s">
        <v>423</v>
      </c>
      <c r="C8" s="1547"/>
      <c r="D8" s="1548"/>
      <c r="E8" s="1549" t="s">
        <v>58</v>
      </c>
      <c r="F8" s="1550"/>
      <c r="G8" s="1549"/>
      <c r="H8" s="1552" t="s">
        <v>58</v>
      </c>
      <c r="I8" s="1551"/>
      <c r="J8" s="1550"/>
      <c r="K8" s="1552"/>
      <c r="L8" s="1552"/>
      <c r="M8" s="1552" t="s">
        <v>58</v>
      </c>
      <c r="N8" s="1549" t="s">
        <v>58</v>
      </c>
      <c r="O8" s="1549"/>
      <c r="S8" s="1553"/>
      <c r="T8" s="1553"/>
      <c r="U8" s="1553"/>
      <c r="V8" s="1553"/>
      <c r="W8" s="1553"/>
      <c r="X8" s="1553"/>
      <c r="Y8" s="1553"/>
      <c r="Z8" s="1553"/>
    </row>
    <row r="9" spans="1:26" s="1546" customFormat="1" ht="22.9" customHeight="1">
      <c r="A9" s="1546" t="s">
        <v>27</v>
      </c>
      <c r="C9" s="1545" t="s">
        <v>424</v>
      </c>
      <c r="D9" s="1554">
        <v>50418790</v>
      </c>
      <c r="E9" s="1554">
        <v>1623944</v>
      </c>
      <c r="F9" s="1554">
        <v>0</v>
      </c>
      <c r="G9" s="1554">
        <v>18183497</v>
      </c>
      <c r="H9" s="1554">
        <v>10061843</v>
      </c>
      <c r="I9" s="1554">
        <v>3366317</v>
      </c>
      <c r="J9" s="1554">
        <v>0</v>
      </c>
      <c r="K9" s="1554">
        <v>2728843</v>
      </c>
      <c r="L9" s="1554">
        <v>3115675</v>
      </c>
      <c r="M9" s="1554">
        <v>0</v>
      </c>
      <c r="N9" s="1554">
        <v>11099419</v>
      </c>
      <c r="O9" s="1554">
        <v>550223</v>
      </c>
      <c r="S9" s="1553"/>
      <c r="T9" s="1553"/>
      <c r="U9" s="1553"/>
      <c r="V9" s="1553"/>
      <c r="W9" s="1553"/>
      <c r="X9" s="1553"/>
      <c r="Y9" s="1553"/>
      <c r="Z9" s="1553"/>
    </row>
    <row r="10" spans="1:26" s="1546" customFormat="1" ht="22.9" customHeight="1">
      <c r="A10" s="1546" t="s">
        <v>782</v>
      </c>
      <c r="C10" s="1545"/>
      <c r="D10" s="1554">
        <v>4457240</v>
      </c>
      <c r="E10" s="1554">
        <v>0</v>
      </c>
      <c r="F10" s="1554">
        <v>0</v>
      </c>
      <c r="G10" s="1554">
        <v>0</v>
      </c>
      <c r="H10" s="1554">
        <v>0</v>
      </c>
      <c r="I10" s="1554">
        <v>0</v>
      </c>
      <c r="J10" s="1554">
        <v>0</v>
      </c>
      <c r="K10" s="1554">
        <v>0</v>
      </c>
      <c r="L10" s="1554">
        <v>0</v>
      </c>
      <c r="M10" s="1554">
        <v>0</v>
      </c>
      <c r="N10" s="1554">
        <v>0</v>
      </c>
      <c r="O10" s="1554">
        <v>0</v>
      </c>
      <c r="S10" s="1553"/>
      <c r="T10" s="1553"/>
      <c r="U10" s="1553"/>
      <c r="V10" s="1553"/>
      <c r="W10" s="1553"/>
      <c r="X10" s="1553"/>
      <c r="Y10" s="1553"/>
      <c r="Z10" s="1553"/>
    </row>
    <row r="11" spans="1:26" s="1546" customFormat="1" ht="22.9" customHeight="1">
      <c r="A11" s="1546" t="s">
        <v>690</v>
      </c>
      <c r="C11" s="1545"/>
      <c r="D11" s="1554">
        <v>5000000</v>
      </c>
      <c r="E11" s="1554">
        <v>0</v>
      </c>
      <c r="F11" s="1554">
        <v>0</v>
      </c>
      <c r="G11" s="1554">
        <v>0</v>
      </c>
      <c r="H11" s="1554">
        <v>0</v>
      </c>
      <c r="I11" s="1554">
        <v>0</v>
      </c>
      <c r="J11" s="1554">
        <v>0</v>
      </c>
      <c r="K11" s="1554">
        <v>0</v>
      </c>
      <c r="L11" s="1554">
        <v>0</v>
      </c>
      <c r="M11" s="1554">
        <v>0</v>
      </c>
      <c r="N11" s="1554">
        <v>0</v>
      </c>
      <c r="O11" s="1554">
        <v>0</v>
      </c>
      <c r="S11" s="1553"/>
      <c r="T11" s="1553"/>
      <c r="U11" s="1553"/>
      <c r="V11" s="1553"/>
      <c r="W11" s="1553"/>
      <c r="X11" s="1553"/>
      <c r="Y11" s="1553"/>
      <c r="Z11" s="1553"/>
    </row>
    <row r="12" spans="1:26" s="1546" customFormat="1" ht="22.9" customHeight="1">
      <c r="A12" s="1546" t="s">
        <v>830</v>
      </c>
      <c r="C12" s="1545"/>
      <c r="D12" s="1554">
        <v>4273912</v>
      </c>
      <c r="E12" s="1554">
        <v>0</v>
      </c>
      <c r="F12" s="1554">
        <v>0</v>
      </c>
      <c r="G12" s="1554">
        <v>0</v>
      </c>
      <c r="H12" s="1554">
        <v>0</v>
      </c>
      <c r="I12" s="1554">
        <v>0</v>
      </c>
      <c r="J12" s="1554">
        <v>0</v>
      </c>
      <c r="K12" s="1554">
        <v>0</v>
      </c>
      <c r="L12" s="1554">
        <v>0</v>
      </c>
      <c r="M12" s="1554">
        <v>0</v>
      </c>
      <c r="N12" s="1554">
        <v>0</v>
      </c>
      <c r="O12" s="1554">
        <v>0</v>
      </c>
      <c r="S12" s="1553"/>
      <c r="T12" s="1553"/>
      <c r="U12" s="1553"/>
      <c r="V12" s="1553"/>
      <c r="W12" s="1553"/>
      <c r="X12" s="1553"/>
      <c r="Y12" s="1553"/>
      <c r="Z12" s="1553"/>
    </row>
    <row r="13" spans="1:26" s="1546" customFormat="1" ht="22.9" customHeight="1">
      <c r="A13" s="1546" t="s">
        <v>841</v>
      </c>
      <c r="C13" s="1545"/>
      <c r="D13" s="1554">
        <v>833479</v>
      </c>
      <c r="E13" s="1554">
        <v>55015399</v>
      </c>
      <c r="F13" s="1554">
        <v>14908730</v>
      </c>
      <c r="G13" s="1554">
        <v>2492259</v>
      </c>
      <c r="H13" s="1554">
        <v>3675161</v>
      </c>
      <c r="I13" s="1554">
        <v>4537281</v>
      </c>
      <c r="J13" s="1554">
        <v>23929746</v>
      </c>
      <c r="K13" s="1554">
        <v>5709901</v>
      </c>
      <c r="L13" s="1554">
        <v>12216</v>
      </c>
      <c r="M13" s="1554">
        <v>13880782</v>
      </c>
      <c r="N13" s="1554">
        <v>1113800</v>
      </c>
      <c r="O13" s="1554">
        <v>0</v>
      </c>
      <c r="S13" s="1553"/>
      <c r="T13" s="1553"/>
      <c r="U13" s="1553"/>
      <c r="V13" s="1553"/>
      <c r="W13" s="1553"/>
      <c r="X13" s="1553"/>
      <c r="Y13" s="1553"/>
      <c r="Z13" s="1553"/>
    </row>
    <row r="14" spans="1:26" s="1545" customFormat="1" ht="22.9" customHeight="1">
      <c r="A14" s="1555" t="s">
        <v>688</v>
      </c>
      <c r="C14" s="1545" t="s">
        <v>58</v>
      </c>
      <c r="D14" s="1556">
        <v>64983421</v>
      </c>
      <c r="E14" s="1556">
        <v>56639343</v>
      </c>
      <c r="F14" s="1556">
        <v>14908730</v>
      </c>
      <c r="G14" s="1556">
        <v>20675756</v>
      </c>
      <c r="H14" s="1556">
        <v>13737004</v>
      </c>
      <c r="I14" s="1556">
        <v>7903598</v>
      </c>
      <c r="J14" s="1556">
        <v>23929746</v>
      </c>
      <c r="K14" s="1556">
        <v>8438744</v>
      </c>
      <c r="L14" s="1556">
        <v>3127891</v>
      </c>
      <c r="M14" s="1556">
        <v>13880782</v>
      </c>
      <c r="N14" s="1556">
        <v>12213219</v>
      </c>
      <c r="O14" s="1556">
        <v>550223</v>
      </c>
      <c r="S14" s="1543"/>
      <c r="T14" s="1543"/>
      <c r="U14" s="1543"/>
      <c r="V14" s="1543"/>
      <c r="W14" s="1543"/>
      <c r="X14" s="1543"/>
      <c r="Y14" s="1543"/>
      <c r="Z14" s="1543"/>
    </row>
    <row r="15" spans="1:26" s="1546" customFormat="1" ht="22.9" customHeight="1">
      <c r="C15" s="1545"/>
      <c r="D15" s="1557"/>
      <c r="E15" s="1558"/>
      <c r="F15" s="1554"/>
      <c r="G15" s="1558"/>
      <c r="H15" s="1558"/>
      <c r="I15" s="1558"/>
      <c r="J15" s="1554"/>
      <c r="K15" s="1558"/>
      <c r="L15" s="1558"/>
      <c r="M15" s="1558"/>
      <c r="N15" s="1558"/>
      <c r="O15" s="1558"/>
      <c r="S15" s="1553"/>
      <c r="T15" s="1553"/>
      <c r="U15" s="1553"/>
      <c r="V15" s="1553"/>
      <c r="W15" s="1553"/>
      <c r="X15" s="1553"/>
      <c r="Y15" s="1553"/>
      <c r="Z15" s="1553"/>
    </row>
    <row r="16" spans="1:26" s="1553" customFormat="1" ht="22.9" customHeight="1">
      <c r="A16" s="1543" t="s">
        <v>426</v>
      </c>
      <c r="C16" s="1543"/>
      <c r="D16" s="1558"/>
      <c r="E16" s="1558"/>
      <c r="F16" s="1554"/>
      <c r="G16" s="1558"/>
      <c r="H16" s="1558"/>
      <c r="I16" s="1558"/>
      <c r="J16" s="1554"/>
      <c r="K16" s="1558"/>
      <c r="L16" s="1558"/>
      <c r="M16" s="1558"/>
      <c r="N16" s="1558"/>
      <c r="O16" s="1558"/>
    </row>
    <row r="17" spans="1:15" s="1553" customFormat="1" ht="22.9" customHeight="1">
      <c r="A17" s="1559" t="s">
        <v>947</v>
      </c>
      <c r="B17" s="1560" t="s">
        <v>585</v>
      </c>
      <c r="C17" s="1543"/>
      <c r="D17" s="1554"/>
      <c r="E17" s="1554"/>
      <c r="F17" s="1554"/>
      <c r="G17" s="1554"/>
      <c r="H17" s="1554"/>
      <c r="I17" s="1554"/>
      <c r="J17" s="1554"/>
      <c r="K17" s="1554"/>
      <c r="L17" s="1554"/>
      <c r="M17" s="1554"/>
      <c r="N17" s="1554"/>
      <c r="O17" s="1554"/>
    </row>
    <row r="18" spans="1:15" s="1553" customFormat="1" ht="22.9" customHeight="1">
      <c r="A18" s="1553" t="s">
        <v>1017</v>
      </c>
      <c r="B18" s="1561">
        <v>4.1193</v>
      </c>
      <c r="C18" s="1543"/>
      <c r="D18" s="1558">
        <v>103148871</v>
      </c>
      <c r="E18" s="1554">
        <v>0</v>
      </c>
      <c r="F18" s="1554">
        <v>0</v>
      </c>
      <c r="G18" s="1558">
        <v>0</v>
      </c>
      <c r="H18" s="1554">
        <v>0</v>
      </c>
      <c r="I18" s="1558">
        <v>0</v>
      </c>
      <c r="J18" s="1558">
        <v>0</v>
      </c>
      <c r="K18" s="1554">
        <v>0</v>
      </c>
      <c r="L18" s="1554">
        <v>0</v>
      </c>
      <c r="M18" s="1554">
        <v>0</v>
      </c>
      <c r="N18" s="1554">
        <v>0</v>
      </c>
      <c r="O18" s="1554">
        <v>0</v>
      </c>
    </row>
    <row r="19" spans="1:15" s="1553" customFormat="1" ht="22.9" customHeight="1">
      <c r="A19" s="1553" t="s">
        <v>1018</v>
      </c>
      <c r="B19" s="1562">
        <v>0.1958</v>
      </c>
      <c r="C19" s="1543"/>
      <c r="D19" s="1558">
        <v>0</v>
      </c>
      <c r="E19" s="1554">
        <v>0</v>
      </c>
      <c r="F19" s="1558">
        <v>4851378</v>
      </c>
      <c r="G19" s="1558">
        <v>0</v>
      </c>
      <c r="H19" s="1554">
        <v>0</v>
      </c>
      <c r="I19" s="1558">
        <v>0</v>
      </c>
      <c r="J19" s="1558">
        <v>0</v>
      </c>
      <c r="K19" s="1554">
        <v>0</v>
      </c>
      <c r="L19" s="1554">
        <v>0</v>
      </c>
      <c r="M19" s="1554">
        <v>0</v>
      </c>
      <c r="N19" s="1554">
        <v>0</v>
      </c>
      <c r="O19" s="1554">
        <v>0</v>
      </c>
    </row>
    <row r="20" spans="1:15" s="1553" customFormat="1" ht="22.9" customHeight="1">
      <c r="A20" s="1553" t="s">
        <v>1019</v>
      </c>
      <c r="B20" s="1562">
        <v>1</v>
      </c>
      <c r="C20" s="1543"/>
      <c r="D20" s="1180">
        <v>0</v>
      </c>
      <c r="E20" s="1558">
        <v>0</v>
      </c>
      <c r="F20" s="1558">
        <v>0</v>
      </c>
      <c r="G20" s="1558">
        <v>0</v>
      </c>
      <c r="H20" s="1558">
        <v>0</v>
      </c>
      <c r="I20" s="1558">
        <v>0</v>
      </c>
      <c r="J20" s="1558">
        <v>0</v>
      </c>
      <c r="K20" s="1558">
        <v>0</v>
      </c>
      <c r="L20" s="1558">
        <v>0</v>
      </c>
      <c r="M20" s="1558">
        <v>0</v>
      </c>
      <c r="N20" s="1558">
        <v>0</v>
      </c>
      <c r="O20" s="1558">
        <v>0</v>
      </c>
    </row>
    <row r="21" spans="1:15" s="1553" customFormat="1" ht="22.9" customHeight="1">
      <c r="A21" s="1553" t="s">
        <v>580</v>
      </c>
      <c r="B21" s="1563"/>
      <c r="C21" s="1543"/>
      <c r="D21" s="1558">
        <v>6278915</v>
      </c>
      <c r="E21" s="1558">
        <v>0</v>
      </c>
      <c r="F21" s="1558">
        <v>0</v>
      </c>
      <c r="G21" s="1558">
        <v>0</v>
      </c>
      <c r="H21" s="1558">
        <v>0</v>
      </c>
      <c r="I21" s="1558">
        <v>0</v>
      </c>
      <c r="J21" s="1558">
        <v>0</v>
      </c>
      <c r="K21" s="1558">
        <v>0</v>
      </c>
      <c r="L21" s="1558">
        <v>0</v>
      </c>
      <c r="M21" s="1558">
        <v>0</v>
      </c>
      <c r="N21" s="1558">
        <v>0</v>
      </c>
      <c r="O21" s="1558">
        <v>0</v>
      </c>
    </row>
    <row r="22" spans="1:15" s="1553" customFormat="1" ht="22.9" customHeight="1">
      <c r="A22" s="1553" t="s">
        <v>579</v>
      </c>
      <c r="C22" s="1543"/>
      <c r="D22" s="1558">
        <v>15025000</v>
      </c>
      <c r="E22" s="1554">
        <v>0</v>
      </c>
      <c r="F22" s="1558">
        <v>0</v>
      </c>
      <c r="G22" s="1558">
        <v>0</v>
      </c>
      <c r="H22" s="1554">
        <v>0</v>
      </c>
      <c r="I22" s="1558">
        <v>0</v>
      </c>
      <c r="J22" s="1558">
        <v>0</v>
      </c>
      <c r="K22" s="1554">
        <v>0</v>
      </c>
      <c r="L22" s="1554">
        <v>0</v>
      </c>
      <c r="M22" s="1554">
        <v>0</v>
      </c>
      <c r="N22" s="1554">
        <v>0</v>
      </c>
      <c r="O22" s="1554">
        <v>0</v>
      </c>
    </row>
    <row r="23" spans="1:15" s="1553" customFormat="1" ht="22.9" customHeight="1">
      <c r="A23" s="1553" t="s">
        <v>578</v>
      </c>
      <c r="C23" s="1543"/>
      <c r="D23" s="1558">
        <v>36590101</v>
      </c>
      <c r="E23" s="1554">
        <v>0</v>
      </c>
      <c r="F23" s="1558">
        <v>0</v>
      </c>
      <c r="G23" s="1558">
        <v>0</v>
      </c>
      <c r="H23" s="1554">
        <v>0</v>
      </c>
      <c r="I23" s="1558">
        <v>0</v>
      </c>
      <c r="J23" s="1558">
        <v>0</v>
      </c>
      <c r="K23" s="1554">
        <v>0</v>
      </c>
      <c r="L23" s="1554">
        <v>0</v>
      </c>
      <c r="M23" s="1554">
        <v>0</v>
      </c>
      <c r="N23" s="1554">
        <v>0</v>
      </c>
      <c r="O23" s="1554">
        <v>0</v>
      </c>
    </row>
    <row r="24" spans="1:15" s="1553" customFormat="1" ht="22.9" customHeight="1">
      <c r="A24" s="1553" t="s">
        <v>435</v>
      </c>
      <c r="C24" s="1543"/>
      <c r="D24" s="1558">
        <v>2451006</v>
      </c>
      <c r="E24" s="1554">
        <v>0</v>
      </c>
      <c r="F24" s="1558">
        <v>0</v>
      </c>
      <c r="G24" s="1558">
        <v>15027556</v>
      </c>
      <c r="H24" s="1554">
        <v>0</v>
      </c>
      <c r="I24" s="1558">
        <v>0</v>
      </c>
      <c r="J24" s="1558">
        <v>0</v>
      </c>
      <c r="K24" s="1554">
        <v>0</v>
      </c>
      <c r="L24" s="1554">
        <v>0</v>
      </c>
      <c r="M24" s="1554">
        <v>0</v>
      </c>
      <c r="N24" s="1554">
        <v>0</v>
      </c>
      <c r="O24" s="1554">
        <v>0</v>
      </c>
    </row>
    <row r="25" spans="1:15" s="1553" customFormat="1" ht="22.9" customHeight="1">
      <c r="A25" s="1553" t="s">
        <v>408</v>
      </c>
      <c r="C25" s="1543"/>
      <c r="D25" s="1558">
        <v>18518059</v>
      </c>
      <c r="E25" s="1554">
        <v>0</v>
      </c>
      <c r="F25" s="1558">
        <v>0</v>
      </c>
      <c r="G25" s="1554">
        <v>0</v>
      </c>
      <c r="H25" s="1554">
        <v>0</v>
      </c>
      <c r="I25" s="1558">
        <v>0</v>
      </c>
      <c r="J25" s="1558">
        <v>0</v>
      </c>
      <c r="K25" s="1554">
        <v>0</v>
      </c>
      <c r="L25" s="1554">
        <v>0</v>
      </c>
      <c r="M25" s="1554">
        <v>0</v>
      </c>
      <c r="N25" s="1554">
        <v>0</v>
      </c>
      <c r="O25" s="1554">
        <v>0</v>
      </c>
    </row>
    <row r="26" spans="1:15" s="1553" customFormat="1" ht="22.9" customHeight="1">
      <c r="A26" s="1553" t="s">
        <v>114</v>
      </c>
      <c r="C26" s="1543"/>
      <c r="D26" s="1558">
        <v>27327625</v>
      </c>
      <c r="E26" s="1554">
        <v>122220191</v>
      </c>
      <c r="F26" s="1558">
        <v>0</v>
      </c>
      <c r="G26" s="1558">
        <v>125990</v>
      </c>
      <c r="H26" s="1554">
        <v>11903785</v>
      </c>
      <c r="I26" s="1554">
        <v>15162899</v>
      </c>
      <c r="J26" s="1558">
        <v>0</v>
      </c>
      <c r="K26" s="1554">
        <v>16379420</v>
      </c>
      <c r="L26" s="1554">
        <v>21301291</v>
      </c>
      <c r="M26" s="1554">
        <v>3796402</v>
      </c>
      <c r="N26" s="1554">
        <v>6416943</v>
      </c>
      <c r="O26" s="1554">
        <v>17101447</v>
      </c>
    </row>
    <row r="27" spans="1:15" s="1553" customFormat="1" ht="22.9" customHeight="1">
      <c r="A27" s="1553" t="s">
        <v>436</v>
      </c>
      <c r="C27" s="1543"/>
      <c r="D27" s="1558">
        <v>3673829</v>
      </c>
      <c r="E27" s="1554">
        <v>0</v>
      </c>
      <c r="F27" s="1558">
        <v>0</v>
      </c>
      <c r="G27" s="1558">
        <v>0</v>
      </c>
      <c r="H27" s="1554">
        <v>3038435</v>
      </c>
      <c r="I27" s="1554">
        <v>0</v>
      </c>
      <c r="J27" s="1558">
        <v>0</v>
      </c>
      <c r="K27" s="1554">
        <v>0</v>
      </c>
      <c r="L27" s="1554">
        <v>0</v>
      </c>
      <c r="M27" s="1554">
        <v>0</v>
      </c>
      <c r="N27" s="1554">
        <v>0</v>
      </c>
      <c r="O27" s="1554">
        <v>0</v>
      </c>
    </row>
    <row r="28" spans="1:15" s="1553" customFormat="1" ht="22.9" customHeight="1">
      <c r="A28" s="1553" t="s">
        <v>437</v>
      </c>
      <c r="C28" s="1543"/>
      <c r="D28" s="1558">
        <v>80793155</v>
      </c>
      <c r="E28" s="1554">
        <v>6500315</v>
      </c>
      <c r="F28" s="1558">
        <v>0</v>
      </c>
      <c r="G28" s="1558">
        <v>548758</v>
      </c>
      <c r="H28" s="1554">
        <v>382892</v>
      </c>
      <c r="I28" s="1558">
        <v>103553</v>
      </c>
      <c r="J28" s="1554">
        <v>2200000</v>
      </c>
      <c r="K28" s="1554">
        <v>114335</v>
      </c>
      <c r="L28" s="1554">
        <v>86198</v>
      </c>
      <c r="M28" s="1554">
        <v>3899193</v>
      </c>
      <c r="N28" s="1554">
        <v>170400</v>
      </c>
      <c r="O28" s="1554">
        <v>251113</v>
      </c>
    </row>
    <row r="29" spans="1:15" s="1543" customFormat="1" ht="22.9" customHeight="1">
      <c r="A29" s="1564" t="s">
        <v>9</v>
      </c>
      <c r="C29" s="1543" t="s">
        <v>58</v>
      </c>
      <c r="D29" s="1565">
        <v>293806561</v>
      </c>
      <c r="E29" s="1566">
        <v>128720506</v>
      </c>
      <c r="F29" s="1566">
        <v>4851378</v>
      </c>
      <c r="G29" s="1565">
        <v>15702304</v>
      </c>
      <c r="H29" s="1566">
        <v>15325112</v>
      </c>
      <c r="I29" s="1566">
        <v>15266452</v>
      </c>
      <c r="J29" s="1566">
        <v>2200000</v>
      </c>
      <c r="K29" s="1566">
        <v>16493755</v>
      </c>
      <c r="L29" s="1566">
        <v>21387489</v>
      </c>
      <c r="M29" s="1566">
        <v>7695595</v>
      </c>
      <c r="N29" s="1566">
        <v>6587343</v>
      </c>
      <c r="O29" s="1566">
        <v>17352560</v>
      </c>
    </row>
    <row r="30" spans="1:15" s="1553" customFormat="1" ht="22.9" customHeight="1">
      <c r="C30" s="1543"/>
      <c r="D30" s="1554"/>
      <c r="E30" s="1554"/>
      <c r="F30" s="1554"/>
      <c r="G30" s="1554"/>
      <c r="H30" s="1554"/>
      <c r="I30" s="1554"/>
      <c r="J30" s="1554"/>
      <c r="K30" s="1554"/>
      <c r="L30" s="1554"/>
      <c r="M30" s="1554"/>
      <c r="N30" s="1554"/>
      <c r="O30" s="1554"/>
    </row>
    <row r="31" spans="1:15" s="1553" customFormat="1" ht="22.9" customHeight="1">
      <c r="A31" s="1564" t="s">
        <v>941</v>
      </c>
      <c r="C31" s="1543" t="s">
        <v>58</v>
      </c>
      <c r="D31" s="1567">
        <v>0</v>
      </c>
      <c r="E31" s="1567">
        <v>0</v>
      </c>
      <c r="F31" s="1567">
        <v>29777660</v>
      </c>
      <c r="G31" s="1567">
        <v>0</v>
      </c>
      <c r="H31" s="1567">
        <v>0</v>
      </c>
      <c r="I31" s="1567">
        <v>3000000</v>
      </c>
      <c r="J31" s="1567">
        <v>0</v>
      </c>
      <c r="K31" s="1567">
        <v>0</v>
      </c>
      <c r="L31" s="1567">
        <v>0</v>
      </c>
      <c r="M31" s="1567">
        <v>0</v>
      </c>
      <c r="N31" s="1567">
        <v>1352273</v>
      </c>
      <c r="O31" s="1567">
        <v>0</v>
      </c>
    </row>
    <row r="32" spans="1:15" s="1553" customFormat="1" ht="22.9" customHeight="1">
      <c r="C32" s="1543"/>
      <c r="D32" s="1554"/>
      <c r="E32" s="1554"/>
      <c r="F32" s="1554"/>
      <c r="G32" s="1554"/>
      <c r="H32" s="1554"/>
      <c r="I32" s="1554"/>
      <c r="J32" s="1554"/>
      <c r="K32" s="1554"/>
      <c r="L32" s="1554"/>
      <c r="M32" s="1554"/>
      <c r="N32" s="1554"/>
      <c r="O32" s="1554"/>
    </row>
    <row r="33" spans="1:26" s="1553" customFormat="1" ht="22.9" customHeight="1">
      <c r="A33" s="1564" t="s">
        <v>949</v>
      </c>
      <c r="C33" s="1543" t="s">
        <v>58</v>
      </c>
      <c r="D33" s="1567">
        <v>0</v>
      </c>
      <c r="E33" s="1567">
        <v>0</v>
      </c>
      <c r="F33" s="1567">
        <v>0</v>
      </c>
      <c r="G33" s="1567">
        <v>0</v>
      </c>
      <c r="H33" s="1567">
        <v>0</v>
      </c>
      <c r="I33" s="1567">
        <v>0</v>
      </c>
      <c r="J33" s="1567">
        <v>0</v>
      </c>
      <c r="K33" s="1567">
        <v>0</v>
      </c>
      <c r="L33" s="1567">
        <v>0</v>
      </c>
      <c r="M33" s="1567">
        <v>0</v>
      </c>
      <c r="N33" s="1567">
        <v>0</v>
      </c>
      <c r="O33" s="1567">
        <v>328449</v>
      </c>
    </row>
    <row r="34" spans="1:26" s="1553" customFormat="1" ht="22.9" customHeight="1">
      <c r="C34" s="1543"/>
      <c r="D34" s="1554"/>
      <c r="E34" s="1554"/>
      <c r="F34" s="1554"/>
      <c r="G34" s="1554"/>
      <c r="H34" s="1554"/>
      <c r="I34" s="1554"/>
      <c r="J34" s="1554"/>
      <c r="K34" s="1554"/>
      <c r="L34" s="1554"/>
      <c r="M34" s="1554"/>
      <c r="N34" s="1554"/>
      <c r="O34" s="1554"/>
    </row>
    <row r="35" spans="1:26" s="1553" customFormat="1" ht="22.9" customHeight="1">
      <c r="A35" s="1564" t="s">
        <v>940</v>
      </c>
      <c r="C35" s="1543"/>
      <c r="D35" s="1567">
        <v>293806561</v>
      </c>
      <c r="E35" s="1567">
        <v>128720506</v>
      </c>
      <c r="F35" s="1567">
        <v>34629038</v>
      </c>
      <c r="G35" s="1567">
        <v>15702304</v>
      </c>
      <c r="H35" s="1567">
        <v>15325112</v>
      </c>
      <c r="I35" s="1567">
        <v>18266452</v>
      </c>
      <c r="J35" s="1567">
        <v>2200000</v>
      </c>
      <c r="K35" s="1567">
        <v>16493755</v>
      </c>
      <c r="L35" s="1567">
        <v>21387489</v>
      </c>
      <c r="M35" s="1567">
        <v>7695595</v>
      </c>
      <c r="N35" s="1567">
        <v>7939616</v>
      </c>
      <c r="O35" s="1567">
        <v>17681009</v>
      </c>
    </row>
    <row r="36" spans="1:26" s="1553" customFormat="1" ht="22.9" customHeight="1">
      <c r="C36" s="1543"/>
      <c r="D36" s="1554"/>
      <c r="E36" s="1554"/>
      <c r="F36" s="1554"/>
      <c r="G36" s="1554"/>
      <c r="H36" s="1554"/>
      <c r="I36" s="1554"/>
      <c r="J36" s="1554"/>
      <c r="K36" s="1554"/>
      <c r="L36" s="1554"/>
      <c r="M36" s="1554"/>
      <c r="N36" s="1554"/>
      <c r="O36" s="1554"/>
    </row>
    <row r="37" spans="1:26" s="1543" customFormat="1" ht="22.9" customHeight="1" thickBot="1">
      <c r="A37" s="1542" t="s">
        <v>946</v>
      </c>
      <c r="B37" s="1542"/>
      <c r="C37" s="1543" t="s">
        <v>424</v>
      </c>
      <c r="D37" s="1568">
        <v>358789982</v>
      </c>
      <c r="E37" s="1568">
        <v>185359849</v>
      </c>
      <c r="F37" s="1568">
        <v>49537768</v>
      </c>
      <c r="G37" s="1568">
        <v>36378060</v>
      </c>
      <c r="H37" s="1568">
        <v>29062116</v>
      </c>
      <c r="I37" s="1568">
        <v>26170050</v>
      </c>
      <c r="J37" s="1568">
        <v>26129746</v>
      </c>
      <c r="K37" s="1568">
        <v>24932499</v>
      </c>
      <c r="L37" s="1568">
        <v>24515380</v>
      </c>
      <c r="M37" s="1568">
        <v>21576377</v>
      </c>
      <c r="N37" s="1568">
        <v>20152835</v>
      </c>
      <c r="O37" s="1568">
        <v>18231232</v>
      </c>
    </row>
    <row r="38" spans="1:26" s="1553" customFormat="1" ht="22.9" customHeight="1" thickTop="1">
      <c r="C38" s="1543"/>
      <c r="D38" s="1554"/>
      <c r="E38" s="1554"/>
      <c r="F38" s="1554"/>
      <c r="G38" s="1554"/>
      <c r="H38" s="1554"/>
      <c r="I38" s="1554"/>
      <c r="J38" s="1554"/>
      <c r="K38" s="1554"/>
      <c r="L38" s="1554"/>
      <c r="M38" s="1554"/>
      <c r="N38" s="1554"/>
      <c r="O38" s="1554"/>
    </row>
    <row r="39" spans="1:26" s="1553" customFormat="1" ht="22.9" customHeight="1">
      <c r="A39" s="1543"/>
      <c r="C39" s="1543"/>
      <c r="D39" s="1558" t="s">
        <v>58</v>
      </c>
      <c r="E39" s="1554"/>
      <c r="F39" s="1554"/>
      <c r="G39" s="1554"/>
      <c r="H39" s="1554"/>
      <c r="I39" s="1554"/>
      <c r="J39" s="1554"/>
      <c r="K39" s="1554"/>
      <c r="L39" s="1554"/>
      <c r="M39" s="1554"/>
      <c r="N39" s="1554"/>
      <c r="O39" s="1554"/>
      <c r="S39" s="1543"/>
      <c r="T39" s="1543"/>
    </row>
    <row r="40" spans="1:26" s="1553" customFormat="1" ht="22.9" customHeight="1">
      <c r="C40" s="1543"/>
      <c r="D40" s="1554"/>
      <c r="E40" s="1554"/>
      <c r="F40" s="1554"/>
      <c r="G40" s="1554"/>
      <c r="H40" s="1554"/>
      <c r="I40" s="1554"/>
      <c r="J40" s="1554"/>
      <c r="K40" s="1554"/>
      <c r="L40" s="1554"/>
      <c r="M40" s="1554"/>
      <c r="N40" s="1554"/>
      <c r="O40" s="1554"/>
    </row>
    <row r="41" spans="1:26" s="1553" customFormat="1" ht="22.9" customHeight="1">
      <c r="A41" s="1543" t="s">
        <v>811</v>
      </c>
      <c r="C41" s="1543"/>
      <c r="D41" s="1554"/>
      <c r="E41" s="1554"/>
      <c r="F41" s="1554"/>
      <c r="G41" s="1554"/>
      <c r="H41" s="1554"/>
      <c r="I41" s="1554"/>
      <c r="J41" s="1554"/>
      <c r="K41" s="1554"/>
      <c r="L41" s="1554"/>
      <c r="M41" s="1554"/>
      <c r="N41" s="1554"/>
      <c r="O41" s="1554"/>
    </row>
    <row r="42" spans="1:26" s="1553" customFormat="1" ht="22.9" customHeight="1">
      <c r="A42" s="1553" t="s">
        <v>442</v>
      </c>
      <c r="C42" s="1543" t="s">
        <v>424</v>
      </c>
      <c r="D42" s="1554">
        <v>3601973</v>
      </c>
      <c r="E42" s="1554">
        <v>0</v>
      </c>
      <c r="F42" s="1554">
        <v>0</v>
      </c>
      <c r="G42" s="1554">
        <v>0</v>
      </c>
      <c r="H42" s="1554">
        <v>0</v>
      </c>
      <c r="I42" s="1554">
        <v>0</v>
      </c>
      <c r="J42" s="1554">
        <v>0</v>
      </c>
      <c r="K42" s="1554">
        <v>0</v>
      </c>
      <c r="L42" s="1554">
        <v>0</v>
      </c>
      <c r="M42" s="1554">
        <v>0</v>
      </c>
      <c r="N42" s="1554">
        <v>0</v>
      </c>
      <c r="O42" s="1554">
        <v>0</v>
      </c>
    </row>
    <row r="43" spans="1:26" s="1546" customFormat="1" ht="22.9" customHeight="1">
      <c r="A43" s="1546" t="s">
        <v>443</v>
      </c>
      <c r="C43" s="1545"/>
      <c r="D43" s="1554">
        <v>952952</v>
      </c>
      <c r="E43" s="1554">
        <v>0</v>
      </c>
      <c r="F43" s="1554">
        <v>0</v>
      </c>
      <c r="G43" s="1554">
        <v>0</v>
      </c>
      <c r="H43" s="1554">
        <v>0</v>
      </c>
      <c r="I43" s="1554">
        <v>0</v>
      </c>
      <c r="J43" s="1554">
        <v>0</v>
      </c>
      <c r="K43" s="1554">
        <v>0</v>
      </c>
      <c r="L43" s="1554">
        <v>0</v>
      </c>
      <c r="M43" s="1554">
        <v>0</v>
      </c>
      <c r="N43" s="1554">
        <v>0</v>
      </c>
      <c r="O43" s="1554">
        <v>0</v>
      </c>
      <c r="S43" s="1553"/>
      <c r="T43" s="1553"/>
      <c r="U43" s="1553"/>
      <c r="V43" s="1553"/>
      <c r="W43" s="1553"/>
      <c r="X43" s="1553"/>
      <c r="Y43" s="1553"/>
      <c r="Z43" s="1553"/>
    </row>
    <row r="44" spans="1:26" s="1546" customFormat="1" ht="22.9" customHeight="1">
      <c r="A44" s="1546" t="s">
        <v>444</v>
      </c>
      <c r="C44" s="1545"/>
      <c r="D44" s="1554">
        <v>1460961</v>
      </c>
      <c r="E44" s="1554">
        <v>0</v>
      </c>
      <c r="F44" s="1554">
        <v>0</v>
      </c>
      <c r="G44" s="1554">
        <v>0</v>
      </c>
      <c r="H44" s="1554">
        <v>0</v>
      </c>
      <c r="I44" s="1554">
        <v>0</v>
      </c>
      <c r="J44" s="1554">
        <v>0</v>
      </c>
      <c r="K44" s="1554">
        <v>0</v>
      </c>
      <c r="L44" s="1554">
        <v>0</v>
      </c>
      <c r="M44" s="1554">
        <v>0</v>
      </c>
      <c r="N44" s="1554">
        <v>0</v>
      </c>
      <c r="O44" s="1554">
        <v>0</v>
      </c>
      <c r="S44" s="1553"/>
      <c r="T44" s="1553"/>
      <c r="U44" s="1553"/>
      <c r="V44" s="1553"/>
      <c r="W44" s="1553"/>
      <c r="X44" s="1553"/>
      <c r="Y44" s="1553"/>
      <c r="Z44" s="1553"/>
    </row>
    <row r="45" spans="1:26" s="1546" customFormat="1" ht="22.9" customHeight="1">
      <c r="A45" s="1546" t="s">
        <v>445</v>
      </c>
      <c r="C45" s="1545"/>
      <c r="D45" s="1554">
        <v>1129353</v>
      </c>
      <c r="E45" s="1554">
        <v>0</v>
      </c>
      <c r="F45" s="1554">
        <v>0</v>
      </c>
      <c r="G45" s="1554">
        <v>0</v>
      </c>
      <c r="H45" s="1554">
        <v>0</v>
      </c>
      <c r="I45" s="1554">
        <v>0</v>
      </c>
      <c r="J45" s="1554">
        <v>0</v>
      </c>
      <c r="K45" s="1554">
        <v>0</v>
      </c>
      <c r="L45" s="1554">
        <v>0</v>
      </c>
      <c r="M45" s="1554">
        <v>0</v>
      </c>
      <c r="N45" s="1554">
        <v>0</v>
      </c>
      <c r="O45" s="1554">
        <v>0</v>
      </c>
      <c r="S45" s="1553"/>
      <c r="T45" s="1553"/>
      <c r="U45" s="1553"/>
      <c r="V45" s="1553"/>
      <c r="W45" s="1553"/>
      <c r="X45" s="1553"/>
      <c r="Y45" s="1553"/>
      <c r="Z45" s="1553"/>
    </row>
    <row r="46" spans="1:26" s="1546" customFormat="1" ht="22.9" customHeight="1">
      <c r="A46" s="1546" t="s">
        <v>446</v>
      </c>
      <c r="C46" s="1545"/>
      <c r="D46" s="1554">
        <v>4972340</v>
      </c>
      <c r="E46" s="1554">
        <v>0</v>
      </c>
      <c r="F46" s="1554">
        <v>0</v>
      </c>
      <c r="G46" s="1554">
        <v>0</v>
      </c>
      <c r="H46" s="1554">
        <v>0</v>
      </c>
      <c r="I46" s="1554">
        <v>0</v>
      </c>
      <c r="J46" s="1554">
        <v>0</v>
      </c>
      <c r="K46" s="1554">
        <v>0</v>
      </c>
      <c r="L46" s="1554">
        <v>0</v>
      </c>
      <c r="M46" s="1554">
        <v>0</v>
      </c>
      <c r="N46" s="1554">
        <v>0</v>
      </c>
      <c r="O46" s="1554">
        <v>0</v>
      </c>
      <c r="S46" s="1553"/>
      <c r="T46" s="1553"/>
      <c r="U46" s="1553"/>
      <c r="V46" s="1553"/>
      <c r="W46" s="1553"/>
      <c r="X46" s="1553"/>
      <c r="Y46" s="1553"/>
      <c r="Z46" s="1553"/>
    </row>
    <row r="47" spans="1:26" s="1546" customFormat="1" ht="22.9" customHeight="1">
      <c r="A47" s="1546" t="s">
        <v>448</v>
      </c>
      <c r="C47" s="1545"/>
      <c r="D47" s="1554">
        <v>5222401</v>
      </c>
      <c r="E47" s="1554">
        <v>2621564</v>
      </c>
      <c r="F47" s="1554">
        <v>0</v>
      </c>
      <c r="G47" s="1554">
        <v>0</v>
      </c>
      <c r="H47" s="1554">
        <v>0</v>
      </c>
      <c r="I47" s="1554">
        <v>0</v>
      </c>
      <c r="J47" s="1554">
        <v>0</v>
      </c>
      <c r="K47" s="1554">
        <v>0</v>
      </c>
      <c r="L47" s="1554">
        <v>0</v>
      </c>
      <c r="M47" s="1554">
        <v>0</v>
      </c>
      <c r="N47" s="1554">
        <v>0</v>
      </c>
      <c r="O47" s="1554">
        <v>0</v>
      </c>
      <c r="S47" s="1553"/>
      <c r="T47" s="1553"/>
      <c r="U47" s="1553"/>
      <c r="V47" s="1553"/>
      <c r="W47" s="1553"/>
      <c r="X47" s="1553"/>
      <c r="Y47" s="1553"/>
      <c r="Z47" s="1553"/>
    </row>
    <row r="48" spans="1:26" s="1546" customFormat="1" ht="22.9" customHeight="1">
      <c r="A48" s="1546" t="s">
        <v>683</v>
      </c>
      <c r="C48" s="1545"/>
      <c r="D48" s="1554">
        <v>67101906</v>
      </c>
      <c r="E48" s="1554">
        <v>0</v>
      </c>
      <c r="F48" s="1569">
        <v>0</v>
      </c>
      <c r="G48" s="1554">
        <v>0</v>
      </c>
      <c r="H48" s="1554">
        <v>0</v>
      </c>
      <c r="I48" s="1554">
        <v>0</v>
      </c>
      <c r="J48" s="1554">
        <v>0</v>
      </c>
      <c r="K48" s="1554">
        <v>0</v>
      </c>
      <c r="L48" s="1554">
        <v>0</v>
      </c>
      <c r="M48" s="1554">
        <v>0</v>
      </c>
      <c r="N48" s="1554">
        <v>0</v>
      </c>
      <c r="O48" s="1554">
        <v>0</v>
      </c>
      <c r="S48" s="1553"/>
      <c r="T48" s="1553"/>
      <c r="U48" s="1553"/>
      <c r="V48" s="1553"/>
      <c r="W48" s="1553"/>
      <c r="X48" s="1553"/>
      <c r="Y48" s="1553"/>
      <c r="Z48" s="1553"/>
    </row>
    <row r="49" spans="1:26" s="1546" customFormat="1" ht="22.9" customHeight="1">
      <c r="A49" s="1546" t="s">
        <v>450</v>
      </c>
      <c r="C49" s="1545"/>
      <c r="D49" s="1554">
        <v>2734744</v>
      </c>
      <c r="E49" s="1554">
        <v>0</v>
      </c>
      <c r="F49" s="1554">
        <v>0</v>
      </c>
      <c r="G49" s="1554">
        <v>0</v>
      </c>
      <c r="H49" s="1554">
        <v>0</v>
      </c>
      <c r="I49" s="1554">
        <v>0</v>
      </c>
      <c r="J49" s="1554">
        <v>0</v>
      </c>
      <c r="K49" s="1554">
        <v>0</v>
      </c>
      <c r="L49" s="1554">
        <v>20643758</v>
      </c>
      <c r="M49" s="1554">
        <v>0</v>
      </c>
      <c r="N49" s="1554">
        <v>0</v>
      </c>
      <c r="O49" s="1554">
        <v>18231232</v>
      </c>
      <c r="S49" s="1553"/>
      <c r="T49" s="1553"/>
      <c r="U49" s="1553"/>
      <c r="V49" s="1553"/>
      <c r="W49" s="1553"/>
      <c r="X49" s="1553"/>
      <c r="Y49" s="1553"/>
      <c r="Z49" s="1553"/>
    </row>
    <row r="50" spans="1:26" s="1546" customFormat="1" ht="22.9" customHeight="1">
      <c r="A50" s="1546" t="s">
        <v>483</v>
      </c>
      <c r="C50" s="1545"/>
      <c r="D50" s="1554">
        <v>0</v>
      </c>
      <c r="E50" s="1554">
        <v>0</v>
      </c>
      <c r="F50" s="1554">
        <v>0</v>
      </c>
      <c r="G50" s="1554">
        <v>0</v>
      </c>
      <c r="H50" s="1554">
        <v>0</v>
      </c>
      <c r="I50" s="1554">
        <v>0</v>
      </c>
      <c r="J50" s="1554">
        <v>0</v>
      </c>
      <c r="K50" s="1554">
        <v>0</v>
      </c>
      <c r="L50" s="1554">
        <v>0</v>
      </c>
      <c r="M50" s="1554">
        <v>0</v>
      </c>
      <c r="N50" s="1554">
        <v>0</v>
      </c>
      <c r="O50" s="1554">
        <v>0</v>
      </c>
      <c r="S50" s="1553"/>
      <c r="T50" s="1553"/>
      <c r="U50" s="1553"/>
      <c r="V50" s="1553"/>
      <c r="W50" s="1553"/>
      <c r="X50" s="1553"/>
      <c r="Y50" s="1553"/>
      <c r="Z50" s="1553"/>
    </row>
    <row r="51" spans="1:26" s="1546" customFormat="1" ht="22.9" customHeight="1">
      <c r="A51" s="1546" t="s">
        <v>454</v>
      </c>
      <c r="C51" s="1545"/>
      <c r="D51" s="1554">
        <v>38331577</v>
      </c>
      <c r="E51" s="1554">
        <v>0</v>
      </c>
      <c r="F51" s="1554">
        <v>0</v>
      </c>
      <c r="G51" s="1554">
        <v>0</v>
      </c>
      <c r="H51" s="1554">
        <v>0</v>
      </c>
      <c r="I51" s="1554">
        <v>12573326</v>
      </c>
      <c r="J51" s="1558">
        <v>900259</v>
      </c>
      <c r="K51" s="1554">
        <v>0</v>
      </c>
      <c r="L51" s="1554">
        <v>0</v>
      </c>
      <c r="M51" s="1554">
        <v>0</v>
      </c>
      <c r="N51" s="1554">
        <v>0</v>
      </c>
      <c r="O51" s="1554">
        <v>0</v>
      </c>
      <c r="S51" s="1553"/>
      <c r="T51" s="1553"/>
      <c r="U51" s="1553"/>
      <c r="V51" s="1553"/>
      <c r="W51" s="1553"/>
      <c r="X51" s="1553"/>
      <c r="Y51" s="1553"/>
      <c r="Z51" s="1553"/>
    </row>
    <row r="52" spans="1:26" s="1546" customFormat="1" ht="22.9" customHeight="1">
      <c r="A52" s="1546" t="s">
        <v>456</v>
      </c>
      <c r="C52" s="1545"/>
      <c r="D52" s="1554">
        <v>93348847</v>
      </c>
      <c r="E52" s="1554">
        <v>0</v>
      </c>
      <c r="F52" s="1554">
        <v>0</v>
      </c>
      <c r="G52" s="1554">
        <v>0</v>
      </c>
      <c r="H52" s="1554">
        <v>0</v>
      </c>
      <c r="I52" s="1554">
        <v>0</v>
      </c>
      <c r="J52" s="1554">
        <v>0</v>
      </c>
      <c r="K52" s="1554">
        <v>0</v>
      </c>
      <c r="L52" s="1554">
        <v>0</v>
      </c>
      <c r="M52" s="1554">
        <v>0</v>
      </c>
      <c r="N52" s="1554">
        <v>0</v>
      </c>
      <c r="O52" s="1554">
        <v>0</v>
      </c>
      <c r="S52" s="1553"/>
      <c r="T52" s="1553"/>
      <c r="U52" s="1553"/>
      <c r="V52" s="1553"/>
      <c r="W52" s="1553"/>
      <c r="X52" s="1553"/>
      <c r="Y52" s="1553"/>
      <c r="Z52" s="1553"/>
    </row>
    <row r="53" spans="1:26" s="1546" customFormat="1" ht="22.9" customHeight="1">
      <c r="A53" s="1546" t="s">
        <v>459</v>
      </c>
      <c r="C53" s="1545"/>
      <c r="D53" s="1554">
        <v>6258221</v>
      </c>
      <c r="E53" s="1554">
        <v>93336032</v>
      </c>
      <c r="F53" s="1554">
        <v>0</v>
      </c>
      <c r="G53" s="1554">
        <v>0</v>
      </c>
      <c r="H53" s="1554">
        <v>0</v>
      </c>
      <c r="I53" s="1554">
        <v>10751232</v>
      </c>
      <c r="J53" s="1554">
        <v>0</v>
      </c>
      <c r="K53" s="1554">
        <v>15285932</v>
      </c>
      <c r="L53" s="1554">
        <v>0</v>
      </c>
      <c r="M53" s="1554">
        <v>0</v>
      </c>
      <c r="N53" s="1554">
        <v>5803546</v>
      </c>
      <c r="O53" s="1554">
        <v>0</v>
      </c>
      <c r="S53" s="1553"/>
      <c r="T53" s="1553"/>
      <c r="U53" s="1553"/>
      <c r="V53" s="1553"/>
      <c r="W53" s="1553"/>
      <c r="X53" s="1553"/>
      <c r="Y53" s="1553"/>
      <c r="Z53" s="1553"/>
    </row>
    <row r="54" spans="1:26" s="1546" customFormat="1" ht="22.9" customHeight="1">
      <c r="A54" s="1546" t="s">
        <v>570</v>
      </c>
      <c r="C54" s="1545"/>
      <c r="D54" s="1554">
        <v>8025367</v>
      </c>
      <c r="E54" s="1554">
        <v>0</v>
      </c>
      <c r="F54" s="1558">
        <v>0</v>
      </c>
      <c r="G54" s="1558">
        <v>13208042</v>
      </c>
      <c r="H54" s="1554">
        <v>0</v>
      </c>
      <c r="I54" s="1554">
        <v>0</v>
      </c>
      <c r="J54" s="1558">
        <v>0</v>
      </c>
      <c r="K54" s="1554">
        <v>0</v>
      </c>
      <c r="L54" s="1554">
        <v>0</v>
      </c>
      <c r="M54" s="1554">
        <v>0</v>
      </c>
      <c r="N54" s="1554">
        <v>0</v>
      </c>
      <c r="O54" s="1554">
        <v>0</v>
      </c>
      <c r="S54" s="1553"/>
      <c r="T54" s="1553"/>
      <c r="U54" s="1553"/>
      <c r="V54" s="1553"/>
      <c r="W54" s="1553"/>
      <c r="X54" s="1553"/>
      <c r="Y54" s="1553"/>
      <c r="Z54" s="1553"/>
    </row>
    <row r="55" spans="1:26" s="1546" customFormat="1" ht="22.9" customHeight="1">
      <c r="A55" s="1546" t="s">
        <v>476</v>
      </c>
      <c r="C55" s="1545"/>
      <c r="D55" s="1554">
        <v>2382635</v>
      </c>
      <c r="E55" s="1554">
        <v>0</v>
      </c>
      <c r="F55" s="1554">
        <v>0</v>
      </c>
      <c r="G55" s="1554">
        <v>0</v>
      </c>
      <c r="H55" s="1554">
        <v>15360523</v>
      </c>
      <c r="I55" s="1554">
        <v>0</v>
      </c>
      <c r="J55" s="1554">
        <v>0</v>
      </c>
      <c r="K55" s="1554">
        <v>0</v>
      </c>
      <c r="L55" s="1554">
        <v>0</v>
      </c>
      <c r="M55" s="1554">
        <v>7812103</v>
      </c>
      <c r="N55" s="1554">
        <v>0</v>
      </c>
      <c r="O55" s="1554">
        <v>0</v>
      </c>
      <c r="S55" s="1553"/>
      <c r="T55" s="1553"/>
      <c r="U55" s="1553"/>
      <c r="V55" s="1553"/>
      <c r="W55" s="1553"/>
      <c r="X55" s="1553"/>
      <c r="Y55" s="1553"/>
      <c r="Z55" s="1553"/>
    </row>
    <row r="56" spans="1:26" s="1553" customFormat="1" ht="22.9" customHeight="1">
      <c r="A56" s="1553" t="s">
        <v>16</v>
      </c>
      <c r="C56" s="1543"/>
      <c r="D56" s="1554">
        <v>0</v>
      </c>
      <c r="E56" s="1554">
        <v>33116202</v>
      </c>
      <c r="F56" s="1554">
        <v>34629505</v>
      </c>
      <c r="G56" s="1554">
        <v>0</v>
      </c>
      <c r="H56" s="1554">
        <v>0</v>
      </c>
      <c r="I56" s="1554">
        <v>0</v>
      </c>
      <c r="J56" s="1554">
        <v>0</v>
      </c>
      <c r="K56" s="1554">
        <v>0</v>
      </c>
      <c r="L56" s="1554">
        <v>0</v>
      </c>
      <c r="M56" s="1554">
        <v>0</v>
      </c>
      <c r="N56" s="1554">
        <v>0</v>
      </c>
      <c r="O56" s="1554">
        <v>0</v>
      </c>
    </row>
    <row r="57" spans="1:26" s="1546" customFormat="1" ht="22.9" customHeight="1">
      <c r="A57" s="1546" t="s">
        <v>460</v>
      </c>
      <c r="C57" s="1545"/>
      <c r="D57" s="1554">
        <v>17390748</v>
      </c>
      <c r="E57" s="1554">
        <v>0</v>
      </c>
      <c r="F57" s="1554">
        <v>0</v>
      </c>
      <c r="G57" s="1554">
        <v>0</v>
      </c>
      <c r="H57" s="1554">
        <v>0</v>
      </c>
      <c r="I57" s="1554">
        <v>0</v>
      </c>
      <c r="J57" s="1558">
        <v>0</v>
      </c>
      <c r="K57" s="1554">
        <v>0</v>
      </c>
      <c r="L57" s="1554">
        <v>0</v>
      </c>
      <c r="M57" s="1554">
        <v>0</v>
      </c>
      <c r="N57" s="1554">
        <v>0</v>
      </c>
      <c r="O57" s="1554">
        <v>0</v>
      </c>
      <c r="S57" s="1553"/>
      <c r="T57" s="1553"/>
      <c r="U57" s="1553"/>
      <c r="V57" s="1553"/>
      <c r="W57" s="1553"/>
      <c r="X57" s="1553"/>
      <c r="Y57" s="1553"/>
      <c r="Z57" s="1553"/>
    </row>
    <row r="58" spans="1:26" s="1545" customFormat="1" ht="22.9" customHeight="1">
      <c r="A58" s="1555" t="s">
        <v>943</v>
      </c>
      <c r="C58" s="1545" t="s">
        <v>58</v>
      </c>
      <c r="D58" s="1565">
        <v>252914025</v>
      </c>
      <c r="E58" s="1565">
        <v>129073798</v>
      </c>
      <c r="F58" s="1565">
        <v>34629505</v>
      </c>
      <c r="G58" s="1565">
        <v>13208042</v>
      </c>
      <c r="H58" s="1565">
        <v>15360523</v>
      </c>
      <c r="I58" s="1565">
        <v>23324558</v>
      </c>
      <c r="J58" s="1565">
        <v>900259</v>
      </c>
      <c r="K58" s="1565">
        <v>15285932</v>
      </c>
      <c r="L58" s="1565">
        <v>20643758</v>
      </c>
      <c r="M58" s="1565">
        <v>7812103</v>
      </c>
      <c r="N58" s="1565">
        <v>5803546</v>
      </c>
      <c r="O58" s="1565">
        <v>18231232</v>
      </c>
      <c r="S58" s="1543"/>
      <c r="T58" s="1543"/>
      <c r="U58" s="1543"/>
      <c r="V58" s="1543"/>
      <c r="W58" s="1543"/>
      <c r="X58" s="1543"/>
      <c r="Y58" s="1543"/>
      <c r="Z58" s="1543"/>
    </row>
    <row r="59" spans="1:26" s="1546" customFormat="1" ht="22.9" customHeight="1">
      <c r="C59" s="1545"/>
      <c r="D59" s="1570"/>
      <c r="E59" s="1554"/>
      <c r="F59" s="1554"/>
      <c r="G59" s="1554"/>
      <c r="H59" s="1554"/>
      <c r="I59" s="1554"/>
      <c r="J59" s="1554"/>
      <c r="K59" s="1554"/>
      <c r="L59" s="1554"/>
      <c r="M59" s="1554"/>
      <c r="N59" s="1554"/>
      <c r="O59" s="1554"/>
      <c r="S59" s="1553"/>
      <c r="T59" s="1553"/>
      <c r="U59" s="1553"/>
      <c r="V59" s="1553"/>
      <c r="W59" s="1553"/>
      <c r="X59" s="1553"/>
      <c r="Y59" s="1553"/>
      <c r="Z59" s="1553"/>
    </row>
    <row r="60" spans="1:26" s="1546" customFormat="1" ht="22.9" customHeight="1">
      <c r="A60" s="1545" t="s">
        <v>462</v>
      </c>
      <c r="C60" s="1545"/>
      <c r="D60" s="1570"/>
      <c r="E60" s="1554"/>
      <c r="F60" s="1554"/>
      <c r="G60" s="1554"/>
      <c r="H60" s="1554"/>
      <c r="I60" s="1554"/>
      <c r="J60" s="1554"/>
      <c r="K60" s="1554"/>
      <c r="L60" s="1554"/>
      <c r="M60" s="1554"/>
      <c r="N60" s="1554"/>
      <c r="O60" s="1554"/>
      <c r="S60" s="1553"/>
      <c r="T60" s="1553"/>
      <c r="U60" s="1553"/>
      <c r="V60" s="1553"/>
      <c r="W60" s="1553"/>
      <c r="X60" s="1553"/>
      <c r="Y60" s="1553"/>
      <c r="Z60" s="1553"/>
    </row>
    <row r="61" spans="1:26" s="1546" customFormat="1" ht="22.9" customHeight="1">
      <c r="A61" s="1546" t="s">
        <v>463</v>
      </c>
      <c r="C61" s="1545"/>
      <c r="D61" s="1554">
        <v>31774027</v>
      </c>
      <c r="E61" s="1554">
        <v>2684345</v>
      </c>
      <c r="F61" s="1554">
        <v>0</v>
      </c>
      <c r="G61" s="1554">
        <v>487903</v>
      </c>
      <c r="H61" s="1554">
        <v>378345</v>
      </c>
      <c r="I61" s="1554">
        <v>534730</v>
      </c>
      <c r="J61" s="1554">
        <v>0</v>
      </c>
      <c r="K61" s="1571">
        <v>19460</v>
      </c>
      <c r="L61" s="1554">
        <v>78026</v>
      </c>
      <c r="M61" s="1554">
        <v>154008</v>
      </c>
      <c r="N61" s="1554">
        <v>226340</v>
      </c>
      <c r="O61" s="1554">
        <v>0</v>
      </c>
      <c r="S61" s="1553"/>
      <c r="T61" s="1553"/>
      <c r="U61" s="1553"/>
      <c r="V61" s="1553"/>
      <c r="W61" s="1553"/>
      <c r="X61" s="1553"/>
      <c r="Y61" s="1553"/>
      <c r="Z61" s="1553"/>
    </row>
    <row r="62" spans="1:26" s="1546" customFormat="1" ht="22.9" customHeight="1">
      <c r="A62" s="1546" t="s">
        <v>464</v>
      </c>
      <c r="C62" s="1545"/>
      <c r="D62" s="1554">
        <v>1213199</v>
      </c>
      <c r="E62" s="1554">
        <v>0</v>
      </c>
      <c r="F62" s="1554">
        <v>0</v>
      </c>
      <c r="G62" s="1554">
        <v>0</v>
      </c>
      <c r="H62" s="1554">
        <v>0</v>
      </c>
      <c r="I62" s="1554">
        <v>0</v>
      </c>
      <c r="J62" s="1554">
        <v>0</v>
      </c>
      <c r="K62" s="1554">
        <v>0</v>
      </c>
      <c r="L62" s="1554">
        <v>0</v>
      </c>
      <c r="M62" s="1554">
        <v>0</v>
      </c>
      <c r="N62" s="1554">
        <v>0</v>
      </c>
      <c r="O62" s="1554">
        <v>0</v>
      </c>
      <c r="S62" s="1553"/>
      <c r="T62" s="1553"/>
      <c r="U62" s="1553"/>
      <c r="V62" s="1553"/>
      <c r="W62" s="1553"/>
      <c r="X62" s="1553"/>
      <c r="Y62" s="1553"/>
      <c r="Z62" s="1553"/>
    </row>
    <row r="63" spans="1:26" s="1546" customFormat="1" ht="22.9" hidden="1" customHeight="1">
      <c r="A63" s="1546" t="s">
        <v>906</v>
      </c>
      <c r="C63" s="1545"/>
      <c r="D63" s="1554">
        <v>0</v>
      </c>
      <c r="E63" s="1554">
        <v>0</v>
      </c>
      <c r="F63" s="1554">
        <v>0</v>
      </c>
      <c r="G63" s="1554">
        <v>0</v>
      </c>
      <c r="H63" s="1554">
        <v>0</v>
      </c>
      <c r="I63" s="1554">
        <v>0</v>
      </c>
      <c r="J63" s="1554">
        <v>0</v>
      </c>
      <c r="K63" s="1554">
        <v>0</v>
      </c>
      <c r="L63" s="1554">
        <v>0</v>
      </c>
      <c r="M63" s="1554">
        <v>0</v>
      </c>
      <c r="N63" s="1554">
        <v>0</v>
      </c>
      <c r="O63" s="1554">
        <v>0</v>
      </c>
      <c r="S63" s="1553"/>
      <c r="T63" s="1553"/>
      <c r="U63" s="1553"/>
      <c r="V63" s="1553"/>
      <c r="W63" s="1553"/>
      <c r="X63" s="1553"/>
      <c r="Y63" s="1553"/>
      <c r="Z63" s="1553"/>
    </row>
    <row r="64" spans="1:26" s="1546" customFormat="1" ht="22.9" customHeight="1">
      <c r="A64" s="1546" t="s">
        <v>465</v>
      </c>
      <c r="C64" s="1545"/>
      <c r="D64" s="1557">
        <v>6863750</v>
      </c>
      <c r="E64" s="1558">
        <v>6227268</v>
      </c>
      <c r="F64" s="1554">
        <v>0</v>
      </c>
      <c r="G64" s="1554">
        <v>0</v>
      </c>
      <c r="H64" s="1558">
        <v>6011250</v>
      </c>
      <c r="I64" s="1558">
        <v>0</v>
      </c>
      <c r="J64" s="1554">
        <v>350000</v>
      </c>
      <c r="K64" s="1558">
        <v>75000</v>
      </c>
      <c r="L64" s="1558">
        <v>0</v>
      </c>
      <c r="M64" s="1558">
        <v>585868</v>
      </c>
      <c r="N64" s="1558">
        <v>0</v>
      </c>
      <c r="O64" s="1558">
        <v>0</v>
      </c>
      <c r="S64" s="1553"/>
      <c r="T64" s="1553"/>
      <c r="U64" s="1553"/>
      <c r="V64" s="1553"/>
      <c r="W64" s="1553"/>
      <c r="X64" s="1553"/>
      <c r="Y64" s="1553"/>
      <c r="Z64" s="1553"/>
    </row>
    <row r="65" spans="1:26" s="1545" customFormat="1" ht="22.9" customHeight="1">
      <c r="A65" s="1555" t="s">
        <v>20</v>
      </c>
      <c r="C65" s="1545" t="s">
        <v>58</v>
      </c>
      <c r="D65" s="1556">
        <v>39850976</v>
      </c>
      <c r="E65" s="1556">
        <v>8911613</v>
      </c>
      <c r="F65" s="1556">
        <v>0</v>
      </c>
      <c r="G65" s="1556">
        <v>487903</v>
      </c>
      <c r="H65" s="1556">
        <v>6389595</v>
      </c>
      <c r="I65" s="1556">
        <v>534730</v>
      </c>
      <c r="J65" s="1556">
        <v>350000</v>
      </c>
      <c r="K65" s="1556">
        <v>94460</v>
      </c>
      <c r="L65" s="1556">
        <v>78026</v>
      </c>
      <c r="M65" s="1556">
        <v>739876</v>
      </c>
      <c r="N65" s="1556">
        <v>226340</v>
      </c>
      <c r="O65" s="1556">
        <v>0</v>
      </c>
      <c r="S65" s="1543"/>
      <c r="T65" s="1543"/>
      <c r="U65" s="1543"/>
      <c r="V65" s="1543"/>
      <c r="W65" s="1543"/>
      <c r="X65" s="1543"/>
      <c r="Y65" s="1543"/>
      <c r="Z65" s="1543"/>
    </row>
    <row r="66" spans="1:26" s="1546" customFormat="1" ht="22.9" customHeight="1">
      <c r="C66" s="1545"/>
      <c r="D66" s="1557"/>
      <c r="E66" s="1557"/>
      <c r="F66" s="1557"/>
      <c r="G66" s="1557"/>
      <c r="H66" s="1557"/>
      <c r="I66" s="1557"/>
      <c r="J66" s="1557"/>
      <c r="K66" s="1557"/>
      <c r="L66" s="1557"/>
      <c r="M66" s="1557"/>
      <c r="N66" s="1557"/>
      <c r="O66" s="1557"/>
      <c r="S66" s="1553"/>
      <c r="T66" s="1553"/>
      <c r="U66" s="1553"/>
      <c r="V66" s="1553"/>
      <c r="W66" s="1553"/>
      <c r="X66" s="1553"/>
      <c r="Y66" s="1553"/>
      <c r="Z66" s="1553"/>
    </row>
    <row r="67" spans="1:26" s="1545" customFormat="1" ht="22.9" customHeight="1">
      <c r="A67" s="1555" t="s">
        <v>944</v>
      </c>
      <c r="C67" s="1545" t="s">
        <v>58</v>
      </c>
      <c r="D67" s="1572">
        <v>292765001</v>
      </c>
      <c r="E67" s="1572">
        <v>137985411</v>
      </c>
      <c r="F67" s="1572">
        <v>34629505</v>
      </c>
      <c r="G67" s="1572">
        <v>13695945</v>
      </c>
      <c r="H67" s="1572">
        <v>21750118</v>
      </c>
      <c r="I67" s="1572">
        <v>23859288</v>
      </c>
      <c r="J67" s="1572">
        <v>1250259</v>
      </c>
      <c r="K67" s="1572">
        <v>15380392</v>
      </c>
      <c r="L67" s="1572">
        <v>20721784</v>
      </c>
      <c r="M67" s="1572">
        <v>8551979</v>
      </c>
      <c r="N67" s="1572">
        <v>6029886</v>
      </c>
      <c r="O67" s="1572">
        <v>18231232</v>
      </c>
      <c r="S67" s="1543"/>
      <c r="T67" s="1543"/>
      <c r="U67" s="1543"/>
      <c r="V67" s="1543"/>
      <c r="W67" s="1543"/>
      <c r="X67" s="1543"/>
      <c r="Y67" s="1543"/>
      <c r="Z67" s="1543"/>
    </row>
    <row r="68" spans="1:26" s="1546" customFormat="1" ht="22.9" customHeight="1">
      <c r="C68" s="1545"/>
      <c r="D68" s="1570"/>
      <c r="E68" s="1554"/>
      <c r="F68" s="1554"/>
      <c r="G68" s="1554"/>
      <c r="H68" s="1554"/>
      <c r="I68" s="1554"/>
      <c r="J68" s="1554"/>
      <c r="K68" s="1554"/>
      <c r="L68" s="1554"/>
      <c r="M68" s="1554"/>
      <c r="N68" s="1554"/>
      <c r="O68" s="1554"/>
      <c r="S68" s="1553"/>
      <c r="T68" s="1553"/>
      <c r="U68" s="1553"/>
      <c r="V68" s="1553"/>
      <c r="W68" s="1553"/>
      <c r="X68" s="1553"/>
      <c r="Y68" s="1553"/>
      <c r="Z68" s="1553"/>
    </row>
    <row r="69" spans="1:26" s="1546" customFormat="1" ht="22.9" customHeight="1">
      <c r="A69" s="1555" t="s">
        <v>950</v>
      </c>
      <c r="C69" s="1545"/>
      <c r="D69" s="1572">
        <v>328449</v>
      </c>
      <c r="E69" s="1567">
        <v>0</v>
      </c>
      <c r="F69" s="1567">
        <v>0</v>
      </c>
      <c r="G69" s="1567">
        <v>0</v>
      </c>
      <c r="H69" s="1567">
        <v>0</v>
      </c>
      <c r="I69" s="1567">
        <v>0</v>
      </c>
      <c r="J69" s="1567">
        <v>0</v>
      </c>
      <c r="K69" s="1567">
        <v>0</v>
      </c>
      <c r="L69" s="1567">
        <v>0</v>
      </c>
      <c r="M69" s="1567">
        <v>0</v>
      </c>
      <c r="N69" s="1567">
        <v>0</v>
      </c>
      <c r="O69" s="1567">
        <v>0</v>
      </c>
      <c r="S69" s="1553"/>
      <c r="T69" s="1553"/>
      <c r="U69" s="1553"/>
      <c r="V69" s="1553"/>
      <c r="W69" s="1553"/>
      <c r="X69" s="1553"/>
      <c r="Y69" s="1553"/>
      <c r="Z69" s="1553"/>
    </row>
    <row r="70" spans="1:26" s="1546" customFormat="1" ht="22.9" customHeight="1">
      <c r="C70" s="1545"/>
      <c r="D70" s="1570"/>
      <c r="E70" s="1554"/>
      <c r="F70" s="1554"/>
      <c r="G70" s="1554"/>
      <c r="H70" s="1554"/>
      <c r="I70" s="1554"/>
      <c r="J70" s="1554"/>
      <c r="K70" s="1554"/>
      <c r="L70" s="1554"/>
      <c r="M70" s="1554"/>
      <c r="N70" s="1554"/>
      <c r="O70" s="1554"/>
      <c r="S70" s="1553"/>
      <c r="T70" s="1553"/>
      <c r="U70" s="1553"/>
      <c r="V70" s="1553"/>
      <c r="W70" s="1553"/>
      <c r="X70" s="1553"/>
      <c r="Y70" s="1553"/>
      <c r="Z70" s="1553"/>
    </row>
    <row r="71" spans="1:26" s="1546" customFormat="1" ht="22.9" customHeight="1">
      <c r="A71" s="1545" t="s">
        <v>466</v>
      </c>
      <c r="C71" s="1545"/>
      <c r="D71" s="1570"/>
      <c r="E71" s="1554"/>
      <c r="F71" s="1554"/>
      <c r="G71" s="1554"/>
      <c r="H71" s="1554"/>
      <c r="I71" s="1554"/>
      <c r="J71" s="1554"/>
      <c r="K71" s="1554"/>
      <c r="L71" s="1554"/>
      <c r="M71" s="1554"/>
      <c r="N71" s="1554"/>
      <c r="O71" s="1554"/>
      <c r="S71" s="1553"/>
      <c r="T71" s="1553"/>
      <c r="U71" s="1553"/>
      <c r="V71" s="1553"/>
      <c r="W71" s="1553"/>
      <c r="X71" s="1553"/>
      <c r="Y71" s="1553"/>
      <c r="Z71" s="1553"/>
    </row>
    <row r="72" spans="1:26" s="1546" customFormat="1" ht="22.9" customHeight="1">
      <c r="A72" s="1546" t="s">
        <v>36</v>
      </c>
      <c r="C72" s="1545"/>
      <c r="D72" s="1554">
        <v>54350613</v>
      </c>
      <c r="E72" s="1554">
        <v>0</v>
      </c>
      <c r="F72" s="1554">
        <v>0</v>
      </c>
      <c r="G72" s="1554">
        <v>20619188</v>
      </c>
      <c r="H72" s="1554">
        <v>3533102</v>
      </c>
      <c r="I72" s="1554">
        <v>0</v>
      </c>
      <c r="J72" s="1554">
        <v>0</v>
      </c>
      <c r="K72" s="1554">
        <v>2636194</v>
      </c>
      <c r="L72" s="1558">
        <v>3781380</v>
      </c>
      <c r="M72" s="1558">
        <v>0</v>
      </c>
      <c r="N72" s="1554">
        <v>13107307</v>
      </c>
      <c r="O72" s="1554">
        <v>0</v>
      </c>
      <c r="S72" s="1553"/>
      <c r="T72" s="1553"/>
      <c r="U72" s="1553"/>
      <c r="V72" s="1553"/>
      <c r="W72" s="1553"/>
      <c r="X72" s="1553"/>
      <c r="Y72" s="1553"/>
      <c r="Z72" s="1553"/>
    </row>
    <row r="73" spans="1:26" s="1546" customFormat="1" ht="22.9" customHeight="1">
      <c r="A73" s="1546" t="s">
        <v>782</v>
      </c>
      <c r="C73" s="1545"/>
      <c r="D73" s="1554">
        <v>4457240</v>
      </c>
      <c r="E73" s="1554">
        <v>0</v>
      </c>
      <c r="F73" s="1554">
        <v>0</v>
      </c>
      <c r="G73" s="1554">
        <v>0</v>
      </c>
      <c r="H73" s="1554">
        <v>0</v>
      </c>
      <c r="I73" s="1554">
        <v>0</v>
      </c>
      <c r="J73" s="1554">
        <v>0</v>
      </c>
      <c r="K73" s="1554">
        <v>0</v>
      </c>
      <c r="L73" s="1558">
        <v>0</v>
      </c>
      <c r="M73" s="1554">
        <v>0</v>
      </c>
      <c r="N73" s="1554">
        <v>0</v>
      </c>
      <c r="O73" s="1554">
        <v>0</v>
      </c>
      <c r="S73" s="1553"/>
      <c r="T73" s="1553"/>
      <c r="U73" s="1553"/>
      <c r="V73" s="1553"/>
      <c r="W73" s="1553"/>
      <c r="X73" s="1553"/>
      <c r="Y73" s="1553"/>
      <c r="Z73" s="1553"/>
    </row>
    <row r="74" spans="1:26" s="1546" customFormat="1" ht="22.9" hidden="1" customHeight="1">
      <c r="A74" s="1546" t="s">
        <v>830</v>
      </c>
      <c r="C74" s="1545"/>
      <c r="D74" s="1554">
        <v>0</v>
      </c>
      <c r="E74" s="1554">
        <v>0</v>
      </c>
      <c r="F74" s="1554">
        <v>0</v>
      </c>
      <c r="G74" s="1554">
        <v>0</v>
      </c>
      <c r="H74" s="1554">
        <v>0</v>
      </c>
      <c r="I74" s="1554">
        <v>0</v>
      </c>
      <c r="J74" s="1554">
        <v>0</v>
      </c>
      <c r="K74" s="1554">
        <v>0</v>
      </c>
      <c r="L74" s="1558">
        <v>0</v>
      </c>
      <c r="M74" s="1554">
        <v>0</v>
      </c>
      <c r="N74" s="1554">
        <v>0</v>
      </c>
      <c r="O74" s="1554">
        <v>0</v>
      </c>
      <c r="S74" s="1553"/>
      <c r="T74" s="1553"/>
      <c r="U74" s="1553"/>
      <c r="V74" s="1553"/>
      <c r="W74" s="1553"/>
      <c r="X74" s="1553"/>
      <c r="Y74" s="1553"/>
      <c r="Z74" s="1553"/>
    </row>
    <row r="75" spans="1:26" s="1546" customFormat="1" ht="22.9" customHeight="1">
      <c r="A75" s="1546" t="s">
        <v>690</v>
      </c>
      <c r="C75" s="1545"/>
      <c r="D75" s="1554">
        <v>6000000</v>
      </c>
      <c r="E75" s="1554">
        <v>0</v>
      </c>
      <c r="F75" s="1554">
        <v>0</v>
      </c>
      <c r="G75" s="1554">
        <v>0</v>
      </c>
      <c r="H75" s="1554">
        <v>0</v>
      </c>
      <c r="I75" s="1554">
        <v>0</v>
      </c>
      <c r="J75" s="1554">
        <v>0</v>
      </c>
      <c r="K75" s="1554">
        <v>0</v>
      </c>
      <c r="L75" s="1558">
        <v>0</v>
      </c>
      <c r="M75" s="1554">
        <v>0</v>
      </c>
      <c r="N75" s="1554">
        <v>0</v>
      </c>
      <c r="O75" s="1554">
        <v>0</v>
      </c>
      <c r="S75" s="1553"/>
      <c r="T75" s="1553"/>
      <c r="U75" s="1553"/>
      <c r="V75" s="1553"/>
      <c r="W75" s="1553"/>
      <c r="X75" s="1553"/>
      <c r="Y75" s="1553"/>
      <c r="Z75" s="1553"/>
    </row>
    <row r="76" spans="1:26" s="1546" customFormat="1" ht="22.9" customHeight="1">
      <c r="A76" s="1546" t="s">
        <v>841</v>
      </c>
      <c r="C76" s="1545"/>
      <c r="D76" s="1554">
        <v>888679</v>
      </c>
      <c r="E76" s="1573">
        <v>47374438</v>
      </c>
      <c r="F76" s="1573">
        <v>14908263</v>
      </c>
      <c r="G76" s="1554">
        <v>2062927</v>
      </c>
      <c r="H76" s="1554">
        <v>3778896</v>
      </c>
      <c r="I76" s="1554">
        <v>2310762</v>
      </c>
      <c r="J76" s="1554">
        <v>24879487</v>
      </c>
      <c r="K76" s="1554">
        <v>6915913</v>
      </c>
      <c r="L76" s="1573">
        <v>12216</v>
      </c>
      <c r="M76" s="1573">
        <v>13024398</v>
      </c>
      <c r="N76" s="1573">
        <v>1015642</v>
      </c>
      <c r="O76" s="1573">
        <v>0</v>
      </c>
      <c r="S76" s="1553"/>
      <c r="T76" s="1553"/>
      <c r="U76" s="1553"/>
      <c r="V76" s="1553"/>
      <c r="W76" s="1553"/>
      <c r="X76" s="1553"/>
      <c r="Y76" s="1553"/>
      <c r="Z76" s="1553"/>
    </row>
    <row r="77" spans="1:26" s="1545" customFormat="1" ht="22.9" customHeight="1">
      <c r="A77" s="1555" t="s">
        <v>945</v>
      </c>
      <c r="C77" s="1545" t="s">
        <v>58</v>
      </c>
      <c r="D77" s="1556">
        <v>65696532</v>
      </c>
      <c r="E77" s="1565">
        <v>47374438</v>
      </c>
      <c r="F77" s="1565">
        <v>14908263</v>
      </c>
      <c r="G77" s="1565">
        <v>22682115</v>
      </c>
      <c r="H77" s="1565">
        <v>7311998</v>
      </c>
      <c r="I77" s="1565">
        <v>2310762</v>
      </c>
      <c r="J77" s="1565">
        <v>24879487</v>
      </c>
      <c r="K77" s="1565">
        <v>9552107</v>
      </c>
      <c r="L77" s="1565">
        <v>3793596</v>
      </c>
      <c r="M77" s="1565">
        <v>13024398</v>
      </c>
      <c r="N77" s="1565">
        <v>14122949</v>
      </c>
      <c r="O77" s="1565">
        <v>0</v>
      </c>
      <c r="S77" s="1543"/>
      <c r="T77" s="1543"/>
      <c r="U77" s="1543"/>
      <c r="V77" s="1543"/>
      <c r="W77" s="1543"/>
      <c r="X77" s="1543"/>
      <c r="Y77" s="1543"/>
      <c r="Z77" s="1543"/>
    </row>
    <row r="78" spans="1:26" s="417" customFormat="1" ht="22.9" customHeight="1">
      <c r="C78" s="1305"/>
      <c r="D78" s="1216"/>
      <c r="E78" s="1229"/>
      <c r="F78" s="1229"/>
      <c r="G78" s="1229"/>
      <c r="H78" s="1229"/>
      <c r="I78" s="1229"/>
      <c r="J78" s="1229"/>
      <c r="K78" s="1229"/>
      <c r="L78" s="1229"/>
      <c r="M78" s="1229"/>
      <c r="N78" s="1229"/>
      <c r="O78" s="1229"/>
      <c r="S78" s="454"/>
      <c r="T78" s="454"/>
      <c r="U78" s="454"/>
      <c r="V78" s="454"/>
      <c r="W78" s="454"/>
      <c r="X78" s="454"/>
      <c r="Y78" s="454"/>
      <c r="Z78" s="454"/>
    </row>
    <row r="79" spans="1:26" s="1543" customFormat="1" ht="22.9" customHeight="1" thickBot="1">
      <c r="A79" s="1542" t="s">
        <v>942</v>
      </c>
      <c r="B79" s="1542"/>
      <c r="C79" s="1543" t="s">
        <v>424</v>
      </c>
      <c r="D79" s="1544">
        <v>358789982</v>
      </c>
      <c r="E79" s="1544">
        <v>185359849</v>
      </c>
      <c r="F79" s="1544">
        <v>49537768</v>
      </c>
      <c r="G79" s="1544">
        <v>36378060</v>
      </c>
      <c r="H79" s="1544">
        <v>29062116</v>
      </c>
      <c r="I79" s="1544">
        <v>26170050</v>
      </c>
      <c r="J79" s="1544">
        <v>26129746</v>
      </c>
      <c r="K79" s="1544">
        <v>24932499</v>
      </c>
      <c r="L79" s="1544">
        <v>24515380</v>
      </c>
      <c r="M79" s="1544">
        <v>21576377</v>
      </c>
      <c r="N79" s="1544">
        <v>20152835</v>
      </c>
      <c r="O79" s="1544">
        <v>18231232</v>
      </c>
    </row>
    <row r="80" spans="1:26" s="417" customFormat="1" ht="21.95" customHeight="1" thickTop="1">
      <c r="A80" s="476"/>
      <c r="B80" s="449"/>
      <c r="C80" s="1305"/>
      <c r="D80" s="1232"/>
      <c r="E80" s="483"/>
      <c r="F80" s="483"/>
      <c r="G80" s="1232" t="s">
        <v>58</v>
      </c>
      <c r="H80" s="483"/>
      <c r="I80" s="483"/>
      <c r="J80" s="483"/>
      <c r="K80" s="483"/>
      <c r="L80" s="483"/>
      <c r="M80" s="483"/>
      <c r="N80" s="483"/>
      <c r="O80" s="454"/>
      <c r="P80" s="476"/>
      <c r="Q80" s="476"/>
      <c r="R80" s="476"/>
      <c r="S80" s="476"/>
      <c r="T80" s="454"/>
      <c r="U80" s="454"/>
      <c r="V80" s="454"/>
      <c r="W80" s="454"/>
      <c r="X80" s="454"/>
      <c r="Y80" s="454"/>
      <c r="Z80" s="454"/>
    </row>
    <row r="81" spans="1:18" ht="21" customHeight="1">
      <c r="A81" s="356"/>
      <c r="B81" s="356"/>
      <c r="C81" s="1049"/>
      <c r="D81" s="1600"/>
      <c r="E81" s="1440"/>
      <c r="F81" s="375"/>
      <c r="G81" s="375"/>
      <c r="H81" s="375"/>
      <c r="I81" s="375"/>
      <c r="J81" s="375"/>
      <c r="K81" s="375"/>
      <c r="L81" s="375"/>
      <c r="M81" s="375"/>
      <c r="N81" s="375" t="s">
        <v>58</v>
      </c>
      <c r="P81" s="454"/>
      <c r="Q81" s="454"/>
      <c r="R81" s="454"/>
    </row>
    <row r="82" spans="1:18" ht="18.75">
      <c r="A82" s="356"/>
      <c r="B82" s="356"/>
      <c r="C82" s="1049"/>
      <c r="D82" s="1600"/>
      <c r="E82" s="375"/>
      <c r="F82" s="375"/>
      <c r="G82" s="375"/>
      <c r="H82" s="375"/>
      <c r="I82" s="375"/>
      <c r="J82" s="375"/>
      <c r="K82" s="375"/>
      <c r="L82" s="375"/>
      <c r="M82" s="375"/>
      <c r="N82" s="375"/>
      <c r="P82" s="454"/>
      <c r="Q82" s="454"/>
      <c r="R82" s="454"/>
    </row>
  </sheetData>
  <mergeCells count="4">
    <mergeCell ref="A1:M1"/>
    <mergeCell ref="B3:M3"/>
    <mergeCell ref="A4:M4"/>
    <mergeCell ref="A2:O2"/>
  </mergeCells>
  <pageMargins left="0.35" right="0.35" top="0.25" bottom="0.17" header="0.17" footer="0.2"/>
  <pageSetup scale="4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W84"/>
  <sheetViews>
    <sheetView showGridLines="0" topLeftCell="A2" zoomScale="75" zoomScaleNormal="75" workbookViewId="0">
      <pane xSplit="3" ySplit="7" topLeftCell="D9" activePane="bottomRight" state="frozen"/>
      <selection activeCell="A2" sqref="A2:O2"/>
      <selection pane="topRight" activeCell="A2" sqref="A2:O2"/>
      <selection pane="bottomLeft" activeCell="A2" sqref="A2:O2"/>
      <selection pane="bottomRight" activeCell="Q90" sqref="Q90"/>
    </sheetView>
  </sheetViews>
  <sheetFormatPr defaultRowHeight="12.75"/>
  <cols>
    <col min="1" max="1" width="33.85546875" style="365" customWidth="1"/>
    <col min="2" max="2" width="10.5703125" style="365" bestFit="1" customWidth="1"/>
    <col min="3" max="3" width="2.28515625" style="418" bestFit="1" customWidth="1"/>
    <col min="4" max="4" width="22.7109375" style="1226" bestFit="1" customWidth="1"/>
    <col min="5" max="5" width="22.7109375" style="1226" customWidth="1"/>
    <col min="6" max="6" width="19.7109375" style="1226" bestFit="1" customWidth="1"/>
    <col min="7" max="8" width="18.28515625" style="1226" customWidth="1"/>
    <col min="9" max="9" width="19.85546875" style="1226" customWidth="1"/>
    <col min="10" max="10" width="15.5703125" style="1226" bestFit="1" customWidth="1"/>
    <col min="11" max="11" width="19.7109375" style="1226" customWidth="1"/>
    <col min="12" max="12" width="16" style="1226" customWidth="1"/>
    <col min="13" max="13" width="13.140625" style="1226" bestFit="1" customWidth="1"/>
    <col min="14" max="14" width="19.7109375" style="1226" customWidth="1"/>
    <col min="15" max="15" width="17.5703125" style="363" bestFit="1" customWidth="1"/>
    <col min="16" max="23" width="9.140625" style="363" customWidth="1"/>
    <col min="24" max="218" width="8.85546875" style="365"/>
    <col min="219" max="219" width="44.5703125" style="365" customWidth="1"/>
    <col min="220" max="220" width="14.28515625" style="365" bestFit="1" customWidth="1"/>
    <col min="221" max="221" width="1.7109375" style="365" customWidth="1"/>
    <col min="222" max="222" width="14.85546875" style="365" customWidth="1"/>
    <col min="223" max="223" width="0" style="365" hidden="1" customWidth="1"/>
    <col min="224" max="224" width="17.42578125" style="365" customWidth="1"/>
    <col min="225" max="225" width="0" style="365" hidden="1" customWidth="1"/>
    <col min="226" max="226" width="12.85546875" style="365" customWidth="1"/>
    <col min="227" max="227" width="0" style="365" hidden="1" customWidth="1"/>
    <col min="228" max="228" width="14.42578125" style="365" customWidth="1"/>
    <col min="229" max="229" width="0" style="365" hidden="1" customWidth="1"/>
    <col min="230" max="230" width="17.42578125" style="365" customWidth="1"/>
    <col min="231" max="231" width="0" style="365" hidden="1" customWidth="1"/>
    <col min="232" max="232" width="14" style="365" customWidth="1"/>
    <col min="233" max="233" width="14.28515625" style="365" bestFit="1" customWidth="1"/>
    <col min="234" max="234" width="0" style="365" hidden="1" customWidth="1"/>
    <col min="235" max="235" width="15.5703125" style="365" customWidth="1"/>
    <col min="236" max="236" width="44.5703125" style="365" customWidth="1"/>
    <col min="237" max="237" width="14.28515625" style="365" bestFit="1" customWidth="1"/>
    <col min="238" max="238" width="0" style="365" hidden="1" customWidth="1"/>
    <col min="239" max="239" width="18.140625" style="365" customWidth="1"/>
    <col min="240" max="240" width="0" style="365" hidden="1" customWidth="1"/>
    <col min="241" max="241" width="14" style="365" customWidth="1"/>
    <col min="242" max="242" width="0" style="365" hidden="1" customWidth="1"/>
    <col min="243" max="243" width="20.85546875" style="365" customWidth="1"/>
    <col min="244" max="244" width="0" style="365" hidden="1" customWidth="1"/>
    <col min="245" max="245" width="13.28515625" style="365" customWidth="1"/>
    <col min="246" max="246" width="0" style="365" hidden="1" customWidth="1"/>
    <col min="247" max="247" width="15" style="365" customWidth="1"/>
    <col min="248" max="248" width="0" style="365" hidden="1" customWidth="1"/>
    <col min="249" max="249" width="13.28515625" style="365" customWidth="1"/>
    <col min="250" max="250" width="0" style="365" hidden="1" customWidth="1"/>
    <col min="251" max="251" width="20.140625" style="365" customWidth="1"/>
    <col min="252" max="252" width="14.42578125" style="365" bestFit="1" customWidth="1"/>
    <col min="253" max="253" width="14" style="365" bestFit="1" customWidth="1"/>
    <col min="254" max="254" width="12.28515625" style="365" bestFit="1" customWidth="1"/>
    <col min="255" max="279" width="9.140625" style="365" customWidth="1"/>
    <col min="280" max="474" width="8.85546875" style="365"/>
    <col min="475" max="475" width="44.5703125" style="365" customWidth="1"/>
    <col min="476" max="476" width="14.28515625" style="365" bestFit="1" customWidth="1"/>
    <col min="477" max="477" width="1.7109375" style="365" customWidth="1"/>
    <col min="478" max="478" width="14.85546875" style="365" customWidth="1"/>
    <col min="479" max="479" width="0" style="365" hidden="1" customWidth="1"/>
    <col min="480" max="480" width="17.42578125" style="365" customWidth="1"/>
    <col min="481" max="481" width="0" style="365" hidden="1" customWidth="1"/>
    <col min="482" max="482" width="12.85546875" style="365" customWidth="1"/>
    <col min="483" max="483" width="0" style="365" hidden="1" customWidth="1"/>
    <col min="484" max="484" width="14.42578125" style="365" customWidth="1"/>
    <col min="485" max="485" width="0" style="365" hidden="1" customWidth="1"/>
    <col min="486" max="486" width="17.42578125" style="365" customWidth="1"/>
    <col min="487" max="487" width="0" style="365" hidden="1" customWidth="1"/>
    <col min="488" max="488" width="14" style="365" customWidth="1"/>
    <col min="489" max="489" width="14.28515625" style="365" bestFit="1" customWidth="1"/>
    <col min="490" max="490" width="0" style="365" hidden="1" customWidth="1"/>
    <col min="491" max="491" width="15.5703125" style="365" customWidth="1"/>
    <col min="492" max="492" width="44.5703125" style="365" customWidth="1"/>
    <col min="493" max="493" width="14.28515625" style="365" bestFit="1" customWidth="1"/>
    <col min="494" max="494" width="0" style="365" hidden="1" customWidth="1"/>
    <col min="495" max="495" width="18.140625" style="365" customWidth="1"/>
    <col min="496" max="496" width="0" style="365" hidden="1" customWidth="1"/>
    <col min="497" max="497" width="14" style="365" customWidth="1"/>
    <col min="498" max="498" width="0" style="365" hidden="1" customWidth="1"/>
    <col min="499" max="499" width="20.85546875" style="365" customWidth="1"/>
    <col min="500" max="500" width="0" style="365" hidden="1" customWidth="1"/>
    <col min="501" max="501" width="13.28515625" style="365" customWidth="1"/>
    <col min="502" max="502" width="0" style="365" hidden="1" customWidth="1"/>
    <col min="503" max="503" width="15" style="365" customWidth="1"/>
    <col min="504" max="504" width="0" style="365" hidden="1" customWidth="1"/>
    <col min="505" max="505" width="13.28515625" style="365" customWidth="1"/>
    <col min="506" max="506" width="0" style="365" hidden="1" customWidth="1"/>
    <col min="507" max="507" width="20.140625" style="365" customWidth="1"/>
    <col min="508" max="508" width="14.42578125" style="365" bestFit="1" customWidth="1"/>
    <col min="509" max="509" width="14" style="365" bestFit="1" customWidth="1"/>
    <col min="510" max="510" width="12.28515625" style="365" bestFit="1" customWidth="1"/>
    <col min="511" max="535" width="9.140625" style="365" customWidth="1"/>
    <col min="536" max="730" width="8.85546875" style="365"/>
    <col min="731" max="731" width="44.5703125" style="365" customWidth="1"/>
    <col min="732" max="732" width="14.28515625" style="365" bestFit="1" customWidth="1"/>
    <col min="733" max="733" width="1.7109375" style="365" customWidth="1"/>
    <col min="734" max="734" width="14.85546875" style="365" customWidth="1"/>
    <col min="735" max="735" width="0" style="365" hidden="1" customWidth="1"/>
    <col min="736" max="736" width="17.42578125" style="365" customWidth="1"/>
    <col min="737" max="737" width="0" style="365" hidden="1" customWidth="1"/>
    <col min="738" max="738" width="12.85546875" style="365" customWidth="1"/>
    <col min="739" max="739" width="0" style="365" hidden="1" customWidth="1"/>
    <col min="740" max="740" width="14.42578125" style="365" customWidth="1"/>
    <col min="741" max="741" width="0" style="365" hidden="1" customWidth="1"/>
    <col min="742" max="742" width="17.42578125" style="365" customWidth="1"/>
    <col min="743" max="743" width="0" style="365" hidden="1" customWidth="1"/>
    <col min="744" max="744" width="14" style="365" customWidth="1"/>
    <col min="745" max="745" width="14.28515625" style="365" bestFit="1" customWidth="1"/>
    <col min="746" max="746" width="0" style="365" hidden="1" customWidth="1"/>
    <col min="747" max="747" width="15.5703125" style="365" customWidth="1"/>
    <col min="748" max="748" width="44.5703125" style="365" customWidth="1"/>
    <col min="749" max="749" width="14.28515625" style="365" bestFit="1" customWidth="1"/>
    <col min="750" max="750" width="0" style="365" hidden="1" customWidth="1"/>
    <col min="751" max="751" width="18.140625" style="365" customWidth="1"/>
    <col min="752" max="752" width="0" style="365" hidden="1" customWidth="1"/>
    <col min="753" max="753" width="14" style="365" customWidth="1"/>
    <col min="754" max="754" width="0" style="365" hidden="1" customWidth="1"/>
    <col min="755" max="755" width="20.85546875" style="365" customWidth="1"/>
    <col min="756" max="756" width="0" style="365" hidden="1" customWidth="1"/>
    <col min="757" max="757" width="13.28515625" style="365" customWidth="1"/>
    <col min="758" max="758" width="0" style="365" hidden="1" customWidth="1"/>
    <col min="759" max="759" width="15" style="365" customWidth="1"/>
    <col min="760" max="760" width="0" style="365" hidden="1" customWidth="1"/>
    <col min="761" max="761" width="13.28515625" style="365" customWidth="1"/>
    <col min="762" max="762" width="0" style="365" hidden="1" customWidth="1"/>
    <col min="763" max="763" width="20.140625" style="365" customWidth="1"/>
    <col min="764" max="764" width="14.42578125" style="365" bestFit="1" customWidth="1"/>
    <col min="765" max="765" width="14" style="365" bestFit="1" customWidth="1"/>
    <col min="766" max="766" width="12.28515625" style="365" bestFit="1" customWidth="1"/>
    <col min="767" max="791" width="9.140625" style="365" customWidth="1"/>
    <col min="792" max="986" width="8.85546875" style="365"/>
    <col min="987" max="987" width="44.5703125" style="365" customWidth="1"/>
    <col min="988" max="988" width="14.28515625" style="365" bestFit="1" customWidth="1"/>
    <col min="989" max="989" width="1.7109375" style="365" customWidth="1"/>
    <col min="990" max="990" width="14.85546875" style="365" customWidth="1"/>
    <col min="991" max="991" width="0" style="365" hidden="1" customWidth="1"/>
    <col min="992" max="992" width="17.42578125" style="365" customWidth="1"/>
    <col min="993" max="993" width="0" style="365" hidden="1" customWidth="1"/>
    <col min="994" max="994" width="12.85546875" style="365" customWidth="1"/>
    <col min="995" max="995" width="0" style="365" hidden="1" customWidth="1"/>
    <col min="996" max="996" width="14.42578125" style="365" customWidth="1"/>
    <col min="997" max="997" width="0" style="365" hidden="1" customWidth="1"/>
    <col min="998" max="998" width="17.42578125" style="365" customWidth="1"/>
    <col min="999" max="999" width="0" style="365" hidden="1" customWidth="1"/>
    <col min="1000" max="1000" width="14" style="365" customWidth="1"/>
    <col min="1001" max="1001" width="14.28515625" style="365" bestFit="1" customWidth="1"/>
    <col min="1002" max="1002" width="0" style="365" hidden="1" customWidth="1"/>
    <col min="1003" max="1003" width="15.5703125" style="365" customWidth="1"/>
    <col min="1004" max="1004" width="44.5703125" style="365" customWidth="1"/>
    <col min="1005" max="1005" width="14.28515625" style="365" bestFit="1" customWidth="1"/>
    <col min="1006" max="1006" width="0" style="365" hidden="1" customWidth="1"/>
    <col min="1007" max="1007" width="18.140625" style="365" customWidth="1"/>
    <col min="1008" max="1008" width="0" style="365" hidden="1" customWidth="1"/>
    <col min="1009" max="1009" width="14" style="365" customWidth="1"/>
    <col min="1010" max="1010" width="0" style="365" hidden="1" customWidth="1"/>
    <col min="1011" max="1011" width="20.85546875" style="365" customWidth="1"/>
    <col min="1012" max="1012" width="0" style="365" hidden="1" customWidth="1"/>
    <col min="1013" max="1013" width="13.28515625" style="365" customWidth="1"/>
    <col min="1014" max="1014" width="0" style="365" hidden="1" customWidth="1"/>
    <col min="1015" max="1015" width="15" style="365" customWidth="1"/>
    <col min="1016" max="1016" width="0" style="365" hidden="1" customWidth="1"/>
    <col min="1017" max="1017" width="13.28515625" style="365" customWidth="1"/>
    <col min="1018" max="1018" width="0" style="365" hidden="1" customWidth="1"/>
    <col min="1019" max="1019" width="20.140625" style="365" customWidth="1"/>
    <col min="1020" max="1020" width="14.42578125" style="365" bestFit="1" customWidth="1"/>
    <col min="1021" max="1021" width="14" style="365" bestFit="1" customWidth="1"/>
    <col min="1022" max="1022" width="12.28515625" style="365" bestFit="1" customWidth="1"/>
    <col min="1023" max="1047" width="9.140625" style="365" customWidth="1"/>
    <col min="1048" max="1242" width="8.85546875" style="365"/>
    <col min="1243" max="1243" width="44.5703125" style="365" customWidth="1"/>
    <col min="1244" max="1244" width="14.28515625" style="365" bestFit="1" customWidth="1"/>
    <col min="1245" max="1245" width="1.7109375" style="365" customWidth="1"/>
    <col min="1246" max="1246" width="14.85546875" style="365" customWidth="1"/>
    <col min="1247" max="1247" width="0" style="365" hidden="1" customWidth="1"/>
    <col min="1248" max="1248" width="17.42578125" style="365" customWidth="1"/>
    <col min="1249" max="1249" width="0" style="365" hidden="1" customWidth="1"/>
    <col min="1250" max="1250" width="12.85546875" style="365" customWidth="1"/>
    <col min="1251" max="1251" width="0" style="365" hidden="1" customWidth="1"/>
    <col min="1252" max="1252" width="14.42578125" style="365" customWidth="1"/>
    <col min="1253" max="1253" width="0" style="365" hidden="1" customWidth="1"/>
    <col min="1254" max="1254" width="17.42578125" style="365" customWidth="1"/>
    <col min="1255" max="1255" width="0" style="365" hidden="1" customWidth="1"/>
    <col min="1256" max="1256" width="14" style="365" customWidth="1"/>
    <col min="1257" max="1257" width="14.28515625" style="365" bestFit="1" customWidth="1"/>
    <col min="1258" max="1258" width="0" style="365" hidden="1" customWidth="1"/>
    <col min="1259" max="1259" width="15.5703125" style="365" customWidth="1"/>
    <col min="1260" max="1260" width="44.5703125" style="365" customWidth="1"/>
    <col min="1261" max="1261" width="14.28515625" style="365" bestFit="1" customWidth="1"/>
    <col min="1262" max="1262" width="0" style="365" hidden="1" customWidth="1"/>
    <col min="1263" max="1263" width="18.140625" style="365" customWidth="1"/>
    <col min="1264" max="1264" width="0" style="365" hidden="1" customWidth="1"/>
    <col min="1265" max="1265" width="14" style="365" customWidth="1"/>
    <col min="1266" max="1266" width="0" style="365" hidden="1" customWidth="1"/>
    <col min="1267" max="1267" width="20.85546875" style="365" customWidth="1"/>
    <col min="1268" max="1268" width="0" style="365" hidden="1" customWidth="1"/>
    <col min="1269" max="1269" width="13.28515625" style="365" customWidth="1"/>
    <col min="1270" max="1270" width="0" style="365" hidden="1" customWidth="1"/>
    <col min="1271" max="1271" width="15" style="365" customWidth="1"/>
    <col min="1272" max="1272" width="0" style="365" hidden="1" customWidth="1"/>
    <col min="1273" max="1273" width="13.28515625" style="365" customWidth="1"/>
    <col min="1274" max="1274" width="0" style="365" hidden="1" customWidth="1"/>
    <col min="1275" max="1275" width="20.140625" style="365" customWidth="1"/>
    <col min="1276" max="1276" width="14.42578125" style="365" bestFit="1" customWidth="1"/>
    <col min="1277" max="1277" width="14" style="365" bestFit="1" customWidth="1"/>
    <col min="1278" max="1278" width="12.28515625" style="365" bestFit="1" customWidth="1"/>
    <col min="1279" max="1303" width="9.140625" style="365" customWidth="1"/>
    <col min="1304" max="1498" width="8.85546875" style="365"/>
    <col min="1499" max="1499" width="44.5703125" style="365" customWidth="1"/>
    <col min="1500" max="1500" width="14.28515625" style="365" bestFit="1" customWidth="1"/>
    <col min="1501" max="1501" width="1.7109375" style="365" customWidth="1"/>
    <col min="1502" max="1502" width="14.85546875" style="365" customWidth="1"/>
    <col min="1503" max="1503" width="0" style="365" hidden="1" customWidth="1"/>
    <col min="1504" max="1504" width="17.42578125" style="365" customWidth="1"/>
    <col min="1505" max="1505" width="0" style="365" hidden="1" customWidth="1"/>
    <col min="1506" max="1506" width="12.85546875" style="365" customWidth="1"/>
    <col min="1507" max="1507" width="0" style="365" hidden="1" customWidth="1"/>
    <col min="1508" max="1508" width="14.42578125" style="365" customWidth="1"/>
    <col min="1509" max="1509" width="0" style="365" hidden="1" customWidth="1"/>
    <col min="1510" max="1510" width="17.42578125" style="365" customWidth="1"/>
    <col min="1511" max="1511" width="0" style="365" hidden="1" customWidth="1"/>
    <col min="1512" max="1512" width="14" style="365" customWidth="1"/>
    <col min="1513" max="1513" width="14.28515625" style="365" bestFit="1" customWidth="1"/>
    <col min="1514" max="1514" width="0" style="365" hidden="1" customWidth="1"/>
    <col min="1515" max="1515" width="15.5703125" style="365" customWidth="1"/>
    <col min="1516" max="1516" width="44.5703125" style="365" customWidth="1"/>
    <col min="1517" max="1517" width="14.28515625" style="365" bestFit="1" customWidth="1"/>
    <col min="1518" max="1518" width="0" style="365" hidden="1" customWidth="1"/>
    <col min="1519" max="1519" width="18.140625" style="365" customWidth="1"/>
    <col min="1520" max="1520" width="0" style="365" hidden="1" customWidth="1"/>
    <col min="1521" max="1521" width="14" style="365" customWidth="1"/>
    <col min="1522" max="1522" width="0" style="365" hidden="1" customWidth="1"/>
    <col min="1523" max="1523" width="20.85546875" style="365" customWidth="1"/>
    <col min="1524" max="1524" width="0" style="365" hidden="1" customWidth="1"/>
    <col min="1525" max="1525" width="13.28515625" style="365" customWidth="1"/>
    <col min="1526" max="1526" width="0" style="365" hidden="1" customWidth="1"/>
    <col min="1527" max="1527" width="15" style="365" customWidth="1"/>
    <col min="1528" max="1528" width="0" style="365" hidden="1" customWidth="1"/>
    <col min="1529" max="1529" width="13.28515625" style="365" customWidth="1"/>
    <col min="1530" max="1530" width="0" style="365" hidden="1" customWidth="1"/>
    <col min="1531" max="1531" width="20.140625" style="365" customWidth="1"/>
    <col min="1532" max="1532" width="14.42578125" style="365" bestFit="1" customWidth="1"/>
    <col min="1533" max="1533" width="14" style="365" bestFit="1" customWidth="1"/>
    <col min="1534" max="1534" width="12.28515625" style="365" bestFit="1" customWidth="1"/>
    <col min="1535" max="1559" width="9.140625" style="365" customWidth="1"/>
    <col min="1560" max="1754" width="8.85546875" style="365"/>
    <col min="1755" max="1755" width="44.5703125" style="365" customWidth="1"/>
    <col min="1756" max="1756" width="14.28515625" style="365" bestFit="1" customWidth="1"/>
    <col min="1757" max="1757" width="1.7109375" style="365" customWidth="1"/>
    <col min="1758" max="1758" width="14.85546875" style="365" customWidth="1"/>
    <col min="1759" max="1759" width="0" style="365" hidden="1" customWidth="1"/>
    <col min="1760" max="1760" width="17.42578125" style="365" customWidth="1"/>
    <col min="1761" max="1761" width="0" style="365" hidden="1" customWidth="1"/>
    <col min="1762" max="1762" width="12.85546875" style="365" customWidth="1"/>
    <col min="1763" max="1763" width="0" style="365" hidden="1" customWidth="1"/>
    <col min="1764" max="1764" width="14.42578125" style="365" customWidth="1"/>
    <col min="1765" max="1765" width="0" style="365" hidden="1" customWidth="1"/>
    <col min="1766" max="1766" width="17.42578125" style="365" customWidth="1"/>
    <col min="1767" max="1767" width="0" style="365" hidden="1" customWidth="1"/>
    <col min="1768" max="1768" width="14" style="365" customWidth="1"/>
    <col min="1769" max="1769" width="14.28515625" style="365" bestFit="1" customWidth="1"/>
    <col min="1770" max="1770" width="0" style="365" hidden="1" customWidth="1"/>
    <col min="1771" max="1771" width="15.5703125" style="365" customWidth="1"/>
    <col min="1772" max="1772" width="44.5703125" style="365" customWidth="1"/>
    <col min="1773" max="1773" width="14.28515625" style="365" bestFit="1" customWidth="1"/>
    <col min="1774" max="1774" width="0" style="365" hidden="1" customWidth="1"/>
    <col min="1775" max="1775" width="18.140625" style="365" customWidth="1"/>
    <col min="1776" max="1776" width="0" style="365" hidden="1" customWidth="1"/>
    <col min="1777" max="1777" width="14" style="365" customWidth="1"/>
    <col min="1778" max="1778" width="0" style="365" hidden="1" customWidth="1"/>
    <col min="1779" max="1779" width="20.85546875" style="365" customWidth="1"/>
    <col min="1780" max="1780" width="0" style="365" hidden="1" customWidth="1"/>
    <col min="1781" max="1781" width="13.28515625" style="365" customWidth="1"/>
    <col min="1782" max="1782" width="0" style="365" hidden="1" customWidth="1"/>
    <col min="1783" max="1783" width="15" style="365" customWidth="1"/>
    <col min="1784" max="1784" width="0" style="365" hidden="1" customWidth="1"/>
    <col min="1785" max="1785" width="13.28515625" style="365" customWidth="1"/>
    <col min="1786" max="1786" width="0" style="365" hidden="1" customWidth="1"/>
    <col min="1787" max="1787" width="20.140625" style="365" customWidth="1"/>
    <col min="1788" max="1788" width="14.42578125" style="365" bestFit="1" customWidth="1"/>
    <col min="1789" max="1789" width="14" style="365" bestFit="1" customWidth="1"/>
    <col min="1790" max="1790" width="12.28515625" style="365" bestFit="1" customWidth="1"/>
    <col min="1791" max="1815" width="9.140625" style="365" customWidth="1"/>
    <col min="1816" max="2010" width="8.85546875" style="365"/>
    <col min="2011" max="2011" width="44.5703125" style="365" customWidth="1"/>
    <col min="2012" max="2012" width="14.28515625" style="365" bestFit="1" customWidth="1"/>
    <col min="2013" max="2013" width="1.7109375" style="365" customWidth="1"/>
    <col min="2014" max="2014" width="14.85546875" style="365" customWidth="1"/>
    <col min="2015" max="2015" width="0" style="365" hidden="1" customWidth="1"/>
    <col min="2016" max="2016" width="17.42578125" style="365" customWidth="1"/>
    <col min="2017" max="2017" width="0" style="365" hidden="1" customWidth="1"/>
    <col min="2018" max="2018" width="12.85546875" style="365" customWidth="1"/>
    <col min="2019" max="2019" width="0" style="365" hidden="1" customWidth="1"/>
    <col min="2020" max="2020" width="14.42578125" style="365" customWidth="1"/>
    <col min="2021" max="2021" width="0" style="365" hidden="1" customWidth="1"/>
    <col min="2022" max="2022" width="17.42578125" style="365" customWidth="1"/>
    <col min="2023" max="2023" width="0" style="365" hidden="1" customWidth="1"/>
    <col min="2024" max="2024" width="14" style="365" customWidth="1"/>
    <col min="2025" max="2025" width="14.28515625" style="365" bestFit="1" customWidth="1"/>
    <col min="2026" max="2026" width="0" style="365" hidden="1" customWidth="1"/>
    <col min="2027" max="2027" width="15.5703125" style="365" customWidth="1"/>
    <col min="2028" max="2028" width="44.5703125" style="365" customWidth="1"/>
    <col min="2029" max="2029" width="14.28515625" style="365" bestFit="1" customWidth="1"/>
    <col min="2030" max="2030" width="0" style="365" hidden="1" customWidth="1"/>
    <col min="2031" max="2031" width="18.140625" style="365" customWidth="1"/>
    <col min="2032" max="2032" width="0" style="365" hidden="1" customWidth="1"/>
    <col min="2033" max="2033" width="14" style="365" customWidth="1"/>
    <col min="2034" max="2034" width="0" style="365" hidden="1" customWidth="1"/>
    <col min="2035" max="2035" width="20.85546875" style="365" customWidth="1"/>
    <col min="2036" max="2036" width="0" style="365" hidden="1" customWidth="1"/>
    <col min="2037" max="2037" width="13.28515625" style="365" customWidth="1"/>
    <col min="2038" max="2038" width="0" style="365" hidden="1" customWidth="1"/>
    <col min="2039" max="2039" width="15" style="365" customWidth="1"/>
    <col min="2040" max="2040" width="0" style="365" hidden="1" customWidth="1"/>
    <col min="2041" max="2041" width="13.28515625" style="365" customWidth="1"/>
    <col min="2042" max="2042" width="0" style="365" hidden="1" customWidth="1"/>
    <col min="2043" max="2043" width="20.140625" style="365" customWidth="1"/>
    <col min="2044" max="2044" width="14.42578125" style="365" bestFit="1" customWidth="1"/>
    <col min="2045" max="2045" width="14" style="365" bestFit="1" customWidth="1"/>
    <col min="2046" max="2046" width="12.28515625" style="365" bestFit="1" customWidth="1"/>
    <col min="2047" max="2071" width="9.140625" style="365" customWidth="1"/>
    <col min="2072" max="2266" width="8.85546875" style="365"/>
    <col min="2267" max="2267" width="44.5703125" style="365" customWidth="1"/>
    <col min="2268" max="2268" width="14.28515625" style="365" bestFit="1" customWidth="1"/>
    <col min="2269" max="2269" width="1.7109375" style="365" customWidth="1"/>
    <col min="2270" max="2270" width="14.85546875" style="365" customWidth="1"/>
    <col min="2271" max="2271" width="0" style="365" hidden="1" customWidth="1"/>
    <col min="2272" max="2272" width="17.42578125" style="365" customWidth="1"/>
    <col min="2273" max="2273" width="0" style="365" hidden="1" customWidth="1"/>
    <col min="2274" max="2274" width="12.85546875" style="365" customWidth="1"/>
    <col min="2275" max="2275" width="0" style="365" hidden="1" customWidth="1"/>
    <col min="2276" max="2276" width="14.42578125" style="365" customWidth="1"/>
    <col min="2277" max="2277" width="0" style="365" hidden="1" customWidth="1"/>
    <col min="2278" max="2278" width="17.42578125" style="365" customWidth="1"/>
    <col min="2279" max="2279" width="0" style="365" hidden="1" customWidth="1"/>
    <col min="2280" max="2280" width="14" style="365" customWidth="1"/>
    <col min="2281" max="2281" width="14.28515625" style="365" bestFit="1" customWidth="1"/>
    <col min="2282" max="2282" width="0" style="365" hidden="1" customWidth="1"/>
    <col min="2283" max="2283" width="15.5703125" style="365" customWidth="1"/>
    <col min="2284" max="2284" width="44.5703125" style="365" customWidth="1"/>
    <col min="2285" max="2285" width="14.28515625" style="365" bestFit="1" customWidth="1"/>
    <col min="2286" max="2286" width="0" style="365" hidden="1" customWidth="1"/>
    <col min="2287" max="2287" width="18.140625" style="365" customWidth="1"/>
    <col min="2288" max="2288" width="0" style="365" hidden="1" customWidth="1"/>
    <col min="2289" max="2289" width="14" style="365" customWidth="1"/>
    <col min="2290" max="2290" width="0" style="365" hidden="1" customWidth="1"/>
    <col min="2291" max="2291" width="20.85546875" style="365" customWidth="1"/>
    <col min="2292" max="2292" width="0" style="365" hidden="1" customWidth="1"/>
    <col min="2293" max="2293" width="13.28515625" style="365" customWidth="1"/>
    <col min="2294" max="2294" width="0" style="365" hidden="1" customWidth="1"/>
    <col min="2295" max="2295" width="15" style="365" customWidth="1"/>
    <col min="2296" max="2296" width="0" style="365" hidden="1" customWidth="1"/>
    <col min="2297" max="2297" width="13.28515625" style="365" customWidth="1"/>
    <col min="2298" max="2298" width="0" style="365" hidden="1" customWidth="1"/>
    <col min="2299" max="2299" width="20.140625" style="365" customWidth="1"/>
    <col min="2300" max="2300" width="14.42578125" style="365" bestFit="1" customWidth="1"/>
    <col min="2301" max="2301" width="14" style="365" bestFit="1" customWidth="1"/>
    <col min="2302" max="2302" width="12.28515625" style="365" bestFit="1" customWidth="1"/>
    <col min="2303" max="2327" width="9.140625" style="365" customWidth="1"/>
    <col min="2328" max="2522" width="8.85546875" style="365"/>
    <col min="2523" max="2523" width="44.5703125" style="365" customWidth="1"/>
    <col min="2524" max="2524" width="14.28515625" style="365" bestFit="1" customWidth="1"/>
    <col min="2525" max="2525" width="1.7109375" style="365" customWidth="1"/>
    <col min="2526" max="2526" width="14.85546875" style="365" customWidth="1"/>
    <col min="2527" max="2527" width="0" style="365" hidden="1" customWidth="1"/>
    <col min="2528" max="2528" width="17.42578125" style="365" customWidth="1"/>
    <col min="2529" max="2529" width="0" style="365" hidden="1" customWidth="1"/>
    <col min="2530" max="2530" width="12.85546875" style="365" customWidth="1"/>
    <col min="2531" max="2531" width="0" style="365" hidden="1" customWidth="1"/>
    <col min="2532" max="2532" width="14.42578125" style="365" customWidth="1"/>
    <col min="2533" max="2533" width="0" style="365" hidden="1" customWidth="1"/>
    <col min="2534" max="2534" width="17.42578125" style="365" customWidth="1"/>
    <col min="2535" max="2535" width="0" style="365" hidden="1" customWidth="1"/>
    <col min="2536" max="2536" width="14" style="365" customWidth="1"/>
    <col min="2537" max="2537" width="14.28515625" style="365" bestFit="1" customWidth="1"/>
    <col min="2538" max="2538" width="0" style="365" hidden="1" customWidth="1"/>
    <col min="2539" max="2539" width="15.5703125" style="365" customWidth="1"/>
    <col min="2540" max="2540" width="44.5703125" style="365" customWidth="1"/>
    <col min="2541" max="2541" width="14.28515625" style="365" bestFit="1" customWidth="1"/>
    <col min="2542" max="2542" width="0" style="365" hidden="1" customWidth="1"/>
    <col min="2543" max="2543" width="18.140625" style="365" customWidth="1"/>
    <col min="2544" max="2544" width="0" style="365" hidden="1" customWidth="1"/>
    <col min="2545" max="2545" width="14" style="365" customWidth="1"/>
    <col min="2546" max="2546" width="0" style="365" hidden="1" customWidth="1"/>
    <col min="2547" max="2547" width="20.85546875" style="365" customWidth="1"/>
    <col min="2548" max="2548" width="0" style="365" hidden="1" customWidth="1"/>
    <col min="2549" max="2549" width="13.28515625" style="365" customWidth="1"/>
    <col min="2550" max="2550" width="0" style="365" hidden="1" customWidth="1"/>
    <col min="2551" max="2551" width="15" style="365" customWidth="1"/>
    <col min="2552" max="2552" width="0" style="365" hidden="1" customWidth="1"/>
    <col min="2553" max="2553" width="13.28515625" style="365" customWidth="1"/>
    <col min="2554" max="2554" width="0" style="365" hidden="1" customWidth="1"/>
    <col min="2555" max="2555" width="20.140625" style="365" customWidth="1"/>
    <col min="2556" max="2556" width="14.42578125" style="365" bestFit="1" customWidth="1"/>
    <col min="2557" max="2557" width="14" style="365" bestFit="1" customWidth="1"/>
    <col min="2558" max="2558" width="12.28515625" style="365" bestFit="1" customWidth="1"/>
    <col min="2559" max="2583" width="9.140625" style="365" customWidth="1"/>
    <col min="2584" max="2778" width="8.85546875" style="365"/>
    <col min="2779" max="2779" width="44.5703125" style="365" customWidth="1"/>
    <col min="2780" max="2780" width="14.28515625" style="365" bestFit="1" customWidth="1"/>
    <col min="2781" max="2781" width="1.7109375" style="365" customWidth="1"/>
    <col min="2782" max="2782" width="14.85546875" style="365" customWidth="1"/>
    <col min="2783" max="2783" width="0" style="365" hidden="1" customWidth="1"/>
    <col min="2784" max="2784" width="17.42578125" style="365" customWidth="1"/>
    <col min="2785" max="2785" width="0" style="365" hidden="1" customWidth="1"/>
    <col min="2786" max="2786" width="12.85546875" style="365" customWidth="1"/>
    <col min="2787" max="2787" width="0" style="365" hidden="1" customWidth="1"/>
    <col min="2788" max="2788" width="14.42578125" style="365" customWidth="1"/>
    <col min="2789" max="2789" width="0" style="365" hidden="1" customWidth="1"/>
    <col min="2790" max="2790" width="17.42578125" style="365" customWidth="1"/>
    <col min="2791" max="2791" width="0" style="365" hidden="1" customWidth="1"/>
    <col min="2792" max="2792" width="14" style="365" customWidth="1"/>
    <col min="2793" max="2793" width="14.28515625" style="365" bestFit="1" customWidth="1"/>
    <col min="2794" max="2794" width="0" style="365" hidden="1" customWidth="1"/>
    <col min="2795" max="2795" width="15.5703125" style="365" customWidth="1"/>
    <col min="2796" max="2796" width="44.5703125" style="365" customWidth="1"/>
    <col min="2797" max="2797" width="14.28515625" style="365" bestFit="1" customWidth="1"/>
    <col min="2798" max="2798" width="0" style="365" hidden="1" customWidth="1"/>
    <col min="2799" max="2799" width="18.140625" style="365" customWidth="1"/>
    <col min="2800" max="2800" width="0" style="365" hidden="1" customWidth="1"/>
    <col min="2801" max="2801" width="14" style="365" customWidth="1"/>
    <col min="2802" max="2802" width="0" style="365" hidden="1" customWidth="1"/>
    <col min="2803" max="2803" width="20.85546875" style="365" customWidth="1"/>
    <col min="2804" max="2804" width="0" style="365" hidden="1" customWidth="1"/>
    <col min="2805" max="2805" width="13.28515625" style="365" customWidth="1"/>
    <col min="2806" max="2806" width="0" style="365" hidden="1" customWidth="1"/>
    <col min="2807" max="2807" width="15" style="365" customWidth="1"/>
    <col min="2808" max="2808" width="0" style="365" hidden="1" customWidth="1"/>
    <col min="2809" max="2809" width="13.28515625" style="365" customWidth="1"/>
    <col min="2810" max="2810" width="0" style="365" hidden="1" customWidth="1"/>
    <col min="2811" max="2811" width="20.140625" style="365" customWidth="1"/>
    <col min="2812" max="2812" width="14.42578125" style="365" bestFit="1" customWidth="1"/>
    <col min="2813" max="2813" width="14" style="365" bestFit="1" customWidth="1"/>
    <col min="2814" max="2814" width="12.28515625" style="365" bestFit="1" customWidth="1"/>
    <col min="2815" max="2839" width="9.140625" style="365" customWidth="1"/>
    <col min="2840" max="3034" width="8.85546875" style="365"/>
    <col min="3035" max="3035" width="44.5703125" style="365" customWidth="1"/>
    <col min="3036" max="3036" width="14.28515625" style="365" bestFit="1" customWidth="1"/>
    <col min="3037" max="3037" width="1.7109375" style="365" customWidth="1"/>
    <col min="3038" max="3038" width="14.85546875" style="365" customWidth="1"/>
    <col min="3039" max="3039" width="0" style="365" hidden="1" customWidth="1"/>
    <col min="3040" max="3040" width="17.42578125" style="365" customWidth="1"/>
    <col min="3041" max="3041" width="0" style="365" hidden="1" customWidth="1"/>
    <col min="3042" max="3042" width="12.85546875" style="365" customWidth="1"/>
    <col min="3043" max="3043" width="0" style="365" hidden="1" customWidth="1"/>
    <col min="3044" max="3044" width="14.42578125" style="365" customWidth="1"/>
    <col min="3045" max="3045" width="0" style="365" hidden="1" customWidth="1"/>
    <col min="3046" max="3046" width="17.42578125" style="365" customWidth="1"/>
    <col min="3047" max="3047" width="0" style="365" hidden="1" customWidth="1"/>
    <col min="3048" max="3048" width="14" style="365" customWidth="1"/>
    <col min="3049" max="3049" width="14.28515625" style="365" bestFit="1" customWidth="1"/>
    <col min="3050" max="3050" width="0" style="365" hidden="1" customWidth="1"/>
    <col min="3051" max="3051" width="15.5703125" style="365" customWidth="1"/>
    <col min="3052" max="3052" width="44.5703125" style="365" customWidth="1"/>
    <col min="3053" max="3053" width="14.28515625" style="365" bestFit="1" customWidth="1"/>
    <col min="3054" max="3054" width="0" style="365" hidden="1" customWidth="1"/>
    <col min="3055" max="3055" width="18.140625" style="365" customWidth="1"/>
    <col min="3056" max="3056" width="0" style="365" hidden="1" customWidth="1"/>
    <col min="3057" max="3057" width="14" style="365" customWidth="1"/>
    <col min="3058" max="3058" width="0" style="365" hidden="1" customWidth="1"/>
    <col min="3059" max="3059" width="20.85546875" style="365" customWidth="1"/>
    <col min="3060" max="3060" width="0" style="365" hidden="1" customWidth="1"/>
    <col min="3061" max="3061" width="13.28515625" style="365" customWidth="1"/>
    <col min="3062" max="3062" width="0" style="365" hidden="1" customWidth="1"/>
    <col min="3063" max="3063" width="15" style="365" customWidth="1"/>
    <col min="3064" max="3064" width="0" style="365" hidden="1" customWidth="1"/>
    <col min="3065" max="3065" width="13.28515625" style="365" customWidth="1"/>
    <col min="3066" max="3066" width="0" style="365" hidden="1" customWidth="1"/>
    <col min="3067" max="3067" width="20.140625" style="365" customWidth="1"/>
    <col min="3068" max="3068" width="14.42578125" style="365" bestFit="1" customWidth="1"/>
    <col min="3069" max="3069" width="14" style="365" bestFit="1" customWidth="1"/>
    <col min="3070" max="3070" width="12.28515625" style="365" bestFit="1" customWidth="1"/>
    <col min="3071" max="3095" width="9.140625" style="365" customWidth="1"/>
    <col min="3096" max="3290" width="8.85546875" style="365"/>
    <col min="3291" max="3291" width="44.5703125" style="365" customWidth="1"/>
    <col min="3292" max="3292" width="14.28515625" style="365" bestFit="1" customWidth="1"/>
    <col min="3293" max="3293" width="1.7109375" style="365" customWidth="1"/>
    <col min="3294" max="3294" width="14.85546875" style="365" customWidth="1"/>
    <col min="3295" max="3295" width="0" style="365" hidden="1" customWidth="1"/>
    <col min="3296" max="3296" width="17.42578125" style="365" customWidth="1"/>
    <col min="3297" max="3297" width="0" style="365" hidden="1" customWidth="1"/>
    <col min="3298" max="3298" width="12.85546875" style="365" customWidth="1"/>
    <col min="3299" max="3299" width="0" style="365" hidden="1" customWidth="1"/>
    <col min="3300" max="3300" width="14.42578125" style="365" customWidth="1"/>
    <col min="3301" max="3301" width="0" style="365" hidden="1" customWidth="1"/>
    <col min="3302" max="3302" width="17.42578125" style="365" customWidth="1"/>
    <col min="3303" max="3303" width="0" style="365" hidden="1" customWidth="1"/>
    <col min="3304" max="3304" width="14" style="365" customWidth="1"/>
    <col min="3305" max="3305" width="14.28515625" style="365" bestFit="1" customWidth="1"/>
    <col min="3306" max="3306" width="0" style="365" hidden="1" customWidth="1"/>
    <col min="3307" max="3307" width="15.5703125" style="365" customWidth="1"/>
    <col min="3308" max="3308" width="44.5703125" style="365" customWidth="1"/>
    <col min="3309" max="3309" width="14.28515625" style="365" bestFit="1" customWidth="1"/>
    <col min="3310" max="3310" width="0" style="365" hidden="1" customWidth="1"/>
    <col min="3311" max="3311" width="18.140625" style="365" customWidth="1"/>
    <col min="3312" max="3312" width="0" style="365" hidden="1" customWidth="1"/>
    <col min="3313" max="3313" width="14" style="365" customWidth="1"/>
    <col min="3314" max="3314" width="0" style="365" hidden="1" customWidth="1"/>
    <col min="3315" max="3315" width="20.85546875" style="365" customWidth="1"/>
    <col min="3316" max="3316" width="0" style="365" hidden="1" customWidth="1"/>
    <col min="3317" max="3317" width="13.28515625" style="365" customWidth="1"/>
    <col min="3318" max="3318" width="0" style="365" hidden="1" customWidth="1"/>
    <col min="3319" max="3319" width="15" style="365" customWidth="1"/>
    <col min="3320" max="3320" width="0" style="365" hidden="1" customWidth="1"/>
    <col min="3321" max="3321" width="13.28515625" style="365" customWidth="1"/>
    <col min="3322" max="3322" width="0" style="365" hidden="1" customWidth="1"/>
    <col min="3323" max="3323" width="20.140625" style="365" customWidth="1"/>
    <col min="3324" max="3324" width="14.42578125" style="365" bestFit="1" customWidth="1"/>
    <col min="3325" max="3325" width="14" style="365" bestFit="1" customWidth="1"/>
    <col min="3326" max="3326" width="12.28515625" style="365" bestFit="1" customWidth="1"/>
    <col min="3327" max="3351" width="9.140625" style="365" customWidth="1"/>
    <col min="3352" max="3546" width="8.85546875" style="365"/>
    <col min="3547" max="3547" width="44.5703125" style="365" customWidth="1"/>
    <col min="3548" max="3548" width="14.28515625" style="365" bestFit="1" customWidth="1"/>
    <col min="3549" max="3549" width="1.7109375" style="365" customWidth="1"/>
    <col min="3550" max="3550" width="14.85546875" style="365" customWidth="1"/>
    <col min="3551" max="3551" width="0" style="365" hidden="1" customWidth="1"/>
    <col min="3552" max="3552" width="17.42578125" style="365" customWidth="1"/>
    <col min="3553" max="3553" width="0" style="365" hidden="1" customWidth="1"/>
    <col min="3554" max="3554" width="12.85546875" style="365" customWidth="1"/>
    <col min="3555" max="3555" width="0" style="365" hidden="1" customWidth="1"/>
    <col min="3556" max="3556" width="14.42578125" style="365" customWidth="1"/>
    <col min="3557" max="3557" width="0" style="365" hidden="1" customWidth="1"/>
    <col min="3558" max="3558" width="17.42578125" style="365" customWidth="1"/>
    <col min="3559" max="3559" width="0" style="365" hidden="1" customWidth="1"/>
    <col min="3560" max="3560" width="14" style="365" customWidth="1"/>
    <col min="3561" max="3561" width="14.28515625" style="365" bestFit="1" customWidth="1"/>
    <col min="3562" max="3562" width="0" style="365" hidden="1" customWidth="1"/>
    <col min="3563" max="3563" width="15.5703125" style="365" customWidth="1"/>
    <col min="3564" max="3564" width="44.5703125" style="365" customWidth="1"/>
    <col min="3565" max="3565" width="14.28515625" style="365" bestFit="1" customWidth="1"/>
    <col min="3566" max="3566" width="0" style="365" hidden="1" customWidth="1"/>
    <col min="3567" max="3567" width="18.140625" style="365" customWidth="1"/>
    <col min="3568" max="3568" width="0" style="365" hidden="1" customWidth="1"/>
    <col min="3569" max="3569" width="14" style="365" customWidth="1"/>
    <col min="3570" max="3570" width="0" style="365" hidden="1" customWidth="1"/>
    <col min="3571" max="3571" width="20.85546875" style="365" customWidth="1"/>
    <col min="3572" max="3572" width="0" style="365" hidden="1" customWidth="1"/>
    <col min="3573" max="3573" width="13.28515625" style="365" customWidth="1"/>
    <col min="3574" max="3574" width="0" style="365" hidden="1" customWidth="1"/>
    <col min="3575" max="3575" width="15" style="365" customWidth="1"/>
    <col min="3576" max="3576" width="0" style="365" hidden="1" customWidth="1"/>
    <col min="3577" max="3577" width="13.28515625" style="365" customWidth="1"/>
    <col min="3578" max="3578" width="0" style="365" hidden="1" customWidth="1"/>
    <col min="3579" max="3579" width="20.140625" style="365" customWidth="1"/>
    <col min="3580" max="3580" width="14.42578125" style="365" bestFit="1" customWidth="1"/>
    <col min="3581" max="3581" width="14" style="365" bestFit="1" customWidth="1"/>
    <col min="3582" max="3582" width="12.28515625" style="365" bestFit="1" customWidth="1"/>
    <col min="3583" max="3607" width="9.140625" style="365" customWidth="1"/>
    <col min="3608" max="3802" width="8.85546875" style="365"/>
    <col min="3803" max="3803" width="44.5703125" style="365" customWidth="1"/>
    <col min="3804" max="3804" width="14.28515625" style="365" bestFit="1" customWidth="1"/>
    <col min="3805" max="3805" width="1.7109375" style="365" customWidth="1"/>
    <col min="3806" max="3806" width="14.85546875" style="365" customWidth="1"/>
    <col min="3807" max="3807" width="0" style="365" hidden="1" customWidth="1"/>
    <col min="3808" max="3808" width="17.42578125" style="365" customWidth="1"/>
    <col min="3809" max="3809" width="0" style="365" hidden="1" customWidth="1"/>
    <col min="3810" max="3810" width="12.85546875" style="365" customWidth="1"/>
    <col min="3811" max="3811" width="0" style="365" hidden="1" customWidth="1"/>
    <col min="3812" max="3812" width="14.42578125" style="365" customWidth="1"/>
    <col min="3813" max="3813" width="0" style="365" hidden="1" customWidth="1"/>
    <col min="3814" max="3814" width="17.42578125" style="365" customWidth="1"/>
    <col min="3815" max="3815" width="0" style="365" hidden="1" customWidth="1"/>
    <col min="3816" max="3816" width="14" style="365" customWidth="1"/>
    <col min="3817" max="3817" width="14.28515625" style="365" bestFit="1" customWidth="1"/>
    <col min="3818" max="3818" width="0" style="365" hidden="1" customWidth="1"/>
    <col min="3819" max="3819" width="15.5703125" style="365" customWidth="1"/>
    <col min="3820" max="3820" width="44.5703125" style="365" customWidth="1"/>
    <col min="3821" max="3821" width="14.28515625" style="365" bestFit="1" customWidth="1"/>
    <col min="3822" max="3822" width="0" style="365" hidden="1" customWidth="1"/>
    <col min="3823" max="3823" width="18.140625" style="365" customWidth="1"/>
    <col min="3824" max="3824" width="0" style="365" hidden="1" customWidth="1"/>
    <col min="3825" max="3825" width="14" style="365" customWidth="1"/>
    <col min="3826" max="3826" width="0" style="365" hidden="1" customWidth="1"/>
    <col min="3827" max="3827" width="20.85546875" style="365" customWidth="1"/>
    <col min="3828" max="3828" width="0" style="365" hidden="1" customWidth="1"/>
    <col min="3829" max="3829" width="13.28515625" style="365" customWidth="1"/>
    <col min="3830" max="3830" width="0" style="365" hidden="1" customWidth="1"/>
    <col min="3831" max="3831" width="15" style="365" customWidth="1"/>
    <col min="3832" max="3832" width="0" style="365" hidden="1" customWidth="1"/>
    <col min="3833" max="3833" width="13.28515625" style="365" customWidth="1"/>
    <col min="3834" max="3834" width="0" style="365" hidden="1" customWidth="1"/>
    <col min="3835" max="3835" width="20.140625" style="365" customWidth="1"/>
    <col min="3836" max="3836" width="14.42578125" style="365" bestFit="1" customWidth="1"/>
    <col min="3837" max="3837" width="14" style="365" bestFit="1" customWidth="1"/>
    <col min="3838" max="3838" width="12.28515625" style="365" bestFit="1" customWidth="1"/>
    <col min="3839" max="3863" width="9.140625" style="365" customWidth="1"/>
    <col min="3864" max="4058" width="8.85546875" style="365"/>
    <col min="4059" max="4059" width="44.5703125" style="365" customWidth="1"/>
    <col min="4060" max="4060" width="14.28515625" style="365" bestFit="1" customWidth="1"/>
    <col min="4061" max="4061" width="1.7109375" style="365" customWidth="1"/>
    <col min="4062" max="4062" width="14.85546875" style="365" customWidth="1"/>
    <col min="4063" max="4063" width="0" style="365" hidden="1" customWidth="1"/>
    <col min="4064" max="4064" width="17.42578125" style="365" customWidth="1"/>
    <col min="4065" max="4065" width="0" style="365" hidden="1" customWidth="1"/>
    <col min="4066" max="4066" width="12.85546875" style="365" customWidth="1"/>
    <col min="4067" max="4067" width="0" style="365" hidden="1" customWidth="1"/>
    <col min="4068" max="4068" width="14.42578125" style="365" customWidth="1"/>
    <col min="4069" max="4069" width="0" style="365" hidden="1" customWidth="1"/>
    <col min="4070" max="4070" width="17.42578125" style="365" customWidth="1"/>
    <col min="4071" max="4071" width="0" style="365" hidden="1" customWidth="1"/>
    <col min="4072" max="4072" width="14" style="365" customWidth="1"/>
    <col min="4073" max="4073" width="14.28515625" style="365" bestFit="1" customWidth="1"/>
    <col min="4074" max="4074" width="0" style="365" hidden="1" customWidth="1"/>
    <col min="4075" max="4075" width="15.5703125" style="365" customWidth="1"/>
    <col min="4076" max="4076" width="44.5703125" style="365" customWidth="1"/>
    <col min="4077" max="4077" width="14.28515625" style="365" bestFit="1" customWidth="1"/>
    <col min="4078" max="4078" width="0" style="365" hidden="1" customWidth="1"/>
    <col min="4079" max="4079" width="18.140625" style="365" customWidth="1"/>
    <col min="4080" max="4080" width="0" style="365" hidden="1" customWidth="1"/>
    <col min="4081" max="4081" width="14" style="365" customWidth="1"/>
    <col min="4082" max="4082" width="0" style="365" hidden="1" customWidth="1"/>
    <col min="4083" max="4083" width="20.85546875" style="365" customWidth="1"/>
    <col min="4084" max="4084" width="0" style="365" hidden="1" customWidth="1"/>
    <col min="4085" max="4085" width="13.28515625" style="365" customWidth="1"/>
    <col min="4086" max="4086" width="0" style="365" hidden="1" customWidth="1"/>
    <col min="4087" max="4087" width="15" style="365" customWidth="1"/>
    <col min="4088" max="4088" width="0" style="365" hidden="1" customWidth="1"/>
    <col min="4089" max="4089" width="13.28515625" style="365" customWidth="1"/>
    <col min="4090" max="4090" width="0" style="365" hidden="1" customWidth="1"/>
    <col min="4091" max="4091" width="20.140625" style="365" customWidth="1"/>
    <col min="4092" max="4092" width="14.42578125" style="365" bestFit="1" customWidth="1"/>
    <col min="4093" max="4093" width="14" style="365" bestFit="1" customWidth="1"/>
    <col min="4094" max="4094" width="12.28515625" style="365" bestFit="1" customWidth="1"/>
    <col min="4095" max="4119" width="9.140625" style="365" customWidth="1"/>
    <col min="4120" max="4314" width="8.85546875" style="365"/>
    <col min="4315" max="4315" width="44.5703125" style="365" customWidth="1"/>
    <col min="4316" max="4316" width="14.28515625" style="365" bestFit="1" customWidth="1"/>
    <col min="4317" max="4317" width="1.7109375" style="365" customWidth="1"/>
    <col min="4318" max="4318" width="14.85546875" style="365" customWidth="1"/>
    <col min="4319" max="4319" width="0" style="365" hidden="1" customWidth="1"/>
    <col min="4320" max="4320" width="17.42578125" style="365" customWidth="1"/>
    <col min="4321" max="4321" width="0" style="365" hidden="1" customWidth="1"/>
    <col min="4322" max="4322" width="12.85546875" style="365" customWidth="1"/>
    <col min="4323" max="4323" width="0" style="365" hidden="1" customWidth="1"/>
    <col min="4324" max="4324" width="14.42578125" style="365" customWidth="1"/>
    <col min="4325" max="4325" width="0" style="365" hidden="1" customWidth="1"/>
    <col min="4326" max="4326" width="17.42578125" style="365" customWidth="1"/>
    <col min="4327" max="4327" width="0" style="365" hidden="1" customWidth="1"/>
    <col min="4328" max="4328" width="14" style="365" customWidth="1"/>
    <col min="4329" max="4329" width="14.28515625" style="365" bestFit="1" customWidth="1"/>
    <col min="4330" max="4330" width="0" style="365" hidden="1" customWidth="1"/>
    <col min="4331" max="4331" width="15.5703125" style="365" customWidth="1"/>
    <col min="4332" max="4332" width="44.5703125" style="365" customWidth="1"/>
    <col min="4333" max="4333" width="14.28515625" style="365" bestFit="1" customWidth="1"/>
    <col min="4334" max="4334" width="0" style="365" hidden="1" customWidth="1"/>
    <col min="4335" max="4335" width="18.140625" style="365" customWidth="1"/>
    <col min="4336" max="4336" width="0" style="365" hidden="1" customWidth="1"/>
    <col min="4337" max="4337" width="14" style="365" customWidth="1"/>
    <col min="4338" max="4338" width="0" style="365" hidden="1" customWidth="1"/>
    <col min="4339" max="4339" width="20.85546875" style="365" customWidth="1"/>
    <col min="4340" max="4340" width="0" style="365" hidden="1" customWidth="1"/>
    <col min="4341" max="4341" width="13.28515625" style="365" customWidth="1"/>
    <col min="4342" max="4342" width="0" style="365" hidden="1" customWidth="1"/>
    <col min="4343" max="4343" width="15" style="365" customWidth="1"/>
    <col min="4344" max="4344" width="0" style="365" hidden="1" customWidth="1"/>
    <col min="4345" max="4345" width="13.28515625" style="365" customWidth="1"/>
    <col min="4346" max="4346" width="0" style="365" hidden="1" customWidth="1"/>
    <col min="4347" max="4347" width="20.140625" style="365" customWidth="1"/>
    <col min="4348" max="4348" width="14.42578125" style="365" bestFit="1" customWidth="1"/>
    <col min="4349" max="4349" width="14" style="365" bestFit="1" customWidth="1"/>
    <col min="4350" max="4350" width="12.28515625" style="365" bestFit="1" customWidth="1"/>
    <col min="4351" max="4375" width="9.140625" style="365" customWidth="1"/>
    <col min="4376" max="4570" width="8.85546875" style="365"/>
    <col min="4571" max="4571" width="44.5703125" style="365" customWidth="1"/>
    <col min="4572" max="4572" width="14.28515625" style="365" bestFit="1" customWidth="1"/>
    <col min="4573" max="4573" width="1.7109375" style="365" customWidth="1"/>
    <col min="4574" max="4574" width="14.85546875" style="365" customWidth="1"/>
    <col min="4575" max="4575" width="0" style="365" hidden="1" customWidth="1"/>
    <col min="4576" max="4576" width="17.42578125" style="365" customWidth="1"/>
    <col min="4577" max="4577" width="0" style="365" hidden="1" customWidth="1"/>
    <col min="4578" max="4578" width="12.85546875" style="365" customWidth="1"/>
    <col min="4579" max="4579" width="0" style="365" hidden="1" customWidth="1"/>
    <col min="4580" max="4580" width="14.42578125" style="365" customWidth="1"/>
    <col min="4581" max="4581" width="0" style="365" hidden="1" customWidth="1"/>
    <col min="4582" max="4582" width="17.42578125" style="365" customWidth="1"/>
    <col min="4583" max="4583" width="0" style="365" hidden="1" customWidth="1"/>
    <col min="4584" max="4584" width="14" style="365" customWidth="1"/>
    <col min="4585" max="4585" width="14.28515625" style="365" bestFit="1" customWidth="1"/>
    <col min="4586" max="4586" width="0" style="365" hidden="1" customWidth="1"/>
    <col min="4587" max="4587" width="15.5703125" style="365" customWidth="1"/>
    <col min="4588" max="4588" width="44.5703125" style="365" customWidth="1"/>
    <col min="4589" max="4589" width="14.28515625" style="365" bestFit="1" customWidth="1"/>
    <col min="4590" max="4590" width="0" style="365" hidden="1" customWidth="1"/>
    <col min="4591" max="4591" width="18.140625" style="365" customWidth="1"/>
    <col min="4592" max="4592" width="0" style="365" hidden="1" customWidth="1"/>
    <col min="4593" max="4593" width="14" style="365" customWidth="1"/>
    <col min="4594" max="4594" width="0" style="365" hidden="1" customWidth="1"/>
    <col min="4595" max="4595" width="20.85546875" style="365" customWidth="1"/>
    <col min="4596" max="4596" width="0" style="365" hidden="1" customWidth="1"/>
    <col min="4597" max="4597" width="13.28515625" style="365" customWidth="1"/>
    <col min="4598" max="4598" width="0" style="365" hidden="1" customWidth="1"/>
    <col min="4599" max="4599" width="15" style="365" customWidth="1"/>
    <col min="4600" max="4600" width="0" style="365" hidden="1" customWidth="1"/>
    <col min="4601" max="4601" width="13.28515625" style="365" customWidth="1"/>
    <col min="4602" max="4602" width="0" style="365" hidden="1" customWidth="1"/>
    <col min="4603" max="4603" width="20.140625" style="365" customWidth="1"/>
    <col min="4604" max="4604" width="14.42578125" style="365" bestFit="1" customWidth="1"/>
    <col min="4605" max="4605" width="14" style="365" bestFit="1" customWidth="1"/>
    <col min="4606" max="4606" width="12.28515625" style="365" bestFit="1" customWidth="1"/>
    <col min="4607" max="4631" width="9.140625" style="365" customWidth="1"/>
    <col min="4632" max="4826" width="8.85546875" style="365"/>
    <col min="4827" max="4827" width="44.5703125" style="365" customWidth="1"/>
    <col min="4828" max="4828" width="14.28515625" style="365" bestFit="1" customWidth="1"/>
    <col min="4829" max="4829" width="1.7109375" style="365" customWidth="1"/>
    <col min="4830" max="4830" width="14.85546875" style="365" customWidth="1"/>
    <col min="4831" max="4831" width="0" style="365" hidden="1" customWidth="1"/>
    <col min="4832" max="4832" width="17.42578125" style="365" customWidth="1"/>
    <col min="4833" max="4833" width="0" style="365" hidden="1" customWidth="1"/>
    <col min="4834" max="4834" width="12.85546875" style="365" customWidth="1"/>
    <col min="4835" max="4835" width="0" style="365" hidden="1" customWidth="1"/>
    <col min="4836" max="4836" width="14.42578125" style="365" customWidth="1"/>
    <col min="4837" max="4837" width="0" style="365" hidden="1" customWidth="1"/>
    <col min="4838" max="4838" width="17.42578125" style="365" customWidth="1"/>
    <col min="4839" max="4839" width="0" style="365" hidden="1" customWidth="1"/>
    <col min="4840" max="4840" width="14" style="365" customWidth="1"/>
    <col min="4841" max="4841" width="14.28515625" style="365" bestFit="1" customWidth="1"/>
    <col min="4842" max="4842" width="0" style="365" hidden="1" customWidth="1"/>
    <col min="4843" max="4843" width="15.5703125" style="365" customWidth="1"/>
    <col min="4844" max="4844" width="44.5703125" style="365" customWidth="1"/>
    <col min="4845" max="4845" width="14.28515625" style="365" bestFit="1" customWidth="1"/>
    <col min="4846" max="4846" width="0" style="365" hidden="1" customWidth="1"/>
    <col min="4847" max="4847" width="18.140625" style="365" customWidth="1"/>
    <col min="4848" max="4848" width="0" style="365" hidden="1" customWidth="1"/>
    <col min="4849" max="4849" width="14" style="365" customWidth="1"/>
    <col min="4850" max="4850" width="0" style="365" hidden="1" customWidth="1"/>
    <col min="4851" max="4851" width="20.85546875" style="365" customWidth="1"/>
    <col min="4852" max="4852" width="0" style="365" hidden="1" customWidth="1"/>
    <col min="4853" max="4853" width="13.28515625" style="365" customWidth="1"/>
    <col min="4854" max="4854" width="0" style="365" hidden="1" customWidth="1"/>
    <col min="4855" max="4855" width="15" style="365" customWidth="1"/>
    <col min="4856" max="4856" width="0" style="365" hidden="1" customWidth="1"/>
    <col min="4857" max="4857" width="13.28515625" style="365" customWidth="1"/>
    <col min="4858" max="4858" width="0" style="365" hidden="1" customWidth="1"/>
    <col min="4859" max="4859" width="20.140625" style="365" customWidth="1"/>
    <col min="4860" max="4860" width="14.42578125" style="365" bestFit="1" customWidth="1"/>
    <col min="4861" max="4861" width="14" style="365" bestFit="1" customWidth="1"/>
    <col min="4862" max="4862" width="12.28515625" style="365" bestFit="1" customWidth="1"/>
    <col min="4863" max="4887" width="9.140625" style="365" customWidth="1"/>
    <col min="4888" max="5082" width="8.85546875" style="365"/>
    <col min="5083" max="5083" width="44.5703125" style="365" customWidth="1"/>
    <col min="5084" max="5084" width="14.28515625" style="365" bestFit="1" customWidth="1"/>
    <col min="5085" max="5085" width="1.7109375" style="365" customWidth="1"/>
    <col min="5086" max="5086" width="14.85546875" style="365" customWidth="1"/>
    <col min="5087" max="5087" width="0" style="365" hidden="1" customWidth="1"/>
    <col min="5088" max="5088" width="17.42578125" style="365" customWidth="1"/>
    <col min="5089" max="5089" width="0" style="365" hidden="1" customWidth="1"/>
    <col min="5090" max="5090" width="12.85546875" style="365" customWidth="1"/>
    <col min="5091" max="5091" width="0" style="365" hidden="1" customWidth="1"/>
    <col min="5092" max="5092" width="14.42578125" style="365" customWidth="1"/>
    <col min="5093" max="5093" width="0" style="365" hidden="1" customWidth="1"/>
    <col min="5094" max="5094" width="17.42578125" style="365" customWidth="1"/>
    <col min="5095" max="5095" width="0" style="365" hidden="1" customWidth="1"/>
    <col min="5096" max="5096" width="14" style="365" customWidth="1"/>
    <col min="5097" max="5097" width="14.28515625" style="365" bestFit="1" customWidth="1"/>
    <col min="5098" max="5098" width="0" style="365" hidden="1" customWidth="1"/>
    <col min="5099" max="5099" width="15.5703125" style="365" customWidth="1"/>
    <col min="5100" max="5100" width="44.5703125" style="365" customWidth="1"/>
    <col min="5101" max="5101" width="14.28515625" style="365" bestFit="1" customWidth="1"/>
    <col min="5102" max="5102" width="0" style="365" hidden="1" customWidth="1"/>
    <col min="5103" max="5103" width="18.140625" style="365" customWidth="1"/>
    <col min="5104" max="5104" width="0" style="365" hidden="1" customWidth="1"/>
    <col min="5105" max="5105" width="14" style="365" customWidth="1"/>
    <col min="5106" max="5106" width="0" style="365" hidden="1" customWidth="1"/>
    <col min="5107" max="5107" width="20.85546875" style="365" customWidth="1"/>
    <col min="5108" max="5108" width="0" style="365" hidden="1" customWidth="1"/>
    <col min="5109" max="5109" width="13.28515625" style="365" customWidth="1"/>
    <col min="5110" max="5110" width="0" style="365" hidden="1" customWidth="1"/>
    <col min="5111" max="5111" width="15" style="365" customWidth="1"/>
    <col min="5112" max="5112" width="0" style="365" hidden="1" customWidth="1"/>
    <col min="5113" max="5113" width="13.28515625" style="365" customWidth="1"/>
    <col min="5114" max="5114" width="0" style="365" hidden="1" customWidth="1"/>
    <col min="5115" max="5115" width="20.140625" style="365" customWidth="1"/>
    <col min="5116" max="5116" width="14.42578125" style="365" bestFit="1" customWidth="1"/>
    <col min="5117" max="5117" width="14" style="365" bestFit="1" customWidth="1"/>
    <col min="5118" max="5118" width="12.28515625" style="365" bestFit="1" customWidth="1"/>
    <col min="5119" max="5143" width="9.140625" style="365" customWidth="1"/>
    <col min="5144" max="5338" width="8.85546875" style="365"/>
    <col min="5339" max="5339" width="44.5703125" style="365" customWidth="1"/>
    <col min="5340" max="5340" width="14.28515625" style="365" bestFit="1" customWidth="1"/>
    <col min="5341" max="5341" width="1.7109375" style="365" customWidth="1"/>
    <col min="5342" max="5342" width="14.85546875" style="365" customWidth="1"/>
    <col min="5343" max="5343" width="0" style="365" hidden="1" customWidth="1"/>
    <col min="5344" max="5344" width="17.42578125" style="365" customWidth="1"/>
    <col min="5345" max="5345" width="0" style="365" hidden="1" customWidth="1"/>
    <col min="5346" max="5346" width="12.85546875" style="365" customWidth="1"/>
    <col min="5347" max="5347" width="0" style="365" hidden="1" customWidth="1"/>
    <col min="5348" max="5348" width="14.42578125" style="365" customWidth="1"/>
    <col min="5349" max="5349" width="0" style="365" hidden="1" customWidth="1"/>
    <col min="5350" max="5350" width="17.42578125" style="365" customWidth="1"/>
    <col min="5351" max="5351" width="0" style="365" hidden="1" customWidth="1"/>
    <col min="5352" max="5352" width="14" style="365" customWidth="1"/>
    <col min="5353" max="5353" width="14.28515625" style="365" bestFit="1" customWidth="1"/>
    <col min="5354" max="5354" width="0" style="365" hidden="1" customWidth="1"/>
    <col min="5355" max="5355" width="15.5703125" style="365" customWidth="1"/>
    <col min="5356" max="5356" width="44.5703125" style="365" customWidth="1"/>
    <col min="5357" max="5357" width="14.28515625" style="365" bestFit="1" customWidth="1"/>
    <col min="5358" max="5358" width="0" style="365" hidden="1" customWidth="1"/>
    <col min="5359" max="5359" width="18.140625" style="365" customWidth="1"/>
    <col min="5360" max="5360" width="0" style="365" hidden="1" customWidth="1"/>
    <col min="5361" max="5361" width="14" style="365" customWidth="1"/>
    <col min="5362" max="5362" width="0" style="365" hidden="1" customWidth="1"/>
    <col min="5363" max="5363" width="20.85546875" style="365" customWidth="1"/>
    <col min="5364" max="5364" width="0" style="365" hidden="1" customWidth="1"/>
    <col min="5365" max="5365" width="13.28515625" style="365" customWidth="1"/>
    <col min="5366" max="5366" width="0" style="365" hidden="1" customWidth="1"/>
    <col min="5367" max="5367" width="15" style="365" customWidth="1"/>
    <col min="5368" max="5368" width="0" style="365" hidden="1" customWidth="1"/>
    <col min="5369" max="5369" width="13.28515625" style="365" customWidth="1"/>
    <col min="5370" max="5370" width="0" style="365" hidden="1" customWidth="1"/>
    <col min="5371" max="5371" width="20.140625" style="365" customWidth="1"/>
    <col min="5372" max="5372" width="14.42578125" style="365" bestFit="1" customWidth="1"/>
    <col min="5373" max="5373" width="14" style="365" bestFit="1" customWidth="1"/>
    <col min="5374" max="5374" width="12.28515625" style="365" bestFit="1" customWidth="1"/>
    <col min="5375" max="5399" width="9.140625" style="365" customWidth="1"/>
    <col min="5400" max="5594" width="8.85546875" style="365"/>
    <col min="5595" max="5595" width="44.5703125" style="365" customWidth="1"/>
    <col min="5596" max="5596" width="14.28515625" style="365" bestFit="1" customWidth="1"/>
    <col min="5597" max="5597" width="1.7109375" style="365" customWidth="1"/>
    <col min="5598" max="5598" width="14.85546875" style="365" customWidth="1"/>
    <col min="5599" max="5599" width="0" style="365" hidden="1" customWidth="1"/>
    <col min="5600" max="5600" width="17.42578125" style="365" customWidth="1"/>
    <col min="5601" max="5601" width="0" style="365" hidden="1" customWidth="1"/>
    <col min="5602" max="5602" width="12.85546875" style="365" customWidth="1"/>
    <col min="5603" max="5603" width="0" style="365" hidden="1" customWidth="1"/>
    <col min="5604" max="5604" width="14.42578125" style="365" customWidth="1"/>
    <col min="5605" max="5605" width="0" style="365" hidden="1" customWidth="1"/>
    <col min="5606" max="5606" width="17.42578125" style="365" customWidth="1"/>
    <col min="5607" max="5607" width="0" style="365" hidden="1" customWidth="1"/>
    <col min="5608" max="5608" width="14" style="365" customWidth="1"/>
    <col min="5609" max="5609" width="14.28515625" style="365" bestFit="1" customWidth="1"/>
    <col min="5610" max="5610" width="0" style="365" hidden="1" customWidth="1"/>
    <col min="5611" max="5611" width="15.5703125" style="365" customWidth="1"/>
    <col min="5612" max="5612" width="44.5703125" style="365" customWidth="1"/>
    <col min="5613" max="5613" width="14.28515625" style="365" bestFit="1" customWidth="1"/>
    <col min="5614" max="5614" width="0" style="365" hidden="1" customWidth="1"/>
    <col min="5615" max="5615" width="18.140625" style="365" customWidth="1"/>
    <col min="5616" max="5616" width="0" style="365" hidden="1" customWidth="1"/>
    <col min="5617" max="5617" width="14" style="365" customWidth="1"/>
    <col min="5618" max="5618" width="0" style="365" hidden="1" customWidth="1"/>
    <col min="5619" max="5619" width="20.85546875" style="365" customWidth="1"/>
    <col min="5620" max="5620" width="0" style="365" hidden="1" customWidth="1"/>
    <col min="5621" max="5621" width="13.28515625" style="365" customWidth="1"/>
    <col min="5622" max="5622" width="0" style="365" hidden="1" customWidth="1"/>
    <col min="5623" max="5623" width="15" style="365" customWidth="1"/>
    <col min="5624" max="5624" width="0" style="365" hidden="1" customWidth="1"/>
    <col min="5625" max="5625" width="13.28515625" style="365" customWidth="1"/>
    <col min="5626" max="5626" width="0" style="365" hidden="1" customWidth="1"/>
    <col min="5627" max="5627" width="20.140625" style="365" customWidth="1"/>
    <col min="5628" max="5628" width="14.42578125" style="365" bestFit="1" customWidth="1"/>
    <col min="5629" max="5629" width="14" style="365" bestFit="1" customWidth="1"/>
    <col min="5630" max="5630" width="12.28515625" style="365" bestFit="1" customWidth="1"/>
    <col min="5631" max="5655" width="9.140625" style="365" customWidth="1"/>
    <col min="5656" max="5850" width="8.85546875" style="365"/>
    <col min="5851" max="5851" width="44.5703125" style="365" customWidth="1"/>
    <col min="5852" max="5852" width="14.28515625" style="365" bestFit="1" customWidth="1"/>
    <col min="5853" max="5853" width="1.7109375" style="365" customWidth="1"/>
    <col min="5854" max="5854" width="14.85546875" style="365" customWidth="1"/>
    <col min="5855" max="5855" width="0" style="365" hidden="1" customWidth="1"/>
    <col min="5856" max="5856" width="17.42578125" style="365" customWidth="1"/>
    <col min="5857" max="5857" width="0" style="365" hidden="1" customWidth="1"/>
    <col min="5858" max="5858" width="12.85546875" style="365" customWidth="1"/>
    <col min="5859" max="5859" width="0" style="365" hidden="1" customWidth="1"/>
    <col min="5860" max="5860" width="14.42578125" style="365" customWidth="1"/>
    <col min="5861" max="5861" width="0" style="365" hidden="1" customWidth="1"/>
    <col min="5862" max="5862" width="17.42578125" style="365" customWidth="1"/>
    <col min="5863" max="5863" width="0" style="365" hidden="1" customWidth="1"/>
    <col min="5864" max="5864" width="14" style="365" customWidth="1"/>
    <col min="5865" max="5865" width="14.28515625" style="365" bestFit="1" customWidth="1"/>
    <col min="5866" max="5866" width="0" style="365" hidden="1" customWidth="1"/>
    <col min="5867" max="5867" width="15.5703125" style="365" customWidth="1"/>
    <col min="5868" max="5868" width="44.5703125" style="365" customWidth="1"/>
    <col min="5869" max="5869" width="14.28515625" style="365" bestFit="1" customWidth="1"/>
    <col min="5870" max="5870" width="0" style="365" hidden="1" customWidth="1"/>
    <col min="5871" max="5871" width="18.140625" style="365" customWidth="1"/>
    <col min="5872" max="5872" width="0" style="365" hidden="1" customWidth="1"/>
    <col min="5873" max="5873" width="14" style="365" customWidth="1"/>
    <col min="5874" max="5874" width="0" style="365" hidden="1" customWidth="1"/>
    <col min="5875" max="5875" width="20.85546875" style="365" customWidth="1"/>
    <col min="5876" max="5876" width="0" style="365" hidden="1" customWidth="1"/>
    <col min="5877" max="5877" width="13.28515625" style="365" customWidth="1"/>
    <col min="5878" max="5878" width="0" style="365" hidden="1" customWidth="1"/>
    <col min="5879" max="5879" width="15" style="365" customWidth="1"/>
    <col min="5880" max="5880" width="0" style="365" hidden="1" customWidth="1"/>
    <col min="5881" max="5881" width="13.28515625" style="365" customWidth="1"/>
    <col min="5882" max="5882" width="0" style="365" hidden="1" customWidth="1"/>
    <col min="5883" max="5883" width="20.140625" style="365" customWidth="1"/>
    <col min="5884" max="5884" width="14.42578125" style="365" bestFit="1" customWidth="1"/>
    <col min="5885" max="5885" width="14" style="365" bestFit="1" customWidth="1"/>
    <col min="5886" max="5886" width="12.28515625" style="365" bestFit="1" customWidth="1"/>
    <col min="5887" max="5911" width="9.140625" style="365" customWidth="1"/>
    <col min="5912" max="6106" width="8.85546875" style="365"/>
    <col min="6107" max="6107" width="44.5703125" style="365" customWidth="1"/>
    <col min="6108" max="6108" width="14.28515625" style="365" bestFit="1" customWidth="1"/>
    <col min="6109" max="6109" width="1.7109375" style="365" customWidth="1"/>
    <col min="6110" max="6110" width="14.85546875" style="365" customWidth="1"/>
    <col min="6111" max="6111" width="0" style="365" hidden="1" customWidth="1"/>
    <col min="6112" max="6112" width="17.42578125" style="365" customWidth="1"/>
    <col min="6113" max="6113" width="0" style="365" hidden="1" customWidth="1"/>
    <col min="6114" max="6114" width="12.85546875" style="365" customWidth="1"/>
    <col min="6115" max="6115" width="0" style="365" hidden="1" customWidth="1"/>
    <col min="6116" max="6116" width="14.42578125" style="365" customWidth="1"/>
    <col min="6117" max="6117" width="0" style="365" hidden="1" customWidth="1"/>
    <col min="6118" max="6118" width="17.42578125" style="365" customWidth="1"/>
    <col min="6119" max="6119" width="0" style="365" hidden="1" customWidth="1"/>
    <col min="6120" max="6120" width="14" style="365" customWidth="1"/>
    <col min="6121" max="6121" width="14.28515625" style="365" bestFit="1" customWidth="1"/>
    <col min="6122" max="6122" width="0" style="365" hidden="1" customWidth="1"/>
    <col min="6123" max="6123" width="15.5703125" style="365" customWidth="1"/>
    <col min="6124" max="6124" width="44.5703125" style="365" customWidth="1"/>
    <col min="6125" max="6125" width="14.28515625" style="365" bestFit="1" customWidth="1"/>
    <col min="6126" max="6126" width="0" style="365" hidden="1" customWidth="1"/>
    <col min="6127" max="6127" width="18.140625" style="365" customWidth="1"/>
    <col min="6128" max="6128" width="0" style="365" hidden="1" customWidth="1"/>
    <col min="6129" max="6129" width="14" style="365" customWidth="1"/>
    <col min="6130" max="6130" width="0" style="365" hidden="1" customWidth="1"/>
    <col min="6131" max="6131" width="20.85546875" style="365" customWidth="1"/>
    <col min="6132" max="6132" width="0" style="365" hidden="1" customWidth="1"/>
    <col min="6133" max="6133" width="13.28515625" style="365" customWidth="1"/>
    <col min="6134" max="6134" width="0" style="365" hidden="1" customWidth="1"/>
    <col min="6135" max="6135" width="15" style="365" customWidth="1"/>
    <col min="6136" max="6136" width="0" style="365" hidden="1" customWidth="1"/>
    <col min="6137" max="6137" width="13.28515625" style="365" customWidth="1"/>
    <col min="6138" max="6138" width="0" style="365" hidden="1" customWidth="1"/>
    <col min="6139" max="6139" width="20.140625" style="365" customWidth="1"/>
    <col min="6140" max="6140" width="14.42578125" style="365" bestFit="1" customWidth="1"/>
    <col min="6141" max="6141" width="14" style="365" bestFit="1" customWidth="1"/>
    <col min="6142" max="6142" width="12.28515625" style="365" bestFit="1" customWidth="1"/>
    <col min="6143" max="6167" width="9.140625" style="365" customWidth="1"/>
    <col min="6168" max="6362" width="8.85546875" style="365"/>
    <col min="6363" max="6363" width="44.5703125" style="365" customWidth="1"/>
    <col min="6364" max="6364" width="14.28515625" style="365" bestFit="1" customWidth="1"/>
    <col min="6365" max="6365" width="1.7109375" style="365" customWidth="1"/>
    <col min="6366" max="6366" width="14.85546875" style="365" customWidth="1"/>
    <col min="6367" max="6367" width="0" style="365" hidden="1" customWidth="1"/>
    <col min="6368" max="6368" width="17.42578125" style="365" customWidth="1"/>
    <col min="6369" max="6369" width="0" style="365" hidden="1" customWidth="1"/>
    <col min="6370" max="6370" width="12.85546875" style="365" customWidth="1"/>
    <col min="6371" max="6371" width="0" style="365" hidden="1" customWidth="1"/>
    <col min="6372" max="6372" width="14.42578125" style="365" customWidth="1"/>
    <col min="6373" max="6373" width="0" style="365" hidden="1" customWidth="1"/>
    <col min="6374" max="6374" width="17.42578125" style="365" customWidth="1"/>
    <col min="6375" max="6375" width="0" style="365" hidden="1" customWidth="1"/>
    <col min="6376" max="6376" width="14" style="365" customWidth="1"/>
    <col min="6377" max="6377" width="14.28515625" style="365" bestFit="1" customWidth="1"/>
    <col min="6378" max="6378" width="0" style="365" hidden="1" customWidth="1"/>
    <col min="6379" max="6379" width="15.5703125" style="365" customWidth="1"/>
    <col min="6380" max="6380" width="44.5703125" style="365" customWidth="1"/>
    <col min="6381" max="6381" width="14.28515625" style="365" bestFit="1" customWidth="1"/>
    <col min="6382" max="6382" width="0" style="365" hidden="1" customWidth="1"/>
    <col min="6383" max="6383" width="18.140625" style="365" customWidth="1"/>
    <col min="6384" max="6384" width="0" style="365" hidden="1" customWidth="1"/>
    <col min="6385" max="6385" width="14" style="365" customWidth="1"/>
    <col min="6386" max="6386" width="0" style="365" hidden="1" customWidth="1"/>
    <col min="6387" max="6387" width="20.85546875" style="365" customWidth="1"/>
    <col min="6388" max="6388" width="0" style="365" hidden="1" customWidth="1"/>
    <col min="6389" max="6389" width="13.28515625" style="365" customWidth="1"/>
    <col min="6390" max="6390" width="0" style="365" hidden="1" customWidth="1"/>
    <col min="6391" max="6391" width="15" style="365" customWidth="1"/>
    <col min="6392" max="6392" width="0" style="365" hidden="1" customWidth="1"/>
    <col min="6393" max="6393" width="13.28515625" style="365" customWidth="1"/>
    <col min="6394" max="6394" width="0" style="365" hidden="1" customWidth="1"/>
    <col min="6395" max="6395" width="20.140625" style="365" customWidth="1"/>
    <col min="6396" max="6396" width="14.42578125" style="365" bestFit="1" customWidth="1"/>
    <col min="6397" max="6397" width="14" style="365" bestFit="1" customWidth="1"/>
    <col min="6398" max="6398" width="12.28515625" style="365" bestFit="1" customWidth="1"/>
    <col min="6399" max="6423" width="9.140625" style="365" customWidth="1"/>
    <col min="6424" max="6618" width="8.85546875" style="365"/>
    <col min="6619" max="6619" width="44.5703125" style="365" customWidth="1"/>
    <col min="6620" max="6620" width="14.28515625" style="365" bestFit="1" customWidth="1"/>
    <col min="6621" max="6621" width="1.7109375" style="365" customWidth="1"/>
    <col min="6622" max="6622" width="14.85546875" style="365" customWidth="1"/>
    <col min="6623" max="6623" width="0" style="365" hidden="1" customWidth="1"/>
    <col min="6624" max="6624" width="17.42578125" style="365" customWidth="1"/>
    <col min="6625" max="6625" width="0" style="365" hidden="1" customWidth="1"/>
    <col min="6626" max="6626" width="12.85546875" style="365" customWidth="1"/>
    <col min="6627" max="6627" width="0" style="365" hidden="1" customWidth="1"/>
    <col min="6628" max="6628" width="14.42578125" style="365" customWidth="1"/>
    <col min="6629" max="6629" width="0" style="365" hidden="1" customWidth="1"/>
    <col min="6630" max="6630" width="17.42578125" style="365" customWidth="1"/>
    <col min="6631" max="6631" width="0" style="365" hidden="1" customWidth="1"/>
    <col min="6632" max="6632" width="14" style="365" customWidth="1"/>
    <col min="6633" max="6633" width="14.28515625" style="365" bestFit="1" customWidth="1"/>
    <col min="6634" max="6634" width="0" style="365" hidden="1" customWidth="1"/>
    <col min="6635" max="6635" width="15.5703125" style="365" customWidth="1"/>
    <col min="6636" max="6636" width="44.5703125" style="365" customWidth="1"/>
    <col min="6637" max="6637" width="14.28515625" style="365" bestFit="1" customWidth="1"/>
    <col min="6638" max="6638" width="0" style="365" hidden="1" customWidth="1"/>
    <col min="6639" max="6639" width="18.140625" style="365" customWidth="1"/>
    <col min="6640" max="6640" width="0" style="365" hidden="1" customWidth="1"/>
    <col min="6641" max="6641" width="14" style="365" customWidth="1"/>
    <col min="6642" max="6642" width="0" style="365" hidden="1" customWidth="1"/>
    <col min="6643" max="6643" width="20.85546875" style="365" customWidth="1"/>
    <col min="6644" max="6644" width="0" style="365" hidden="1" customWidth="1"/>
    <col min="6645" max="6645" width="13.28515625" style="365" customWidth="1"/>
    <col min="6646" max="6646" width="0" style="365" hidden="1" customWidth="1"/>
    <col min="6647" max="6647" width="15" style="365" customWidth="1"/>
    <col min="6648" max="6648" width="0" style="365" hidden="1" customWidth="1"/>
    <col min="6649" max="6649" width="13.28515625" style="365" customWidth="1"/>
    <col min="6650" max="6650" width="0" style="365" hidden="1" customWidth="1"/>
    <col min="6651" max="6651" width="20.140625" style="365" customWidth="1"/>
    <col min="6652" max="6652" width="14.42578125" style="365" bestFit="1" customWidth="1"/>
    <col min="6653" max="6653" width="14" style="365" bestFit="1" customWidth="1"/>
    <col min="6654" max="6654" width="12.28515625" style="365" bestFit="1" customWidth="1"/>
    <col min="6655" max="6679" width="9.140625" style="365" customWidth="1"/>
    <col min="6680" max="6874" width="8.85546875" style="365"/>
    <col min="6875" max="6875" width="44.5703125" style="365" customWidth="1"/>
    <col min="6876" max="6876" width="14.28515625" style="365" bestFit="1" customWidth="1"/>
    <col min="6877" max="6877" width="1.7109375" style="365" customWidth="1"/>
    <col min="6878" max="6878" width="14.85546875" style="365" customWidth="1"/>
    <col min="6879" max="6879" width="0" style="365" hidden="1" customWidth="1"/>
    <col min="6880" max="6880" width="17.42578125" style="365" customWidth="1"/>
    <col min="6881" max="6881" width="0" style="365" hidden="1" customWidth="1"/>
    <col min="6882" max="6882" width="12.85546875" style="365" customWidth="1"/>
    <col min="6883" max="6883" width="0" style="365" hidden="1" customWidth="1"/>
    <col min="6884" max="6884" width="14.42578125" style="365" customWidth="1"/>
    <col min="6885" max="6885" width="0" style="365" hidden="1" customWidth="1"/>
    <col min="6886" max="6886" width="17.42578125" style="365" customWidth="1"/>
    <col min="6887" max="6887" width="0" style="365" hidden="1" customWidth="1"/>
    <col min="6888" max="6888" width="14" style="365" customWidth="1"/>
    <col min="6889" max="6889" width="14.28515625" style="365" bestFit="1" customWidth="1"/>
    <col min="6890" max="6890" width="0" style="365" hidden="1" customWidth="1"/>
    <col min="6891" max="6891" width="15.5703125" style="365" customWidth="1"/>
    <col min="6892" max="6892" width="44.5703125" style="365" customWidth="1"/>
    <col min="6893" max="6893" width="14.28515625" style="365" bestFit="1" customWidth="1"/>
    <col min="6894" max="6894" width="0" style="365" hidden="1" customWidth="1"/>
    <col min="6895" max="6895" width="18.140625" style="365" customWidth="1"/>
    <col min="6896" max="6896" width="0" style="365" hidden="1" customWidth="1"/>
    <col min="6897" max="6897" width="14" style="365" customWidth="1"/>
    <col min="6898" max="6898" width="0" style="365" hidden="1" customWidth="1"/>
    <col min="6899" max="6899" width="20.85546875" style="365" customWidth="1"/>
    <col min="6900" max="6900" width="0" style="365" hidden="1" customWidth="1"/>
    <col min="6901" max="6901" width="13.28515625" style="365" customWidth="1"/>
    <col min="6902" max="6902" width="0" style="365" hidden="1" customWidth="1"/>
    <col min="6903" max="6903" width="15" style="365" customWidth="1"/>
    <col min="6904" max="6904" width="0" style="365" hidden="1" customWidth="1"/>
    <col min="6905" max="6905" width="13.28515625" style="365" customWidth="1"/>
    <col min="6906" max="6906" width="0" style="365" hidden="1" customWidth="1"/>
    <col min="6907" max="6907" width="20.140625" style="365" customWidth="1"/>
    <col min="6908" max="6908" width="14.42578125" style="365" bestFit="1" customWidth="1"/>
    <col min="6909" max="6909" width="14" style="365" bestFit="1" customWidth="1"/>
    <col min="6910" max="6910" width="12.28515625" style="365" bestFit="1" customWidth="1"/>
    <col min="6911" max="6935" width="9.140625" style="365" customWidth="1"/>
    <col min="6936" max="7130" width="8.85546875" style="365"/>
    <col min="7131" max="7131" width="44.5703125" style="365" customWidth="1"/>
    <col min="7132" max="7132" width="14.28515625" style="365" bestFit="1" customWidth="1"/>
    <col min="7133" max="7133" width="1.7109375" style="365" customWidth="1"/>
    <col min="7134" max="7134" width="14.85546875" style="365" customWidth="1"/>
    <col min="7135" max="7135" width="0" style="365" hidden="1" customWidth="1"/>
    <col min="7136" max="7136" width="17.42578125" style="365" customWidth="1"/>
    <col min="7137" max="7137" width="0" style="365" hidden="1" customWidth="1"/>
    <col min="7138" max="7138" width="12.85546875" style="365" customWidth="1"/>
    <col min="7139" max="7139" width="0" style="365" hidden="1" customWidth="1"/>
    <col min="7140" max="7140" width="14.42578125" style="365" customWidth="1"/>
    <col min="7141" max="7141" width="0" style="365" hidden="1" customWidth="1"/>
    <col min="7142" max="7142" width="17.42578125" style="365" customWidth="1"/>
    <col min="7143" max="7143" width="0" style="365" hidden="1" customWidth="1"/>
    <col min="7144" max="7144" width="14" style="365" customWidth="1"/>
    <col min="7145" max="7145" width="14.28515625" style="365" bestFit="1" customWidth="1"/>
    <col min="7146" max="7146" width="0" style="365" hidden="1" customWidth="1"/>
    <col min="7147" max="7147" width="15.5703125" style="365" customWidth="1"/>
    <col min="7148" max="7148" width="44.5703125" style="365" customWidth="1"/>
    <col min="7149" max="7149" width="14.28515625" style="365" bestFit="1" customWidth="1"/>
    <col min="7150" max="7150" width="0" style="365" hidden="1" customWidth="1"/>
    <col min="7151" max="7151" width="18.140625" style="365" customWidth="1"/>
    <col min="7152" max="7152" width="0" style="365" hidden="1" customWidth="1"/>
    <col min="7153" max="7153" width="14" style="365" customWidth="1"/>
    <col min="7154" max="7154" width="0" style="365" hidden="1" customWidth="1"/>
    <col min="7155" max="7155" width="20.85546875" style="365" customWidth="1"/>
    <col min="7156" max="7156" width="0" style="365" hidden="1" customWidth="1"/>
    <col min="7157" max="7157" width="13.28515625" style="365" customWidth="1"/>
    <col min="7158" max="7158" width="0" style="365" hidden="1" customWidth="1"/>
    <col min="7159" max="7159" width="15" style="365" customWidth="1"/>
    <col min="7160" max="7160" width="0" style="365" hidden="1" customWidth="1"/>
    <col min="7161" max="7161" width="13.28515625" style="365" customWidth="1"/>
    <col min="7162" max="7162" width="0" style="365" hidden="1" customWidth="1"/>
    <col min="7163" max="7163" width="20.140625" style="365" customWidth="1"/>
    <col min="7164" max="7164" width="14.42578125" style="365" bestFit="1" customWidth="1"/>
    <col min="7165" max="7165" width="14" style="365" bestFit="1" customWidth="1"/>
    <col min="7166" max="7166" width="12.28515625" style="365" bestFit="1" customWidth="1"/>
    <col min="7167" max="7191" width="9.140625" style="365" customWidth="1"/>
    <col min="7192" max="7386" width="8.85546875" style="365"/>
    <col min="7387" max="7387" width="44.5703125" style="365" customWidth="1"/>
    <col min="7388" max="7388" width="14.28515625" style="365" bestFit="1" customWidth="1"/>
    <col min="7389" max="7389" width="1.7109375" style="365" customWidth="1"/>
    <col min="7390" max="7390" width="14.85546875" style="365" customWidth="1"/>
    <col min="7391" max="7391" width="0" style="365" hidden="1" customWidth="1"/>
    <col min="7392" max="7392" width="17.42578125" style="365" customWidth="1"/>
    <col min="7393" max="7393" width="0" style="365" hidden="1" customWidth="1"/>
    <col min="7394" max="7394" width="12.85546875" style="365" customWidth="1"/>
    <col min="7395" max="7395" width="0" style="365" hidden="1" customWidth="1"/>
    <col min="7396" max="7396" width="14.42578125" style="365" customWidth="1"/>
    <col min="7397" max="7397" width="0" style="365" hidden="1" customWidth="1"/>
    <col min="7398" max="7398" width="17.42578125" style="365" customWidth="1"/>
    <col min="7399" max="7399" width="0" style="365" hidden="1" customWidth="1"/>
    <col min="7400" max="7400" width="14" style="365" customWidth="1"/>
    <col min="7401" max="7401" width="14.28515625" style="365" bestFit="1" customWidth="1"/>
    <col min="7402" max="7402" width="0" style="365" hidden="1" customWidth="1"/>
    <col min="7403" max="7403" width="15.5703125" style="365" customWidth="1"/>
    <col min="7404" max="7404" width="44.5703125" style="365" customWidth="1"/>
    <col min="7405" max="7405" width="14.28515625" style="365" bestFit="1" customWidth="1"/>
    <col min="7406" max="7406" width="0" style="365" hidden="1" customWidth="1"/>
    <col min="7407" max="7407" width="18.140625" style="365" customWidth="1"/>
    <col min="7408" max="7408" width="0" style="365" hidden="1" customWidth="1"/>
    <col min="7409" max="7409" width="14" style="365" customWidth="1"/>
    <col min="7410" max="7410" width="0" style="365" hidden="1" customWidth="1"/>
    <col min="7411" max="7411" width="20.85546875" style="365" customWidth="1"/>
    <col min="7412" max="7412" width="0" style="365" hidden="1" customWidth="1"/>
    <col min="7413" max="7413" width="13.28515625" style="365" customWidth="1"/>
    <col min="7414" max="7414" width="0" style="365" hidden="1" customWidth="1"/>
    <col min="7415" max="7415" width="15" style="365" customWidth="1"/>
    <col min="7416" max="7416" width="0" style="365" hidden="1" customWidth="1"/>
    <col min="7417" max="7417" width="13.28515625" style="365" customWidth="1"/>
    <col min="7418" max="7418" width="0" style="365" hidden="1" customWidth="1"/>
    <col min="7419" max="7419" width="20.140625" style="365" customWidth="1"/>
    <col min="7420" max="7420" width="14.42578125" style="365" bestFit="1" customWidth="1"/>
    <col min="7421" max="7421" width="14" style="365" bestFit="1" customWidth="1"/>
    <col min="7422" max="7422" width="12.28515625" style="365" bestFit="1" customWidth="1"/>
    <col min="7423" max="7447" width="9.140625" style="365" customWidth="1"/>
    <col min="7448" max="7642" width="8.85546875" style="365"/>
    <col min="7643" max="7643" width="44.5703125" style="365" customWidth="1"/>
    <col min="7644" max="7644" width="14.28515625" style="365" bestFit="1" customWidth="1"/>
    <col min="7645" max="7645" width="1.7109375" style="365" customWidth="1"/>
    <col min="7646" max="7646" width="14.85546875" style="365" customWidth="1"/>
    <col min="7647" max="7647" width="0" style="365" hidden="1" customWidth="1"/>
    <col min="7648" max="7648" width="17.42578125" style="365" customWidth="1"/>
    <col min="7649" max="7649" width="0" style="365" hidden="1" customWidth="1"/>
    <col min="7650" max="7650" width="12.85546875" style="365" customWidth="1"/>
    <col min="7651" max="7651" width="0" style="365" hidden="1" customWidth="1"/>
    <col min="7652" max="7652" width="14.42578125" style="365" customWidth="1"/>
    <col min="7653" max="7653" width="0" style="365" hidden="1" customWidth="1"/>
    <col min="7654" max="7654" width="17.42578125" style="365" customWidth="1"/>
    <col min="7655" max="7655" width="0" style="365" hidden="1" customWidth="1"/>
    <col min="7656" max="7656" width="14" style="365" customWidth="1"/>
    <col min="7657" max="7657" width="14.28515625" style="365" bestFit="1" customWidth="1"/>
    <col min="7658" max="7658" width="0" style="365" hidden="1" customWidth="1"/>
    <col min="7659" max="7659" width="15.5703125" style="365" customWidth="1"/>
    <col min="7660" max="7660" width="44.5703125" style="365" customWidth="1"/>
    <col min="7661" max="7661" width="14.28515625" style="365" bestFit="1" customWidth="1"/>
    <col min="7662" max="7662" width="0" style="365" hidden="1" customWidth="1"/>
    <col min="7663" max="7663" width="18.140625" style="365" customWidth="1"/>
    <col min="7664" max="7664" width="0" style="365" hidden="1" customWidth="1"/>
    <col min="7665" max="7665" width="14" style="365" customWidth="1"/>
    <col min="7666" max="7666" width="0" style="365" hidden="1" customWidth="1"/>
    <col min="7667" max="7667" width="20.85546875" style="365" customWidth="1"/>
    <col min="7668" max="7668" width="0" style="365" hidden="1" customWidth="1"/>
    <col min="7669" max="7669" width="13.28515625" style="365" customWidth="1"/>
    <col min="7670" max="7670" width="0" style="365" hidden="1" customWidth="1"/>
    <col min="7671" max="7671" width="15" style="365" customWidth="1"/>
    <col min="7672" max="7672" width="0" style="365" hidden="1" customWidth="1"/>
    <col min="7673" max="7673" width="13.28515625" style="365" customWidth="1"/>
    <col min="7674" max="7674" width="0" style="365" hidden="1" customWidth="1"/>
    <col min="7675" max="7675" width="20.140625" style="365" customWidth="1"/>
    <col min="7676" max="7676" width="14.42578125" style="365" bestFit="1" customWidth="1"/>
    <col min="7677" max="7677" width="14" style="365" bestFit="1" customWidth="1"/>
    <col min="7678" max="7678" width="12.28515625" style="365" bestFit="1" customWidth="1"/>
    <col min="7679" max="7703" width="9.140625" style="365" customWidth="1"/>
    <col min="7704" max="7898" width="8.85546875" style="365"/>
    <col min="7899" max="7899" width="44.5703125" style="365" customWidth="1"/>
    <col min="7900" max="7900" width="14.28515625" style="365" bestFit="1" customWidth="1"/>
    <col min="7901" max="7901" width="1.7109375" style="365" customWidth="1"/>
    <col min="7902" max="7902" width="14.85546875" style="365" customWidth="1"/>
    <col min="7903" max="7903" width="0" style="365" hidden="1" customWidth="1"/>
    <col min="7904" max="7904" width="17.42578125" style="365" customWidth="1"/>
    <col min="7905" max="7905" width="0" style="365" hidden="1" customWidth="1"/>
    <col min="7906" max="7906" width="12.85546875" style="365" customWidth="1"/>
    <col min="7907" max="7907" width="0" style="365" hidden="1" customWidth="1"/>
    <col min="7908" max="7908" width="14.42578125" style="365" customWidth="1"/>
    <col min="7909" max="7909" width="0" style="365" hidden="1" customWidth="1"/>
    <col min="7910" max="7910" width="17.42578125" style="365" customWidth="1"/>
    <col min="7911" max="7911" width="0" style="365" hidden="1" customWidth="1"/>
    <col min="7912" max="7912" width="14" style="365" customWidth="1"/>
    <col min="7913" max="7913" width="14.28515625" style="365" bestFit="1" customWidth="1"/>
    <col min="7914" max="7914" width="0" style="365" hidden="1" customWidth="1"/>
    <col min="7915" max="7915" width="15.5703125" style="365" customWidth="1"/>
    <col min="7916" max="7916" width="44.5703125" style="365" customWidth="1"/>
    <col min="7917" max="7917" width="14.28515625" style="365" bestFit="1" customWidth="1"/>
    <col min="7918" max="7918" width="0" style="365" hidden="1" customWidth="1"/>
    <col min="7919" max="7919" width="18.140625" style="365" customWidth="1"/>
    <col min="7920" max="7920" width="0" style="365" hidden="1" customWidth="1"/>
    <col min="7921" max="7921" width="14" style="365" customWidth="1"/>
    <col min="7922" max="7922" width="0" style="365" hidden="1" customWidth="1"/>
    <col min="7923" max="7923" width="20.85546875" style="365" customWidth="1"/>
    <col min="7924" max="7924" width="0" style="365" hidden="1" customWidth="1"/>
    <col min="7925" max="7925" width="13.28515625" style="365" customWidth="1"/>
    <col min="7926" max="7926" width="0" style="365" hidden="1" customWidth="1"/>
    <col min="7927" max="7927" width="15" style="365" customWidth="1"/>
    <col min="7928" max="7928" width="0" style="365" hidden="1" customWidth="1"/>
    <col min="7929" max="7929" width="13.28515625" style="365" customWidth="1"/>
    <col min="7930" max="7930" width="0" style="365" hidden="1" customWidth="1"/>
    <col min="7931" max="7931" width="20.140625" style="365" customWidth="1"/>
    <col min="7932" max="7932" width="14.42578125" style="365" bestFit="1" customWidth="1"/>
    <col min="7933" max="7933" width="14" style="365" bestFit="1" customWidth="1"/>
    <col min="7934" max="7934" width="12.28515625" style="365" bestFit="1" customWidth="1"/>
    <col min="7935" max="7959" width="9.140625" style="365" customWidth="1"/>
    <col min="7960" max="8154" width="8.85546875" style="365"/>
    <col min="8155" max="8155" width="44.5703125" style="365" customWidth="1"/>
    <col min="8156" max="8156" width="14.28515625" style="365" bestFit="1" customWidth="1"/>
    <col min="8157" max="8157" width="1.7109375" style="365" customWidth="1"/>
    <col min="8158" max="8158" width="14.85546875" style="365" customWidth="1"/>
    <col min="8159" max="8159" width="0" style="365" hidden="1" customWidth="1"/>
    <col min="8160" max="8160" width="17.42578125" style="365" customWidth="1"/>
    <col min="8161" max="8161" width="0" style="365" hidden="1" customWidth="1"/>
    <col min="8162" max="8162" width="12.85546875" style="365" customWidth="1"/>
    <col min="8163" max="8163" width="0" style="365" hidden="1" customWidth="1"/>
    <col min="8164" max="8164" width="14.42578125" style="365" customWidth="1"/>
    <col min="8165" max="8165" width="0" style="365" hidden="1" customWidth="1"/>
    <col min="8166" max="8166" width="17.42578125" style="365" customWidth="1"/>
    <col min="8167" max="8167" width="0" style="365" hidden="1" customWidth="1"/>
    <col min="8168" max="8168" width="14" style="365" customWidth="1"/>
    <col min="8169" max="8169" width="14.28515625" style="365" bestFit="1" customWidth="1"/>
    <col min="8170" max="8170" width="0" style="365" hidden="1" customWidth="1"/>
    <col min="8171" max="8171" width="15.5703125" style="365" customWidth="1"/>
    <col min="8172" max="8172" width="44.5703125" style="365" customWidth="1"/>
    <col min="8173" max="8173" width="14.28515625" style="365" bestFit="1" customWidth="1"/>
    <col min="8174" max="8174" width="0" style="365" hidden="1" customWidth="1"/>
    <col min="8175" max="8175" width="18.140625" style="365" customWidth="1"/>
    <col min="8176" max="8176" width="0" style="365" hidden="1" customWidth="1"/>
    <col min="8177" max="8177" width="14" style="365" customWidth="1"/>
    <col min="8178" max="8178" width="0" style="365" hidden="1" customWidth="1"/>
    <col min="8179" max="8179" width="20.85546875" style="365" customWidth="1"/>
    <col min="8180" max="8180" width="0" style="365" hidden="1" customWidth="1"/>
    <col min="8181" max="8181" width="13.28515625" style="365" customWidth="1"/>
    <col min="8182" max="8182" width="0" style="365" hidden="1" customWidth="1"/>
    <col min="8183" max="8183" width="15" style="365" customWidth="1"/>
    <col min="8184" max="8184" width="0" style="365" hidden="1" customWidth="1"/>
    <col min="8185" max="8185" width="13.28515625" style="365" customWidth="1"/>
    <col min="8186" max="8186" width="0" style="365" hidden="1" customWidth="1"/>
    <col min="8187" max="8187" width="20.140625" style="365" customWidth="1"/>
    <col min="8188" max="8188" width="14.42578125" style="365" bestFit="1" customWidth="1"/>
    <col min="8189" max="8189" width="14" style="365" bestFit="1" customWidth="1"/>
    <col min="8190" max="8190" width="12.28515625" style="365" bestFit="1" customWidth="1"/>
    <col min="8191" max="8215" width="9.140625" style="365" customWidth="1"/>
    <col min="8216" max="8410" width="8.85546875" style="365"/>
    <col min="8411" max="8411" width="44.5703125" style="365" customWidth="1"/>
    <col min="8412" max="8412" width="14.28515625" style="365" bestFit="1" customWidth="1"/>
    <col min="8413" max="8413" width="1.7109375" style="365" customWidth="1"/>
    <col min="8414" max="8414" width="14.85546875" style="365" customWidth="1"/>
    <col min="8415" max="8415" width="0" style="365" hidden="1" customWidth="1"/>
    <col min="8416" max="8416" width="17.42578125" style="365" customWidth="1"/>
    <col min="8417" max="8417" width="0" style="365" hidden="1" customWidth="1"/>
    <col min="8418" max="8418" width="12.85546875" style="365" customWidth="1"/>
    <col min="8419" max="8419" width="0" style="365" hidden="1" customWidth="1"/>
    <col min="8420" max="8420" width="14.42578125" style="365" customWidth="1"/>
    <col min="8421" max="8421" width="0" style="365" hidden="1" customWidth="1"/>
    <col min="8422" max="8422" width="17.42578125" style="365" customWidth="1"/>
    <col min="8423" max="8423" width="0" style="365" hidden="1" customWidth="1"/>
    <col min="8424" max="8424" width="14" style="365" customWidth="1"/>
    <col min="8425" max="8425" width="14.28515625" style="365" bestFit="1" customWidth="1"/>
    <col min="8426" max="8426" width="0" style="365" hidden="1" customWidth="1"/>
    <col min="8427" max="8427" width="15.5703125" style="365" customWidth="1"/>
    <col min="8428" max="8428" width="44.5703125" style="365" customWidth="1"/>
    <col min="8429" max="8429" width="14.28515625" style="365" bestFit="1" customWidth="1"/>
    <col min="8430" max="8430" width="0" style="365" hidden="1" customWidth="1"/>
    <col min="8431" max="8431" width="18.140625" style="365" customWidth="1"/>
    <col min="8432" max="8432" width="0" style="365" hidden="1" customWidth="1"/>
    <col min="8433" max="8433" width="14" style="365" customWidth="1"/>
    <col min="8434" max="8434" width="0" style="365" hidden="1" customWidth="1"/>
    <col min="8435" max="8435" width="20.85546875" style="365" customWidth="1"/>
    <col min="8436" max="8436" width="0" style="365" hidden="1" customWidth="1"/>
    <col min="8437" max="8437" width="13.28515625" style="365" customWidth="1"/>
    <col min="8438" max="8438" width="0" style="365" hidden="1" customWidth="1"/>
    <col min="8439" max="8439" width="15" style="365" customWidth="1"/>
    <col min="8440" max="8440" width="0" style="365" hidden="1" customWidth="1"/>
    <col min="8441" max="8441" width="13.28515625" style="365" customWidth="1"/>
    <col min="8442" max="8442" width="0" style="365" hidden="1" customWidth="1"/>
    <col min="8443" max="8443" width="20.140625" style="365" customWidth="1"/>
    <col min="8444" max="8444" width="14.42578125" style="365" bestFit="1" customWidth="1"/>
    <col min="8445" max="8445" width="14" style="365" bestFit="1" customWidth="1"/>
    <col min="8446" max="8446" width="12.28515625" style="365" bestFit="1" customWidth="1"/>
    <col min="8447" max="8471" width="9.140625" style="365" customWidth="1"/>
    <col min="8472" max="8666" width="8.85546875" style="365"/>
    <col min="8667" max="8667" width="44.5703125" style="365" customWidth="1"/>
    <col min="8668" max="8668" width="14.28515625" style="365" bestFit="1" customWidth="1"/>
    <col min="8669" max="8669" width="1.7109375" style="365" customWidth="1"/>
    <col min="8670" max="8670" width="14.85546875" style="365" customWidth="1"/>
    <col min="8671" max="8671" width="0" style="365" hidden="1" customWidth="1"/>
    <col min="8672" max="8672" width="17.42578125" style="365" customWidth="1"/>
    <col min="8673" max="8673" width="0" style="365" hidden="1" customWidth="1"/>
    <col min="8674" max="8674" width="12.85546875" style="365" customWidth="1"/>
    <col min="8675" max="8675" width="0" style="365" hidden="1" customWidth="1"/>
    <col min="8676" max="8676" width="14.42578125" style="365" customWidth="1"/>
    <col min="8677" max="8677" width="0" style="365" hidden="1" customWidth="1"/>
    <col min="8678" max="8678" width="17.42578125" style="365" customWidth="1"/>
    <col min="8679" max="8679" width="0" style="365" hidden="1" customWidth="1"/>
    <col min="8680" max="8680" width="14" style="365" customWidth="1"/>
    <col min="8681" max="8681" width="14.28515625" style="365" bestFit="1" customWidth="1"/>
    <col min="8682" max="8682" width="0" style="365" hidden="1" customWidth="1"/>
    <col min="8683" max="8683" width="15.5703125" style="365" customWidth="1"/>
    <col min="8684" max="8684" width="44.5703125" style="365" customWidth="1"/>
    <col min="8685" max="8685" width="14.28515625" style="365" bestFit="1" customWidth="1"/>
    <col min="8686" max="8686" width="0" style="365" hidden="1" customWidth="1"/>
    <col min="8687" max="8687" width="18.140625" style="365" customWidth="1"/>
    <col min="8688" max="8688" width="0" style="365" hidden="1" customWidth="1"/>
    <col min="8689" max="8689" width="14" style="365" customWidth="1"/>
    <col min="8690" max="8690" width="0" style="365" hidden="1" customWidth="1"/>
    <col min="8691" max="8691" width="20.85546875" style="365" customWidth="1"/>
    <col min="8692" max="8692" width="0" style="365" hidden="1" customWidth="1"/>
    <col min="8693" max="8693" width="13.28515625" style="365" customWidth="1"/>
    <col min="8694" max="8694" width="0" style="365" hidden="1" customWidth="1"/>
    <col min="8695" max="8695" width="15" style="365" customWidth="1"/>
    <col min="8696" max="8696" width="0" style="365" hidden="1" customWidth="1"/>
    <col min="8697" max="8697" width="13.28515625" style="365" customWidth="1"/>
    <col min="8698" max="8698" width="0" style="365" hidden="1" customWidth="1"/>
    <col min="8699" max="8699" width="20.140625" style="365" customWidth="1"/>
    <col min="8700" max="8700" width="14.42578125" style="365" bestFit="1" customWidth="1"/>
    <col min="8701" max="8701" width="14" style="365" bestFit="1" customWidth="1"/>
    <col min="8702" max="8702" width="12.28515625" style="365" bestFit="1" customWidth="1"/>
    <col min="8703" max="8727" width="9.140625" style="365" customWidth="1"/>
    <col min="8728" max="8922" width="8.85546875" style="365"/>
    <col min="8923" max="8923" width="44.5703125" style="365" customWidth="1"/>
    <col min="8924" max="8924" width="14.28515625" style="365" bestFit="1" customWidth="1"/>
    <col min="8925" max="8925" width="1.7109375" style="365" customWidth="1"/>
    <col min="8926" max="8926" width="14.85546875" style="365" customWidth="1"/>
    <col min="8927" max="8927" width="0" style="365" hidden="1" customWidth="1"/>
    <col min="8928" max="8928" width="17.42578125" style="365" customWidth="1"/>
    <col min="8929" max="8929" width="0" style="365" hidden="1" customWidth="1"/>
    <col min="8930" max="8930" width="12.85546875" style="365" customWidth="1"/>
    <col min="8931" max="8931" width="0" style="365" hidden="1" customWidth="1"/>
    <col min="8932" max="8932" width="14.42578125" style="365" customWidth="1"/>
    <col min="8933" max="8933" width="0" style="365" hidden="1" customWidth="1"/>
    <col min="8934" max="8934" width="17.42578125" style="365" customWidth="1"/>
    <col min="8935" max="8935" width="0" style="365" hidden="1" customWidth="1"/>
    <col min="8936" max="8936" width="14" style="365" customWidth="1"/>
    <col min="8937" max="8937" width="14.28515625" style="365" bestFit="1" customWidth="1"/>
    <col min="8938" max="8938" width="0" style="365" hidden="1" customWidth="1"/>
    <col min="8939" max="8939" width="15.5703125" style="365" customWidth="1"/>
    <col min="8940" max="8940" width="44.5703125" style="365" customWidth="1"/>
    <col min="8941" max="8941" width="14.28515625" style="365" bestFit="1" customWidth="1"/>
    <col min="8942" max="8942" width="0" style="365" hidden="1" customWidth="1"/>
    <col min="8943" max="8943" width="18.140625" style="365" customWidth="1"/>
    <col min="8944" max="8944" width="0" style="365" hidden="1" customWidth="1"/>
    <col min="8945" max="8945" width="14" style="365" customWidth="1"/>
    <col min="8946" max="8946" width="0" style="365" hidden="1" customWidth="1"/>
    <col min="8947" max="8947" width="20.85546875" style="365" customWidth="1"/>
    <col min="8948" max="8948" width="0" style="365" hidden="1" customWidth="1"/>
    <col min="8949" max="8949" width="13.28515625" style="365" customWidth="1"/>
    <col min="8950" max="8950" width="0" style="365" hidden="1" customWidth="1"/>
    <col min="8951" max="8951" width="15" style="365" customWidth="1"/>
    <col min="8952" max="8952" width="0" style="365" hidden="1" customWidth="1"/>
    <col min="8953" max="8953" width="13.28515625" style="365" customWidth="1"/>
    <col min="8954" max="8954" width="0" style="365" hidden="1" customWidth="1"/>
    <col min="8955" max="8955" width="20.140625" style="365" customWidth="1"/>
    <col min="8956" max="8956" width="14.42578125" style="365" bestFit="1" customWidth="1"/>
    <col min="8957" max="8957" width="14" style="365" bestFit="1" customWidth="1"/>
    <col min="8958" max="8958" width="12.28515625" style="365" bestFit="1" customWidth="1"/>
    <col min="8959" max="8983" width="9.140625" style="365" customWidth="1"/>
    <col min="8984" max="9178" width="8.85546875" style="365"/>
    <col min="9179" max="9179" width="44.5703125" style="365" customWidth="1"/>
    <col min="9180" max="9180" width="14.28515625" style="365" bestFit="1" customWidth="1"/>
    <col min="9181" max="9181" width="1.7109375" style="365" customWidth="1"/>
    <col min="9182" max="9182" width="14.85546875" style="365" customWidth="1"/>
    <col min="9183" max="9183" width="0" style="365" hidden="1" customWidth="1"/>
    <col min="9184" max="9184" width="17.42578125" style="365" customWidth="1"/>
    <col min="9185" max="9185" width="0" style="365" hidden="1" customWidth="1"/>
    <col min="9186" max="9186" width="12.85546875" style="365" customWidth="1"/>
    <col min="9187" max="9187" width="0" style="365" hidden="1" customWidth="1"/>
    <col min="9188" max="9188" width="14.42578125" style="365" customWidth="1"/>
    <col min="9189" max="9189" width="0" style="365" hidden="1" customWidth="1"/>
    <col min="9190" max="9190" width="17.42578125" style="365" customWidth="1"/>
    <col min="9191" max="9191" width="0" style="365" hidden="1" customWidth="1"/>
    <col min="9192" max="9192" width="14" style="365" customWidth="1"/>
    <col min="9193" max="9193" width="14.28515625" style="365" bestFit="1" customWidth="1"/>
    <col min="9194" max="9194" width="0" style="365" hidden="1" customWidth="1"/>
    <col min="9195" max="9195" width="15.5703125" style="365" customWidth="1"/>
    <col min="9196" max="9196" width="44.5703125" style="365" customWidth="1"/>
    <col min="9197" max="9197" width="14.28515625" style="365" bestFit="1" customWidth="1"/>
    <col min="9198" max="9198" width="0" style="365" hidden="1" customWidth="1"/>
    <col min="9199" max="9199" width="18.140625" style="365" customWidth="1"/>
    <col min="9200" max="9200" width="0" style="365" hidden="1" customWidth="1"/>
    <col min="9201" max="9201" width="14" style="365" customWidth="1"/>
    <col min="9202" max="9202" width="0" style="365" hidden="1" customWidth="1"/>
    <col min="9203" max="9203" width="20.85546875" style="365" customWidth="1"/>
    <col min="9204" max="9204" width="0" style="365" hidden="1" customWidth="1"/>
    <col min="9205" max="9205" width="13.28515625" style="365" customWidth="1"/>
    <col min="9206" max="9206" width="0" style="365" hidden="1" customWidth="1"/>
    <col min="9207" max="9207" width="15" style="365" customWidth="1"/>
    <col min="9208" max="9208" width="0" style="365" hidden="1" customWidth="1"/>
    <col min="9209" max="9209" width="13.28515625" style="365" customWidth="1"/>
    <col min="9210" max="9210" width="0" style="365" hidden="1" customWidth="1"/>
    <col min="9211" max="9211" width="20.140625" style="365" customWidth="1"/>
    <col min="9212" max="9212" width="14.42578125" style="365" bestFit="1" customWidth="1"/>
    <col min="9213" max="9213" width="14" style="365" bestFit="1" customWidth="1"/>
    <col min="9214" max="9214" width="12.28515625" style="365" bestFit="1" customWidth="1"/>
    <col min="9215" max="9239" width="9.140625" style="365" customWidth="1"/>
    <col min="9240" max="9434" width="8.85546875" style="365"/>
    <col min="9435" max="9435" width="44.5703125" style="365" customWidth="1"/>
    <col min="9436" max="9436" width="14.28515625" style="365" bestFit="1" customWidth="1"/>
    <col min="9437" max="9437" width="1.7109375" style="365" customWidth="1"/>
    <col min="9438" max="9438" width="14.85546875" style="365" customWidth="1"/>
    <col min="9439" max="9439" width="0" style="365" hidden="1" customWidth="1"/>
    <col min="9440" max="9440" width="17.42578125" style="365" customWidth="1"/>
    <col min="9441" max="9441" width="0" style="365" hidden="1" customWidth="1"/>
    <col min="9442" max="9442" width="12.85546875" style="365" customWidth="1"/>
    <col min="9443" max="9443" width="0" style="365" hidden="1" customWidth="1"/>
    <col min="9444" max="9444" width="14.42578125" style="365" customWidth="1"/>
    <col min="9445" max="9445" width="0" style="365" hidden="1" customWidth="1"/>
    <col min="9446" max="9446" width="17.42578125" style="365" customWidth="1"/>
    <col min="9447" max="9447" width="0" style="365" hidden="1" customWidth="1"/>
    <col min="9448" max="9448" width="14" style="365" customWidth="1"/>
    <col min="9449" max="9449" width="14.28515625" style="365" bestFit="1" customWidth="1"/>
    <col min="9450" max="9450" width="0" style="365" hidden="1" customWidth="1"/>
    <col min="9451" max="9451" width="15.5703125" style="365" customWidth="1"/>
    <col min="9452" max="9452" width="44.5703125" style="365" customWidth="1"/>
    <col min="9453" max="9453" width="14.28515625" style="365" bestFit="1" customWidth="1"/>
    <col min="9454" max="9454" width="0" style="365" hidden="1" customWidth="1"/>
    <col min="9455" max="9455" width="18.140625" style="365" customWidth="1"/>
    <col min="9456" max="9456" width="0" style="365" hidden="1" customWidth="1"/>
    <col min="9457" max="9457" width="14" style="365" customWidth="1"/>
    <col min="9458" max="9458" width="0" style="365" hidden="1" customWidth="1"/>
    <col min="9459" max="9459" width="20.85546875" style="365" customWidth="1"/>
    <col min="9460" max="9460" width="0" style="365" hidden="1" customWidth="1"/>
    <col min="9461" max="9461" width="13.28515625" style="365" customWidth="1"/>
    <col min="9462" max="9462" width="0" style="365" hidden="1" customWidth="1"/>
    <col min="9463" max="9463" width="15" style="365" customWidth="1"/>
    <col min="9464" max="9464" width="0" style="365" hidden="1" customWidth="1"/>
    <col min="9465" max="9465" width="13.28515625" style="365" customWidth="1"/>
    <col min="9466" max="9466" width="0" style="365" hidden="1" customWidth="1"/>
    <col min="9467" max="9467" width="20.140625" style="365" customWidth="1"/>
    <col min="9468" max="9468" width="14.42578125" style="365" bestFit="1" customWidth="1"/>
    <col min="9469" max="9469" width="14" style="365" bestFit="1" customWidth="1"/>
    <col min="9470" max="9470" width="12.28515625" style="365" bestFit="1" customWidth="1"/>
    <col min="9471" max="9495" width="9.140625" style="365" customWidth="1"/>
    <col min="9496" max="9690" width="8.85546875" style="365"/>
    <col min="9691" max="9691" width="44.5703125" style="365" customWidth="1"/>
    <col min="9692" max="9692" width="14.28515625" style="365" bestFit="1" customWidth="1"/>
    <col min="9693" max="9693" width="1.7109375" style="365" customWidth="1"/>
    <col min="9694" max="9694" width="14.85546875" style="365" customWidth="1"/>
    <col min="9695" max="9695" width="0" style="365" hidden="1" customWidth="1"/>
    <col min="9696" max="9696" width="17.42578125" style="365" customWidth="1"/>
    <col min="9697" max="9697" width="0" style="365" hidden="1" customWidth="1"/>
    <col min="9698" max="9698" width="12.85546875" style="365" customWidth="1"/>
    <col min="9699" max="9699" width="0" style="365" hidden="1" customWidth="1"/>
    <col min="9700" max="9700" width="14.42578125" style="365" customWidth="1"/>
    <col min="9701" max="9701" width="0" style="365" hidden="1" customWidth="1"/>
    <col min="9702" max="9702" width="17.42578125" style="365" customWidth="1"/>
    <col min="9703" max="9703" width="0" style="365" hidden="1" customWidth="1"/>
    <col min="9704" max="9704" width="14" style="365" customWidth="1"/>
    <col min="9705" max="9705" width="14.28515625" style="365" bestFit="1" customWidth="1"/>
    <col min="9706" max="9706" width="0" style="365" hidden="1" customWidth="1"/>
    <col min="9707" max="9707" width="15.5703125" style="365" customWidth="1"/>
    <col min="9708" max="9708" width="44.5703125" style="365" customWidth="1"/>
    <col min="9709" max="9709" width="14.28515625" style="365" bestFit="1" customWidth="1"/>
    <col min="9710" max="9710" width="0" style="365" hidden="1" customWidth="1"/>
    <col min="9711" max="9711" width="18.140625" style="365" customWidth="1"/>
    <col min="9712" max="9712" width="0" style="365" hidden="1" customWidth="1"/>
    <col min="9713" max="9713" width="14" style="365" customWidth="1"/>
    <col min="9714" max="9714" width="0" style="365" hidden="1" customWidth="1"/>
    <col min="9715" max="9715" width="20.85546875" style="365" customWidth="1"/>
    <col min="9716" max="9716" width="0" style="365" hidden="1" customWidth="1"/>
    <col min="9717" max="9717" width="13.28515625" style="365" customWidth="1"/>
    <col min="9718" max="9718" width="0" style="365" hidden="1" customWidth="1"/>
    <col min="9719" max="9719" width="15" style="365" customWidth="1"/>
    <col min="9720" max="9720" width="0" style="365" hidden="1" customWidth="1"/>
    <col min="9721" max="9721" width="13.28515625" style="365" customWidth="1"/>
    <col min="9722" max="9722" width="0" style="365" hidden="1" customWidth="1"/>
    <col min="9723" max="9723" width="20.140625" style="365" customWidth="1"/>
    <col min="9724" max="9724" width="14.42578125" style="365" bestFit="1" customWidth="1"/>
    <col min="9725" max="9725" width="14" style="365" bestFit="1" customWidth="1"/>
    <col min="9726" max="9726" width="12.28515625" style="365" bestFit="1" customWidth="1"/>
    <col min="9727" max="9751" width="9.140625" style="365" customWidth="1"/>
    <col min="9752" max="9946" width="8.85546875" style="365"/>
    <col min="9947" max="9947" width="44.5703125" style="365" customWidth="1"/>
    <col min="9948" max="9948" width="14.28515625" style="365" bestFit="1" customWidth="1"/>
    <col min="9949" max="9949" width="1.7109375" style="365" customWidth="1"/>
    <col min="9950" max="9950" width="14.85546875" style="365" customWidth="1"/>
    <col min="9951" max="9951" width="0" style="365" hidden="1" customWidth="1"/>
    <col min="9952" max="9952" width="17.42578125" style="365" customWidth="1"/>
    <col min="9953" max="9953" width="0" style="365" hidden="1" customWidth="1"/>
    <col min="9954" max="9954" width="12.85546875" style="365" customWidth="1"/>
    <col min="9955" max="9955" width="0" style="365" hidden="1" customWidth="1"/>
    <col min="9956" max="9956" width="14.42578125" style="365" customWidth="1"/>
    <col min="9957" max="9957" width="0" style="365" hidden="1" customWidth="1"/>
    <col min="9958" max="9958" width="17.42578125" style="365" customWidth="1"/>
    <col min="9959" max="9959" width="0" style="365" hidden="1" customWidth="1"/>
    <col min="9960" max="9960" width="14" style="365" customWidth="1"/>
    <col min="9961" max="9961" width="14.28515625" style="365" bestFit="1" customWidth="1"/>
    <col min="9962" max="9962" width="0" style="365" hidden="1" customWidth="1"/>
    <col min="9963" max="9963" width="15.5703125" style="365" customWidth="1"/>
    <col min="9964" max="9964" width="44.5703125" style="365" customWidth="1"/>
    <col min="9965" max="9965" width="14.28515625" style="365" bestFit="1" customWidth="1"/>
    <col min="9966" max="9966" width="0" style="365" hidden="1" customWidth="1"/>
    <col min="9967" max="9967" width="18.140625" style="365" customWidth="1"/>
    <col min="9968" max="9968" width="0" style="365" hidden="1" customWidth="1"/>
    <col min="9969" max="9969" width="14" style="365" customWidth="1"/>
    <col min="9970" max="9970" width="0" style="365" hidden="1" customWidth="1"/>
    <col min="9971" max="9971" width="20.85546875" style="365" customWidth="1"/>
    <col min="9972" max="9972" width="0" style="365" hidden="1" customWidth="1"/>
    <col min="9973" max="9973" width="13.28515625" style="365" customWidth="1"/>
    <col min="9974" max="9974" width="0" style="365" hidden="1" customWidth="1"/>
    <col min="9975" max="9975" width="15" style="365" customWidth="1"/>
    <col min="9976" max="9976" width="0" style="365" hidden="1" customWidth="1"/>
    <col min="9977" max="9977" width="13.28515625" style="365" customWidth="1"/>
    <col min="9978" max="9978" width="0" style="365" hidden="1" customWidth="1"/>
    <col min="9979" max="9979" width="20.140625" style="365" customWidth="1"/>
    <col min="9980" max="9980" width="14.42578125" style="365" bestFit="1" customWidth="1"/>
    <col min="9981" max="9981" width="14" style="365" bestFit="1" customWidth="1"/>
    <col min="9982" max="9982" width="12.28515625" style="365" bestFit="1" customWidth="1"/>
    <col min="9983" max="10007" width="9.140625" style="365" customWidth="1"/>
    <col min="10008" max="10202" width="8.85546875" style="365"/>
    <col min="10203" max="10203" width="44.5703125" style="365" customWidth="1"/>
    <col min="10204" max="10204" width="14.28515625" style="365" bestFit="1" customWidth="1"/>
    <col min="10205" max="10205" width="1.7109375" style="365" customWidth="1"/>
    <col min="10206" max="10206" width="14.85546875" style="365" customWidth="1"/>
    <col min="10207" max="10207" width="0" style="365" hidden="1" customWidth="1"/>
    <col min="10208" max="10208" width="17.42578125" style="365" customWidth="1"/>
    <col min="10209" max="10209" width="0" style="365" hidden="1" customWidth="1"/>
    <col min="10210" max="10210" width="12.85546875" style="365" customWidth="1"/>
    <col min="10211" max="10211" width="0" style="365" hidden="1" customWidth="1"/>
    <col min="10212" max="10212" width="14.42578125" style="365" customWidth="1"/>
    <col min="10213" max="10213" width="0" style="365" hidden="1" customWidth="1"/>
    <col min="10214" max="10214" width="17.42578125" style="365" customWidth="1"/>
    <col min="10215" max="10215" width="0" style="365" hidden="1" customWidth="1"/>
    <col min="10216" max="10216" width="14" style="365" customWidth="1"/>
    <col min="10217" max="10217" width="14.28515625" style="365" bestFit="1" customWidth="1"/>
    <col min="10218" max="10218" width="0" style="365" hidden="1" customWidth="1"/>
    <col min="10219" max="10219" width="15.5703125" style="365" customWidth="1"/>
    <col min="10220" max="10220" width="44.5703125" style="365" customWidth="1"/>
    <col min="10221" max="10221" width="14.28515625" style="365" bestFit="1" customWidth="1"/>
    <col min="10222" max="10222" width="0" style="365" hidden="1" customWidth="1"/>
    <col min="10223" max="10223" width="18.140625" style="365" customWidth="1"/>
    <col min="10224" max="10224" width="0" style="365" hidden="1" customWidth="1"/>
    <col min="10225" max="10225" width="14" style="365" customWidth="1"/>
    <col min="10226" max="10226" width="0" style="365" hidden="1" customWidth="1"/>
    <col min="10227" max="10227" width="20.85546875" style="365" customWidth="1"/>
    <col min="10228" max="10228" width="0" style="365" hidden="1" customWidth="1"/>
    <col min="10229" max="10229" width="13.28515625" style="365" customWidth="1"/>
    <col min="10230" max="10230" width="0" style="365" hidden="1" customWidth="1"/>
    <col min="10231" max="10231" width="15" style="365" customWidth="1"/>
    <col min="10232" max="10232" width="0" style="365" hidden="1" customWidth="1"/>
    <col min="10233" max="10233" width="13.28515625" style="365" customWidth="1"/>
    <col min="10234" max="10234" width="0" style="365" hidden="1" customWidth="1"/>
    <col min="10235" max="10235" width="20.140625" style="365" customWidth="1"/>
    <col min="10236" max="10236" width="14.42578125" style="365" bestFit="1" customWidth="1"/>
    <col min="10237" max="10237" width="14" style="365" bestFit="1" customWidth="1"/>
    <col min="10238" max="10238" width="12.28515625" style="365" bestFit="1" customWidth="1"/>
    <col min="10239" max="10263" width="9.140625" style="365" customWidth="1"/>
    <col min="10264" max="10458" width="8.85546875" style="365"/>
    <col min="10459" max="10459" width="44.5703125" style="365" customWidth="1"/>
    <col min="10460" max="10460" width="14.28515625" style="365" bestFit="1" customWidth="1"/>
    <col min="10461" max="10461" width="1.7109375" style="365" customWidth="1"/>
    <col min="10462" max="10462" width="14.85546875" style="365" customWidth="1"/>
    <col min="10463" max="10463" width="0" style="365" hidden="1" customWidth="1"/>
    <col min="10464" max="10464" width="17.42578125" style="365" customWidth="1"/>
    <col min="10465" max="10465" width="0" style="365" hidden="1" customWidth="1"/>
    <col min="10466" max="10466" width="12.85546875" style="365" customWidth="1"/>
    <col min="10467" max="10467" width="0" style="365" hidden="1" customWidth="1"/>
    <col min="10468" max="10468" width="14.42578125" style="365" customWidth="1"/>
    <col min="10469" max="10469" width="0" style="365" hidden="1" customWidth="1"/>
    <col min="10470" max="10470" width="17.42578125" style="365" customWidth="1"/>
    <col min="10471" max="10471" width="0" style="365" hidden="1" customWidth="1"/>
    <col min="10472" max="10472" width="14" style="365" customWidth="1"/>
    <col min="10473" max="10473" width="14.28515625" style="365" bestFit="1" customWidth="1"/>
    <col min="10474" max="10474" width="0" style="365" hidden="1" customWidth="1"/>
    <col min="10475" max="10475" width="15.5703125" style="365" customWidth="1"/>
    <col min="10476" max="10476" width="44.5703125" style="365" customWidth="1"/>
    <col min="10477" max="10477" width="14.28515625" style="365" bestFit="1" customWidth="1"/>
    <col min="10478" max="10478" width="0" style="365" hidden="1" customWidth="1"/>
    <col min="10479" max="10479" width="18.140625" style="365" customWidth="1"/>
    <col min="10480" max="10480" width="0" style="365" hidden="1" customWidth="1"/>
    <col min="10481" max="10481" width="14" style="365" customWidth="1"/>
    <col min="10482" max="10482" width="0" style="365" hidden="1" customWidth="1"/>
    <col min="10483" max="10483" width="20.85546875" style="365" customWidth="1"/>
    <col min="10484" max="10484" width="0" style="365" hidden="1" customWidth="1"/>
    <col min="10485" max="10485" width="13.28515625" style="365" customWidth="1"/>
    <col min="10486" max="10486" width="0" style="365" hidden="1" customWidth="1"/>
    <col min="10487" max="10487" width="15" style="365" customWidth="1"/>
    <col min="10488" max="10488" width="0" style="365" hidden="1" customWidth="1"/>
    <col min="10489" max="10489" width="13.28515625" style="365" customWidth="1"/>
    <col min="10490" max="10490" width="0" style="365" hidden="1" customWidth="1"/>
    <col min="10491" max="10491" width="20.140625" style="365" customWidth="1"/>
    <col min="10492" max="10492" width="14.42578125" style="365" bestFit="1" customWidth="1"/>
    <col min="10493" max="10493" width="14" style="365" bestFit="1" customWidth="1"/>
    <col min="10494" max="10494" width="12.28515625" style="365" bestFit="1" customWidth="1"/>
    <col min="10495" max="10519" width="9.140625" style="365" customWidth="1"/>
    <col min="10520" max="10714" width="8.85546875" style="365"/>
    <col min="10715" max="10715" width="44.5703125" style="365" customWidth="1"/>
    <col min="10716" max="10716" width="14.28515625" style="365" bestFit="1" customWidth="1"/>
    <col min="10717" max="10717" width="1.7109375" style="365" customWidth="1"/>
    <col min="10718" max="10718" width="14.85546875" style="365" customWidth="1"/>
    <col min="10719" max="10719" width="0" style="365" hidden="1" customWidth="1"/>
    <col min="10720" max="10720" width="17.42578125" style="365" customWidth="1"/>
    <col min="10721" max="10721" width="0" style="365" hidden="1" customWidth="1"/>
    <col min="10722" max="10722" width="12.85546875" style="365" customWidth="1"/>
    <col min="10723" max="10723" width="0" style="365" hidden="1" customWidth="1"/>
    <col min="10724" max="10724" width="14.42578125" style="365" customWidth="1"/>
    <col min="10725" max="10725" width="0" style="365" hidden="1" customWidth="1"/>
    <col min="10726" max="10726" width="17.42578125" style="365" customWidth="1"/>
    <col min="10727" max="10727" width="0" style="365" hidden="1" customWidth="1"/>
    <col min="10728" max="10728" width="14" style="365" customWidth="1"/>
    <col min="10729" max="10729" width="14.28515625" style="365" bestFit="1" customWidth="1"/>
    <col min="10730" max="10730" width="0" style="365" hidden="1" customWidth="1"/>
    <col min="10731" max="10731" width="15.5703125" style="365" customWidth="1"/>
    <col min="10732" max="10732" width="44.5703125" style="365" customWidth="1"/>
    <col min="10733" max="10733" width="14.28515625" style="365" bestFit="1" customWidth="1"/>
    <col min="10734" max="10734" width="0" style="365" hidden="1" customWidth="1"/>
    <col min="10735" max="10735" width="18.140625" style="365" customWidth="1"/>
    <col min="10736" max="10736" width="0" style="365" hidden="1" customWidth="1"/>
    <col min="10737" max="10737" width="14" style="365" customWidth="1"/>
    <col min="10738" max="10738" width="0" style="365" hidden="1" customWidth="1"/>
    <col min="10739" max="10739" width="20.85546875" style="365" customWidth="1"/>
    <col min="10740" max="10740" width="0" style="365" hidden="1" customWidth="1"/>
    <col min="10741" max="10741" width="13.28515625" style="365" customWidth="1"/>
    <col min="10742" max="10742" width="0" style="365" hidden="1" customWidth="1"/>
    <col min="10743" max="10743" width="15" style="365" customWidth="1"/>
    <col min="10744" max="10744" width="0" style="365" hidden="1" customWidth="1"/>
    <col min="10745" max="10745" width="13.28515625" style="365" customWidth="1"/>
    <col min="10746" max="10746" width="0" style="365" hidden="1" customWidth="1"/>
    <col min="10747" max="10747" width="20.140625" style="365" customWidth="1"/>
    <col min="10748" max="10748" width="14.42578125" style="365" bestFit="1" customWidth="1"/>
    <col min="10749" max="10749" width="14" style="365" bestFit="1" customWidth="1"/>
    <col min="10750" max="10750" width="12.28515625" style="365" bestFit="1" customWidth="1"/>
    <col min="10751" max="10775" width="9.140625" style="365" customWidth="1"/>
    <col min="10776" max="10970" width="8.85546875" style="365"/>
    <col min="10971" max="10971" width="44.5703125" style="365" customWidth="1"/>
    <col min="10972" max="10972" width="14.28515625" style="365" bestFit="1" customWidth="1"/>
    <col min="10973" max="10973" width="1.7109375" style="365" customWidth="1"/>
    <col min="10974" max="10974" width="14.85546875" style="365" customWidth="1"/>
    <col min="10975" max="10975" width="0" style="365" hidden="1" customWidth="1"/>
    <col min="10976" max="10976" width="17.42578125" style="365" customWidth="1"/>
    <col min="10977" max="10977" width="0" style="365" hidden="1" customWidth="1"/>
    <col min="10978" max="10978" width="12.85546875" style="365" customWidth="1"/>
    <col min="10979" max="10979" width="0" style="365" hidden="1" customWidth="1"/>
    <col min="10980" max="10980" width="14.42578125" style="365" customWidth="1"/>
    <col min="10981" max="10981" width="0" style="365" hidden="1" customWidth="1"/>
    <col min="10982" max="10982" width="17.42578125" style="365" customWidth="1"/>
    <col min="10983" max="10983" width="0" style="365" hidden="1" customWidth="1"/>
    <col min="10984" max="10984" width="14" style="365" customWidth="1"/>
    <col min="10985" max="10985" width="14.28515625" style="365" bestFit="1" customWidth="1"/>
    <col min="10986" max="10986" width="0" style="365" hidden="1" customWidth="1"/>
    <col min="10987" max="10987" width="15.5703125" style="365" customWidth="1"/>
    <col min="10988" max="10988" width="44.5703125" style="365" customWidth="1"/>
    <col min="10989" max="10989" width="14.28515625" style="365" bestFit="1" customWidth="1"/>
    <col min="10990" max="10990" width="0" style="365" hidden="1" customWidth="1"/>
    <col min="10991" max="10991" width="18.140625" style="365" customWidth="1"/>
    <col min="10992" max="10992" width="0" style="365" hidden="1" customWidth="1"/>
    <col min="10993" max="10993" width="14" style="365" customWidth="1"/>
    <col min="10994" max="10994" width="0" style="365" hidden="1" customWidth="1"/>
    <col min="10995" max="10995" width="20.85546875" style="365" customWidth="1"/>
    <col min="10996" max="10996" width="0" style="365" hidden="1" customWidth="1"/>
    <col min="10997" max="10997" width="13.28515625" style="365" customWidth="1"/>
    <col min="10998" max="10998" width="0" style="365" hidden="1" customWidth="1"/>
    <col min="10999" max="10999" width="15" style="365" customWidth="1"/>
    <col min="11000" max="11000" width="0" style="365" hidden="1" customWidth="1"/>
    <col min="11001" max="11001" width="13.28515625" style="365" customWidth="1"/>
    <col min="11002" max="11002" width="0" style="365" hidden="1" customWidth="1"/>
    <col min="11003" max="11003" width="20.140625" style="365" customWidth="1"/>
    <col min="11004" max="11004" width="14.42578125" style="365" bestFit="1" customWidth="1"/>
    <col min="11005" max="11005" width="14" style="365" bestFit="1" customWidth="1"/>
    <col min="11006" max="11006" width="12.28515625" style="365" bestFit="1" customWidth="1"/>
    <col min="11007" max="11031" width="9.140625" style="365" customWidth="1"/>
    <col min="11032" max="11226" width="8.85546875" style="365"/>
    <col min="11227" max="11227" width="44.5703125" style="365" customWidth="1"/>
    <col min="11228" max="11228" width="14.28515625" style="365" bestFit="1" customWidth="1"/>
    <col min="11229" max="11229" width="1.7109375" style="365" customWidth="1"/>
    <col min="11230" max="11230" width="14.85546875" style="365" customWidth="1"/>
    <col min="11231" max="11231" width="0" style="365" hidden="1" customWidth="1"/>
    <col min="11232" max="11232" width="17.42578125" style="365" customWidth="1"/>
    <col min="11233" max="11233" width="0" style="365" hidden="1" customWidth="1"/>
    <col min="11234" max="11234" width="12.85546875" style="365" customWidth="1"/>
    <col min="11235" max="11235" width="0" style="365" hidden="1" customWidth="1"/>
    <col min="11236" max="11236" width="14.42578125" style="365" customWidth="1"/>
    <col min="11237" max="11237" width="0" style="365" hidden="1" customWidth="1"/>
    <col min="11238" max="11238" width="17.42578125" style="365" customWidth="1"/>
    <col min="11239" max="11239" width="0" style="365" hidden="1" customWidth="1"/>
    <col min="11240" max="11240" width="14" style="365" customWidth="1"/>
    <col min="11241" max="11241" width="14.28515625" style="365" bestFit="1" customWidth="1"/>
    <col min="11242" max="11242" width="0" style="365" hidden="1" customWidth="1"/>
    <col min="11243" max="11243" width="15.5703125" style="365" customWidth="1"/>
    <col min="11244" max="11244" width="44.5703125" style="365" customWidth="1"/>
    <col min="11245" max="11245" width="14.28515625" style="365" bestFit="1" customWidth="1"/>
    <col min="11246" max="11246" width="0" style="365" hidden="1" customWidth="1"/>
    <col min="11247" max="11247" width="18.140625" style="365" customWidth="1"/>
    <col min="11248" max="11248" width="0" style="365" hidden="1" customWidth="1"/>
    <col min="11249" max="11249" width="14" style="365" customWidth="1"/>
    <col min="11250" max="11250" width="0" style="365" hidden="1" customWidth="1"/>
    <col min="11251" max="11251" width="20.85546875" style="365" customWidth="1"/>
    <col min="11252" max="11252" width="0" style="365" hidden="1" customWidth="1"/>
    <col min="11253" max="11253" width="13.28515625" style="365" customWidth="1"/>
    <col min="11254" max="11254" width="0" style="365" hidden="1" customWidth="1"/>
    <col min="11255" max="11255" width="15" style="365" customWidth="1"/>
    <col min="11256" max="11256" width="0" style="365" hidden="1" customWidth="1"/>
    <col min="11257" max="11257" width="13.28515625" style="365" customWidth="1"/>
    <col min="11258" max="11258" width="0" style="365" hidden="1" customWidth="1"/>
    <col min="11259" max="11259" width="20.140625" style="365" customWidth="1"/>
    <col min="11260" max="11260" width="14.42578125" style="365" bestFit="1" customWidth="1"/>
    <col min="11261" max="11261" width="14" style="365" bestFit="1" customWidth="1"/>
    <col min="11262" max="11262" width="12.28515625" style="365" bestFit="1" customWidth="1"/>
    <col min="11263" max="11287" width="9.140625" style="365" customWidth="1"/>
    <col min="11288" max="11482" width="8.85546875" style="365"/>
    <col min="11483" max="11483" width="44.5703125" style="365" customWidth="1"/>
    <col min="11484" max="11484" width="14.28515625" style="365" bestFit="1" customWidth="1"/>
    <col min="11485" max="11485" width="1.7109375" style="365" customWidth="1"/>
    <col min="11486" max="11486" width="14.85546875" style="365" customWidth="1"/>
    <col min="11487" max="11487" width="0" style="365" hidden="1" customWidth="1"/>
    <col min="11488" max="11488" width="17.42578125" style="365" customWidth="1"/>
    <col min="11489" max="11489" width="0" style="365" hidden="1" customWidth="1"/>
    <col min="11490" max="11490" width="12.85546875" style="365" customWidth="1"/>
    <col min="11491" max="11491" width="0" style="365" hidden="1" customWidth="1"/>
    <col min="11492" max="11492" width="14.42578125" style="365" customWidth="1"/>
    <col min="11493" max="11493" width="0" style="365" hidden="1" customWidth="1"/>
    <col min="11494" max="11494" width="17.42578125" style="365" customWidth="1"/>
    <col min="11495" max="11495" width="0" style="365" hidden="1" customWidth="1"/>
    <col min="11496" max="11496" width="14" style="365" customWidth="1"/>
    <col min="11497" max="11497" width="14.28515625" style="365" bestFit="1" customWidth="1"/>
    <col min="11498" max="11498" width="0" style="365" hidden="1" customWidth="1"/>
    <col min="11499" max="11499" width="15.5703125" style="365" customWidth="1"/>
    <col min="11500" max="11500" width="44.5703125" style="365" customWidth="1"/>
    <col min="11501" max="11501" width="14.28515625" style="365" bestFit="1" customWidth="1"/>
    <col min="11502" max="11502" width="0" style="365" hidden="1" customWidth="1"/>
    <col min="11503" max="11503" width="18.140625" style="365" customWidth="1"/>
    <col min="11504" max="11504" width="0" style="365" hidden="1" customWidth="1"/>
    <col min="11505" max="11505" width="14" style="365" customWidth="1"/>
    <col min="11506" max="11506" width="0" style="365" hidden="1" customWidth="1"/>
    <col min="11507" max="11507" width="20.85546875" style="365" customWidth="1"/>
    <col min="11508" max="11508" width="0" style="365" hidden="1" customWidth="1"/>
    <col min="11509" max="11509" width="13.28515625" style="365" customWidth="1"/>
    <col min="11510" max="11510" width="0" style="365" hidden="1" customWidth="1"/>
    <col min="11511" max="11511" width="15" style="365" customWidth="1"/>
    <col min="11512" max="11512" width="0" style="365" hidden="1" customWidth="1"/>
    <col min="11513" max="11513" width="13.28515625" style="365" customWidth="1"/>
    <col min="11514" max="11514" width="0" style="365" hidden="1" customWidth="1"/>
    <col min="11515" max="11515" width="20.140625" style="365" customWidth="1"/>
    <col min="11516" max="11516" width="14.42578125" style="365" bestFit="1" customWidth="1"/>
    <col min="11517" max="11517" width="14" style="365" bestFit="1" customWidth="1"/>
    <col min="11518" max="11518" width="12.28515625" style="365" bestFit="1" customWidth="1"/>
    <col min="11519" max="11543" width="9.140625" style="365" customWidth="1"/>
    <col min="11544" max="11738" width="8.85546875" style="365"/>
    <col min="11739" max="11739" width="44.5703125" style="365" customWidth="1"/>
    <col min="11740" max="11740" width="14.28515625" style="365" bestFit="1" customWidth="1"/>
    <col min="11741" max="11741" width="1.7109375" style="365" customWidth="1"/>
    <col min="11742" max="11742" width="14.85546875" style="365" customWidth="1"/>
    <col min="11743" max="11743" width="0" style="365" hidden="1" customWidth="1"/>
    <col min="11744" max="11744" width="17.42578125" style="365" customWidth="1"/>
    <col min="11745" max="11745" width="0" style="365" hidden="1" customWidth="1"/>
    <col min="11746" max="11746" width="12.85546875" style="365" customWidth="1"/>
    <col min="11747" max="11747" width="0" style="365" hidden="1" customWidth="1"/>
    <col min="11748" max="11748" width="14.42578125" style="365" customWidth="1"/>
    <col min="11749" max="11749" width="0" style="365" hidden="1" customWidth="1"/>
    <col min="11750" max="11750" width="17.42578125" style="365" customWidth="1"/>
    <col min="11751" max="11751" width="0" style="365" hidden="1" customWidth="1"/>
    <col min="11752" max="11752" width="14" style="365" customWidth="1"/>
    <col min="11753" max="11753" width="14.28515625" style="365" bestFit="1" customWidth="1"/>
    <col min="11754" max="11754" width="0" style="365" hidden="1" customWidth="1"/>
    <col min="11755" max="11755" width="15.5703125" style="365" customWidth="1"/>
    <col min="11756" max="11756" width="44.5703125" style="365" customWidth="1"/>
    <col min="11757" max="11757" width="14.28515625" style="365" bestFit="1" customWidth="1"/>
    <col min="11758" max="11758" width="0" style="365" hidden="1" customWidth="1"/>
    <col min="11759" max="11759" width="18.140625" style="365" customWidth="1"/>
    <col min="11760" max="11760" width="0" style="365" hidden="1" customWidth="1"/>
    <col min="11761" max="11761" width="14" style="365" customWidth="1"/>
    <col min="11762" max="11762" width="0" style="365" hidden="1" customWidth="1"/>
    <col min="11763" max="11763" width="20.85546875" style="365" customWidth="1"/>
    <col min="11764" max="11764" width="0" style="365" hidden="1" customWidth="1"/>
    <col min="11765" max="11765" width="13.28515625" style="365" customWidth="1"/>
    <col min="11766" max="11766" width="0" style="365" hidden="1" customWidth="1"/>
    <col min="11767" max="11767" width="15" style="365" customWidth="1"/>
    <col min="11768" max="11768" width="0" style="365" hidden="1" customWidth="1"/>
    <col min="11769" max="11769" width="13.28515625" style="365" customWidth="1"/>
    <col min="11770" max="11770" width="0" style="365" hidden="1" customWidth="1"/>
    <col min="11771" max="11771" width="20.140625" style="365" customWidth="1"/>
    <col min="11772" max="11772" width="14.42578125" style="365" bestFit="1" customWidth="1"/>
    <col min="11773" max="11773" width="14" style="365" bestFit="1" customWidth="1"/>
    <col min="11774" max="11774" width="12.28515625" style="365" bestFit="1" customWidth="1"/>
    <col min="11775" max="11799" width="9.140625" style="365" customWidth="1"/>
    <col min="11800" max="11994" width="8.85546875" style="365"/>
    <col min="11995" max="11995" width="44.5703125" style="365" customWidth="1"/>
    <col min="11996" max="11996" width="14.28515625" style="365" bestFit="1" customWidth="1"/>
    <col min="11997" max="11997" width="1.7109375" style="365" customWidth="1"/>
    <col min="11998" max="11998" width="14.85546875" style="365" customWidth="1"/>
    <col min="11999" max="11999" width="0" style="365" hidden="1" customWidth="1"/>
    <col min="12000" max="12000" width="17.42578125" style="365" customWidth="1"/>
    <col min="12001" max="12001" width="0" style="365" hidden="1" customWidth="1"/>
    <col min="12002" max="12002" width="12.85546875" style="365" customWidth="1"/>
    <col min="12003" max="12003" width="0" style="365" hidden="1" customWidth="1"/>
    <col min="12004" max="12004" width="14.42578125" style="365" customWidth="1"/>
    <col min="12005" max="12005" width="0" style="365" hidden="1" customWidth="1"/>
    <col min="12006" max="12006" width="17.42578125" style="365" customWidth="1"/>
    <col min="12007" max="12007" width="0" style="365" hidden="1" customWidth="1"/>
    <col min="12008" max="12008" width="14" style="365" customWidth="1"/>
    <col min="12009" max="12009" width="14.28515625" style="365" bestFit="1" customWidth="1"/>
    <col min="12010" max="12010" width="0" style="365" hidden="1" customWidth="1"/>
    <col min="12011" max="12011" width="15.5703125" style="365" customWidth="1"/>
    <col min="12012" max="12012" width="44.5703125" style="365" customWidth="1"/>
    <col min="12013" max="12013" width="14.28515625" style="365" bestFit="1" customWidth="1"/>
    <col min="12014" max="12014" width="0" style="365" hidden="1" customWidth="1"/>
    <col min="12015" max="12015" width="18.140625" style="365" customWidth="1"/>
    <col min="12016" max="12016" width="0" style="365" hidden="1" customWidth="1"/>
    <col min="12017" max="12017" width="14" style="365" customWidth="1"/>
    <col min="12018" max="12018" width="0" style="365" hidden="1" customWidth="1"/>
    <col min="12019" max="12019" width="20.85546875" style="365" customWidth="1"/>
    <col min="12020" max="12020" width="0" style="365" hidden="1" customWidth="1"/>
    <col min="12021" max="12021" width="13.28515625" style="365" customWidth="1"/>
    <col min="12022" max="12022" width="0" style="365" hidden="1" customWidth="1"/>
    <col min="12023" max="12023" width="15" style="365" customWidth="1"/>
    <col min="12024" max="12024" width="0" style="365" hidden="1" customWidth="1"/>
    <col min="12025" max="12025" width="13.28515625" style="365" customWidth="1"/>
    <col min="12026" max="12026" width="0" style="365" hidden="1" customWidth="1"/>
    <col min="12027" max="12027" width="20.140625" style="365" customWidth="1"/>
    <col min="12028" max="12028" width="14.42578125" style="365" bestFit="1" customWidth="1"/>
    <col min="12029" max="12029" width="14" style="365" bestFit="1" customWidth="1"/>
    <col min="12030" max="12030" width="12.28515625" style="365" bestFit="1" customWidth="1"/>
    <col min="12031" max="12055" width="9.140625" style="365" customWidth="1"/>
    <col min="12056" max="12250" width="8.85546875" style="365"/>
    <col min="12251" max="12251" width="44.5703125" style="365" customWidth="1"/>
    <col min="12252" max="12252" width="14.28515625" style="365" bestFit="1" customWidth="1"/>
    <col min="12253" max="12253" width="1.7109375" style="365" customWidth="1"/>
    <col min="12254" max="12254" width="14.85546875" style="365" customWidth="1"/>
    <col min="12255" max="12255" width="0" style="365" hidden="1" customWidth="1"/>
    <col min="12256" max="12256" width="17.42578125" style="365" customWidth="1"/>
    <col min="12257" max="12257" width="0" style="365" hidden="1" customWidth="1"/>
    <col min="12258" max="12258" width="12.85546875" style="365" customWidth="1"/>
    <col min="12259" max="12259" width="0" style="365" hidden="1" customWidth="1"/>
    <col min="12260" max="12260" width="14.42578125" style="365" customWidth="1"/>
    <col min="12261" max="12261" width="0" style="365" hidden="1" customWidth="1"/>
    <col min="12262" max="12262" width="17.42578125" style="365" customWidth="1"/>
    <col min="12263" max="12263" width="0" style="365" hidden="1" customWidth="1"/>
    <col min="12264" max="12264" width="14" style="365" customWidth="1"/>
    <col min="12265" max="12265" width="14.28515625" style="365" bestFit="1" customWidth="1"/>
    <col min="12266" max="12266" width="0" style="365" hidden="1" customWidth="1"/>
    <col min="12267" max="12267" width="15.5703125" style="365" customWidth="1"/>
    <col min="12268" max="12268" width="44.5703125" style="365" customWidth="1"/>
    <col min="12269" max="12269" width="14.28515625" style="365" bestFit="1" customWidth="1"/>
    <col min="12270" max="12270" width="0" style="365" hidden="1" customWidth="1"/>
    <col min="12271" max="12271" width="18.140625" style="365" customWidth="1"/>
    <col min="12272" max="12272" width="0" style="365" hidden="1" customWidth="1"/>
    <col min="12273" max="12273" width="14" style="365" customWidth="1"/>
    <col min="12274" max="12274" width="0" style="365" hidden="1" customWidth="1"/>
    <col min="12275" max="12275" width="20.85546875" style="365" customWidth="1"/>
    <col min="12276" max="12276" width="0" style="365" hidden="1" customWidth="1"/>
    <col min="12277" max="12277" width="13.28515625" style="365" customWidth="1"/>
    <col min="12278" max="12278" width="0" style="365" hidden="1" customWidth="1"/>
    <col min="12279" max="12279" width="15" style="365" customWidth="1"/>
    <col min="12280" max="12280" width="0" style="365" hidden="1" customWidth="1"/>
    <col min="12281" max="12281" width="13.28515625" style="365" customWidth="1"/>
    <col min="12282" max="12282" width="0" style="365" hidden="1" customWidth="1"/>
    <col min="12283" max="12283" width="20.140625" style="365" customWidth="1"/>
    <col min="12284" max="12284" width="14.42578125" style="365" bestFit="1" customWidth="1"/>
    <col min="12285" max="12285" width="14" style="365" bestFit="1" customWidth="1"/>
    <col min="12286" max="12286" width="12.28515625" style="365" bestFit="1" customWidth="1"/>
    <col min="12287" max="12311" width="9.140625" style="365" customWidth="1"/>
    <col min="12312" max="12506" width="8.85546875" style="365"/>
    <col min="12507" max="12507" width="44.5703125" style="365" customWidth="1"/>
    <col min="12508" max="12508" width="14.28515625" style="365" bestFit="1" customWidth="1"/>
    <col min="12509" max="12509" width="1.7109375" style="365" customWidth="1"/>
    <col min="12510" max="12510" width="14.85546875" style="365" customWidth="1"/>
    <col min="12511" max="12511" width="0" style="365" hidden="1" customWidth="1"/>
    <col min="12512" max="12512" width="17.42578125" style="365" customWidth="1"/>
    <col min="12513" max="12513" width="0" style="365" hidden="1" customWidth="1"/>
    <col min="12514" max="12514" width="12.85546875" style="365" customWidth="1"/>
    <col min="12515" max="12515" width="0" style="365" hidden="1" customWidth="1"/>
    <col min="12516" max="12516" width="14.42578125" style="365" customWidth="1"/>
    <col min="12517" max="12517" width="0" style="365" hidden="1" customWidth="1"/>
    <col min="12518" max="12518" width="17.42578125" style="365" customWidth="1"/>
    <col min="12519" max="12519" width="0" style="365" hidden="1" customWidth="1"/>
    <col min="12520" max="12520" width="14" style="365" customWidth="1"/>
    <col min="12521" max="12521" width="14.28515625" style="365" bestFit="1" customWidth="1"/>
    <col min="12522" max="12522" width="0" style="365" hidden="1" customWidth="1"/>
    <col min="12523" max="12523" width="15.5703125" style="365" customWidth="1"/>
    <col min="12524" max="12524" width="44.5703125" style="365" customWidth="1"/>
    <col min="12525" max="12525" width="14.28515625" style="365" bestFit="1" customWidth="1"/>
    <col min="12526" max="12526" width="0" style="365" hidden="1" customWidth="1"/>
    <col min="12527" max="12527" width="18.140625" style="365" customWidth="1"/>
    <col min="12528" max="12528" width="0" style="365" hidden="1" customWidth="1"/>
    <col min="12529" max="12529" width="14" style="365" customWidth="1"/>
    <col min="12530" max="12530" width="0" style="365" hidden="1" customWidth="1"/>
    <col min="12531" max="12531" width="20.85546875" style="365" customWidth="1"/>
    <col min="12532" max="12532" width="0" style="365" hidden="1" customWidth="1"/>
    <col min="12533" max="12533" width="13.28515625" style="365" customWidth="1"/>
    <col min="12534" max="12534" width="0" style="365" hidden="1" customWidth="1"/>
    <col min="12535" max="12535" width="15" style="365" customWidth="1"/>
    <col min="12536" max="12536" width="0" style="365" hidden="1" customWidth="1"/>
    <col min="12537" max="12537" width="13.28515625" style="365" customWidth="1"/>
    <col min="12538" max="12538" width="0" style="365" hidden="1" customWidth="1"/>
    <col min="12539" max="12539" width="20.140625" style="365" customWidth="1"/>
    <col min="12540" max="12540" width="14.42578125" style="365" bestFit="1" customWidth="1"/>
    <col min="12541" max="12541" width="14" style="365" bestFit="1" customWidth="1"/>
    <col min="12542" max="12542" width="12.28515625" style="365" bestFit="1" customWidth="1"/>
    <col min="12543" max="12567" width="9.140625" style="365" customWidth="1"/>
    <col min="12568" max="12762" width="8.85546875" style="365"/>
    <col min="12763" max="12763" width="44.5703125" style="365" customWidth="1"/>
    <col min="12764" max="12764" width="14.28515625" style="365" bestFit="1" customWidth="1"/>
    <col min="12765" max="12765" width="1.7109375" style="365" customWidth="1"/>
    <col min="12766" max="12766" width="14.85546875" style="365" customWidth="1"/>
    <col min="12767" max="12767" width="0" style="365" hidden="1" customWidth="1"/>
    <col min="12768" max="12768" width="17.42578125" style="365" customWidth="1"/>
    <col min="12769" max="12769" width="0" style="365" hidden="1" customWidth="1"/>
    <col min="12770" max="12770" width="12.85546875" style="365" customWidth="1"/>
    <col min="12771" max="12771" width="0" style="365" hidden="1" customWidth="1"/>
    <col min="12772" max="12772" width="14.42578125" style="365" customWidth="1"/>
    <col min="12773" max="12773" width="0" style="365" hidden="1" customWidth="1"/>
    <col min="12774" max="12774" width="17.42578125" style="365" customWidth="1"/>
    <col min="12775" max="12775" width="0" style="365" hidden="1" customWidth="1"/>
    <col min="12776" max="12776" width="14" style="365" customWidth="1"/>
    <col min="12777" max="12777" width="14.28515625" style="365" bestFit="1" customWidth="1"/>
    <col min="12778" max="12778" width="0" style="365" hidden="1" customWidth="1"/>
    <col min="12779" max="12779" width="15.5703125" style="365" customWidth="1"/>
    <col min="12780" max="12780" width="44.5703125" style="365" customWidth="1"/>
    <col min="12781" max="12781" width="14.28515625" style="365" bestFit="1" customWidth="1"/>
    <col min="12782" max="12782" width="0" style="365" hidden="1" customWidth="1"/>
    <col min="12783" max="12783" width="18.140625" style="365" customWidth="1"/>
    <col min="12784" max="12784" width="0" style="365" hidden="1" customWidth="1"/>
    <col min="12785" max="12785" width="14" style="365" customWidth="1"/>
    <col min="12786" max="12786" width="0" style="365" hidden="1" customWidth="1"/>
    <col min="12787" max="12787" width="20.85546875" style="365" customWidth="1"/>
    <col min="12788" max="12788" width="0" style="365" hidden="1" customWidth="1"/>
    <col min="12789" max="12789" width="13.28515625" style="365" customWidth="1"/>
    <col min="12790" max="12790" width="0" style="365" hidden="1" customWidth="1"/>
    <col min="12791" max="12791" width="15" style="365" customWidth="1"/>
    <col min="12792" max="12792" width="0" style="365" hidden="1" customWidth="1"/>
    <col min="12793" max="12793" width="13.28515625" style="365" customWidth="1"/>
    <col min="12794" max="12794" width="0" style="365" hidden="1" customWidth="1"/>
    <col min="12795" max="12795" width="20.140625" style="365" customWidth="1"/>
    <col min="12796" max="12796" width="14.42578125" style="365" bestFit="1" customWidth="1"/>
    <col min="12797" max="12797" width="14" style="365" bestFit="1" customWidth="1"/>
    <col min="12798" max="12798" width="12.28515625" style="365" bestFit="1" customWidth="1"/>
    <col min="12799" max="12823" width="9.140625" style="365" customWidth="1"/>
    <col min="12824" max="13018" width="8.85546875" style="365"/>
    <col min="13019" max="13019" width="44.5703125" style="365" customWidth="1"/>
    <col min="13020" max="13020" width="14.28515625" style="365" bestFit="1" customWidth="1"/>
    <col min="13021" max="13021" width="1.7109375" style="365" customWidth="1"/>
    <col min="13022" max="13022" width="14.85546875" style="365" customWidth="1"/>
    <col min="13023" max="13023" width="0" style="365" hidden="1" customWidth="1"/>
    <col min="13024" max="13024" width="17.42578125" style="365" customWidth="1"/>
    <col min="13025" max="13025" width="0" style="365" hidden="1" customWidth="1"/>
    <col min="13026" max="13026" width="12.85546875" style="365" customWidth="1"/>
    <col min="13027" max="13027" width="0" style="365" hidden="1" customWidth="1"/>
    <col min="13028" max="13028" width="14.42578125" style="365" customWidth="1"/>
    <col min="13029" max="13029" width="0" style="365" hidden="1" customWidth="1"/>
    <col min="13030" max="13030" width="17.42578125" style="365" customWidth="1"/>
    <col min="13031" max="13031" width="0" style="365" hidden="1" customWidth="1"/>
    <col min="13032" max="13032" width="14" style="365" customWidth="1"/>
    <col min="13033" max="13033" width="14.28515625" style="365" bestFit="1" customWidth="1"/>
    <col min="13034" max="13034" width="0" style="365" hidden="1" customWidth="1"/>
    <col min="13035" max="13035" width="15.5703125" style="365" customWidth="1"/>
    <col min="13036" max="13036" width="44.5703125" style="365" customWidth="1"/>
    <col min="13037" max="13037" width="14.28515625" style="365" bestFit="1" customWidth="1"/>
    <col min="13038" max="13038" width="0" style="365" hidden="1" customWidth="1"/>
    <col min="13039" max="13039" width="18.140625" style="365" customWidth="1"/>
    <col min="13040" max="13040" width="0" style="365" hidden="1" customWidth="1"/>
    <col min="13041" max="13041" width="14" style="365" customWidth="1"/>
    <col min="13042" max="13042" width="0" style="365" hidden="1" customWidth="1"/>
    <col min="13043" max="13043" width="20.85546875" style="365" customWidth="1"/>
    <col min="13044" max="13044" width="0" style="365" hidden="1" customWidth="1"/>
    <col min="13045" max="13045" width="13.28515625" style="365" customWidth="1"/>
    <col min="13046" max="13046" width="0" style="365" hidden="1" customWidth="1"/>
    <col min="13047" max="13047" width="15" style="365" customWidth="1"/>
    <col min="13048" max="13048" width="0" style="365" hidden="1" customWidth="1"/>
    <col min="13049" max="13049" width="13.28515625" style="365" customWidth="1"/>
    <col min="13050" max="13050" width="0" style="365" hidden="1" customWidth="1"/>
    <col min="13051" max="13051" width="20.140625" style="365" customWidth="1"/>
    <col min="13052" max="13052" width="14.42578125" style="365" bestFit="1" customWidth="1"/>
    <col min="13053" max="13053" width="14" style="365" bestFit="1" customWidth="1"/>
    <col min="13054" max="13054" width="12.28515625" style="365" bestFit="1" customWidth="1"/>
    <col min="13055" max="13079" width="9.140625" style="365" customWidth="1"/>
    <col min="13080" max="13274" width="8.85546875" style="365"/>
    <col min="13275" max="13275" width="44.5703125" style="365" customWidth="1"/>
    <col min="13276" max="13276" width="14.28515625" style="365" bestFit="1" customWidth="1"/>
    <col min="13277" max="13277" width="1.7109375" style="365" customWidth="1"/>
    <col min="13278" max="13278" width="14.85546875" style="365" customWidth="1"/>
    <col min="13279" max="13279" width="0" style="365" hidden="1" customWidth="1"/>
    <col min="13280" max="13280" width="17.42578125" style="365" customWidth="1"/>
    <col min="13281" max="13281" width="0" style="365" hidden="1" customWidth="1"/>
    <col min="13282" max="13282" width="12.85546875" style="365" customWidth="1"/>
    <col min="13283" max="13283" width="0" style="365" hidden="1" customWidth="1"/>
    <col min="13284" max="13284" width="14.42578125" style="365" customWidth="1"/>
    <col min="13285" max="13285" width="0" style="365" hidden="1" customWidth="1"/>
    <col min="13286" max="13286" width="17.42578125" style="365" customWidth="1"/>
    <col min="13287" max="13287" width="0" style="365" hidden="1" customWidth="1"/>
    <col min="13288" max="13288" width="14" style="365" customWidth="1"/>
    <col min="13289" max="13289" width="14.28515625" style="365" bestFit="1" customWidth="1"/>
    <col min="13290" max="13290" width="0" style="365" hidden="1" customWidth="1"/>
    <col min="13291" max="13291" width="15.5703125" style="365" customWidth="1"/>
    <col min="13292" max="13292" width="44.5703125" style="365" customWidth="1"/>
    <col min="13293" max="13293" width="14.28515625" style="365" bestFit="1" customWidth="1"/>
    <col min="13294" max="13294" width="0" style="365" hidden="1" customWidth="1"/>
    <col min="13295" max="13295" width="18.140625" style="365" customWidth="1"/>
    <col min="13296" max="13296" width="0" style="365" hidden="1" customWidth="1"/>
    <col min="13297" max="13297" width="14" style="365" customWidth="1"/>
    <col min="13298" max="13298" width="0" style="365" hidden="1" customWidth="1"/>
    <col min="13299" max="13299" width="20.85546875" style="365" customWidth="1"/>
    <col min="13300" max="13300" width="0" style="365" hidden="1" customWidth="1"/>
    <col min="13301" max="13301" width="13.28515625" style="365" customWidth="1"/>
    <col min="13302" max="13302" width="0" style="365" hidden="1" customWidth="1"/>
    <col min="13303" max="13303" width="15" style="365" customWidth="1"/>
    <col min="13304" max="13304" width="0" style="365" hidden="1" customWidth="1"/>
    <col min="13305" max="13305" width="13.28515625" style="365" customWidth="1"/>
    <col min="13306" max="13306" width="0" style="365" hidden="1" customWidth="1"/>
    <col min="13307" max="13307" width="20.140625" style="365" customWidth="1"/>
    <col min="13308" max="13308" width="14.42578125" style="365" bestFit="1" customWidth="1"/>
    <col min="13309" max="13309" width="14" style="365" bestFit="1" customWidth="1"/>
    <col min="13310" max="13310" width="12.28515625" style="365" bestFit="1" customWidth="1"/>
    <col min="13311" max="13335" width="9.140625" style="365" customWidth="1"/>
    <col min="13336" max="13530" width="8.85546875" style="365"/>
    <col min="13531" max="13531" width="44.5703125" style="365" customWidth="1"/>
    <col min="13532" max="13532" width="14.28515625" style="365" bestFit="1" customWidth="1"/>
    <col min="13533" max="13533" width="1.7109375" style="365" customWidth="1"/>
    <col min="13534" max="13534" width="14.85546875" style="365" customWidth="1"/>
    <col min="13535" max="13535" width="0" style="365" hidden="1" customWidth="1"/>
    <col min="13536" max="13536" width="17.42578125" style="365" customWidth="1"/>
    <col min="13537" max="13537" width="0" style="365" hidden="1" customWidth="1"/>
    <col min="13538" max="13538" width="12.85546875" style="365" customWidth="1"/>
    <col min="13539" max="13539" width="0" style="365" hidden="1" customWidth="1"/>
    <col min="13540" max="13540" width="14.42578125" style="365" customWidth="1"/>
    <col min="13541" max="13541" width="0" style="365" hidden="1" customWidth="1"/>
    <col min="13542" max="13542" width="17.42578125" style="365" customWidth="1"/>
    <col min="13543" max="13543" width="0" style="365" hidden="1" customWidth="1"/>
    <col min="13544" max="13544" width="14" style="365" customWidth="1"/>
    <col min="13545" max="13545" width="14.28515625" style="365" bestFit="1" customWidth="1"/>
    <col min="13546" max="13546" width="0" style="365" hidden="1" customWidth="1"/>
    <col min="13547" max="13547" width="15.5703125" style="365" customWidth="1"/>
    <col min="13548" max="13548" width="44.5703125" style="365" customWidth="1"/>
    <col min="13549" max="13549" width="14.28515625" style="365" bestFit="1" customWidth="1"/>
    <col min="13550" max="13550" width="0" style="365" hidden="1" customWidth="1"/>
    <col min="13551" max="13551" width="18.140625" style="365" customWidth="1"/>
    <col min="13552" max="13552" width="0" style="365" hidden="1" customWidth="1"/>
    <col min="13553" max="13553" width="14" style="365" customWidth="1"/>
    <col min="13554" max="13554" width="0" style="365" hidden="1" customWidth="1"/>
    <col min="13555" max="13555" width="20.85546875" style="365" customWidth="1"/>
    <col min="13556" max="13556" width="0" style="365" hidden="1" customWidth="1"/>
    <col min="13557" max="13557" width="13.28515625" style="365" customWidth="1"/>
    <col min="13558" max="13558" width="0" style="365" hidden="1" customWidth="1"/>
    <col min="13559" max="13559" width="15" style="365" customWidth="1"/>
    <col min="13560" max="13560" width="0" style="365" hidden="1" customWidth="1"/>
    <col min="13561" max="13561" width="13.28515625" style="365" customWidth="1"/>
    <col min="13562" max="13562" width="0" style="365" hidden="1" customWidth="1"/>
    <col min="13563" max="13563" width="20.140625" style="365" customWidth="1"/>
    <col min="13564" max="13564" width="14.42578125" style="365" bestFit="1" customWidth="1"/>
    <col min="13565" max="13565" width="14" style="365" bestFit="1" customWidth="1"/>
    <col min="13566" max="13566" width="12.28515625" style="365" bestFit="1" customWidth="1"/>
    <col min="13567" max="13591" width="9.140625" style="365" customWidth="1"/>
    <col min="13592" max="13786" width="8.85546875" style="365"/>
    <col min="13787" max="13787" width="44.5703125" style="365" customWidth="1"/>
    <col min="13788" max="13788" width="14.28515625" style="365" bestFit="1" customWidth="1"/>
    <col min="13789" max="13789" width="1.7109375" style="365" customWidth="1"/>
    <col min="13790" max="13790" width="14.85546875" style="365" customWidth="1"/>
    <col min="13791" max="13791" width="0" style="365" hidden="1" customWidth="1"/>
    <col min="13792" max="13792" width="17.42578125" style="365" customWidth="1"/>
    <col min="13793" max="13793" width="0" style="365" hidden="1" customWidth="1"/>
    <col min="13794" max="13794" width="12.85546875" style="365" customWidth="1"/>
    <col min="13795" max="13795" width="0" style="365" hidden="1" customWidth="1"/>
    <col min="13796" max="13796" width="14.42578125" style="365" customWidth="1"/>
    <col min="13797" max="13797" width="0" style="365" hidden="1" customWidth="1"/>
    <col min="13798" max="13798" width="17.42578125" style="365" customWidth="1"/>
    <col min="13799" max="13799" width="0" style="365" hidden="1" customWidth="1"/>
    <col min="13800" max="13800" width="14" style="365" customWidth="1"/>
    <col min="13801" max="13801" width="14.28515625" style="365" bestFit="1" customWidth="1"/>
    <col min="13802" max="13802" width="0" style="365" hidden="1" customWidth="1"/>
    <col min="13803" max="13803" width="15.5703125" style="365" customWidth="1"/>
    <col min="13804" max="13804" width="44.5703125" style="365" customWidth="1"/>
    <col min="13805" max="13805" width="14.28515625" style="365" bestFit="1" customWidth="1"/>
    <col min="13806" max="13806" width="0" style="365" hidden="1" customWidth="1"/>
    <col min="13807" max="13807" width="18.140625" style="365" customWidth="1"/>
    <col min="13808" max="13808" width="0" style="365" hidden="1" customWidth="1"/>
    <col min="13809" max="13809" width="14" style="365" customWidth="1"/>
    <col min="13810" max="13810" width="0" style="365" hidden="1" customWidth="1"/>
    <col min="13811" max="13811" width="20.85546875" style="365" customWidth="1"/>
    <col min="13812" max="13812" width="0" style="365" hidden="1" customWidth="1"/>
    <col min="13813" max="13813" width="13.28515625" style="365" customWidth="1"/>
    <col min="13814" max="13814" width="0" style="365" hidden="1" customWidth="1"/>
    <col min="13815" max="13815" width="15" style="365" customWidth="1"/>
    <col min="13816" max="13816" width="0" style="365" hidden="1" customWidth="1"/>
    <col min="13817" max="13817" width="13.28515625" style="365" customWidth="1"/>
    <col min="13818" max="13818" width="0" style="365" hidden="1" customWidth="1"/>
    <col min="13819" max="13819" width="20.140625" style="365" customWidth="1"/>
    <col min="13820" max="13820" width="14.42578125" style="365" bestFit="1" customWidth="1"/>
    <col min="13821" max="13821" width="14" style="365" bestFit="1" customWidth="1"/>
    <col min="13822" max="13822" width="12.28515625" style="365" bestFit="1" customWidth="1"/>
    <col min="13823" max="13847" width="9.140625" style="365" customWidth="1"/>
    <col min="13848" max="14042" width="8.85546875" style="365"/>
    <col min="14043" max="14043" width="44.5703125" style="365" customWidth="1"/>
    <col min="14044" max="14044" width="14.28515625" style="365" bestFit="1" customWidth="1"/>
    <col min="14045" max="14045" width="1.7109375" style="365" customWidth="1"/>
    <col min="14046" max="14046" width="14.85546875" style="365" customWidth="1"/>
    <col min="14047" max="14047" width="0" style="365" hidden="1" customWidth="1"/>
    <col min="14048" max="14048" width="17.42578125" style="365" customWidth="1"/>
    <col min="14049" max="14049" width="0" style="365" hidden="1" customWidth="1"/>
    <col min="14050" max="14050" width="12.85546875" style="365" customWidth="1"/>
    <col min="14051" max="14051" width="0" style="365" hidden="1" customWidth="1"/>
    <col min="14052" max="14052" width="14.42578125" style="365" customWidth="1"/>
    <col min="14053" max="14053" width="0" style="365" hidden="1" customWidth="1"/>
    <col min="14054" max="14054" width="17.42578125" style="365" customWidth="1"/>
    <col min="14055" max="14055" width="0" style="365" hidden="1" customWidth="1"/>
    <col min="14056" max="14056" width="14" style="365" customWidth="1"/>
    <col min="14057" max="14057" width="14.28515625" style="365" bestFit="1" customWidth="1"/>
    <col min="14058" max="14058" width="0" style="365" hidden="1" customWidth="1"/>
    <col min="14059" max="14059" width="15.5703125" style="365" customWidth="1"/>
    <col min="14060" max="14060" width="44.5703125" style="365" customWidth="1"/>
    <col min="14061" max="14061" width="14.28515625" style="365" bestFit="1" customWidth="1"/>
    <col min="14062" max="14062" width="0" style="365" hidden="1" customWidth="1"/>
    <col min="14063" max="14063" width="18.140625" style="365" customWidth="1"/>
    <col min="14064" max="14064" width="0" style="365" hidden="1" customWidth="1"/>
    <col min="14065" max="14065" width="14" style="365" customWidth="1"/>
    <col min="14066" max="14066" width="0" style="365" hidden="1" customWidth="1"/>
    <col min="14067" max="14067" width="20.85546875" style="365" customWidth="1"/>
    <col min="14068" max="14068" width="0" style="365" hidden="1" customWidth="1"/>
    <col min="14069" max="14069" width="13.28515625" style="365" customWidth="1"/>
    <col min="14070" max="14070" width="0" style="365" hidden="1" customWidth="1"/>
    <col min="14071" max="14071" width="15" style="365" customWidth="1"/>
    <col min="14072" max="14072" width="0" style="365" hidden="1" customWidth="1"/>
    <col min="14073" max="14073" width="13.28515625" style="365" customWidth="1"/>
    <col min="14074" max="14074" width="0" style="365" hidden="1" customWidth="1"/>
    <col min="14075" max="14075" width="20.140625" style="365" customWidth="1"/>
    <col min="14076" max="14076" width="14.42578125" style="365" bestFit="1" customWidth="1"/>
    <col min="14077" max="14077" width="14" style="365" bestFit="1" customWidth="1"/>
    <col min="14078" max="14078" width="12.28515625" style="365" bestFit="1" customWidth="1"/>
    <col min="14079" max="14103" width="9.140625" style="365" customWidth="1"/>
    <col min="14104" max="14298" width="8.85546875" style="365"/>
    <col min="14299" max="14299" width="44.5703125" style="365" customWidth="1"/>
    <col min="14300" max="14300" width="14.28515625" style="365" bestFit="1" customWidth="1"/>
    <col min="14301" max="14301" width="1.7109375" style="365" customWidth="1"/>
    <col min="14302" max="14302" width="14.85546875" style="365" customWidth="1"/>
    <col min="14303" max="14303" width="0" style="365" hidden="1" customWidth="1"/>
    <col min="14304" max="14304" width="17.42578125" style="365" customWidth="1"/>
    <col min="14305" max="14305" width="0" style="365" hidden="1" customWidth="1"/>
    <col min="14306" max="14306" width="12.85546875" style="365" customWidth="1"/>
    <col min="14307" max="14307" width="0" style="365" hidden="1" customWidth="1"/>
    <col min="14308" max="14308" width="14.42578125" style="365" customWidth="1"/>
    <col min="14309" max="14309" width="0" style="365" hidden="1" customWidth="1"/>
    <col min="14310" max="14310" width="17.42578125" style="365" customWidth="1"/>
    <col min="14311" max="14311" width="0" style="365" hidden="1" customWidth="1"/>
    <col min="14312" max="14312" width="14" style="365" customWidth="1"/>
    <col min="14313" max="14313" width="14.28515625" style="365" bestFit="1" customWidth="1"/>
    <col min="14314" max="14314" width="0" style="365" hidden="1" customWidth="1"/>
    <col min="14315" max="14315" width="15.5703125" style="365" customWidth="1"/>
    <col min="14316" max="14316" width="44.5703125" style="365" customWidth="1"/>
    <col min="14317" max="14317" width="14.28515625" style="365" bestFit="1" customWidth="1"/>
    <col min="14318" max="14318" width="0" style="365" hidden="1" customWidth="1"/>
    <col min="14319" max="14319" width="18.140625" style="365" customWidth="1"/>
    <col min="14320" max="14320" width="0" style="365" hidden="1" customWidth="1"/>
    <col min="14321" max="14321" width="14" style="365" customWidth="1"/>
    <col min="14322" max="14322" width="0" style="365" hidden="1" customWidth="1"/>
    <col min="14323" max="14323" width="20.85546875" style="365" customWidth="1"/>
    <col min="14324" max="14324" width="0" style="365" hidden="1" customWidth="1"/>
    <col min="14325" max="14325" width="13.28515625" style="365" customWidth="1"/>
    <col min="14326" max="14326" width="0" style="365" hidden="1" customWidth="1"/>
    <col min="14327" max="14327" width="15" style="365" customWidth="1"/>
    <col min="14328" max="14328" width="0" style="365" hidden="1" customWidth="1"/>
    <col min="14329" max="14329" width="13.28515625" style="365" customWidth="1"/>
    <col min="14330" max="14330" width="0" style="365" hidden="1" customWidth="1"/>
    <col min="14331" max="14331" width="20.140625" style="365" customWidth="1"/>
    <col min="14332" max="14332" width="14.42578125" style="365" bestFit="1" customWidth="1"/>
    <col min="14333" max="14333" width="14" style="365" bestFit="1" customWidth="1"/>
    <col min="14334" max="14334" width="12.28515625" style="365" bestFit="1" customWidth="1"/>
    <col min="14335" max="14359" width="9.140625" style="365" customWidth="1"/>
    <col min="14360" max="14554" width="8.85546875" style="365"/>
    <col min="14555" max="14555" width="44.5703125" style="365" customWidth="1"/>
    <col min="14556" max="14556" width="14.28515625" style="365" bestFit="1" customWidth="1"/>
    <col min="14557" max="14557" width="1.7109375" style="365" customWidth="1"/>
    <col min="14558" max="14558" width="14.85546875" style="365" customWidth="1"/>
    <col min="14559" max="14559" width="0" style="365" hidden="1" customWidth="1"/>
    <col min="14560" max="14560" width="17.42578125" style="365" customWidth="1"/>
    <col min="14561" max="14561" width="0" style="365" hidden="1" customWidth="1"/>
    <col min="14562" max="14562" width="12.85546875" style="365" customWidth="1"/>
    <col min="14563" max="14563" width="0" style="365" hidden="1" customWidth="1"/>
    <col min="14564" max="14564" width="14.42578125" style="365" customWidth="1"/>
    <col min="14565" max="14565" width="0" style="365" hidden="1" customWidth="1"/>
    <col min="14566" max="14566" width="17.42578125" style="365" customWidth="1"/>
    <col min="14567" max="14567" width="0" style="365" hidden="1" customWidth="1"/>
    <col min="14568" max="14568" width="14" style="365" customWidth="1"/>
    <col min="14569" max="14569" width="14.28515625" style="365" bestFit="1" customWidth="1"/>
    <col min="14570" max="14570" width="0" style="365" hidden="1" customWidth="1"/>
    <col min="14571" max="14571" width="15.5703125" style="365" customWidth="1"/>
    <col min="14572" max="14572" width="44.5703125" style="365" customWidth="1"/>
    <col min="14573" max="14573" width="14.28515625" style="365" bestFit="1" customWidth="1"/>
    <col min="14574" max="14574" width="0" style="365" hidden="1" customWidth="1"/>
    <col min="14575" max="14575" width="18.140625" style="365" customWidth="1"/>
    <col min="14576" max="14576" width="0" style="365" hidden="1" customWidth="1"/>
    <col min="14577" max="14577" width="14" style="365" customWidth="1"/>
    <col min="14578" max="14578" width="0" style="365" hidden="1" customWidth="1"/>
    <col min="14579" max="14579" width="20.85546875" style="365" customWidth="1"/>
    <col min="14580" max="14580" width="0" style="365" hidden="1" customWidth="1"/>
    <col min="14581" max="14581" width="13.28515625" style="365" customWidth="1"/>
    <col min="14582" max="14582" width="0" style="365" hidden="1" customWidth="1"/>
    <col min="14583" max="14583" width="15" style="365" customWidth="1"/>
    <col min="14584" max="14584" width="0" style="365" hidden="1" customWidth="1"/>
    <col min="14585" max="14585" width="13.28515625" style="365" customWidth="1"/>
    <col min="14586" max="14586" width="0" style="365" hidden="1" customWidth="1"/>
    <col min="14587" max="14587" width="20.140625" style="365" customWidth="1"/>
    <col min="14588" max="14588" width="14.42578125" style="365" bestFit="1" customWidth="1"/>
    <col min="14589" max="14589" width="14" style="365" bestFit="1" customWidth="1"/>
    <col min="14590" max="14590" width="12.28515625" style="365" bestFit="1" customWidth="1"/>
    <col min="14591" max="14615" width="9.140625" style="365" customWidth="1"/>
    <col min="14616" max="14810" width="8.85546875" style="365"/>
    <col min="14811" max="14811" width="44.5703125" style="365" customWidth="1"/>
    <col min="14812" max="14812" width="14.28515625" style="365" bestFit="1" customWidth="1"/>
    <col min="14813" max="14813" width="1.7109375" style="365" customWidth="1"/>
    <col min="14814" max="14814" width="14.85546875" style="365" customWidth="1"/>
    <col min="14815" max="14815" width="0" style="365" hidden="1" customWidth="1"/>
    <col min="14816" max="14816" width="17.42578125" style="365" customWidth="1"/>
    <col min="14817" max="14817" width="0" style="365" hidden="1" customWidth="1"/>
    <col min="14818" max="14818" width="12.85546875" style="365" customWidth="1"/>
    <col min="14819" max="14819" width="0" style="365" hidden="1" customWidth="1"/>
    <col min="14820" max="14820" width="14.42578125" style="365" customWidth="1"/>
    <col min="14821" max="14821" width="0" style="365" hidden="1" customWidth="1"/>
    <col min="14822" max="14822" width="17.42578125" style="365" customWidth="1"/>
    <col min="14823" max="14823" width="0" style="365" hidden="1" customWidth="1"/>
    <col min="14824" max="14824" width="14" style="365" customWidth="1"/>
    <col min="14825" max="14825" width="14.28515625" style="365" bestFit="1" customWidth="1"/>
    <col min="14826" max="14826" width="0" style="365" hidden="1" customWidth="1"/>
    <col min="14827" max="14827" width="15.5703125" style="365" customWidth="1"/>
    <col min="14828" max="14828" width="44.5703125" style="365" customWidth="1"/>
    <col min="14829" max="14829" width="14.28515625" style="365" bestFit="1" customWidth="1"/>
    <col min="14830" max="14830" width="0" style="365" hidden="1" customWidth="1"/>
    <col min="14831" max="14831" width="18.140625" style="365" customWidth="1"/>
    <col min="14832" max="14832" width="0" style="365" hidden="1" customWidth="1"/>
    <col min="14833" max="14833" width="14" style="365" customWidth="1"/>
    <col min="14834" max="14834" width="0" style="365" hidden="1" customWidth="1"/>
    <col min="14835" max="14835" width="20.85546875" style="365" customWidth="1"/>
    <col min="14836" max="14836" width="0" style="365" hidden="1" customWidth="1"/>
    <col min="14837" max="14837" width="13.28515625" style="365" customWidth="1"/>
    <col min="14838" max="14838" width="0" style="365" hidden="1" customWidth="1"/>
    <col min="14839" max="14839" width="15" style="365" customWidth="1"/>
    <col min="14840" max="14840" width="0" style="365" hidden="1" customWidth="1"/>
    <col min="14841" max="14841" width="13.28515625" style="365" customWidth="1"/>
    <col min="14842" max="14842" width="0" style="365" hidden="1" customWidth="1"/>
    <col min="14843" max="14843" width="20.140625" style="365" customWidth="1"/>
    <col min="14844" max="14844" width="14.42578125" style="365" bestFit="1" customWidth="1"/>
    <col min="14845" max="14845" width="14" style="365" bestFit="1" customWidth="1"/>
    <col min="14846" max="14846" width="12.28515625" style="365" bestFit="1" customWidth="1"/>
    <col min="14847" max="14871" width="9.140625" style="365" customWidth="1"/>
    <col min="14872" max="15066" width="8.85546875" style="365"/>
    <col min="15067" max="15067" width="44.5703125" style="365" customWidth="1"/>
    <col min="15068" max="15068" width="14.28515625" style="365" bestFit="1" customWidth="1"/>
    <col min="15069" max="15069" width="1.7109375" style="365" customWidth="1"/>
    <col min="15070" max="15070" width="14.85546875" style="365" customWidth="1"/>
    <col min="15071" max="15071" width="0" style="365" hidden="1" customWidth="1"/>
    <col min="15072" max="15072" width="17.42578125" style="365" customWidth="1"/>
    <col min="15073" max="15073" width="0" style="365" hidden="1" customWidth="1"/>
    <col min="15074" max="15074" width="12.85546875" style="365" customWidth="1"/>
    <col min="15075" max="15075" width="0" style="365" hidden="1" customWidth="1"/>
    <col min="15076" max="15076" width="14.42578125" style="365" customWidth="1"/>
    <col min="15077" max="15077" width="0" style="365" hidden="1" customWidth="1"/>
    <col min="15078" max="15078" width="17.42578125" style="365" customWidth="1"/>
    <col min="15079" max="15079" width="0" style="365" hidden="1" customWidth="1"/>
    <col min="15080" max="15080" width="14" style="365" customWidth="1"/>
    <col min="15081" max="15081" width="14.28515625" style="365" bestFit="1" customWidth="1"/>
    <col min="15082" max="15082" width="0" style="365" hidden="1" customWidth="1"/>
    <col min="15083" max="15083" width="15.5703125" style="365" customWidth="1"/>
    <col min="15084" max="15084" width="44.5703125" style="365" customWidth="1"/>
    <col min="15085" max="15085" width="14.28515625" style="365" bestFit="1" customWidth="1"/>
    <col min="15086" max="15086" width="0" style="365" hidden="1" customWidth="1"/>
    <col min="15087" max="15087" width="18.140625" style="365" customWidth="1"/>
    <col min="15088" max="15088" width="0" style="365" hidden="1" customWidth="1"/>
    <col min="15089" max="15089" width="14" style="365" customWidth="1"/>
    <col min="15090" max="15090" width="0" style="365" hidden="1" customWidth="1"/>
    <col min="15091" max="15091" width="20.85546875" style="365" customWidth="1"/>
    <col min="15092" max="15092" width="0" style="365" hidden="1" customWidth="1"/>
    <col min="15093" max="15093" width="13.28515625" style="365" customWidth="1"/>
    <col min="15094" max="15094" width="0" style="365" hidden="1" customWidth="1"/>
    <col min="15095" max="15095" width="15" style="365" customWidth="1"/>
    <col min="15096" max="15096" width="0" style="365" hidden="1" customWidth="1"/>
    <col min="15097" max="15097" width="13.28515625" style="365" customWidth="1"/>
    <col min="15098" max="15098" width="0" style="365" hidden="1" customWidth="1"/>
    <col min="15099" max="15099" width="20.140625" style="365" customWidth="1"/>
    <col min="15100" max="15100" width="14.42578125" style="365" bestFit="1" customWidth="1"/>
    <col min="15101" max="15101" width="14" style="365" bestFit="1" customWidth="1"/>
    <col min="15102" max="15102" width="12.28515625" style="365" bestFit="1" customWidth="1"/>
    <col min="15103" max="15127" width="9.140625" style="365" customWidth="1"/>
    <col min="15128" max="15322" width="8.85546875" style="365"/>
    <col min="15323" max="15323" width="44.5703125" style="365" customWidth="1"/>
    <col min="15324" max="15324" width="14.28515625" style="365" bestFit="1" customWidth="1"/>
    <col min="15325" max="15325" width="1.7109375" style="365" customWidth="1"/>
    <col min="15326" max="15326" width="14.85546875" style="365" customWidth="1"/>
    <col min="15327" max="15327" width="0" style="365" hidden="1" customWidth="1"/>
    <col min="15328" max="15328" width="17.42578125" style="365" customWidth="1"/>
    <col min="15329" max="15329" width="0" style="365" hidden="1" customWidth="1"/>
    <col min="15330" max="15330" width="12.85546875" style="365" customWidth="1"/>
    <col min="15331" max="15331" width="0" style="365" hidden="1" customWidth="1"/>
    <col min="15332" max="15332" width="14.42578125" style="365" customWidth="1"/>
    <col min="15333" max="15333" width="0" style="365" hidden="1" customWidth="1"/>
    <col min="15334" max="15334" width="17.42578125" style="365" customWidth="1"/>
    <col min="15335" max="15335" width="0" style="365" hidden="1" customWidth="1"/>
    <col min="15336" max="15336" width="14" style="365" customWidth="1"/>
    <col min="15337" max="15337" width="14.28515625" style="365" bestFit="1" customWidth="1"/>
    <col min="15338" max="15338" width="0" style="365" hidden="1" customWidth="1"/>
    <col min="15339" max="15339" width="15.5703125" style="365" customWidth="1"/>
    <col min="15340" max="15340" width="44.5703125" style="365" customWidth="1"/>
    <col min="15341" max="15341" width="14.28515625" style="365" bestFit="1" customWidth="1"/>
    <col min="15342" max="15342" width="0" style="365" hidden="1" customWidth="1"/>
    <col min="15343" max="15343" width="18.140625" style="365" customWidth="1"/>
    <col min="15344" max="15344" width="0" style="365" hidden="1" customWidth="1"/>
    <col min="15345" max="15345" width="14" style="365" customWidth="1"/>
    <col min="15346" max="15346" width="0" style="365" hidden="1" customWidth="1"/>
    <col min="15347" max="15347" width="20.85546875" style="365" customWidth="1"/>
    <col min="15348" max="15348" width="0" style="365" hidden="1" customWidth="1"/>
    <col min="15349" max="15349" width="13.28515625" style="365" customWidth="1"/>
    <col min="15350" max="15350" width="0" style="365" hidden="1" customWidth="1"/>
    <col min="15351" max="15351" width="15" style="365" customWidth="1"/>
    <col min="15352" max="15352" width="0" style="365" hidden="1" customWidth="1"/>
    <col min="15353" max="15353" width="13.28515625" style="365" customWidth="1"/>
    <col min="15354" max="15354" width="0" style="365" hidden="1" customWidth="1"/>
    <col min="15355" max="15355" width="20.140625" style="365" customWidth="1"/>
    <col min="15356" max="15356" width="14.42578125" style="365" bestFit="1" customWidth="1"/>
    <col min="15357" max="15357" width="14" style="365" bestFit="1" customWidth="1"/>
    <col min="15358" max="15358" width="12.28515625" style="365" bestFit="1" customWidth="1"/>
    <col min="15359" max="15383" width="9.140625" style="365" customWidth="1"/>
    <col min="15384" max="15578" width="8.85546875" style="365"/>
    <col min="15579" max="15579" width="44.5703125" style="365" customWidth="1"/>
    <col min="15580" max="15580" width="14.28515625" style="365" bestFit="1" customWidth="1"/>
    <col min="15581" max="15581" width="1.7109375" style="365" customWidth="1"/>
    <col min="15582" max="15582" width="14.85546875" style="365" customWidth="1"/>
    <col min="15583" max="15583" width="0" style="365" hidden="1" customWidth="1"/>
    <col min="15584" max="15584" width="17.42578125" style="365" customWidth="1"/>
    <col min="15585" max="15585" width="0" style="365" hidden="1" customWidth="1"/>
    <col min="15586" max="15586" width="12.85546875" style="365" customWidth="1"/>
    <col min="15587" max="15587" width="0" style="365" hidden="1" customWidth="1"/>
    <col min="15588" max="15588" width="14.42578125" style="365" customWidth="1"/>
    <col min="15589" max="15589" width="0" style="365" hidden="1" customWidth="1"/>
    <col min="15590" max="15590" width="17.42578125" style="365" customWidth="1"/>
    <col min="15591" max="15591" width="0" style="365" hidden="1" customWidth="1"/>
    <col min="15592" max="15592" width="14" style="365" customWidth="1"/>
    <col min="15593" max="15593" width="14.28515625" style="365" bestFit="1" customWidth="1"/>
    <col min="15594" max="15594" width="0" style="365" hidden="1" customWidth="1"/>
    <col min="15595" max="15595" width="15.5703125" style="365" customWidth="1"/>
    <col min="15596" max="15596" width="44.5703125" style="365" customWidth="1"/>
    <col min="15597" max="15597" width="14.28515625" style="365" bestFit="1" customWidth="1"/>
    <col min="15598" max="15598" width="0" style="365" hidden="1" customWidth="1"/>
    <col min="15599" max="15599" width="18.140625" style="365" customWidth="1"/>
    <col min="15600" max="15600" width="0" style="365" hidden="1" customWidth="1"/>
    <col min="15601" max="15601" width="14" style="365" customWidth="1"/>
    <col min="15602" max="15602" width="0" style="365" hidden="1" customWidth="1"/>
    <col min="15603" max="15603" width="20.85546875" style="365" customWidth="1"/>
    <col min="15604" max="15604" width="0" style="365" hidden="1" customWidth="1"/>
    <col min="15605" max="15605" width="13.28515625" style="365" customWidth="1"/>
    <col min="15606" max="15606" width="0" style="365" hidden="1" customWidth="1"/>
    <col min="15607" max="15607" width="15" style="365" customWidth="1"/>
    <col min="15608" max="15608" width="0" style="365" hidden="1" customWidth="1"/>
    <col min="15609" max="15609" width="13.28515625" style="365" customWidth="1"/>
    <col min="15610" max="15610" width="0" style="365" hidden="1" customWidth="1"/>
    <col min="15611" max="15611" width="20.140625" style="365" customWidth="1"/>
    <col min="15612" max="15612" width="14.42578125" style="365" bestFit="1" customWidth="1"/>
    <col min="15613" max="15613" width="14" style="365" bestFit="1" customWidth="1"/>
    <col min="15614" max="15614" width="12.28515625" style="365" bestFit="1" customWidth="1"/>
    <col min="15615" max="15639" width="9.140625" style="365" customWidth="1"/>
    <col min="15640" max="15834" width="8.85546875" style="365"/>
    <col min="15835" max="15835" width="44.5703125" style="365" customWidth="1"/>
    <col min="15836" max="15836" width="14.28515625" style="365" bestFit="1" customWidth="1"/>
    <col min="15837" max="15837" width="1.7109375" style="365" customWidth="1"/>
    <col min="15838" max="15838" width="14.85546875" style="365" customWidth="1"/>
    <col min="15839" max="15839" width="0" style="365" hidden="1" customWidth="1"/>
    <col min="15840" max="15840" width="17.42578125" style="365" customWidth="1"/>
    <col min="15841" max="15841" width="0" style="365" hidden="1" customWidth="1"/>
    <col min="15842" max="15842" width="12.85546875" style="365" customWidth="1"/>
    <col min="15843" max="15843" width="0" style="365" hidden="1" customWidth="1"/>
    <col min="15844" max="15844" width="14.42578125" style="365" customWidth="1"/>
    <col min="15845" max="15845" width="0" style="365" hidden="1" customWidth="1"/>
    <col min="15846" max="15846" width="17.42578125" style="365" customWidth="1"/>
    <col min="15847" max="15847" width="0" style="365" hidden="1" customWidth="1"/>
    <col min="15848" max="15848" width="14" style="365" customWidth="1"/>
    <col min="15849" max="15849" width="14.28515625" style="365" bestFit="1" customWidth="1"/>
    <col min="15850" max="15850" width="0" style="365" hidden="1" customWidth="1"/>
    <col min="15851" max="15851" width="15.5703125" style="365" customWidth="1"/>
    <col min="15852" max="15852" width="44.5703125" style="365" customWidth="1"/>
    <col min="15853" max="15853" width="14.28515625" style="365" bestFit="1" customWidth="1"/>
    <col min="15854" max="15854" width="0" style="365" hidden="1" customWidth="1"/>
    <col min="15855" max="15855" width="18.140625" style="365" customWidth="1"/>
    <col min="15856" max="15856" width="0" style="365" hidden="1" customWidth="1"/>
    <col min="15857" max="15857" width="14" style="365" customWidth="1"/>
    <col min="15858" max="15858" width="0" style="365" hidden="1" customWidth="1"/>
    <col min="15859" max="15859" width="20.85546875" style="365" customWidth="1"/>
    <col min="15860" max="15860" width="0" style="365" hidden="1" customWidth="1"/>
    <col min="15861" max="15861" width="13.28515625" style="365" customWidth="1"/>
    <col min="15862" max="15862" width="0" style="365" hidden="1" customWidth="1"/>
    <col min="15863" max="15863" width="15" style="365" customWidth="1"/>
    <col min="15864" max="15864" width="0" style="365" hidden="1" customWidth="1"/>
    <col min="15865" max="15865" width="13.28515625" style="365" customWidth="1"/>
    <col min="15866" max="15866" width="0" style="365" hidden="1" customWidth="1"/>
    <col min="15867" max="15867" width="20.140625" style="365" customWidth="1"/>
    <col min="15868" max="15868" width="14.42578125" style="365" bestFit="1" customWidth="1"/>
    <col min="15869" max="15869" width="14" style="365" bestFit="1" customWidth="1"/>
    <col min="15870" max="15870" width="12.28515625" style="365" bestFit="1" customWidth="1"/>
    <col min="15871" max="15895" width="9.140625" style="365" customWidth="1"/>
    <col min="15896" max="16090" width="8.85546875" style="365"/>
    <col min="16091" max="16091" width="44.5703125" style="365" customWidth="1"/>
    <col min="16092" max="16092" width="14.28515625" style="365" bestFit="1" customWidth="1"/>
    <col min="16093" max="16093" width="1.7109375" style="365" customWidth="1"/>
    <col min="16094" max="16094" width="14.85546875" style="365" customWidth="1"/>
    <col min="16095" max="16095" width="0" style="365" hidden="1" customWidth="1"/>
    <col min="16096" max="16096" width="17.42578125" style="365" customWidth="1"/>
    <col min="16097" max="16097" width="0" style="365" hidden="1" customWidth="1"/>
    <col min="16098" max="16098" width="12.85546875" style="365" customWidth="1"/>
    <col min="16099" max="16099" width="0" style="365" hidden="1" customWidth="1"/>
    <col min="16100" max="16100" width="14.42578125" style="365" customWidth="1"/>
    <col min="16101" max="16101" width="0" style="365" hidden="1" customWidth="1"/>
    <col min="16102" max="16102" width="17.42578125" style="365" customWidth="1"/>
    <col min="16103" max="16103" width="0" style="365" hidden="1" customWidth="1"/>
    <col min="16104" max="16104" width="14" style="365" customWidth="1"/>
    <col min="16105" max="16105" width="14.28515625" style="365" bestFit="1" customWidth="1"/>
    <col min="16106" max="16106" width="0" style="365" hidden="1" customWidth="1"/>
    <col min="16107" max="16107" width="15.5703125" style="365" customWidth="1"/>
    <col min="16108" max="16108" width="44.5703125" style="365" customWidth="1"/>
    <col min="16109" max="16109" width="14.28515625" style="365" bestFit="1" customWidth="1"/>
    <col min="16110" max="16110" width="0" style="365" hidden="1" customWidth="1"/>
    <col min="16111" max="16111" width="18.140625" style="365" customWidth="1"/>
    <col min="16112" max="16112" width="0" style="365" hidden="1" customWidth="1"/>
    <col min="16113" max="16113" width="14" style="365" customWidth="1"/>
    <col min="16114" max="16114" width="0" style="365" hidden="1" customWidth="1"/>
    <col min="16115" max="16115" width="20.85546875" style="365" customWidth="1"/>
    <col min="16116" max="16116" width="0" style="365" hidden="1" customWidth="1"/>
    <col min="16117" max="16117" width="13.28515625" style="365" customWidth="1"/>
    <col min="16118" max="16118" width="0" style="365" hidden="1" customWidth="1"/>
    <col min="16119" max="16119" width="15" style="365" customWidth="1"/>
    <col min="16120" max="16120" width="0" style="365" hidden="1" customWidth="1"/>
    <col min="16121" max="16121" width="13.28515625" style="365" customWidth="1"/>
    <col min="16122" max="16122" width="0" style="365" hidden="1" customWidth="1"/>
    <col min="16123" max="16123" width="20.140625" style="365" customWidth="1"/>
    <col min="16124" max="16124" width="14.42578125" style="365" bestFit="1" customWidth="1"/>
    <col min="16125" max="16125" width="14" style="365" bestFit="1" customWidth="1"/>
    <col min="16126" max="16126" width="12.28515625" style="365" bestFit="1" customWidth="1"/>
    <col min="16127" max="16151" width="9.140625" style="365" customWidth="1"/>
    <col min="16152" max="16380" width="8.85546875" style="365"/>
    <col min="16381" max="16384" width="8.85546875" style="365" customWidth="1"/>
  </cols>
  <sheetData>
    <row r="1" spans="1:23" s="354" customFormat="1" ht="19.899999999999999" hidden="1" customHeight="1">
      <c r="A1" s="1632"/>
      <c r="B1" s="1632"/>
      <c r="C1" s="1632"/>
      <c r="D1" s="1632"/>
      <c r="E1" s="1632"/>
      <c r="F1" s="1632"/>
      <c r="G1" s="1632"/>
      <c r="H1" s="1632"/>
      <c r="I1" s="1632"/>
      <c r="J1" s="1632"/>
      <c r="K1" s="1632"/>
      <c r="L1" s="1632"/>
      <c r="M1" s="1632"/>
      <c r="N1" s="1632"/>
      <c r="O1" s="353"/>
      <c r="P1" s="353"/>
      <c r="Q1" s="353"/>
      <c r="R1" s="353"/>
      <c r="S1" s="353"/>
      <c r="T1" s="353"/>
      <c r="U1" s="353"/>
      <c r="V1" s="353"/>
      <c r="W1" s="353"/>
    </row>
    <row r="2" spans="1:23" s="354" customFormat="1" ht="88.9" customHeight="1">
      <c r="A2" s="1688" t="s">
        <v>991</v>
      </c>
      <c r="B2" s="1688"/>
      <c r="C2" s="1688"/>
      <c r="D2" s="1688"/>
      <c r="E2" s="1688"/>
      <c r="F2" s="1688"/>
      <c r="G2" s="1688"/>
      <c r="H2" s="1688"/>
      <c r="I2" s="1688"/>
      <c r="J2" s="1688"/>
      <c r="K2" s="1688"/>
      <c r="L2" s="1688"/>
      <c r="M2" s="1688"/>
      <c r="N2" s="1688"/>
      <c r="O2" s="353"/>
      <c r="P2" s="353"/>
      <c r="Q2" s="353"/>
      <c r="R2" s="353"/>
      <c r="S2" s="353"/>
      <c r="T2" s="353"/>
      <c r="U2" s="353"/>
      <c r="V2" s="353"/>
      <c r="W2" s="353"/>
    </row>
    <row r="3" spans="1:23" s="354" customFormat="1" ht="47.45" hidden="1" customHeight="1">
      <c r="A3" s="1438"/>
      <c r="B3" s="1636" t="s">
        <v>774</v>
      </c>
      <c r="C3" s="1636"/>
      <c r="D3" s="1636"/>
      <c r="E3" s="1636"/>
      <c r="F3" s="1636"/>
      <c r="G3" s="1636"/>
      <c r="H3" s="1636"/>
      <c r="I3" s="1636"/>
      <c r="J3" s="1636"/>
      <c r="K3" s="1636"/>
      <c r="L3" s="1636"/>
      <c r="M3" s="1636"/>
      <c r="N3" s="1636"/>
      <c r="O3" s="353"/>
      <c r="P3" s="353"/>
      <c r="Q3" s="353"/>
      <c r="R3" s="353"/>
      <c r="S3" s="353"/>
      <c r="T3" s="353"/>
      <c r="U3" s="353"/>
      <c r="V3" s="353"/>
      <c r="W3" s="353"/>
    </row>
    <row r="4" spans="1:23" s="354" customFormat="1" ht="15.6" hidden="1" customHeight="1">
      <c r="A4" s="1635"/>
      <c r="B4" s="1635"/>
      <c r="C4" s="1635"/>
      <c r="D4" s="1635"/>
      <c r="E4" s="1635"/>
      <c r="F4" s="1635"/>
      <c r="G4" s="1635"/>
      <c r="H4" s="1635"/>
      <c r="I4" s="1635"/>
      <c r="J4" s="1635"/>
      <c r="K4" s="1635"/>
      <c r="L4" s="1635"/>
      <c r="M4" s="1635"/>
      <c r="N4" s="1635"/>
      <c r="O4" s="353"/>
      <c r="P4" s="353"/>
      <c r="Q4" s="353"/>
      <c r="R4" s="353"/>
      <c r="S4" s="353"/>
      <c r="T4" s="353"/>
      <c r="U4" s="353"/>
      <c r="V4" s="353"/>
      <c r="W4" s="353"/>
    </row>
    <row r="5" spans="1:23" s="363" customFormat="1" ht="9.6" customHeight="1" thickBot="1">
      <c r="A5" s="360" t="s">
        <v>58</v>
      </c>
      <c r="B5" s="361"/>
      <c r="C5" s="1052"/>
      <c r="D5" s="362"/>
      <c r="E5" s="362"/>
      <c r="F5" s="362"/>
      <c r="G5" s="362"/>
      <c r="H5" s="362"/>
      <c r="I5" s="362"/>
      <c r="J5" s="362"/>
      <c r="K5" s="362"/>
      <c r="L5" s="362"/>
      <c r="M5" s="362"/>
      <c r="N5" s="362"/>
    </row>
    <row r="6" spans="1:23" s="1409" customFormat="1" ht="112.15" customHeight="1" thickTop="1" thickBot="1">
      <c r="A6" s="1405"/>
      <c r="B6" s="1406"/>
      <c r="C6" s="1407"/>
      <c r="D6" s="1410" t="s">
        <v>718</v>
      </c>
      <c r="E6" s="1413" t="s">
        <v>925</v>
      </c>
      <c r="F6" s="1410" t="s">
        <v>412</v>
      </c>
      <c r="G6" s="1410" t="s">
        <v>781</v>
      </c>
      <c r="H6" s="1410" t="s">
        <v>416</v>
      </c>
      <c r="I6" s="1410" t="s">
        <v>411</v>
      </c>
      <c r="J6" s="1410" t="s">
        <v>866</v>
      </c>
      <c r="K6" s="1410" t="s">
        <v>996</v>
      </c>
      <c r="L6" s="1410" t="s">
        <v>990</v>
      </c>
      <c r="M6" s="1410" t="s">
        <v>154</v>
      </c>
      <c r="N6" s="1410" t="s">
        <v>422</v>
      </c>
      <c r="P6" s="1408"/>
      <c r="Q6" s="1408"/>
      <c r="R6" s="1408"/>
      <c r="S6" s="1408"/>
      <c r="T6" s="1408"/>
      <c r="U6" s="1408"/>
      <c r="V6" s="1408"/>
      <c r="W6" s="1408"/>
    </row>
    <row r="7" spans="1:23" ht="13.9" customHeight="1" thickTop="1">
      <c r="A7" s="356"/>
      <c r="B7" s="356"/>
      <c r="C7" s="1053"/>
      <c r="D7" s="374"/>
      <c r="E7" s="924"/>
      <c r="F7" s="374"/>
      <c r="G7" s="374"/>
      <c r="H7" s="374"/>
      <c r="I7" s="374"/>
      <c r="J7" s="374"/>
      <c r="K7" s="374"/>
      <c r="L7" s="374"/>
      <c r="M7" s="374"/>
      <c r="N7" s="374"/>
    </row>
    <row r="8" spans="1:23" s="1546" customFormat="1" ht="22.9" customHeight="1">
      <c r="A8" s="1545" t="s">
        <v>423</v>
      </c>
      <c r="C8" s="1547"/>
      <c r="D8" s="1549"/>
      <c r="E8" s="1552"/>
      <c r="F8" s="1549"/>
      <c r="G8" s="1549"/>
      <c r="H8" s="1549"/>
      <c r="I8" s="1549"/>
      <c r="J8" s="1549"/>
      <c r="K8" s="1549"/>
      <c r="L8" s="1549"/>
      <c r="M8" s="1549"/>
      <c r="N8" s="1549"/>
      <c r="P8" s="1553"/>
      <c r="Q8" s="1553"/>
      <c r="R8" s="1553"/>
      <c r="S8" s="1553"/>
      <c r="T8" s="1553"/>
      <c r="U8" s="1553"/>
      <c r="V8" s="1553"/>
      <c r="W8" s="1553"/>
    </row>
    <row r="9" spans="1:23" s="1546" customFormat="1" ht="22.9" customHeight="1">
      <c r="A9" s="1546" t="s">
        <v>27</v>
      </c>
      <c r="C9" s="1545" t="s">
        <v>424</v>
      </c>
      <c r="D9" s="1554">
        <v>4794070</v>
      </c>
      <c r="E9" s="1554">
        <v>953596</v>
      </c>
      <c r="F9" s="1554">
        <v>0</v>
      </c>
      <c r="G9" s="1554">
        <v>1679720</v>
      </c>
      <c r="H9" s="1554">
        <v>0</v>
      </c>
      <c r="I9" s="1554">
        <v>399899</v>
      </c>
      <c r="J9" s="1554">
        <v>157538</v>
      </c>
      <c r="K9" s="1554">
        <v>0</v>
      </c>
      <c r="L9" s="1554">
        <v>400000</v>
      </c>
      <c r="M9" s="1554">
        <v>99940</v>
      </c>
      <c r="N9" s="1180">
        <v>109633314</v>
      </c>
      <c r="P9" s="1553"/>
      <c r="Q9" s="1553"/>
      <c r="R9" s="1553"/>
      <c r="S9" s="1553"/>
      <c r="T9" s="1553"/>
      <c r="U9" s="1553"/>
      <c r="V9" s="1553"/>
      <c r="W9" s="1553"/>
    </row>
    <row r="10" spans="1:23" s="1546" customFormat="1" ht="22.9" customHeight="1">
      <c r="A10" s="1546" t="s">
        <v>782</v>
      </c>
      <c r="C10" s="1545"/>
      <c r="D10" s="1554">
        <v>0</v>
      </c>
      <c r="E10" s="1554">
        <v>0</v>
      </c>
      <c r="F10" s="1554">
        <v>0</v>
      </c>
      <c r="G10" s="1554">
        <v>0</v>
      </c>
      <c r="H10" s="1554">
        <v>0</v>
      </c>
      <c r="I10" s="1554">
        <v>0</v>
      </c>
      <c r="J10" s="1554">
        <v>0</v>
      </c>
      <c r="K10" s="1554">
        <v>0</v>
      </c>
      <c r="L10" s="1554">
        <v>0</v>
      </c>
      <c r="M10" s="1554">
        <v>0</v>
      </c>
      <c r="N10" s="1180">
        <v>4457240</v>
      </c>
      <c r="P10" s="1553"/>
      <c r="Q10" s="1553"/>
      <c r="R10" s="1553"/>
      <c r="S10" s="1553"/>
      <c r="T10" s="1553"/>
      <c r="U10" s="1553"/>
      <c r="V10" s="1553"/>
      <c r="W10" s="1553"/>
    </row>
    <row r="11" spans="1:23" s="1546" customFormat="1" ht="22.9" customHeight="1">
      <c r="A11" s="1546" t="s">
        <v>690</v>
      </c>
      <c r="C11" s="1545"/>
      <c r="D11" s="1554">
        <v>0</v>
      </c>
      <c r="E11" s="1554">
        <v>0</v>
      </c>
      <c r="F11" s="1554">
        <v>0</v>
      </c>
      <c r="G11" s="1554">
        <v>0</v>
      </c>
      <c r="H11" s="1554">
        <v>0</v>
      </c>
      <c r="I11" s="1554">
        <v>0</v>
      </c>
      <c r="J11" s="1554">
        <v>0</v>
      </c>
      <c r="K11" s="1554">
        <v>0</v>
      </c>
      <c r="L11" s="1554">
        <v>0</v>
      </c>
      <c r="M11" s="1554">
        <v>0</v>
      </c>
      <c r="N11" s="1180">
        <v>5000000</v>
      </c>
      <c r="P11" s="1553"/>
      <c r="Q11" s="1553"/>
      <c r="R11" s="1553"/>
      <c r="S11" s="1553"/>
      <c r="T11" s="1553"/>
      <c r="U11" s="1553"/>
      <c r="V11" s="1553"/>
      <c r="W11" s="1553"/>
    </row>
    <row r="12" spans="1:23" s="1546" customFormat="1" ht="22.9" customHeight="1">
      <c r="A12" s="1546" t="s">
        <v>830</v>
      </c>
      <c r="C12" s="1545"/>
      <c r="D12" s="1554">
        <v>0</v>
      </c>
      <c r="E12" s="1554">
        <v>0</v>
      </c>
      <c r="F12" s="1554">
        <v>0</v>
      </c>
      <c r="G12" s="1554">
        <v>0</v>
      </c>
      <c r="H12" s="1554">
        <v>0</v>
      </c>
      <c r="I12" s="1554">
        <v>0</v>
      </c>
      <c r="J12" s="1554">
        <v>0</v>
      </c>
      <c r="K12" s="1554">
        <v>0</v>
      </c>
      <c r="L12" s="1554">
        <v>0</v>
      </c>
      <c r="M12" s="1554">
        <v>0</v>
      </c>
      <c r="N12" s="1180">
        <v>4273912</v>
      </c>
      <c r="P12" s="1553"/>
      <c r="Q12" s="1553"/>
      <c r="R12" s="1553"/>
      <c r="S12" s="1553"/>
      <c r="T12" s="1553"/>
      <c r="U12" s="1553"/>
      <c r="V12" s="1553"/>
      <c r="W12" s="1553"/>
    </row>
    <row r="13" spans="1:23" s="1546" customFormat="1" ht="22.9" customHeight="1">
      <c r="A13" s="1546" t="s">
        <v>841</v>
      </c>
      <c r="C13" s="1545"/>
      <c r="D13" s="1554">
        <v>0</v>
      </c>
      <c r="E13" s="1554">
        <v>54588</v>
      </c>
      <c r="F13" s="1554">
        <v>38123</v>
      </c>
      <c r="G13" s="1554">
        <v>0</v>
      </c>
      <c r="H13" s="1554">
        <v>0</v>
      </c>
      <c r="I13" s="1554">
        <v>0</v>
      </c>
      <c r="J13" s="1554">
        <v>0</v>
      </c>
      <c r="K13" s="1554">
        <v>0</v>
      </c>
      <c r="L13" s="1554">
        <v>0</v>
      </c>
      <c r="M13" s="1554">
        <v>0</v>
      </c>
      <c r="N13" s="1180">
        <v>126201465</v>
      </c>
      <c r="P13" s="1553"/>
      <c r="Q13" s="1553"/>
      <c r="R13" s="1553"/>
      <c r="S13" s="1553"/>
      <c r="T13" s="1553"/>
      <c r="U13" s="1553"/>
      <c r="V13" s="1553"/>
      <c r="W13" s="1553"/>
    </row>
    <row r="14" spans="1:23" s="1545" customFormat="1" ht="22.9" customHeight="1">
      <c r="A14" s="1555" t="s">
        <v>688</v>
      </c>
      <c r="C14" s="1545" t="s">
        <v>58</v>
      </c>
      <c r="D14" s="1556">
        <v>4794070</v>
      </c>
      <c r="E14" s="1556">
        <v>1008184</v>
      </c>
      <c r="F14" s="1556">
        <v>38123</v>
      </c>
      <c r="G14" s="1556">
        <v>1679720</v>
      </c>
      <c r="H14" s="1556">
        <v>0</v>
      </c>
      <c r="I14" s="1556">
        <v>399899</v>
      </c>
      <c r="J14" s="1556">
        <v>157538</v>
      </c>
      <c r="K14" s="1556">
        <v>0</v>
      </c>
      <c r="L14" s="1556">
        <v>400000</v>
      </c>
      <c r="M14" s="1556">
        <v>99940</v>
      </c>
      <c r="N14" s="1556">
        <v>249565931</v>
      </c>
      <c r="P14" s="1543"/>
      <c r="Q14" s="1543"/>
      <c r="R14" s="1543"/>
      <c r="S14" s="1543"/>
      <c r="T14" s="1543"/>
      <c r="U14" s="1543"/>
      <c r="V14" s="1543"/>
      <c r="W14" s="1543"/>
    </row>
    <row r="15" spans="1:23" s="1546" customFormat="1" ht="22.9" customHeight="1">
      <c r="C15" s="1545"/>
      <c r="D15" s="1558"/>
      <c r="E15" s="1558"/>
      <c r="F15" s="1558"/>
      <c r="G15" s="1558"/>
      <c r="H15" s="1558"/>
      <c r="I15" s="1558"/>
      <c r="J15" s="1558"/>
      <c r="K15" s="1558"/>
      <c r="L15" s="1558"/>
      <c r="M15" s="1558"/>
      <c r="N15" s="1574"/>
      <c r="P15" s="1553"/>
      <c r="Q15" s="1553"/>
      <c r="R15" s="1553"/>
      <c r="S15" s="1553"/>
      <c r="T15" s="1553"/>
      <c r="U15" s="1553"/>
      <c r="V15" s="1553"/>
      <c r="W15" s="1553"/>
    </row>
    <row r="16" spans="1:23" s="1553" customFormat="1" ht="22.9" customHeight="1">
      <c r="A16" s="1543" t="s">
        <v>426</v>
      </c>
      <c r="C16" s="1543"/>
      <c r="D16" s="1558"/>
      <c r="E16" s="1558"/>
      <c r="F16" s="1558"/>
      <c r="G16" s="1558"/>
      <c r="H16" s="1558"/>
      <c r="I16" s="1558"/>
      <c r="J16" s="1558"/>
      <c r="K16" s="1558"/>
      <c r="L16" s="1558"/>
      <c r="M16" s="1558"/>
      <c r="N16" s="1574"/>
    </row>
    <row r="17" spans="1:14" s="1553" customFormat="1" ht="22.9" customHeight="1">
      <c r="A17" s="1559" t="s">
        <v>947</v>
      </c>
      <c r="B17" s="1560" t="s">
        <v>585</v>
      </c>
      <c r="C17" s="1543"/>
      <c r="D17" s="1554"/>
      <c r="E17" s="1554"/>
      <c r="F17" s="1554"/>
      <c r="G17" s="1554"/>
      <c r="H17" s="1554"/>
      <c r="I17" s="1554"/>
      <c r="J17" s="1554"/>
      <c r="K17" s="1554"/>
      <c r="L17" s="1554"/>
      <c r="M17" s="1554"/>
      <c r="N17" s="1180"/>
    </row>
    <row r="18" spans="1:14" s="1553" customFormat="1" ht="22.9" customHeight="1">
      <c r="A18" s="1553" t="s">
        <v>1017</v>
      </c>
      <c r="B18" s="1561">
        <v>4.1193</v>
      </c>
      <c r="C18" s="1543"/>
      <c r="D18" s="1558">
        <v>0</v>
      </c>
      <c r="E18" s="1554">
        <v>0</v>
      </c>
      <c r="F18" s="1558">
        <v>0</v>
      </c>
      <c r="G18" s="1558">
        <v>0</v>
      </c>
      <c r="H18" s="1558">
        <v>0</v>
      </c>
      <c r="I18" s="1558">
        <v>0</v>
      </c>
      <c r="J18" s="1558">
        <v>0</v>
      </c>
      <c r="K18" s="1558">
        <v>0</v>
      </c>
      <c r="L18" s="1558">
        <v>0</v>
      </c>
      <c r="M18" s="1558">
        <v>0</v>
      </c>
      <c r="N18" s="1180">
        <v>103148871</v>
      </c>
    </row>
    <row r="19" spans="1:14" s="1553" customFormat="1" ht="22.9" customHeight="1">
      <c r="A19" s="1553" t="s">
        <v>1018</v>
      </c>
      <c r="B19" s="1562">
        <v>0.1958</v>
      </c>
      <c r="C19" s="1543"/>
      <c r="D19" s="1558">
        <v>0</v>
      </c>
      <c r="E19" s="1554">
        <v>0</v>
      </c>
      <c r="F19" s="1558">
        <v>0</v>
      </c>
      <c r="G19" s="1558">
        <v>0</v>
      </c>
      <c r="H19" s="1558">
        <v>0</v>
      </c>
      <c r="I19" s="1558">
        <v>0</v>
      </c>
      <c r="J19" s="1558">
        <v>0</v>
      </c>
      <c r="K19" s="1558">
        <v>0</v>
      </c>
      <c r="L19" s="1558">
        <v>0</v>
      </c>
      <c r="M19" s="1558">
        <v>0</v>
      </c>
      <c r="N19" s="1180">
        <v>4851378</v>
      </c>
    </row>
    <row r="20" spans="1:14" s="1553" customFormat="1" ht="22.9" customHeight="1">
      <c r="A20" s="1553" t="s">
        <v>1019</v>
      </c>
      <c r="B20" s="1562">
        <v>1</v>
      </c>
      <c r="C20" s="1543"/>
      <c r="D20" s="1558">
        <v>0</v>
      </c>
      <c r="E20" s="1558">
        <v>0</v>
      </c>
      <c r="F20" s="1558">
        <v>0</v>
      </c>
      <c r="G20" s="1558">
        <v>0</v>
      </c>
      <c r="H20" s="1558">
        <v>0</v>
      </c>
      <c r="I20" s="1558">
        <v>0</v>
      </c>
      <c r="J20" s="1558">
        <v>0</v>
      </c>
      <c r="K20" s="1558">
        <v>0</v>
      </c>
      <c r="L20" s="1558">
        <v>0</v>
      </c>
      <c r="M20" s="1554">
        <v>80098</v>
      </c>
      <c r="N20" s="1180">
        <v>80098</v>
      </c>
    </row>
    <row r="21" spans="1:14" s="1553" customFormat="1" ht="22.9" customHeight="1">
      <c r="A21" s="1553" t="s">
        <v>580</v>
      </c>
      <c r="B21" s="1563"/>
      <c r="C21" s="1543"/>
      <c r="D21" s="1558">
        <v>0</v>
      </c>
      <c r="E21" s="1558">
        <v>0</v>
      </c>
      <c r="F21" s="1558">
        <v>0</v>
      </c>
      <c r="G21" s="1558">
        <v>0</v>
      </c>
      <c r="H21" s="1558">
        <v>0</v>
      </c>
      <c r="I21" s="1558">
        <v>0</v>
      </c>
      <c r="J21" s="1558">
        <v>0</v>
      </c>
      <c r="K21" s="1558">
        <v>0</v>
      </c>
      <c r="L21" s="1558">
        <v>0</v>
      </c>
      <c r="M21" s="1558">
        <v>0</v>
      </c>
      <c r="N21" s="1180">
        <v>6278915</v>
      </c>
    </row>
    <row r="22" spans="1:14" s="1553" customFormat="1" ht="22.9" customHeight="1">
      <c r="A22" s="1553" t="s">
        <v>579</v>
      </c>
      <c r="C22" s="1543"/>
      <c r="D22" s="1558">
        <v>0</v>
      </c>
      <c r="E22" s="1554">
        <v>0</v>
      </c>
      <c r="F22" s="1558">
        <v>0</v>
      </c>
      <c r="G22" s="1558">
        <v>0</v>
      </c>
      <c r="H22" s="1558">
        <v>0</v>
      </c>
      <c r="I22" s="1558">
        <v>0</v>
      </c>
      <c r="J22" s="1558">
        <v>0</v>
      </c>
      <c r="K22" s="1558">
        <v>0</v>
      </c>
      <c r="L22" s="1558">
        <v>0</v>
      </c>
      <c r="M22" s="1558">
        <v>0</v>
      </c>
      <c r="N22" s="1180">
        <v>15025000</v>
      </c>
    </row>
    <row r="23" spans="1:14" s="1553" customFormat="1" ht="22.9" customHeight="1">
      <c r="A23" s="1553" t="s">
        <v>578</v>
      </c>
      <c r="C23" s="1543"/>
      <c r="D23" s="1558">
        <v>0</v>
      </c>
      <c r="E23" s="1554">
        <v>0</v>
      </c>
      <c r="F23" s="1558">
        <v>0</v>
      </c>
      <c r="G23" s="1558">
        <v>0</v>
      </c>
      <c r="H23" s="1558">
        <v>0</v>
      </c>
      <c r="I23" s="1558">
        <v>0</v>
      </c>
      <c r="J23" s="1558">
        <v>0</v>
      </c>
      <c r="K23" s="1558">
        <v>0</v>
      </c>
      <c r="L23" s="1558">
        <v>0</v>
      </c>
      <c r="M23" s="1558">
        <v>0</v>
      </c>
      <c r="N23" s="1180">
        <v>36590101</v>
      </c>
    </row>
    <row r="24" spans="1:14" s="1553" customFormat="1" ht="22.9" customHeight="1">
      <c r="A24" s="1553" t="s">
        <v>435</v>
      </c>
      <c r="C24" s="1543"/>
      <c r="D24" s="1558">
        <v>0</v>
      </c>
      <c r="E24" s="1554">
        <v>0</v>
      </c>
      <c r="F24" s="1558">
        <v>0</v>
      </c>
      <c r="G24" s="1558">
        <v>0</v>
      </c>
      <c r="H24" s="1558">
        <v>0</v>
      </c>
      <c r="I24" s="1558">
        <v>0</v>
      </c>
      <c r="J24" s="1558">
        <v>0</v>
      </c>
      <c r="K24" s="1558">
        <v>0</v>
      </c>
      <c r="L24" s="1558">
        <v>0</v>
      </c>
      <c r="M24" s="1558">
        <v>0</v>
      </c>
      <c r="N24" s="1180">
        <v>17478562</v>
      </c>
    </row>
    <row r="25" spans="1:14" s="1553" customFormat="1" ht="22.9" customHeight="1">
      <c r="A25" s="1553" t="s">
        <v>408</v>
      </c>
      <c r="C25" s="1543"/>
      <c r="D25" s="1554">
        <v>8187921</v>
      </c>
      <c r="E25" s="1554">
        <v>0</v>
      </c>
      <c r="F25" s="1554">
        <v>9371773</v>
      </c>
      <c r="G25" s="1554">
        <v>0</v>
      </c>
      <c r="H25" s="1558">
        <v>0</v>
      </c>
      <c r="I25" s="1558">
        <v>0</v>
      </c>
      <c r="J25" s="1554">
        <v>0</v>
      </c>
      <c r="K25" s="1554">
        <v>776453</v>
      </c>
      <c r="L25" s="1554">
        <v>0</v>
      </c>
      <c r="M25" s="1558">
        <v>0</v>
      </c>
      <c r="N25" s="1180">
        <v>36854206</v>
      </c>
    </row>
    <row r="26" spans="1:14" s="1553" customFormat="1" ht="22.9" customHeight="1">
      <c r="A26" s="1553" t="s">
        <v>114</v>
      </c>
      <c r="C26" s="1543"/>
      <c r="D26" s="1558">
        <v>0</v>
      </c>
      <c r="E26" s="1554">
        <v>16039800</v>
      </c>
      <c r="F26" s="1558">
        <v>0</v>
      </c>
      <c r="G26" s="1558">
        <v>46252</v>
      </c>
      <c r="H26" s="1554">
        <v>1155995</v>
      </c>
      <c r="I26" s="1558">
        <v>0</v>
      </c>
      <c r="J26" s="1558">
        <v>0</v>
      </c>
      <c r="K26" s="1554">
        <v>0</v>
      </c>
      <c r="L26" s="1558">
        <v>0</v>
      </c>
      <c r="M26" s="1558">
        <v>0</v>
      </c>
      <c r="N26" s="1180">
        <v>258978040</v>
      </c>
    </row>
    <row r="27" spans="1:14" s="1553" customFormat="1" ht="22.9" customHeight="1">
      <c r="A27" s="1553" t="s">
        <v>436</v>
      </c>
      <c r="C27" s="1543"/>
      <c r="D27" s="1558">
        <v>0</v>
      </c>
      <c r="E27" s="1554"/>
      <c r="F27" s="1558">
        <v>0</v>
      </c>
      <c r="G27" s="1558">
        <v>255000</v>
      </c>
      <c r="H27" s="1558">
        <v>0</v>
      </c>
      <c r="I27" s="1558">
        <v>0</v>
      </c>
      <c r="J27" s="1558">
        <v>872600</v>
      </c>
      <c r="K27" s="1558">
        <v>0</v>
      </c>
      <c r="L27" s="1558">
        <v>0</v>
      </c>
      <c r="M27" s="1558">
        <v>0</v>
      </c>
      <c r="N27" s="1180">
        <v>7839864</v>
      </c>
    </row>
    <row r="28" spans="1:14" s="1553" customFormat="1" ht="22.9" customHeight="1">
      <c r="A28" s="1553" t="s">
        <v>437</v>
      </c>
      <c r="C28" s="1543"/>
      <c r="D28" s="1554">
        <v>191468</v>
      </c>
      <c r="E28" s="1554">
        <v>172753</v>
      </c>
      <c r="F28" s="1558">
        <v>0</v>
      </c>
      <c r="G28" s="1558">
        <v>19000</v>
      </c>
      <c r="H28" s="1554">
        <v>4560</v>
      </c>
      <c r="I28" s="1554">
        <v>704082</v>
      </c>
      <c r="J28" s="1558">
        <v>0</v>
      </c>
      <c r="K28" s="1558">
        <v>22500</v>
      </c>
      <c r="L28" s="1558">
        <v>0</v>
      </c>
      <c r="M28" s="1554">
        <v>210</v>
      </c>
      <c r="N28" s="1180">
        <v>96164485</v>
      </c>
    </row>
    <row r="29" spans="1:14" s="1543" customFormat="1" ht="22.9" customHeight="1">
      <c r="A29" s="1564" t="s">
        <v>9</v>
      </c>
      <c r="C29" s="1543" t="s">
        <v>58</v>
      </c>
      <c r="D29" s="1565">
        <v>8379389</v>
      </c>
      <c r="E29" s="1566">
        <v>16212553</v>
      </c>
      <c r="F29" s="1565">
        <v>9371773</v>
      </c>
      <c r="G29" s="1565">
        <v>320252</v>
      </c>
      <c r="H29" s="1566">
        <v>1160555</v>
      </c>
      <c r="I29" s="1565">
        <v>704082</v>
      </c>
      <c r="J29" s="1565">
        <v>872600</v>
      </c>
      <c r="K29" s="1565">
        <v>798953</v>
      </c>
      <c r="L29" s="1565">
        <v>0</v>
      </c>
      <c r="M29" s="1565">
        <v>80308</v>
      </c>
      <c r="N29" s="1566">
        <v>583289520</v>
      </c>
    </row>
    <row r="30" spans="1:14" s="1553" customFormat="1" ht="22.9" customHeight="1">
      <c r="C30" s="1543"/>
      <c r="D30" s="1554"/>
      <c r="E30" s="1554"/>
      <c r="F30" s="1554"/>
      <c r="G30" s="1554"/>
      <c r="H30" s="1554"/>
      <c r="I30" s="1554"/>
      <c r="J30" s="1554"/>
      <c r="K30" s="1554"/>
      <c r="L30" s="1554"/>
      <c r="M30" s="1554"/>
      <c r="N30" s="1554"/>
    </row>
    <row r="31" spans="1:14" s="1553" customFormat="1" ht="22.9" customHeight="1">
      <c r="A31" s="1564" t="s">
        <v>941</v>
      </c>
      <c r="C31" s="1543" t="s">
        <v>58</v>
      </c>
      <c r="D31" s="1567">
        <v>4521550</v>
      </c>
      <c r="E31" s="1567">
        <v>0</v>
      </c>
      <c r="F31" s="1567">
        <v>0</v>
      </c>
      <c r="G31" s="1567">
        <v>0</v>
      </c>
      <c r="H31" s="1567">
        <v>0</v>
      </c>
      <c r="I31" s="1567">
        <v>0</v>
      </c>
      <c r="J31" s="1567">
        <v>0</v>
      </c>
      <c r="K31" s="1567">
        <v>0</v>
      </c>
      <c r="L31" s="1567">
        <v>0</v>
      </c>
      <c r="M31" s="1567">
        <v>0</v>
      </c>
      <c r="N31" s="1575">
        <v>38651483</v>
      </c>
    </row>
    <row r="32" spans="1:14" s="1553" customFormat="1" ht="22.9" customHeight="1">
      <c r="C32" s="1543"/>
      <c r="D32" s="1554"/>
      <c r="E32" s="1554"/>
      <c r="F32" s="1554"/>
      <c r="G32" s="1554"/>
      <c r="H32" s="1554"/>
      <c r="I32" s="1554"/>
      <c r="J32" s="1554"/>
      <c r="K32" s="1554"/>
      <c r="L32" s="1554"/>
      <c r="M32" s="1554"/>
      <c r="N32" s="1180"/>
    </row>
    <row r="33" spans="1:23" s="1553" customFormat="1" ht="22.9" customHeight="1">
      <c r="A33" s="1564" t="s">
        <v>949</v>
      </c>
      <c r="C33" s="1543" t="s">
        <v>58</v>
      </c>
      <c r="D33" s="1567">
        <v>0</v>
      </c>
      <c r="E33" s="1567">
        <v>0</v>
      </c>
      <c r="F33" s="1567">
        <v>0</v>
      </c>
      <c r="G33" s="1567">
        <v>0</v>
      </c>
      <c r="H33" s="1567">
        <v>0</v>
      </c>
      <c r="I33" s="1567">
        <v>0</v>
      </c>
      <c r="J33" s="1567">
        <v>0</v>
      </c>
      <c r="K33" s="1567">
        <v>0</v>
      </c>
      <c r="L33" s="1567">
        <v>0</v>
      </c>
      <c r="M33" s="1567">
        <v>0</v>
      </c>
      <c r="N33" s="1575">
        <v>328449</v>
      </c>
    </row>
    <row r="34" spans="1:23" s="1553" customFormat="1" ht="22.9" customHeight="1">
      <c r="C34" s="1543"/>
      <c r="D34" s="1554"/>
      <c r="E34" s="1554"/>
      <c r="F34" s="1554"/>
      <c r="G34" s="1554"/>
      <c r="H34" s="1554"/>
      <c r="I34" s="1554"/>
      <c r="J34" s="1554"/>
      <c r="K34" s="1554"/>
      <c r="L34" s="1554"/>
      <c r="M34" s="1554"/>
      <c r="N34" s="1180"/>
    </row>
    <row r="35" spans="1:23" s="1553" customFormat="1" ht="22.9" customHeight="1">
      <c r="A35" s="1564" t="s">
        <v>940</v>
      </c>
      <c r="C35" s="1543"/>
      <c r="D35" s="1567">
        <v>12900939</v>
      </c>
      <c r="E35" s="1567">
        <v>16212553</v>
      </c>
      <c r="F35" s="1567">
        <v>9371773</v>
      </c>
      <c r="G35" s="1567">
        <v>320252</v>
      </c>
      <c r="H35" s="1567">
        <v>1160555</v>
      </c>
      <c r="I35" s="1567">
        <v>704082</v>
      </c>
      <c r="J35" s="1567">
        <v>872600</v>
      </c>
      <c r="K35" s="1567">
        <v>798953</v>
      </c>
      <c r="L35" s="1567">
        <v>0</v>
      </c>
      <c r="M35" s="1567">
        <v>80308</v>
      </c>
      <c r="N35" s="1567">
        <v>622269452</v>
      </c>
    </row>
    <row r="36" spans="1:23" s="1553" customFormat="1" ht="22.9" customHeight="1">
      <c r="C36" s="1543"/>
      <c r="D36" s="1554"/>
      <c r="E36" s="1554"/>
      <c r="F36" s="1554"/>
      <c r="G36" s="1554"/>
      <c r="H36" s="1554"/>
      <c r="I36" s="1554"/>
      <c r="J36" s="1554"/>
      <c r="K36" s="1554"/>
      <c r="L36" s="1554"/>
      <c r="M36" s="1554"/>
      <c r="N36" s="1180"/>
    </row>
    <row r="37" spans="1:23" s="1543" customFormat="1" ht="22.9" customHeight="1" thickBot="1">
      <c r="A37" s="1542" t="s">
        <v>946</v>
      </c>
      <c r="B37" s="1542"/>
      <c r="C37" s="1543" t="s">
        <v>424</v>
      </c>
      <c r="D37" s="1568">
        <v>17695009</v>
      </c>
      <c r="E37" s="1568">
        <v>17220737</v>
      </c>
      <c r="F37" s="1568">
        <v>9409896</v>
      </c>
      <c r="G37" s="1568">
        <v>1999972</v>
      </c>
      <c r="H37" s="1568">
        <v>1160555</v>
      </c>
      <c r="I37" s="1568">
        <v>1103981</v>
      </c>
      <c r="J37" s="1568">
        <v>1030138</v>
      </c>
      <c r="K37" s="1568">
        <v>798953</v>
      </c>
      <c r="L37" s="1568">
        <v>400000</v>
      </c>
      <c r="M37" s="1568">
        <v>180248</v>
      </c>
      <c r="N37" s="1568">
        <v>871835383</v>
      </c>
    </row>
    <row r="38" spans="1:23" s="1553" customFormat="1" ht="22.9" customHeight="1" thickTop="1">
      <c r="C38" s="1543"/>
      <c r="D38" s="1554"/>
      <c r="E38" s="1554"/>
      <c r="F38" s="1554"/>
      <c r="G38" s="1554"/>
      <c r="H38" s="1554"/>
      <c r="I38" s="1554"/>
      <c r="J38" s="1554"/>
      <c r="K38" s="1554"/>
      <c r="L38" s="1554"/>
      <c r="M38" s="1554"/>
      <c r="N38" s="1180"/>
    </row>
    <row r="39" spans="1:23" s="1553" customFormat="1" ht="22.9" customHeight="1">
      <c r="A39" s="1543"/>
      <c r="C39" s="1543"/>
      <c r="D39" s="1554"/>
      <c r="E39" s="1554"/>
      <c r="F39" s="1554"/>
      <c r="G39" s="1554"/>
      <c r="H39" s="1554"/>
      <c r="I39" s="1554"/>
      <c r="J39" s="1554"/>
      <c r="K39" s="1554"/>
      <c r="L39" s="1554"/>
      <c r="M39" s="1554"/>
      <c r="N39" s="1180"/>
      <c r="P39" s="1543"/>
      <c r="Q39" s="1543"/>
    </row>
    <row r="40" spans="1:23" s="1553" customFormat="1" ht="22.9" customHeight="1">
      <c r="C40" s="1543"/>
      <c r="D40" s="1554"/>
      <c r="E40" s="1554"/>
      <c r="F40" s="1554"/>
      <c r="G40" s="1554"/>
      <c r="H40" s="1554"/>
      <c r="I40" s="1554"/>
      <c r="J40" s="1554"/>
      <c r="K40" s="1554"/>
      <c r="L40" s="1554"/>
      <c r="M40" s="1554"/>
      <c r="N40" s="1180"/>
    </row>
    <row r="41" spans="1:23" s="1553" customFormat="1" ht="22.9" customHeight="1">
      <c r="A41" s="1543" t="s">
        <v>811</v>
      </c>
      <c r="C41" s="1543"/>
      <c r="D41" s="1554"/>
      <c r="E41" s="1554"/>
      <c r="F41" s="1554"/>
      <c r="G41" s="1554"/>
      <c r="H41" s="1554"/>
      <c r="I41" s="1554"/>
      <c r="J41" s="1554"/>
      <c r="K41" s="1554"/>
      <c r="L41" s="1554"/>
      <c r="M41" s="1554"/>
      <c r="N41" s="1180"/>
    </row>
    <row r="42" spans="1:23" s="1553" customFormat="1" ht="22.9" customHeight="1">
      <c r="A42" s="1553" t="s">
        <v>442</v>
      </c>
      <c r="C42" s="1543" t="s">
        <v>424</v>
      </c>
      <c r="D42" s="1554">
        <v>0</v>
      </c>
      <c r="E42" s="1554">
        <v>0</v>
      </c>
      <c r="F42" s="1554">
        <v>0</v>
      </c>
      <c r="G42" s="1554">
        <v>0</v>
      </c>
      <c r="H42" s="1554">
        <v>0</v>
      </c>
      <c r="I42" s="1554">
        <v>0</v>
      </c>
      <c r="J42" s="1554">
        <v>0</v>
      </c>
      <c r="K42" s="1554">
        <v>0</v>
      </c>
      <c r="L42" s="1554">
        <v>0</v>
      </c>
      <c r="M42" s="1554">
        <v>0</v>
      </c>
      <c r="N42" s="1180">
        <v>3601973</v>
      </c>
    </row>
    <row r="43" spans="1:23" s="1546" customFormat="1" ht="22.9" customHeight="1">
      <c r="A43" s="1546" t="s">
        <v>443</v>
      </c>
      <c r="C43" s="1545"/>
      <c r="D43" s="1554">
        <v>0</v>
      </c>
      <c r="E43" s="1554">
        <v>0</v>
      </c>
      <c r="F43" s="1554">
        <v>0</v>
      </c>
      <c r="G43" s="1554">
        <v>0</v>
      </c>
      <c r="H43" s="1554">
        <v>0</v>
      </c>
      <c r="I43" s="1554">
        <v>0</v>
      </c>
      <c r="J43" s="1554">
        <v>0</v>
      </c>
      <c r="K43" s="1554">
        <v>0</v>
      </c>
      <c r="L43" s="1554">
        <v>0</v>
      </c>
      <c r="M43" s="1554">
        <v>0</v>
      </c>
      <c r="N43" s="1180">
        <v>952952</v>
      </c>
      <c r="P43" s="1553"/>
      <c r="Q43" s="1553"/>
      <c r="R43" s="1553"/>
      <c r="S43" s="1553"/>
      <c r="T43" s="1553"/>
      <c r="U43" s="1553"/>
      <c r="V43" s="1553"/>
      <c r="W43" s="1553"/>
    </row>
    <row r="44" spans="1:23" s="1546" customFormat="1" ht="22.9" customHeight="1">
      <c r="A44" s="1546" t="s">
        <v>444</v>
      </c>
      <c r="C44" s="1545"/>
      <c r="D44" s="1554">
        <v>0</v>
      </c>
      <c r="E44" s="1554">
        <v>0</v>
      </c>
      <c r="F44" s="1554">
        <v>0</v>
      </c>
      <c r="G44" s="1554">
        <v>0</v>
      </c>
      <c r="H44" s="1554">
        <v>0</v>
      </c>
      <c r="I44" s="1554">
        <v>0</v>
      </c>
      <c r="J44" s="1554">
        <v>0</v>
      </c>
      <c r="K44" s="1554">
        <v>0</v>
      </c>
      <c r="L44" s="1554">
        <v>0</v>
      </c>
      <c r="M44" s="1554">
        <v>0</v>
      </c>
      <c r="N44" s="1180">
        <v>1460961</v>
      </c>
      <c r="P44" s="1553"/>
      <c r="Q44" s="1553"/>
      <c r="R44" s="1553"/>
      <c r="S44" s="1553"/>
      <c r="T44" s="1553"/>
      <c r="U44" s="1553"/>
      <c r="V44" s="1553"/>
      <c r="W44" s="1553"/>
    </row>
    <row r="45" spans="1:23" s="1546" customFormat="1" ht="22.9" customHeight="1">
      <c r="A45" s="1546" t="s">
        <v>445</v>
      </c>
      <c r="C45" s="1545"/>
      <c r="D45" s="1554">
        <v>0</v>
      </c>
      <c r="E45" s="1554">
        <v>0</v>
      </c>
      <c r="F45" s="1554">
        <v>0</v>
      </c>
      <c r="G45" s="1554">
        <v>0</v>
      </c>
      <c r="H45" s="1554">
        <v>0</v>
      </c>
      <c r="I45" s="1554">
        <v>0</v>
      </c>
      <c r="J45" s="1554">
        <v>0</v>
      </c>
      <c r="K45" s="1554">
        <v>0</v>
      </c>
      <c r="L45" s="1554">
        <v>0</v>
      </c>
      <c r="M45" s="1554">
        <v>0</v>
      </c>
      <c r="N45" s="1180">
        <v>1129353</v>
      </c>
      <c r="P45" s="1553"/>
      <c r="Q45" s="1553"/>
      <c r="R45" s="1553"/>
      <c r="S45" s="1553"/>
      <c r="T45" s="1553"/>
      <c r="U45" s="1553"/>
      <c r="V45" s="1553"/>
      <c r="W45" s="1553"/>
    </row>
    <row r="46" spans="1:23" s="1546" customFormat="1" ht="22.9" customHeight="1">
      <c r="A46" s="1546" t="s">
        <v>446</v>
      </c>
      <c r="C46" s="1545"/>
      <c r="D46" s="1554">
        <v>0</v>
      </c>
      <c r="E46" s="1554">
        <v>0</v>
      </c>
      <c r="F46" s="1554">
        <v>0</v>
      </c>
      <c r="G46" s="1554">
        <v>0</v>
      </c>
      <c r="H46" s="1554">
        <v>0</v>
      </c>
      <c r="I46" s="1554">
        <v>0</v>
      </c>
      <c r="J46" s="1554">
        <v>0</v>
      </c>
      <c r="K46" s="1554">
        <v>0</v>
      </c>
      <c r="L46" s="1554">
        <v>0</v>
      </c>
      <c r="M46" s="1554">
        <v>0</v>
      </c>
      <c r="N46" s="1180">
        <v>4972340</v>
      </c>
      <c r="P46" s="1553"/>
      <c r="Q46" s="1553"/>
      <c r="R46" s="1553"/>
      <c r="S46" s="1553"/>
      <c r="T46" s="1553"/>
      <c r="U46" s="1553"/>
      <c r="V46" s="1553"/>
      <c r="W46" s="1553"/>
    </row>
    <row r="47" spans="1:23" s="1546" customFormat="1" ht="22.9" customHeight="1">
      <c r="A47" s="1546" t="s">
        <v>448</v>
      </c>
      <c r="C47" s="1545"/>
      <c r="D47" s="1554">
        <v>0</v>
      </c>
      <c r="E47" s="1554">
        <v>0</v>
      </c>
      <c r="F47" s="1554">
        <v>0</v>
      </c>
      <c r="G47" s="1554">
        <v>0</v>
      </c>
      <c r="H47" s="1554">
        <v>0</v>
      </c>
      <c r="I47" s="1554">
        <v>0</v>
      </c>
      <c r="J47" s="1554">
        <v>0</v>
      </c>
      <c r="K47" s="1554">
        <v>0</v>
      </c>
      <c r="L47" s="1554">
        <v>0</v>
      </c>
      <c r="M47" s="1554">
        <v>0</v>
      </c>
      <c r="N47" s="1180">
        <v>7843965</v>
      </c>
      <c r="P47" s="1553"/>
      <c r="Q47" s="1553"/>
      <c r="R47" s="1553"/>
      <c r="S47" s="1553"/>
      <c r="T47" s="1553"/>
      <c r="U47" s="1553"/>
      <c r="V47" s="1553"/>
      <c r="W47" s="1553"/>
    </row>
    <row r="48" spans="1:23" s="1546" customFormat="1" ht="22.9" customHeight="1">
      <c r="A48" s="1546" t="s">
        <v>683</v>
      </c>
      <c r="C48" s="1545"/>
      <c r="D48" s="1554">
        <v>0</v>
      </c>
      <c r="E48" s="1554">
        <v>0</v>
      </c>
      <c r="F48" s="1554">
        <v>0</v>
      </c>
      <c r="G48" s="1554">
        <v>0</v>
      </c>
      <c r="H48" s="1554">
        <v>0</v>
      </c>
      <c r="I48" s="1554">
        <v>0</v>
      </c>
      <c r="J48" s="1554">
        <v>0</v>
      </c>
      <c r="K48" s="1554">
        <v>0</v>
      </c>
      <c r="L48" s="1554">
        <v>0</v>
      </c>
      <c r="M48" s="1554">
        <v>0</v>
      </c>
      <c r="N48" s="1180">
        <v>67101906</v>
      </c>
      <c r="P48" s="1553"/>
      <c r="Q48" s="1553"/>
      <c r="R48" s="1553"/>
      <c r="S48" s="1553"/>
      <c r="T48" s="1553"/>
      <c r="U48" s="1553"/>
      <c r="V48" s="1553"/>
      <c r="W48" s="1553"/>
    </row>
    <row r="49" spans="1:23" s="1546" customFormat="1" ht="22.9" customHeight="1">
      <c r="A49" s="1546" t="s">
        <v>450</v>
      </c>
      <c r="C49" s="1545"/>
      <c r="D49" s="1554">
        <v>0</v>
      </c>
      <c r="E49" s="1554">
        <v>0</v>
      </c>
      <c r="F49" s="1554">
        <v>0</v>
      </c>
      <c r="G49" s="1554">
        <v>0</v>
      </c>
      <c r="H49" s="1554">
        <v>0</v>
      </c>
      <c r="I49" s="1554">
        <v>0</v>
      </c>
      <c r="J49" s="1554">
        <v>0</v>
      </c>
      <c r="K49" s="1554">
        <v>0</v>
      </c>
      <c r="L49" s="1554">
        <v>0</v>
      </c>
      <c r="M49" s="1554">
        <v>0</v>
      </c>
      <c r="N49" s="1180">
        <v>41609734</v>
      </c>
      <c r="P49" s="1553"/>
      <c r="Q49" s="1553"/>
      <c r="R49" s="1553"/>
      <c r="S49" s="1553"/>
      <c r="T49" s="1553"/>
      <c r="U49" s="1553"/>
      <c r="V49" s="1553"/>
      <c r="W49" s="1553"/>
    </row>
    <row r="50" spans="1:23" s="1546" customFormat="1" ht="22.9" customHeight="1">
      <c r="A50" s="1546" t="s">
        <v>483</v>
      </c>
      <c r="C50" s="1545"/>
      <c r="D50" s="1554">
        <v>0</v>
      </c>
      <c r="E50" s="1554">
        <v>15261924</v>
      </c>
      <c r="F50" s="1554">
        <v>0</v>
      </c>
      <c r="G50" s="1554">
        <v>0</v>
      </c>
      <c r="H50" s="1554">
        <v>0</v>
      </c>
      <c r="I50" s="1554">
        <v>0</v>
      </c>
      <c r="J50" s="1554">
        <v>0</v>
      </c>
      <c r="K50" s="1554">
        <v>0</v>
      </c>
      <c r="L50" s="1554">
        <v>0</v>
      </c>
      <c r="M50" s="1554">
        <v>0</v>
      </c>
      <c r="N50" s="1180">
        <v>15261924</v>
      </c>
      <c r="P50" s="1553"/>
      <c r="Q50" s="1553"/>
      <c r="R50" s="1553"/>
      <c r="S50" s="1553"/>
      <c r="T50" s="1553"/>
      <c r="U50" s="1553"/>
      <c r="V50" s="1553"/>
      <c r="W50" s="1553"/>
    </row>
    <row r="51" spans="1:23" s="1546" customFormat="1" ht="22.9" customHeight="1">
      <c r="A51" s="1546" t="s">
        <v>454</v>
      </c>
      <c r="C51" s="1545"/>
      <c r="D51" s="1554">
        <v>0</v>
      </c>
      <c r="E51" s="1554">
        <v>0</v>
      </c>
      <c r="F51" s="1554">
        <v>0</v>
      </c>
      <c r="G51" s="1554">
        <v>0</v>
      </c>
      <c r="H51" s="1554">
        <v>0</v>
      </c>
      <c r="I51" s="1554">
        <v>0</v>
      </c>
      <c r="J51" s="1554">
        <v>0</v>
      </c>
      <c r="K51" s="1554">
        <v>0</v>
      </c>
      <c r="L51" s="1554">
        <v>0</v>
      </c>
      <c r="M51" s="1554">
        <v>0</v>
      </c>
      <c r="N51" s="1180">
        <v>51805162</v>
      </c>
      <c r="P51" s="1553"/>
      <c r="Q51" s="1553"/>
      <c r="R51" s="1553"/>
      <c r="S51" s="1553"/>
      <c r="T51" s="1553"/>
      <c r="U51" s="1553"/>
      <c r="V51" s="1553"/>
      <c r="W51" s="1553"/>
    </row>
    <row r="52" spans="1:23" s="1546" customFormat="1" ht="22.9" customHeight="1">
      <c r="A52" s="1546" t="s">
        <v>456</v>
      </c>
      <c r="C52" s="1545"/>
      <c r="D52" s="1554">
        <v>0</v>
      </c>
      <c r="E52" s="1554">
        <v>0</v>
      </c>
      <c r="F52" s="1554">
        <v>0</v>
      </c>
      <c r="G52" s="1554">
        <v>1359256</v>
      </c>
      <c r="H52" s="1554">
        <v>0</v>
      </c>
      <c r="I52" s="1554">
        <v>0</v>
      </c>
      <c r="J52" s="1554">
        <v>893012</v>
      </c>
      <c r="K52" s="1554">
        <v>0</v>
      </c>
      <c r="L52" s="1554">
        <v>0</v>
      </c>
      <c r="M52" s="1554">
        <v>0</v>
      </c>
      <c r="N52" s="1180">
        <v>95601115</v>
      </c>
      <c r="P52" s="1553"/>
      <c r="Q52" s="1553"/>
      <c r="R52" s="1553"/>
      <c r="S52" s="1553"/>
      <c r="T52" s="1553"/>
      <c r="U52" s="1553"/>
      <c r="V52" s="1553"/>
      <c r="W52" s="1553"/>
    </row>
    <row r="53" spans="1:23" s="1546" customFormat="1" ht="22.9" customHeight="1">
      <c r="A53" s="1546" t="s">
        <v>459</v>
      </c>
      <c r="C53" s="1545"/>
      <c r="D53" s="1554">
        <v>0</v>
      </c>
      <c r="E53" s="1554">
        <v>0</v>
      </c>
      <c r="F53" s="1554">
        <v>0</v>
      </c>
      <c r="G53" s="1554">
        <v>0</v>
      </c>
      <c r="H53" s="1554">
        <v>0</v>
      </c>
      <c r="I53" s="1554">
        <v>0</v>
      </c>
      <c r="J53" s="1554">
        <v>0</v>
      </c>
      <c r="K53" s="1554">
        <v>0</v>
      </c>
      <c r="L53" s="1554">
        <v>0</v>
      </c>
      <c r="M53" s="1554">
        <v>0</v>
      </c>
      <c r="N53" s="1180">
        <v>131434963</v>
      </c>
      <c r="P53" s="1553"/>
      <c r="Q53" s="1553"/>
      <c r="R53" s="1553"/>
      <c r="S53" s="1553"/>
      <c r="T53" s="1553"/>
      <c r="U53" s="1553"/>
      <c r="V53" s="1553"/>
      <c r="W53" s="1553"/>
    </row>
    <row r="54" spans="1:23" s="1546" customFormat="1" ht="22.9" customHeight="1">
      <c r="A54" s="1546" t="s">
        <v>570</v>
      </c>
      <c r="C54" s="1545"/>
      <c r="D54" s="1554">
        <v>4593008</v>
      </c>
      <c r="E54" s="1554">
        <v>0</v>
      </c>
      <c r="F54" s="1558">
        <v>9371773</v>
      </c>
      <c r="G54" s="1558">
        <v>0</v>
      </c>
      <c r="H54" s="1554">
        <v>0</v>
      </c>
      <c r="I54" s="1554">
        <v>699107</v>
      </c>
      <c r="J54" s="1558">
        <v>0</v>
      </c>
      <c r="K54" s="1558">
        <v>798953</v>
      </c>
      <c r="L54" s="1558">
        <v>400000</v>
      </c>
      <c r="M54" s="1558">
        <v>0</v>
      </c>
      <c r="N54" s="1180">
        <v>37096250</v>
      </c>
      <c r="P54" s="1553"/>
      <c r="Q54" s="1553"/>
      <c r="R54" s="1553"/>
      <c r="S54" s="1553"/>
      <c r="T54" s="1553"/>
      <c r="U54" s="1553"/>
      <c r="V54" s="1553"/>
      <c r="W54" s="1553"/>
    </row>
    <row r="55" spans="1:23" s="1546" customFormat="1" ht="22.9" customHeight="1">
      <c r="A55" s="1546" t="s">
        <v>476</v>
      </c>
      <c r="C55" s="1545"/>
      <c r="D55" s="1554">
        <v>0</v>
      </c>
      <c r="E55" s="1554">
        <v>0</v>
      </c>
      <c r="F55" s="1554">
        <v>0</v>
      </c>
      <c r="G55" s="1554">
        <v>0</v>
      </c>
      <c r="H55" s="1554">
        <v>1160555</v>
      </c>
      <c r="I55" s="1554">
        <v>0</v>
      </c>
      <c r="J55" s="1554">
        <v>0</v>
      </c>
      <c r="K55" s="1554">
        <v>0</v>
      </c>
      <c r="L55" s="1554">
        <v>0</v>
      </c>
      <c r="M55" s="1554">
        <v>0</v>
      </c>
      <c r="N55" s="1180">
        <v>26715816</v>
      </c>
      <c r="P55" s="1553"/>
      <c r="Q55" s="1553"/>
      <c r="R55" s="1553"/>
      <c r="S55" s="1553"/>
      <c r="T55" s="1553"/>
      <c r="U55" s="1553"/>
      <c r="V55" s="1553"/>
      <c r="W55" s="1553"/>
    </row>
    <row r="56" spans="1:23" s="1553" customFormat="1" ht="22.9" customHeight="1">
      <c r="A56" s="1553" t="s">
        <v>16</v>
      </c>
      <c r="C56" s="1543"/>
      <c r="D56" s="1554">
        <v>0</v>
      </c>
      <c r="E56" s="1554">
        <v>0</v>
      </c>
      <c r="F56" s="1554">
        <v>0</v>
      </c>
      <c r="G56" s="1554">
        <v>0</v>
      </c>
      <c r="H56" s="1554">
        <v>0</v>
      </c>
      <c r="I56" s="1554">
        <v>0</v>
      </c>
      <c r="J56" s="1554">
        <v>0</v>
      </c>
      <c r="K56" s="1554">
        <v>0</v>
      </c>
      <c r="L56" s="1554">
        <v>0</v>
      </c>
      <c r="M56" s="1554">
        <v>0</v>
      </c>
      <c r="N56" s="1180">
        <v>67745707</v>
      </c>
    </row>
    <row r="57" spans="1:23" s="1546" customFormat="1" ht="22.9" customHeight="1">
      <c r="A57" s="1546" t="s">
        <v>460</v>
      </c>
      <c r="C57" s="1545"/>
      <c r="D57" s="1558">
        <v>0</v>
      </c>
      <c r="E57" s="1554">
        <v>0</v>
      </c>
      <c r="F57" s="1554">
        <v>0</v>
      </c>
      <c r="G57" s="1554">
        <v>0</v>
      </c>
      <c r="H57" s="1554">
        <v>0</v>
      </c>
      <c r="I57" s="1554">
        <v>0</v>
      </c>
      <c r="J57" s="1554">
        <v>0</v>
      </c>
      <c r="K57" s="1554">
        <v>0</v>
      </c>
      <c r="L57" s="1554">
        <v>0</v>
      </c>
      <c r="M57" s="1554">
        <v>80308</v>
      </c>
      <c r="N57" s="1180">
        <v>17471055</v>
      </c>
      <c r="P57" s="1553"/>
      <c r="Q57" s="1553"/>
      <c r="R57" s="1553"/>
      <c r="S57" s="1553"/>
      <c r="T57" s="1553"/>
      <c r="U57" s="1553"/>
      <c r="V57" s="1553"/>
      <c r="W57" s="1553"/>
    </row>
    <row r="58" spans="1:23" s="1545" customFormat="1" ht="22.9" customHeight="1">
      <c r="A58" s="1555" t="s">
        <v>943</v>
      </c>
      <c r="C58" s="1545" t="s">
        <v>58</v>
      </c>
      <c r="D58" s="1565">
        <v>4593008</v>
      </c>
      <c r="E58" s="1565">
        <v>15261924</v>
      </c>
      <c r="F58" s="1565">
        <v>9371773</v>
      </c>
      <c r="G58" s="1565">
        <v>1359256</v>
      </c>
      <c r="H58" s="1565">
        <v>1160555</v>
      </c>
      <c r="I58" s="1565">
        <v>699107</v>
      </c>
      <c r="J58" s="1565">
        <v>893012</v>
      </c>
      <c r="K58" s="1565">
        <v>798953</v>
      </c>
      <c r="L58" s="1565">
        <v>400000</v>
      </c>
      <c r="M58" s="1565">
        <v>80308</v>
      </c>
      <c r="N58" s="1565">
        <v>571805176</v>
      </c>
      <c r="P58" s="1543"/>
      <c r="Q58" s="1543"/>
      <c r="R58" s="1543"/>
      <c r="S58" s="1543"/>
      <c r="T58" s="1543"/>
      <c r="U58" s="1543"/>
      <c r="V58" s="1543"/>
      <c r="W58" s="1543"/>
    </row>
    <row r="59" spans="1:23" s="1546" customFormat="1" ht="22.9" customHeight="1">
      <c r="C59" s="1545"/>
      <c r="D59" s="1554"/>
      <c r="E59" s="1554"/>
      <c r="F59" s="1554"/>
      <c r="G59" s="1554"/>
      <c r="H59" s="1554"/>
      <c r="I59" s="1554"/>
      <c r="J59" s="1554"/>
      <c r="K59" s="1554"/>
      <c r="L59" s="1554"/>
      <c r="M59" s="1554"/>
      <c r="N59" s="1180"/>
      <c r="P59" s="1553"/>
      <c r="Q59" s="1553"/>
      <c r="R59" s="1553"/>
      <c r="S59" s="1553"/>
      <c r="T59" s="1553"/>
      <c r="U59" s="1553"/>
      <c r="V59" s="1553"/>
      <c r="W59" s="1553"/>
    </row>
    <row r="60" spans="1:23" s="1546" customFormat="1" ht="22.9" customHeight="1">
      <c r="A60" s="1545" t="s">
        <v>462</v>
      </c>
      <c r="C60" s="1545"/>
      <c r="D60" s="1554"/>
      <c r="E60" s="1554"/>
      <c r="F60" s="1554"/>
      <c r="G60" s="1554"/>
      <c r="H60" s="1554"/>
      <c r="I60" s="1554"/>
      <c r="J60" s="1554"/>
      <c r="K60" s="1554"/>
      <c r="L60" s="1554"/>
      <c r="M60" s="1554"/>
      <c r="N60" s="1180"/>
      <c r="P60" s="1553"/>
      <c r="Q60" s="1553"/>
      <c r="R60" s="1553"/>
      <c r="S60" s="1553"/>
      <c r="T60" s="1553"/>
      <c r="U60" s="1553"/>
      <c r="V60" s="1553"/>
      <c r="W60" s="1553"/>
    </row>
    <row r="61" spans="1:23" s="1546" customFormat="1" ht="22.9" customHeight="1">
      <c r="A61" s="1546" t="s">
        <v>463</v>
      </c>
      <c r="C61" s="1545"/>
      <c r="D61" s="1554">
        <v>486234</v>
      </c>
      <c r="E61" s="1571">
        <v>1120921</v>
      </c>
      <c r="F61" s="1554">
        <v>0</v>
      </c>
      <c r="G61" s="1554">
        <v>30229</v>
      </c>
      <c r="H61" s="1554">
        <v>0</v>
      </c>
      <c r="I61" s="1554">
        <v>0</v>
      </c>
      <c r="J61" s="1554">
        <v>0</v>
      </c>
      <c r="K61" s="1554">
        <v>0</v>
      </c>
      <c r="L61" s="1554">
        <v>0</v>
      </c>
      <c r="M61" s="1554">
        <v>0</v>
      </c>
      <c r="N61" s="1180">
        <v>37974568</v>
      </c>
      <c r="P61" s="1553"/>
      <c r="Q61" s="1553"/>
      <c r="R61" s="1553"/>
      <c r="S61" s="1553"/>
      <c r="T61" s="1553"/>
      <c r="U61" s="1553"/>
      <c r="V61" s="1553"/>
      <c r="W61" s="1553"/>
    </row>
    <row r="62" spans="1:23" s="1546" customFormat="1" ht="22.9" customHeight="1">
      <c r="A62" s="1546" t="s">
        <v>464</v>
      </c>
      <c r="C62" s="1545"/>
      <c r="D62" s="1554">
        <v>0</v>
      </c>
      <c r="E62" s="1554">
        <v>0</v>
      </c>
      <c r="F62" s="1554">
        <v>0</v>
      </c>
      <c r="G62" s="1554">
        <v>0</v>
      </c>
      <c r="H62" s="1554">
        <v>0</v>
      </c>
      <c r="I62" s="1554">
        <v>0</v>
      </c>
      <c r="J62" s="1554">
        <v>0</v>
      </c>
      <c r="K62" s="1554">
        <v>0</v>
      </c>
      <c r="L62" s="1554">
        <v>0</v>
      </c>
      <c r="M62" s="1554">
        <v>0</v>
      </c>
      <c r="N62" s="1180">
        <v>1213199</v>
      </c>
      <c r="P62" s="1553"/>
      <c r="Q62" s="1553"/>
      <c r="R62" s="1553"/>
      <c r="S62" s="1553"/>
      <c r="T62" s="1553"/>
      <c r="U62" s="1553"/>
      <c r="V62" s="1553"/>
      <c r="W62" s="1553"/>
    </row>
    <row r="63" spans="1:23" s="1546" customFormat="1" ht="22.9" hidden="1" customHeight="1">
      <c r="A63" s="1546" t="s">
        <v>906</v>
      </c>
      <c r="C63" s="1545"/>
      <c r="D63" s="1554">
        <v>0</v>
      </c>
      <c r="E63" s="1554">
        <v>0</v>
      </c>
      <c r="F63" s="1554">
        <v>0</v>
      </c>
      <c r="G63" s="1554">
        <v>0</v>
      </c>
      <c r="H63" s="1554">
        <v>0</v>
      </c>
      <c r="I63" s="1554">
        <v>0</v>
      </c>
      <c r="J63" s="1554">
        <v>0</v>
      </c>
      <c r="K63" s="1554">
        <v>0</v>
      </c>
      <c r="L63" s="1554">
        <v>0</v>
      </c>
      <c r="M63" s="1554">
        <v>0</v>
      </c>
      <c r="N63" s="1180">
        <v>0</v>
      </c>
      <c r="P63" s="1553"/>
      <c r="Q63" s="1553"/>
      <c r="R63" s="1553"/>
      <c r="S63" s="1553"/>
      <c r="T63" s="1553"/>
      <c r="U63" s="1553"/>
      <c r="V63" s="1553"/>
      <c r="W63" s="1553"/>
    </row>
    <row r="64" spans="1:23" s="1546" customFormat="1" ht="22.9" customHeight="1">
      <c r="A64" s="1546" t="s">
        <v>465</v>
      </c>
      <c r="C64" s="1545"/>
      <c r="D64" s="1554">
        <v>12615460</v>
      </c>
      <c r="E64" s="1558">
        <v>500000</v>
      </c>
      <c r="F64" s="1554">
        <v>0</v>
      </c>
      <c r="G64" s="1554">
        <v>0</v>
      </c>
      <c r="H64" s="1558">
        <v>0</v>
      </c>
      <c r="I64" s="1554">
        <v>0</v>
      </c>
      <c r="J64" s="1554">
        <v>0</v>
      </c>
      <c r="K64" s="1554">
        <v>0</v>
      </c>
      <c r="L64" s="1554">
        <v>0</v>
      </c>
      <c r="M64" s="1554">
        <v>0</v>
      </c>
      <c r="N64" s="1180">
        <v>33228596</v>
      </c>
      <c r="P64" s="1553"/>
      <c r="Q64" s="1553"/>
      <c r="R64" s="1553"/>
      <c r="S64" s="1553"/>
      <c r="T64" s="1553"/>
      <c r="U64" s="1553"/>
      <c r="V64" s="1553"/>
      <c r="W64" s="1553"/>
    </row>
    <row r="65" spans="1:23" s="1545" customFormat="1" ht="22.9" customHeight="1">
      <c r="A65" s="1555" t="s">
        <v>20</v>
      </c>
      <c r="C65" s="1545" t="s">
        <v>58</v>
      </c>
      <c r="D65" s="1556">
        <v>13101694</v>
      </c>
      <c r="E65" s="1556">
        <v>1620921</v>
      </c>
      <c r="F65" s="1556">
        <v>0</v>
      </c>
      <c r="G65" s="1556">
        <v>30229</v>
      </c>
      <c r="H65" s="1556">
        <v>0</v>
      </c>
      <c r="I65" s="1556">
        <v>0</v>
      </c>
      <c r="J65" s="1556">
        <v>0</v>
      </c>
      <c r="K65" s="1556">
        <v>0</v>
      </c>
      <c r="L65" s="1556">
        <v>0</v>
      </c>
      <c r="M65" s="1556">
        <v>0</v>
      </c>
      <c r="N65" s="1556">
        <v>72416363</v>
      </c>
      <c r="P65" s="1543"/>
      <c r="Q65" s="1543"/>
      <c r="R65" s="1543"/>
      <c r="S65" s="1543"/>
      <c r="T65" s="1543"/>
      <c r="U65" s="1543"/>
      <c r="V65" s="1543"/>
      <c r="W65" s="1543"/>
    </row>
    <row r="66" spans="1:23" s="1546" customFormat="1" ht="22.9" customHeight="1">
      <c r="C66" s="1545"/>
      <c r="D66" s="1557"/>
      <c r="E66" s="1557"/>
      <c r="F66" s="1557"/>
      <c r="G66" s="1557"/>
      <c r="H66" s="1557"/>
      <c r="I66" s="1557"/>
      <c r="J66" s="1557"/>
      <c r="K66" s="1557"/>
      <c r="L66" s="1557"/>
      <c r="M66" s="1557"/>
      <c r="N66" s="1557"/>
      <c r="P66" s="1553"/>
      <c r="Q66" s="1553"/>
      <c r="R66" s="1553"/>
      <c r="S66" s="1553"/>
      <c r="T66" s="1553"/>
      <c r="U66" s="1553"/>
      <c r="V66" s="1553"/>
      <c r="W66" s="1553"/>
    </row>
    <row r="67" spans="1:23" s="1545" customFormat="1" ht="22.9" customHeight="1">
      <c r="A67" s="1555" t="s">
        <v>944</v>
      </c>
      <c r="C67" s="1545" t="s">
        <v>58</v>
      </c>
      <c r="D67" s="1572">
        <v>17694702</v>
      </c>
      <c r="E67" s="1572">
        <v>16882845</v>
      </c>
      <c r="F67" s="1572">
        <v>9371773</v>
      </c>
      <c r="G67" s="1572">
        <v>1389485</v>
      </c>
      <c r="H67" s="1572">
        <v>1160555</v>
      </c>
      <c r="I67" s="1572">
        <v>699107</v>
      </c>
      <c r="J67" s="1572">
        <v>893012</v>
      </c>
      <c r="K67" s="1572">
        <v>798953</v>
      </c>
      <c r="L67" s="1572">
        <v>400000</v>
      </c>
      <c r="M67" s="1572">
        <v>80308</v>
      </c>
      <c r="N67" s="1572">
        <v>644221539</v>
      </c>
      <c r="P67" s="1543"/>
      <c r="Q67" s="1543"/>
      <c r="R67" s="1543"/>
      <c r="S67" s="1543"/>
      <c r="T67" s="1543"/>
      <c r="U67" s="1543"/>
      <c r="V67" s="1543"/>
      <c r="W67" s="1543"/>
    </row>
    <row r="68" spans="1:23" s="1546" customFormat="1" ht="22.9" customHeight="1">
      <c r="C68" s="1545"/>
      <c r="D68" s="1554"/>
      <c r="E68" s="1554"/>
      <c r="F68" s="1554"/>
      <c r="G68" s="1554"/>
      <c r="H68" s="1554"/>
      <c r="I68" s="1554"/>
      <c r="J68" s="1554"/>
      <c r="K68" s="1554"/>
      <c r="L68" s="1554"/>
      <c r="M68" s="1554"/>
      <c r="N68" s="1180"/>
      <c r="P68" s="1553"/>
      <c r="Q68" s="1553"/>
      <c r="R68" s="1553"/>
      <c r="S68" s="1553"/>
      <c r="T68" s="1553"/>
      <c r="U68" s="1553"/>
      <c r="V68" s="1553"/>
      <c r="W68" s="1553"/>
    </row>
    <row r="69" spans="1:23" s="1546" customFormat="1" ht="22.9" customHeight="1">
      <c r="A69" s="1555" t="s">
        <v>950</v>
      </c>
      <c r="C69" s="1545"/>
      <c r="D69" s="1567">
        <v>0</v>
      </c>
      <c r="E69" s="1567">
        <v>0</v>
      </c>
      <c r="F69" s="1567">
        <v>0</v>
      </c>
      <c r="G69" s="1567">
        <v>0</v>
      </c>
      <c r="H69" s="1567">
        <v>0</v>
      </c>
      <c r="I69" s="1567">
        <v>0</v>
      </c>
      <c r="J69" s="1567">
        <v>0</v>
      </c>
      <c r="K69" s="1567">
        <v>0</v>
      </c>
      <c r="L69" s="1567">
        <v>0</v>
      </c>
      <c r="M69" s="1567">
        <v>0</v>
      </c>
      <c r="N69" s="1575">
        <v>328449</v>
      </c>
      <c r="P69" s="1553"/>
      <c r="Q69" s="1553"/>
      <c r="R69" s="1553"/>
      <c r="S69" s="1553"/>
      <c r="T69" s="1553"/>
      <c r="U69" s="1553"/>
      <c r="V69" s="1553"/>
      <c r="W69" s="1553"/>
    </row>
    <row r="70" spans="1:23" s="1546" customFormat="1" ht="22.9" customHeight="1">
      <c r="C70" s="1545"/>
      <c r="D70" s="1554"/>
      <c r="E70" s="1554"/>
      <c r="F70" s="1554"/>
      <c r="G70" s="1554"/>
      <c r="H70" s="1554"/>
      <c r="I70" s="1554"/>
      <c r="J70" s="1554"/>
      <c r="K70" s="1554"/>
      <c r="L70" s="1554"/>
      <c r="M70" s="1554"/>
      <c r="N70" s="1180"/>
      <c r="P70" s="1553"/>
      <c r="Q70" s="1553"/>
      <c r="R70" s="1553"/>
      <c r="S70" s="1553"/>
      <c r="T70" s="1553"/>
      <c r="U70" s="1553"/>
      <c r="V70" s="1553"/>
      <c r="W70" s="1553"/>
    </row>
    <row r="71" spans="1:23" s="1546" customFormat="1" ht="22.9" customHeight="1">
      <c r="A71" s="1545" t="s">
        <v>466</v>
      </c>
      <c r="C71" s="1545"/>
      <c r="D71" s="1554"/>
      <c r="E71" s="1554"/>
      <c r="F71" s="1554"/>
      <c r="G71" s="1554"/>
      <c r="H71" s="1554"/>
      <c r="I71" s="1554"/>
      <c r="J71" s="1554"/>
      <c r="K71" s="1554"/>
      <c r="L71" s="1554"/>
      <c r="M71" s="1554"/>
      <c r="N71" s="1180"/>
      <c r="P71" s="1553"/>
      <c r="Q71" s="1553"/>
      <c r="R71" s="1553"/>
      <c r="S71" s="1553"/>
      <c r="T71" s="1553"/>
      <c r="U71" s="1553"/>
      <c r="V71" s="1553"/>
      <c r="W71" s="1553"/>
    </row>
    <row r="72" spans="1:23" s="1546" customFormat="1" ht="22.9" customHeight="1">
      <c r="A72" s="1546" t="s">
        <v>36</v>
      </c>
      <c r="C72" s="1545"/>
      <c r="D72" s="1554">
        <v>307</v>
      </c>
      <c r="E72" s="1554">
        <v>283304</v>
      </c>
      <c r="F72" s="1554">
        <v>0</v>
      </c>
      <c r="G72" s="1554">
        <v>610487</v>
      </c>
      <c r="H72" s="1554">
        <v>0</v>
      </c>
      <c r="I72" s="1554">
        <v>404874</v>
      </c>
      <c r="J72" s="1554">
        <v>137126</v>
      </c>
      <c r="K72" s="1554">
        <v>0</v>
      </c>
      <c r="L72" s="1554">
        <v>0</v>
      </c>
      <c r="M72" s="1554">
        <v>99940</v>
      </c>
      <c r="N72" s="1180">
        <v>99563821</v>
      </c>
      <c r="P72" s="1553"/>
      <c r="Q72" s="1553"/>
      <c r="R72" s="1553"/>
      <c r="S72" s="1553"/>
      <c r="T72" s="1553"/>
      <c r="U72" s="1553"/>
      <c r="V72" s="1553"/>
      <c r="W72" s="1553"/>
    </row>
    <row r="73" spans="1:23" s="1546" customFormat="1" ht="22.9" customHeight="1">
      <c r="A73" s="1546" t="s">
        <v>782</v>
      </c>
      <c r="C73" s="1545"/>
      <c r="D73" s="1554">
        <v>0</v>
      </c>
      <c r="E73" s="1554">
        <v>0</v>
      </c>
      <c r="F73" s="1554">
        <v>0</v>
      </c>
      <c r="G73" s="1554">
        <v>0</v>
      </c>
      <c r="H73" s="1554">
        <v>0</v>
      </c>
      <c r="I73" s="1554">
        <v>0</v>
      </c>
      <c r="J73" s="1554">
        <v>0</v>
      </c>
      <c r="K73" s="1554">
        <v>0</v>
      </c>
      <c r="L73" s="1554">
        <v>0</v>
      </c>
      <c r="M73" s="1554">
        <v>0</v>
      </c>
      <c r="N73" s="1180">
        <v>4457240</v>
      </c>
      <c r="P73" s="1553"/>
      <c r="Q73" s="1553"/>
      <c r="R73" s="1553"/>
      <c r="S73" s="1553"/>
      <c r="T73" s="1553"/>
      <c r="U73" s="1553"/>
      <c r="V73" s="1553"/>
      <c r="W73" s="1553"/>
    </row>
    <row r="74" spans="1:23" s="1546" customFormat="1" ht="22.9" customHeight="1">
      <c r="A74" s="1546" t="s">
        <v>830</v>
      </c>
      <c r="C74" s="1545"/>
      <c r="D74" s="1554">
        <v>0</v>
      </c>
      <c r="E74" s="1554">
        <v>0</v>
      </c>
      <c r="F74" s="1554">
        <v>0</v>
      </c>
      <c r="G74" s="1554">
        <v>0</v>
      </c>
      <c r="H74" s="1554">
        <v>0</v>
      </c>
      <c r="I74" s="1554">
        <v>0</v>
      </c>
      <c r="J74" s="1554">
        <v>0</v>
      </c>
      <c r="K74" s="1554">
        <v>0</v>
      </c>
      <c r="L74" s="1554">
        <v>0</v>
      </c>
      <c r="M74" s="1554">
        <v>0</v>
      </c>
      <c r="N74" s="1180">
        <v>0</v>
      </c>
      <c r="P74" s="1553"/>
      <c r="Q74" s="1553"/>
      <c r="R74" s="1553"/>
      <c r="S74" s="1553"/>
      <c r="T74" s="1553"/>
      <c r="U74" s="1553"/>
      <c r="V74" s="1553"/>
      <c r="W74" s="1553"/>
    </row>
    <row r="75" spans="1:23" s="1546" customFormat="1" ht="22.9" customHeight="1">
      <c r="A75" s="1546" t="s">
        <v>690</v>
      </c>
      <c r="C75" s="1545"/>
      <c r="D75" s="1554">
        <v>0</v>
      </c>
      <c r="E75" s="1554">
        <v>0</v>
      </c>
      <c r="F75" s="1554">
        <v>0</v>
      </c>
      <c r="G75" s="1554">
        <v>0</v>
      </c>
      <c r="H75" s="1554">
        <v>0</v>
      </c>
      <c r="I75" s="1554">
        <v>0</v>
      </c>
      <c r="J75" s="1554">
        <v>0</v>
      </c>
      <c r="K75" s="1554">
        <v>0</v>
      </c>
      <c r="L75" s="1554">
        <v>0</v>
      </c>
      <c r="M75" s="1554">
        <v>0</v>
      </c>
      <c r="N75" s="1180">
        <v>6000000</v>
      </c>
      <c r="P75" s="1553"/>
      <c r="Q75" s="1553"/>
      <c r="R75" s="1553"/>
      <c r="S75" s="1553"/>
      <c r="T75" s="1553"/>
      <c r="U75" s="1553"/>
      <c r="V75" s="1553"/>
      <c r="W75" s="1553"/>
    </row>
    <row r="76" spans="1:23" s="1546" customFormat="1" ht="22.9" customHeight="1">
      <c r="A76" s="1546" t="s">
        <v>841</v>
      </c>
      <c r="C76" s="1545"/>
      <c r="D76" s="1573">
        <v>0</v>
      </c>
      <c r="E76" s="1573">
        <v>54588</v>
      </c>
      <c r="F76" s="1554">
        <v>38123</v>
      </c>
      <c r="G76" s="1554">
        <v>0</v>
      </c>
      <c r="H76" s="1573">
        <v>0</v>
      </c>
      <c r="I76" s="1554">
        <v>0</v>
      </c>
      <c r="J76" s="1554">
        <v>0</v>
      </c>
      <c r="K76" s="1554">
        <v>0</v>
      </c>
      <c r="L76" s="1554">
        <v>0</v>
      </c>
      <c r="M76" s="1554">
        <v>0</v>
      </c>
      <c r="N76" s="1180">
        <v>117264334</v>
      </c>
      <c r="P76" s="1553"/>
      <c r="Q76" s="1553"/>
      <c r="R76" s="1553"/>
      <c r="S76" s="1553"/>
      <c r="T76" s="1553"/>
      <c r="U76" s="1553"/>
      <c r="V76" s="1553"/>
      <c r="W76" s="1553"/>
    </row>
    <row r="77" spans="1:23" s="1545" customFormat="1" ht="22.9" customHeight="1">
      <c r="A77" s="1555" t="s">
        <v>945</v>
      </c>
      <c r="C77" s="1545" t="s">
        <v>58</v>
      </c>
      <c r="D77" s="1565">
        <v>307</v>
      </c>
      <c r="E77" s="1565">
        <v>337892</v>
      </c>
      <c r="F77" s="1565">
        <v>38123</v>
      </c>
      <c r="G77" s="1565">
        <v>610487</v>
      </c>
      <c r="H77" s="1565">
        <v>0</v>
      </c>
      <c r="I77" s="1565">
        <v>404874</v>
      </c>
      <c r="J77" s="1565">
        <v>137126</v>
      </c>
      <c r="K77" s="1565">
        <v>0</v>
      </c>
      <c r="L77" s="1565">
        <v>0</v>
      </c>
      <c r="M77" s="1565">
        <v>99940</v>
      </c>
      <c r="N77" s="1566">
        <v>227285395</v>
      </c>
      <c r="P77" s="1543"/>
      <c r="Q77" s="1543"/>
      <c r="R77" s="1543"/>
      <c r="S77" s="1543"/>
      <c r="T77" s="1543"/>
      <c r="U77" s="1543"/>
      <c r="V77" s="1543"/>
      <c r="W77" s="1543"/>
    </row>
    <row r="78" spans="1:23" s="1546" customFormat="1" ht="22.9" customHeight="1">
      <c r="C78" s="1545"/>
      <c r="D78" s="1180"/>
      <c r="E78" s="1180"/>
      <c r="F78" s="1180"/>
      <c r="G78" s="1180"/>
      <c r="H78" s="1180"/>
      <c r="I78" s="1180"/>
      <c r="J78" s="1180"/>
      <c r="K78" s="1180"/>
      <c r="L78" s="1180"/>
      <c r="M78" s="1180"/>
      <c r="N78" s="1574"/>
      <c r="P78" s="1553"/>
      <c r="Q78" s="1553"/>
      <c r="R78" s="1553"/>
      <c r="S78" s="1553"/>
      <c r="T78" s="1553"/>
      <c r="U78" s="1553"/>
      <c r="V78" s="1553"/>
      <c r="W78" s="1553"/>
    </row>
    <row r="79" spans="1:23" s="1543" customFormat="1" ht="22.9" customHeight="1" thickBot="1">
      <c r="A79" s="1542" t="s">
        <v>942</v>
      </c>
      <c r="B79" s="1542"/>
      <c r="C79" s="1543" t="s">
        <v>424</v>
      </c>
      <c r="D79" s="1544">
        <v>17695009</v>
      </c>
      <c r="E79" s="1544">
        <v>17220737</v>
      </c>
      <c r="F79" s="1544">
        <v>9409896</v>
      </c>
      <c r="G79" s="1544">
        <v>1999972</v>
      </c>
      <c r="H79" s="1544">
        <v>1160555</v>
      </c>
      <c r="I79" s="1544">
        <v>1103981</v>
      </c>
      <c r="J79" s="1544">
        <v>1030138</v>
      </c>
      <c r="K79" s="1544">
        <v>798953</v>
      </c>
      <c r="L79" s="1544">
        <v>400000</v>
      </c>
      <c r="M79" s="1544">
        <v>180248</v>
      </c>
      <c r="N79" s="1544">
        <v>871835383</v>
      </c>
    </row>
    <row r="80" spans="1:23" s="417" customFormat="1" ht="21.95" customHeight="1" thickTop="1">
      <c r="A80" s="476"/>
      <c r="B80" s="449"/>
      <c r="C80" s="1305"/>
      <c r="D80" s="1232" t="s">
        <v>58</v>
      </c>
      <c r="E80" s="483"/>
      <c r="F80" s="1232"/>
      <c r="G80" s="1232" t="s">
        <v>58</v>
      </c>
      <c r="H80" s="483"/>
      <c r="I80" s="1232"/>
      <c r="J80" s="1232"/>
      <c r="K80" s="1232"/>
      <c r="L80" s="1232"/>
      <c r="M80" s="1232" t="s">
        <v>58</v>
      </c>
      <c r="N80" s="483" t="s">
        <v>58</v>
      </c>
      <c r="O80" s="476"/>
      <c r="P80" s="476"/>
      <c r="Q80" s="454"/>
      <c r="R80" s="454"/>
      <c r="S80" s="454"/>
      <c r="T80" s="454"/>
      <c r="U80" s="454"/>
      <c r="V80" s="454"/>
      <c r="W80" s="454"/>
    </row>
    <row r="81" spans="1:15" ht="21" customHeight="1">
      <c r="A81" s="356"/>
      <c r="B81" s="356"/>
      <c r="C81" s="1049"/>
      <c r="D81" s="375"/>
      <c r="E81" s="375"/>
      <c r="F81" s="375"/>
      <c r="G81" s="375"/>
      <c r="H81" s="375"/>
      <c r="I81" s="375"/>
      <c r="J81" s="375"/>
      <c r="K81" s="375"/>
      <c r="L81" s="375"/>
      <c r="M81" s="375"/>
      <c r="N81" s="375" t="s">
        <v>58</v>
      </c>
      <c r="O81" s="454"/>
    </row>
    <row r="82" spans="1:15" ht="9.9499999999999993" customHeight="1">
      <c r="A82" s="356"/>
      <c r="B82" s="356"/>
      <c r="C82" s="1049"/>
      <c r="D82" s="375"/>
      <c r="E82" s="375"/>
      <c r="F82" s="375"/>
      <c r="G82" s="375"/>
      <c r="H82" s="375"/>
      <c r="I82" s="375"/>
      <c r="J82" s="375"/>
      <c r="K82" s="375"/>
      <c r="L82" s="375"/>
      <c r="M82" s="375"/>
      <c r="N82" s="375"/>
      <c r="O82" s="454"/>
    </row>
    <row r="83" spans="1:15">
      <c r="E83" s="922"/>
    </row>
    <row r="84" spans="1:15">
      <c r="E84" s="922"/>
    </row>
  </sheetData>
  <mergeCells count="4">
    <mergeCell ref="A1:N1"/>
    <mergeCell ref="A2:N2"/>
    <mergeCell ref="B3:N3"/>
    <mergeCell ref="A4:N4"/>
  </mergeCells>
  <pageMargins left="0.35" right="0.35" top="0.25" bottom="0.17" header="0.17" footer="0.2"/>
  <pageSetup scale="4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pageSetUpPr fitToPage="1"/>
  </sheetPr>
  <dimension ref="A1:AA284"/>
  <sheetViews>
    <sheetView showGridLines="0" topLeftCell="A2" zoomScale="75" zoomScaleNormal="75" workbookViewId="0">
      <pane xSplit="3" ySplit="4" topLeftCell="R25" activePane="bottomRight" state="frozen"/>
      <selection activeCell="D77" activeCellId="1" sqref="D71 D77"/>
      <selection pane="topRight" activeCell="D77" activeCellId="1" sqref="D71 D77"/>
      <selection pane="bottomLeft" activeCell="D77" activeCellId="1" sqref="D71 D77"/>
      <selection pane="bottomRight" activeCell="B3" sqref="B1:B1048576"/>
    </sheetView>
  </sheetViews>
  <sheetFormatPr defaultRowHeight="12.75"/>
  <cols>
    <col min="1" max="1" width="36.85546875" style="365" customWidth="1"/>
    <col min="2" max="2" width="9" style="365" customWidth="1"/>
    <col min="3" max="3" width="2.28515625" style="365" bestFit="1" customWidth="1"/>
    <col min="4" max="4" width="25.5703125" style="922" hidden="1" customWidth="1"/>
    <col min="5" max="5" width="22" style="912" hidden="1" customWidth="1"/>
    <col min="6" max="6" width="16.140625" style="912" hidden="1" customWidth="1"/>
    <col min="7" max="7" width="21.28515625" style="912" hidden="1" customWidth="1"/>
    <col min="8" max="9" width="19.42578125" style="912" hidden="1" customWidth="1"/>
    <col min="10" max="10" width="20.5703125" style="912" hidden="1" customWidth="1"/>
    <col min="11" max="11" width="18.7109375" style="912" hidden="1" customWidth="1"/>
    <col min="12" max="12" width="18.5703125" style="1226" bestFit="1" customWidth="1"/>
    <col min="13" max="13" width="18.7109375" style="912" customWidth="1"/>
    <col min="14" max="14" width="19.42578125" style="1226" customWidth="1"/>
    <col min="15" max="15" width="47.140625" style="1226" bestFit="1" customWidth="1"/>
    <col min="16" max="16" width="16.7109375" style="1226" customWidth="1"/>
    <col min="17" max="17" width="19.42578125" style="1226" customWidth="1"/>
    <col min="18" max="18" width="16.28515625" style="363" bestFit="1" customWidth="1"/>
    <col min="19" max="20" width="24.28515625" style="363" customWidth="1"/>
    <col min="21" max="21" width="19.7109375" style="363" customWidth="1"/>
    <col min="22" max="27" width="9.140625" style="363" customWidth="1"/>
    <col min="28" max="222" width="8.85546875" style="365"/>
    <col min="223" max="223" width="44.5703125" style="365" customWidth="1"/>
    <col min="224" max="224" width="14.28515625" style="365" bestFit="1" customWidth="1"/>
    <col min="225" max="225" width="1.7109375" style="365" customWidth="1"/>
    <col min="226" max="226" width="14.85546875" style="365" customWidth="1"/>
    <col min="227" max="227" width="0" style="365" hidden="1" customWidth="1"/>
    <col min="228" max="228" width="17.42578125" style="365" customWidth="1"/>
    <col min="229" max="229" width="0" style="365" hidden="1" customWidth="1"/>
    <col min="230" max="230" width="12.85546875" style="365" customWidth="1"/>
    <col min="231" max="231" width="0" style="365" hidden="1" customWidth="1"/>
    <col min="232" max="232" width="14.42578125" style="365" customWidth="1"/>
    <col min="233" max="233" width="0" style="365" hidden="1" customWidth="1"/>
    <col min="234" max="234" width="17.42578125" style="365" customWidth="1"/>
    <col min="235" max="235" width="0" style="365" hidden="1" customWidth="1"/>
    <col min="236" max="236" width="14" style="365" customWidth="1"/>
    <col min="237" max="237" width="14.28515625" style="365" bestFit="1" customWidth="1"/>
    <col min="238" max="238" width="0" style="365" hidden="1" customWidth="1"/>
    <col min="239" max="239" width="15.5703125" style="365" customWidth="1"/>
    <col min="240" max="240" width="44.5703125" style="365" customWidth="1"/>
    <col min="241" max="241" width="14.28515625" style="365" bestFit="1" customWidth="1"/>
    <col min="242" max="242" width="0" style="365" hidden="1" customWidth="1"/>
    <col min="243" max="243" width="18.140625" style="365" customWidth="1"/>
    <col min="244" max="244" width="0" style="365" hidden="1" customWidth="1"/>
    <col min="245" max="245" width="14" style="365" customWidth="1"/>
    <col min="246" max="246" width="0" style="365" hidden="1" customWidth="1"/>
    <col min="247" max="247" width="20.85546875" style="365" customWidth="1"/>
    <col min="248" max="248" width="0" style="365" hidden="1" customWidth="1"/>
    <col min="249" max="249" width="13.28515625" style="365" customWidth="1"/>
    <col min="250" max="250" width="0" style="365" hidden="1" customWidth="1"/>
    <col min="251" max="251" width="15" style="365" customWidth="1"/>
    <col min="252" max="252" width="0" style="365" hidden="1" customWidth="1"/>
    <col min="253" max="253" width="13.28515625" style="365" customWidth="1"/>
    <col min="254" max="254" width="0" style="365" hidden="1" customWidth="1"/>
    <col min="255" max="255" width="20.140625" style="365" customWidth="1"/>
    <col min="256" max="256" width="14.42578125" style="365" bestFit="1" customWidth="1"/>
    <col min="257" max="257" width="14" style="365" bestFit="1" customWidth="1"/>
    <col min="258" max="258" width="12.28515625" style="365" bestFit="1" customWidth="1"/>
    <col min="259" max="283" width="9.140625" style="365" customWidth="1"/>
    <col min="284" max="478" width="8.85546875" style="365"/>
    <col min="479" max="479" width="44.5703125" style="365" customWidth="1"/>
    <col min="480" max="480" width="14.28515625" style="365" bestFit="1" customWidth="1"/>
    <col min="481" max="481" width="1.7109375" style="365" customWidth="1"/>
    <col min="482" max="482" width="14.85546875" style="365" customWidth="1"/>
    <col min="483" max="483" width="0" style="365" hidden="1" customWidth="1"/>
    <col min="484" max="484" width="17.42578125" style="365" customWidth="1"/>
    <col min="485" max="485" width="0" style="365" hidden="1" customWidth="1"/>
    <col min="486" max="486" width="12.85546875" style="365" customWidth="1"/>
    <col min="487" max="487" width="0" style="365" hidden="1" customWidth="1"/>
    <col min="488" max="488" width="14.42578125" style="365" customWidth="1"/>
    <col min="489" max="489" width="0" style="365" hidden="1" customWidth="1"/>
    <col min="490" max="490" width="17.42578125" style="365" customWidth="1"/>
    <col min="491" max="491" width="0" style="365" hidden="1" customWidth="1"/>
    <col min="492" max="492" width="14" style="365" customWidth="1"/>
    <col min="493" max="493" width="14.28515625" style="365" bestFit="1" customWidth="1"/>
    <col min="494" max="494" width="0" style="365" hidden="1" customWidth="1"/>
    <col min="495" max="495" width="15.5703125" style="365" customWidth="1"/>
    <col min="496" max="496" width="44.5703125" style="365" customWidth="1"/>
    <col min="497" max="497" width="14.28515625" style="365" bestFit="1" customWidth="1"/>
    <col min="498" max="498" width="0" style="365" hidden="1" customWidth="1"/>
    <col min="499" max="499" width="18.140625" style="365" customWidth="1"/>
    <col min="500" max="500" width="0" style="365" hidden="1" customWidth="1"/>
    <col min="501" max="501" width="14" style="365" customWidth="1"/>
    <col min="502" max="502" width="0" style="365" hidden="1" customWidth="1"/>
    <col min="503" max="503" width="20.85546875" style="365" customWidth="1"/>
    <col min="504" max="504" width="0" style="365" hidden="1" customWidth="1"/>
    <col min="505" max="505" width="13.28515625" style="365" customWidth="1"/>
    <col min="506" max="506" width="0" style="365" hidden="1" customWidth="1"/>
    <col min="507" max="507" width="15" style="365" customWidth="1"/>
    <col min="508" max="508" width="0" style="365" hidden="1" customWidth="1"/>
    <col min="509" max="509" width="13.28515625" style="365" customWidth="1"/>
    <col min="510" max="510" width="0" style="365" hidden="1" customWidth="1"/>
    <col min="511" max="511" width="20.140625" style="365" customWidth="1"/>
    <col min="512" max="512" width="14.42578125" style="365" bestFit="1" customWidth="1"/>
    <col min="513" max="513" width="14" style="365" bestFit="1" customWidth="1"/>
    <col min="514" max="514" width="12.28515625" style="365" bestFit="1" customWidth="1"/>
    <col min="515" max="539" width="9.140625" style="365" customWidth="1"/>
    <col min="540" max="734" width="8.85546875" style="365"/>
    <col min="735" max="735" width="44.5703125" style="365" customWidth="1"/>
    <col min="736" max="736" width="14.28515625" style="365" bestFit="1" customWidth="1"/>
    <col min="737" max="737" width="1.7109375" style="365" customWidth="1"/>
    <col min="738" max="738" width="14.85546875" style="365" customWidth="1"/>
    <col min="739" max="739" width="0" style="365" hidden="1" customWidth="1"/>
    <col min="740" max="740" width="17.42578125" style="365" customWidth="1"/>
    <col min="741" max="741" width="0" style="365" hidden="1" customWidth="1"/>
    <col min="742" max="742" width="12.85546875" style="365" customWidth="1"/>
    <col min="743" max="743" width="0" style="365" hidden="1" customWidth="1"/>
    <col min="744" max="744" width="14.42578125" style="365" customWidth="1"/>
    <col min="745" max="745" width="0" style="365" hidden="1" customWidth="1"/>
    <col min="746" max="746" width="17.42578125" style="365" customWidth="1"/>
    <col min="747" max="747" width="0" style="365" hidden="1" customWidth="1"/>
    <col min="748" max="748" width="14" style="365" customWidth="1"/>
    <col min="749" max="749" width="14.28515625" style="365" bestFit="1" customWidth="1"/>
    <col min="750" max="750" width="0" style="365" hidden="1" customWidth="1"/>
    <col min="751" max="751" width="15.5703125" style="365" customWidth="1"/>
    <col min="752" max="752" width="44.5703125" style="365" customWidth="1"/>
    <col min="753" max="753" width="14.28515625" style="365" bestFit="1" customWidth="1"/>
    <col min="754" max="754" width="0" style="365" hidden="1" customWidth="1"/>
    <col min="755" max="755" width="18.140625" style="365" customWidth="1"/>
    <col min="756" max="756" width="0" style="365" hidden="1" customWidth="1"/>
    <col min="757" max="757" width="14" style="365" customWidth="1"/>
    <col min="758" max="758" width="0" style="365" hidden="1" customWidth="1"/>
    <col min="759" max="759" width="20.85546875" style="365" customWidth="1"/>
    <col min="760" max="760" width="0" style="365" hidden="1" customWidth="1"/>
    <col min="761" max="761" width="13.28515625" style="365" customWidth="1"/>
    <col min="762" max="762" width="0" style="365" hidden="1" customWidth="1"/>
    <col min="763" max="763" width="15" style="365" customWidth="1"/>
    <col min="764" max="764" width="0" style="365" hidden="1" customWidth="1"/>
    <col min="765" max="765" width="13.28515625" style="365" customWidth="1"/>
    <col min="766" max="766" width="0" style="365" hidden="1" customWidth="1"/>
    <col min="767" max="767" width="20.140625" style="365" customWidth="1"/>
    <col min="768" max="768" width="14.42578125" style="365" bestFit="1" customWidth="1"/>
    <col min="769" max="769" width="14" style="365" bestFit="1" customWidth="1"/>
    <col min="770" max="770" width="12.28515625" style="365" bestFit="1" customWidth="1"/>
    <col min="771" max="795" width="9.140625" style="365" customWidth="1"/>
    <col min="796" max="990" width="8.85546875" style="365"/>
    <col min="991" max="991" width="44.5703125" style="365" customWidth="1"/>
    <col min="992" max="992" width="14.28515625" style="365" bestFit="1" customWidth="1"/>
    <col min="993" max="993" width="1.7109375" style="365" customWidth="1"/>
    <col min="994" max="994" width="14.85546875" style="365" customWidth="1"/>
    <col min="995" max="995" width="0" style="365" hidden="1" customWidth="1"/>
    <col min="996" max="996" width="17.42578125" style="365" customWidth="1"/>
    <col min="997" max="997" width="0" style="365" hidden="1" customWidth="1"/>
    <col min="998" max="998" width="12.85546875" style="365" customWidth="1"/>
    <col min="999" max="999" width="0" style="365" hidden="1" customWidth="1"/>
    <col min="1000" max="1000" width="14.42578125" style="365" customWidth="1"/>
    <col min="1001" max="1001" width="0" style="365" hidden="1" customWidth="1"/>
    <col min="1002" max="1002" width="17.42578125" style="365" customWidth="1"/>
    <col min="1003" max="1003" width="0" style="365" hidden="1" customWidth="1"/>
    <col min="1004" max="1004" width="14" style="365" customWidth="1"/>
    <col min="1005" max="1005" width="14.28515625" style="365" bestFit="1" customWidth="1"/>
    <col min="1006" max="1006" width="0" style="365" hidden="1" customWidth="1"/>
    <col min="1007" max="1007" width="15.5703125" style="365" customWidth="1"/>
    <col min="1008" max="1008" width="44.5703125" style="365" customWidth="1"/>
    <col min="1009" max="1009" width="14.28515625" style="365" bestFit="1" customWidth="1"/>
    <col min="1010" max="1010" width="0" style="365" hidden="1" customWidth="1"/>
    <col min="1011" max="1011" width="18.140625" style="365" customWidth="1"/>
    <col min="1012" max="1012" width="0" style="365" hidden="1" customWidth="1"/>
    <col min="1013" max="1013" width="14" style="365" customWidth="1"/>
    <col min="1014" max="1014" width="0" style="365" hidden="1" customWidth="1"/>
    <col min="1015" max="1015" width="20.85546875" style="365" customWidth="1"/>
    <col min="1016" max="1016" width="0" style="365" hidden="1" customWidth="1"/>
    <col min="1017" max="1017" width="13.28515625" style="365" customWidth="1"/>
    <col min="1018" max="1018" width="0" style="365" hidden="1" customWidth="1"/>
    <col min="1019" max="1019" width="15" style="365" customWidth="1"/>
    <col min="1020" max="1020" width="0" style="365" hidden="1" customWidth="1"/>
    <col min="1021" max="1021" width="13.28515625" style="365" customWidth="1"/>
    <col min="1022" max="1022" width="0" style="365" hidden="1" customWidth="1"/>
    <col min="1023" max="1023" width="20.140625" style="365" customWidth="1"/>
    <col min="1024" max="1024" width="14.42578125" style="365" bestFit="1" customWidth="1"/>
    <col min="1025" max="1025" width="14" style="365" bestFit="1" customWidth="1"/>
    <col min="1026" max="1026" width="12.28515625" style="365" bestFit="1" customWidth="1"/>
    <col min="1027" max="1051" width="9.140625" style="365" customWidth="1"/>
    <col min="1052" max="1246" width="8.85546875" style="365"/>
    <col min="1247" max="1247" width="44.5703125" style="365" customWidth="1"/>
    <col min="1248" max="1248" width="14.28515625" style="365" bestFit="1" customWidth="1"/>
    <col min="1249" max="1249" width="1.7109375" style="365" customWidth="1"/>
    <col min="1250" max="1250" width="14.85546875" style="365" customWidth="1"/>
    <col min="1251" max="1251" width="0" style="365" hidden="1" customWidth="1"/>
    <col min="1252" max="1252" width="17.42578125" style="365" customWidth="1"/>
    <col min="1253" max="1253" width="0" style="365" hidden="1" customWidth="1"/>
    <col min="1254" max="1254" width="12.85546875" style="365" customWidth="1"/>
    <col min="1255" max="1255" width="0" style="365" hidden="1" customWidth="1"/>
    <col min="1256" max="1256" width="14.42578125" style="365" customWidth="1"/>
    <col min="1257" max="1257" width="0" style="365" hidden="1" customWidth="1"/>
    <col min="1258" max="1258" width="17.42578125" style="365" customWidth="1"/>
    <col min="1259" max="1259" width="0" style="365" hidden="1" customWidth="1"/>
    <col min="1260" max="1260" width="14" style="365" customWidth="1"/>
    <col min="1261" max="1261" width="14.28515625" style="365" bestFit="1" customWidth="1"/>
    <col min="1262" max="1262" width="0" style="365" hidden="1" customWidth="1"/>
    <col min="1263" max="1263" width="15.5703125" style="365" customWidth="1"/>
    <col min="1264" max="1264" width="44.5703125" style="365" customWidth="1"/>
    <col min="1265" max="1265" width="14.28515625" style="365" bestFit="1" customWidth="1"/>
    <col min="1266" max="1266" width="0" style="365" hidden="1" customWidth="1"/>
    <col min="1267" max="1267" width="18.140625" style="365" customWidth="1"/>
    <col min="1268" max="1268" width="0" style="365" hidden="1" customWidth="1"/>
    <col min="1269" max="1269" width="14" style="365" customWidth="1"/>
    <col min="1270" max="1270" width="0" style="365" hidden="1" customWidth="1"/>
    <col min="1271" max="1271" width="20.85546875" style="365" customWidth="1"/>
    <col min="1272" max="1272" width="0" style="365" hidden="1" customWidth="1"/>
    <col min="1273" max="1273" width="13.28515625" style="365" customWidth="1"/>
    <col min="1274" max="1274" width="0" style="365" hidden="1" customWidth="1"/>
    <col min="1275" max="1275" width="15" style="365" customWidth="1"/>
    <col min="1276" max="1276" width="0" style="365" hidden="1" customWidth="1"/>
    <col min="1277" max="1277" width="13.28515625" style="365" customWidth="1"/>
    <col min="1278" max="1278" width="0" style="365" hidden="1" customWidth="1"/>
    <col min="1279" max="1279" width="20.140625" style="365" customWidth="1"/>
    <col min="1280" max="1280" width="14.42578125" style="365" bestFit="1" customWidth="1"/>
    <col min="1281" max="1281" width="14" style="365" bestFit="1" customWidth="1"/>
    <col min="1282" max="1282" width="12.28515625" style="365" bestFit="1" customWidth="1"/>
    <col min="1283" max="1307" width="9.140625" style="365" customWidth="1"/>
    <col min="1308" max="1502" width="8.85546875" style="365"/>
    <col min="1503" max="1503" width="44.5703125" style="365" customWidth="1"/>
    <col min="1504" max="1504" width="14.28515625" style="365" bestFit="1" customWidth="1"/>
    <col min="1505" max="1505" width="1.7109375" style="365" customWidth="1"/>
    <col min="1506" max="1506" width="14.85546875" style="365" customWidth="1"/>
    <col min="1507" max="1507" width="0" style="365" hidden="1" customWidth="1"/>
    <col min="1508" max="1508" width="17.42578125" style="365" customWidth="1"/>
    <col min="1509" max="1509" width="0" style="365" hidden="1" customWidth="1"/>
    <col min="1510" max="1510" width="12.85546875" style="365" customWidth="1"/>
    <col min="1511" max="1511" width="0" style="365" hidden="1" customWidth="1"/>
    <col min="1512" max="1512" width="14.42578125" style="365" customWidth="1"/>
    <col min="1513" max="1513" width="0" style="365" hidden="1" customWidth="1"/>
    <col min="1514" max="1514" width="17.42578125" style="365" customWidth="1"/>
    <col min="1515" max="1515" width="0" style="365" hidden="1" customWidth="1"/>
    <col min="1516" max="1516" width="14" style="365" customWidth="1"/>
    <col min="1517" max="1517" width="14.28515625" style="365" bestFit="1" customWidth="1"/>
    <col min="1518" max="1518" width="0" style="365" hidden="1" customWidth="1"/>
    <col min="1519" max="1519" width="15.5703125" style="365" customWidth="1"/>
    <col min="1520" max="1520" width="44.5703125" style="365" customWidth="1"/>
    <col min="1521" max="1521" width="14.28515625" style="365" bestFit="1" customWidth="1"/>
    <col min="1522" max="1522" width="0" style="365" hidden="1" customWidth="1"/>
    <col min="1523" max="1523" width="18.140625" style="365" customWidth="1"/>
    <col min="1524" max="1524" width="0" style="365" hidden="1" customWidth="1"/>
    <col min="1525" max="1525" width="14" style="365" customWidth="1"/>
    <col min="1526" max="1526" width="0" style="365" hidden="1" customWidth="1"/>
    <col min="1527" max="1527" width="20.85546875" style="365" customWidth="1"/>
    <col min="1528" max="1528" width="0" style="365" hidden="1" customWidth="1"/>
    <col min="1529" max="1529" width="13.28515625" style="365" customWidth="1"/>
    <col min="1530" max="1530" width="0" style="365" hidden="1" customWidth="1"/>
    <col min="1531" max="1531" width="15" style="365" customWidth="1"/>
    <col min="1532" max="1532" width="0" style="365" hidden="1" customWidth="1"/>
    <col min="1533" max="1533" width="13.28515625" style="365" customWidth="1"/>
    <col min="1534" max="1534" width="0" style="365" hidden="1" customWidth="1"/>
    <col min="1535" max="1535" width="20.140625" style="365" customWidth="1"/>
    <col min="1536" max="1536" width="14.42578125" style="365" bestFit="1" customWidth="1"/>
    <col min="1537" max="1537" width="14" style="365" bestFit="1" customWidth="1"/>
    <col min="1538" max="1538" width="12.28515625" style="365" bestFit="1" customWidth="1"/>
    <col min="1539" max="1563" width="9.140625" style="365" customWidth="1"/>
    <col min="1564" max="1758" width="8.85546875" style="365"/>
    <col min="1759" max="1759" width="44.5703125" style="365" customWidth="1"/>
    <col min="1760" max="1760" width="14.28515625" style="365" bestFit="1" customWidth="1"/>
    <col min="1761" max="1761" width="1.7109375" style="365" customWidth="1"/>
    <col min="1762" max="1762" width="14.85546875" style="365" customWidth="1"/>
    <col min="1763" max="1763" width="0" style="365" hidden="1" customWidth="1"/>
    <col min="1764" max="1764" width="17.42578125" style="365" customWidth="1"/>
    <col min="1765" max="1765" width="0" style="365" hidden="1" customWidth="1"/>
    <col min="1766" max="1766" width="12.85546875" style="365" customWidth="1"/>
    <col min="1767" max="1767" width="0" style="365" hidden="1" customWidth="1"/>
    <col min="1768" max="1768" width="14.42578125" style="365" customWidth="1"/>
    <col min="1769" max="1769" width="0" style="365" hidden="1" customWidth="1"/>
    <col min="1770" max="1770" width="17.42578125" style="365" customWidth="1"/>
    <col min="1771" max="1771" width="0" style="365" hidden="1" customWidth="1"/>
    <col min="1772" max="1772" width="14" style="365" customWidth="1"/>
    <col min="1773" max="1773" width="14.28515625" style="365" bestFit="1" customWidth="1"/>
    <col min="1774" max="1774" width="0" style="365" hidden="1" customWidth="1"/>
    <col min="1775" max="1775" width="15.5703125" style="365" customWidth="1"/>
    <col min="1776" max="1776" width="44.5703125" style="365" customWidth="1"/>
    <col min="1777" max="1777" width="14.28515625" style="365" bestFit="1" customWidth="1"/>
    <col min="1778" max="1778" width="0" style="365" hidden="1" customWidth="1"/>
    <col min="1779" max="1779" width="18.140625" style="365" customWidth="1"/>
    <col min="1780" max="1780" width="0" style="365" hidden="1" customWidth="1"/>
    <col min="1781" max="1781" width="14" style="365" customWidth="1"/>
    <col min="1782" max="1782" width="0" style="365" hidden="1" customWidth="1"/>
    <col min="1783" max="1783" width="20.85546875" style="365" customWidth="1"/>
    <col min="1784" max="1784" width="0" style="365" hidden="1" customWidth="1"/>
    <col min="1785" max="1785" width="13.28515625" style="365" customWidth="1"/>
    <col min="1786" max="1786" width="0" style="365" hidden="1" customWidth="1"/>
    <col min="1787" max="1787" width="15" style="365" customWidth="1"/>
    <col min="1788" max="1788" width="0" style="365" hidden="1" customWidth="1"/>
    <col min="1789" max="1789" width="13.28515625" style="365" customWidth="1"/>
    <col min="1790" max="1790" width="0" style="365" hidden="1" customWidth="1"/>
    <col min="1791" max="1791" width="20.140625" style="365" customWidth="1"/>
    <col min="1792" max="1792" width="14.42578125" style="365" bestFit="1" customWidth="1"/>
    <col min="1793" max="1793" width="14" style="365" bestFit="1" customWidth="1"/>
    <col min="1794" max="1794" width="12.28515625" style="365" bestFit="1" customWidth="1"/>
    <col min="1795" max="1819" width="9.140625" style="365" customWidth="1"/>
    <col min="1820" max="2014" width="8.85546875" style="365"/>
    <col min="2015" max="2015" width="44.5703125" style="365" customWidth="1"/>
    <col min="2016" max="2016" width="14.28515625" style="365" bestFit="1" customWidth="1"/>
    <col min="2017" max="2017" width="1.7109375" style="365" customWidth="1"/>
    <col min="2018" max="2018" width="14.85546875" style="365" customWidth="1"/>
    <col min="2019" max="2019" width="0" style="365" hidden="1" customWidth="1"/>
    <col min="2020" max="2020" width="17.42578125" style="365" customWidth="1"/>
    <col min="2021" max="2021" width="0" style="365" hidden="1" customWidth="1"/>
    <col min="2022" max="2022" width="12.85546875" style="365" customWidth="1"/>
    <col min="2023" max="2023" width="0" style="365" hidden="1" customWidth="1"/>
    <col min="2024" max="2024" width="14.42578125" style="365" customWidth="1"/>
    <col min="2025" max="2025" width="0" style="365" hidden="1" customWidth="1"/>
    <col min="2026" max="2026" width="17.42578125" style="365" customWidth="1"/>
    <col min="2027" max="2027" width="0" style="365" hidden="1" customWidth="1"/>
    <col min="2028" max="2028" width="14" style="365" customWidth="1"/>
    <col min="2029" max="2029" width="14.28515625" style="365" bestFit="1" customWidth="1"/>
    <col min="2030" max="2030" width="0" style="365" hidden="1" customWidth="1"/>
    <col min="2031" max="2031" width="15.5703125" style="365" customWidth="1"/>
    <col min="2032" max="2032" width="44.5703125" style="365" customWidth="1"/>
    <col min="2033" max="2033" width="14.28515625" style="365" bestFit="1" customWidth="1"/>
    <col min="2034" max="2034" width="0" style="365" hidden="1" customWidth="1"/>
    <col min="2035" max="2035" width="18.140625" style="365" customWidth="1"/>
    <col min="2036" max="2036" width="0" style="365" hidden="1" customWidth="1"/>
    <col min="2037" max="2037" width="14" style="365" customWidth="1"/>
    <col min="2038" max="2038" width="0" style="365" hidden="1" customWidth="1"/>
    <col min="2039" max="2039" width="20.85546875" style="365" customWidth="1"/>
    <col min="2040" max="2040" width="0" style="365" hidden="1" customWidth="1"/>
    <col min="2041" max="2041" width="13.28515625" style="365" customWidth="1"/>
    <col min="2042" max="2042" width="0" style="365" hidden="1" customWidth="1"/>
    <col min="2043" max="2043" width="15" style="365" customWidth="1"/>
    <col min="2044" max="2044" width="0" style="365" hidden="1" customWidth="1"/>
    <col min="2045" max="2045" width="13.28515625" style="365" customWidth="1"/>
    <col min="2046" max="2046" width="0" style="365" hidden="1" customWidth="1"/>
    <col min="2047" max="2047" width="20.140625" style="365" customWidth="1"/>
    <col min="2048" max="2048" width="14.42578125" style="365" bestFit="1" customWidth="1"/>
    <col min="2049" max="2049" width="14" style="365" bestFit="1" customWidth="1"/>
    <col min="2050" max="2050" width="12.28515625" style="365" bestFit="1" customWidth="1"/>
    <col min="2051" max="2075" width="9.140625" style="365" customWidth="1"/>
    <col min="2076" max="2270" width="8.85546875" style="365"/>
    <col min="2271" max="2271" width="44.5703125" style="365" customWidth="1"/>
    <col min="2272" max="2272" width="14.28515625" style="365" bestFit="1" customWidth="1"/>
    <col min="2273" max="2273" width="1.7109375" style="365" customWidth="1"/>
    <col min="2274" max="2274" width="14.85546875" style="365" customWidth="1"/>
    <col min="2275" max="2275" width="0" style="365" hidden="1" customWidth="1"/>
    <col min="2276" max="2276" width="17.42578125" style="365" customWidth="1"/>
    <col min="2277" max="2277" width="0" style="365" hidden="1" customWidth="1"/>
    <col min="2278" max="2278" width="12.85546875" style="365" customWidth="1"/>
    <col min="2279" max="2279" width="0" style="365" hidden="1" customWidth="1"/>
    <col min="2280" max="2280" width="14.42578125" style="365" customWidth="1"/>
    <col min="2281" max="2281" width="0" style="365" hidden="1" customWidth="1"/>
    <col min="2282" max="2282" width="17.42578125" style="365" customWidth="1"/>
    <col min="2283" max="2283" width="0" style="365" hidden="1" customWidth="1"/>
    <col min="2284" max="2284" width="14" style="365" customWidth="1"/>
    <col min="2285" max="2285" width="14.28515625" style="365" bestFit="1" customWidth="1"/>
    <col min="2286" max="2286" width="0" style="365" hidden="1" customWidth="1"/>
    <col min="2287" max="2287" width="15.5703125" style="365" customWidth="1"/>
    <col min="2288" max="2288" width="44.5703125" style="365" customWidth="1"/>
    <col min="2289" max="2289" width="14.28515625" style="365" bestFit="1" customWidth="1"/>
    <col min="2290" max="2290" width="0" style="365" hidden="1" customWidth="1"/>
    <col min="2291" max="2291" width="18.140625" style="365" customWidth="1"/>
    <col min="2292" max="2292" width="0" style="365" hidden="1" customWidth="1"/>
    <col min="2293" max="2293" width="14" style="365" customWidth="1"/>
    <col min="2294" max="2294" width="0" style="365" hidden="1" customWidth="1"/>
    <col min="2295" max="2295" width="20.85546875" style="365" customWidth="1"/>
    <col min="2296" max="2296" width="0" style="365" hidden="1" customWidth="1"/>
    <col min="2297" max="2297" width="13.28515625" style="365" customWidth="1"/>
    <col min="2298" max="2298" width="0" style="365" hidden="1" customWidth="1"/>
    <col min="2299" max="2299" width="15" style="365" customWidth="1"/>
    <col min="2300" max="2300" width="0" style="365" hidden="1" customWidth="1"/>
    <col min="2301" max="2301" width="13.28515625" style="365" customWidth="1"/>
    <col min="2302" max="2302" width="0" style="365" hidden="1" customWidth="1"/>
    <col min="2303" max="2303" width="20.140625" style="365" customWidth="1"/>
    <col min="2304" max="2304" width="14.42578125" style="365" bestFit="1" customWidth="1"/>
    <col min="2305" max="2305" width="14" style="365" bestFit="1" customWidth="1"/>
    <col min="2306" max="2306" width="12.28515625" style="365" bestFit="1" customWidth="1"/>
    <col min="2307" max="2331" width="9.140625" style="365" customWidth="1"/>
    <col min="2332" max="2526" width="8.85546875" style="365"/>
    <col min="2527" max="2527" width="44.5703125" style="365" customWidth="1"/>
    <col min="2528" max="2528" width="14.28515625" style="365" bestFit="1" customWidth="1"/>
    <col min="2529" max="2529" width="1.7109375" style="365" customWidth="1"/>
    <col min="2530" max="2530" width="14.85546875" style="365" customWidth="1"/>
    <col min="2531" max="2531" width="0" style="365" hidden="1" customWidth="1"/>
    <col min="2532" max="2532" width="17.42578125" style="365" customWidth="1"/>
    <col min="2533" max="2533" width="0" style="365" hidden="1" customWidth="1"/>
    <col min="2534" max="2534" width="12.85546875" style="365" customWidth="1"/>
    <col min="2535" max="2535" width="0" style="365" hidden="1" customWidth="1"/>
    <col min="2536" max="2536" width="14.42578125" style="365" customWidth="1"/>
    <col min="2537" max="2537" width="0" style="365" hidden="1" customWidth="1"/>
    <col min="2538" max="2538" width="17.42578125" style="365" customWidth="1"/>
    <col min="2539" max="2539" width="0" style="365" hidden="1" customWidth="1"/>
    <col min="2540" max="2540" width="14" style="365" customWidth="1"/>
    <col min="2541" max="2541" width="14.28515625" style="365" bestFit="1" customWidth="1"/>
    <col min="2542" max="2542" width="0" style="365" hidden="1" customWidth="1"/>
    <col min="2543" max="2543" width="15.5703125" style="365" customWidth="1"/>
    <col min="2544" max="2544" width="44.5703125" style="365" customWidth="1"/>
    <col min="2545" max="2545" width="14.28515625" style="365" bestFit="1" customWidth="1"/>
    <col min="2546" max="2546" width="0" style="365" hidden="1" customWidth="1"/>
    <col min="2547" max="2547" width="18.140625" style="365" customWidth="1"/>
    <col min="2548" max="2548" width="0" style="365" hidden="1" customWidth="1"/>
    <col min="2549" max="2549" width="14" style="365" customWidth="1"/>
    <col min="2550" max="2550" width="0" style="365" hidden="1" customWidth="1"/>
    <col min="2551" max="2551" width="20.85546875" style="365" customWidth="1"/>
    <col min="2552" max="2552" width="0" style="365" hidden="1" customWidth="1"/>
    <col min="2553" max="2553" width="13.28515625" style="365" customWidth="1"/>
    <col min="2554" max="2554" width="0" style="365" hidden="1" customWidth="1"/>
    <col min="2555" max="2555" width="15" style="365" customWidth="1"/>
    <col min="2556" max="2556" width="0" style="365" hidden="1" customWidth="1"/>
    <col min="2557" max="2557" width="13.28515625" style="365" customWidth="1"/>
    <col min="2558" max="2558" width="0" style="365" hidden="1" customWidth="1"/>
    <col min="2559" max="2559" width="20.140625" style="365" customWidth="1"/>
    <col min="2560" max="2560" width="14.42578125" style="365" bestFit="1" customWidth="1"/>
    <col min="2561" max="2561" width="14" style="365" bestFit="1" customWidth="1"/>
    <col min="2562" max="2562" width="12.28515625" style="365" bestFit="1" customWidth="1"/>
    <col min="2563" max="2587" width="9.140625" style="365" customWidth="1"/>
    <col min="2588" max="2782" width="8.85546875" style="365"/>
    <col min="2783" max="2783" width="44.5703125" style="365" customWidth="1"/>
    <col min="2784" max="2784" width="14.28515625" style="365" bestFit="1" customWidth="1"/>
    <col min="2785" max="2785" width="1.7109375" style="365" customWidth="1"/>
    <col min="2786" max="2786" width="14.85546875" style="365" customWidth="1"/>
    <col min="2787" max="2787" width="0" style="365" hidden="1" customWidth="1"/>
    <col min="2788" max="2788" width="17.42578125" style="365" customWidth="1"/>
    <col min="2789" max="2789" width="0" style="365" hidden="1" customWidth="1"/>
    <col min="2790" max="2790" width="12.85546875" style="365" customWidth="1"/>
    <col min="2791" max="2791" width="0" style="365" hidden="1" customWidth="1"/>
    <col min="2792" max="2792" width="14.42578125" style="365" customWidth="1"/>
    <col min="2793" max="2793" width="0" style="365" hidden="1" customWidth="1"/>
    <col min="2794" max="2794" width="17.42578125" style="365" customWidth="1"/>
    <col min="2795" max="2795" width="0" style="365" hidden="1" customWidth="1"/>
    <col min="2796" max="2796" width="14" style="365" customWidth="1"/>
    <col min="2797" max="2797" width="14.28515625" style="365" bestFit="1" customWidth="1"/>
    <col min="2798" max="2798" width="0" style="365" hidden="1" customWidth="1"/>
    <col min="2799" max="2799" width="15.5703125" style="365" customWidth="1"/>
    <col min="2800" max="2800" width="44.5703125" style="365" customWidth="1"/>
    <col min="2801" max="2801" width="14.28515625" style="365" bestFit="1" customWidth="1"/>
    <col min="2802" max="2802" width="0" style="365" hidden="1" customWidth="1"/>
    <col min="2803" max="2803" width="18.140625" style="365" customWidth="1"/>
    <col min="2804" max="2804" width="0" style="365" hidden="1" customWidth="1"/>
    <col min="2805" max="2805" width="14" style="365" customWidth="1"/>
    <col min="2806" max="2806" width="0" style="365" hidden="1" customWidth="1"/>
    <col min="2807" max="2807" width="20.85546875" style="365" customWidth="1"/>
    <col min="2808" max="2808" width="0" style="365" hidden="1" customWidth="1"/>
    <col min="2809" max="2809" width="13.28515625" style="365" customWidth="1"/>
    <col min="2810" max="2810" width="0" style="365" hidden="1" customWidth="1"/>
    <col min="2811" max="2811" width="15" style="365" customWidth="1"/>
    <col min="2812" max="2812" width="0" style="365" hidden="1" customWidth="1"/>
    <col min="2813" max="2813" width="13.28515625" style="365" customWidth="1"/>
    <col min="2814" max="2814" width="0" style="365" hidden="1" customWidth="1"/>
    <col min="2815" max="2815" width="20.140625" style="365" customWidth="1"/>
    <col min="2816" max="2816" width="14.42578125" style="365" bestFit="1" customWidth="1"/>
    <col min="2817" max="2817" width="14" style="365" bestFit="1" customWidth="1"/>
    <col min="2818" max="2818" width="12.28515625" style="365" bestFit="1" customWidth="1"/>
    <col min="2819" max="2843" width="9.140625" style="365" customWidth="1"/>
    <col min="2844" max="3038" width="8.85546875" style="365"/>
    <col min="3039" max="3039" width="44.5703125" style="365" customWidth="1"/>
    <col min="3040" max="3040" width="14.28515625" style="365" bestFit="1" customWidth="1"/>
    <col min="3041" max="3041" width="1.7109375" style="365" customWidth="1"/>
    <col min="3042" max="3042" width="14.85546875" style="365" customWidth="1"/>
    <col min="3043" max="3043" width="0" style="365" hidden="1" customWidth="1"/>
    <col min="3044" max="3044" width="17.42578125" style="365" customWidth="1"/>
    <col min="3045" max="3045" width="0" style="365" hidden="1" customWidth="1"/>
    <col min="3046" max="3046" width="12.85546875" style="365" customWidth="1"/>
    <col min="3047" max="3047" width="0" style="365" hidden="1" customWidth="1"/>
    <col min="3048" max="3048" width="14.42578125" style="365" customWidth="1"/>
    <col min="3049" max="3049" width="0" style="365" hidden="1" customWidth="1"/>
    <col min="3050" max="3050" width="17.42578125" style="365" customWidth="1"/>
    <col min="3051" max="3051" width="0" style="365" hidden="1" customWidth="1"/>
    <col min="3052" max="3052" width="14" style="365" customWidth="1"/>
    <col min="3053" max="3053" width="14.28515625" style="365" bestFit="1" customWidth="1"/>
    <col min="3054" max="3054" width="0" style="365" hidden="1" customWidth="1"/>
    <col min="3055" max="3055" width="15.5703125" style="365" customWidth="1"/>
    <col min="3056" max="3056" width="44.5703125" style="365" customWidth="1"/>
    <col min="3057" max="3057" width="14.28515625" style="365" bestFit="1" customWidth="1"/>
    <col min="3058" max="3058" width="0" style="365" hidden="1" customWidth="1"/>
    <col min="3059" max="3059" width="18.140625" style="365" customWidth="1"/>
    <col min="3060" max="3060" width="0" style="365" hidden="1" customWidth="1"/>
    <col min="3061" max="3061" width="14" style="365" customWidth="1"/>
    <col min="3062" max="3062" width="0" style="365" hidden="1" customWidth="1"/>
    <col min="3063" max="3063" width="20.85546875" style="365" customWidth="1"/>
    <col min="3064" max="3064" width="0" style="365" hidden="1" customWidth="1"/>
    <col min="3065" max="3065" width="13.28515625" style="365" customWidth="1"/>
    <col min="3066" max="3066" width="0" style="365" hidden="1" customWidth="1"/>
    <col min="3067" max="3067" width="15" style="365" customWidth="1"/>
    <col min="3068" max="3068" width="0" style="365" hidden="1" customWidth="1"/>
    <col min="3069" max="3069" width="13.28515625" style="365" customWidth="1"/>
    <col min="3070" max="3070" width="0" style="365" hidden="1" customWidth="1"/>
    <col min="3071" max="3071" width="20.140625" style="365" customWidth="1"/>
    <col min="3072" max="3072" width="14.42578125" style="365" bestFit="1" customWidth="1"/>
    <col min="3073" max="3073" width="14" style="365" bestFit="1" customWidth="1"/>
    <col min="3074" max="3074" width="12.28515625" style="365" bestFit="1" customWidth="1"/>
    <col min="3075" max="3099" width="9.140625" style="365" customWidth="1"/>
    <col min="3100" max="3294" width="8.85546875" style="365"/>
    <col min="3295" max="3295" width="44.5703125" style="365" customWidth="1"/>
    <col min="3296" max="3296" width="14.28515625" style="365" bestFit="1" customWidth="1"/>
    <col min="3297" max="3297" width="1.7109375" style="365" customWidth="1"/>
    <col min="3298" max="3298" width="14.85546875" style="365" customWidth="1"/>
    <col min="3299" max="3299" width="0" style="365" hidden="1" customWidth="1"/>
    <col min="3300" max="3300" width="17.42578125" style="365" customWidth="1"/>
    <col min="3301" max="3301" width="0" style="365" hidden="1" customWidth="1"/>
    <col min="3302" max="3302" width="12.85546875" style="365" customWidth="1"/>
    <col min="3303" max="3303" width="0" style="365" hidden="1" customWidth="1"/>
    <col min="3304" max="3304" width="14.42578125" style="365" customWidth="1"/>
    <col min="3305" max="3305" width="0" style="365" hidden="1" customWidth="1"/>
    <col min="3306" max="3306" width="17.42578125" style="365" customWidth="1"/>
    <col min="3307" max="3307" width="0" style="365" hidden="1" customWidth="1"/>
    <col min="3308" max="3308" width="14" style="365" customWidth="1"/>
    <col min="3309" max="3309" width="14.28515625" style="365" bestFit="1" customWidth="1"/>
    <col min="3310" max="3310" width="0" style="365" hidden="1" customWidth="1"/>
    <col min="3311" max="3311" width="15.5703125" style="365" customWidth="1"/>
    <col min="3312" max="3312" width="44.5703125" style="365" customWidth="1"/>
    <col min="3313" max="3313" width="14.28515625" style="365" bestFit="1" customWidth="1"/>
    <col min="3314" max="3314" width="0" style="365" hidden="1" customWidth="1"/>
    <col min="3315" max="3315" width="18.140625" style="365" customWidth="1"/>
    <col min="3316" max="3316" width="0" style="365" hidden="1" customWidth="1"/>
    <col min="3317" max="3317" width="14" style="365" customWidth="1"/>
    <col min="3318" max="3318" width="0" style="365" hidden="1" customWidth="1"/>
    <col min="3319" max="3319" width="20.85546875" style="365" customWidth="1"/>
    <col min="3320" max="3320" width="0" style="365" hidden="1" customWidth="1"/>
    <col min="3321" max="3321" width="13.28515625" style="365" customWidth="1"/>
    <col min="3322" max="3322" width="0" style="365" hidden="1" customWidth="1"/>
    <col min="3323" max="3323" width="15" style="365" customWidth="1"/>
    <col min="3324" max="3324" width="0" style="365" hidden="1" customWidth="1"/>
    <col min="3325" max="3325" width="13.28515625" style="365" customWidth="1"/>
    <col min="3326" max="3326" width="0" style="365" hidden="1" customWidth="1"/>
    <col min="3327" max="3327" width="20.140625" style="365" customWidth="1"/>
    <col min="3328" max="3328" width="14.42578125" style="365" bestFit="1" customWidth="1"/>
    <col min="3329" max="3329" width="14" style="365" bestFit="1" customWidth="1"/>
    <col min="3330" max="3330" width="12.28515625" style="365" bestFit="1" customWidth="1"/>
    <col min="3331" max="3355" width="9.140625" style="365" customWidth="1"/>
    <col min="3356" max="3550" width="8.85546875" style="365"/>
    <col min="3551" max="3551" width="44.5703125" style="365" customWidth="1"/>
    <col min="3552" max="3552" width="14.28515625" style="365" bestFit="1" customWidth="1"/>
    <col min="3553" max="3553" width="1.7109375" style="365" customWidth="1"/>
    <col min="3554" max="3554" width="14.85546875" style="365" customWidth="1"/>
    <col min="3555" max="3555" width="0" style="365" hidden="1" customWidth="1"/>
    <col min="3556" max="3556" width="17.42578125" style="365" customWidth="1"/>
    <col min="3557" max="3557" width="0" style="365" hidden="1" customWidth="1"/>
    <col min="3558" max="3558" width="12.85546875" style="365" customWidth="1"/>
    <col min="3559" max="3559" width="0" style="365" hidden="1" customWidth="1"/>
    <col min="3560" max="3560" width="14.42578125" style="365" customWidth="1"/>
    <col min="3561" max="3561" width="0" style="365" hidden="1" customWidth="1"/>
    <col min="3562" max="3562" width="17.42578125" style="365" customWidth="1"/>
    <col min="3563" max="3563" width="0" style="365" hidden="1" customWidth="1"/>
    <col min="3564" max="3564" width="14" style="365" customWidth="1"/>
    <col min="3565" max="3565" width="14.28515625" style="365" bestFit="1" customWidth="1"/>
    <col min="3566" max="3566" width="0" style="365" hidden="1" customWidth="1"/>
    <col min="3567" max="3567" width="15.5703125" style="365" customWidth="1"/>
    <col min="3568" max="3568" width="44.5703125" style="365" customWidth="1"/>
    <col min="3569" max="3569" width="14.28515625" style="365" bestFit="1" customWidth="1"/>
    <col min="3570" max="3570" width="0" style="365" hidden="1" customWidth="1"/>
    <col min="3571" max="3571" width="18.140625" style="365" customWidth="1"/>
    <col min="3572" max="3572" width="0" style="365" hidden="1" customWidth="1"/>
    <col min="3573" max="3573" width="14" style="365" customWidth="1"/>
    <col min="3574" max="3574" width="0" style="365" hidden="1" customWidth="1"/>
    <col min="3575" max="3575" width="20.85546875" style="365" customWidth="1"/>
    <col min="3576" max="3576" width="0" style="365" hidden="1" customWidth="1"/>
    <col min="3577" max="3577" width="13.28515625" style="365" customWidth="1"/>
    <col min="3578" max="3578" width="0" style="365" hidden="1" customWidth="1"/>
    <col min="3579" max="3579" width="15" style="365" customWidth="1"/>
    <col min="3580" max="3580" width="0" style="365" hidden="1" customWidth="1"/>
    <col min="3581" max="3581" width="13.28515625" style="365" customWidth="1"/>
    <col min="3582" max="3582" width="0" style="365" hidden="1" customWidth="1"/>
    <col min="3583" max="3583" width="20.140625" style="365" customWidth="1"/>
    <col min="3584" max="3584" width="14.42578125" style="365" bestFit="1" customWidth="1"/>
    <col min="3585" max="3585" width="14" style="365" bestFit="1" customWidth="1"/>
    <col min="3586" max="3586" width="12.28515625" style="365" bestFit="1" customWidth="1"/>
    <col min="3587" max="3611" width="9.140625" style="365" customWidth="1"/>
    <col min="3612" max="3806" width="8.85546875" style="365"/>
    <col min="3807" max="3807" width="44.5703125" style="365" customWidth="1"/>
    <col min="3808" max="3808" width="14.28515625" style="365" bestFit="1" customWidth="1"/>
    <col min="3809" max="3809" width="1.7109375" style="365" customWidth="1"/>
    <col min="3810" max="3810" width="14.85546875" style="365" customWidth="1"/>
    <col min="3811" max="3811" width="0" style="365" hidden="1" customWidth="1"/>
    <col min="3812" max="3812" width="17.42578125" style="365" customWidth="1"/>
    <col min="3813" max="3813" width="0" style="365" hidden="1" customWidth="1"/>
    <col min="3814" max="3814" width="12.85546875" style="365" customWidth="1"/>
    <col min="3815" max="3815" width="0" style="365" hidden="1" customWidth="1"/>
    <col min="3816" max="3816" width="14.42578125" style="365" customWidth="1"/>
    <col min="3817" max="3817" width="0" style="365" hidden="1" customWidth="1"/>
    <col min="3818" max="3818" width="17.42578125" style="365" customWidth="1"/>
    <col min="3819" max="3819" width="0" style="365" hidden="1" customWidth="1"/>
    <col min="3820" max="3820" width="14" style="365" customWidth="1"/>
    <col min="3821" max="3821" width="14.28515625" style="365" bestFit="1" customWidth="1"/>
    <col min="3822" max="3822" width="0" style="365" hidden="1" customWidth="1"/>
    <col min="3823" max="3823" width="15.5703125" style="365" customWidth="1"/>
    <col min="3824" max="3824" width="44.5703125" style="365" customWidth="1"/>
    <col min="3825" max="3825" width="14.28515625" style="365" bestFit="1" customWidth="1"/>
    <col min="3826" max="3826" width="0" style="365" hidden="1" customWidth="1"/>
    <col min="3827" max="3827" width="18.140625" style="365" customWidth="1"/>
    <col min="3828" max="3828" width="0" style="365" hidden="1" customWidth="1"/>
    <col min="3829" max="3829" width="14" style="365" customWidth="1"/>
    <col min="3830" max="3830" width="0" style="365" hidden="1" customWidth="1"/>
    <col min="3831" max="3831" width="20.85546875" style="365" customWidth="1"/>
    <col min="3832" max="3832" width="0" style="365" hidden="1" customWidth="1"/>
    <col min="3833" max="3833" width="13.28515625" style="365" customWidth="1"/>
    <col min="3834" max="3834" width="0" style="365" hidden="1" customWidth="1"/>
    <col min="3835" max="3835" width="15" style="365" customWidth="1"/>
    <col min="3836" max="3836" width="0" style="365" hidden="1" customWidth="1"/>
    <col min="3837" max="3837" width="13.28515625" style="365" customWidth="1"/>
    <col min="3838" max="3838" width="0" style="365" hidden="1" customWidth="1"/>
    <col min="3839" max="3839" width="20.140625" style="365" customWidth="1"/>
    <col min="3840" max="3840" width="14.42578125" style="365" bestFit="1" customWidth="1"/>
    <col min="3841" max="3841" width="14" style="365" bestFit="1" customWidth="1"/>
    <col min="3842" max="3842" width="12.28515625" style="365" bestFit="1" customWidth="1"/>
    <col min="3843" max="3867" width="9.140625" style="365" customWidth="1"/>
    <col min="3868" max="4062" width="8.85546875" style="365"/>
    <col min="4063" max="4063" width="44.5703125" style="365" customWidth="1"/>
    <col min="4064" max="4064" width="14.28515625" style="365" bestFit="1" customWidth="1"/>
    <col min="4065" max="4065" width="1.7109375" style="365" customWidth="1"/>
    <col min="4066" max="4066" width="14.85546875" style="365" customWidth="1"/>
    <col min="4067" max="4067" width="0" style="365" hidden="1" customWidth="1"/>
    <col min="4068" max="4068" width="17.42578125" style="365" customWidth="1"/>
    <col min="4069" max="4069" width="0" style="365" hidden="1" customWidth="1"/>
    <col min="4070" max="4070" width="12.85546875" style="365" customWidth="1"/>
    <col min="4071" max="4071" width="0" style="365" hidden="1" customWidth="1"/>
    <col min="4072" max="4072" width="14.42578125" style="365" customWidth="1"/>
    <col min="4073" max="4073" width="0" style="365" hidden="1" customWidth="1"/>
    <col min="4074" max="4074" width="17.42578125" style="365" customWidth="1"/>
    <col min="4075" max="4075" width="0" style="365" hidden="1" customWidth="1"/>
    <col min="4076" max="4076" width="14" style="365" customWidth="1"/>
    <col min="4077" max="4077" width="14.28515625" style="365" bestFit="1" customWidth="1"/>
    <col min="4078" max="4078" width="0" style="365" hidden="1" customWidth="1"/>
    <col min="4079" max="4079" width="15.5703125" style="365" customWidth="1"/>
    <col min="4080" max="4080" width="44.5703125" style="365" customWidth="1"/>
    <col min="4081" max="4081" width="14.28515625" style="365" bestFit="1" customWidth="1"/>
    <col min="4082" max="4082" width="0" style="365" hidden="1" customWidth="1"/>
    <col min="4083" max="4083" width="18.140625" style="365" customWidth="1"/>
    <col min="4084" max="4084" width="0" style="365" hidden="1" customWidth="1"/>
    <col min="4085" max="4085" width="14" style="365" customWidth="1"/>
    <col min="4086" max="4086" width="0" style="365" hidden="1" customWidth="1"/>
    <col min="4087" max="4087" width="20.85546875" style="365" customWidth="1"/>
    <col min="4088" max="4088" width="0" style="365" hidden="1" customWidth="1"/>
    <col min="4089" max="4089" width="13.28515625" style="365" customWidth="1"/>
    <col min="4090" max="4090" width="0" style="365" hidden="1" customWidth="1"/>
    <col min="4091" max="4091" width="15" style="365" customWidth="1"/>
    <col min="4092" max="4092" width="0" style="365" hidden="1" customWidth="1"/>
    <col min="4093" max="4093" width="13.28515625" style="365" customWidth="1"/>
    <col min="4094" max="4094" width="0" style="365" hidden="1" customWidth="1"/>
    <col min="4095" max="4095" width="20.140625" style="365" customWidth="1"/>
    <col min="4096" max="4096" width="14.42578125" style="365" bestFit="1" customWidth="1"/>
    <col min="4097" max="4097" width="14" style="365" bestFit="1" customWidth="1"/>
    <col min="4098" max="4098" width="12.28515625" style="365" bestFit="1" customWidth="1"/>
    <col min="4099" max="4123" width="9.140625" style="365" customWidth="1"/>
    <col min="4124" max="4318" width="8.85546875" style="365"/>
    <col min="4319" max="4319" width="44.5703125" style="365" customWidth="1"/>
    <col min="4320" max="4320" width="14.28515625" style="365" bestFit="1" customWidth="1"/>
    <col min="4321" max="4321" width="1.7109375" style="365" customWidth="1"/>
    <col min="4322" max="4322" width="14.85546875" style="365" customWidth="1"/>
    <col min="4323" max="4323" width="0" style="365" hidden="1" customWidth="1"/>
    <col min="4324" max="4324" width="17.42578125" style="365" customWidth="1"/>
    <col min="4325" max="4325" width="0" style="365" hidden="1" customWidth="1"/>
    <col min="4326" max="4326" width="12.85546875" style="365" customWidth="1"/>
    <col min="4327" max="4327" width="0" style="365" hidden="1" customWidth="1"/>
    <col min="4328" max="4328" width="14.42578125" style="365" customWidth="1"/>
    <col min="4329" max="4329" width="0" style="365" hidden="1" customWidth="1"/>
    <col min="4330" max="4330" width="17.42578125" style="365" customWidth="1"/>
    <col min="4331" max="4331" width="0" style="365" hidden="1" customWidth="1"/>
    <col min="4332" max="4332" width="14" style="365" customWidth="1"/>
    <col min="4333" max="4333" width="14.28515625" style="365" bestFit="1" customWidth="1"/>
    <col min="4334" max="4334" width="0" style="365" hidden="1" customWidth="1"/>
    <col min="4335" max="4335" width="15.5703125" style="365" customWidth="1"/>
    <col min="4336" max="4336" width="44.5703125" style="365" customWidth="1"/>
    <col min="4337" max="4337" width="14.28515625" style="365" bestFit="1" customWidth="1"/>
    <col min="4338" max="4338" width="0" style="365" hidden="1" customWidth="1"/>
    <col min="4339" max="4339" width="18.140625" style="365" customWidth="1"/>
    <col min="4340" max="4340" width="0" style="365" hidden="1" customWidth="1"/>
    <col min="4341" max="4341" width="14" style="365" customWidth="1"/>
    <col min="4342" max="4342" width="0" style="365" hidden="1" customWidth="1"/>
    <col min="4343" max="4343" width="20.85546875" style="365" customWidth="1"/>
    <col min="4344" max="4344" width="0" style="365" hidden="1" customWidth="1"/>
    <col min="4345" max="4345" width="13.28515625" style="365" customWidth="1"/>
    <col min="4346" max="4346" width="0" style="365" hidden="1" customWidth="1"/>
    <col min="4347" max="4347" width="15" style="365" customWidth="1"/>
    <col min="4348" max="4348" width="0" style="365" hidden="1" customWidth="1"/>
    <col min="4349" max="4349" width="13.28515625" style="365" customWidth="1"/>
    <col min="4350" max="4350" width="0" style="365" hidden="1" customWidth="1"/>
    <col min="4351" max="4351" width="20.140625" style="365" customWidth="1"/>
    <col min="4352" max="4352" width="14.42578125" style="365" bestFit="1" customWidth="1"/>
    <col min="4353" max="4353" width="14" style="365" bestFit="1" customWidth="1"/>
    <col min="4354" max="4354" width="12.28515625" style="365" bestFit="1" customWidth="1"/>
    <col min="4355" max="4379" width="9.140625" style="365" customWidth="1"/>
    <col min="4380" max="4574" width="8.85546875" style="365"/>
    <col min="4575" max="4575" width="44.5703125" style="365" customWidth="1"/>
    <col min="4576" max="4576" width="14.28515625" style="365" bestFit="1" customWidth="1"/>
    <col min="4577" max="4577" width="1.7109375" style="365" customWidth="1"/>
    <col min="4578" max="4578" width="14.85546875" style="365" customWidth="1"/>
    <col min="4579" max="4579" width="0" style="365" hidden="1" customWidth="1"/>
    <col min="4580" max="4580" width="17.42578125" style="365" customWidth="1"/>
    <col min="4581" max="4581" width="0" style="365" hidden="1" customWidth="1"/>
    <col min="4582" max="4582" width="12.85546875" style="365" customWidth="1"/>
    <col min="4583" max="4583" width="0" style="365" hidden="1" customWidth="1"/>
    <col min="4584" max="4584" width="14.42578125" style="365" customWidth="1"/>
    <col min="4585" max="4585" width="0" style="365" hidden="1" customWidth="1"/>
    <col min="4586" max="4586" width="17.42578125" style="365" customWidth="1"/>
    <col min="4587" max="4587" width="0" style="365" hidden="1" customWidth="1"/>
    <col min="4588" max="4588" width="14" style="365" customWidth="1"/>
    <col min="4589" max="4589" width="14.28515625" style="365" bestFit="1" customWidth="1"/>
    <col min="4590" max="4590" width="0" style="365" hidden="1" customWidth="1"/>
    <col min="4591" max="4591" width="15.5703125" style="365" customWidth="1"/>
    <col min="4592" max="4592" width="44.5703125" style="365" customWidth="1"/>
    <col min="4593" max="4593" width="14.28515625" style="365" bestFit="1" customWidth="1"/>
    <col min="4594" max="4594" width="0" style="365" hidden="1" customWidth="1"/>
    <col min="4595" max="4595" width="18.140625" style="365" customWidth="1"/>
    <col min="4596" max="4596" width="0" style="365" hidden="1" customWidth="1"/>
    <col min="4597" max="4597" width="14" style="365" customWidth="1"/>
    <col min="4598" max="4598" width="0" style="365" hidden="1" customWidth="1"/>
    <col min="4599" max="4599" width="20.85546875" style="365" customWidth="1"/>
    <col min="4600" max="4600" width="0" style="365" hidden="1" customWidth="1"/>
    <col min="4601" max="4601" width="13.28515625" style="365" customWidth="1"/>
    <col min="4602" max="4602" width="0" style="365" hidden="1" customWidth="1"/>
    <col min="4603" max="4603" width="15" style="365" customWidth="1"/>
    <col min="4604" max="4604" width="0" style="365" hidden="1" customWidth="1"/>
    <col min="4605" max="4605" width="13.28515625" style="365" customWidth="1"/>
    <col min="4606" max="4606" width="0" style="365" hidden="1" customWidth="1"/>
    <col min="4607" max="4607" width="20.140625" style="365" customWidth="1"/>
    <col min="4608" max="4608" width="14.42578125" style="365" bestFit="1" customWidth="1"/>
    <col min="4609" max="4609" width="14" style="365" bestFit="1" customWidth="1"/>
    <col min="4610" max="4610" width="12.28515625" style="365" bestFit="1" customWidth="1"/>
    <col min="4611" max="4635" width="9.140625" style="365" customWidth="1"/>
    <col min="4636" max="4830" width="8.85546875" style="365"/>
    <col min="4831" max="4831" width="44.5703125" style="365" customWidth="1"/>
    <col min="4832" max="4832" width="14.28515625" style="365" bestFit="1" customWidth="1"/>
    <col min="4833" max="4833" width="1.7109375" style="365" customWidth="1"/>
    <col min="4834" max="4834" width="14.85546875" style="365" customWidth="1"/>
    <col min="4835" max="4835" width="0" style="365" hidden="1" customWidth="1"/>
    <col min="4836" max="4836" width="17.42578125" style="365" customWidth="1"/>
    <col min="4837" max="4837" width="0" style="365" hidden="1" customWidth="1"/>
    <col min="4838" max="4838" width="12.85546875" style="365" customWidth="1"/>
    <col min="4839" max="4839" width="0" style="365" hidden="1" customWidth="1"/>
    <col min="4840" max="4840" width="14.42578125" style="365" customWidth="1"/>
    <col min="4841" max="4841" width="0" style="365" hidden="1" customWidth="1"/>
    <col min="4842" max="4842" width="17.42578125" style="365" customWidth="1"/>
    <col min="4843" max="4843" width="0" style="365" hidden="1" customWidth="1"/>
    <col min="4844" max="4844" width="14" style="365" customWidth="1"/>
    <col min="4845" max="4845" width="14.28515625" style="365" bestFit="1" customWidth="1"/>
    <col min="4846" max="4846" width="0" style="365" hidden="1" customWidth="1"/>
    <col min="4847" max="4847" width="15.5703125" style="365" customWidth="1"/>
    <col min="4848" max="4848" width="44.5703125" style="365" customWidth="1"/>
    <col min="4849" max="4849" width="14.28515625" style="365" bestFit="1" customWidth="1"/>
    <col min="4850" max="4850" width="0" style="365" hidden="1" customWidth="1"/>
    <col min="4851" max="4851" width="18.140625" style="365" customWidth="1"/>
    <col min="4852" max="4852" width="0" style="365" hidden="1" customWidth="1"/>
    <col min="4853" max="4853" width="14" style="365" customWidth="1"/>
    <col min="4854" max="4854" width="0" style="365" hidden="1" customWidth="1"/>
    <col min="4855" max="4855" width="20.85546875" style="365" customWidth="1"/>
    <col min="4856" max="4856" width="0" style="365" hidden="1" customWidth="1"/>
    <col min="4857" max="4857" width="13.28515625" style="365" customWidth="1"/>
    <col min="4858" max="4858" width="0" style="365" hidden="1" customWidth="1"/>
    <col min="4859" max="4859" width="15" style="365" customWidth="1"/>
    <col min="4860" max="4860" width="0" style="365" hidden="1" customWidth="1"/>
    <col min="4861" max="4861" width="13.28515625" style="365" customWidth="1"/>
    <col min="4862" max="4862" width="0" style="365" hidden="1" customWidth="1"/>
    <col min="4863" max="4863" width="20.140625" style="365" customWidth="1"/>
    <col min="4864" max="4864" width="14.42578125" style="365" bestFit="1" customWidth="1"/>
    <col min="4865" max="4865" width="14" style="365" bestFit="1" customWidth="1"/>
    <col min="4866" max="4866" width="12.28515625" style="365" bestFit="1" customWidth="1"/>
    <col min="4867" max="4891" width="9.140625" style="365" customWidth="1"/>
    <col min="4892" max="5086" width="8.85546875" style="365"/>
    <col min="5087" max="5087" width="44.5703125" style="365" customWidth="1"/>
    <col min="5088" max="5088" width="14.28515625" style="365" bestFit="1" customWidth="1"/>
    <col min="5089" max="5089" width="1.7109375" style="365" customWidth="1"/>
    <col min="5090" max="5090" width="14.85546875" style="365" customWidth="1"/>
    <col min="5091" max="5091" width="0" style="365" hidden="1" customWidth="1"/>
    <col min="5092" max="5092" width="17.42578125" style="365" customWidth="1"/>
    <col min="5093" max="5093" width="0" style="365" hidden="1" customWidth="1"/>
    <col min="5094" max="5094" width="12.85546875" style="365" customWidth="1"/>
    <col min="5095" max="5095" width="0" style="365" hidden="1" customWidth="1"/>
    <col min="5096" max="5096" width="14.42578125" style="365" customWidth="1"/>
    <col min="5097" max="5097" width="0" style="365" hidden="1" customWidth="1"/>
    <col min="5098" max="5098" width="17.42578125" style="365" customWidth="1"/>
    <col min="5099" max="5099" width="0" style="365" hidden="1" customWidth="1"/>
    <col min="5100" max="5100" width="14" style="365" customWidth="1"/>
    <col min="5101" max="5101" width="14.28515625" style="365" bestFit="1" customWidth="1"/>
    <col min="5102" max="5102" width="0" style="365" hidden="1" customWidth="1"/>
    <col min="5103" max="5103" width="15.5703125" style="365" customWidth="1"/>
    <col min="5104" max="5104" width="44.5703125" style="365" customWidth="1"/>
    <col min="5105" max="5105" width="14.28515625" style="365" bestFit="1" customWidth="1"/>
    <col min="5106" max="5106" width="0" style="365" hidden="1" customWidth="1"/>
    <col min="5107" max="5107" width="18.140625" style="365" customWidth="1"/>
    <col min="5108" max="5108" width="0" style="365" hidden="1" customWidth="1"/>
    <col min="5109" max="5109" width="14" style="365" customWidth="1"/>
    <col min="5110" max="5110" width="0" style="365" hidden="1" customWidth="1"/>
    <col min="5111" max="5111" width="20.85546875" style="365" customWidth="1"/>
    <col min="5112" max="5112" width="0" style="365" hidden="1" customWidth="1"/>
    <col min="5113" max="5113" width="13.28515625" style="365" customWidth="1"/>
    <col min="5114" max="5114" width="0" style="365" hidden="1" customWidth="1"/>
    <col min="5115" max="5115" width="15" style="365" customWidth="1"/>
    <col min="5116" max="5116" width="0" style="365" hidden="1" customWidth="1"/>
    <col min="5117" max="5117" width="13.28515625" style="365" customWidth="1"/>
    <col min="5118" max="5118" width="0" style="365" hidden="1" customWidth="1"/>
    <col min="5119" max="5119" width="20.140625" style="365" customWidth="1"/>
    <col min="5120" max="5120" width="14.42578125" style="365" bestFit="1" customWidth="1"/>
    <col min="5121" max="5121" width="14" style="365" bestFit="1" customWidth="1"/>
    <col min="5122" max="5122" width="12.28515625" style="365" bestFit="1" customWidth="1"/>
    <col min="5123" max="5147" width="9.140625" style="365" customWidth="1"/>
    <col min="5148" max="5342" width="8.85546875" style="365"/>
    <col min="5343" max="5343" width="44.5703125" style="365" customWidth="1"/>
    <col min="5344" max="5344" width="14.28515625" style="365" bestFit="1" customWidth="1"/>
    <col min="5345" max="5345" width="1.7109375" style="365" customWidth="1"/>
    <col min="5346" max="5346" width="14.85546875" style="365" customWidth="1"/>
    <col min="5347" max="5347" width="0" style="365" hidden="1" customWidth="1"/>
    <col min="5348" max="5348" width="17.42578125" style="365" customWidth="1"/>
    <col min="5349" max="5349" width="0" style="365" hidden="1" customWidth="1"/>
    <col min="5350" max="5350" width="12.85546875" style="365" customWidth="1"/>
    <col min="5351" max="5351" width="0" style="365" hidden="1" customWidth="1"/>
    <col min="5352" max="5352" width="14.42578125" style="365" customWidth="1"/>
    <col min="5353" max="5353" width="0" style="365" hidden="1" customWidth="1"/>
    <col min="5354" max="5354" width="17.42578125" style="365" customWidth="1"/>
    <col min="5355" max="5355" width="0" style="365" hidden="1" customWidth="1"/>
    <col min="5356" max="5356" width="14" style="365" customWidth="1"/>
    <col min="5357" max="5357" width="14.28515625" style="365" bestFit="1" customWidth="1"/>
    <col min="5358" max="5358" width="0" style="365" hidden="1" customWidth="1"/>
    <col min="5359" max="5359" width="15.5703125" style="365" customWidth="1"/>
    <col min="5360" max="5360" width="44.5703125" style="365" customWidth="1"/>
    <col min="5361" max="5361" width="14.28515625" style="365" bestFit="1" customWidth="1"/>
    <col min="5362" max="5362" width="0" style="365" hidden="1" customWidth="1"/>
    <col min="5363" max="5363" width="18.140625" style="365" customWidth="1"/>
    <col min="5364" max="5364" width="0" style="365" hidden="1" customWidth="1"/>
    <col min="5365" max="5365" width="14" style="365" customWidth="1"/>
    <col min="5366" max="5366" width="0" style="365" hidden="1" customWidth="1"/>
    <col min="5367" max="5367" width="20.85546875" style="365" customWidth="1"/>
    <col min="5368" max="5368" width="0" style="365" hidden="1" customWidth="1"/>
    <col min="5369" max="5369" width="13.28515625" style="365" customWidth="1"/>
    <col min="5370" max="5370" width="0" style="365" hidden="1" customWidth="1"/>
    <col min="5371" max="5371" width="15" style="365" customWidth="1"/>
    <col min="5372" max="5372" width="0" style="365" hidden="1" customWidth="1"/>
    <col min="5373" max="5373" width="13.28515625" style="365" customWidth="1"/>
    <col min="5374" max="5374" width="0" style="365" hidden="1" customWidth="1"/>
    <col min="5375" max="5375" width="20.140625" style="365" customWidth="1"/>
    <col min="5376" max="5376" width="14.42578125" style="365" bestFit="1" customWidth="1"/>
    <col min="5377" max="5377" width="14" style="365" bestFit="1" customWidth="1"/>
    <col min="5378" max="5378" width="12.28515625" style="365" bestFit="1" customWidth="1"/>
    <col min="5379" max="5403" width="9.140625" style="365" customWidth="1"/>
    <col min="5404" max="5598" width="8.85546875" style="365"/>
    <col min="5599" max="5599" width="44.5703125" style="365" customWidth="1"/>
    <col min="5600" max="5600" width="14.28515625" style="365" bestFit="1" customWidth="1"/>
    <col min="5601" max="5601" width="1.7109375" style="365" customWidth="1"/>
    <col min="5602" max="5602" width="14.85546875" style="365" customWidth="1"/>
    <col min="5603" max="5603" width="0" style="365" hidden="1" customWidth="1"/>
    <col min="5604" max="5604" width="17.42578125" style="365" customWidth="1"/>
    <col min="5605" max="5605" width="0" style="365" hidden="1" customWidth="1"/>
    <col min="5606" max="5606" width="12.85546875" style="365" customWidth="1"/>
    <col min="5607" max="5607" width="0" style="365" hidden="1" customWidth="1"/>
    <col min="5608" max="5608" width="14.42578125" style="365" customWidth="1"/>
    <col min="5609" max="5609" width="0" style="365" hidden="1" customWidth="1"/>
    <col min="5610" max="5610" width="17.42578125" style="365" customWidth="1"/>
    <col min="5611" max="5611" width="0" style="365" hidden="1" customWidth="1"/>
    <col min="5612" max="5612" width="14" style="365" customWidth="1"/>
    <col min="5613" max="5613" width="14.28515625" style="365" bestFit="1" customWidth="1"/>
    <col min="5614" max="5614" width="0" style="365" hidden="1" customWidth="1"/>
    <col min="5615" max="5615" width="15.5703125" style="365" customWidth="1"/>
    <col min="5616" max="5616" width="44.5703125" style="365" customWidth="1"/>
    <col min="5617" max="5617" width="14.28515625" style="365" bestFit="1" customWidth="1"/>
    <col min="5618" max="5618" width="0" style="365" hidden="1" customWidth="1"/>
    <col min="5619" max="5619" width="18.140625" style="365" customWidth="1"/>
    <col min="5620" max="5620" width="0" style="365" hidden="1" customWidth="1"/>
    <col min="5621" max="5621" width="14" style="365" customWidth="1"/>
    <col min="5622" max="5622" width="0" style="365" hidden="1" customWidth="1"/>
    <col min="5623" max="5623" width="20.85546875" style="365" customWidth="1"/>
    <col min="5624" max="5624" width="0" style="365" hidden="1" customWidth="1"/>
    <col min="5625" max="5625" width="13.28515625" style="365" customWidth="1"/>
    <col min="5626" max="5626" width="0" style="365" hidden="1" customWidth="1"/>
    <col min="5627" max="5627" width="15" style="365" customWidth="1"/>
    <col min="5628" max="5628" width="0" style="365" hidden="1" customWidth="1"/>
    <col min="5629" max="5629" width="13.28515625" style="365" customWidth="1"/>
    <col min="5630" max="5630" width="0" style="365" hidden="1" customWidth="1"/>
    <col min="5631" max="5631" width="20.140625" style="365" customWidth="1"/>
    <col min="5632" max="5632" width="14.42578125" style="365" bestFit="1" customWidth="1"/>
    <col min="5633" max="5633" width="14" style="365" bestFit="1" customWidth="1"/>
    <col min="5634" max="5634" width="12.28515625" style="365" bestFit="1" customWidth="1"/>
    <col min="5635" max="5659" width="9.140625" style="365" customWidth="1"/>
    <col min="5660" max="5854" width="8.85546875" style="365"/>
    <col min="5855" max="5855" width="44.5703125" style="365" customWidth="1"/>
    <col min="5856" max="5856" width="14.28515625" style="365" bestFit="1" customWidth="1"/>
    <col min="5857" max="5857" width="1.7109375" style="365" customWidth="1"/>
    <col min="5858" max="5858" width="14.85546875" style="365" customWidth="1"/>
    <col min="5859" max="5859" width="0" style="365" hidden="1" customWidth="1"/>
    <col min="5860" max="5860" width="17.42578125" style="365" customWidth="1"/>
    <col min="5861" max="5861" width="0" style="365" hidden="1" customWidth="1"/>
    <col min="5862" max="5862" width="12.85546875" style="365" customWidth="1"/>
    <col min="5863" max="5863" width="0" style="365" hidden="1" customWidth="1"/>
    <col min="5864" max="5864" width="14.42578125" style="365" customWidth="1"/>
    <col min="5865" max="5865" width="0" style="365" hidden="1" customWidth="1"/>
    <col min="5866" max="5866" width="17.42578125" style="365" customWidth="1"/>
    <col min="5867" max="5867" width="0" style="365" hidden="1" customWidth="1"/>
    <col min="5868" max="5868" width="14" style="365" customWidth="1"/>
    <col min="5869" max="5869" width="14.28515625" style="365" bestFit="1" customWidth="1"/>
    <col min="5870" max="5870" width="0" style="365" hidden="1" customWidth="1"/>
    <col min="5871" max="5871" width="15.5703125" style="365" customWidth="1"/>
    <col min="5872" max="5872" width="44.5703125" style="365" customWidth="1"/>
    <col min="5873" max="5873" width="14.28515625" style="365" bestFit="1" customWidth="1"/>
    <col min="5874" max="5874" width="0" style="365" hidden="1" customWidth="1"/>
    <col min="5875" max="5875" width="18.140625" style="365" customWidth="1"/>
    <col min="5876" max="5876" width="0" style="365" hidden="1" customWidth="1"/>
    <col min="5877" max="5877" width="14" style="365" customWidth="1"/>
    <col min="5878" max="5878" width="0" style="365" hidden="1" customWidth="1"/>
    <col min="5879" max="5879" width="20.85546875" style="365" customWidth="1"/>
    <col min="5880" max="5880" width="0" style="365" hidden="1" customWidth="1"/>
    <col min="5881" max="5881" width="13.28515625" style="365" customWidth="1"/>
    <col min="5882" max="5882" width="0" style="365" hidden="1" customWidth="1"/>
    <col min="5883" max="5883" width="15" style="365" customWidth="1"/>
    <col min="5884" max="5884" width="0" style="365" hidden="1" customWidth="1"/>
    <col min="5885" max="5885" width="13.28515625" style="365" customWidth="1"/>
    <col min="5886" max="5886" width="0" style="365" hidden="1" customWidth="1"/>
    <col min="5887" max="5887" width="20.140625" style="365" customWidth="1"/>
    <col min="5888" max="5888" width="14.42578125" style="365" bestFit="1" customWidth="1"/>
    <col min="5889" max="5889" width="14" style="365" bestFit="1" customWidth="1"/>
    <col min="5890" max="5890" width="12.28515625" style="365" bestFit="1" customWidth="1"/>
    <col min="5891" max="5915" width="9.140625" style="365" customWidth="1"/>
    <col min="5916" max="6110" width="8.85546875" style="365"/>
    <col min="6111" max="6111" width="44.5703125" style="365" customWidth="1"/>
    <col min="6112" max="6112" width="14.28515625" style="365" bestFit="1" customWidth="1"/>
    <col min="6113" max="6113" width="1.7109375" style="365" customWidth="1"/>
    <col min="6114" max="6114" width="14.85546875" style="365" customWidth="1"/>
    <col min="6115" max="6115" width="0" style="365" hidden="1" customWidth="1"/>
    <col min="6116" max="6116" width="17.42578125" style="365" customWidth="1"/>
    <col min="6117" max="6117" width="0" style="365" hidden="1" customWidth="1"/>
    <col min="6118" max="6118" width="12.85546875" style="365" customWidth="1"/>
    <col min="6119" max="6119" width="0" style="365" hidden="1" customWidth="1"/>
    <col min="6120" max="6120" width="14.42578125" style="365" customWidth="1"/>
    <col min="6121" max="6121" width="0" style="365" hidden="1" customWidth="1"/>
    <col min="6122" max="6122" width="17.42578125" style="365" customWidth="1"/>
    <col min="6123" max="6123" width="0" style="365" hidden="1" customWidth="1"/>
    <col min="6124" max="6124" width="14" style="365" customWidth="1"/>
    <col min="6125" max="6125" width="14.28515625" style="365" bestFit="1" customWidth="1"/>
    <col min="6126" max="6126" width="0" style="365" hidden="1" customWidth="1"/>
    <col min="6127" max="6127" width="15.5703125" style="365" customWidth="1"/>
    <col min="6128" max="6128" width="44.5703125" style="365" customWidth="1"/>
    <col min="6129" max="6129" width="14.28515625" style="365" bestFit="1" customWidth="1"/>
    <col min="6130" max="6130" width="0" style="365" hidden="1" customWidth="1"/>
    <col min="6131" max="6131" width="18.140625" style="365" customWidth="1"/>
    <col min="6132" max="6132" width="0" style="365" hidden="1" customWidth="1"/>
    <col min="6133" max="6133" width="14" style="365" customWidth="1"/>
    <col min="6134" max="6134" width="0" style="365" hidden="1" customWidth="1"/>
    <col min="6135" max="6135" width="20.85546875" style="365" customWidth="1"/>
    <col min="6136" max="6136" width="0" style="365" hidden="1" customWidth="1"/>
    <col min="6137" max="6137" width="13.28515625" style="365" customWidth="1"/>
    <col min="6138" max="6138" width="0" style="365" hidden="1" customWidth="1"/>
    <col min="6139" max="6139" width="15" style="365" customWidth="1"/>
    <col min="6140" max="6140" width="0" style="365" hidden="1" customWidth="1"/>
    <col min="6141" max="6141" width="13.28515625" style="365" customWidth="1"/>
    <col min="6142" max="6142" width="0" style="365" hidden="1" customWidth="1"/>
    <col min="6143" max="6143" width="20.140625" style="365" customWidth="1"/>
    <col min="6144" max="6144" width="14.42578125" style="365" bestFit="1" customWidth="1"/>
    <col min="6145" max="6145" width="14" style="365" bestFit="1" customWidth="1"/>
    <col min="6146" max="6146" width="12.28515625" style="365" bestFit="1" customWidth="1"/>
    <col min="6147" max="6171" width="9.140625" style="365" customWidth="1"/>
    <col min="6172" max="6366" width="8.85546875" style="365"/>
    <col min="6367" max="6367" width="44.5703125" style="365" customWidth="1"/>
    <col min="6368" max="6368" width="14.28515625" style="365" bestFit="1" customWidth="1"/>
    <col min="6369" max="6369" width="1.7109375" style="365" customWidth="1"/>
    <col min="6370" max="6370" width="14.85546875" style="365" customWidth="1"/>
    <col min="6371" max="6371" width="0" style="365" hidden="1" customWidth="1"/>
    <col min="6372" max="6372" width="17.42578125" style="365" customWidth="1"/>
    <col min="6373" max="6373" width="0" style="365" hidden="1" customWidth="1"/>
    <col min="6374" max="6374" width="12.85546875" style="365" customWidth="1"/>
    <col min="6375" max="6375" width="0" style="365" hidden="1" customWidth="1"/>
    <col min="6376" max="6376" width="14.42578125" style="365" customWidth="1"/>
    <col min="6377" max="6377" width="0" style="365" hidden="1" customWidth="1"/>
    <col min="6378" max="6378" width="17.42578125" style="365" customWidth="1"/>
    <col min="6379" max="6379" width="0" style="365" hidden="1" customWidth="1"/>
    <col min="6380" max="6380" width="14" style="365" customWidth="1"/>
    <col min="6381" max="6381" width="14.28515625" style="365" bestFit="1" customWidth="1"/>
    <col min="6382" max="6382" width="0" style="365" hidden="1" customWidth="1"/>
    <col min="6383" max="6383" width="15.5703125" style="365" customWidth="1"/>
    <col min="6384" max="6384" width="44.5703125" style="365" customWidth="1"/>
    <col min="6385" max="6385" width="14.28515625" style="365" bestFit="1" customWidth="1"/>
    <col min="6386" max="6386" width="0" style="365" hidden="1" customWidth="1"/>
    <col min="6387" max="6387" width="18.140625" style="365" customWidth="1"/>
    <col min="6388" max="6388" width="0" style="365" hidden="1" customWidth="1"/>
    <col min="6389" max="6389" width="14" style="365" customWidth="1"/>
    <col min="6390" max="6390" width="0" style="365" hidden="1" customWidth="1"/>
    <col min="6391" max="6391" width="20.85546875" style="365" customWidth="1"/>
    <col min="6392" max="6392" width="0" style="365" hidden="1" customWidth="1"/>
    <col min="6393" max="6393" width="13.28515625" style="365" customWidth="1"/>
    <col min="6394" max="6394" width="0" style="365" hidden="1" customWidth="1"/>
    <col min="6395" max="6395" width="15" style="365" customWidth="1"/>
    <col min="6396" max="6396" width="0" style="365" hidden="1" customWidth="1"/>
    <col min="6397" max="6397" width="13.28515625" style="365" customWidth="1"/>
    <col min="6398" max="6398" width="0" style="365" hidden="1" customWidth="1"/>
    <col min="6399" max="6399" width="20.140625" style="365" customWidth="1"/>
    <col min="6400" max="6400" width="14.42578125" style="365" bestFit="1" customWidth="1"/>
    <col min="6401" max="6401" width="14" style="365" bestFit="1" customWidth="1"/>
    <col min="6402" max="6402" width="12.28515625" style="365" bestFit="1" customWidth="1"/>
    <col min="6403" max="6427" width="9.140625" style="365" customWidth="1"/>
    <col min="6428" max="6622" width="8.85546875" style="365"/>
    <col min="6623" max="6623" width="44.5703125" style="365" customWidth="1"/>
    <col min="6624" max="6624" width="14.28515625" style="365" bestFit="1" customWidth="1"/>
    <col min="6625" max="6625" width="1.7109375" style="365" customWidth="1"/>
    <col min="6626" max="6626" width="14.85546875" style="365" customWidth="1"/>
    <col min="6627" max="6627" width="0" style="365" hidden="1" customWidth="1"/>
    <col min="6628" max="6628" width="17.42578125" style="365" customWidth="1"/>
    <col min="6629" max="6629" width="0" style="365" hidden="1" customWidth="1"/>
    <col min="6630" max="6630" width="12.85546875" style="365" customWidth="1"/>
    <col min="6631" max="6631" width="0" style="365" hidden="1" customWidth="1"/>
    <col min="6632" max="6632" width="14.42578125" style="365" customWidth="1"/>
    <col min="6633" max="6633" width="0" style="365" hidden="1" customWidth="1"/>
    <col min="6634" max="6634" width="17.42578125" style="365" customWidth="1"/>
    <col min="6635" max="6635" width="0" style="365" hidden="1" customWidth="1"/>
    <col min="6636" max="6636" width="14" style="365" customWidth="1"/>
    <col min="6637" max="6637" width="14.28515625" style="365" bestFit="1" customWidth="1"/>
    <col min="6638" max="6638" width="0" style="365" hidden="1" customWidth="1"/>
    <col min="6639" max="6639" width="15.5703125" style="365" customWidth="1"/>
    <col min="6640" max="6640" width="44.5703125" style="365" customWidth="1"/>
    <col min="6641" max="6641" width="14.28515625" style="365" bestFit="1" customWidth="1"/>
    <col min="6642" max="6642" width="0" style="365" hidden="1" customWidth="1"/>
    <col min="6643" max="6643" width="18.140625" style="365" customWidth="1"/>
    <col min="6644" max="6644" width="0" style="365" hidden="1" customWidth="1"/>
    <col min="6645" max="6645" width="14" style="365" customWidth="1"/>
    <col min="6646" max="6646" width="0" style="365" hidden="1" customWidth="1"/>
    <col min="6647" max="6647" width="20.85546875" style="365" customWidth="1"/>
    <col min="6648" max="6648" width="0" style="365" hidden="1" customWidth="1"/>
    <col min="6649" max="6649" width="13.28515625" style="365" customWidth="1"/>
    <col min="6650" max="6650" width="0" style="365" hidden="1" customWidth="1"/>
    <col min="6651" max="6651" width="15" style="365" customWidth="1"/>
    <col min="6652" max="6652" width="0" style="365" hidden="1" customWidth="1"/>
    <col min="6653" max="6653" width="13.28515625" style="365" customWidth="1"/>
    <col min="6654" max="6654" width="0" style="365" hidden="1" customWidth="1"/>
    <col min="6655" max="6655" width="20.140625" style="365" customWidth="1"/>
    <col min="6656" max="6656" width="14.42578125" style="365" bestFit="1" customWidth="1"/>
    <col min="6657" max="6657" width="14" style="365" bestFit="1" customWidth="1"/>
    <col min="6658" max="6658" width="12.28515625" style="365" bestFit="1" customWidth="1"/>
    <col min="6659" max="6683" width="9.140625" style="365" customWidth="1"/>
    <col min="6684" max="6878" width="8.85546875" style="365"/>
    <col min="6879" max="6879" width="44.5703125" style="365" customWidth="1"/>
    <col min="6880" max="6880" width="14.28515625" style="365" bestFit="1" customWidth="1"/>
    <col min="6881" max="6881" width="1.7109375" style="365" customWidth="1"/>
    <col min="6882" max="6882" width="14.85546875" style="365" customWidth="1"/>
    <col min="6883" max="6883" width="0" style="365" hidden="1" customWidth="1"/>
    <col min="6884" max="6884" width="17.42578125" style="365" customWidth="1"/>
    <col min="6885" max="6885" width="0" style="365" hidden="1" customWidth="1"/>
    <col min="6886" max="6886" width="12.85546875" style="365" customWidth="1"/>
    <col min="6887" max="6887" width="0" style="365" hidden="1" customWidth="1"/>
    <col min="6888" max="6888" width="14.42578125" style="365" customWidth="1"/>
    <col min="6889" max="6889" width="0" style="365" hidden="1" customWidth="1"/>
    <col min="6890" max="6890" width="17.42578125" style="365" customWidth="1"/>
    <col min="6891" max="6891" width="0" style="365" hidden="1" customWidth="1"/>
    <col min="6892" max="6892" width="14" style="365" customWidth="1"/>
    <col min="6893" max="6893" width="14.28515625" style="365" bestFit="1" customWidth="1"/>
    <col min="6894" max="6894" width="0" style="365" hidden="1" customWidth="1"/>
    <col min="6895" max="6895" width="15.5703125" style="365" customWidth="1"/>
    <col min="6896" max="6896" width="44.5703125" style="365" customWidth="1"/>
    <col min="6897" max="6897" width="14.28515625" style="365" bestFit="1" customWidth="1"/>
    <col min="6898" max="6898" width="0" style="365" hidden="1" customWidth="1"/>
    <col min="6899" max="6899" width="18.140625" style="365" customWidth="1"/>
    <col min="6900" max="6900" width="0" style="365" hidden="1" customWidth="1"/>
    <col min="6901" max="6901" width="14" style="365" customWidth="1"/>
    <col min="6902" max="6902" width="0" style="365" hidden="1" customWidth="1"/>
    <col min="6903" max="6903" width="20.85546875" style="365" customWidth="1"/>
    <col min="6904" max="6904" width="0" style="365" hidden="1" customWidth="1"/>
    <col min="6905" max="6905" width="13.28515625" style="365" customWidth="1"/>
    <col min="6906" max="6906" width="0" style="365" hidden="1" customWidth="1"/>
    <col min="6907" max="6907" width="15" style="365" customWidth="1"/>
    <col min="6908" max="6908" width="0" style="365" hidden="1" customWidth="1"/>
    <col min="6909" max="6909" width="13.28515625" style="365" customWidth="1"/>
    <col min="6910" max="6910" width="0" style="365" hidden="1" customWidth="1"/>
    <col min="6911" max="6911" width="20.140625" style="365" customWidth="1"/>
    <col min="6912" max="6912" width="14.42578125" style="365" bestFit="1" customWidth="1"/>
    <col min="6913" max="6913" width="14" style="365" bestFit="1" customWidth="1"/>
    <col min="6914" max="6914" width="12.28515625" style="365" bestFit="1" customWidth="1"/>
    <col min="6915" max="6939" width="9.140625" style="365" customWidth="1"/>
    <col min="6940" max="7134" width="8.85546875" style="365"/>
    <col min="7135" max="7135" width="44.5703125" style="365" customWidth="1"/>
    <col min="7136" max="7136" width="14.28515625" style="365" bestFit="1" customWidth="1"/>
    <col min="7137" max="7137" width="1.7109375" style="365" customWidth="1"/>
    <col min="7138" max="7138" width="14.85546875" style="365" customWidth="1"/>
    <col min="7139" max="7139" width="0" style="365" hidden="1" customWidth="1"/>
    <col min="7140" max="7140" width="17.42578125" style="365" customWidth="1"/>
    <col min="7141" max="7141" width="0" style="365" hidden="1" customWidth="1"/>
    <col min="7142" max="7142" width="12.85546875" style="365" customWidth="1"/>
    <col min="7143" max="7143" width="0" style="365" hidden="1" customWidth="1"/>
    <col min="7144" max="7144" width="14.42578125" style="365" customWidth="1"/>
    <col min="7145" max="7145" width="0" style="365" hidden="1" customWidth="1"/>
    <col min="7146" max="7146" width="17.42578125" style="365" customWidth="1"/>
    <col min="7147" max="7147" width="0" style="365" hidden="1" customWidth="1"/>
    <col min="7148" max="7148" width="14" style="365" customWidth="1"/>
    <col min="7149" max="7149" width="14.28515625" style="365" bestFit="1" customWidth="1"/>
    <col min="7150" max="7150" width="0" style="365" hidden="1" customWidth="1"/>
    <col min="7151" max="7151" width="15.5703125" style="365" customWidth="1"/>
    <col min="7152" max="7152" width="44.5703125" style="365" customWidth="1"/>
    <col min="7153" max="7153" width="14.28515625" style="365" bestFit="1" customWidth="1"/>
    <col min="7154" max="7154" width="0" style="365" hidden="1" customWidth="1"/>
    <col min="7155" max="7155" width="18.140625" style="365" customWidth="1"/>
    <col min="7156" max="7156" width="0" style="365" hidden="1" customWidth="1"/>
    <col min="7157" max="7157" width="14" style="365" customWidth="1"/>
    <col min="7158" max="7158" width="0" style="365" hidden="1" customWidth="1"/>
    <col min="7159" max="7159" width="20.85546875" style="365" customWidth="1"/>
    <col min="7160" max="7160" width="0" style="365" hidden="1" customWidth="1"/>
    <col min="7161" max="7161" width="13.28515625" style="365" customWidth="1"/>
    <col min="7162" max="7162" width="0" style="365" hidden="1" customWidth="1"/>
    <col min="7163" max="7163" width="15" style="365" customWidth="1"/>
    <col min="7164" max="7164" width="0" style="365" hidden="1" customWidth="1"/>
    <col min="7165" max="7165" width="13.28515625" style="365" customWidth="1"/>
    <col min="7166" max="7166" width="0" style="365" hidden="1" customWidth="1"/>
    <col min="7167" max="7167" width="20.140625" style="365" customWidth="1"/>
    <col min="7168" max="7168" width="14.42578125" style="365" bestFit="1" customWidth="1"/>
    <col min="7169" max="7169" width="14" style="365" bestFit="1" customWidth="1"/>
    <col min="7170" max="7170" width="12.28515625" style="365" bestFit="1" customWidth="1"/>
    <col min="7171" max="7195" width="9.140625" style="365" customWidth="1"/>
    <col min="7196" max="7390" width="8.85546875" style="365"/>
    <col min="7391" max="7391" width="44.5703125" style="365" customWidth="1"/>
    <col min="7392" max="7392" width="14.28515625" style="365" bestFit="1" customWidth="1"/>
    <col min="7393" max="7393" width="1.7109375" style="365" customWidth="1"/>
    <col min="7394" max="7394" width="14.85546875" style="365" customWidth="1"/>
    <col min="7395" max="7395" width="0" style="365" hidden="1" customWidth="1"/>
    <col min="7396" max="7396" width="17.42578125" style="365" customWidth="1"/>
    <col min="7397" max="7397" width="0" style="365" hidden="1" customWidth="1"/>
    <col min="7398" max="7398" width="12.85546875" style="365" customWidth="1"/>
    <col min="7399" max="7399" width="0" style="365" hidden="1" customWidth="1"/>
    <col min="7400" max="7400" width="14.42578125" style="365" customWidth="1"/>
    <col min="7401" max="7401" width="0" style="365" hidden="1" customWidth="1"/>
    <col min="7402" max="7402" width="17.42578125" style="365" customWidth="1"/>
    <col min="7403" max="7403" width="0" style="365" hidden="1" customWidth="1"/>
    <col min="7404" max="7404" width="14" style="365" customWidth="1"/>
    <col min="7405" max="7405" width="14.28515625" style="365" bestFit="1" customWidth="1"/>
    <col min="7406" max="7406" width="0" style="365" hidden="1" customWidth="1"/>
    <col min="7407" max="7407" width="15.5703125" style="365" customWidth="1"/>
    <col min="7408" max="7408" width="44.5703125" style="365" customWidth="1"/>
    <col min="7409" max="7409" width="14.28515625" style="365" bestFit="1" customWidth="1"/>
    <col min="7410" max="7410" width="0" style="365" hidden="1" customWidth="1"/>
    <col min="7411" max="7411" width="18.140625" style="365" customWidth="1"/>
    <col min="7412" max="7412" width="0" style="365" hidden="1" customWidth="1"/>
    <col min="7413" max="7413" width="14" style="365" customWidth="1"/>
    <col min="7414" max="7414" width="0" style="365" hidden="1" customWidth="1"/>
    <col min="7415" max="7415" width="20.85546875" style="365" customWidth="1"/>
    <col min="7416" max="7416" width="0" style="365" hidden="1" customWidth="1"/>
    <col min="7417" max="7417" width="13.28515625" style="365" customWidth="1"/>
    <col min="7418" max="7418" width="0" style="365" hidden="1" customWidth="1"/>
    <col min="7419" max="7419" width="15" style="365" customWidth="1"/>
    <col min="7420" max="7420" width="0" style="365" hidden="1" customWidth="1"/>
    <col min="7421" max="7421" width="13.28515625" style="365" customWidth="1"/>
    <col min="7422" max="7422" width="0" style="365" hidden="1" customWidth="1"/>
    <col min="7423" max="7423" width="20.140625" style="365" customWidth="1"/>
    <col min="7424" max="7424" width="14.42578125" style="365" bestFit="1" customWidth="1"/>
    <col min="7425" max="7425" width="14" style="365" bestFit="1" customWidth="1"/>
    <col min="7426" max="7426" width="12.28515625" style="365" bestFit="1" customWidth="1"/>
    <col min="7427" max="7451" width="9.140625" style="365" customWidth="1"/>
    <col min="7452" max="7646" width="8.85546875" style="365"/>
    <col min="7647" max="7647" width="44.5703125" style="365" customWidth="1"/>
    <col min="7648" max="7648" width="14.28515625" style="365" bestFit="1" customWidth="1"/>
    <col min="7649" max="7649" width="1.7109375" style="365" customWidth="1"/>
    <col min="7650" max="7650" width="14.85546875" style="365" customWidth="1"/>
    <col min="7651" max="7651" width="0" style="365" hidden="1" customWidth="1"/>
    <col min="7652" max="7652" width="17.42578125" style="365" customWidth="1"/>
    <col min="7653" max="7653" width="0" style="365" hidden="1" customWidth="1"/>
    <col min="7654" max="7654" width="12.85546875" style="365" customWidth="1"/>
    <col min="7655" max="7655" width="0" style="365" hidden="1" customWidth="1"/>
    <col min="7656" max="7656" width="14.42578125" style="365" customWidth="1"/>
    <col min="7657" max="7657" width="0" style="365" hidden="1" customWidth="1"/>
    <col min="7658" max="7658" width="17.42578125" style="365" customWidth="1"/>
    <col min="7659" max="7659" width="0" style="365" hidden="1" customWidth="1"/>
    <col min="7660" max="7660" width="14" style="365" customWidth="1"/>
    <col min="7661" max="7661" width="14.28515625" style="365" bestFit="1" customWidth="1"/>
    <col min="7662" max="7662" width="0" style="365" hidden="1" customWidth="1"/>
    <col min="7663" max="7663" width="15.5703125" style="365" customWidth="1"/>
    <col min="7664" max="7664" width="44.5703125" style="365" customWidth="1"/>
    <col min="7665" max="7665" width="14.28515625" style="365" bestFit="1" customWidth="1"/>
    <col min="7666" max="7666" width="0" style="365" hidden="1" customWidth="1"/>
    <col min="7667" max="7667" width="18.140625" style="365" customWidth="1"/>
    <col min="7668" max="7668" width="0" style="365" hidden="1" customWidth="1"/>
    <col min="7669" max="7669" width="14" style="365" customWidth="1"/>
    <col min="7670" max="7670" width="0" style="365" hidden="1" customWidth="1"/>
    <col min="7671" max="7671" width="20.85546875" style="365" customWidth="1"/>
    <col min="7672" max="7672" width="0" style="365" hidden="1" customWidth="1"/>
    <col min="7673" max="7673" width="13.28515625" style="365" customWidth="1"/>
    <col min="7674" max="7674" width="0" style="365" hidden="1" customWidth="1"/>
    <col min="7675" max="7675" width="15" style="365" customWidth="1"/>
    <col min="7676" max="7676" width="0" style="365" hidden="1" customWidth="1"/>
    <col min="7677" max="7677" width="13.28515625" style="365" customWidth="1"/>
    <col min="7678" max="7678" width="0" style="365" hidden="1" customWidth="1"/>
    <col min="7679" max="7679" width="20.140625" style="365" customWidth="1"/>
    <col min="7680" max="7680" width="14.42578125" style="365" bestFit="1" customWidth="1"/>
    <col min="7681" max="7681" width="14" style="365" bestFit="1" customWidth="1"/>
    <col min="7682" max="7682" width="12.28515625" style="365" bestFit="1" customWidth="1"/>
    <col min="7683" max="7707" width="9.140625" style="365" customWidth="1"/>
    <col min="7708" max="7902" width="8.85546875" style="365"/>
    <col min="7903" max="7903" width="44.5703125" style="365" customWidth="1"/>
    <col min="7904" max="7904" width="14.28515625" style="365" bestFit="1" customWidth="1"/>
    <col min="7905" max="7905" width="1.7109375" style="365" customWidth="1"/>
    <col min="7906" max="7906" width="14.85546875" style="365" customWidth="1"/>
    <col min="7907" max="7907" width="0" style="365" hidden="1" customWidth="1"/>
    <col min="7908" max="7908" width="17.42578125" style="365" customWidth="1"/>
    <col min="7909" max="7909" width="0" style="365" hidden="1" customWidth="1"/>
    <col min="7910" max="7910" width="12.85546875" style="365" customWidth="1"/>
    <col min="7911" max="7911" width="0" style="365" hidden="1" customWidth="1"/>
    <col min="7912" max="7912" width="14.42578125" style="365" customWidth="1"/>
    <col min="7913" max="7913" width="0" style="365" hidden="1" customWidth="1"/>
    <col min="7914" max="7914" width="17.42578125" style="365" customWidth="1"/>
    <col min="7915" max="7915" width="0" style="365" hidden="1" customWidth="1"/>
    <col min="7916" max="7916" width="14" style="365" customWidth="1"/>
    <col min="7917" max="7917" width="14.28515625" style="365" bestFit="1" customWidth="1"/>
    <col min="7918" max="7918" width="0" style="365" hidden="1" customWidth="1"/>
    <col min="7919" max="7919" width="15.5703125" style="365" customWidth="1"/>
    <col min="7920" max="7920" width="44.5703125" style="365" customWidth="1"/>
    <col min="7921" max="7921" width="14.28515625" style="365" bestFit="1" customWidth="1"/>
    <col min="7922" max="7922" width="0" style="365" hidden="1" customWidth="1"/>
    <col min="7923" max="7923" width="18.140625" style="365" customWidth="1"/>
    <col min="7924" max="7924" width="0" style="365" hidden="1" customWidth="1"/>
    <col min="7925" max="7925" width="14" style="365" customWidth="1"/>
    <col min="7926" max="7926" width="0" style="365" hidden="1" customWidth="1"/>
    <col min="7927" max="7927" width="20.85546875" style="365" customWidth="1"/>
    <col min="7928" max="7928" width="0" style="365" hidden="1" customWidth="1"/>
    <col min="7929" max="7929" width="13.28515625" style="365" customWidth="1"/>
    <col min="7930" max="7930" width="0" style="365" hidden="1" customWidth="1"/>
    <col min="7931" max="7931" width="15" style="365" customWidth="1"/>
    <col min="7932" max="7932" width="0" style="365" hidden="1" customWidth="1"/>
    <col min="7933" max="7933" width="13.28515625" style="365" customWidth="1"/>
    <col min="7934" max="7934" width="0" style="365" hidden="1" customWidth="1"/>
    <col min="7935" max="7935" width="20.140625" style="365" customWidth="1"/>
    <col min="7936" max="7936" width="14.42578125" style="365" bestFit="1" customWidth="1"/>
    <col min="7937" max="7937" width="14" style="365" bestFit="1" customWidth="1"/>
    <col min="7938" max="7938" width="12.28515625" style="365" bestFit="1" customWidth="1"/>
    <col min="7939" max="7963" width="9.140625" style="365" customWidth="1"/>
    <col min="7964" max="8158" width="8.85546875" style="365"/>
    <col min="8159" max="8159" width="44.5703125" style="365" customWidth="1"/>
    <col min="8160" max="8160" width="14.28515625" style="365" bestFit="1" customWidth="1"/>
    <col min="8161" max="8161" width="1.7109375" style="365" customWidth="1"/>
    <col min="8162" max="8162" width="14.85546875" style="365" customWidth="1"/>
    <col min="8163" max="8163" width="0" style="365" hidden="1" customWidth="1"/>
    <col min="8164" max="8164" width="17.42578125" style="365" customWidth="1"/>
    <col min="8165" max="8165" width="0" style="365" hidden="1" customWidth="1"/>
    <col min="8166" max="8166" width="12.85546875" style="365" customWidth="1"/>
    <col min="8167" max="8167" width="0" style="365" hidden="1" customWidth="1"/>
    <col min="8168" max="8168" width="14.42578125" style="365" customWidth="1"/>
    <col min="8169" max="8169" width="0" style="365" hidden="1" customWidth="1"/>
    <col min="8170" max="8170" width="17.42578125" style="365" customWidth="1"/>
    <col min="8171" max="8171" width="0" style="365" hidden="1" customWidth="1"/>
    <col min="8172" max="8172" width="14" style="365" customWidth="1"/>
    <col min="8173" max="8173" width="14.28515625" style="365" bestFit="1" customWidth="1"/>
    <col min="8174" max="8174" width="0" style="365" hidden="1" customWidth="1"/>
    <col min="8175" max="8175" width="15.5703125" style="365" customWidth="1"/>
    <col min="8176" max="8176" width="44.5703125" style="365" customWidth="1"/>
    <col min="8177" max="8177" width="14.28515625" style="365" bestFit="1" customWidth="1"/>
    <col min="8178" max="8178" width="0" style="365" hidden="1" customWidth="1"/>
    <col min="8179" max="8179" width="18.140625" style="365" customWidth="1"/>
    <col min="8180" max="8180" width="0" style="365" hidden="1" customWidth="1"/>
    <col min="8181" max="8181" width="14" style="365" customWidth="1"/>
    <col min="8182" max="8182" width="0" style="365" hidden="1" customWidth="1"/>
    <col min="8183" max="8183" width="20.85546875" style="365" customWidth="1"/>
    <col min="8184" max="8184" width="0" style="365" hidden="1" customWidth="1"/>
    <col min="8185" max="8185" width="13.28515625" style="365" customWidth="1"/>
    <col min="8186" max="8186" width="0" style="365" hidden="1" customWidth="1"/>
    <col min="8187" max="8187" width="15" style="365" customWidth="1"/>
    <col min="8188" max="8188" width="0" style="365" hidden="1" customWidth="1"/>
    <col min="8189" max="8189" width="13.28515625" style="365" customWidth="1"/>
    <col min="8190" max="8190" width="0" style="365" hidden="1" customWidth="1"/>
    <col min="8191" max="8191" width="20.140625" style="365" customWidth="1"/>
    <col min="8192" max="8192" width="14.42578125" style="365" bestFit="1" customWidth="1"/>
    <col min="8193" max="8193" width="14" style="365" bestFit="1" customWidth="1"/>
    <col min="8194" max="8194" width="12.28515625" style="365" bestFit="1" customWidth="1"/>
    <col min="8195" max="8219" width="9.140625" style="365" customWidth="1"/>
    <col min="8220" max="8414" width="8.85546875" style="365"/>
    <col min="8415" max="8415" width="44.5703125" style="365" customWidth="1"/>
    <col min="8416" max="8416" width="14.28515625" style="365" bestFit="1" customWidth="1"/>
    <col min="8417" max="8417" width="1.7109375" style="365" customWidth="1"/>
    <col min="8418" max="8418" width="14.85546875" style="365" customWidth="1"/>
    <col min="8419" max="8419" width="0" style="365" hidden="1" customWidth="1"/>
    <col min="8420" max="8420" width="17.42578125" style="365" customWidth="1"/>
    <col min="8421" max="8421" width="0" style="365" hidden="1" customWidth="1"/>
    <col min="8422" max="8422" width="12.85546875" style="365" customWidth="1"/>
    <col min="8423" max="8423" width="0" style="365" hidden="1" customWidth="1"/>
    <col min="8424" max="8424" width="14.42578125" style="365" customWidth="1"/>
    <col min="8425" max="8425" width="0" style="365" hidden="1" customWidth="1"/>
    <col min="8426" max="8426" width="17.42578125" style="365" customWidth="1"/>
    <col min="8427" max="8427" width="0" style="365" hidden="1" customWidth="1"/>
    <col min="8428" max="8428" width="14" style="365" customWidth="1"/>
    <col min="8429" max="8429" width="14.28515625" style="365" bestFit="1" customWidth="1"/>
    <col min="8430" max="8430" width="0" style="365" hidden="1" customWidth="1"/>
    <col min="8431" max="8431" width="15.5703125" style="365" customWidth="1"/>
    <col min="8432" max="8432" width="44.5703125" style="365" customWidth="1"/>
    <col min="8433" max="8433" width="14.28515625" style="365" bestFit="1" customWidth="1"/>
    <col min="8434" max="8434" width="0" style="365" hidden="1" customWidth="1"/>
    <col min="8435" max="8435" width="18.140625" style="365" customWidth="1"/>
    <col min="8436" max="8436" width="0" style="365" hidden="1" customWidth="1"/>
    <col min="8437" max="8437" width="14" style="365" customWidth="1"/>
    <col min="8438" max="8438" width="0" style="365" hidden="1" customWidth="1"/>
    <col min="8439" max="8439" width="20.85546875" style="365" customWidth="1"/>
    <col min="8440" max="8440" width="0" style="365" hidden="1" customWidth="1"/>
    <col min="8441" max="8441" width="13.28515625" style="365" customWidth="1"/>
    <col min="8442" max="8442" width="0" style="365" hidden="1" customWidth="1"/>
    <col min="8443" max="8443" width="15" style="365" customWidth="1"/>
    <col min="8444" max="8444" width="0" style="365" hidden="1" customWidth="1"/>
    <col min="8445" max="8445" width="13.28515625" style="365" customWidth="1"/>
    <col min="8446" max="8446" width="0" style="365" hidden="1" customWidth="1"/>
    <col min="8447" max="8447" width="20.140625" style="365" customWidth="1"/>
    <col min="8448" max="8448" width="14.42578125" style="365" bestFit="1" customWidth="1"/>
    <col min="8449" max="8449" width="14" style="365" bestFit="1" customWidth="1"/>
    <col min="8450" max="8450" width="12.28515625" style="365" bestFit="1" customWidth="1"/>
    <col min="8451" max="8475" width="9.140625" style="365" customWidth="1"/>
    <col min="8476" max="8670" width="8.85546875" style="365"/>
    <col min="8671" max="8671" width="44.5703125" style="365" customWidth="1"/>
    <col min="8672" max="8672" width="14.28515625" style="365" bestFit="1" customWidth="1"/>
    <col min="8673" max="8673" width="1.7109375" style="365" customWidth="1"/>
    <col min="8674" max="8674" width="14.85546875" style="365" customWidth="1"/>
    <col min="8675" max="8675" width="0" style="365" hidden="1" customWidth="1"/>
    <col min="8676" max="8676" width="17.42578125" style="365" customWidth="1"/>
    <col min="8677" max="8677" width="0" style="365" hidden="1" customWidth="1"/>
    <col min="8678" max="8678" width="12.85546875" style="365" customWidth="1"/>
    <col min="8679" max="8679" width="0" style="365" hidden="1" customWidth="1"/>
    <col min="8680" max="8680" width="14.42578125" style="365" customWidth="1"/>
    <col min="8681" max="8681" width="0" style="365" hidden="1" customWidth="1"/>
    <col min="8682" max="8682" width="17.42578125" style="365" customWidth="1"/>
    <col min="8683" max="8683" width="0" style="365" hidden="1" customWidth="1"/>
    <col min="8684" max="8684" width="14" style="365" customWidth="1"/>
    <col min="8685" max="8685" width="14.28515625" style="365" bestFit="1" customWidth="1"/>
    <col min="8686" max="8686" width="0" style="365" hidden="1" customWidth="1"/>
    <col min="8687" max="8687" width="15.5703125" style="365" customWidth="1"/>
    <col min="8688" max="8688" width="44.5703125" style="365" customWidth="1"/>
    <col min="8689" max="8689" width="14.28515625" style="365" bestFit="1" customWidth="1"/>
    <col min="8690" max="8690" width="0" style="365" hidden="1" customWidth="1"/>
    <col min="8691" max="8691" width="18.140625" style="365" customWidth="1"/>
    <col min="8692" max="8692" width="0" style="365" hidden="1" customWidth="1"/>
    <col min="8693" max="8693" width="14" style="365" customWidth="1"/>
    <col min="8694" max="8694" width="0" style="365" hidden="1" customWidth="1"/>
    <col min="8695" max="8695" width="20.85546875" style="365" customWidth="1"/>
    <col min="8696" max="8696" width="0" style="365" hidden="1" customWidth="1"/>
    <col min="8697" max="8697" width="13.28515625" style="365" customWidth="1"/>
    <col min="8698" max="8698" width="0" style="365" hidden="1" customWidth="1"/>
    <col min="8699" max="8699" width="15" style="365" customWidth="1"/>
    <col min="8700" max="8700" width="0" style="365" hidden="1" customWidth="1"/>
    <col min="8701" max="8701" width="13.28515625" style="365" customWidth="1"/>
    <col min="8702" max="8702" width="0" style="365" hidden="1" customWidth="1"/>
    <col min="8703" max="8703" width="20.140625" style="365" customWidth="1"/>
    <col min="8704" max="8704" width="14.42578125" style="365" bestFit="1" customWidth="1"/>
    <col min="8705" max="8705" width="14" style="365" bestFit="1" customWidth="1"/>
    <col min="8706" max="8706" width="12.28515625" style="365" bestFit="1" customWidth="1"/>
    <col min="8707" max="8731" width="9.140625" style="365" customWidth="1"/>
    <col min="8732" max="8926" width="8.85546875" style="365"/>
    <col min="8927" max="8927" width="44.5703125" style="365" customWidth="1"/>
    <col min="8928" max="8928" width="14.28515625" style="365" bestFit="1" customWidth="1"/>
    <col min="8929" max="8929" width="1.7109375" style="365" customWidth="1"/>
    <col min="8930" max="8930" width="14.85546875" style="365" customWidth="1"/>
    <col min="8931" max="8931" width="0" style="365" hidden="1" customWidth="1"/>
    <col min="8932" max="8932" width="17.42578125" style="365" customWidth="1"/>
    <col min="8933" max="8933" width="0" style="365" hidden="1" customWidth="1"/>
    <col min="8934" max="8934" width="12.85546875" style="365" customWidth="1"/>
    <col min="8935" max="8935" width="0" style="365" hidden="1" customWidth="1"/>
    <col min="8936" max="8936" width="14.42578125" style="365" customWidth="1"/>
    <col min="8937" max="8937" width="0" style="365" hidden="1" customWidth="1"/>
    <col min="8938" max="8938" width="17.42578125" style="365" customWidth="1"/>
    <col min="8939" max="8939" width="0" style="365" hidden="1" customWidth="1"/>
    <col min="8940" max="8940" width="14" style="365" customWidth="1"/>
    <col min="8941" max="8941" width="14.28515625" style="365" bestFit="1" customWidth="1"/>
    <col min="8942" max="8942" width="0" style="365" hidden="1" customWidth="1"/>
    <col min="8943" max="8943" width="15.5703125" style="365" customWidth="1"/>
    <col min="8944" max="8944" width="44.5703125" style="365" customWidth="1"/>
    <col min="8945" max="8945" width="14.28515625" style="365" bestFit="1" customWidth="1"/>
    <col min="8946" max="8946" width="0" style="365" hidden="1" customWidth="1"/>
    <col min="8947" max="8947" width="18.140625" style="365" customWidth="1"/>
    <col min="8948" max="8948" width="0" style="365" hidden="1" customWidth="1"/>
    <col min="8949" max="8949" width="14" style="365" customWidth="1"/>
    <col min="8950" max="8950" width="0" style="365" hidden="1" customWidth="1"/>
    <col min="8951" max="8951" width="20.85546875" style="365" customWidth="1"/>
    <col min="8952" max="8952" width="0" style="365" hidden="1" customWidth="1"/>
    <col min="8953" max="8953" width="13.28515625" style="365" customWidth="1"/>
    <col min="8954" max="8954" width="0" style="365" hidden="1" customWidth="1"/>
    <col min="8955" max="8955" width="15" style="365" customWidth="1"/>
    <col min="8956" max="8956" width="0" style="365" hidden="1" customWidth="1"/>
    <col min="8957" max="8957" width="13.28515625" style="365" customWidth="1"/>
    <col min="8958" max="8958" width="0" style="365" hidden="1" customWidth="1"/>
    <col min="8959" max="8959" width="20.140625" style="365" customWidth="1"/>
    <col min="8960" max="8960" width="14.42578125" style="365" bestFit="1" customWidth="1"/>
    <col min="8961" max="8961" width="14" style="365" bestFit="1" customWidth="1"/>
    <col min="8962" max="8962" width="12.28515625" style="365" bestFit="1" customWidth="1"/>
    <col min="8963" max="8987" width="9.140625" style="365" customWidth="1"/>
    <col min="8988" max="9182" width="8.85546875" style="365"/>
    <col min="9183" max="9183" width="44.5703125" style="365" customWidth="1"/>
    <col min="9184" max="9184" width="14.28515625" style="365" bestFit="1" customWidth="1"/>
    <col min="9185" max="9185" width="1.7109375" style="365" customWidth="1"/>
    <col min="9186" max="9186" width="14.85546875" style="365" customWidth="1"/>
    <col min="9187" max="9187" width="0" style="365" hidden="1" customWidth="1"/>
    <col min="9188" max="9188" width="17.42578125" style="365" customWidth="1"/>
    <col min="9189" max="9189" width="0" style="365" hidden="1" customWidth="1"/>
    <col min="9190" max="9190" width="12.85546875" style="365" customWidth="1"/>
    <col min="9191" max="9191" width="0" style="365" hidden="1" customWidth="1"/>
    <col min="9192" max="9192" width="14.42578125" style="365" customWidth="1"/>
    <col min="9193" max="9193" width="0" style="365" hidden="1" customWidth="1"/>
    <col min="9194" max="9194" width="17.42578125" style="365" customWidth="1"/>
    <col min="9195" max="9195" width="0" style="365" hidden="1" customWidth="1"/>
    <col min="9196" max="9196" width="14" style="365" customWidth="1"/>
    <col min="9197" max="9197" width="14.28515625" style="365" bestFit="1" customWidth="1"/>
    <col min="9198" max="9198" width="0" style="365" hidden="1" customWidth="1"/>
    <col min="9199" max="9199" width="15.5703125" style="365" customWidth="1"/>
    <col min="9200" max="9200" width="44.5703125" style="365" customWidth="1"/>
    <col min="9201" max="9201" width="14.28515625" style="365" bestFit="1" customWidth="1"/>
    <col min="9202" max="9202" width="0" style="365" hidden="1" customWidth="1"/>
    <col min="9203" max="9203" width="18.140625" style="365" customWidth="1"/>
    <col min="9204" max="9204" width="0" style="365" hidden="1" customWidth="1"/>
    <col min="9205" max="9205" width="14" style="365" customWidth="1"/>
    <col min="9206" max="9206" width="0" style="365" hidden="1" customWidth="1"/>
    <col min="9207" max="9207" width="20.85546875" style="365" customWidth="1"/>
    <col min="9208" max="9208" width="0" style="365" hidden="1" customWidth="1"/>
    <col min="9209" max="9209" width="13.28515625" style="365" customWidth="1"/>
    <col min="9210" max="9210" width="0" style="365" hidden="1" customWidth="1"/>
    <col min="9211" max="9211" width="15" style="365" customWidth="1"/>
    <col min="9212" max="9212" width="0" style="365" hidden="1" customWidth="1"/>
    <col min="9213" max="9213" width="13.28515625" style="365" customWidth="1"/>
    <col min="9214" max="9214" width="0" style="365" hidden="1" customWidth="1"/>
    <col min="9215" max="9215" width="20.140625" style="365" customWidth="1"/>
    <col min="9216" max="9216" width="14.42578125" style="365" bestFit="1" customWidth="1"/>
    <col min="9217" max="9217" width="14" style="365" bestFit="1" customWidth="1"/>
    <col min="9218" max="9218" width="12.28515625" style="365" bestFit="1" customWidth="1"/>
    <col min="9219" max="9243" width="9.140625" style="365" customWidth="1"/>
    <col min="9244" max="9438" width="8.85546875" style="365"/>
    <col min="9439" max="9439" width="44.5703125" style="365" customWidth="1"/>
    <col min="9440" max="9440" width="14.28515625" style="365" bestFit="1" customWidth="1"/>
    <col min="9441" max="9441" width="1.7109375" style="365" customWidth="1"/>
    <col min="9442" max="9442" width="14.85546875" style="365" customWidth="1"/>
    <col min="9443" max="9443" width="0" style="365" hidden="1" customWidth="1"/>
    <col min="9444" max="9444" width="17.42578125" style="365" customWidth="1"/>
    <col min="9445" max="9445" width="0" style="365" hidden="1" customWidth="1"/>
    <col min="9446" max="9446" width="12.85546875" style="365" customWidth="1"/>
    <col min="9447" max="9447" width="0" style="365" hidden="1" customWidth="1"/>
    <col min="9448" max="9448" width="14.42578125" style="365" customWidth="1"/>
    <col min="9449" max="9449" width="0" style="365" hidden="1" customWidth="1"/>
    <col min="9450" max="9450" width="17.42578125" style="365" customWidth="1"/>
    <col min="9451" max="9451" width="0" style="365" hidden="1" customWidth="1"/>
    <col min="9452" max="9452" width="14" style="365" customWidth="1"/>
    <col min="9453" max="9453" width="14.28515625" style="365" bestFit="1" customWidth="1"/>
    <col min="9454" max="9454" width="0" style="365" hidden="1" customWidth="1"/>
    <col min="9455" max="9455" width="15.5703125" style="365" customWidth="1"/>
    <col min="9456" max="9456" width="44.5703125" style="365" customWidth="1"/>
    <col min="9457" max="9457" width="14.28515625" style="365" bestFit="1" customWidth="1"/>
    <col min="9458" max="9458" width="0" style="365" hidden="1" customWidth="1"/>
    <col min="9459" max="9459" width="18.140625" style="365" customWidth="1"/>
    <col min="9460" max="9460" width="0" style="365" hidden="1" customWidth="1"/>
    <col min="9461" max="9461" width="14" style="365" customWidth="1"/>
    <col min="9462" max="9462" width="0" style="365" hidden="1" customWidth="1"/>
    <col min="9463" max="9463" width="20.85546875" style="365" customWidth="1"/>
    <col min="9464" max="9464" width="0" style="365" hidden="1" customWidth="1"/>
    <col min="9465" max="9465" width="13.28515625" style="365" customWidth="1"/>
    <col min="9466" max="9466" width="0" style="365" hidden="1" customWidth="1"/>
    <col min="9467" max="9467" width="15" style="365" customWidth="1"/>
    <col min="9468" max="9468" width="0" style="365" hidden="1" customWidth="1"/>
    <col min="9469" max="9469" width="13.28515625" style="365" customWidth="1"/>
    <col min="9470" max="9470" width="0" style="365" hidden="1" customWidth="1"/>
    <col min="9471" max="9471" width="20.140625" style="365" customWidth="1"/>
    <col min="9472" max="9472" width="14.42578125" style="365" bestFit="1" customWidth="1"/>
    <col min="9473" max="9473" width="14" style="365" bestFit="1" customWidth="1"/>
    <col min="9474" max="9474" width="12.28515625" style="365" bestFit="1" customWidth="1"/>
    <col min="9475" max="9499" width="9.140625" style="365" customWidth="1"/>
    <col min="9500" max="9694" width="8.85546875" style="365"/>
    <col min="9695" max="9695" width="44.5703125" style="365" customWidth="1"/>
    <col min="9696" max="9696" width="14.28515625" style="365" bestFit="1" customWidth="1"/>
    <col min="9697" max="9697" width="1.7109375" style="365" customWidth="1"/>
    <col min="9698" max="9698" width="14.85546875" style="365" customWidth="1"/>
    <col min="9699" max="9699" width="0" style="365" hidden="1" customWidth="1"/>
    <col min="9700" max="9700" width="17.42578125" style="365" customWidth="1"/>
    <col min="9701" max="9701" width="0" style="365" hidden="1" customWidth="1"/>
    <col min="9702" max="9702" width="12.85546875" style="365" customWidth="1"/>
    <col min="9703" max="9703" width="0" style="365" hidden="1" customWidth="1"/>
    <col min="9704" max="9704" width="14.42578125" style="365" customWidth="1"/>
    <col min="9705" max="9705" width="0" style="365" hidden="1" customWidth="1"/>
    <col min="9706" max="9706" width="17.42578125" style="365" customWidth="1"/>
    <col min="9707" max="9707" width="0" style="365" hidden="1" customWidth="1"/>
    <col min="9708" max="9708" width="14" style="365" customWidth="1"/>
    <col min="9709" max="9709" width="14.28515625" style="365" bestFit="1" customWidth="1"/>
    <col min="9710" max="9710" width="0" style="365" hidden="1" customWidth="1"/>
    <col min="9711" max="9711" width="15.5703125" style="365" customWidth="1"/>
    <col min="9712" max="9712" width="44.5703125" style="365" customWidth="1"/>
    <col min="9713" max="9713" width="14.28515625" style="365" bestFit="1" customWidth="1"/>
    <col min="9714" max="9714" width="0" style="365" hidden="1" customWidth="1"/>
    <col min="9715" max="9715" width="18.140625" style="365" customWidth="1"/>
    <col min="9716" max="9716" width="0" style="365" hidden="1" customWidth="1"/>
    <col min="9717" max="9717" width="14" style="365" customWidth="1"/>
    <col min="9718" max="9718" width="0" style="365" hidden="1" customWidth="1"/>
    <col min="9719" max="9719" width="20.85546875" style="365" customWidth="1"/>
    <col min="9720" max="9720" width="0" style="365" hidden="1" customWidth="1"/>
    <col min="9721" max="9721" width="13.28515625" style="365" customWidth="1"/>
    <col min="9722" max="9722" width="0" style="365" hidden="1" customWidth="1"/>
    <col min="9723" max="9723" width="15" style="365" customWidth="1"/>
    <col min="9724" max="9724" width="0" style="365" hidden="1" customWidth="1"/>
    <col min="9725" max="9725" width="13.28515625" style="365" customWidth="1"/>
    <col min="9726" max="9726" width="0" style="365" hidden="1" customWidth="1"/>
    <col min="9727" max="9727" width="20.140625" style="365" customWidth="1"/>
    <col min="9728" max="9728" width="14.42578125" style="365" bestFit="1" customWidth="1"/>
    <col min="9729" max="9729" width="14" style="365" bestFit="1" customWidth="1"/>
    <col min="9730" max="9730" width="12.28515625" style="365" bestFit="1" customWidth="1"/>
    <col min="9731" max="9755" width="9.140625" style="365" customWidth="1"/>
    <col min="9756" max="9950" width="8.85546875" style="365"/>
    <col min="9951" max="9951" width="44.5703125" style="365" customWidth="1"/>
    <col min="9952" max="9952" width="14.28515625" style="365" bestFit="1" customWidth="1"/>
    <col min="9953" max="9953" width="1.7109375" style="365" customWidth="1"/>
    <col min="9954" max="9954" width="14.85546875" style="365" customWidth="1"/>
    <col min="9955" max="9955" width="0" style="365" hidden="1" customWidth="1"/>
    <col min="9956" max="9956" width="17.42578125" style="365" customWidth="1"/>
    <col min="9957" max="9957" width="0" style="365" hidden="1" customWidth="1"/>
    <col min="9958" max="9958" width="12.85546875" style="365" customWidth="1"/>
    <col min="9959" max="9959" width="0" style="365" hidden="1" customWidth="1"/>
    <col min="9960" max="9960" width="14.42578125" style="365" customWidth="1"/>
    <col min="9961" max="9961" width="0" style="365" hidden="1" customWidth="1"/>
    <col min="9962" max="9962" width="17.42578125" style="365" customWidth="1"/>
    <col min="9963" max="9963" width="0" style="365" hidden="1" customWidth="1"/>
    <col min="9964" max="9964" width="14" style="365" customWidth="1"/>
    <col min="9965" max="9965" width="14.28515625" style="365" bestFit="1" customWidth="1"/>
    <col min="9966" max="9966" width="0" style="365" hidden="1" customWidth="1"/>
    <col min="9967" max="9967" width="15.5703125" style="365" customWidth="1"/>
    <col min="9968" max="9968" width="44.5703125" style="365" customWidth="1"/>
    <col min="9969" max="9969" width="14.28515625" style="365" bestFit="1" customWidth="1"/>
    <col min="9970" max="9970" width="0" style="365" hidden="1" customWidth="1"/>
    <col min="9971" max="9971" width="18.140625" style="365" customWidth="1"/>
    <col min="9972" max="9972" width="0" style="365" hidden="1" customWidth="1"/>
    <col min="9973" max="9973" width="14" style="365" customWidth="1"/>
    <col min="9974" max="9974" width="0" style="365" hidden="1" customWidth="1"/>
    <col min="9975" max="9975" width="20.85546875" style="365" customWidth="1"/>
    <col min="9976" max="9976" width="0" style="365" hidden="1" customWidth="1"/>
    <col min="9977" max="9977" width="13.28515625" style="365" customWidth="1"/>
    <col min="9978" max="9978" width="0" style="365" hidden="1" customWidth="1"/>
    <col min="9979" max="9979" width="15" style="365" customWidth="1"/>
    <col min="9980" max="9980" width="0" style="365" hidden="1" customWidth="1"/>
    <col min="9981" max="9981" width="13.28515625" style="365" customWidth="1"/>
    <col min="9982" max="9982" width="0" style="365" hidden="1" customWidth="1"/>
    <col min="9983" max="9983" width="20.140625" style="365" customWidth="1"/>
    <col min="9984" max="9984" width="14.42578125" style="365" bestFit="1" customWidth="1"/>
    <col min="9985" max="9985" width="14" style="365" bestFit="1" customWidth="1"/>
    <col min="9986" max="9986" width="12.28515625" style="365" bestFit="1" customWidth="1"/>
    <col min="9987" max="10011" width="9.140625" style="365" customWidth="1"/>
    <col min="10012" max="10206" width="8.85546875" style="365"/>
    <col min="10207" max="10207" width="44.5703125" style="365" customWidth="1"/>
    <col min="10208" max="10208" width="14.28515625" style="365" bestFit="1" customWidth="1"/>
    <col min="10209" max="10209" width="1.7109375" style="365" customWidth="1"/>
    <col min="10210" max="10210" width="14.85546875" style="365" customWidth="1"/>
    <col min="10211" max="10211" width="0" style="365" hidden="1" customWidth="1"/>
    <col min="10212" max="10212" width="17.42578125" style="365" customWidth="1"/>
    <col min="10213" max="10213" width="0" style="365" hidden="1" customWidth="1"/>
    <col min="10214" max="10214" width="12.85546875" style="365" customWidth="1"/>
    <col min="10215" max="10215" width="0" style="365" hidden="1" customWidth="1"/>
    <col min="10216" max="10216" width="14.42578125" style="365" customWidth="1"/>
    <col min="10217" max="10217" width="0" style="365" hidden="1" customWidth="1"/>
    <col min="10218" max="10218" width="17.42578125" style="365" customWidth="1"/>
    <col min="10219" max="10219" width="0" style="365" hidden="1" customWidth="1"/>
    <col min="10220" max="10220" width="14" style="365" customWidth="1"/>
    <col min="10221" max="10221" width="14.28515625" style="365" bestFit="1" customWidth="1"/>
    <col min="10222" max="10222" width="0" style="365" hidden="1" customWidth="1"/>
    <col min="10223" max="10223" width="15.5703125" style="365" customWidth="1"/>
    <col min="10224" max="10224" width="44.5703125" style="365" customWidth="1"/>
    <col min="10225" max="10225" width="14.28515625" style="365" bestFit="1" customWidth="1"/>
    <col min="10226" max="10226" width="0" style="365" hidden="1" customWidth="1"/>
    <col min="10227" max="10227" width="18.140625" style="365" customWidth="1"/>
    <col min="10228" max="10228" width="0" style="365" hidden="1" customWidth="1"/>
    <col min="10229" max="10229" width="14" style="365" customWidth="1"/>
    <col min="10230" max="10230" width="0" style="365" hidden="1" customWidth="1"/>
    <col min="10231" max="10231" width="20.85546875" style="365" customWidth="1"/>
    <col min="10232" max="10232" width="0" style="365" hidden="1" customWidth="1"/>
    <col min="10233" max="10233" width="13.28515625" style="365" customWidth="1"/>
    <col min="10234" max="10234" width="0" style="365" hidden="1" customWidth="1"/>
    <col min="10235" max="10235" width="15" style="365" customWidth="1"/>
    <col min="10236" max="10236" width="0" style="365" hidden="1" customWidth="1"/>
    <col min="10237" max="10237" width="13.28515625" style="365" customWidth="1"/>
    <col min="10238" max="10238" width="0" style="365" hidden="1" customWidth="1"/>
    <col min="10239" max="10239" width="20.140625" style="365" customWidth="1"/>
    <col min="10240" max="10240" width="14.42578125" style="365" bestFit="1" customWidth="1"/>
    <col min="10241" max="10241" width="14" style="365" bestFit="1" customWidth="1"/>
    <col min="10242" max="10242" width="12.28515625" style="365" bestFit="1" customWidth="1"/>
    <col min="10243" max="10267" width="9.140625" style="365" customWidth="1"/>
    <col min="10268" max="10462" width="8.85546875" style="365"/>
    <col min="10463" max="10463" width="44.5703125" style="365" customWidth="1"/>
    <col min="10464" max="10464" width="14.28515625" style="365" bestFit="1" customWidth="1"/>
    <col min="10465" max="10465" width="1.7109375" style="365" customWidth="1"/>
    <col min="10466" max="10466" width="14.85546875" style="365" customWidth="1"/>
    <col min="10467" max="10467" width="0" style="365" hidden="1" customWidth="1"/>
    <col min="10468" max="10468" width="17.42578125" style="365" customWidth="1"/>
    <col min="10469" max="10469" width="0" style="365" hidden="1" customWidth="1"/>
    <col min="10470" max="10470" width="12.85546875" style="365" customWidth="1"/>
    <col min="10471" max="10471" width="0" style="365" hidden="1" customWidth="1"/>
    <col min="10472" max="10472" width="14.42578125" style="365" customWidth="1"/>
    <col min="10473" max="10473" width="0" style="365" hidden="1" customWidth="1"/>
    <col min="10474" max="10474" width="17.42578125" style="365" customWidth="1"/>
    <col min="10475" max="10475" width="0" style="365" hidden="1" customWidth="1"/>
    <col min="10476" max="10476" width="14" style="365" customWidth="1"/>
    <col min="10477" max="10477" width="14.28515625" style="365" bestFit="1" customWidth="1"/>
    <col min="10478" max="10478" width="0" style="365" hidden="1" customWidth="1"/>
    <col min="10479" max="10479" width="15.5703125" style="365" customWidth="1"/>
    <col min="10480" max="10480" width="44.5703125" style="365" customWidth="1"/>
    <col min="10481" max="10481" width="14.28515625" style="365" bestFit="1" customWidth="1"/>
    <col min="10482" max="10482" width="0" style="365" hidden="1" customWidth="1"/>
    <col min="10483" max="10483" width="18.140625" style="365" customWidth="1"/>
    <col min="10484" max="10484" width="0" style="365" hidden="1" customWidth="1"/>
    <col min="10485" max="10485" width="14" style="365" customWidth="1"/>
    <col min="10486" max="10486" width="0" style="365" hidden="1" customWidth="1"/>
    <col min="10487" max="10487" width="20.85546875" style="365" customWidth="1"/>
    <col min="10488" max="10488" width="0" style="365" hidden="1" customWidth="1"/>
    <col min="10489" max="10489" width="13.28515625" style="365" customWidth="1"/>
    <col min="10490" max="10490" width="0" style="365" hidden="1" customWidth="1"/>
    <col min="10491" max="10491" width="15" style="365" customWidth="1"/>
    <col min="10492" max="10492" width="0" style="365" hidden="1" customWidth="1"/>
    <col min="10493" max="10493" width="13.28515625" style="365" customWidth="1"/>
    <col min="10494" max="10494" width="0" style="365" hidden="1" customWidth="1"/>
    <col min="10495" max="10495" width="20.140625" style="365" customWidth="1"/>
    <col min="10496" max="10496" width="14.42578125" style="365" bestFit="1" customWidth="1"/>
    <col min="10497" max="10497" width="14" style="365" bestFit="1" customWidth="1"/>
    <col min="10498" max="10498" width="12.28515625" style="365" bestFit="1" customWidth="1"/>
    <col min="10499" max="10523" width="9.140625" style="365" customWidth="1"/>
    <col min="10524" max="10718" width="8.85546875" style="365"/>
    <col min="10719" max="10719" width="44.5703125" style="365" customWidth="1"/>
    <col min="10720" max="10720" width="14.28515625" style="365" bestFit="1" customWidth="1"/>
    <col min="10721" max="10721" width="1.7109375" style="365" customWidth="1"/>
    <col min="10722" max="10722" width="14.85546875" style="365" customWidth="1"/>
    <col min="10723" max="10723" width="0" style="365" hidden="1" customWidth="1"/>
    <col min="10724" max="10724" width="17.42578125" style="365" customWidth="1"/>
    <col min="10725" max="10725" width="0" style="365" hidden="1" customWidth="1"/>
    <col min="10726" max="10726" width="12.85546875" style="365" customWidth="1"/>
    <col min="10727" max="10727" width="0" style="365" hidden="1" customWidth="1"/>
    <col min="10728" max="10728" width="14.42578125" style="365" customWidth="1"/>
    <col min="10729" max="10729" width="0" style="365" hidden="1" customWidth="1"/>
    <col min="10730" max="10730" width="17.42578125" style="365" customWidth="1"/>
    <col min="10731" max="10731" width="0" style="365" hidden="1" customWidth="1"/>
    <col min="10732" max="10732" width="14" style="365" customWidth="1"/>
    <col min="10733" max="10733" width="14.28515625" style="365" bestFit="1" customWidth="1"/>
    <col min="10734" max="10734" width="0" style="365" hidden="1" customWidth="1"/>
    <col min="10735" max="10735" width="15.5703125" style="365" customWidth="1"/>
    <col min="10736" max="10736" width="44.5703125" style="365" customWidth="1"/>
    <col min="10737" max="10737" width="14.28515625" style="365" bestFit="1" customWidth="1"/>
    <col min="10738" max="10738" width="0" style="365" hidden="1" customWidth="1"/>
    <col min="10739" max="10739" width="18.140625" style="365" customWidth="1"/>
    <col min="10740" max="10740" width="0" style="365" hidden="1" customWidth="1"/>
    <col min="10741" max="10741" width="14" style="365" customWidth="1"/>
    <col min="10742" max="10742" width="0" style="365" hidden="1" customWidth="1"/>
    <col min="10743" max="10743" width="20.85546875" style="365" customWidth="1"/>
    <col min="10744" max="10744" width="0" style="365" hidden="1" customWidth="1"/>
    <col min="10745" max="10745" width="13.28515625" style="365" customWidth="1"/>
    <col min="10746" max="10746" width="0" style="365" hidden="1" customWidth="1"/>
    <col min="10747" max="10747" width="15" style="365" customWidth="1"/>
    <col min="10748" max="10748" width="0" style="365" hidden="1" customWidth="1"/>
    <col min="10749" max="10749" width="13.28515625" style="365" customWidth="1"/>
    <col min="10750" max="10750" width="0" style="365" hidden="1" customWidth="1"/>
    <col min="10751" max="10751" width="20.140625" style="365" customWidth="1"/>
    <col min="10752" max="10752" width="14.42578125" style="365" bestFit="1" customWidth="1"/>
    <col min="10753" max="10753" width="14" style="365" bestFit="1" customWidth="1"/>
    <col min="10754" max="10754" width="12.28515625" style="365" bestFit="1" customWidth="1"/>
    <col min="10755" max="10779" width="9.140625" style="365" customWidth="1"/>
    <col min="10780" max="10974" width="8.85546875" style="365"/>
    <col min="10975" max="10975" width="44.5703125" style="365" customWidth="1"/>
    <col min="10976" max="10976" width="14.28515625" style="365" bestFit="1" customWidth="1"/>
    <col min="10977" max="10977" width="1.7109375" style="365" customWidth="1"/>
    <col min="10978" max="10978" width="14.85546875" style="365" customWidth="1"/>
    <col min="10979" max="10979" width="0" style="365" hidden="1" customWidth="1"/>
    <col min="10980" max="10980" width="17.42578125" style="365" customWidth="1"/>
    <col min="10981" max="10981" width="0" style="365" hidden="1" customWidth="1"/>
    <col min="10982" max="10982" width="12.85546875" style="365" customWidth="1"/>
    <col min="10983" max="10983" width="0" style="365" hidden="1" customWidth="1"/>
    <col min="10984" max="10984" width="14.42578125" style="365" customWidth="1"/>
    <col min="10985" max="10985" width="0" style="365" hidden="1" customWidth="1"/>
    <col min="10986" max="10986" width="17.42578125" style="365" customWidth="1"/>
    <col min="10987" max="10987" width="0" style="365" hidden="1" customWidth="1"/>
    <col min="10988" max="10988" width="14" style="365" customWidth="1"/>
    <col min="10989" max="10989" width="14.28515625" style="365" bestFit="1" customWidth="1"/>
    <col min="10990" max="10990" width="0" style="365" hidden="1" customWidth="1"/>
    <col min="10991" max="10991" width="15.5703125" style="365" customWidth="1"/>
    <col min="10992" max="10992" width="44.5703125" style="365" customWidth="1"/>
    <col min="10993" max="10993" width="14.28515625" style="365" bestFit="1" customWidth="1"/>
    <col min="10994" max="10994" width="0" style="365" hidden="1" customWidth="1"/>
    <col min="10995" max="10995" width="18.140625" style="365" customWidth="1"/>
    <col min="10996" max="10996" width="0" style="365" hidden="1" customWidth="1"/>
    <col min="10997" max="10997" width="14" style="365" customWidth="1"/>
    <col min="10998" max="10998" width="0" style="365" hidden="1" customWidth="1"/>
    <col min="10999" max="10999" width="20.85546875" style="365" customWidth="1"/>
    <col min="11000" max="11000" width="0" style="365" hidden="1" customWidth="1"/>
    <col min="11001" max="11001" width="13.28515625" style="365" customWidth="1"/>
    <col min="11002" max="11002" width="0" style="365" hidden="1" customWidth="1"/>
    <col min="11003" max="11003" width="15" style="365" customWidth="1"/>
    <col min="11004" max="11004" width="0" style="365" hidden="1" customWidth="1"/>
    <col min="11005" max="11005" width="13.28515625" style="365" customWidth="1"/>
    <col min="11006" max="11006" width="0" style="365" hidden="1" customWidth="1"/>
    <col min="11007" max="11007" width="20.140625" style="365" customWidth="1"/>
    <col min="11008" max="11008" width="14.42578125" style="365" bestFit="1" customWidth="1"/>
    <col min="11009" max="11009" width="14" style="365" bestFit="1" customWidth="1"/>
    <col min="11010" max="11010" width="12.28515625" style="365" bestFit="1" customWidth="1"/>
    <col min="11011" max="11035" width="9.140625" style="365" customWidth="1"/>
    <col min="11036" max="11230" width="8.85546875" style="365"/>
    <col min="11231" max="11231" width="44.5703125" style="365" customWidth="1"/>
    <col min="11232" max="11232" width="14.28515625" style="365" bestFit="1" customWidth="1"/>
    <col min="11233" max="11233" width="1.7109375" style="365" customWidth="1"/>
    <col min="11234" max="11234" width="14.85546875" style="365" customWidth="1"/>
    <col min="11235" max="11235" width="0" style="365" hidden="1" customWidth="1"/>
    <col min="11236" max="11236" width="17.42578125" style="365" customWidth="1"/>
    <col min="11237" max="11237" width="0" style="365" hidden="1" customWidth="1"/>
    <col min="11238" max="11238" width="12.85546875" style="365" customWidth="1"/>
    <col min="11239" max="11239" width="0" style="365" hidden="1" customWidth="1"/>
    <col min="11240" max="11240" width="14.42578125" style="365" customWidth="1"/>
    <col min="11241" max="11241" width="0" style="365" hidden="1" customWidth="1"/>
    <col min="11242" max="11242" width="17.42578125" style="365" customWidth="1"/>
    <col min="11243" max="11243" width="0" style="365" hidden="1" customWidth="1"/>
    <col min="11244" max="11244" width="14" style="365" customWidth="1"/>
    <col min="11245" max="11245" width="14.28515625" style="365" bestFit="1" customWidth="1"/>
    <col min="11246" max="11246" width="0" style="365" hidden="1" customWidth="1"/>
    <col min="11247" max="11247" width="15.5703125" style="365" customWidth="1"/>
    <col min="11248" max="11248" width="44.5703125" style="365" customWidth="1"/>
    <col min="11249" max="11249" width="14.28515625" style="365" bestFit="1" customWidth="1"/>
    <col min="11250" max="11250" width="0" style="365" hidden="1" customWidth="1"/>
    <col min="11251" max="11251" width="18.140625" style="365" customWidth="1"/>
    <col min="11252" max="11252" width="0" style="365" hidden="1" customWidth="1"/>
    <col min="11253" max="11253" width="14" style="365" customWidth="1"/>
    <col min="11254" max="11254" width="0" style="365" hidden="1" customWidth="1"/>
    <col min="11255" max="11255" width="20.85546875" style="365" customWidth="1"/>
    <col min="11256" max="11256" width="0" style="365" hidden="1" customWidth="1"/>
    <col min="11257" max="11257" width="13.28515625" style="365" customWidth="1"/>
    <col min="11258" max="11258" width="0" style="365" hidden="1" customWidth="1"/>
    <col min="11259" max="11259" width="15" style="365" customWidth="1"/>
    <col min="11260" max="11260" width="0" style="365" hidden="1" customWidth="1"/>
    <col min="11261" max="11261" width="13.28515625" style="365" customWidth="1"/>
    <col min="11262" max="11262" width="0" style="365" hidden="1" customWidth="1"/>
    <col min="11263" max="11263" width="20.140625" style="365" customWidth="1"/>
    <col min="11264" max="11264" width="14.42578125" style="365" bestFit="1" customWidth="1"/>
    <col min="11265" max="11265" width="14" style="365" bestFit="1" customWidth="1"/>
    <col min="11266" max="11266" width="12.28515625" style="365" bestFit="1" customWidth="1"/>
    <col min="11267" max="11291" width="9.140625" style="365" customWidth="1"/>
    <col min="11292" max="11486" width="8.85546875" style="365"/>
    <col min="11487" max="11487" width="44.5703125" style="365" customWidth="1"/>
    <col min="11488" max="11488" width="14.28515625" style="365" bestFit="1" customWidth="1"/>
    <col min="11489" max="11489" width="1.7109375" style="365" customWidth="1"/>
    <col min="11490" max="11490" width="14.85546875" style="365" customWidth="1"/>
    <col min="11491" max="11491" width="0" style="365" hidden="1" customWidth="1"/>
    <col min="11492" max="11492" width="17.42578125" style="365" customWidth="1"/>
    <col min="11493" max="11493" width="0" style="365" hidden="1" customWidth="1"/>
    <col min="11494" max="11494" width="12.85546875" style="365" customWidth="1"/>
    <col min="11495" max="11495" width="0" style="365" hidden="1" customWidth="1"/>
    <col min="11496" max="11496" width="14.42578125" style="365" customWidth="1"/>
    <col min="11497" max="11497" width="0" style="365" hidden="1" customWidth="1"/>
    <col min="11498" max="11498" width="17.42578125" style="365" customWidth="1"/>
    <col min="11499" max="11499" width="0" style="365" hidden="1" customWidth="1"/>
    <col min="11500" max="11500" width="14" style="365" customWidth="1"/>
    <col min="11501" max="11501" width="14.28515625" style="365" bestFit="1" customWidth="1"/>
    <col min="11502" max="11502" width="0" style="365" hidden="1" customWidth="1"/>
    <col min="11503" max="11503" width="15.5703125" style="365" customWidth="1"/>
    <col min="11504" max="11504" width="44.5703125" style="365" customWidth="1"/>
    <col min="11505" max="11505" width="14.28515625" style="365" bestFit="1" customWidth="1"/>
    <col min="11506" max="11506" width="0" style="365" hidden="1" customWidth="1"/>
    <col min="11507" max="11507" width="18.140625" style="365" customWidth="1"/>
    <col min="11508" max="11508" width="0" style="365" hidden="1" customWidth="1"/>
    <col min="11509" max="11509" width="14" style="365" customWidth="1"/>
    <col min="11510" max="11510" width="0" style="365" hidden="1" customWidth="1"/>
    <col min="11511" max="11511" width="20.85546875" style="365" customWidth="1"/>
    <col min="11512" max="11512" width="0" style="365" hidden="1" customWidth="1"/>
    <col min="11513" max="11513" width="13.28515625" style="365" customWidth="1"/>
    <col min="11514" max="11514" width="0" style="365" hidden="1" customWidth="1"/>
    <col min="11515" max="11515" width="15" style="365" customWidth="1"/>
    <col min="11516" max="11516" width="0" style="365" hidden="1" customWidth="1"/>
    <col min="11517" max="11517" width="13.28515625" style="365" customWidth="1"/>
    <col min="11518" max="11518" width="0" style="365" hidden="1" customWidth="1"/>
    <col min="11519" max="11519" width="20.140625" style="365" customWidth="1"/>
    <col min="11520" max="11520" width="14.42578125" style="365" bestFit="1" customWidth="1"/>
    <col min="11521" max="11521" width="14" style="365" bestFit="1" customWidth="1"/>
    <col min="11522" max="11522" width="12.28515625" style="365" bestFit="1" customWidth="1"/>
    <col min="11523" max="11547" width="9.140625" style="365" customWidth="1"/>
    <col min="11548" max="11742" width="8.85546875" style="365"/>
    <col min="11743" max="11743" width="44.5703125" style="365" customWidth="1"/>
    <col min="11744" max="11744" width="14.28515625" style="365" bestFit="1" customWidth="1"/>
    <col min="11745" max="11745" width="1.7109375" style="365" customWidth="1"/>
    <col min="11746" max="11746" width="14.85546875" style="365" customWidth="1"/>
    <col min="11747" max="11747" width="0" style="365" hidden="1" customWidth="1"/>
    <col min="11748" max="11748" width="17.42578125" style="365" customWidth="1"/>
    <col min="11749" max="11749" width="0" style="365" hidden="1" customWidth="1"/>
    <col min="11750" max="11750" width="12.85546875" style="365" customWidth="1"/>
    <col min="11751" max="11751" width="0" style="365" hidden="1" customWidth="1"/>
    <col min="11752" max="11752" width="14.42578125" style="365" customWidth="1"/>
    <col min="11753" max="11753" width="0" style="365" hidden="1" customWidth="1"/>
    <col min="11754" max="11754" width="17.42578125" style="365" customWidth="1"/>
    <col min="11755" max="11755" width="0" style="365" hidden="1" customWidth="1"/>
    <col min="11756" max="11756" width="14" style="365" customWidth="1"/>
    <col min="11757" max="11757" width="14.28515625" style="365" bestFit="1" customWidth="1"/>
    <col min="11758" max="11758" width="0" style="365" hidden="1" customWidth="1"/>
    <col min="11759" max="11759" width="15.5703125" style="365" customWidth="1"/>
    <col min="11760" max="11760" width="44.5703125" style="365" customWidth="1"/>
    <col min="11761" max="11761" width="14.28515625" style="365" bestFit="1" customWidth="1"/>
    <col min="11762" max="11762" width="0" style="365" hidden="1" customWidth="1"/>
    <col min="11763" max="11763" width="18.140625" style="365" customWidth="1"/>
    <col min="11764" max="11764" width="0" style="365" hidden="1" customWidth="1"/>
    <col min="11765" max="11765" width="14" style="365" customWidth="1"/>
    <col min="11766" max="11766" width="0" style="365" hidden="1" customWidth="1"/>
    <col min="11767" max="11767" width="20.85546875" style="365" customWidth="1"/>
    <col min="11768" max="11768" width="0" style="365" hidden="1" customWidth="1"/>
    <col min="11769" max="11769" width="13.28515625" style="365" customWidth="1"/>
    <col min="11770" max="11770" width="0" style="365" hidden="1" customWidth="1"/>
    <col min="11771" max="11771" width="15" style="365" customWidth="1"/>
    <col min="11772" max="11772" width="0" style="365" hidden="1" customWidth="1"/>
    <col min="11773" max="11773" width="13.28515625" style="365" customWidth="1"/>
    <col min="11774" max="11774" width="0" style="365" hidden="1" customWidth="1"/>
    <col min="11775" max="11775" width="20.140625" style="365" customWidth="1"/>
    <col min="11776" max="11776" width="14.42578125" style="365" bestFit="1" customWidth="1"/>
    <col min="11777" max="11777" width="14" style="365" bestFit="1" customWidth="1"/>
    <col min="11778" max="11778" width="12.28515625" style="365" bestFit="1" customWidth="1"/>
    <col min="11779" max="11803" width="9.140625" style="365" customWidth="1"/>
    <col min="11804" max="11998" width="8.85546875" style="365"/>
    <col min="11999" max="11999" width="44.5703125" style="365" customWidth="1"/>
    <col min="12000" max="12000" width="14.28515625" style="365" bestFit="1" customWidth="1"/>
    <col min="12001" max="12001" width="1.7109375" style="365" customWidth="1"/>
    <col min="12002" max="12002" width="14.85546875" style="365" customWidth="1"/>
    <col min="12003" max="12003" width="0" style="365" hidden="1" customWidth="1"/>
    <col min="12004" max="12004" width="17.42578125" style="365" customWidth="1"/>
    <col min="12005" max="12005" width="0" style="365" hidden="1" customWidth="1"/>
    <col min="12006" max="12006" width="12.85546875" style="365" customWidth="1"/>
    <col min="12007" max="12007" width="0" style="365" hidden="1" customWidth="1"/>
    <col min="12008" max="12008" width="14.42578125" style="365" customWidth="1"/>
    <col min="12009" max="12009" width="0" style="365" hidden="1" customWidth="1"/>
    <col min="12010" max="12010" width="17.42578125" style="365" customWidth="1"/>
    <col min="12011" max="12011" width="0" style="365" hidden="1" customWidth="1"/>
    <col min="12012" max="12012" width="14" style="365" customWidth="1"/>
    <col min="12013" max="12013" width="14.28515625" style="365" bestFit="1" customWidth="1"/>
    <col min="12014" max="12014" width="0" style="365" hidden="1" customWidth="1"/>
    <col min="12015" max="12015" width="15.5703125" style="365" customWidth="1"/>
    <col min="12016" max="12016" width="44.5703125" style="365" customWidth="1"/>
    <col min="12017" max="12017" width="14.28515625" style="365" bestFit="1" customWidth="1"/>
    <col min="12018" max="12018" width="0" style="365" hidden="1" customWidth="1"/>
    <col min="12019" max="12019" width="18.140625" style="365" customWidth="1"/>
    <col min="12020" max="12020" width="0" style="365" hidden="1" customWidth="1"/>
    <col min="12021" max="12021" width="14" style="365" customWidth="1"/>
    <col min="12022" max="12022" width="0" style="365" hidden="1" customWidth="1"/>
    <col min="12023" max="12023" width="20.85546875" style="365" customWidth="1"/>
    <col min="12024" max="12024" width="0" style="365" hidden="1" customWidth="1"/>
    <col min="12025" max="12025" width="13.28515625" style="365" customWidth="1"/>
    <col min="12026" max="12026" width="0" style="365" hidden="1" customWidth="1"/>
    <col min="12027" max="12027" width="15" style="365" customWidth="1"/>
    <col min="12028" max="12028" width="0" style="365" hidden="1" customWidth="1"/>
    <col min="12029" max="12029" width="13.28515625" style="365" customWidth="1"/>
    <col min="12030" max="12030" width="0" style="365" hidden="1" customWidth="1"/>
    <col min="12031" max="12031" width="20.140625" style="365" customWidth="1"/>
    <col min="12032" max="12032" width="14.42578125" style="365" bestFit="1" customWidth="1"/>
    <col min="12033" max="12033" width="14" style="365" bestFit="1" customWidth="1"/>
    <col min="12034" max="12034" width="12.28515625" style="365" bestFit="1" customWidth="1"/>
    <col min="12035" max="12059" width="9.140625" style="365" customWidth="1"/>
    <col min="12060" max="12254" width="8.85546875" style="365"/>
    <col min="12255" max="12255" width="44.5703125" style="365" customWidth="1"/>
    <col min="12256" max="12256" width="14.28515625" style="365" bestFit="1" customWidth="1"/>
    <col min="12257" max="12257" width="1.7109375" style="365" customWidth="1"/>
    <col min="12258" max="12258" width="14.85546875" style="365" customWidth="1"/>
    <col min="12259" max="12259" width="0" style="365" hidden="1" customWidth="1"/>
    <col min="12260" max="12260" width="17.42578125" style="365" customWidth="1"/>
    <col min="12261" max="12261" width="0" style="365" hidden="1" customWidth="1"/>
    <col min="12262" max="12262" width="12.85546875" style="365" customWidth="1"/>
    <col min="12263" max="12263" width="0" style="365" hidden="1" customWidth="1"/>
    <col min="12264" max="12264" width="14.42578125" style="365" customWidth="1"/>
    <col min="12265" max="12265" width="0" style="365" hidden="1" customWidth="1"/>
    <col min="12266" max="12266" width="17.42578125" style="365" customWidth="1"/>
    <col min="12267" max="12267" width="0" style="365" hidden="1" customWidth="1"/>
    <col min="12268" max="12268" width="14" style="365" customWidth="1"/>
    <col min="12269" max="12269" width="14.28515625" style="365" bestFit="1" customWidth="1"/>
    <col min="12270" max="12270" width="0" style="365" hidden="1" customWidth="1"/>
    <col min="12271" max="12271" width="15.5703125" style="365" customWidth="1"/>
    <col min="12272" max="12272" width="44.5703125" style="365" customWidth="1"/>
    <col min="12273" max="12273" width="14.28515625" style="365" bestFit="1" customWidth="1"/>
    <col min="12274" max="12274" width="0" style="365" hidden="1" customWidth="1"/>
    <col min="12275" max="12275" width="18.140625" style="365" customWidth="1"/>
    <col min="12276" max="12276" width="0" style="365" hidden="1" customWidth="1"/>
    <col min="12277" max="12277" width="14" style="365" customWidth="1"/>
    <col min="12278" max="12278" width="0" style="365" hidden="1" customWidth="1"/>
    <col min="12279" max="12279" width="20.85546875" style="365" customWidth="1"/>
    <col min="12280" max="12280" width="0" style="365" hidden="1" customWidth="1"/>
    <col min="12281" max="12281" width="13.28515625" style="365" customWidth="1"/>
    <col min="12282" max="12282" width="0" style="365" hidden="1" customWidth="1"/>
    <col min="12283" max="12283" width="15" style="365" customWidth="1"/>
    <col min="12284" max="12284" width="0" style="365" hidden="1" customWidth="1"/>
    <col min="12285" max="12285" width="13.28515625" style="365" customWidth="1"/>
    <col min="12286" max="12286" width="0" style="365" hidden="1" customWidth="1"/>
    <col min="12287" max="12287" width="20.140625" style="365" customWidth="1"/>
    <col min="12288" max="12288" width="14.42578125" style="365" bestFit="1" customWidth="1"/>
    <col min="12289" max="12289" width="14" style="365" bestFit="1" customWidth="1"/>
    <col min="12290" max="12290" width="12.28515625" style="365" bestFit="1" customWidth="1"/>
    <col min="12291" max="12315" width="9.140625" style="365" customWidth="1"/>
    <col min="12316" max="12510" width="8.85546875" style="365"/>
    <col min="12511" max="12511" width="44.5703125" style="365" customWidth="1"/>
    <col min="12512" max="12512" width="14.28515625" style="365" bestFit="1" customWidth="1"/>
    <col min="12513" max="12513" width="1.7109375" style="365" customWidth="1"/>
    <col min="12514" max="12514" width="14.85546875" style="365" customWidth="1"/>
    <col min="12515" max="12515" width="0" style="365" hidden="1" customWidth="1"/>
    <col min="12516" max="12516" width="17.42578125" style="365" customWidth="1"/>
    <col min="12517" max="12517" width="0" style="365" hidden="1" customWidth="1"/>
    <col min="12518" max="12518" width="12.85546875" style="365" customWidth="1"/>
    <col min="12519" max="12519" width="0" style="365" hidden="1" customWidth="1"/>
    <col min="12520" max="12520" width="14.42578125" style="365" customWidth="1"/>
    <col min="12521" max="12521" width="0" style="365" hidden="1" customWidth="1"/>
    <col min="12522" max="12522" width="17.42578125" style="365" customWidth="1"/>
    <col min="12523" max="12523" width="0" style="365" hidden="1" customWidth="1"/>
    <col min="12524" max="12524" width="14" style="365" customWidth="1"/>
    <col min="12525" max="12525" width="14.28515625" style="365" bestFit="1" customWidth="1"/>
    <col min="12526" max="12526" width="0" style="365" hidden="1" customWidth="1"/>
    <col min="12527" max="12527" width="15.5703125" style="365" customWidth="1"/>
    <col min="12528" max="12528" width="44.5703125" style="365" customWidth="1"/>
    <col min="12529" max="12529" width="14.28515625" style="365" bestFit="1" customWidth="1"/>
    <col min="12530" max="12530" width="0" style="365" hidden="1" customWidth="1"/>
    <col min="12531" max="12531" width="18.140625" style="365" customWidth="1"/>
    <col min="12532" max="12532" width="0" style="365" hidden="1" customWidth="1"/>
    <col min="12533" max="12533" width="14" style="365" customWidth="1"/>
    <col min="12534" max="12534" width="0" style="365" hidden="1" customWidth="1"/>
    <col min="12535" max="12535" width="20.85546875" style="365" customWidth="1"/>
    <col min="12536" max="12536" width="0" style="365" hidden="1" customWidth="1"/>
    <col min="12537" max="12537" width="13.28515625" style="365" customWidth="1"/>
    <col min="12538" max="12538" width="0" style="365" hidden="1" customWidth="1"/>
    <col min="12539" max="12539" width="15" style="365" customWidth="1"/>
    <col min="12540" max="12540" width="0" style="365" hidden="1" customWidth="1"/>
    <col min="12541" max="12541" width="13.28515625" style="365" customWidth="1"/>
    <col min="12542" max="12542" width="0" style="365" hidden="1" customWidth="1"/>
    <col min="12543" max="12543" width="20.140625" style="365" customWidth="1"/>
    <col min="12544" max="12544" width="14.42578125" style="365" bestFit="1" customWidth="1"/>
    <col min="12545" max="12545" width="14" style="365" bestFit="1" customWidth="1"/>
    <col min="12546" max="12546" width="12.28515625" style="365" bestFit="1" customWidth="1"/>
    <col min="12547" max="12571" width="9.140625" style="365" customWidth="1"/>
    <col min="12572" max="12766" width="8.85546875" style="365"/>
    <col min="12767" max="12767" width="44.5703125" style="365" customWidth="1"/>
    <col min="12768" max="12768" width="14.28515625" style="365" bestFit="1" customWidth="1"/>
    <col min="12769" max="12769" width="1.7109375" style="365" customWidth="1"/>
    <col min="12770" max="12770" width="14.85546875" style="365" customWidth="1"/>
    <col min="12771" max="12771" width="0" style="365" hidden="1" customWidth="1"/>
    <col min="12772" max="12772" width="17.42578125" style="365" customWidth="1"/>
    <col min="12773" max="12773" width="0" style="365" hidden="1" customWidth="1"/>
    <col min="12774" max="12774" width="12.85546875" style="365" customWidth="1"/>
    <col min="12775" max="12775" width="0" style="365" hidden="1" customWidth="1"/>
    <col min="12776" max="12776" width="14.42578125" style="365" customWidth="1"/>
    <col min="12777" max="12777" width="0" style="365" hidden="1" customWidth="1"/>
    <col min="12778" max="12778" width="17.42578125" style="365" customWidth="1"/>
    <col min="12779" max="12779" width="0" style="365" hidden="1" customWidth="1"/>
    <col min="12780" max="12780" width="14" style="365" customWidth="1"/>
    <col min="12781" max="12781" width="14.28515625" style="365" bestFit="1" customWidth="1"/>
    <col min="12782" max="12782" width="0" style="365" hidden="1" customWidth="1"/>
    <col min="12783" max="12783" width="15.5703125" style="365" customWidth="1"/>
    <col min="12784" max="12784" width="44.5703125" style="365" customWidth="1"/>
    <col min="12785" max="12785" width="14.28515625" style="365" bestFit="1" customWidth="1"/>
    <col min="12786" max="12786" width="0" style="365" hidden="1" customWidth="1"/>
    <col min="12787" max="12787" width="18.140625" style="365" customWidth="1"/>
    <col min="12788" max="12788" width="0" style="365" hidden="1" customWidth="1"/>
    <col min="12789" max="12789" width="14" style="365" customWidth="1"/>
    <col min="12790" max="12790" width="0" style="365" hidden="1" customWidth="1"/>
    <col min="12791" max="12791" width="20.85546875" style="365" customWidth="1"/>
    <col min="12792" max="12792" width="0" style="365" hidden="1" customWidth="1"/>
    <col min="12793" max="12793" width="13.28515625" style="365" customWidth="1"/>
    <col min="12794" max="12794" width="0" style="365" hidden="1" customWidth="1"/>
    <col min="12795" max="12795" width="15" style="365" customWidth="1"/>
    <col min="12796" max="12796" width="0" style="365" hidden="1" customWidth="1"/>
    <col min="12797" max="12797" width="13.28515625" style="365" customWidth="1"/>
    <col min="12798" max="12798" width="0" style="365" hidden="1" customWidth="1"/>
    <col min="12799" max="12799" width="20.140625" style="365" customWidth="1"/>
    <col min="12800" max="12800" width="14.42578125" style="365" bestFit="1" customWidth="1"/>
    <col min="12801" max="12801" width="14" style="365" bestFit="1" customWidth="1"/>
    <col min="12802" max="12802" width="12.28515625" style="365" bestFit="1" customWidth="1"/>
    <col min="12803" max="12827" width="9.140625" style="365" customWidth="1"/>
    <col min="12828" max="13022" width="8.85546875" style="365"/>
    <col min="13023" max="13023" width="44.5703125" style="365" customWidth="1"/>
    <col min="13024" max="13024" width="14.28515625" style="365" bestFit="1" customWidth="1"/>
    <col min="13025" max="13025" width="1.7109375" style="365" customWidth="1"/>
    <col min="13026" max="13026" width="14.85546875" style="365" customWidth="1"/>
    <col min="13027" max="13027" width="0" style="365" hidden="1" customWidth="1"/>
    <col min="13028" max="13028" width="17.42578125" style="365" customWidth="1"/>
    <col min="13029" max="13029" width="0" style="365" hidden="1" customWidth="1"/>
    <col min="13030" max="13030" width="12.85546875" style="365" customWidth="1"/>
    <col min="13031" max="13031" width="0" style="365" hidden="1" customWidth="1"/>
    <col min="13032" max="13032" width="14.42578125" style="365" customWidth="1"/>
    <col min="13033" max="13033" width="0" style="365" hidden="1" customWidth="1"/>
    <col min="13034" max="13034" width="17.42578125" style="365" customWidth="1"/>
    <col min="13035" max="13035" width="0" style="365" hidden="1" customWidth="1"/>
    <col min="13036" max="13036" width="14" style="365" customWidth="1"/>
    <col min="13037" max="13037" width="14.28515625" style="365" bestFit="1" customWidth="1"/>
    <col min="13038" max="13038" width="0" style="365" hidden="1" customWidth="1"/>
    <col min="13039" max="13039" width="15.5703125" style="365" customWidth="1"/>
    <col min="13040" max="13040" width="44.5703125" style="365" customWidth="1"/>
    <col min="13041" max="13041" width="14.28515625" style="365" bestFit="1" customWidth="1"/>
    <col min="13042" max="13042" width="0" style="365" hidden="1" customWidth="1"/>
    <col min="13043" max="13043" width="18.140625" style="365" customWidth="1"/>
    <col min="13044" max="13044" width="0" style="365" hidden="1" customWidth="1"/>
    <col min="13045" max="13045" width="14" style="365" customWidth="1"/>
    <col min="13046" max="13046" width="0" style="365" hidden="1" customWidth="1"/>
    <col min="13047" max="13047" width="20.85546875" style="365" customWidth="1"/>
    <col min="13048" max="13048" width="0" style="365" hidden="1" customWidth="1"/>
    <col min="13049" max="13049" width="13.28515625" style="365" customWidth="1"/>
    <col min="13050" max="13050" width="0" style="365" hidden="1" customWidth="1"/>
    <col min="13051" max="13051" width="15" style="365" customWidth="1"/>
    <col min="13052" max="13052" width="0" style="365" hidden="1" customWidth="1"/>
    <col min="13053" max="13053" width="13.28515625" style="365" customWidth="1"/>
    <col min="13054" max="13054" width="0" style="365" hidden="1" customWidth="1"/>
    <col min="13055" max="13055" width="20.140625" style="365" customWidth="1"/>
    <col min="13056" max="13056" width="14.42578125" style="365" bestFit="1" customWidth="1"/>
    <col min="13057" max="13057" width="14" style="365" bestFit="1" customWidth="1"/>
    <col min="13058" max="13058" width="12.28515625" style="365" bestFit="1" customWidth="1"/>
    <col min="13059" max="13083" width="9.140625" style="365" customWidth="1"/>
    <col min="13084" max="13278" width="8.85546875" style="365"/>
    <col min="13279" max="13279" width="44.5703125" style="365" customWidth="1"/>
    <col min="13280" max="13280" width="14.28515625" style="365" bestFit="1" customWidth="1"/>
    <col min="13281" max="13281" width="1.7109375" style="365" customWidth="1"/>
    <col min="13282" max="13282" width="14.85546875" style="365" customWidth="1"/>
    <col min="13283" max="13283" width="0" style="365" hidden="1" customWidth="1"/>
    <col min="13284" max="13284" width="17.42578125" style="365" customWidth="1"/>
    <col min="13285" max="13285" width="0" style="365" hidden="1" customWidth="1"/>
    <col min="13286" max="13286" width="12.85546875" style="365" customWidth="1"/>
    <col min="13287" max="13287" width="0" style="365" hidden="1" customWidth="1"/>
    <col min="13288" max="13288" width="14.42578125" style="365" customWidth="1"/>
    <col min="13289" max="13289" width="0" style="365" hidden="1" customWidth="1"/>
    <col min="13290" max="13290" width="17.42578125" style="365" customWidth="1"/>
    <col min="13291" max="13291" width="0" style="365" hidden="1" customWidth="1"/>
    <col min="13292" max="13292" width="14" style="365" customWidth="1"/>
    <col min="13293" max="13293" width="14.28515625" style="365" bestFit="1" customWidth="1"/>
    <col min="13294" max="13294" width="0" style="365" hidden="1" customWidth="1"/>
    <col min="13295" max="13295" width="15.5703125" style="365" customWidth="1"/>
    <col min="13296" max="13296" width="44.5703125" style="365" customWidth="1"/>
    <col min="13297" max="13297" width="14.28515625" style="365" bestFit="1" customWidth="1"/>
    <col min="13298" max="13298" width="0" style="365" hidden="1" customWidth="1"/>
    <col min="13299" max="13299" width="18.140625" style="365" customWidth="1"/>
    <col min="13300" max="13300" width="0" style="365" hidden="1" customWidth="1"/>
    <col min="13301" max="13301" width="14" style="365" customWidth="1"/>
    <col min="13302" max="13302" width="0" style="365" hidden="1" customWidth="1"/>
    <col min="13303" max="13303" width="20.85546875" style="365" customWidth="1"/>
    <col min="13304" max="13304" width="0" style="365" hidden="1" customWidth="1"/>
    <col min="13305" max="13305" width="13.28515625" style="365" customWidth="1"/>
    <col min="13306" max="13306" width="0" style="365" hidden="1" customWidth="1"/>
    <col min="13307" max="13307" width="15" style="365" customWidth="1"/>
    <col min="13308" max="13308" width="0" style="365" hidden="1" customWidth="1"/>
    <col min="13309" max="13309" width="13.28515625" style="365" customWidth="1"/>
    <col min="13310" max="13310" width="0" style="365" hidden="1" customWidth="1"/>
    <col min="13311" max="13311" width="20.140625" style="365" customWidth="1"/>
    <col min="13312" max="13312" width="14.42578125" style="365" bestFit="1" customWidth="1"/>
    <col min="13313" max="13313" width="14" style="365" bestFit="1" customWidth="1"/>
    <col min="13314" max="13314" width="12.28515625" style="365" bestFit="1" customWidth="1"/>
    <col min="13315" max="13339" width="9.140625" style="365" customWidth="1"/>
    <col min="13340" max="13534" width="8.85546875" style="365"/>
    <col min="13535" max="13535" width="44.5703125" style="365" customWidth="1"/>
    <col min="13536" max="13536" width="14.28515625" style="365" bestFit="1" customWidth="1"/>
    <col min="13537" max="13537" width="1.7109375" style="365" customWidth="1"/>
    <col min="13538" max="13538" width="14.85546875" style="365" customWidth="1"/>
    <col min="13539" max="13539" width="0" style="365" hidden="1" customWidth="1"/>
    <col min="13540" max="13540" width="17.42578125" style="365" customWidth="1"/>
    <col min="13541" max="13541" width="0" style="365" hidden="1" customWidth="1"/>
    <col min="13542" max="13542" width="12.85546875" style="365" customWidth="1"/>
    <col min="13543" max="13543" width="0" style="365" hidden="1" customWidth="1"/>
    <col min="13544" max="13544" width="14.42578125" style="365" customWidth="1"/>
    <col min="13545" max="13545" width="0" style="365" hidden="1" customWidth="1"/>
    <col min="13546" max="13546" width="17.42578125" style="365" customWidth="1"/>
    <col min="13547" max="13547" width="0" style="365" hidden="1" customWidth="1"/>
    <col min="13548" max="13548" width="14" style="365" customWidth="1"/>
    <col min="13549" max="13549" width="14.28515625" style="365" bestFit="1" customWidth="1"/>
    <col min="13550" max="13550" width="0" style="365" hidden="1" customWidth="1"/>
    <col min="13551" max="13551" width="15.5703125" style="365" customWidth="1"/>
    <col min="13552" max="13552" width="44.5703125" style="365" customWidth="1"/>
    <col min="13553" max="13553" width="14.28515625" style="365" bestFit="1" customWidth="1"/>
    <col min="13554" max="13554" width="0" style="365" hidden="1" customWidth="1"/>
    <col min="13555" max="13555" width="18.140625" style="365" customWidth="1"/>
    <col min="13556" max="13556" width="0" style="365" hidden="1" customWidth="1"/>
    <col min="13557" max="13557" width="14" style="365" customWidth="1"/>
    <col min="13558" max="13558" width="0" style="365" hidden="1" customWidth="1"/>
    <col min="13559" max="13559" width="20.85546875" style="365" customWidth="1"/>
    <col min="13560" max="13560" width="0" style="365" hidden="1" customWidth="1"/>
    <col min="13561" max="13561" width="13.28515625" style="365" customWidth="1"/>
    <col min="13562" max="13562" width="0" style="365" hidden="1" customWidth="1"/>
    <col min="13563" max="13563" width="15" style="365" customWidth="1"/>
    <col min="13564" max="13564" width="0" style="365" hidden="1" customWidth="1"/>
    <col min="13565" max="13565" width="13.28515625" style="365" customWidth="1"/>
    <col min="13566" max="13566" width="0" style="365" hidden="1" customWidth="1"/>
    <col min="13567" max="13567" width="20.140625" style="365" customWidth="1"/>
    <col min="13568" max="13568" width="14.42578125" style="365" bestFit="1" customWidth="1"/>
    <col min="13569" max="13569" width="14" style="365" bestFit="1" customWidth="1"/>
    <col min="13570" max="13570" width="12.28515625" style="365" bestFit="1" customWidth="1"/>
    <col min="13571" max="13595" width="9.140625" style="365" customWidth="1"/>
    <col min="13596" max="13790" width="8.85546875" style="365"/>
    <col min="13791" max="13791" width="44.5703125" style="365" customWidth="1"/>
    <col min="13792" max="13792" width="14.28515625" style="365" bestFit="1" customWidth="1"/>
    <col min="13793" max="13793" width="1.7109375" style="365" customWidth="1"/>
    <col min="13794" max="13794" width="14.85546875" style="365" customWidth="1"/>
    <col min="13795" max="13795" width="0" style="365" hidden="1" customWidth="1"/>
    <col min="13796" max="13796" width="17.42578125" style="365" customWidth="1"/>
    <col min="13797" max="13797" width="0" style="365" hidden="1" customWidth="1"/>
    <col min="13798" max="13798" width="12.85546875" style="365" customWidth="1"/>
    <col min="13799" max="13799" width="0" style="365" hidden="1" customWidth="1"/>
    <col min="13800" max="13800" width="14.42578125" style="365" customWidth="1"/>
    <col min="13801" max="13801" width="0" style="365" hidden="1" customWidth="1"/>
    <col min="13802" max="13802" width="17.42578125" style="365" customWidth="1"/>
    <col min="13803" max="13803" width="0" style="365" hidden="1" customWidth="1"/>
    <col min="13804" max="13804" width="14" style="365" customWidth="1"/>
    <col min="13805" max="13805" width="14.28515625" style="365" bestFit="1" customWidth="1"/>
    <col min="13806" max="13806" width="0" style="365" hidden="1" customWidth="1"/>
    <col min="13807" max="13807" width="15.5703125" style="365" customWidth="1"/>
    <col min="13808" max="13808" width="44.5703125" style="365" customWidth="1"/>
    <col min="13809" max="13809" width="14.28515625" style="365" bestFit="1" customWidth="1"/>
    <col min="13810" max="13810" width="0" style="365" hidden="1" customWidth="1"/>
    <col min="13811" max="13811" width="18.140625" style="365" customWidth="1"/>
    <col min="13812" max="13812" width="0" style="365" hidden="1" customWidth="1"/>
    <col min="13813" max="13813" width="14" style="365" customWidth="1"/>
    <col min="13814" max="13814" width="0" style="365" hidden="1" customWidth="1"/>
    <col min="13815" max="13815" width="20.85546875" style="365" customWidth="1"/>
    <col min="13816" max="13816" width="0" style="365" hidden="1" customWidth="1"/>
    <col min="13817" max="13817" width="13.28515625" style="365" customWidth="1"/>
    <col min="13818" max="13818" width="0" style="365" hidden="1" customWidth="1"/>
    <col min="13819" max="13819" width="15" style="365" customWidth="1"/>
    <col min="13820" max="13820" width="0" style="365" hidden="1" customWidth="1"/>
    <col min="13821" max="13821" width="13.28515625" style="365" customWidth="1"/>
    <col min="13822" max="13822" width="0" style="365" hidden="1" customWidth="1"/>
    <col min="13823" max="13823" width="20.140625" style="365" customWidth="1"/>
    <col min="13824" max="13824" width="14.42578125" style="365" bestFit="1" customWidth="1"/>
    <col min="13825" max="13825" width="14" style="365" bestFit="1" customWidth="1"/>
    <col min="13826" max="13826" width="12.28515625" style="365" bestFit="1" customWidth="1"/>
    <col min="13827" max="13851" width="9.140625" style="365" customWidth="1"/>
    <col min="13852" max="14046" width="8.85546875" style="365"/>
    <col min="14047" max="14047" width="44.5703125" style="365" customWidth="1"/>
    <col min="14048" max="14048" width="14.28515625" style="365" bestFit="1" customWidth="1"/>
    <col min="14049" max="14049" width="1.7109375" style="365" customWidth="1"/>
    <col min="14050" max="14050" width="14.85546875" style="365" customWidth="1"/>
    <col min="14051" max="14051" width="0" style="365" hidden="1" customWidth="1"/>
    <col min="14052" max="14052" width="17.42578125" style="365" customWidth="1"/>
    <col min="14053" max="14053" width="0" style="365" hidden="1" customWidth="1"/>
    <col min="14054" max="14054" width="12.85546875" style="365" customWidth="1"/>
    <col min="14055" max="14055" width="0" style="365" hidden="1" customWidth="1"/>
    <col min="14056" max="14056" width="14.42578125" style="365" customWidth="1"/>
    <col min="14057" max="14057" width="0" style="365" hidden="1" customWidth="1"/>
    <col min="14058" max="14058" width="17.42578125" style="365" customWidth="1"/>
    <col min="14059" max="14059" width="0" style="365" hidden="1" customWidth="1"/>
    <col min="14060" max="14060" width="14" style="365" customWidth="1"/>
    <col min="14061" max="14061" width="14.28515625" style="365" bestFit="1" customWidth="1"/>
    <col min="14062" max="14062" width="0" style="365" hidden="1" customWidth="1"/>
    <col min="14063" max="14063" width="15.5703125" style="365" customWidth="1"/>
    <col min="14064" max="14064" width="44.5703125" style="365" customWidth="1"/>
    <col min="14065" max="14065" width="14.28515625" style="365" bestFit="1" customWidth="1"/>
    <col min="14066" max="14066" width="0" style="365" hidden="1" customWidth="1"/>
    <col min="14067" max="14067" width="18.140625" style="365" customWidth="1"/>
    <col min="14068" max="14068" width="0" style="365" hidden="1" customWidth="1"/>
    <col min="14069" max="14069" width="14" style="365" customWidth="1"/>
    <col min="14070" max="14070" width="0" style="365" hidden="1" customWidth="1"/>
    <col min="14071" max="14071" width="20.85546875" style="365" customWidth="1"/>
    <col min="14072" max="14072" width="0" style="365" hidden="1" customWidth="1"/>
    <col min="14073" max="14073" width="13.28515625" style="365" customWidth="1"/>
    <col min="14074" max="14074" width="0" style="365" hidden="1" customWidth="1"/>
    <col min="14075" max="14075" width="15" style="365" customWidth="1"/>
    <col min="14076" max="14076" width="0" style="365" hidden="1" customWidth="1"/>
    <col min="14077" max="14077" width="13.28515625" style="365" customWidth="1"/>
    <col min="14078" max="14078" width="0" style="365" hidden="1" customWidth="1"/>
    <col min="14079" max="14079" width="20.140625" style="365" customWidth="1"/>
    <col min="14080" max="14080" width="14.42578125" style="365" bestFit="1" customWidth="1"/>
    <col min="14081" max="14081" width="14" style="365" bestFit="1" customWidth="1"/>
    <col min="14082" max="14082" width="12.28515625" style="365" bestFit="1" customWidth="1"/>
    <col min="14083" max="14107" width="9.140625" style="365" customWidth="1"/>
    <col min="14108" max="14302" width="8.85546875" style="365"/>
    <col min="14303" max="14303" width="44.5703125" style="365" customWidth="1"/>
    <col min="14304" max="14304" width="14.28515625" style="365" bestFit="1" customWidth="1"/>
    <col min="14305" max="14305" width="1.7109375" style="365" customWidth="1"/>
    <col min="14306" max="14306" width="14.85546875" style="365" customWidth="1"/>
    <col min="14307" max="14307" width="0" style="365" hidden="1" customWidth="1"/>
    <col min="14308" max="14308" width="17.42578125" style="365" customWidth="1"/>
    <col min="14309" max="14309" width="0" style="365" hidden="1" customWidth="1"/>
    <col min="14310" max="14310" width="12.85546875" style="365" customWidth="1"/>
    <col min="14311" max="14311" width="0" style="365" hidden="1" customWidth="1"/>
    <col min="14312" max="14312" width="14.42578125" style="365" customWidth="1"/>
    <col min="14313" max="14313" width="0" style="365" hidden="1" customWidth="1"/>
    <col min="14314" max="14314" width="17.42578125" style="365" customWidth="1"/>
    <col min="14315" max="14315" width="0" style="365" hidden="1" customWidth="1"/>
    <col min="14316" max="14316" width="14" style="365" customWidth="1"/>
    <col min="14317" max="14317" width="14.28515625" style="365" bestFit="1" customWidth="1"/>
    <col min="14318" max="14318" width="0" style="365" hidden="1" customWidth="1"/>
    <col min="14319" max="14319" width="15.5703125" style="365" customWidth="1"/>
    <col min="14320" max="14320" width="44.5703125" style="365" customWidth="1"/>
    <col min="14321" max="14321" width="14.28515625" style="365" bestFit="1" customWidth="1"/>
    <col min="14322" max="14322" width="0" style="365" hidden="1" customWidth="1"/>
    <col min="14323" max="14323" width="18.140625" style="365" customWidth="1"/>
    <col min="14324" max="14324" width="0" style="365" hidden="1" customWidth="1"/>
    <col min="14325" max="14325" width="14" style="365" customWidth="1"/>
    <col min="14326" max="14326" width="0" style="365" hidden="1" customWidth="1"/>
    <col min="14327" max="14327" width="20.85546875" style="365" customWidth="1"/>
    <col min="14328" max="14328" width="0" style="365" hidden="1" customWidth="1"/>
    <col min="14329" max="14329" width="13.28515625" style="365" customWidth="1"/>
    <col min="14330" max="14330" width="0" style="365" hidden="1" customWidth="1"/>
    <col min="14331" max="14331" width="15" style="365" customWidth="1"/>
    <col min="14332" max="14332" width="0" style="365" hidden="1" customWidth="1"/>
    <col min="14333" max="14333" width="13.28515625" style="365" customWidth="1"/>
    <col min="14334" max="14334" width="0" style="365" hidden="1" customWidth="1"/>
    <col min="14335" max="14335" width="20.140625" style="365" customWidth="1"/>
    <col min="14336" max="14336" width="14.42578125" style="365" bestFit="1" customWidth="1"/>
    <col min="14337" max="14337" width="14" style="365" bestFit="1" customWidth="1"/>
    <col min="14338" max="14338" width="12.28515625" style="365" bestFit="1" customWidth="1"/>
    <col min="14339" max="14363" width="9.140625" style="365" customWidth="1"/>
    <col min="14364" max="14558" width="8.85546875" style="365"/>
    <col min="14559" max="14559" width="44.5703125" style="365" customWidth="1"/>
    <col min="14560" max="14560" width="14.28515625" style="365" bestFit="1" customWidth="1"/>
    <col min="14561" max="14561" width="1.7109375" style="365" customWidth="1"/>
    <col min="14562" max="14562" width="14.85546875" style="365" customWidth="1"/>
    <col min="14563" max="14563" width="0" style="365" hidden="1" customWidth="1"/>
    <col min="14564" max="14564" width="17.42578125" style="365" customWidth="1"/>
    <col min="14565" max="14565" width="0" style="365" hidden="1" customWidth="1"/>
    <col min="14566" max="14566" width="12.85546875" style="365" customWidth="1"/>
    <col min="14567" max="14567" width="0" style="365" hidden="1" customWidth="1"/>
    <col min="14568" max="14568" width="14.42578125" style="365" customWidth="1"/>
    <col min="14569" max="14569" width="0" style="365" hidden="1" customWidth="1"/>
    <col min="14570" max="14570" width="17.42578125" style="365" customWidth="1"/>
    <col min="14571" max="14571" width="0" style="365" hidden="1" customWidth="1"/>
    <col min="14572" max="14572" width="14" style="365" customWidth="1"/>
    <col min="14573" max="14573" width="14.28515625" style="365" bestFit="1" customWidth="1"/>
    <col min="14574" max="14574" width="0" style="365" hidden="1" customWidth="1"/>
    <col min="14575" max="14575" width="15.5703125" style="365" customWidth="1"/>
    <col min="14576" max="14576" width="44.5703125" style="365" customWidth="1"/>
    <col min="14577" max="14577" width="14.28515625" style="365" bestFit="1" customWidth="1"/>
    <col min="14578" max="14578" width="0" style="365" hidden="1" customWidth="1"/>
    <col min="14579" max="14579" width="18.140625" style="365" customWidth="1"/>
    <col min="14580" max="14580" width="0" style="365" hidden="1" customWidth="1"/>
    <col min="14581" max="14581" width="14" style="365" customWidth="1"/>
    <col min="14582" max="14582" width="0" style="365" hidden="1" customWidth="1"/>
    <col min="14583" max="14583" width="20.85546875" style="365" customWidth="1"/>
    <col min="14584" max="14584" width="0" style="365" hidden="1" customWidth="1"/>
    <col min="14585" max="14585" width="13.28515625" style="365" customWidth="1"/>
    <col min="14586" max="14586" width="0" style="365" hidden="1" customWidth="1"/>
    <col min="14587" max="14587" width="15" style="365" customWidth="1"/>
    <col min="14588" max="14588" width="0" style="365" hidden="1" customWidth="1"/>
    <col min="14589" max="14589" width="13.28515625" style="365" customWidth="1"/>
    <col min="14590" max="14590" width="0" style="365" hidden="1" customWidth="1"/>
    <col min="14591" max="14591" width="20.140625" style="365" customWidth="1"/>
    <col min="14592" max="14592" width="14.42578125" style="365" bestFit="1" customWidth="1"/>
    <col min="14593" max="14593" width="14" style="365" bestFit="1" customWidth="1"/>
    <col min="14594" max="14594" width="12.28515625" style="365" bestFit="1" customWidth="1"/>
    <col min="14595" max="14619" width="9.140625" style="365" customWidth="1"/>
    <col min="14620" max="14814" width="8.85546875" style="365"/>
    <col min="14815" max="14815" width="44.5703125" style="365" customWidth="1"/>
    <col min="14816" max="14816" width="14.28515625" style="365" bestFit="1" customWidth="1"/>
    <col min="14817" max="14817" width="1.7109375" style="365" customWidth="1"/>
    <col min="14818" max="14818" width="14.85546875" style="365" customWidth="1"/>
    <col min="14819" max="14819" width="0" style="365" hidden="1" customWidth="1"/>
    <col min="14820" max="14820" width="17.42578125" style="365" customWidth="1"/>
    <col min="14821" max="14821" width="0" style="365" hidden="1" customWidth="1"/>
    <col min="14822" max="14822" width="12.85546875" style="365" customWidth="1"/>
    <col min="14823" max="14823" width="0" style="365" hidden="1" customWidth="1"/>
    <col min="14824" max="14824" width="14.42578125" style="365" customWidth="1"/>
    <col min="14825" max="14825" width="0" style="365" hidden="1" customWidth="1"/>
    <col min="14826" max="14826" width="17.42578125" style="365" customWidth="1"/>
    <col min="14827" max="14827" width="0" style="365" hidden="1" customWidth="1"/>
    <col min="14828" max="14828" width="14" style="365" customWidth="1"/>
    <col min="14829" max="14829" width="14.28515625" style="365" bestFit="1" customWidth="1"/>
    <col min="14830" max="14830" width="0" style="365" hidden="1" customWidth="1"/>
    <col min="14831" max="14831" width="15.5703125" style="365" customWidth="1"/>
    <col min="14832" max="14832" width="44.5703125" style="365" customWidth="1"/>
    <col min="14833" max="14833" width="14.28515625" style="365" bestFit="1" customWidth="1"/>
    <col min="14834" max="14834" width="0" style="365" hidden="1" customWidth="1"/>
    <col min="14835" max="14835" width="18.140625" style="365" customWidth="1"/>
    <col min="14836" max="14836" width="0" style="365" hidden="1" customWidth="1"/>
    <col min="14837" max="14837" width="14" style="365" customWidth="1"/>
    <col min="14838" max="14838" width="0" style="365" hidden="1" customWidth="1"/>
    <col min="14839" max="14839" width="20.85546875" style="365" customWidth="1"/>
    <col min="14840" max="14840" width="0" style="365" hidden="1" customWidth="1"/>
    <col min="14841" max="14841" width="13.28515625" style="365" customWidth="1"/>
    <col min="14842" max="14842" width="0" style="365" hidden="1" customWidth="1"/>
    <col min="14843" max="14843" width="15" style="365" customWidth="1"/>
    <col min="14844" max="14844" width="0" style="365" hidden="1" customWidth="1"/>
    <col min="14845" max="14845" width="13.28515625" style="365" customWidth="1"/>
    <col min="14846" max="14846" width="0" style="365" hidden="1" customWidth="1"/>
    <col min="14847" max="14847" width="20.140625" style="365" customWidth="1"/>
    <col min="14848" max="14848" width="14.42578125" style="365" bestFit="1" customWidth="1"/>
    <col min="14849" max="14849" width="14" style="365" bestFit="1" customWidth="1"/>
    <col min="14850" max="14850" width="12.28515625" style="365" bestFit="1" customWidth="1"/>
    <col min="14851" max="14875" width="9.140625" style="365" customWidth="1"/>
    <col min="14876" max="15070" width="8.85546875" style="365"/>
    <col min="15071" max="15071" width="44.5703125" style="365" customWidth="1"/>
    <col min="15072" max="15072" width="14.28515625" style="365" bestFit="1" customWidth="1"/>
    <col min="15073" max="15073" width="1.7109375" style="365" customWidth="1"/>
    <col min="15074" max="15074" width="14.85546875" style="365" customWidth="1"/>
    <col min="15075" max="15075" width="0" style="365" hidden="1" customWidth="1"/>
    <col min="15076" max="15076" width="17.42578125" style="365" customWidth="1"/>
    <col min="15077" max="15077" width="0" style="365" hidden="1" customWidth="1"/>
    <col min="15078" max="15078" width="12.85546875" style="365" customWidth="1"/>
    <col min="15079" max="15079" width="0" style="365" hidden="1" customWidth="1"/>
    <col min="15080" max="15080" width="14.42578125" style="365" customWidth="1"/>
    <col min="15081" max="15081" width="0" style="365" hidden="1" customWidth="1"/>
    <col min="15082" max="15082" width="17.42578125" style="365" customWidth="1"/>
    <col min="15083" max="15083" width="0" style="365" hidden="1" customWidth="1"/>
    <col min="15084" max="15084" width="14" style="365" customWidth="1"/>
    <col min="15085" max="15085" width="14.28515625" style="365" bestFit="1" customWidth="1"/>
    <col min="15086" max="15086" width="0" style="365" hidden="1" customWidth="1"/>
    <col min="15087" max="15087" width="15.5703125" style="365" customWidth="1"/>
    <col min="15088" max="15088" width="44.5703125" style="365" customWidth="1"/>
    <col min="15089" max="15089" width="14.28515625" style="365" bestFit="1" customWidth="1"/>
    <col min="15090" max="15090" width="0" style="365" hidden="1" customWidth="1"/>
    <col min="15091" max="15091" width="18.140625" style="365" customWidth="1"/>
    <col min="15092" max="15092" width="0" style="365" hidden="1" customWidth="1"/>
    <col min="15093" max="15093" width="14" style="365" customWidth="1"/>
    <col min="15094" max="15094" width="0" style="365" hidden="1" customWidth="1"/>
    <col min="15095" max="15095" width="20.85546875" style="365" customWidth="1"/>
    <col min="15096" max="15096" width="0" style="365" hidden="1" customWidth="1"/>
    <col min="15097" max="15097" width="13.28515625" style="365" customWidth="1"/>
    <col min="15098" max="15098" width="0" style="365" hidden="1" customWidth="1"/>
    <col min="15099" max="15099" width="15" style="365" customWidth="1"/>
    <col min="15100" max="15100" width="0" style="365" hidden="1" customWidth="1"/>
    <col min="15101" max="15101" width="13.28515625" style="365" customWidth="1"/>
    <col min="15102" max="15102" width="0" style="365" hidden="1" customWidth="1"/>
    <col min="15103" max="15103" width="20.140625" style="365" customWidth="1"/>
    <col min="15104" max="15104" width="14.42578125" style="365" bestFit="1" customWidth="1"/>
    <col min="15105" max="15105" width="14" style="365" bestFit="1" customWidth="1"/>
    <col min="15106" max="15106" width="12.28515625" style="365" bestFit="1" customWidth="1"/>
    <col min="15107" max="15131" width="9.140625" style="365" customWidth="1"/>
    <col min="15132" max="15326" width="8.85546875" style="365"/>
    <col min="15327" max="15327" width="44.5703125" style="365" customWidth="1"/>
    <col min="15328" max="15328" width="14.28515625" style="365" bestFit="1" customWidth="1"/>
    <col min="15329" max="15329" width="1.7109375" style="365" customWidth="1"/>
    <col min="15330" max="15330" width="14.85546875" style="365" customWidth="1"/>
    <col min="15331" max="15331" width="0" style="365" hidden="1" customWidth="1"/>
    <col min="15332" max="15332" width="17.42578125" style="365" customWidth="1"/>
    <col min="15333" max="15333" width="0" style="365" hidden="1" customWidth="1"/>
    <col min="15334" max="15334" width="12.85546875" style="365" customWidth="1"/>
    <col min="15335" max="15335" width="0" style="365" hidden="1" customWidth="1"/>
    <col min="15336" max="15336" width="14.42578125" style="365" customWidth="1"/>
    <col min="15337" max="15337" width="0" style="365" hidden="1" customWidth="1"/>
    <col min="15338" max="15338" width="17.42578125" style="365" customWidth="1"/>
    <col min="15339" max="15339" width="0" style="365" hidden="1" customWidth="1"/>
    <col min="15340" max="15340" width="14" style="365" customWidth="1"/>
    <col min="15341" max="15341" width="14.28515625" style="365" bestFit="1" customWidth="1"/>
    <col min="15342" max="15342" width="0" style="365" hidden="1" customWidth="1"/>
    <col min="15343" max="15343" width="15.5703125" style="365" customWidth="1"/>
    <col min="15344" max="15344" width="44.5703125" style="365" customWidth="1"/>
    <col min="15345" max="15345" width="14.28515625" style="365" bestFit="1" customWidth="1"/>
    <col min="15346" max="15346" width="0" style="365" hidden="1" customWidth="1"/>
    <col min="15347" max="15347" width="18.140625" style="365" customWidth="1"/>
    <col min="15348" max="15348" width="0" style="365" hidden="1" customWidth="1"/>
    <col min="15349" max="15349" width="14" style="365" customWidth="1"/>
    <col min="15350" max="15350" width="0" style="365" hidden="1" customWidth="1"/>
    <col min="15351" max="15351" width="20.85546875" style="365" customWidth="1"/>
    <col min="15352" max="15352" width="0" style="365" hidden="1" customWidth="1"/>
    <col min="15353" max="15353" width="13.28515625" style="365" customWidth="1"/>
    <col min="15354" max="15354" width="0" style="365" hidden="1" customWidth="1"/>
    <col min="15355" max="15355" width="15" style="365" customWidth="1"/>
    <col min="15356" max="15356" width="0" style="365" hidden="1" customWidth="1"/>
    <col min="15357" max="15357" width="13.28515625" style="365" customWidth="1"/>
    <col min="15358" max="15358" width="0" style="365" hidden="1" customWidth="1"/>
    <col min="15359" max="15359" width="20.140625" style="365" customWidth="1"/>
    <col min="15360" max="15360" width="14.42578125" style="365" bestFit="1" customWidth="1"/>
    <col min="15361" max="15361" width="14" style="365" bestFit="1" customWidth="1"/>
    <col min="15362" max="15362" width="12.28515625" style="365" bestFit="1" customWidth="1"/>
    <col min="15363" max="15387" width="9.140625" style="365" customWidth="1"/>
    <col min="15388" max="15582" width="8.85546875" style="365"/>
    <col min="15583" max="15583" width="44.5703125" style="365" customWidth="1"/>
    <col min="15584" max="15584" width="14.28515625" style="365" bestFit="1" customWidth="1"/>
    <col min="15585" max="15585" width="1.7109375" style="365" customWidth="1"/>
    <col min="15586" max="15586" width="14.85546875" style="365" customWidth="1"/>
    <col min="15587" max="15587" width="0" style="365" hidden="1" customWidth="1"/>
    <col min="15588" max="15588" width="17.42578125" style="365" customWidth="1"/>
    <col min="15589" max="15589" width="0" style="365" hidden="1" customWidth="1"/>
    <col min="15590" max="15590" width="12.85546875" style="365" customWidth="1"/>
    <col min="15591" max="15591" width="0" style="365" hidden="1" customWidth="1"/>
    <col min="15592" max="15592" width="14.42578125" style="365" customWidth="1"/>
    <col min="15593" max="15593" width="0" style="365" hidden="1" customWidth="1"/>
    <col min="15594" max="15594" width="17.42578125" style="365" customWidth="1"/>
    <col min="15595" max="15595" width="0" style="365" hidden="1" customWidth="1"/>
    <col min="15596" max="15596" width="14" style="365" customWidth="1"/>
    <col min="15597" max="15597" width="14.28515625" style="365" bestFit="1" customWidth="1"/>
    <col min="15598" max="15598" width="0" style="365" hidden="1" customWidth="1"/>
    <col min="15599" max="15599" width="15.5703125" style="365" customWidth="1"/>
    <col min="15600" max="15600" width="44.5703125" style="365" customWidth="1"/>
    <col min="15601" max="15601" width="14.28515625" style="365" bestFit="1" customWidth="1"/>
    <col min="15602" max="15602" width="0" style="365" hidden="1" customWidth="1"/>
    <col min="15603" max="15603" width="18.140625" style="365" customWidth="1"/>
    <col min="15604" max="15604" width="0" style="365" hidden="1" customWidth="1"/>
    <col min="15605" max="15605" width="14" style="365" customWidth="1"/>
    <col min="15606" max="15606" width="0" style="365" hidden="1" customWidth="1"/>
    <col min="15607" max="15607" width="20.85546875" style="365" customWidth="1"/>
    <col min="15608" max="15608" width="0" style="365" hidden="1" customWidth="1"/>
    <col min="15609" max="15609" width="13.28515625" style="365" customWidth="1"/>
    <col min="15610" max="15610" width="0" style="365" hidden="1" customWidth="1"/>
    <col min="15611" max="15611" width="15" style="365" customWidth="1"/>
    <col min="15612" max="15612" width="0" style="365" hidden="1" customWidth="1"/>
    <col min="15613" max="15613" width="13.28515625" style="365" customWidth="1"/>
    <col min="15614" max="15614" width="0" style="365" hidden="1" customWidth="1"/>
    <col min="15615" max="15615" width="20.140625" style="365" customWidth="1"/>
    <col min="15616" max="15616" width="14.42578125" style="365" bestFit="1" customWidth="1"/>
    <col min="15617" max="15617" width="14" style="365" bestFit="1" customWidth="1"/>
    <col min="15618" max="15618" width="12.28515625" style="365" bestFit="1" customWidth="1"/>
    <col min="15619" max="15643" width="9.140625" style="365" customWidth="1"/>
    <col min="15644" max="15838" width="8.85546875" style="365"/>
    <col min="15839" max="15839" width="44.5703125" style="365" customWidth="1"/>
    <col min="15840" max="15840" width="14.28515625" style="365" bestFit="1" customWidth="1"/>
    <col min="15841" max="15841" width="1.7109375" style="365" customWidth="1"/>
    <col min="15842" max="15842" width="14.85546875" style="365" customWidth="1"/>
    <col min="15843" max="15843" width="0" style="365" hidden="1" customWidth="1"/>
    <col min="15844" max="15844" width="17.42578125" style="365" customWidth="1"/>
    <col min="15845" max="15845" width="0" style="365" hidden="1" customWidth="1"/>
    <col min="15846" max="15846" width="12.85546875" style="365" customWidth="1"/>
    <col min="15847" max="15847" width="0" style="365" hidden="1" customWidth="1"/>
    <col min="15848" max="15848" width="14.42578125" style="365" customWidth="1"/>
    <col min="15849" max="15849" width="0" style="365" hidden="1" customWidth="1"/>
    <col min="15850" max="15850" width="17.42578125" style="365" customWidth="1"/>
    <col min="15851" max="15851" width="0" style="365" hidden="1" customWidth="1"/>
    <col min="15852" max="15852" width="14" style="365" customWidth="1"/>
    <col min="15853" max="15853" width="14.28515625" style="365" bestFit="1" customWidth="1"/>
    <col min="15854" max="15854" width="0" style="365" hidden="1" customWidth="1"/>
    <col min="15855" max="15855" width="15.5703125" style="365" customWidth="1"/>
    <col min="15856" max="15856" width="44.5703125" style="365" customWidth="1"/>
    <col min="15857" max="15857" width="14.28515625" style="365" bestFit="1" customWidth="1"/>
    <col min="15858" max="15858" width="0" style="365" hidden="1" customWidth="1"/>
    <col min="15859" max="15859" width="18.140625" style="365" customWidth="1"/>
    <col min="15860" max="15860" width="0" style="365" hidden="1" customWidth="1"/>
    <col min="15861" max="15861" width="14" style="365" customWidth="1"/>
    <col min="15862" max="15862" width="0" style="365" hidden="1" customWidth="1"/>
    <col min="15863" max="15863" width="20.85546875" style="365" customWidth="1"/>
    <col min="15864" max="15864" width="0" style="365" hidden="1" customWidth="1"/>
    <col min="15865" max="15865" width="13.28515625" style="365" customWidth="1"/>
    <col min="15866" max="15866" width="0" style="365" hidden="1" customWidth="1"/>
    <col min="15867" max="15867" width="15" style="365" customWidth="1"/>
    <col min="15868" max="15868" width="0" style="365" hidden="1" customWidth="1"/>
    <col min="15869" max="15869" width="13.28515625" style="365" customWidth="1"/>
    <col min="15870" max="15870" width="0" style="365" hidden="1" customWidth="1"/>
    <col min="15871" max="15871" width="20.140625" style="365" customWidth="1"/>
    <col min="15872" max="15872" width="14.42578125" style="365" bestFit="1" customWidth="1"/>
    <col min="15873" max="15873" width="14" style="365" bestFit="1" customWidth="1"/>
    <col min="15874" max="15874" width="12.28515625" style="365" bestFit="1" customWidth="1"/>
    <col min="15875" max="15899" width="9.140625" style="365" customWidth="1"/>
    <col min="15900" max="16094" width="8.85546875" style="365"/>
    <col min="16095" max="16095" width="44.5703125" style="365" customWidth="1"/>
    <col min="16096" max="16096" width="14.28515625" style="365" bestFit="1" customWidth="1"/>
    <col min="16097" max="16097" width="1.7109375" style="365" customWidth="1"/>
    <col min="16098" max="16098" width="14.85546875" style="365" customWidth="1"/>
    <col min="16099" max="16099" width="0" style="365" hidden="1" customWidth="1"/>
    <col min="16100" max="16100" width="17.42578125" style="365" customWidth="1"/>
    <col min="16101" max="16101" width="0" style="365" hidden="1" customWidth="1"/>
    <col min="16102" max="16102" width="12.85546875" style="365" customWidth="1"/>
    <col min="16103" max="16103" width="0" style="365" hidden="1" customWidth="1"/>
    <col min="16104" max="16104" width="14.42578125" style="365" customWidth="1"/>
    <col min="16105" max="16105" width="0" style="365" hidden="1" customWidth="1"/>
    <col min="16106" max="16106" width="17.42578125" style="365" customWidth="1"/>
    <col min="16107" max="16107" width="0" style="365" hidden="1" customWidth="1"/>
    <col min="16108" max="16108" width="14" style="365" customWidth="1"/>
    <col min="16109" max="16109" width="14.28515625" style="365" bestFit="1" customWidth="1"/>
    <col min="16110" max="16110" width="0" style="365" hidden="1" customWidth="1"/>
    <col min="16111" max="16111" width="15.5703125" style="365" customWidth="1"/>
    <col min="16112" max="16112" width="44.5703125" style="365" customWidth="1"/>
    <col min="16113" max="16113" width="14.28515625" style="365" bestFit="1" customWidth="1"/>
    <col min="16114" max="16114" width="0" style="365" hidden="1" customWidth="1"/>
    <col min="16115" max="16115" width="18.140625" style="365" customWidth="1"/>
    <col min="16116" max="16116" width="0" style="365" hidden="1" customWidth="1"/>
    <col min="16117" max="16117" width="14" style="365" customWidth="1"/>
    <col min="16118" max="16118" width="0" style="365" hidden="1" customWidth="1"/>
    <col min="16119" max="16119" width="20.85546875" style="365" customWidth="1"/>
    <col min="16120" max="16120" width="0" style="365" hidden="1" customWidth="1"/>
    <col min="16121" max="16121" width="13.28515625" style="365" customWidth="1"/>
    <col min="16122" max="16122" width="0" style="365" hidden="1" customWidth="1"/>
    <col min="16123" max="16123" width="15" style="365" customWidth="1"/>
    <col min="16124" max="16124" width="0" style="365" hidden="1" customWidth="1"/>
    <col min="16125" max="16125" width="13.28515625" style="365" customWidth="1"/>
    <col min="16126" max="16126" width="0" style="365" hidden="1" customWidth="1"/>
    <col min="16127" max="16127" width="20.140625" style="365" customWidth="1"/>
    <col min="16128" max="16128" width="14.42578125" style="365" bestFit="1" customWidth="1"/>
    <col min="16129" max="16129" width="14" style="365" bestFit="1" customWidth="1"/>
    <col min="16130" max="16130" width="12.28515625" style="365" bestFit="1" customWidth="1"/>
    <col min="16131" max="16155" width="9.140625" style="365" customWidth="1"/>
    <col min="16156" max="16368" width="8.85546875" style="365"/>
    <col min="16369" max="16371" width="8.85546875" style="365" customWidth="1"/>
    <col min="16372" max="16384" width="8.85546875" style="365"/>
  </cols>
  <sheetData>
    <row r="1" spans="1:27" s="354" customFormat="1" ht="19.899999999999999" hidden="1" customHeight="1">
      <c r="A1" s="1632"/>
      <c r="B1" s="1632"/>
      <c r="C1" s="1632"/>
      <c r="D1" s="1632"/>
      <c r="E1" s="1632"/>
      <c r="F1" s="1632"/>
      <c r="G1" s="1632"/>
      <c r="H1" s="1632"/>
      <c r="I1" s="1633"/>
      <c r="J1" s="1633"/>
      <c r="K1" s="1633"/>
      <c r="L1" s="1632"/>
      <c r="M1" s="1291"/>
      <c r="N1" s="1187"/>
      <c r="O1" s="1187"/>
      <c r="P1" s="1187"/>
      <c r="Q1" s="1187"/>
      <c r="R1" s="351"/>
      <c r="S1" s="353"/>
      <c r="T1" s="353"/>
      <c r="U1" s="353"/>
      <c r="V1" s="353"/>
      <c r="W1" s="353"/>
      <c r="X1" s="353"/>
      <c r="Y1" s="353"/>
      <c r="Z1" s="353"/>
      <c r="AA1" s="353"/>
    </row>
    <row r="2" spans="1:27" s="354" customFormat="1" ht="82.15" customHeight="1" thickBot="1">
      <c r="A2" s="1688" t="s">
        <v>923</v>
      </c>
      <c r="B2" s="1688"/>
      <c r="C2" s="1688"/>
      <c r="D2" s="1688"/>
      <c r="E2" s="1688"/>
      <c r="F2" s="1688"/>
      <c r="G2" s="1688"/>
      <c r="H2" s="1688"/>
      <c r="I2" s="1688"/>
      <c r="J2" s="1688"/>
      <c r="K2" s="1688"/>
      <c r="L2" s="1688"/>
      <c r="M2" s="1688"/>
      <c r="N2" s="1688"/>
      <c r="O2" s="1688"/>
      <c r="P2" s="1688"/>
      <c r="Q2" s="1688"/>
      <c r="R2" s="1688"/>
      <c r="S2" s="353"/>
      <c r="T2" s="353"/>
      <c r="U2" s="353"/>
      <c r="V2" s="353"/>
      <c r="W2" s="353"/>
      <c r="X2" s="353"/>
      <c r="Y2" s="353"/>
      <c r="Z2" s="353"/>
      <c r="AA2" s="353"/>
    </row>
    <row r="3" spans="1:27" s="1020" customFormat="1" ht="106.5" thickTop="1" thickBot="1">
      <c r="A3" s="484"/>
      <c r="B3" s="1017"/>
      <c r="C3" s="1018"/>
      <c r="D3" s="988" t="s">
        <v>573</v>
      </c>
      <c r="E3" s="989" t="s">
        <v>718</v>
      </c>
      <c r="F3" s="989" t="s">
        <v>154</v>
      </c>
      <c r="G3" s="989" t="s">
        <v>411</v>
      </c>
      <c r="H3" s="989" t="s">
        <v>412</v>
      </c>
      <c r="I3" s="989" t="s">
        <v>413</v>
      </c>
      <c r="J3" s="989" t="s">
        <v>772</v>
      </c>
      <c r="K3" s="989" t="s">
        <v>781</v>
      </c>
      <c r="L3" s="1179" t="s">
        <v>910</v>
      </c>
      <c r="M3" s="988" t="s">
        <v>909</v>
      </c>
      <c r="N3" s="1179" t="s">
        <v>907</v>
      </c>
      <c r="O3" s="1179"/>
      <c r="P3" s="1179" t="s">
        <v>912</v>
      </c>
      <c r="Q3" s="1179" t="s">
        <v>911</v>
      </c>
      <c r="R3" s="1179" t="s">
        <v>907</v>
      </c>
    </row>
    <row r="4" spans="1:27" ht="16.5" thickTop="1">
      <c r="A4" s="356"/>
      <c r="B4" s="356"/>
      <c r="C4" s="357"/>
      <c r="D4" s="947"/>
      <c r="E4" s="924"/>
      <c r="F4" s="924"/>
      <c r="G4" s="924"/>
      <c r="H4" s="924"/>
      <c r="I4" s="924"/>
      <c r="J4" s="924"/>
      <c r="K4" s="924"/>
      <c r="L4" s="374"/>
      <c r="M4" s="947"/>
      <c r="N4" s="374"/>
      <c r="O4" s="374"/>
      <c r="P4" s="374"/>
      <c r="Q4" s="374"/>
      <c r="R4" s="374"/>
      <c r="S4" s="365"/>
      <c r="T4" s="365"/>
      <c r="U4" s="365"/>
      <c r="V4" s="365"/>
      <c r="W4" s="365"/>
      <c r="X4" s="365"/>
      <c r="Y4" s="365"/>
      <c r="Z4" s="365"/>
      <c r="AA4" s="365"/>
    </row>
    <row r="5" spans="1:27" s="417" customFormat="1" ht="18.75">
      <c r="A5" s="417" t="s">
        <v>423</v>
      </c>
      <c r="C5" s="449"/>
      <c r="D5" s="948"/>
      <c r="E5" s="929"/>
      <c r="F5" s="929"/>
      <c r="G5" s="929"/>
      <c r="H5" s="929"/>
      <c r="I5" s="929"/>
      <c r="J5" s="929"/>
      <c r="K5" s="929"/>
      <c r="L5" s="456"/>
      <c r="M5" s="948"/>
      <c r="N5" s="456"/>
      <c r="O5" s="456"/>
      <c r="P5" s="456"/>
      <c r="Q5" s="456"/>
      <c r="R5" s="456"/>
    </row>
    <row r="6" spans="1:27" s="417" customFormat="1" ht="18.75">
      <c r="A6" s="417" t="s">
        <v>27</v>
      </c>
      <c r="C6" s="417" t="s">
        <v>424</v>
      </c>
      <c r="D6" s="1219">
        <f>ROUND('001 General Fund'!K23+'001 General Fund'!K15,0)</f>
        <v>50418790</v>
      </c>
      <c r="E6" s="1219">
        <f>ROUND('CRA-Beach'!L15+'CRA-NW Progresso'!L16+'CRA-Central City'!L14,0)</f>
        <v>-24714</v>
      </c>
      <c r="F6" s="1219">
        <f>ROUND('Sunrise Key'!L14+'Sunrise Key'!L10,0)</f>
        <v>99940</v>
      </c>
      <c r="G6" s="1219">
        <f>ROUND('Beach Bus Improv District'!L13+'Beach Bus Improv District'!L9,0)</f>
        <v>399899</v>
      </c>
      <c r="H6" s="1219">
        <f>ROUND('Housing and Community Dev'!L15+'Housing and Community Dev'!L11,0)</f>
        <v>38123</v>
      </c>
      <c r="I6" s="1227" t="e">
        <f>ROUND(#REF!+#REF!+#REF!+#REF!+#REF!+#REF!,0)</f>
        <v>#REF!</v>
      </c>
      <c r="J6" s="1227">
        <v>0</v>
      </c>
      <c r="K6" s="1227">
        <f>ROUND(Police!L11+'Drug Enforcement Agency'!L11+Police!L16+'Drug Enforcement Agency'!L16,0)</f>
        <v>1679720</v>
      </c>
      <c r="L6" s="1229">
        <v>37759801</v>
      </c>
      <c r="M6" s="1227">
        <f>ROUND('All Funds SchA Adopted 2014 1pg'!D9,0)</f>
        <v>50418790</v>
      </c>
      <c r="N6" s="1229">
        <f>'All Funds SchA Adopted 2014 1pg'!D9-L6</f>
        <v>12658989</v>
      </c>
      <c r="O6" s="1229" t="s">
        <v>913</v>
      </c>
      <c r="P6" s="1229">
        <v>193900009</v>
      </c>
      <c r="Q6" s="1229" t="e">
        <f>'All Funds SchA Adopted 2014 1pg'!X9</f>
        <v>#REF!</v>
      </c>
      <c r="R6" s="1229" t="e">
        <f>Q6-P6</f>
        <v>#REF!</v>
      </c>
    </row>
    <row r="7" spans="1:27" s="417" customFormat="1" ht="18.75">
      <c r="A7" s="417" t="s">
        <v>782</v>
      </c>
      <c r="D7" s="1219"/>
      <c r="E7" s="1219"/>
      <c r="F7" s="1219"/>
      <c r="G7" s="1219"/>
      <c r="H7" s="1219"/>
      <c r="I7" s="1227"/>
      <c r="J7" s="1227"/>
      <c r="K7" s="1227"/>
      <c r="L7" s="1229">
        <v>4457240</v>
      </c>
      <c r="M7" s="1227">
        <f>ROUND('All Funds SchA Adopted 2014 1pg'!D10,0)</f>
        <v>4457240</v>
      </c>
      <c r="N7" s="1229">
        <f>'All Funds SchA Adopted 2014 1pg'!D10-L7</f>
        <v>0</v>
      </c>
      <c r="O7" s="1229"/>
      <c r="P7" s="1229">
        <v>4457240</v>
      </c>
      <c r="Q7" s="1229">
        <f>'All Funds SchA Adopted 2014 1pg'!X10</f>
        <v>4457240</v>
      </c>
      <c r="R7" s="1229">
        <f t="shared" ref="R7:R10" si="0">Q7-P7</f>
        <v>0</v>
      </c>
    </row>
    <row r="8" spans="1:27" s="417" customFormat="1" ht="18.75">
      <c r="A8" s="417" t="s">
        <v>690</v>
      </c>
      <c r="D8" s="1219">
        <f>ROUND('001 General Fund'!K22,0)</f>
        <v>833479</v>
      </c>
      <c r="E8" s="1219">
        <v>0</v>
      </c>
      <c r="F8" s="1219">
        <v>0</v>
      </c>
      <c r="G8" s="1219">
        <v>0</v>
      </c>
      <c r="H8" s="1219">
        <v>0</v>
      </c>
      <c r="I8" s="1227">
        <v>0</v>
      </c>
      <c r="J8" s="1227">
        <v>0</v>
      </c>
      <c r="K8" s="1227">
        <v>0</v>
      </c>
      <c r="L8" s="1229">
        <v>4000000</v>
      </c>
      <c r="M8" s="1227">
        <f>ROUND('All Funds SchA Adopted 2014 1pg'!D11,0)</f>
        <v>5000000</v>
      </c>
      <c r="N8" s="1229">
        <f>'All Funds SchA Adopted 2014 1pg'!D11-L8</f>
        <v>1000000</v>
      </c>
      <c r="O8" s="1229"/>
      <c r="P8" s="1229">
        <v>4000000</v>
      </c>
      <c r="Q8" s="1229">
        <f>'All Funds SchA Adopted 2014 1pg'!X11</f>
        <v>5000000</v>
      </c>
      <c r="R8" s="1229">
        <f t="shared" si="0"/>
        <v>1000000</v>
      </c>
    </row>
    <row r="9" spans="1:27" s="417" customFormat="1" ht="18.75">
      <c r="A9" s="417" t="s">
        <v>830</v>
      </c>
      <c r="D9" s="1219"/>
      <c r="E9" s="1219"/>
      <c r="F9" s="1219"/>
      <c r="G9" s="1219"/>
      <c r="H9" s="1219"/>
      <c r="I9" s="1227"/>
      <c r="J9" s="1227"/>
      <c r="K9" s="1227"/>
      <c r="L9" s="1229">
        <v>13274563</v>
      </c>
      <c r="M9" s="1227">
        <f>ROUND('All Funds SchA Adopted 2014 1pg'!D12,0)</f>
        <v>4273912</v>
      </c>
      <c r="N9" s="1229">
        <f>'All Funds SchA Adopted 2014 1pg'!D12-L9</f>
        <v>-9000651</v>
      </c>
      <c r="O9" s="1229"/>
      <c r="P9" s="1229">
        <v>13274563</v>
      </c>
      <c r="Q9" s="1229">
        <f>'All Funds SchA Adopted 2014 1pg'!X12</f>
        <v>4273912</v>
      </c>
      <c r="R9" s="1229">
        <f t="shared" si="0"/>
        <v>-9000651</v>
      </c>
    </row>
    <row r="10" spans="1:27" s="417" customFormat="1" ht="18.75">
      <c r="A10" s="417" t="s">
        <v>841</v>
      </c>
      <c r="D10" s="1219"/>
      <c r="E10" s="1219"/>
      <c r="F10" s="1219"/>
      <c r="G10" s="1219"/>
      <c r="H10" s="1219"/>
      <c r="I10" s="1227"/>
      <c r="J10" s="1227"/>
      <c r="K10" s="1227"/>
      <c r="L10" s="1229">
        <v>635183</v>
      </c>
      <c r="M10" s="1227">
        <f>ROUND('All Funds SchA Adopted 2014 1pg'!D13,0)</f>
        <v>833479</v>
      </c>
      <c r="N10" s="1229">
        <f>'All Funds SchA Adopted 2014 1pg'!D13-L10</f>
        <v>198296</v>
      </c>
      <c r="O10" s="1229"/>
      <c r="P10" s="1229">
        <v>2745518</v>
      </c>
      <c r="Q10" s="1229" t="e">
        <f>'All Funds SchA Adopted 2014 1pg'!X13</f>
        <v>#REF!</v>
      </c>
      <c r="R10" s="1229" t="e">
        <f t="shared" si="0"/>
        <v>#REF!</v>
      </c>
    </row>
    <row r="11" spans="1:27" s="417" customFormat="1" ht="18.75">
      <c r="A11" s="417" t="s">
        <v>688</v>
      </c>
      <c r="C11" s="417" t="s">
        <v>424</v>
      </c>
      <c r="D11" s="949">
        <f>SUM(D6:D8)</f>
        <v>51252269</v>
      </c>
      <c r="E11" s="917">
        <f t="shared" ref="E11:K11" si="1">SUM(E6:E6)</f>
        <v>-24714</v>
      </c>
      <c r="F11" s="917">
        <f t="shared" si="1"/>
        <v>99940</v>
      </c>
      <c r="G11" s="917">
        <f t="shared" si="1"/>
        <v>399899</v>
      </c>
      <c r="H11" s="917">
        <f t="shared" si="1"/>
        <v>38123</v>
      </c>
      <c r="I11" s="1230" t="e">
        <f t="shared" si="1"/>
        <v>#REF!</v>
      </c>
      <c r="J11" s="1230">
        <f t="shared" si="1"/>
        <v>0</v>
      </c>
      <c r="K11" s="1230">
        <f t="shared" si="1"/>
        <v>1679720</v>
      </c>
      <c r="L11" s="1230">
        <v>60126787</v>
      </c>
      <c r="M11" s="1212">
        <v>60127166</v>
      </c>
      <c r="N11" s="1230">
        <f>'All Funds SchA Adopted 2014 1pg'!D14-L11</f>
        <v>4856634</v>
      </c>
      <c r="O11" s="1230"/>
      <c r="P11" s="1230">
        <v>218377330</v>
      </c>
      <c r="Q11" s="1230" t="e">
        <f>SUM(Q6:Q10)</f>
        <v>#REF!</v>
      </c>
      <c r="R11" s="1230" t="e">
        <f>SUM(R6:R10)</f>
        <v>#REF!</v>
      </c>
    </row>
    <row r="12" spans="1:27" s="417" customFormat="1" ht="18.75">
      <c r="D12" s="950"/>
      <c r="E12" s="1220"/>
      <c r="F12" s="1220"/>
      <c r="G12" s="1220"/>
      <c r="H12" s="1220"/>
      <c r="I12" s="1228"/>
      <c r="J12" s="1228"/>
      <c r="K12" s="1228"/>
      <c r="L12" s="1232"/>
      <c r="M12" s="1215"/>
      <c r="N12" s="1232">
        <f>'All Funds SchA Adopted 2014 1pg'!D15-L12</f>
        <v>0</v>
      </c>
      <c r="O12" s="1232"/>
      <c r="P12" s="1232"/>
      <c r="Q12" s="1232"/>
      <c r="R12" s="1232"/>
    </row>
    <row r="13" spans="1:27" s="454" customFormat="1" ht="18.75">
      <c r="A13" s="454" t="s">
        <v>426</v>
      </c>
      <c r="D13" s="1220"/>
      <c r="E13" s="1220"/>
      <c r="F13" s="1220"/>
      <c r="G13" s="1220"/>
      <c r="H13" s="1220"/>
      <c r="I13" s="1228"/>
      <c r="J13" s="1228"/>
      <c r="K13" s="1228"/>
      <c r="L13" s="1232"/>
      <c r="M13" s="1228"/>
      <c r="N13" s="1232">
        <f>'All Funds SchA Adopted 2014 1pg'!D16-L13</f>
        <v>0</v>
      </c>
      <c r="O13" s="1232"/>
      <c r="P13" s="1232"/>
      <c r="Q13" s="1232"/>
      <c r="R13" s="1232"/>
    </row>
    <row r="14" spans="1:27" s="454" customFormat="1" ht="18.75">
      <c r="A14" s="454" t="s">
        <v>584</v>
      </c>
      <c r="B14" s="700" t="s">
        <v>585</v>
      </c>
      <c r="D14" s="1219"/>
      <c r="E14" s="1219"/>
      <c r="F14" s="1219"/>
      <c r="G14" s="1219"/>
      <c r="H14" s="1219"/>
      <c r="I14" s="1227"/>
      <c r="J14" s="1227"/>
      <c r="K14" s="1227"/>
      <c r="L14" s="1229"/>
      <c r="M14" s="1227"/>
      <c r="N14" s="1229">
        <f>'All Funds SchA Adopted 2014 1pg'!D17-L14</f>
        <v>0</v>
      </c>
      <c r="O14" s="1229"/>
      <c r="P14" s="1229"/>
      <c r="Q14" s="1229"/>
      <c r="R14" s="1229"/>
    </row>
    <row r="15" spans="1:27" s="454" customFormat="1" ht="18.75">
      <c r="A15" s="454" t="s">
        <v>582</v>
      </c>
      <c r="B15" s="468">
        <v>4.1193</v>
      </c>
      <c r="D15" s="1219"/>
      <c r="E15" s="1219"/>
      <c r="F15" s="1219"/>
      <c r="G15" s="1219"/>
      <c r="H15" s="1219"/>
      <c r="I15" s="1227"/>
      <c r="J15" s="1227"/>
      <c r="K15" s="1227"/>
      <c r="L15" s="1229">
        <v>96552949</v>
      </c>
      <c r="M15" s="1227">
        <f>ROUND('All Funds SchA Adopted 2014 1pg'!D18,0)</f>
        <v>97569296</v>
      </c>
      <c r="N15" s="1229">
        <f>'All Funds SchA Adopted 2014 1pg'!D18-L15</f>
        <v>1016347</v>
      </c>
      <c r="O15" s="1229" t="s">
        <v>914</v>
      </c>
      <c r="P15" s="1229">
        <f>101404856-P16</f>
        <v>96552949</v>
      </c>
      <c r="Q15" s="1229">
        <f>'All Funds SchA Adopted 2014 1pg'!X18</f>
        <v>97569296</v>
      </c>
      <c r="R15" s="1229">
        <f t="shared" ref="R15:R25" si="2">Q15-P15</f>
        <v>1016347</v>
      </c>
    </row>
    <row r="16" spans="1:27" s="454" customFormat="1" ht="18.75">
      <c r="A16" s="454" t="s">
        <v>873</v>
      </c>
      <c r="B16" s="468">
        <v>0.20710000000000001</v>
      </c>
      <c r="D16" s="1220">
        <f>ROUND('[1]GF Resources'!$G$7,0)</f>
        <v>1107945</v>
      </c>
      <c r="E16" s="1220">
        <v>0</v>
      </c>
      <c r="F16" s="1220">
        <v>0</v>
      </c>
      <c r="G16" s="1220">
        <v>0</v>
      </c>
      <c r="H16" s="1220">
        <v>0</v>
      </c>
      <c r="I16" s="1228">
        <v>0</v>
      </c>
      <c r="J16" s="1228">
        <v>0</v>
      </c>
      <c r="K16" s="1228">
        <v>0</v>
      </c>
      <c r="L16" s="1229"/>
      <c r="M16" s="1227">
        <f>ROUND('All Funds SchA Adopted 2014 1pg'!D19,0)</f>
        <v>0</v>
      </c>
      <c r="N16" s="1229">
        <f>'All Funds SchA Adopted 2014 1pg'!D19-L16</f>
        <v>0</v>
      </c>
      <c r="O16" s="1229"/>
      <c r="P16" s="1229">
        <v>4851907</v>
      </c>
      <c r="Q16" s="1229" t="e">
        <f>'All Funds SchA Adopted 2014 1pg'!X19</f>
        <v>#REF!</v>
      </c>
      <c r="R16" s="1229" t="e">
        <f t="shared" si="2"/>
        <v>#REF!</v>
      </c>
    </row>
    <row r="17" spans="1:19" s="454" customFormat="1" ht="18.75">
      <c r="A17" s="454" t="s">
        <v>581</v>
      </c>
      <c r="B17" s="576">
        <v>1</v>
      </c>
      <c r="D17" s="916">
        <v>0</v>
      </c>
      <c r="E17" s="1220">
        <v>0</v>
      </c>
      <c r="F17" s="1219">
        <f>ROUND('Sunrise Key'!L8,0)</f>
        <v>80098</v>
      </c>
      <c r="G17" s="1220">
        <v>0</v>
      </c>
      <c r="H17" s="1220">
        <v>0</v>
      </c>
      <c r="I17" s="1228">
        <v>0</v>
      </c>
      <c r="J17" s="1228">
        <v>0</v>
      </c>
      <c r="K17" s="1228">
        <v>0</v>
      </c>
      <c r="L17" s="1229"/>
      <c r="M17" s="1227">
        <f>ROUND('All Funds SchA Adopted 2014 1pg'!D20,0)</f>
        <v>0</v>
      </c>
      <c r="N17" s="1229">
        <f>'All Funds SchA Adopted 2014 1pg'!D20-L17</f>
        <v>0</v>
      </c>
      <c r="O17" s="1229"/>
      <c r="P17" s="1229">
        <v>74177</v>
      </c>
      <c r="Q17" s="1229">
        <f>'All Funds SchA Adopted 2014 1pg'!X20</f>
        <v>80098</v>
      </c>
      <c r="R17" s="1229">
        <f t="shared" si="2"/>
        <v>5921</v>
      </c>
    </row>
    <row r="18" spans="1:19" s="454" customFormat="1" ht="18.75">
      <c r="A18" s="454" t="s">
        <v>580</v>
      </c>
      <c r="B18" s="684"/>
      <c r="D18" s="1220">
        <f>ROUND('[1]GF Resources'!$G$14,0)</f>
        <v>4882276</v>
      </c>
      <c r="E18" s="1220">
        <v>0</v>
      </c>
      <c r="F18" s="1220">
        <v>0</v>
      </c>
      <c r="G18" s="1220">
        <v>0</v>
      </c>
      <c r="H18" s="1220">
        <v>0</v>
      </c>
      <c r="I18" s="1228">
        <v>0</v>
      </c>
      <c r="J18" s="1228">
        <v>0</v>
      </c>
      <c r="K18" s="1228">
        <v>0</v>
      </c>
      <c r="L18" s="1229"/>
      <c r="M18" s="1227">
        <f>ROUND('All Funds SchA Adopted 2014 1pg'!D21,0)</f>
        <v>4882276</v>
      </c>
      <c r="N18" s="1229">
        <f>'All Funds SchA Adopted 2014 1pg'!D21-L18</f>
        <v>4882276</v>
      </c>
      <c r="O18" s="1229" t="s">
        <v>908</v>
      </c>
      <c r="P18" s="1229">
        <v>0</v>
      </c>
      <c r="Q18" s="1229">
        <f>'All Funds SchA Adopted 2014 1pg'!X21</f>
        <v>4882276</v>
      </c>
      <c r="R18" s="1229">
        <f t="shared" si="2"/>
        <v>4882276</v>
      </c>
    </row>
    <row r="19" spans="1:19" s="454" customFormat="1" ht="18.75">
      <c r="A19" s="454" t="s">
        <v>579</v>
      </c>
      <c r="D19" s="1220">
        <f>ROUND('[1]GF Resources'!$G$15,0)</f>
        <v>-1600000</v>
      </c>
      <c r="E19" s="1220">
        <v>0</v>
      </c>
      <c r="F19" s="1220">
        <v>0</v>
      </c>
      <c r="G19" s="1220">
        <v>0</v>
      </c>
      <c r="H19" s="1220">
        <v>0</v>
      </c>
      <c r="I19" s="1228">
        <v>0</v>
      </c>
      <c r="J19" s="1228">
        <v>0</v>
      </c>
      <c r="K19" s="1228">
        <v>0</v>
      </c>
      <c r="L19" s="1229">
        <v>16828206</v>
      </c>
      <c r="M19" s="1227">
        <f>ROUND('All Funds SchA Adopted 2014 1pg'!D22,0)</f>
        <v>15228206</v>
      </c>
      <c r="N19" s="1229">
        <f>'All Funds SchA Adopted 2014 1pg'!D22-L19</f>
        <v>-1600000</v>
      </c>
      <c r="O19" s="1229" t="s">
        <v>915</v>
      </c>
      <c r="P19" s="1229">
        <v>16828206</v>
      </c>
      <c r="Q19" s="1229">
        <f>'All Funds SchA Adopted 2014 1pg'!X22</f>
        <v>15228206</v>
      </c>
      <c r="R19" s="1229">
        <f t="shared" si="2"/>
        <v>-1600000</v>
      </c>
    </row>
    <row r="20" spans="1:19" s="454" customFormat="1" ht="18.75">
      <c r="A20" s="454" t="s">
        <v>578</v>
      </c>
      <c r="D20" s="1220">
        <f>ROUND('[1]GF Resources'!$G$16,2)</f>
        <v>551832</v>
      </c>
      <c r="E20" s="1220">
        <v>0</v>
      </c>
      <c r="F20" s="1220">
        <v>0</v>
      </c>
      <c r="G20" s="1220">
        <v>0</v>
      </c>
      <c r="H20" s="1220">
        <v>0</v>
      </c>
      <c r="I20" s="1228">
        <v>0</v>
      </c>
      <c r="J20" s="1228">
        <v>0</v>
      </c>
      <c r="K20" s="1228">
        <v>0</v>
      </c>
      <c r="L20" s="1229">
        <v>34992965</v>
      </c>
      <c r="M20" s="1227">
        <f>ROUND('All Funds SchA Adopted 2014 1pg'!D23,0)</f>
        <v>36592965</v>
      </c>
      <c r="N20" s="1229">
        <f>'All Funds SchA Adopted 2014 1pg'!D23-L20</f>
        <v>1600000</v>
      </c>
      <c r="O20" s="1229" t="s">
        <v>916</v>
      </c>
      <c r="P20" s="1229">
        <v>34992965</v>
      </c>
      <c r="Q20" s="1229">
        <f>'All Funds SchA Adopted 2014 1pg'!X23</f>
        <v>36592965</v>
      </c>
      <c r="R20" s="1229">
        <f t="shared" si="2"/>
        <v>1600000</v>
      </c>
    </row>
    <row r="21" spans="1:19" s="454" customFormat="1" ht="18.75">
      <c r="A21" s="454" t="s">
        <v>435</v>
      </c>
      <c r="D21" s="1220">
        <f>ROUND('[1]GF Resources'!$G$22,2)</f>
        <v>0</v>
      </c>
      <c r="E21" s="1220">
        <v>0</v>
      </c>
      <c r="F21" s="1220">
        <v>0</v>
      </c>
      <c r="G21" s="1220">
        <v>0</v>
      </c>
      <c r="H21" s="1220">
        <v>0</v>
      </c>
      <c r="I21" s="1228" t="e">
        <f>ROUND(#REF!+#REF!+#REF!,2)</f>
        <v>#REF!</v>
      </c>
      <c r="J21" s="1228">
        <v>0</v>
      </c>
      <c r="K21" s="1228">
        <v>0</v>
      </c>
      <c r="L21" s="1229">
        <v>2924286</v>
      </c>
      <c r="M21" s="1227">
        <f>ROUND('All Funds SchA Adopted 2014 1pg'!D24,0)</f>
        <v>2924286</v>
      </c>
      <c r="N21" s="1229">
        <f>'All Funds SchA Adopted 2014 1pg'!D24-L21</f>
        <v>0</v>
      </c>
      <c r="O21" s="1229"/>
      <c r="P21" s="1229">
        <v>18239090</v>
      </c>
      <c r="Q21" s="1229" t="e">
        <f>'All Funds SchA Adopted 2014 1pg'!X24</f>
        <v>#REF!</v>
      </c>
      <c r="R21" s="1229" t="e">
        <f t="shared" si="2"/>
        <v>#REF!</v>
      </c>
    </row>
    <row r="22" spans="1:19" s="454" customFormat="1" ht="18.75">
      <c r="A22" s="454" t="s">
        <v>408</v>
      </c>
      <c r="D22" s="1220">
        <f>ROUND('[1]GF Resources'!$G$28,2)</f>
        <v>481915</v>
      </c>
      <c r="E22" s="1219">
        <f>ROUND('CRA-Beach'!L8+'CRA-NW Progresso'!L8,2)</f>
        <v>8187921</v>
      </c>
      <c r="F22" s="1220">
        <v>0</v>
      </c>
      <c r="G22" s="1220">
        <v>0</v>
      </c>
      <c r="H22" s="1219">
        <f>ROUND('Housing and Community Dev'!L8,2)</f>
        <v>9371773</v>
      </c>
      <c r="I22" s="1227">
        <v>0</v>
      </c>
      <c r="J22" s="1227">
        <v>0</v>
      </c>
      <c r="K22" s="1227">
        <v>0</v>
      </c>
      <c r="L22" s="1229">
        <v>17406056</v>
      </c>
      <c r="M22" s="1227">
        <f>ROUND('All Funds SchA Adopted 2014 1pg'!D25,0)</f>
        <v>17749691</v>
      </c>
      <c r="N22" s="1229">
        <f>'All Funds SchA Adopted 2014 1pg'!D25-L22</f>
        <v>343635</v>
      </c>
      <c r="O22" s="1229" t="s">
        <v>917</v>
      </c>
      <c r="P22" s="1229">
        <v>35371319</v>
      </c>
      <c r="Q22" s="1229">
        <f>'All Funds SchA Adopted 2014 1pg'!X25</f>
        <v>35309385</v>
      </c>
      <c r="R22" s="1229">
        <f t="shared" si="2"/>
        <v>-61934</v>
      </c>
    </row>
    <row r="23" spans="1:19" s="454" customFormat="1" ht="18.75">
      <c r="A23" s="454" t="s">
        <v>114</v>
      </c>
      <c r="D23" s="1220">
        <f>ROUND('[1]GF Resources'!$G$40,2)</f>
        <v>0</v>
      </c>
      <c r="E23" s="1220">
        <v>0</v>
      </c>
      <c r="F23" s="1220">
        <v>0</v>
      </c>
      <c r="G23" s="1220">
        <v>0</v>
      </c>
      <c r="H23" s="1220">
        <v>0</v>
      </c>
      <c r="I23" s="1228" t="e">
        <f>ROUND(#REF!,2)</f>
        <v>#REF!</v>
      </c>
      <c r="J23" s="1228">
        <v>0</v>
      </c>
      <c r="K23" s="1228">
        <v>0</v>
      </c>
      <c r="L23" s="1229">
        <v>22381670</v>
      </c>
      <c r="M23" s="1227">
        <f>ROUND('All Funds SchA Adopted 2014 1pg'!D26,0)</f>
        <v>26036670</v>
      </c>
      <c r="N23" s="1229">
        <f>'All Funds SchA Adopted 2014 1pg'!D26-L23</f>
        <v>3655000</v>
      </c>
      <c r="O23" s="1229" t="s">
        <v>929</v>
      </c>
      <c r="P23" s="1229">
        <v>179882046</v>
      </c>
      <c r="Q23" s="1229" t="e">
        <f>'All Funds SchA Adopted 2014 1pg'!X26</f>
        <v>#REF!</v>
      </c>
      <c r="R23" s="1229" t="e">
        <f t="shared" si="2"/>
        <v>#REF!</v>
      </c>
      <c r="S23" s="454" t="s">
        <v>58</v>
      </c>
    </row>
    <row r="24" spans="1:19" s="454" customFormat="1" ht="18.75">
      <c r="A24" s="454" t="s">
        <v>436</v>
      </c>
      <c r="D24" s="1220">
        <f>ROUND('[1]GF Resources'!$G$45,2)</f>
        <v>0</v>
      </c>
      <c r="E24" s="1220">
        <v>0</v>
      </c>
      <c r="F24" s="1220">
        <v>0</v>
      </c>
      <c r="G24" s="1220">
        <v>0</v>
      </c>
      <c r="H24" s="1220">
        <v>0</v>
      </c>
      <c r="I24" s="1228">
        <v>0</v>
      </c>
      <c r="J24" s="1228">
        <f>ROUND('School Crossing Guard'!L8,2)</f>
        <v>872600</v>
      </c>
      <c r="K24" s="1228">
        <v>0</v>
      </c>
      <c r="L24" s="1229">
        <v>4799918</v>
      </c>
      <c r="M24" s="1227">
        <f>ROUND('All Funds SchA Adopted 2014 1pg'!D27,0)</f>
        <v>4799918</v>
      </c>
      <c r="N24" s="1229">
        <f>'All Funds SchA Adopted 2014 1pg'!D27-L24</f>
        <v>0</v>
      </c>
      <c r="O24" s="1229"/>
      <c r="P24" s="1229">
        <v>8707418</v>
      </c>
      <c r="Q24" s="1229">
        <f>'All Funds SchA Adopted 2014 1pg'!X27</f>
        <v>8965953</v>
      </c>
      <c r="R24" s="1229">
        <f t="shared" si="2"/>
        <v>258535</v>
      </c>
    </row>
    <row r="25" spans="1:19" s="454" customFormat="1" ht="37.5">
      <c r="A25" s="454" t="s">
        <v>437</v>
      </c>
      <c r="D25" s="1220">
        <f>ROUND('[1]GF Resources'!$G$54,2)</f>
        <v>0</v>
      </c>
      <c r="E25" s="1219">
        <f>ROUND('CRA-Beach'!L9+'CRA-NW Progresso'!L10,2)</f>
        <v>191468</v>
      </c>
      <c r="F25" s="1219">
        <f>ROUND('Sunrise Key'!L9,2)</f>
        <v>210</v>
      </c>
      <c r="G25" s="1219">
        <f>ROUND('Beach Bus Improv District'!L8,2)</f>
        <v>704082</v>
      </c>
      <c r="H25" s="1220">
        <v>0</v>
      </c>
      <c r="I25" s="1228" t="e">
        <f>ROUND(#REF!+#REF!+#REF!,2)</f>
        <v>#REF!</v>
      </c>
      <c r="J25" s="1228">
        <v>0</v>
      </c>
      <c r="K25" s="1228">
        <v>0</v>
      </c>
      <c r="L25" s="1229">
        <v>78750301</v>
      </c>
      <c r="M25" s="1227">
        <f>ROUND('All Funds SchA Adopted 2014 1pg'!D28,0)</f>
        <v>78384413</v>
      </c>
      <c r="N25" s="1229">
        <f>'All Funds SchA Adopted 2014 1pg'!D28-L25</f>
        <v>-365888</v>
      </c>
      <c r="O25" s="1311" t="s">
        <v>930</v>
      </c>
      <c r="P25" s="1229">
        <v>90786005</v>
      </c>
      <c r="Q25" s="1229" t="e">
        <f>'All Funds SchA Adopted 2014 1pg'!X28</f>
        <v>#REF!</v>
      </c>
      <c r="R25" s="1229" t="e">
        <f t="shared" si="2"/>
        <v>#REF!</v>
      </c>
    </row>
    <row r="26" spans="1:19" s="454" customFormat="1" ht="18.75">
      <c r="A26" s="454" t="s">
        <v>438</v>
      </c>
      <c r="C26" s="454" t="s">
        <v>424</v>
      </c>
      <c r="D26" s="917">
        <f>SUM(D14:D25)</f>
        <v>5423968</v>
      </c>
      <c r="E26" s="917">
        <f t="shared" ref="E26:K26" si="3">SUM(E16:E25)</f>
        <v>8379389</v>
      </c>
      <c r="F26" s="917">
        <f t="shared" si="3"/>
        <v>80308</v>
      </c>
      <c r="G26" s="917">
        <f t="shared" si="3"/>
        <v>704082</v>
      </c>
      <c r="H26" s="917">
        <f t="shared" si="3"/>
        <v>9371773</v>
      </c>
      <c r="I26" s="1230" t="e">
        <f t="shared" si="3"/>
        <v>#REF!</v>
      </c>
      <c r="J26" s="1230">
        <f t="shared" si="3"/>
        <v>872600</v>
      </c>
      <c r="K26" s="1230">
        <f t="shared" si="3"/>
        <v>0</v>
      </c>
      <c r="L26" s="1231">
        <v>274636351</v>
      </c>
      <c r="M26" s="1230">
        <f>SUM(M15:M25)</f>
        <v>284167721</v>
      </c>
      <c r="N26" s="1231">
        <f>'All Funds SchA Adopted 2014 1pg'!D29-L26</f>
        <v>9531370</v>
      </c>
      <c r="O26" s="1231" t="s">
        <v>918</v>
      </c>
      <c r="P26" s="1231">
        <v>486286082</v>
      </c>
      <c r="Q26" s="1231" t="e">
        <f>SUM(Q15:Q25)</f>
        <v>#REF!</v>
      </c>
      <c r="R26" s="1231" t="e">
        <f>SUM(R15:R25)</f>
        <v>#REF!</v>
      </c>
    </row>
    <row r="27" spans="1:19" s="454" customFormat="1" ht="18.75">
      <c r="D27" s="1219"/>
      <c r="E27" s="1219"/>
      <c r="F27" s="1219"/>
      <c r="G27" s="1219"/>
      <c r="H27" s="1219"/>
      <c r="I27" s="1227"/>
      <c r="J27" s="1227"/>
      <c r="K27" s="1227"/>
      <c r="L27" s="1227"/>
      <c r="M27" s="1227"/>
      <c r="N27" s="1227" t="s">
        <v>58</v>
      </c>
      <c r="O27" s="1227"/>
      <c r="P27" s="1227"/>
      <c r="Q27" s="1227"/>
      <c r="R27" s="1227" t="s">
        <v>58</v>
      </c>
    </row>
    <row r="28" spans="1:19" s="454" customFormat="1" ht="18.75">
      <c r="D28" s="1219"/>
      <c r="E28" s="1219"/>
      <c r="F28" s="1219"/>
      <c r="G28" s="1219"/>
      <c r="H28" s="1219"/>
      <c r="I28" s="1227"/>
      <c r="J28" s="1227"/>
      <c r="K28" s="1227"/>
      <c r="L28" s="1227"/>
      <c r="M28" s="1227"/>
      <c r="N28" s="1227"/>
      <c r="O28" s="1227"/>
      <c r="P28" s="1227"/>
      <c r="Q28" s="1227">
        <f>'All Funds SchA Adopted 2014 1pg'!X33</f>
        <v>2104890</v>
      </c>
      <c r="R28" s="1229">
        <f t="shared" ref="R28" si="4">Q28-P28</f>
        <v>2104890</v>
      </c>
    </row>
    <row r="29" spans="1:19" s="454" customFormat="1" ht="18.75">
      <c r="D29" s="1219"/>
      <c r="E29" s="1219"/>
      <c r="F29" s="1219"/>
      <c r="G29" s="1219"/>
      <c r="H29" s="1219"/>
      <c r="I29" s="1227"/>
      <c r="J29" s="1227"/>
      <c r="K29" s="1227"/>
      <c r="L29" s="1227"/>
      <c r="M29" s="1227"/>
      <c r="N29" s="1227"/>
      <c r="O29" s="1227"/>
      <c r="P29" s="1227"/>
      <c r="Q29" s="1227"/>
      <c r="R29" s="1227"/>
    </row>
    <row r="30" spans="1:19" s="454" customFormat="1" ht="18.75">
      <c r="A30" s="454" t="s">
        <v>439</v>
      </c>
      <c r="C30" s="454" t="s">
        <v>424</v>
      </c>
      <c r="D30" s="1221">
        <f>ROUND('[1]GF Resources'!$G$59,2)</f>
        <v>0</v>
      </c>
      <c r="E30" s="1221">
        <f>'CRA-Beach'!L10+'CRA-NW Progresso'!L11</f>
        <v>4496529</v>
      </c>
      <c r="F30" s="1221">
        <v>0</v>
      </c>
      <c r="G30" s="1221">
        <v>0</v>
      </c>
      <c r="H30" s="1221">
        <v>0</v>
      </c>
      <c r="I30" s="1233">
        <v>0</v>
      </c>
      <c r="J30" s="1233">
        <v>0</v>
      </c>
      <c r="K30" s="1233"/>
      <c r="L30" s="1234">
        <v>982884</v>
      </c>
      <c r="M30" s="1233">
        <f>ROUND('All Funds SchA Adopted 2014 1pg'!D31,0)</f>
        <v>982884</v>
      </c>
      <c r="N30" s="1234">
        <f>'All Funds SchA Adopted 2014 1pg'!D31-L30</f>
        <v>0</v>
      </c>
      <c r="O30" s="1234"/>
      <c r="P30" s="1234">
        <v>35019818</v>
      </c>
      <c r="Q30" s="1234" t="e">
        <f>'All Funds SchA Adopted 2014 1pg'!X31</f>
        <v>#REF!</v>
      </c>
      <c r="R30" s="1234" t="e">
        <f t="shared" ref="R30" si="5">Q30-P30</f>
        <v>#REF!</v>
      </c>
    </row>
    <row r="31" spans="1:19" s="454" customFormat="1" ht="18.75">
      <c r="D31" s="1219"/>
      <c r="E31" s="1219"/>
      <c r="F31" s="1219"/>
      <c r="G31" s="1219"/>
      <c r="H31" s="1219"/>
      <c r="I31" s="1227"/>
      <c r="J31" s="1227"/>
      <c r="K31" s="1227"/>
      <c r="L31" s="1229"/>
      <c r="M31" s="1227"/>
      <c r="N31" s="1229" t="s">
        <v>58</v>
      </c>
      <c r="O31" s="1229"/>
      <c r="P31" s="1229"/>
      <c r="Q31" s="1229"/>
      <c r="R31" s="1229" t="s">
        <v>58</v>
      </c>
    </row>
    <row r="32" spans="1:19" s="454" customFormat="1" ht="19.5" thickBot="1">
      <c r="A32" s="713" t="s">
        <v>21</v>
      </c>
      <c r="B32" s="714"/>
      <c r="C32" s="454" t="s">
        <v>424</v>
      </c>
      <c r="D32" s="919">
        <f t="shared" ref="D32:K32" si="6">D11+D26+D30</f>
        <v>56676237</v>
      </c>
      <c r="E32" s="919">
        <f t="shared" si="6"/>
        <v>12851204</v>
      </c>
      <c r="F32" s="919">
        <f t="shared" si="6"/>
        <v>180248</v>
      </c>
      <c r="G32" s="919">
        <f t="shared" si="6"/>
        <v>1103981</v>
      </c>
      <c r="H32" s="919">
        <f t="shared" si="6"/>
        <v>9409896</v>
      </c>
      <c r="I32" s="1235" t="e">
        <f t="shared" si="6"/>
        <v>#REF!</v>
      </c>
      <c r="J32" s="1235">
        <f t="shared" si="6"/>
        <v>872600</v>
      </c>
      <c r="K32" s="1235">
        <f t="shared" si="6"/>
        <v>1679720</v>
      </c>
      <c r="L32" s="1235">
        <v>335746022</v>
      </c>
      <c r="M32" s="1235">
        <f>M11+M26+M30</f>
        <v>345277771</v>
      </c>
      <c r="N32" s="1235">
        <f>'All Funds SchA Adopted 2014 1pg'!D37-L32</f>
        <v>14388004</v>
      </c>
      <c r="O32" s="1235"/>
      <c r="P32" s="1235">
        <v>739683230</v>
      </c>
      <c r="Q32" s="1235" t="e">
        <f>Q11+Q26+Q30+Q28</f>
        <v>#REF!</v>
      </c>
      <c r="R32" s="1235" t="e">
        <f t="shared" ref="R32" si="7">Q32-P32</f>
        <v>#REF!</v>
      </c>
    </row>
    <row r="33" spans="1:18" s="454" customFormat="1" ht="19.5" thickTop="1">
      <c r="D33" s="1219"/>
      <c r="E33" s="1219"/>
      <c r="F33" s="1219"/>
      <c r="G33" s="1219"/>
      <c r="H33" s="1219"/>
      <c r="I33" s="1227"/>
      <c r="J33" s="1227"/>
      <c r="K33" s="1227"/>
      <c r="L33" s="1229"/>
      <c r="M33" s="1227"/>
      <c r="N33" s="1229" t="s">
        <v>58</v>
      </c>
      <c r="O33" s="1229"/>
      <c r="P33" s="1229"/>
      <c r="Q33" s="1229" t="s">
        <v>58</v>
      </c>
      <c r="R33" s="1229" t="s">
        <v>58</v>
      </c>
    </row>
    <row r="34" spans="1:18" s="454" customFormat="1" ht="18.75">
      <c r="A34" s="685"/>
      <c r="D34" s="1220" t="s">
        <v>58</v>
      </c>
      <c r="E34" s="1219"/>
      <c r="F34" s="1219"/>
      <c r="G34" s="1219"/>
      <c r="H34" s="1219"/>
      <c r="I34" s="1227"/>
      <c r="J34" s="1227"/>
      <c r="K34" s="1227"/>
      <c r="L34" s="685"/>
      <c r="M34" s="1228" t="s">
        <v>58</v>
      </c>
      <c r="N34" s="685"/>
      <c r="O34" s="685"/>
      <c r="P34" s="685"/>
      <c r="Q34" s="685"/>
      <c r="R34" s="685" t="s">
        <v>58</v>
      </c>
    </row>
    <row r="35" spans="1:18" s="454" customFormat="1" ht="18.75">
      <c r="D35" s="1219"/>
      <c r="E35" s="1219"/>
      <c r="F35" s="1219"/>
      <c r="G35" s="1219"/>
      <c r="H35" s="1219"/>
      <c r="I35" s="1227"/>
      <c r="J35" s="1227"/>
      <c r="K35" s="1227"/>
      <c r="L35" s="1229"/>
      <c r="M35" s="1227"/>
      <c r="N35" s="1229" t="s">
        <v>58</v>
      </c>
      <c r="O35" s="1229"/>
      <c r="P35" s="1229"/>
      <c r="Q35" s="1229"/>
      <c r="R35" s="1229" t="s">
        <v>58</v>
      </c>
    </row>
    <row r="36" spans="1:18" s="454" customFormat="1" ht="18.75">
      <c r="A36" s="454" t="s">
        <v>811</v>
      </c>
      <c r="D36" s="1219"/>
      <c r="E36" s="1219"/>
      <c r="F36" s="1219"/>
      <c r="G36" s="1219"/>
      <c r="H36" s="1219"/>
      <c r="I36" s="1227"/>
      <c r="J36" s="1227"/>
      <c r="K36" s="1227"/>
      <c r="L36" s="1229"/>
      <c r="M36" s="1227"/>
      <c r="N36" s="1229" t="s">
        <v>58</v>
      </c>
      <c r="O36" s="1229"/>
      <c r="P36" s="1229"/>
      <c r="Q36" s="1229"/>
      <c r="R36" s="1229" t="s">
        <v>58</v>
      </c>
    </row>
    <row r="37" spans="1:18" s="454" customFormat="1" ht="18.75">
      <c r="A37" s="454" t="s">
        <v>442</v>
      </c>
      <c r="C37" s="454" t="s">
        <v>424</v>
      </c>
      <c r="D37" s="1219" t="e">
        <f>ROUND(VLOOKUP(#REF!,#REF!,3,FALSE),2)</f>
        <v>#REF!</v>
      </c>
      <c r="E37" s="1219">
        <v>0</v>
      </c>
      <c r="F37" s="1219">
        <v>0</v>
      </c>
      <c r="G37" s="1219">
        <v>0</v>
      </c>
      <c r="H37" s="1219">
        <v>0</v>
      </c>
      <c r="I37" s="1227">
        <v>0</v>
      </c>
      <c r="J37" s="1227">
        <v>0</v>
      </c>
      <c r="K37" s="1227">
        <v>0</v>
      </c>
      <c r="L37" s="1229">
        <v>3392387</v>
      </c>
      <c r="M37" s="1228" t="e">
        <f>ROUND('All Funds SchA Adopted 2014 1pg'!D42,0)</f>
        <v>#REF!</v>
      </c>
      <c r="N37" s="1229" t="e">
        <f>'All Funds SchA Adopted 2014 1pg'!D42-L37</f>
        <v>#REF!</v>
      </c>
      <c r="O37" s="1229"/>
      <c r="P37" s="1229">
        <v>3392387</v>
      </c>
      <c r="Q37" s="1229" t="e">
        <f>'All Funds SchA Adopted 2014 1pg'!X42</f>
        <v>#REF!</v>
      </c>
      <c r="R37" s="1229" t="e">
        <f t="shared" ref="R37:R53" si="8">Q37-P37</f>
        <v>#REF!</v>
      </c>
    </row>
    <row r="38" spans="1:18" s="417" customFormat="1" ht="18.75">
      <c r="A38" s="417" t="s">
        <v>443</v>
      </c>
      <c r="D38" s="1219" t="e">
        <f>ROUND(VLOOKUP(#REF!,#REF!,3,FALSE),2)</f>
        <v>#REF!</v>
      </c>
      <c r="E38" s="1219">
        <v>0</v>
      </c>
      <c r="F38" s="1219">
        <v>0</v>
      </c>
      <c r="G38" s="1219">
        <v>0</v>
      </c>
      <c r="H38" s="1219">
        <v>0</v>
      </c>
      <c r="I38" s="1227">
        <v>0</v>
      </c>
      <c r="J38" s="1227">
        <v>0</v>
      </c>
      <c r="K38" s="1227">
        <v>0</v>
      </c>
      <c r="L38" s="1229">
        <v>828666</v>
      </c>
      <c r="M38" s="1228" t="e">
        <f>ROUND('All Funds SchA Adopted 2014 1pg'!D43,0)</f>
        <v>#REF!</v>
      </c>
      <c r="N38" s="1229" t="e">
        <f>'All Funds SchA Adopted 2014 1pg'!D43-L38</f>
        <v>#REF!</v>
      </c>
      <c r="O38" s="1229"/>
      <c r="P38" s="1229">
        <v>828666</v>
      </c>
      <c r="Q38" s="1229" t="e">
        <f>'All Funds SchA Adopted 2014 1pg'!X43</f>
        <v>#REF!</v>
      </c>
      <c r="R38" s="1229" t="e">
        <f t="shared" si="8"/>
        <v>#REF!</v>
      </c>
    </row>
    <row r="39" spans="1:18" s="417" customFormat="1" ht="18.75">
      <c r="A39" s="417" t="s">
        <v>444</v>
      </c>
      <c r="D39" s="1219" t="e">
        <f>ROUND(VLOOKUP(#REF!,#REF!,3,FALSE),2)</f>
        <v>#REF!</v>
      </c>
      <c r="E39" s="1219">
        <v>0</v>
      </c>
      <c r="F39" s="1219">
        <v>0</v>
      </c>
      <c r="G39" s="1219">
        <v>0</v>
      </c>
      <c r="H39" s="1219">
        <v>0</v>
      </c>
      <c r="I39" s="1227">
        <v>0</v>
      </c>
      <c r="J39" s="1227">
        <v>0</v>
      </c>
      <c r="K39" s="1227">
        <v>0</v>
      </c>
      <c r="L39" s="1229">
        <v>884457</v>
      </c>
      <c r="M39" s="1228" t="e">
        <f>ROUND('All Funds SchA Adopted 2014 1pg'!D44,0)</f>
        <v>#REF!</v>
      </c>
      <c r="N39" s="1229" t="e">
        <f>'All Funds SchA Adopted 2014 1pg'!D44-L39</f>
        <v>#REF!</v>
      </c>
      <c r="O39" s="1229"/>
      <c r="P39" s="1229">
        <v>884457</v>
      </c>
      <c r="Q39" s="1229" t="e">
        <f>'All Funds SchA Adopted 2014 1pg'!X44</f>
        <v>#REF!</v>
      </c>
      <c r="R39" s="1229" t="e">
        <f t="shared" si="8"/>
        <v>#REF!</v>
      </c>
    </row>
    <row r="40" spans="1:18" s="417" customFormat="1" ht="18.75">
      <c r="A40" s="417" t="s">
        <v>445</v>
      </c>
      <c r="D40" s="1219" t="e">
        <f>ROUND(VLOOKUP(#REF!,#REF!,3,FALSE),2)</f>
        <v>#REF!</v>
      </c>
      <c r="E40" s="1219">
        <v>0</v>
      </c>
      <c r="F40" s="1219">
        <v>0</v>
      </c>
      <c r="G40" s="1219">
        <v>0</v>
      </c>
      <c r="H40" s="1219">
        <v>0</v>
      </c>
      <c r="I40" s="1227">
        <v>0</v>
      </c>
      <c r="J40" s="1227">
        <v>0</v>
      </c>
      <c r="K40" s="1227">
        <v>0</v>
      </c>
      <c r="L40" s="1229">
        <v>1082916</v>
      </c>
      <c r="M40" s="1228" t="e">
        <f>ROUND('All Funds SchA Adopted 2014 1pg'!D45,0)</f>
        <v>#REF!</v>
      </c>
      <c r="N40" s="1229" t="e">
        <f>'All Funds SchA Adopted 2014 1pg'!D45-L40</f>
        <v>#REF!</v>
      </c>
      <c r="O40" s="1229"/>
      <c r="P40" s="1229">
        <v>1082916</v>
      </c>
      <c r="Q40" s="1229" t="e">
        <f>'All Funds SchA Adopted 2014 1pg'!X45</f>
        <v>#REF!</v>
      </c>
      <c r="R40" s="1229" t="e">
        <f t="shared" si="8"/>
        <v>#REF!</v>
      </c>
    </row>
    <row r="41" spans="1:18" s="417" customFormat="1" ht="18.75">
      <c r="A41" s="417" t="s">
        <v>446</v>
      </c>
      <c r="D41" s="1219" t="e">
        <f>ROUND(VLOOKUP(#REF!,#REF!,3,FALSE),2)</f>
        <v>#REF!</v>
      </c>
      <c r="E41" s="1219">
        <v>0</v>
      </c>
      <c r="F41" s="1219">
        <v>0</v>
      </c>
      <c r="G41" s="1219">
        <v>0</v>
      </c>
      <c r="H41" s="1219">
        <v>0</v>
      </c>
      <c r="I41" s="1227">
        <v>0</v>
      </c>
      <c r="J41" s="1227">
        <v>0</v>
      </c>
      <c r="K41" s="1227">
        <v>0</v>
      </c>
      <c r="L41" s="1229">
        <v>4567989</v>
      </c>
      <c r="M41" s="1228" t="e">
        <f>ROUND('All Funds SchA Adopted 2014 1pg'!D46,0)</f>
        <v>#REF!</v>
      </c>
      <c r="N41" s="1229" t="e">
        <f>'All Funds SchA Adopted 2014 1pg'!D46-L41</f>
        <v>#REF!</v>
      </c>
      <c r="O41" s="1229"/>
      <c r="P41" s="1229">
        <v>4567989</v>
      </c>
      <c r="Q41" s="1229" t="e">
        <f>'All Funds SchA Adopted 2014 1pg'!X46</f>
        <v>#REF!</v>
      </c>
      <c r="R41" s="1229" t="e">
        <f t="shared" si="8"/>
        <v>#REF!</v>
      </c>
    </row>
    <row r="42" spans="1:18" s="417" customFormat="1" ht="18.75">
      <c r="A42" s="417" t="s">
        <v>448</v>
      </c>
      <c r="D42" s="1219" t="e">
        <f>ROUND(VLOOKUP(#REF!,#REF!,3,FALSE),2)</f>
        <v>#REF!</v>
      </c>
      <c r="E42" s="1219">
        <v>0</v>
      </c>
      <c r="F42" s="1219">
        <v>0</v>
      </c>
      <c r="G42" s="1219">
        <v>0</v>
      </c>
      <c r="H42" s="1219">
        <v>0</v>
      </c>
      <c r="I42" s="1227">
        <v>0</v>
      </c>
      <c r="J42" s="1227">
        <v>0</v>
      </c>
      <c r="K42" s="1227">
        <v>0</v>
      </c>
      <c r="L42" s="1229">
        <v>6916713</v>
      </c>
      <c r="M42" s="1228" t="e">
        <f>ROUND('All Funds SchA Adopted 2014 1pg'!D47,0)</f>
        <v>#REF!</v>
      </c>
      <c r="N42" s="1229" t="e">
        <f>'All Funds SchA Adopted 2014 1pg'!D47-L42</f>
        <v>#REF!</v>
      </c>
      <c r="O42" s="1229"/>
      <c r="P42" s="1229">
        <v>6916713</v>
      </c>
      <c r="Q42" s="1229" t="e">
        <f>'All Funds SchA Adopted 2014 1pg'!X47</f>
        <v>#REF!</v>
      </c>
      <c r="R42" s="1229" t="e">
        <f t="shared" si="8"/>
        <v>#REF!</v>
      </c>
    </row>
    <row r="43" spans="1:18" s="417" customFormat="1" ht="18.75">
      <c r="A43" s="417" t="s">
        <v>683</v>
      </c>
      <c r="D43" s="1219" t="e">
        <f>ROUND(VLOOKUP(#REF!,#REF!,3,FALSE),2)</f>
        <v>#REF!</v>
      </c>
      <c r="E43" s="1219">
        <v>0</v>
      </c>
      <c r="F43" s="1219">
        <v>0</v>
      </c>
      <c r="G43" s="1219">
        <v>0</v>
      </c>
      <c r="H43" s="1219">
        <v>0</v>
      </c>
      <c r="I43" s="1227">
        <v>0</v>
      </c>
      <c r="J43" s="1227">
        <v>0</v>
      </c>
      <c r="K43" s="1227">
        <v>0</v>
      </c>
      <c r="L43" s="1229">
        <v>60982675</v>
      </c>
      <c r="M43" s="1228" t="e">
        <f>ROUND('All Funds SchA Adopted 2014 1pg'!D48,0)</f>
        <v>#REF!</v>
      </c>
      <c r="N43" s="1229" t="e">
        <f>'All Funds SchA Adopted 2014 1pg'!D48-L43</f>
        <v>#REF!</v>
      </c>
      <c r="O43" s="1229" t="s">
        <v>919</v>
      </c>
      <c r="P43" s="1229">
        <v>60982675</v>
      </c>
      <c r="Q43" s="1229" t="e">
        <f>'All Funds SchA Adopted 2014 1pg'!X48</f>
        <v>#REF!</v>
      </c>
      <c r="R43" s="1229" t="e">
        <f t="shared" si="8"/>
        <v>#REF!</v>
      </c>
    </row>
    <row r="44" spans="1:18" s="417" customFormat="1" ht="18.75">
      <c r="A44" s="417" t="s">
        <v>450</v>
      </c>
      <c r="D44" s="1219" t="e">
        <f>ROUND(VLOOKUP(#REF!,#REF!,3,FALSE),2)</f>
        <v>#REF!</v>
      </c>
      <c r="E44" s="1219">
        <v>0</v>
      </c>
      <c r="F44" s="1219">
        <v>0</v>
      </c>
      <c r="G44" s="1219">
        <v>0</v>
      </c>
      <c r="H44" s="1219">
        <v>0</v>
      </c>
      <c r="I44" s="1227">
        <v>0</v>
      </c>
      <c r="J44" s="1227">
        <v>0</v>
      </c>
      <c r="K44" s="1227">
        <v>0</v>
      </c>
      <c r="L44" s="1229">
        <v>2423782</v>
      </c>
      <c r="M44" s="1228" t="e">
        <f>ROUND('All Funds SchA Adopted 2014 1pg'!D49,0)</f>
        <v>#REF!</v>
      </c>
      <c r="N44" s="1229" t="e">
        <f>'All Funds SchA Adopted 2014 1pg'!D49-L44</f>
        <v>#REF!</v>
      </c>
      <c r="O44" s="1229"/>
      <c r="P44" s="1229">
        <v>2423782</v>
      </c>
      <c r="Q44" s="1229" t="e">
        <f>'All Funds SchA Adopted 2014 1pg'!X49</f>
        <v>#REF!</v>
      </c>
      <c r="R44" s="1229" t="e">
        <f t="shared" si="8"/>
        <v>#REF!</v>
      </c>
    </row>
    <row r="45" spans="1:18" s="417" customFormat="1" ht="18.75">
      <c r="A45" s="417" t="s">
        <v>931</v>
      </c>
      <c r="D45" s="1219"/>
      <c r="E45" s="1219"/>
      <c r="F45" s="1219"/>
      <c r="G45" s="1219"/>
      <c r="H45" s="1219"/>
      <c r="I45" s="1227"/>
      <c r="J45" s="1227"/>
      <c r="K45" s="1227"/>
      <c r="L45" s="1229">
        <v>0</v>
      </c>
      <c r="M45" s="1228">
        <f>ROUND('All Funds SchA Adopted 2014 1pg'!D50,0)</f>
        <v>0</v>
      </c>
      <c r="N45" s="1229"/>
      <c r="O45" s="1229"/>
      <c r="P45" s="1229"/>
      <c r="Q45" s="1229" t="e">
        <f>'All Funds SchA Adopted 2014 1pg'!X50</f>
        <v>#REF!</v>
      </c>
      <c r="R45" s="1229" t="e">
        <f t="shared" si="8"/>
        <v>#REF!</v>
      </c>
    </row>
    <row r="46" spans="1:18" s="417" customFormat="1" ht="18.75">
      <c r="A46" s="417" t="s">
        <v>454</v>
      </c>
      <c r="D46" s="1219" t="e">
        <f>ROUND(VLOOKUP(#REF!,#REF!,3,FALSE),2)</f>
        <v>#REF!</v>
      </c>
      <c r="E46" s="1219">
        <v>0</v>
      </c>
      <c r="F46" s="1219">
        <v>0</v>
      </c>
      <c r="G46" s="1219">
        <v>0</v>
      </c>
      <c r="H46" s="1219">
        <v>0</v>
      </c>
      <c r="I46" s="1227">
        <v>0</v>
      </c>
      <c r="J46" s="1227">
        <v>0</v>
      </c>
      <c r="K46" s="1227">
        <v>0</v>
      </c>
      <c r="L46" s="1229">
        <v>39243864</v>
      </c>
      <c r="M46" s="1228" t="e">
        <f>ROUND('All Funds SchA Adopted 2014 1pg'!D51,0)</f>
        <v>#REF!</v>
      </c>
      <c r="N46" s="1229" t="e">
        <f>'All Funds SchA Adopted 2014 1pg'!D51-L46</f>
        <v>#REF!</v>
      </c>
      <c r="O46" s="1229"/>
      <c r="P46" s="1229">
        <v>50333835</v>
      </c>
      <c r="Q46" s="1229" t="e">
        <f>'All Funds SchA Adopted 2014 1pg'!X51</f>
        <v>#REF!</v>
      </c>
      <c r="R46" s="1229" t="e">
        <f t="shared" si="8"/>
        <v>#REF!</v>
      </c>
    </row>
    <row r="47" spans="1:18" s="417" customFormat="1" ht="18.75">
      <c r="A47" s="417" t="s">
        <v>456</v>
      </c>
      <c r="D47" s="1219" t="e">
        <f>ROUND(VLOOKUP(#REF!,#REF!,3,FALSE),2)</f>
        <v>#REF!</v>
      </c>
      <c r="E47" s="1219">
        <v>0</v>
      </c>
      <c r="F47" s="1219">
        <v>0</v>
      </c>
      <c r="G47" s="1219">
        <v>0</v>
      </c>
      <c r="H47" s="1219">
        <v>0</v>
      </c>
      <c r="I47" s="1227">
        <v>0</v>
      </c>
      <c r="J47" s="1227">
        <f>ROUND('School Crossing Guard'!L19,2)</f>
        <v>893012</v>
      </c>
      <c r="K47" s="1227">
        <f>ROUND(Police!L27+'Drug Enforcement Agency'!L26-K56,2)</f>
        <v>1359256</v>
      </c>
      <c r="L47" s="1229">
        <v>92059408</v>
      </c>
      <c r="M47" s="1228" t="e">
        <f>ROUND('All Funds SchA Adopted 2014 1pg'!D52,0)</f>
        <v>#REF!</v>
      </c>
      <c r="N47" s="1229" t="e">
        <f>'All Funds SchA Adopted 2014 1pg'!D52-L47</f>
        <v>#REF!</v>
      </c>
      <c r="O47" s="1229" t="s">
        <v>919</v>
      </c>
      <c r="P47" s="1229">
        <v>94480007</v>
      </c>
      <c r="Q47" s="1229" t="e">
        <f>'All Funds SchA Adopted 2014 1pg'!X52</f>
        <v>#REF!</v>
      </c>
      <c r="R47" s="1229" t="e">
        <f t="shared" si="8"/>
        <v>#REF!</v>
      </c>
    </row>
    <row r="48" spans="1:18" s="417" customFormat="1" ht="18.75">
      <c r="A48" s="417" t="s">
        <v>459</v>
      </c>
      <c r="D48" s="1219" t="e">
        <f>ROUND(VLOOKUP(#REF!,#REF!,3,FALSE),2)</f>
        <v>#REF!</v>
      </c>
      <c r="E48" s="1219">
        <v>0</v>
      </c>
      <c r="F48" s="1219">
        <v>0</v>
      </c>
      <c r="G48" s="1219">
        <v>0</v>
      </c>
      <c r="H48" s="1219">
        <v>0</v>
      </c>
      <c r="I48" s="1227">
        <v>0</v>
      </c>
      <c r="J48" s="1227">
        <v>0</v>
      </c>
      <c r="K48" s="1227">
        <v>0</v>
      </c>
      <c r="L48" s="1229">
        <v>5065316</v>
      </c>
      <c r="M48" s="1228" t="e">
        <f>ROUND('All Funds SchA Adopted 2014 1pg'!D53,0)</f>
        <v>#REF!</v>
      </c>
      <c r="N48" s="1229" t="e">
        <f>'All Funds SchA Adopted 2014 1pg'!D53-L48</f>
        <v>#REF!</v>
      </c>
      <c r="O48" s="1229"/>
      <c r="P48" s="1229">
        <v>107991196</v>
      </c>
      <c r="Q48" s="1229" t="e">
        <f>'All Funds SchA Adopted 2014 1pg'!X53</f>
        <v>#REF!</v>
      </c>
      <c r="R48" s="1229" t="e">
        <f t="shared" si="8"/>
        <v>#REF!</v>
      </c>
    </row>
    <row r="49" spans="1:18" s="417" customFormat="1" ht="18.75">
      <c r="A49" s="417" t="s">
        <v>570</v>
      </c>
      <c r="D49" s="1219" t="e">
        <f>ROUND(VLOOKUP(#REF!,#REF!,3,FALSE),2)</f>
        <v>#REF!</v>
      </c>
      <c r="E49" s="1219">
        <f>ROUND('CRA-Beach'!L28+'CRA-NW Progresso'!L29-'CRA-Beach'!L27-'CRA-NW Progresso'!L25,2)</f>
        <v>12213467</v>
      </c>
      <c r="F49" s="1220">
        <v>0</v>
      </c>
      <c r="G49" s="1219">
        <f>ROUND('Beach Bus Improv District'!L21,2)</f>
        <v>699107</v>
      </c>
      <c r="H49" s="1220">
        <f>ROUND('Housing and Community Dev'!L27-'Housing and Community Dev'!L26,2)</f>
        <v>9371773</v>
      </c>
      <c r="I49" s="1228" t="e">
        <f>ROUND(#REF!+#REF!+#REF!-#REF!,2)</f>
        <v>#REF!</v>
      </c>
      <c r="J49" s="1228">
        <v>0</v>
      </c>
      <c r="K49" s="1228">
        <v>0</v>
      </c>
      <c r="L49" s="1229">
        <v>7575816</v>
      </c>
      <c r="M49" s="1228" t="e">
        <f>ROUND('All Funds SchA Adopted 2014 1pg'!D54,0)</f>
        <v>#REF!</v>
      </c>
      <c r="N49" s="1229" t="e">
        <f>'All Funds SchA Adopted 2014 1pg'!D54-L49</f>
        <v>#REF!</v>
      </c>
      <c r="O49" s="1229"/>
      <c r="P49" s="1229">
        <v>32956928</v>
      </c>
      <c r="Q49" s="1229" t="e">
        <f>'All Funds SchA Adopted 2014 1pg'!X54</f>
        <v>#REF!</v>
      </c>
      <c r="R49" s="1229" t="e">
        <f t="shared" si="8"/>
        <v>#REF!</v>
      </c>
    </row>
    <row r="50" spans="1:18" s="417" customFormat="1" ht="18.75">
      <c r="A50" s="417" t="s">
        <v>476</v>
      </c>
      <c r="D50" s="1219" t="e">
        <f>ROUND(VLOOKUP(#REF!,#REF!,3,FALSE),2)</f>
        <v>#REF!</v>
      </c>
      <c r="E50" s="1219">
        <v>0</v>
      </c>
      <c r="F50" s="1219">
        <v>0</v>
      </c>
      <c r="G50" s="1219">
        <v>0</v>
      </c>
      <c r="H50" s="1219">
        <v>0</v>
      </c>
      <c r="I50" s="1227">
        <v>0</v>
      </c>
      <c r="J50" s="1227">
        <v>0</v>
      </c>
      <c r="K50" s="1227">
        <v>0</v>
      </c>
      <c r="L50" s="1229">
        <v>1916571</v>
      </c>
      <c r="M50" s="1228" t="e">
        <f>ROUND('All Funds SchA Adopted 2014 1pg'!D55,0)</f>
        <v>#REF!</v>
      </c>
      <c r="N50" s="1229" t="e">
        <f>'All Funds SchA Adopted 2014 1pg'!D55-L50</f>
        <v>#REF!</v>
      </c>
      <c r="O50" s="1229"/>
      <c r="P50" s="1229">
        <v>24220303</v>
      </c>
      <c r="Q50" s="1229" t="e">
        <f>'All Funds SchA Adopted 2014 1pg'!X55</f>
        <v>#REF!</v>
      </c>
      <c r="R50" s="1229" t="e">
        <f t="shared" si="8"/>
        <v>#REF!</v>
      </c>
    </row>
    <row r="51" spans="1:18" s="363" customFormat="1" ht="18.75">
      <c r="A51" s="454" t="s">
        <v>16</v>
      </c>
      <c r="D51" s="1219" t="e">
        <f>ROUND(VLOOKUP(#REF!,#REF!,3,FALSE),2)</f>
        <v>#REF!</v>
      </c>
      <c r="E51" s="1219">
        <v>0</v>
      </c>
      <c r="F51" s="1219">
        <v>0</v>
      </c>
      <c r="G51" s="1219">
        <v>0</v>
      </c>
      <c r="H51" s="1219">
        <v>0</v>
      </c>
      <c r="I51" s="1227">
        <v>0</v>
      </c>
      <c r="J51" s="1227">
        <v>0</v>
      </c>
      <c r="K51" s="1227">
        <v>0</v>
      </c>
      <c r="L51" s="1229">
        <v>0</v>
      </c>
      <c r="M51" s="1228" t="e">
        <f>ROUND('All Funds SchA Adopted 2014 1pg'!D56,0)</f>
        <v>#REF!</v>
      </c>
      <c r="N51" s="1229" t="e">
        <f>'All Funds SchA Adopted 2014 1pg'!D56-L51</f>
        <v>#REF!</v>
      </c>
      <c r="O51" s="1229"/>
      <c r="P51" s="1229">
        <v>67749675</v>
      </c>
      <c r="Q51" s="1229" t="e">
        <f>'All Funds SchA Adopted 2014 1pg'!X56</f>
        <v>#REF!</v>
      </c>
      <c r="R51" s="1229" t="e">
        <f t="shared" si="8"/>
        <v>#REF!</v>
      </c>
    </row>
    <row r="52" spans="1:18" s="417" customFormat="1" ht="18.75">
      <c r="A52" s="417" t="s">
        <v>460</v>
      </c>
      <c r="D52" s="1219" t="e">
        <f>ROUND(VLOOKUP(#REF!,#REF!,3,FALSE),2)</f>
        <v>#REF!</v>
      </c>
      <c r="E52" s="1220">
        <v>0</v>
      </c>
      <c r="F52" s="1219">
        <f>'Sunrise Key'!L21</f>
        <v>80308.3</v>
      </c>
      <c r="G52" s="1219">
        <v>0</v>
      </c>
      <c r="H52" s="1219">
        <v>0</v>
      </c>
      <c r="I52" s="1227">
        <v>0</v>
      </c>
      <c r="J52" s="1227">
        <v>0</v>
      </c>
      <c r="K52" s="1227">
        <v>0</v>
      </c>
      <c r="L52" s="1229">
        <v>16408149</v>
      </c>
      <c r="M52" s="1228" t="e">
        <f>ROUND('All Funds SchA Adopted 2014 1pg'!D57,0)</f>
        <v>#REF!</v>
      </c>
      <c r="N52" s="1229" t="e">
        <f>'All Funds SchA Adopted 2014 1pg'!D57-L52</f>
        <v>#REF!</v>
      </c>
      <c r="O52" s="1229"/>
      <c r="P52" s="1229">
        <v>16488464</v>
      </c>
      <c r="Q52" s="1229" t="e">
        <f>'All Funds SchA Adopted 2014 1pg'!X57</f>
        <v>#REF!</v>
      </c>
      <c r="R52" s="1229" t="e">
        <f t="shared" si="8"/>
        <v>#REF!</v>
      </c>
    </row>
    <row r="53" spans="1:18" s="417" customFormat="1" ht="18.75">
      <c r="A53" s="417" t="s">
        <v>574</v>
      </c>
      <c r="C53" s="417" t="s">
        <v>424</v>
      </c>
      <c r="D53" s="917" t="e">
        <f t="shared" ref="D53:K53" si="9">SUM(D37:D52)</f>
        <v>#REF!</v>
      </c>
      <c r="E53" s="917">
        <f t="shared" si="9"/>
        <v>12213467</v>
      </c>
      <c r="F53" s="917">
        <f t="shared" si="9"/>
        <v>80308.3</v>
      </c>
      <c r="G53" s="917">
        <f t="shared" si="9"/>
        <v>699107</v>
      </c>
      <c r="H53" s="917">
        <f t="shared" si="9"/>
        <v>9371773</v>
      </c>
      <c r="I53" s="1230" t="e">
        <f t="shared" si="9"/>
        <v>#REF!</v>
      </c>
      <c r="J53" s="1230">
        <f t="shared" si="9"/>
        <v>893012</v>
      </c>
      <c r="K53" s="1230">
        <f t="shared" si="9"/>
        <v>1359256</v>
      </c>
      <c r="L53" s="1230">
        <v>243348709</v>
      </c>
      <c r="M53" s="1230" t="e">
        <f>SUM(M37:M52)</f>
        <v>#REF!</v>
      </c>
      <c r="N53" s="1230" t="e">
        <f>'All Funds SchA Adopted 2014 1pg'!D58-L53</f>
        <v>#REF!</v>
      </c>
      <c r="O53" s="1230"/>
      <c r="P53" s="1230">
        <v>475299993</v>
      </c>
      <c r="Q53" s="1230" t="e">
        <f>SUM(Q37:Q52)</f>
        <v>#REF!</v>
      </c>
      <c r="R53" s="1230" t="e">
        <f t="shared" si="8"/>
        <v>#REF!</v>
      </c>
    </row>
    <row r="54" spans="1:18" s="417" customFormat="1" ht="18.75">
      <c r="D54" s="951"/>
      <c r="E54" s="1219"/>
      <c r="F54" s="1219"/>
      <c r="G54" s="1219"/>
      <c r="H54" s="1219"/>
      <c r="I54" s="1227"/>
      <c r="J54" s="1227"/>
      <c r="K54" s="1227"/>
      <c r="L54" s="1229"/>
      <c r="M54" s="1209"/>
      <c r="N54" s="1229"/>
      <c r="O54" s="1229"/>
      <c r="P54" s="1229"/>
      <c r="Q54" s="1229"/>
      <c r="R54" s="1229" t="s">
        <v>58</v>
      </c>
    </row>
    <row r="55" spans="1:18" s="417" customFormat="1" ht="18.75">
      <c r="A55" s="417" t="s">
        <v>462</v>
      </c>
      <c r="D55" s="951"/>
      <c r="E55" s="1219"/>
      <c r="F55" s="1219"/>
      <c r="G55" s="1219"/>
      <c r="H55" s="1219"/>
      <c r="I55" s="1227"/>
      <c r="J55" s="1227"/>
      <c r="K55" s="1227"/>
      <c r="L55" s="1229"/>
      <c r="M55" s="1209"/>
      <c r="N55" s="1229" t="s">
        <v>58</v>
      </c>
      <c r="O55" s="1229"/>
      <c r="P55" s="1229"/>
      <c r="Q55" s="1229"/>
      <c r="R55" s="1229" t="s">
        <v>58</v>
      </c>
    </row>
    <row r="56" spans="1:18" s="417" customFormat="1" ht="18.75">
      <c r="A56" s="417" t="s">
        <v>463</v>
      </c>
      <c r="D56" s="1219">
        <f>ROUND('Budget Balancing I&amp;O'!J34-'Budget Balancing I&amp;O'!J31-'Budget Balancing I&amp;O'!J26,2)</f>
        <v>26954467.829999998</v>
      </c>
      <c r="E56" s="1219" t="e">
        <f>ROUND(#REF!+#REF!+#REF!,2)</f>
        <v>#REF!</v>
      </c>
      <c r="F56" s="1219">
        <v>0</v>
      </c>
      <c r="G56" s="1219">
        <v>0</v>
      </c>
      <c r="H56" s="1219">
        <v>0</v>
      </c>
      <c r="I56" s="1227" t="e">
        <f>ROUND(#REF!,2)</f>
        <v>#REF!</v>
      </c>
      <c r="J56" s="1227">
        <v>0</v>
      </c>
      <c r="K56" s="1227">
        <f>ROUND(Police!L26,2)</f>
        <v>30229</v>
      </c>
      <c r="L56" s="1229">
        <v>28642712</v>
      </c>
      <c r="M56" s="1228" t="e">
        <f>ROUND('All Funds SchA Adopted 2014 1pg'!D61,0)</f>
        <v>#REF!</v>
      </c>
      <c r="N56" s="1229" t="e">
        <f>'All Funds SchA Adopted 2014 1pg'!D61-L56</f>
        <v>#REF!</v>
      </c>
      <c r="O56" s="1229"/>
      <c r="P56" s="1229">
        <v>33660237</v>
      </c>
      <c r="Q56" s="1229" t="e">
        <f>'All Funds SchA Adopted 2014 1pg'!X61</f>
        <v>#REF!</v>
      </c>
      <c r="R56" s="1229" t="e">
        <f t="shared" ref="R56:R59" si="10">Q56-P56</f>
        <v>#REF!</v>
      </c>
    </row>
    <row r="57" spans="1:18" s="417" customFormat="1" ht="18.75">
      <c r="A57" s="417" t="s">
        <v>464</v>
      </c>
      <c r="D57" s="1219">
        <f>ROUND('[1]GF Expend'!$G$55,2)</f>
        <v>0</v>
      </c>
      <c r="E57" s="1219">
        <v>0</v>
      </c>
      <c r="F57" s="1219">
        <v>0</v>
      </c>
      <c r="G57" s="1219">
        <v>0</v>
      </c>
      <c r="H57" s="1219">
        <v>0</v>
      </c>
      <c r="I57" s="1227">
        <v>0</v>
      </c>
      <c r="J57" s="1227">
        <v>0</v>
      </c>
      <c r="K57" s="1227">
        <v>0</v>
      </c>
      <c r="L57" s="1229">
        <v>450000</v>
      </c>
      <c r="M57" s="1228">
        <f>ROUND('All Funds SchA Adopted 2014 1pg'!D62,0)</f>
        <v>3663199</v>
      </c>
      <c r="N57" s="1229">
        <f>'All Funds SchA Adopted 2014 1pg'!D62-L57</f>
        <v>3213199</v>
      </c>
      <c r="O57" s="1229" t="s">
        <v>948</v>
      </c>
      <c r="P57" s="1229">
        <v>450000</v>
      </c>
      <c r="Q57" s="1229">
        <f>'All Funds SchA Adopted 2014 1pg'!X62</f>
        <v>3663199</v>
      </c>
      <c r="R57" s="1229">
        <f t="shared" si="10"/>
        <v>3213199</v>
      </c>
    </row>
    <row r="58" spans="1:18" s="417" customFormat="1" ht="18.75">
      <c r="A58" s="417" t="s">
        <v>906</v>
      </c>
      <c r="D58" s="1219"/>
      <c r="E58" s="1219"/>
      <c r="F58" s="1219"/>
      <c r="G58" s="1219"/>
      <c r="H58" s="1219"/>
      <c r="I58" s="1227"/>
      <c r="J58" s="1227"/>
      <c r="K58" s="1227"/>
      <c r="L58" s="1229">
        <v>0</v>
      </c>
      <c r="M58" s="1228">
        <f>ROUND('All Funds SchA Adopted 2014 1pg'!D63,0)</f>
        <v>2095875</v>
      </c>
      <c r="N58" s="1229">
        <f>'All Funds SchA Adopted 2014 1pg'!D63-L58</f>
        <v>2095875</v>
      </c>
      <c r="O58" s="1229" t="s">
        <v>920</v>
      </c>
      <c r="P58" s="1229"/>
      <c r="Q58" s="1229">
        <f>'All Funds SchA Adopted 2014 1pg'!X63</f>
        <v>2095875</v>
      </c>
      <c r="R58" s="1229">
        <f t="shared" si="10"/>
        <v>2095875</v>
      </c>
    </row>
    <row r="59" spans="1:18" s="417" customFormat="1" ht="18.75">
      <c r="A59" s="417" t="s">
        <v>465</v>
      </c>
      <c r="D59" s="952">
        <f>ROUND('[1]GF Expend'!$G$56,2)</f>
        <v>0</v>
      </c>
      <c r="E59" s="1219" t="e">
        <f>ROUND('CRA-Beach'!L27+'CRA-NW Progresso'!L25-E56,2)</f>
        <v>#REF!</v>
      </c>
      <c r="F59" s="1219">
        <v>0</v>
      </c>
      <c r="G59" s="1219">
        <v>0</v>
      </c>
      <c r="H59" s="1219">
        <f>ROUND('Housing and Community Dev'!L26,2)</f>
        <v>0</v>
      </c>
      <c r="I59" s="1227">
        <v>0</v>
      </c>
      <c r="J59" s="1227">
        <v>0</v>
      </c>
      <c r="K59" s="1227">
        <v>0</v>
      </c>
      <c r="L59" s="1229">
        <v>2000000</v>
      </c>
      <c r="M59" s="1228">
        <f>ROUND('All Funds SchA Adopted 2014 1pg'!D64,0)</f>
        <v>2713600</v>
      </c>
      <c r="N59" s="1229">
        <f>'All Funds SchA Adopted 2014 1pg'!D64-L59</f>
        <v>713600</v>
      </c>
      <c r="O59" s="1229" t="s">
        <v>921</v>
      </c>
      <c r="P59" s="1229">
        <v>20843461</v>
      </c>
      <c r="Q59" s="1229">
        <f>'All Funds SchA Adopted 2014 1pg'!X64</f>
        <v>13258419</v>
      </c>
      <c r="R59" s="1229">
        <f t="shared" si="10"/>
        <v>-7585042</v>
      </c>
    </row>
    <row r="60" spans="1:18" s="417" customFormat="1" ht="18.75">
      <c r="A60" s="417" t="s">
        <v>928</v>
      </c>
      <c r="C60" s="417" t="s">
        <v>424</v>
      </c>
      <c r="D60" s="949">
        <f t="shared" ref="D60:K60" si="11">SUM(D56:D59)</f>
        <v>26954467.829999998</v>
      </c>
      <c r="E60" s="917" t="e">
        <f t="shared" si="11"/>
        <v>#REF!</v>
      </c>
      <c r="F60" s="917">
        <f t="shared" si="11"/>
        <v>0</v>
      </c>
      <c r="G60" s="917">
        <f t="shared" si="11"/>
        <v>0</v>
      </c>
      <c r="H60" s="917">
        <f t="shared" si="11"/>
        <v>0</v>
      </c>
      <c r="I60" s="1230" t="e">
        <f t="shared" si="11"/>
        <v>#REF!</v>
      </c>
      <c r="J60" s="1230">
        <f t="shared" si="11"/>
        <v>0</v>
      </c>
      <c r="K60" s="1230">
        <f t="shared" si="11"/>
        <v>30229</v>
      </c>
      <c r="L60" s="1230">
        <f>SUM(L56:L59)</f>
        <v>31092712</v>
      </c>
      <c r="M60" s="1230" t="e">
        <f t="shared" ref="M60:N60" si="12">SUM(M56:M59)</f>
        <v>#REF!</v>
      </c>
      <c r="N60" s="1230" t="e">
        <f t="shared" si="12"/>
        <v>#REF!</v>
      </c>
      <c r="O60" s="1231" t="s">
        <v>922</v>
      </c>
      <c r="P60" s="1230">
        <f>SUM(P56:P59)</f>
        <v>54953698</v>
      </c>
      <c r="Q60" s="1230" t="e">
        <f t="shared" ref="Q60:R60" si="13">SUM(Q56:Q59)</f>
        <v>#REF!</v>
      </c>
      <c r="R60" s="1230" t="e">
        <f t="shared" si="13"/>
        <v>#REF!</v>
      </c>
    </row>
    <row r="61" spans="1:18" s="417" customFormat="1" ht="18.75">
      <c r="D61" s="950"/>
      <c r="E61" s="1220"/>
      <c r="F61" s="1220"/>
      <c r="G61" s="1220"/>
      <c r="H61" s="1220"/>
      <c r="I61" s="1228"/>
      <c r="J61" s="1228"/>
      <c r="K61" s="1228"/>
      <c r="L61" s="1228"/>
      <c r="M61" s="1215"/>
      <c r="N61" s="1228"/>
      <c r="O61" s="1232"/>
      <c r="P61" s="1228"/>
      <c r="Q61" s="1228"/>
      <c r="R61" s="1228"/>
    </row>
    <row r="62" spans="1:18" s="417" customFormat="1" ht="18.75">
      <c r="A62" s="417" t="s">
        <v>587</v>
      </c>
      <c r="D62" s="950"/>
      <c r="E62" s="1220"/>
      <c r="F62" s="1220"/>
      <c r="G62" s="1220"/>
      <c r="H62" s="1220"/>
      <c r="I62" s="1228"/>
      <c r="J62" s="1228"/>
      <c r="K62" s="1228"/>
      <c r="L62" s="1228">
        <f>L53+L60</f>
        <v>274441421</v>
      </c>
      <c r="M62" s="1228" t="e">
        <f t="shared" ref="M62:N62" si="14">M53+M60</f>
        <v>#REF!</v>
      </c>
      <c r="N62" s="1228" t="e">
        <f t="shared" si="14"/>
        <v>#REF!</v>
      </c>
      <c r="O62" s="1232"/>
      <c r="P62" s="1228">
        <f>P53+P60</f>
        <v>530253691</v>
      </c>
      <c r="Q62" s="1228" t="e">
        <f t="shared" ref="Q62:R62" si="15">Q53+Q60</f>
        <v>#REF!</v>
      </c>
      <c r="R62" s="1228" t="e">
        <f t="shared" si="15"/>
        <v>#REF!</v>
      </c>
    </row>
    <row r="63" spans="1:18" s="417" customFormat="1" ht="18.75">
      <c r="D63" s="951"/>
      <c r="E63" s="1219"/>
      <c r="F63" s="1219"/>
      <c r="G63" s="1219"/>
      <c r="H63" s="1219"/>
      <c r="I63" s="1227"/>
      <c r="J63" s="1227"/>
      <c r="K63" s="1227"/>
      <c r="M63" s="1209"/>
    </row>
    <row r="64" spans="1:18" s="417" customFormat="1" ht="18.75">
      <c r="A64" s="417" t="s">
        <v>466</v>
      </c>
      <c r="D64" s="951"/>
      <c r="E64" s="1219"/>
      <c r="F64" s="1219"/>
      <c r="G64" s="1219"/>
      <c r="H64" s="1219"/>
      <c r="I64" s="1227"/>
      <c r="J64" s="1227"/>
      <c r="K64" s="1227"/>
      <c r="L64" s="1229"/>
      <c r="M64" s="1209"/>
      <c r="N64" s="1229">
        <f>'All Funds SchA Adopted 2014 1pg'!D68-L64</f>
        <v>0</v>
      </c>
      <c r="O64" s="1229"/>
      <c r="P64" s="1229"/>
      <c r="Q64" s="1229"/>
      <c r="R64" s="1229" t="s">
        <v>58</v>
      </c>
    </row>
    <row r="65" spans="1:27" s="417" customFormat="1" ht="18.75">
      <c r="A65" s="417" t="s">
        <v>36</v>
      </c>
      <c r="D65" s="1219">
        <f>ROUND('001 General Fund'!K53,2)</f>
        <v>54350613</v>
      </c>
      <c r="E65" s="1219">
        <f>ROUND('CRA-NW Progresso'!L32,2)</f>
        <v>0</v>
      </c>
      <c r="F65" s="1219">
        <f>ROUND('Sunrise Key'!L24,2)</f>
        <v>99940.17</v>
      </c>
      <c r="G65" s="1219">
        <f>ROUND('Beach Bus Improv District'!L25,2)</f>
        <v>404874</v>
      </c>
      <c r="H65" s="1219">
        <v>0</v>
      </c>
      <c r="I65" s="1227" t="e">
        <f>ROUND(#REF!+#REF!+#REF!,2)</f>
        <v>#REF!</v>
      </c>
      <c r="J65" s="1227">
        <v>0</v>
      </c>
      <c r="K65" s="1227">
        <f>ROUND(Police!L31+'Drug Enforcement Agency'!L30,2)</f>
        <v>610487</v>
      </c>
      <c r="L65" s="1229">
        <v>51212178</v>
      </c>
      <c r="M65" s="1228">
        <f>ROUND('All Funds SchA Adopted 2014 1pg'!D72,0)</f>
        <v>54350613</v>
      </c>
      <c r="N65" s="1229">
        <f>'All Funds SchA Adopted 2014 1pg'!D72-L65</f>
        <v>3138435</v>
      </c>
      <c r="O65" s="1229"/>
      <c r="P65" s="1229">
        <v>99813444</v>
      </c>
      <c r="Q65" s="1229" t="e">
        <f>'All Funds SchA Adopted 2014 1pg'!X72</f>
        <v>#REF!</v>
      </c>
      <c r="R65" s="1229" t="e">
        <f t="shared" ref="R65:R72" si="16">Q65-P65</f>
        <v>#REF!</v>
      </c>
    </row>
    <row r="66" spans="1:27" s="417" customFormat="1" ht="18.75">
      <c r="A66" s="417" t="s">
        <v>782</v>
      </c>
      <c r="D66" s="1219">
        <f>ROUND('001 General Fund'!K52-D67,2)</f>
        <v>-3111321</v>
      </c>
      <c r="E66" s="1219">
        <v>0</v>
      </c>
      <c r="F66" s="1219">
        <v>0</v>
      </c>
      <c r="G66" s="1219">
        <v>0</v>
      </c>
      <c r="H66" s="1219">
        <v>0</v>
      </c>
      <c r="I66" s="1227">
        <v>0</v>
      </c>
      <c r="J66" s="1227">
        <v>0</v>
      </c>
      <c r="K66" s="1227">
        <v>0</v>
      </c>
      <c r="L66" s="1229">
        <v>4457240</v>
      </c>
      <c r="M66" s="1228">
        <f>ROUND('All Funds SchA Adopted 2014 1pg'!D73,0)</f>
        <v>4457240</v>
      </c>
      <c r="N66" s="1229">
        <f>'All Funds SchA Adopted 2014 1pg'!D73-L66</f>
        <v>0</v>
      </c>
      <c r="O66" s="1229"/>
      <c r="P66" s="1229">
        <v>4457240</v>
      </c>
      <c r="Q66" s="1229">
        <f>'All Funds SchA Adopted 2014 1pg'!X73</f>
        <v>4457240</v>
      </c>
      <c r="R66" s="1229">
        <f t="shared" si="16"/>
        <v>0</v>
      </c>
    </row>
    <row r="67" spans="1:27" s="417" customFormat="1" ht="18.75">
      <c r="A67" s="417" t="s">
        <v>690</v>
      </c>
      <c r="D67" s="1219">
        <f>ROUND('Budget Balancing I&amp;O'!J36,2)</f>
        <v>4000000</v>
      </c>
      <c r="E67" s="1219">
        <v>0</v>
      </c>
      <c r="F67" s="1219">
        <v>0</v>
      </c>
      <c r="G67" s="1219">
        <v>0</v>
      </c>
      <c r="H67" s="1219">
        <v>0</v>
      </c>
      <c r="I67" s="1227">
        <v>0</v>
      </c>
      <c r="J67" s="1227">
        <v>0</v>
      </c>
      <c r="K67" s="1227">
        <v>0</v>
      </c>
      <c r="L67" s="1229">
        <v>5000000</v>
      </c>
      <c r="M67" s="1228">
        <f>ROUND('All Funds SchA Adopted 2014 1pg'!D74,0)</f>
        <v>6000000</v>
      </c>
      <c r="N67" s="1229">
        <f>'All Funds SchA Adopted 2014 1pg'!D74-L67</f>
        <v>1000000</v>
      </c>
      <c r="O67" s="1229"/>
      <c r="P67" s="1229">
        <v>5000000</v>
      </c>
      <c r="Q67" s="1229">
        <f>'All Funds SchA Adopted 2014 1pg'!X74</f>
        <v>6000000</v>
      </c>
      <c r="R67" s="1229">
        <f t="shared" si="16"/>
        <v>1000000</v>
      </c>
    </row>
    <row r="68" spans="1:27" s="417" customFormat="1" ht="18.75">
      <c r="A68" s="417" t="s">
        <v>841</v>
      </c>
      <c r="D68" s="1221">
        <v>0</v>
      </c>
      <c r="E68" s="1221">
        <v>0</v>
      </c>
      <c r="F68" s="1219">
        <v>0</v>
      </c>
      <c r="G68" s="1219">
        <v>0</v>
      </c>
      <c r="H68" s="1219">
        <v>0</v>
      </c>
      <c r="I68" s="1227" t="e">
        <f>ROUND(#REF!+#REF!+#REF!,2)</f>
        <v>#REF!</v>
      </c>
      <c r="J68" s="1227">
        <v>0</v>
      </c>
      <c r="K68" s="1227">
        <v>0</v>
      </c>
      <c r="L68" s="1229">
        <v>635183</v>
      </c>
      <c r="M68" s="1228">
        <f>ROUND('All Funds SchA Adopted 2014 1pg'!D75,0)</f>
        <v>888679</v>
      </c>
      <c r="N68" s="1229">
        <f>'All Funds SchA Adopted 2014 1pg'!D75-L68</f>
        <v>253496</v>
      </c>
      <c r="O68" s="1229"/>
      <c r="P68" s="1229">
        <v>100158855</v>
      </c>
      <c r="Q68" s="1229" t="e">
        <f>'All Funds SchA Adopted 2014 1pg'!X75</f>
        <v>#REF!</v>
      </c>
      <c r="R68" s="1229" t="e">
        <f t="shared" si="16"/>
        <v>#REF!</v>
      </c>
    </row>
    <row r="69" spans="1:27" s="417" customFormat="1" ht="18.75">
      <c r="A69" s="417" t="s">
        <v>468</v>
      </c>
      <c r="C69" s="417" t="s">
        <v>424</v>
      </c>
      <c r="D69" s="949">
        <f t="shared" ref="D69:K69" si="17">SUM(D65:D68)</f>
        <v>55239292</v>
      </c>
      <c r="E69" s="917">
        <f t="shared" si="17"/>
        <v>0</v>
      </c>
      <c r="F69" s="917">
        <f t="shared" si="17"/>
        <v>99940.17</v>
      </c>
      <c r="G69" s="917">
        <f t="shared" si="17"/>
        <v>404874</v>
      </c>
      <c r="H69" s="917">
        <f t="shared" si="17"/>
        <v>0</v>
      </c>
      <c r="I69" s="1230" t="e">
        <f t="shared" si="17"/>
        <v>#REF!</v>
      </c>
      <c r="J69" s="1230">
        <f t="shared" si="17"/>
        <v>0</v>
      </c>
      <c r="K69" s="1230">
        <f t="shared" si="17"/>
        <v>610487</v>
      </c>
      <c r="L69" s="1231">
        <v>61304601</v>
      </c>
      <c r="M69" s="1212">
        <f>SUM(M65:M68)</f>
        <v>65696532</v>
      </c>
      <c r="N69" s="1231">
        <f>'All Funds SchA Adopted 2014 1pg'!D76-L69</f>
        <v>4391931</v>
      </c>
      <c r="O69" s="1231"/>
      <c r="P69" s="1231">
        <v>209429539</v>
      </c>
      <c r="Q69" s="1231" t="e">
        <f>SUM(Q65:Q68)</f>
        <v>#REF!</v>
      </c>
      <c r="R69" s="1231" t="e">
        <f t="shared" si="16"/>
        <v>#REF!</v>
      </c>
    </row>
    <row r="70" spans="1:27" s="417" customFormat="1" ht="18.75">
      <c r="D70" s="953"/>
      <c r="E70" s="927"/>
      <c r="F70" s="927"/>
      <c r="G70" s="927"/>
      <c r="H70" s="927"/>
      <c r="I70" s="1229"/>
      <c r="J70" s="1229"/>
      <c r="K70" s="1229"/>
      <c r="L70" s="1232"/>
      <c r="M70" s="1216"/>
      <c r="N70" s="1232">
        <f>'All Funds SchA Adopted 2014 1pg'!D77-L70</f>
        <v>0</v>
      </c>
      <c r="O70" s="1232"/>
      <c r="P70" s="1232"/>
      <c r="Q70" s="1232"/>
      <c r="R70" s="1232" t="s">
        <v>58</v>
      </c>
    </row>
    <row r="71" spans="1:27" s="417" customFormat="1" ht="18.75">
      <c r="D71" s="953"/>
      <c r="E71" s="927"/>
      <c r="F71" s="927"/>
      <c r="G71" s="927"/>
      <c r="H71" s="927"/>
      <c r="I71" s="1229"/>
      <c r="J71" s="1229"/>
      <c r="K71" s="1229"/>
      <c r="L71" s="1232"/>
      <c r="M71" s="1216"/>
      <c r="N71" s="1232"/>
      <c r="O71" s="1232"/>
      <c r="P71" s="1232"/>
      <c r="Q71" s="1232">
        <f>'All Funds SchA Adopted 2014 1pg'!X33</f>
        <v>2104890</v>
      </c>
      <c r="R71" s="1229">
        <f t="shared" ref="R71" si="18">Q71-P71</f>
        <v>2104890</v>
      </c>
    </row>
    <row r="72" spans="1:27" s="417" customFormat="1" ht="19.5" thickBot="1">
      <c r="A72" s="476" t="s">
        <v>25</v>
      </c>
      <c r="B72" s="449"/>
      <c r="C72" s="417" t="s">
        <v>424</v>
      </c>
      <c r="D72" s="920" t="e">
        <f t="shared" ref="D72:K72" si="19">D53+D60+D69</f>
        <v>#REF!</v>
      </c>
      <c r="E72" s="920" t="e">
        <f t="shared" si="19"/>
        <v>#REF!</v>
      </c>
      <c r="F72" s="920">
        <f t="shared" si="19"/>
        <v>180248.47</v>
      </c>
      <c r="G72" s="920">
        <f t="shared" si="19"/>
        <v>1103981</v>
      </c>
      <c r="H72" s="920">
        <f t="shared" si="19"/>
        <v>9371773</v>
      </c>
      <c r="I72" s="1236" t="e">
        <f t="shared" si="19"/>
        <v>#REF!</v>
      </c>
      <c r="J72" s="1236">
        <f t="shared" si="19"/>
        <v>893012</v>
      </c>
      <c r="K72" s="1236">
        <f t="shared" si="19"/>
        <v>1999972</v>
      </c>
      <c r="L72" s="1238">
        <v>335746022</v>
      </c>
      <c r="M72" s="1236" t="e">
        <f>M60+M69+M53</f>
        <v>#REF!</v>
      </c>
      <c r="N72" s="1238" t="e">
        <f>'All Funds SchA Adopted 2014 1pg'!D78-L72</f>
        <v>#REF!</v>
      </c>
      <c r="O72" s="1238"/>
      <c r="P72" s="1238">
        <v>739683230</v>
      </c>
      <c r="Q72" s="1236" t="e">
        <f>Q60+Q69+Q53+Q71</f>
        <v>#REF!</v>
      </c>
      <c r="R72" s="1238" t="e">
        <f t="shared" si="16"/>
        <v>#REF!</v>
      </c>
    </row>
    <row r="73" spans="1:27" s="417" customFormat="1" ht="19.5" thickTop="1">
      <c r="A73" s="476"/>
      <c r="B73" s="449"/>
      <c r="D73" s="918"/>
      <c r="E73" s="918"/>
      <c r="F73" s="918"/>
      <c r="G73" s="918"/>
      <c r="H73" s="918"/>
      <c r="I73" s="1232"/>
      <c r="J73" s="1232"/>
      <c r="K73" s="1232"/>
      <c r="L73" s="454"/>
      <c r="M73" s="1232"/>
      <c r="N73" s="454"/>
      <c r="O73" s="454"/>
      <c r="P73" s="454"/>
      <c r="Q73" s="454"/>
      <c r="R73" s="465" t="s">
        <v>58</v>
      </c>
    </row>
    <row r="74" spans="1:27" ht="18.75">
      <c r="A74" s="356"/>
      <c r="B74" s="356"/>
      <c r="C74" s="356"/>
      <c r="D74" s="954" t="e">
        <f>ROUND(D72-'001 General Fund'!K56,2)</f>
        <v>#REF!</v>
      </c>
      <c r="E74" s="937"/>
      <c r="F74" s="937"/>
      <c r="G74" s="937"/>
      <c r="H74" s="937"/>
      <c r="I74" s="375"/>
      <c r="J74" s="375"/>
      <c r="K74" s="375"/>
      <c r="L74" s="1229">
        <f>L26+L30+L8-L60-L67</f>
        <v>243526523</v>
      </c>
      <c r="M74" s="1229" t="e">
        <f>M26+M30+M8-M60-M67</f>
        <v>#REF!</v>
      </c>
      <c r="N74" s="1229" t="e">
        <f>N26+N30+N8-N60-N67</f>
        <v>#REF!</v>
      </c>
      <c r="O74" s="1229"/>
      <c r="P74" s="1229">
        <f>P26+P30+P8-P60-P67</f>
        <v>465352202</v>
      </c>
      <c r="Q74" s="1229" t="e">
        <f>Q26+Q30+Q8-Q60-Q67</f>
        <v>#REF!</v>
      </c>
      <c r="R74" s="1229" t="e">
        <f>R26+R30+R8-R60-R67</f>
        <v>#REF!</v>
      </c>
      <c r="S74" s="365"/>
      <c r="T74" s="365"/>
      <c r="U74" s="365"/>
      <c r="V74" s="365"/>
      <c r="W74" s="365"/>
      <c r="X74" s="365"/>
      <c r="Y74" s="365"/>
      <c r="Z74" s="365"/>
      <c r="AA74" s="365"/>
    </row>
    <row r="75" spans="1:27" ht="15.75">
      <c r="A75" s="356"/>
      <c r="B75" s="356"/>
      <c r="C75" s="356"/>
      <c r="D75" s="954"/>
      <c r="E75" s="937"/>
      <c r="F75" s="937"/>
      <c r="G75" s="937"/>
      <c r="H75" s="937"/>
      <c r="I75" s="375"/>
      <c r="J75" s="375"/>
      <c r="K75" s="375"/>
      <c r="L75" s="363"/>
      <c r="M75" s="375"/>
      <c r="N75" s="363"/>
      <c r="O75" s="363"/>
      <c r="P75" s="363"/>
      <c r="Q75" s="363"/>
      <c r="S75" s="365"/>
      <c r="T75" s="365"/>
      <c r="U75" s="365"/>
      <c r="V75" s="365"/>
      <c r="W75" s="365"/>
      <c r="X75" s="365"/>
      <c r="Y75" s="365"/>
      <c r="Z75" s="365"/>
      <c r="AA75" s="365"/>
    </row>
    <row r="76" spans="1:27" s="903" customFormat="1" ht="15.75">
      <c r="A76" s="1110" t="s">
        <v>469</v>
      </c>
      <c r="B76" s="1110"/>
      <c r="C76" s="1110"/>
      <c r="D76" s="1111" t="e">
        <f t="shared" ref="D76:K76" si="20">D32-D72</f>
        <v>#REF!</v>
      </c>
      <c r="E76" s="1112" t="e">
        <f t="shared" si="20"/>
        <v>#REF!</v>
      </c>
      <c r="F76" s="1112">
        <f t="shared" si="20"/>
        <v>-0.47000000000116415</v>
      </c>
      <c r="G76" s="1112">
        <f t="shared" si="20"/>
        <v>0</v>
      </c>
      <c r="H76" s="1112">
        <f t="shared" si="20"/>
        <v>38123</v>
      </c>
      <c r="I76" s="1113" t="e">
        <f t="shared" si="20"/>
        <v>#REF!</v>
      </c>
      <c r="J76" s="1113">
        <f t="shared" si="20"/>
        <v>-20412</v>
      </c>
      <c r="K76" s="1113">
        <f t="shared" si="20"/>
        <v>-320252</v>
      </c>
      <c r="L76" s="1113">
        <f>L32-L72</f>
        <v>0</v>
      </c>
      <c r="M76" s="1113" t="e">
        <f>M32-M72</f>
        <v>#REF!</v>
      </c>
      <c r="N76" s="1113" t="e">
        <f>N32-N72</f>
        <v>#REF!</v>
      </c>
      <c r="O76" s="1113"/>
      <c r="P76" s="1113">
        <f t="shared" ref="P76:Q76" si="21">P32-P72</f>
        <v>0</v>
      </c>
      <c r="Q76" s="1113" t="e">
        <f t="shared" si="21"/>
        <v>#REF!</v>
      </c>
      <c r="R76" s="1113" t="e">
        <f>R32-R72</f>
        <v>#REF!</v>
      </c>
    </row>
    <row r="77" spans="1:27">
      <c r="D77" s="905" t="e">
        <f>D65/D53</f>
        <v>#REF!</v>
      </c>
      <c r="E77" s="912" t="s">
        <v>58</v>
      </c>
      <c r="F77" s="943" t="s">
        <v>58</v>
      </c>
      <c r="I77" s="1226" t="s">
        <v>58</v>
      </c>
      <c r="J77" s="1226"/>
      <c r="K77" s="1226"/>
      <c r="M77" s="1226"/>
      <c r="Q77" s="1226" t="e">
        <f>832277622-Q72</f>
        <v>#REF!</v>
      </c>
      <c r="R77" s="1226"/>
    </row>
    <row r="78" spans="1:27">
      <c r="D78" s="956" t="s">
        <v>58</v>
      </c>
      <c r="I78" s="1226"/>
      <c r="J78" s="1226"/>
      <c r="K78" s="1226"/>
      <c r="M78" s="1226"/>
      <c r="R78" s="1226"/>
    </row>
    <row r="79" spans="1:27">
      <c r="I79" s="1226"/>
      <c r="J79" s="1226"/>
      <c r="K79" s="1226"/>
      <c r="M79" s="1226"/>
      <c r="R79" s="1226"/>
    </row>
    <row r="80" spans="1:27">
      <c r="D80" s="956" t="s">
        <v>58</v>
      </c>
      <c r="E80" s="912" t="s">
        <v>58</v>
      </c>
      <c r="I80" s="1226"/>
      <c r="J80" s="1226"/>
      <c r="K80" s="1226"/>
      <c r="M80" s="1226"/>
      <c r="R80" s="1226"/>
    </row>
    <row r="81" spans="1:27">
      <c r="D81" s="922" t="s">
        <v>58</v>
      </c>
      <c r="I81" s="1226"/>
      <c r="J81" s="1226"/>
      <c r="K81" s="1226"/>
      <c r="M81" s="1226"/>
      <c r="R81" s="1226"/>
    </row>
    <row r="82" spans="1:27">
      <c r="D82" s="922" t="s">
        <v>58</v>
      </c>
      <c r="I82" s="1226"/>
      <c r="J82" s="1226"/>
      <c r="K82" s="1226"/>
      <c r="M82" s="1226"/>
      <c r="R82" s="1226"/>
    </row>
    <row r="83" spans="1:27">
      <c r="E83" s="912" t="s">
        <v>58</v>
      </c>
      <c r="I83" s="1226"/>
      <c r="J83" s="1226"/>
      <c r="K83" s="1226"/>
      <c r="M83" s="1226"/>
      <c r="R83" s="1226"/>
    </row>
    <row r="84" spans="1:27" s="417" customFormat="1" ht="19.5" thickBot="1">
      <c r="A84" s="476" t="s">
        <v>783</v>
      </c>
      <c r="B84" s="449"/>
      <c r="C84" s="417" t="s">
        <v>424</v>
      </c>
      <c r="D84" s="920">
        <v>315782855.67000002</v>
      </c>
      <c r="E84" s="920">
        <v>10992300</v>
      </c>
      <c r="F84" s="920">
        <v>151173</v>
      </c>
      <c r="G84" s="920">
        <v>706126</v>
      </c>
      <c r="H84" s="920">
        <v>11732668</v>
      </c>
      <c r="I84" s="1236">
        <v>19111205</v>
      </c>
      <c r="J84" s="1236"/>
      <c r="K84" s="1236"/>
      <c r="M84" s="1232"/>
      <c r="R84" s="1229"/>
      <c r="S84" s="454"/>
      <c r="T84" s="454"/>
      <c r="U84" s="454"/>
      <c r="V84" s="454"/>
      <c r="W84" s="454"/>
      <c r="X84" s="454"/>
      <c r="Y84" s="454"/>
      <c r="Z84" s="454"/>
      <c r="AA84" s="454"/>
    </row>
    <row r="85" spans="1:27" ht="13.5" thickTop="1">
      <c r="D85" s="922" t="e">
        <f t="shared" ref="D85:K85" si="22">D72-D84</f>
        <v>#REF!</v>
      </c>
      <c r="E85" s="922" t="e">
        <f t="shared" si="22"/>
        <v>#REF!</v>
      </c>
      <c r="F85" s="922">
        <f t="shared" si="22"/>
        <v>29075.47</v>
      </c>
      <c r="G85" s="922">
        <f t="shared" si="22"/>
        <v>397855</v>
      </c>
      <c r="H85" s="922">
        <f t="shared" si="22"/>
        <v>-2360895</v>
      </c>
      <c r="I85" s="377" t="e">
        <f t="shared" si="22"/>
        <v>#REF!</v>
      </c>
      <c r="J85" s="377">
        <f t="shared" si="22"/>
        <v>893012</v>
      </c>
      <c r="K85" s="377">
        <f t="shared" si="22"/>
        <v>1999972</v>
      </c>
      <c r="M85" s="377"/>
      <c r="R85" s="377" t="e">
        <f>#REF!-R84</f>
        <v>#REF!</v>
      </c>
    </row>
    <row r="86" spans="1:27">
      <c r="D86" s="922" t="e">
        <f>18594420-D85</f>
        <v>#REF!</v>
      </c>
      <c r="I86" s="1226"/>
      <c r="J86" s="1226"/>
      <c r="K86" s="1226"/>
      <c r="M86" s="1226"/>
      <c r="R86" s="1226"/>
    </row>
    <row r="87" spans="1:27">
      <c r="I87" s="1226"/>
      <c r="J87" s="1226"/>
      <c r="K87" s="1226"/>
      <c r="M87" s="1226"/>
      <c r="R87" s="1226"/>
    </row>
    <row r="88" spans="1:27">
      <c r="I88" s="1226"/>
      <c r="J88" s="1226"/>
      <c r="K88" s="1226"/>
      <c r="M88" s="1226"/>
      <c r="R88" s="1226"/>
    </row>
    <row r="89" spans="1:27">
      <c r="I89" s="1226"/>
      <c r="J89" s="1226"/>
      <c r="K89" s="1226"/>
      <c r="M89" s="1226"/>
      <c r="R89" s="1226"/>
    </row>
    <row r="90" spans="1:27" ht="21">
      <c r="E90" s="944" t="s">
        <v>58</v>
      </c>
      <c r="I90" s="1226"/>
      <c r="J90" s="1226"/>
      <c r="K90" s="1226"/>
      <c r="M90" s="1226"/>
      <c r="R90" s="1226"/>
    </row>
    <row r="91" spans="1:27">
      <c r="I91" s="1226"/>
      <c r="J91" s="1226"/>
      <c r="K91" s="1226"/>
      <c r="M91" s="1226"/>
      <c r="R91" s="1226"/>
    </row>
    <row r="92" spans="1:27">
      <c r="I92" s="1226"/>
      <c r="J92" s="1226"/>
      <c r="K92" s="1226"/>
      <c r="M92" s="1226"/>
      <c r="N92" s="960"/>
      <c r="O92" s="960"/>
      <c r="Q92" s="960"/>
      <c r="R92" s="960"/>
    </row>
    <row r="93" spans="1:27">
      <c r="I93" s="1226"/>
      <c r="J93" s="1226"/>
      <c r="K93" s="1226"/>
      <c r="M93" s="1226"/>
      <c r="N93" s="960"/>
      <c r="O93" s="960"/>
      <c r="Q93" s="960"/>
      <c r="R93" s="960"/>
    </row>
    <row r="94" spans="1:27">
      <c r="I94" s="1226"/>
      <c r="J94" s="1226"/>
      <c r="K94" s="1226"/>
      <c r="M94" s="1226"/>
      <c r="R94" s="1226"/>
    </row>
    <row r="95" spans="1:27" s="394" customFormat="1" ht="18.75">
      <c r="A95" s="393"/>
      <c r="B95" s="393"/>
      <c r="C95" s="393"/>
      <c r="D95" s="941"/>
      <c r="E95" s="941"/>
      <c r="F95" s="941"/>
      <c r="G95" s="941"/>
      <c r="H95" s="938"/>
      <c r="I95" s="961"/>
      <c r="J95" s="961"/>
      <c r="K95" s="961"/>
      <c r="L95" s="961"/>
      <c r="M95" s="961"/>
      <c r="N95" s="1226"/>
      <c r="O95" s="1226"/>
      <c r="Q95" s="1226"/>
      <c r="R95" s="1226"/>
      <c r="S95" s="396"/>
      <c r="T95" s="396"/>
      <c r="U95" s="396"/>
      <c r="V95" s="396"/>
      <c r="W95" s="396"/>
      <c r="X95" s="396"/>
      <c r="Y95" s="396"/>
      <c r="Z95" s="396"/>
      <c r="AA95" s="396"/>
    </row>
    <row r="96" spans="1:27" s="394" customFormat="1" ht="18.75">
      <c r="A96" s="398"/>
      <c r="B96" s="398"/>
      <c r="C96" s="398"/>
      <c r="D96" s="942"/>
      <c r="E96" s="942"/>
      <c r="F96" s="942"/>
      <c r="G96" s="942"/>
      <c r="H96" s="939"/>
      <c r="I96" s="962"/>
      <c r="J96" s="962"/>
      <c r="K96" s="962"/>
      <c r="L96" s="962"/>
      <c r="M96" s="962"/>
      <c r="N96" s="1226"/>
      <c r="O96" s="1226"/>
      <c r="Q96" s="1226"/>
      <c r="R96" s="1226"/>
      <c r="S96" s="396"/>
      <c r="T96" s="396"/>
      <c r="U96" s="396"/>
      <c r="V96" s="396"/>
      <c r="W96" s="396"/>
      <c r="X96" s="396"/>
      <c r="Y96" s="396"/>
      <c r="Z96" s="396"/>
      <c r="AA96" s="396"/>
    </row>
    <row r="97" spans="1:27">
      <c r="I97" s="1226"/>
      <c r="J97" s="1226"/>
      <c r="K97" s="1226"/>
      <c r="M97" s="1226"/>
      <c r="R97" s="1226"/>
    </row>
    <row r="98" spans="1:27">
      <c r="I98" s="1226"/>
      <c r="J98" s="1226"/>
      <c r="K98" s="1226"/>
      <c r="M98" s="1226"/>
      <c r="R98" s="1226"/>
    </row>
    <row r="99" spans="1:27">
      <c r="I99" s="1226"/>
      <c r="J99" s="1226"/>
      <c r="K99" s="1226"/>
      <c r="M99" s="1226"/>
      <c r="R99" s="1226"/>
    </row>
    <row r="100" spans="1:27" s="1226" customFormat="1">
      <c r="A100" s="365"/>
      <c r="B100" s="365"/>
      <c r="C100" s="365"/>
      <c r="D100" s="922"/>
      <c r="E100" s="912"/>
      <c r="F100" s="912"/>
      <c r="G100" s="912"/>
      <c r="H100" s="912"/>
      <c r="S100" s="363"/>
      <c r="T100" s="363"/>
      <c r="U100" s="363"/>
      <c r="V100" s="363"/>
      <c r="W100" s="363"/>
      <c r="X100" s="363"/>
      <c r="Y100" s="363"/>
      <c r="Z100" s="363"/>
      <c r="AA100" s="363"/>
    </row>
    <row r="101" spans="1:27" s="1226" customFormat="1">
      <c r="A101" s="365"/>
      <c r="B101" s="365"/>
      <c r="C101" s="365"/>
      <c r="D101" s="922"/>
      <c r="E101" s="912"/>
      <c r="F101" s="912"/>
      <c r="G101" s="912"/>
      <c r="H101" s="912"/>
      <c r="S101" s="363"/>
      <c r="T101" s="363"/>
      <c r="U101" s="363"/>
      <c r="V101" s="363"/>
      <c r="W101" s="363"/>
      <c r="X101" s="363"/>
      <c r="Y101" s="363"/>
      <c r="Z101" s="363"/>
      <c r="AA101" s="363"/>
    </row>
    <row r="102" spans="1:27" s="1226" customFormat="1">
      <c r="A102" s="365"/>
      <c r="B102" s="365"/>
      <c r="C102" s="365"/>
      <c r="D102" s="922"/>
      <c r="E102" s="912"/>
      <c r="F102" s="912"/>
      <c r="G102" s="912"/>
      <c r="H102" s="912"/>
      <c r="S102" s="363"/>
      <c r="T102" s="363"/>
      <c r="U102" s="363"/>
      <c r="V102" s="363"/>
      <c r="W102" s="363"/>
      <c r="X102" s="363"/>
      <c r="Y102" s="363"/>
      <c r="Z102" s="363"/>
      <c r="AA102" s="363"/>
    </row>
    <row r="103" spans="1:27" s="1226" customFormat="1">
      <c r="A103" s="365"/>
      <c r="B103" s="365"/>
      <c r="C103" s="365"/>
      <c r="D103" s="922"/>
      <c r="E103" s="912"/>
      <c r="F103" s="912"/>
      <c r="G103" s="912"/>
      <c r="H103" s="912"/>
      <c r="S103" s="363"/>
      <c r="T103" s="363"/>
      <c r="U103" s="363"/>
      <c r="V103" s="363"/>
      <c r="W103" s="363"/>
      <c r="X103" s="363"/>
      <c r="Y103" s="363"/>
      <c r="Z103" s="363"/>
      <c r="AA103" s="363"/>
    </row>
    <row r="104" spans="1:27" s="1226" customFormat="1">
      <c r="A104" s="365"/>
      <c r="B104" s="365"/>
      <c r="C104" s="365"/>
      <c r="D104" s="922"/>
      <c r="E104" s="912"/>
      <c r="F104" s="912"/>
      <c r="G104" s="912"/>
      <c r="H104" s="912"/>
      <c r="S104" s="363"/>
      <c r="T104" s="363"/>
      <c r="U104" s="363"/>
      <c r="V104" s="363"/>
      <c r="W104" s="363"/>
      <c r="X104" s="363"/>
      <c r="Y104" s="363"/>
      <c r="Z104" s="363"/>
      <c r="AA104" s="363"/>
    </row>
    <row r="105" spans="1:27" s="1226" customFormat="1">
      <c r="A105" s="365"/>
      <c r="B105" s="365"/>
      <c r="C105" s="365"/>
      <c r="D105" s="922"/>
      <c r="E105" s="912"/>
      <c r="F105" s="912"/>
      <c r="G105" s="912"/>
      <c r="H105" s="912"/>
      <c r="S105" s="363"/>
      <c r="T105" s="363"/>
      <c r="U105" s="363"/>
      <c r="V105" s="363"/>
      <c r="W105" s="363"/>
      <c r="X105" s="363"/>
      <c r="Y105" s="363"/>
      <c r="Z105" s="363"/>
      <c r="AA105" s="363"/>
    </row>
    <row r="106" spans="1:27" s="1226" customFormat="1">
      <c r="A106" s="365"/>
      <c r="B106" s="365"/>
      <c r="C106" s="365"/>
      <c r="D106" s="922"/>
      <c r="E106" s="912"/>
      <c r="F106" s="912"/>
      <c r="G106" s="912"/>
      <c r="H106" s="912"/>
      <c r="S106" s="363"/>
      <c r="T106" s="363"/>
      <c r="U106" s="363"/>
      <c r="V106" s="363"/>
      <c r="W106" s="363"/>
      <c r="X106" s="363"/>
      <c r="Y106" s="363"/>
      <c r="Z106" s="363"/>
      <c r="AA106" s="363"/>
    </row>
    <row r="107" spans="1:27" s="1226" customFormat="1">
      <c r="A107" s="365"/>
      <c r="B107" s="365"/>
      <c r="C107" s="365"/>
      <c r="D107" s="922"/>
      <c r="E107" s="912"/>
      <c r="F107" s="912"/>
      <c r="G107" s="912"/>
      <c r="H107" s="912"/>
      <c r="S107" s="363"/>
      <c r="T107" s="363"/>
      <c r="U107" s="363"/>
      <c r="V107" s="363"/>
      <c r="W107" s="363"/>
      <c r="X107" s="363"/>
      <c r="Y107" s="363"/>
      <c r="Z107" s="363"/>
      <c r="AA107" s="363"/>
    </row>
    <row r="108" spans="1:27" s="1226" customFormat="1">
      <c r="A108" s="365"/>
      <c r="B108" s="365"/>
      <c r="C108" s="365"/>
      <c r="D108" s="922"/>
      <c r="E108" s="912"/>
      <c r="F108" s="912"/>
      <c r="G108" s="912"/>
      <c r="H108" s="912"/>
      <c r="S108" s="363"/>
      <c r="T108" s="363"/>
      <c r="U108" s="363"/>
      <c r="V108" s="363"/>
      <c r="W108" s="363"/>
      <c r="X108" s="363"/>
      <c r="Y108" s="363"/>
      <c r="Z108" s="363"/>
      <c r="AA108" s="363"/>
    </row>
    <row r="109" spans="1:27" s="1226" customFormat="1">
      <c r="A109" s="365"/>
      <c r="B109" s="365"/>
      <c r="C109" s="365"/>
      <c r="D109" s="922"/>
      <c r="E109" s="912"/>
      <c r="F109" s="912"/>
      <c r="G109" s="912"/>
      <c r="H109" s="912"/>
      <c r="S109" s="363"/>
      <c r="T109" s="363"/>
      <c r="U109" s="363"/>
      <c r="V109" s="363"/>
      <c r="W109" s="363"/>
      <c r="X109" s="363"/>
      <c r="Y109" s="363"/>
      <c r="Z109" s="363"/>
      <c r="AA109" s="363"/>
    </row>
    <row r="110" spans="1:27" s="1226" customFormat="1">
      <c r="A110" s="365"/>
      <c r="B110" s="365"/>
      <c r="C110" s="365"/>
      <c r="D110" s="922"/>
      <c r="E110" s="912"/>
      <c r="F110" s="912"/>
      <c r="G110" s="912"/>
      <c r="H110" s="912"/>
      <c r="S110" s="363"/>
      <c r="T110" s="363"/>
      <c r="U110" s="363"/>
      <c r="V110" s="363"/>
      <c r="W110" s="363"/>
      <c r="X110" s="363"/>
      <c r="Y110" s="363"/>
      <c r="Z110" s="363"/>
      <c r="AA110" s="363"/>
    </row>
    <row r="111" spans="1:27" s="1226" customFormat="1">
      <c r="A111" s="365"/>
      <c r="B111" s="365"/>
      <c r="C111" s="365"/>
      <c r="D111" s="922"/>
      <c r="E111" s="912"/>
      <c r="F111" s="912"/>
      <c r="G111" s="912"/>
      <c r="H111" s="912"/>
      <c r="S111" s="363"/>
      <c r="T111" s="363"/>
      <c r="U111" s="363"/>
      <c r="V111" s="363"/>
      <c r="W111" s="363"/>
      <c r="X111" s="363"/>
      <c r="Y111" s="363"/>
      <c r="Z111" s="363"/>
      <c r="AA111" s="363"/>
    </row>
    <row r="112" spans="1:27" s="1226" customFormat="1">
      <c r="A112" s="365"/>
      <c r="B112" s="365"/>
      <c r="C112" s="365"/>
      <c r="D112" s="922"/>
      <c r="E112" s="912"/>
      <c r="F112" s="912"/>
      <c r="G112" s="912"/>
      <c r="H112" s="912"/>
      <c r="S112" s="363"/>
      <c r="T112" s="363"/>
      <c r="U112" s="363"/>
      <c r="V112" s="363"/>
      <c r="W112" s="363"/>
      <c r="X112" s="363"/>
      <c r="Y112" s="363"/>
      <c r="Z112" s="363"/>
      <c r="AA112" s="363"/>
    </row>
    <row r="113" spans="1:27" s="1226" customFormat="1">
      <c r="A113" s="365"/>
      <c r="B113" s="365"/>
      <c r="C113" s="365"/>
      <c r="D113" s="922"/>
      <c r="E113" s="912"/>
      <c r="F113" s="912"/>
      <c r="G113" s="912"/>
      <c r="H113" s="912"/>
      <c r="S113" s="363"/>
      <c r="T113" s="363"/>
      <c r="U113" s="363"/>
      <c r="V113" s="363"/>
      <c r="W113" s="363"/>
      <c r="X113" s="363"/>
      <c r="Y113" s="363"/>
      <c r="Z113" s="363"/>
      <c r="AA113" s="363"/>
    </row>
    <row r="114" spans="1:27" s="1226" customFormat="1">
      <c r="A114" s="365"/>
      <c r="B114" s="365"/>
      <c r="C114" s="365"/>
      <c r="D114" s="922"/>
      <c r="E114" s="912"/>
      <c r="F114" s="912"/>
      <c r="G114" s="912"/>
      <c r="H114" s="912"/>
      <c r="S114" s="363"/>
      <c r="T114" s="363"/>
      <c r="U114" s="363"/>
      <c r="V114" s="363"/>
      <c r="W114" s="363"/>
      <c r="X114" s="363"/>
      <c r="Y114" s="363"/>
      <c r="Z114" s="363"/>
      <c r="AA114" s="363"/>
    </row>
    <row r="115" spans="1:27" s="1226" customFormat="1">
      <c r="A115" s="365"/>
      <c r="B115" s="365"/>
      <c r="C115" s="365"/>
      <c r="D115" s="922"/>
      <c r="E115" s="912"/>
      <c r="F115" s="912"/>
      <c r="G115" s="912"/>
      <c r="H115" s="912"/>
      <c r="S115" s="363"/>
      <c r="T115" s="363"/>
      <c r="U115" s="363"/>
      <c r="V115" s="363"/>
      <c r="W115" s="363"/>
      <c r="X115" s="363"/>
      <c r="Y115" s="363"/>
      <c r="Z115" s="363"/>
      <c r="AA115" s="363"/>
    </row>
    <row r="116" spans="1:27" s="1226" customFormat="1">
      <c r="A116" s="365"/>
      <c r="B116" s="365"/>
      <c r="C116" s="365"/>
      <c r="D116" s="922"/>
      <c r="E116" s="912"/>
      <c r="F116" s="912"/>
      <c r="G116" s="912"/>
      <c r="H116" s="912"/>
      <c r="S116" s="363"/>
      <c r="T116" s="363"/>
      <c r="U116" s="363"/>
      <c r="V116" s="363"/>
      <c r="W116" s="363"/>
      <c r="X116" s="363"/>
      <c r="Y116" s="363"/>
      <c r="Z116" s="363"/>
      <c r="AA116" s="363"/>
    </row>
    <row r="117" spans="1:27" s="1226" customFormat="1">
      <c r="A117" s="365"/>
      <c r="B117" s="365"/>
      <c r="C117" s="365"/>
      <c r="D117" s="922"/>
      <c r="E117" s="912"/>
      <c r="F117" s="912"/>
      <c r="G117" s="912"/>
      <c r="H117" s="912"/>
      <c r="S117" s="363"/>
      <c r="T117" s="363"/>
      <c r="U117" s="363"/>
      <c r="V117" s="363"/>
      <c r="W117" s="363"/>
      <c r="X117" s="363"/>
      <c r="Y117" s="363"/>
      <c r="Z117" s="363"/>
      <c r="AA117" s="363"/>
    </row>
    <row r="118" spans="1:27" s="1226" customFormat="1">
      <c r="A118" s="365"/>
      <c r="B118" s="365"/>
      <c r="C118" s="365"/>
      <c r="D118" s="922"/>
      <c r="E118" s="912"/>
      <c r="F118" s="912"/>
      <c r="G118" s="912"/>
      <c r="H118" s="912"/>
      <c r="S118" s="363"/>
      <c r="T118" s="363"/>
      <c r="U118" s="363"/>
      <c r="V118" s="363"/>
      <c r="W118" s="363"/>
      <c r="X118" s="363"/>
      <c r="Y118" s="363"/>
      <c r="Z118" s="363"/>
      <c r="AA118" s="363"/>
    </row>
    <row r="119" spans="1:27" s="1226" customFormat="1">
      <c r="A119" s="365"/>
      <c r="B119" s="365"/>
      <c r="C119" s="365"/>
      <c r="D119" s="922"/>
      <c r="E119" s="912"/>
      <c r="F119" s="912"/>
      <c r="G119" s="912"/>
      <c r="H119" s="912"/>
      <c r="S119" s="363"/>
      <c r="T119" s="363"/>
      <c r="U119" s="363"/>
      <c r="V119" s="363"/>
      <c r="W119" s="363"/>
      <c r="X119" s="363"/>
      <c r="Y119" s="363"/>
      <c r="Z119" s="363"/>
      <c r="AA119" s="363"/>
    </row>
    <row r="120" spans="1:27" s="1226" customFormat="1">
      <c r="A120" s="365"/>
      <c r="B120" s="365"/>
      <c r="C120" s="365"/>
      <c r="D120" s="922"/>
      <c r="E120" s="912"/>
      <c r="F120" s="912"/>
      <c r="G120" s="912"/>
      <c r="H120" s="912"/>
      <c r="S120" s="363"/>
      <c r="T120" s="363"/>
      <c r="U120" s="363"/>
      <c r="V120" s="363"/>
      <c r="W120" s="363"/>
      <c r="X120" s="363"/>
      <c r="Y120" s="363"/>
      <c r="Z120" s="363"/>
      <c r="AA120" s="363"/>
    </row>
    <row r="121" spans="1:27" s="1226" customFormat="1">
      <c r="A121" s="365"/>
      <c r="B121" s="365"/>
      <c r="C121" s="365"/>
      <c r="D121" s="922"/>
      <c r="E121" s="912"/>
      <c r="F121" s="912"/>
      <c r="G121" s="912"/>
      <c r="H121" s="912"/>
      <c r="S121" s="363"/>
      <c r="T121" s="363"/>
      <c r="U121" s="363"/>
      <c r="V121" s="363"/>
      <c r="W121" s="363"/>
      <c r="X121" s="363"/>
      <c r="Y121" s="363"/>
      <c r="Z121" s="363"/>
      <c r="AA121" s="363"/>
    </row>
    <row r="122" spans="1:27" s="1226" customFormat="1">
      <c r="A122" s="365"/>
      <c r="B122" s="365"/>
      <c r="C122" s="365"/>
      <c r="D122" s="922"/>
      <c r="E122" s="912"/>
      <c r="F122" s="912"/>
      <c r="G122" s="912"/>
      <c r="H122" s="912"/>
      <c r="S122" s="363"/>
      <c r="T122" s="363"/>
      <c r="U122" s="363"/>
      <c r="V122" s="363"/>
      <c r="W122" s="363"/>
      <c r="X122" s="363"/>
      <c r="Y122" s="363"/>
      <c r="Z122" s="363"/>
      <c r="AA122" s="363"/>
    </row>
    <row r="123" spans="1:27" s="1226" customFormat="1">
      <c r="A123" s="365"/>
      <c r="B123" s="365"/>
      <c r="C123" s="365"/>
      <c r="D123" s="922"/>
      <c r="E123" s="912"/>
      <c r="F123" s="912"/>
      <c r="G123" s="912"/>
      <c r="H123" s="912"/>
      <c r="S123" s="363"/>
      <c r="T123" s="363"/>
      <c r="U123" s="363"/>
      <c r="V123" s="363"/>
      <c r="W123" s="363"/>
      <c r="X123" s="363"/>
      <c r="Y123" s="363"/>
      <c r="Z123" s="363"/>
      <c r="AA123" s="363"/>
    </row>
    <row r="124" spans="1:27" s="1226" customFormat="1">
      <c r="A124" s="365"/>
      <c r="B124" s="365"/>
      <c r="C124" s="365"/>
      <c r="D124" s="922"/>
      <c r="E124" s="912"/>
      <c r="F124" s="912"/>
      <c r="G124" s="912"/>
      <c r="H124" s="912"/>
      <c r="S124" s="363"/>
      <c r="T124" s="363"/>
      <c r="U124" s="363"/>
      <c r="V124" s="363"/>
      <c r="W124" s="363"/>
      <c r="X124" s="363"/>
      <c r="Y124" s="363"/>
      <c r="Z124" s="363"/>
      <c r="AA124" s="363"/>
    </row>
    <row r="125" spans="1:27" s="1226" customFormat="1">
      <c r="A125" s="365"/>
      <c r="B125" s="365"/>
      <c r="C125" s="365"/>
      <c r="D125" s="922"/>
      <c r="E125" s="912"/>
      <c r="F125" s="912"/>
      <c r="G125" s="912"/>
      <c r="H125" s="912"/>
      <c r="S125" s="363"/>
      <c r="T125" s="363"/>
      <c r="U125" s="363"/>
      <c r="V125" s="363"/>
      <c r="W125" s="363"/>
      <c r="X125" s="363"/>
      <c r="Y125" s="363"/>
      <c r="Z125" s="363"/>
      <c r="AA125" s="363"/>
    </row>
    <row r="126" spans="1:27" s="1226" customFormat="1">
      <c r="A126" s="365"/>
      <c r="B126" s="365"/>
      <c r="C126" s="365"/>
      <c r="D126" s="922"/>
      <c r="E126" s="912"/>
      <c r="F126" s="912"/>
      <c r="G126" s="912"/>
      <c r="H126" s="912"/>
      <c r="S126" s="363"/>
      <c r="T126" s="363"/>
      <c r="U126" s="363"/>
      <c r="V126" s="363"/>
      <c r="W126" s="363"/>
      <c r="X126" s="363"/>
      <c r="Y126" s="363"/>
      <c r="Z126" s="363"/>
      <c r="AA126" s="363"/>
    </row>
    <row r="127" spans="1:27" s="1226" customFormat="1">
      <c r="A127" s="365"/>
      <c r="B127" s="365"/>
      <c r="C127" s="365"/>
      <c r="D127" s="922"/>
      <c r="E127" s="912"/>
      <c r="F127" s="912"/>
      <c r="G127" s="912"/>
      <c r="H127" s="912"/>
      <c r="S127" s="363"/>
      <c r="T127" s="363"/>
      <c r="U127" s="363"/>
      <c r="V127" s="363"/>
      <c r="W127" s="363"/>
      <c r="X127" s="363"/>
      <c r="Y127" s="363"/>
      <c r="Z127" s="363"/>
      <c r="AA127" s="363"/>
    </row>
    <row r="128" spans="1:27" s="1226" customFormat="1">
      <c r="A128" s="365"/>
      <c r="B128" s="365"/>
      <c r="C128" s="365"/>
      <c r="D128" s="922"/>
      <c r="E128" s="912"/>
      <c r="F128" s="912"/>
      <c r="G128" s="912"/>
      <c r="H128" s="912"/>
      <c r="S128" s="363"/>
      <c r="T128" s="363"/>
      <c r="U128" s="363"/>
      <c r="V128" s="363"/>
      <c r="W128" s="363"/>
      <c r="X128" s="363"/>
      <c r="Y128" s="363"/>
      <c r="Z128" s="363"/>
      <c r="AA128" s="363"/>
    </row>
    <row r="129" spans="1:27" s="1226" customFormat="1">
      <c r="A129" s="365"/>
      <c r="B129" s="365"/>
      <c r="C129" s="365"/>
      <c r="D129" s="922"/>
      <c r="E129" s="912"/>
      <c r="F129" s="912"/>
      <c r="G129" s="912"/>
      <c r="H129" s="912"/>
      <c r="S129" s="363"/>
      <c r="T129" s="363"/>
      <c r="U129" s="363"/>
      <c r="V129" s="363"/>
      <c r="W129" s="363"/>
      <c r="X129" s="363"/>
      <c r="Y129" s="363"/>
      <c r="Z129" s="363"/>
      <c r="AA129" s="363"/>
    </row>
    <row r="130" spans="1:27" s="1226" customFormat="1">
      <c r="A130" s="365"/>
      <c r="B130" s="365"/>
      <c r="C130" s="365"/>
      <c r="D130" s="922"/>
      <c r="E130" s="912"/>
      <c r="F130" s="912"/>
      <c r="G130" s="912"/>
      <c r="H130" s="912"/>
      <c r="S130" s="363"/>
      <c r="T130" s="363"/>
      <c r="U130" s="363"/>
      <c r="V130" s="363"/>
      <c r="W130" s="363"/>
      <c r="X130" s="363"/>
      <c r="Y130" s="363"/>
      <c r="Z130" s="363"/>
      <c r="AA130" s="363"/>
    </row>
    <row r="131" spans="1:27" s="1226" customFormat="1">
      <c r="A131" s="365"/>
      <c r="B131" s="365"/>
      <c r="C131" s="365"/>
      <c r="D131" s="922"/>
      <c r="E131" s="912"/>
      <c r="F131" s="912"/>
      <c r="G131" s="912"/>
      <c r="H131" s="912"/>
      <c r="S131" s="363"/>
      <c r="T131" s="363"/>
      <c r="U131" s="363"/>
      <c r="V131" s="363"/>
      <c r="W131" s="363"/>
      <c r="X131" s="363"/>
      <c r="Y131" s="363"/>
      <c r="Z131" s="363"/>
      <c r="AA131" s="363"/>
    </row>
    <row r="132" spans="1:27" s="1226" customFormat="1">
      <c r="A132" s="365"/>
      <c r="B132" s="365"/>
      <c r="C132" s="365"/>
      <c r="D132" s="922"/>
      <c r="E132" s="912"/>
      <c r="F132" s="912"/>
      <c r="G132" s="912"/>
      <c r="H132" s="912"/>
      <c r="S132" s="363"/>
      <c r="T132" s="363"/>
      <c r="U132" s="363"/>
      <c r="V132" s="363"/>
      <c r="W132" s="363"/>
      <c r="X132" s="363"/>
      <c r="Y132" s="363"/>
      <c r="Z132" s="363"/>
      <c r="AA132" s="363"/>
    </row>
    <row r="133" spans="1:27" s="1226" customFormat="1">
      <c r="A133" s="365"/>
      <c r="B133" s="365"/>
      <c r="C133" s="365"/>
      <c r="D133" s="922"/>
      <c r="E133" s="912"/>
      <c r="F133" s="912"/>
      <c r="G133" s="912"/>
      <c r="H133" s="912"/>
      <c r="S133" s="363"/>
      <c r="T133" s="363"/>
      <c r="U133" s="363"/>
      <c r="V133" s="363"/>
      <c r="W133" s="363"/>
      <c r="X133" s="363"/>
      <c r="Y133" s="363"/>
      <c r="Z133" s="363"/>
      <c r="AA133" s="363"/>
    </row>
    <row r="134" spans="1:27" s="1226" customFormat="1">
      <c r="A134" s="365"/>
      <c r="B134" s="365"/>
      <c r="C134" s="365"/>
      <c r="D134" s="922"/>
      <c r="E134" s="912"/>
      <c r="F134" s="912"/>
      <c r="G134" s="912"/>
      <c r="H134" s="912"/>
      <c r="S134" s="363"/>
      <c r="T134" s="363"/>
      <c r="U134" s="363"/>
      <c r="V134" s="363"/>
      <c r="W134" s="363"/>
      <c r="X134" s="363"/>
      <c r="Y134" s="363"/>
      <c r="Z134" s="363"/>
      <c r="AA134" s="363"/>
    </row>
    <row r="135" spans="1:27" s="1226" customFormat="1">
      <c r="A135" s="365"/>
      <c r="B135" s="365"/>
      <c r="C135" s="365"/>
      <c r="D135" s="922"/>
      <c r="E135" s="912"/>
      <c r="F135" s="912"/>
      <c r="G135" s="912"/>
      <c r="H135" s="912"/>
      <c r="S135" s="363"/>
      <c r="T135" s="363"/>
      <c r="U135" s="363"/>
      <c r="V135" s="363"/>
      <c r="W135" s="363"/>
      <c r="X135" s="363"/>
      <c r="Y135" s="363"/>
      <c r="Z135" s="363"/>
      <c r="AA135" s="363"/>
    </row>
    <row r="136" spans="1:27" s="1226" customFormat="1">
      <c r="A136" s="365"/>
      <c r="B136" s="365"/>
      <c r="C136" s="365"/>
      <c r="D136" s="922"/>
      <c r="E136" s="912"/>
      <c r="F136" s="912"/>
      <c r="G136" s="912"/>
      <c r="H136" s="912"/>
      <c r="S136" s="363"/>
      <c r="T136" s="363"/>
      <c r="U136" s="363"/>
      <c r="V136" s="363"/>
      <c r="W136" s="363"/>
      <c r="X136" s="363"/>
      <c r="Y136" s="363"/>
      <c r="Z136" s="363"/>
      <c r="AA136" s="363"/>
    </row>
    <row r="137" spans="1:27" s="1226" customFormat="1">
      <c r="A137" s="365"/>
      <c r="B137" s="365"/>
      <c r="C137" s="365"/>
      <c r="D137" s="922"/>
      <c r="E137" s="912"/>
      <c r="F137" s="912"/>
      <c r="G137" s="912"/>
      <c r="H137" s="912"/>
      <c r="S137" s="363"/>
      <c r="T137" s="363"/>
      <c r="U137" s="363"/>
      <c r="V137" s="363"/>
      <c r="W137" s="363"/>
      <c r="X137" s="363"/>
      <c r="Y137" s="363"/>
      <c r="Z137" s="363"/>
      <c r="AA137" s="363"/>
    </row>
    <row r="138" spans="1:27" s="1226" customFormat="1">
      <c r="A138" s="365"/>
      <c r="B138" s="365"/>
      <c r="C138" s="365"/>
      <c r="D138" s="922"/>
      <c r="E138" s="912"/>
      <c r="F138" s="912"/>
      <c r="G138" s="912"/>
      <c r="H138" s="912"/>
      <c r="S138" s="363"/>
      <c r="T138" s="363"/>
      <c r="U138" s="363"/>
      <c r="V138" s="363"/>
      <c r="W138" s="363"/>
      <c r="X138" s="363"/>
      <c r="Y138" s="363"/>
      <c r="Z138" s="363"/>
      <c r="AA138" s="363"/>
    </row>
    <row r="139" spans="1:27" s="1226" customFormat="1">
      <c r="A139" s="365"/>
      <c r="B139" s="365"/>
      <c r="C139" s="365"/>
      <c r="D139" s="922"/>
      <c r="E139" s="912"/>
      <c r="F139" s="912"/>
      <c r="G139" s="912"/>
      <c r="H139" s="912"/>
      <c r="S139" s="363"/>
      <c r="T139" s="363"/>
      <c r="U139" s="363"/>
      <c r="V139" s="363"/>
      <c r="W139" s="363"/>
      <c r="X139" s="363"/>
      <c r="Y139" s="363"/>
      <c r="Z139" s="363"/>
      <c r="AA139" s="363"/>
    </row>
    <row r="140" spans="1:27" s="1226" customFormat="1">
      <c r="A140" s="365"/>
      <c r="B140" s="365"/>
      <c r="C140" s="365"/>
      <c r="D140" s="922"/>
      <c r="E140" s="912"/>
      <c r="F140" s="912"/>
      <c r="G140" s="912"/>
      <c r="H140" s="912"/>
      <c r="S140" s="363"/>
      <c r="T140" s="363"/>
      <c r="U140" s="363"/>
      <c r="V140" s="363"/>
      <c r="W140" s="363"/>
      <c r="X140" s="363"/>
      <c r="Y140" s="363"/>
      <c r="Z140" s="363"/>
      <c r="AA140" s="363"/>
    </row>
    <row r="141" spans="1:27" s="1226" customFormat="1">
      <c r="A141" s="365"/>
      <c r="B141" s="365"/>
      <c r="C141" s="365"/>
      <c r="D141" s="922"/>
      <c r="E141" s="912"/>
      <c r="F141" s="912"/>
      <c r="G141" s="912"/>
      <c r="H141" s="912"/>
      <c r="S141" s="363"/>
      <c r="T141" s="363"/>
      <c r="U141" s="363"/>
      <c r="V141" s="363"/>
      <c r="W141" s="363"/>
      <c r="X141" s="363"/>
      <c r="Y141" s="363"/>
      <c r="Z141" s="363"/>
      <c r="AA141" s="363"/>
    </row>
    <row r="142" spans="1:27" s="1226" customFormat="1">
      <c r="A142" s="365"/>
      <c r="B142" s="365"/>
      <c r="C142" s="365"/>
      <c r="D142" s="922"/>
      <c r="E142" s="912"/>
      <c r="F142" s="912"/>
      <c r="G142" s="912"/>
      <c r="H142" s="912"/>
      <c r="S142" s="363"/>
      <c r="T142" s="363"/>
      <c r="U142" s="363"/>
      <c r="V142" s="363"/>
      <c r="W142" s="363"/>
      <c r="X142" s="363"/>
      <c r="Y142" s="363"/>
      <c r="Z142" s="363"/>
      <c r="AA142" s="363"/>
    </row>
    <row r="143" spans="1:27" s="1226" customFormat="1">
      <c r="A143" s="365"/>
      <c r="B143" s="365"/>
      <c r="C143" s="365"/>
      <c r="D143" s="922"/>
      <c r="E143" s="912"/>
      <c r="F143" s="912"/>
      <c r="G143" s="912"/>
      <c r="H143" s="912"/>
      <c r="S143" s="363"/>
      <c r="T143" s="363"/>
      <c r="U143" s="363"/>
      <c r="V143" s="363"/>
      <c r="W143" s="363"/>
      <c r="X143" s="363"/>
      <c r="Y143" s="363"/>
      <c r="Z143" s="363"/>
      <c r="AA143" s="363"/>
    </row>
    <row r="144" spans="1:27" s="1226" customFormat="1">
      <c r="A144" s="365"/>
      <c r="B144" s="365"/>
      <c r="C144" s="365"/>
      <c r="D144" s="922"/>
      <c r="E144" s="912"/>
      <c r="F144" s="912"/>
      <c r="G144" s="912"/>
      <c r="H144" s="912"/>
      <c r="S144" s="363"/>
      <c r="T144" s="363"/>
      <c r="U144" s="363"/>
      <c r="V144" s="363"/>
      <c r="W144" s="363"/>
      <c r="X144" s="363"/>
      <c r="Y144" s="363"/>
      <c r="Z144" s="363"/>
      <c r="AA144" s="363"/>
    </row>
    <row r="145" spans="1:27" s="1226" customFormat="1">
      <c r="A145" s="365"/>
      <c r="B145" s="365"/>
      <c r="C145" s="365"/>
      <c r="D145" s="922"/>
      <c r="E145" s="912"/>
      <c r="F145" s="912"/>
      <c r="G145" s="912"/>
      <c r="H145" s="912"/>
      <c r="S145" s="363"/>
      <c r="T145" s="363"/>
      <c r="U145" s="363"/>
      <c r="V145" s="363"/>
      <c r="W145" s="363"/>
      <c r="X145" s="363"/>
      <c r="Y145" s="363"/>
      <c r="Z145" s="363"/>
      <c r="AA145" s="363"/>
    </row>
    <row r="146" spans="1:27" s="1226" customFormat="1">
      <c r="A146" s="365"/>
      <c r="B146" s="365"/>
      <c r="C146" s="365"/>
      <c r="D146" s="922"/>
      <c r="E146" s="912"/>
      <c r="F146" s="912"/>
      <c r="G146" s="912"/>
      <c r="H146" s="912"/>
      <c r="S146" s="363"/>
      <c r="T146" s="363"/>
      <c r="U146" s="363"/>
      <c r="V146" s="363"/>
      <c r="W146" s="363"/>
      <c r="X146" s="363"/>
      <c r="Y146" s="363"/>
      <c r="Z146" s="363"/>
      <c r="AA146" s="363"/>
    </row>
    <row r="147" spans="1:27" s="1226" customFormat="1">
      <c r="A147" s="365"/>
      <c r="B147" s="365"/>
      <c r="C147" s="365"/>
      <c r="D147" s="922"/>
      <c r="E147" s="912"/>
      <c r="F147" s="912"/>
      <c r="G147" s="912"/>
      <c r="H147" s="912"/>
      <c r="S147" s="363"/>
      <c r="T147" s="363"/>
      <c r="U147" s="363"/>
      <c r="V147" s="363"/>
      <c r="W147" s="363"/>
      <c r="X147" s="363"/>
      <c r="Y147" s="363"/>
      <c r="Z147" s="363"/>
      <c r="AA147" s="363"/>
    </row>
    <row r="148" spans="1:27" s="1226" customFormat="1">
      <c r="A148" s="365"/>
      <c r="B148" s="365"/>
      <c r="C148" s="365"/>
      <c r="D148" s="922"/>
      <c r="E148" s="912"/>
      <c r="F148" s="912"/>
      <c r="G148" s="912"/>
      <c r="H148" s="912"/>
      <c r="S148" s="363"/>
      <c r="T148" s="363"/>
      <c r="U148" s="363"/>
      <c r="V148" s="363"/>
      <c r="W148" s="363"/>
      <c r="X148" s="363"/>
      <c r="Y148" s="363"/>
      <c r="Z148" s="363"/>
      <c r="AA148" s="363"/>
    </row>
    <row r="149" spans="1:27" s="1226" customFormat="1">
      <c r="A149" s="365"/>
      <c r="B149" s="365"/>
      <c r="C149" s="365"/>
      <c r="D149" s="922"/>
      <c r="E149" s="912"/>
      <c r="F149" s="912"/>
      <c r="G149" s="912"/>
      <c r="H149" s="912"/>
      <c r="S149" s="363"/>
      <c r="T149" s="363"/>
      <c r="U149" s="363"/>
      <c r="V149" s="363"/>
      <c r="W149" s="363"/>
      <c r="X149" s="363"/>
      <c r="Y149" s="363"/>
      <c r="Z149" s="363"/>
      <c r="AA149" s="363"/>
    </row>
    <row r="150" spans="1:27" s="1226" customFormat="1">
      <c r="A150" s="365"/>
      <c r="B150" s="365"/>
      <c r="C150" s="365"/>
      <c r="D150" s="922"/>
      <c r="E150" s="912"/>
      <c r="F150" s="912"/>
      <c r="G150" s="912"/>
      <c r="H150" s="912"/>
      <c r="S150" s="363"/>
      <c r="T150" s="363"/>
      <c r="U150" s="363"/>
      <c r="V150" s="363"/>
      <c r="W150" s="363"/>
      <c r="X150" s="363"/>
      <c r="Y150" s="363"/>
      <c r="Z150" s="363"/>
      <c r="AA150" s="363"/>
    </row>
    <row r="151" spans="1:27" s="1226" customFormat="1">
      <c r="A151" s="365"/>
      <c r="B151" s="365"/>
      <c r="C151" s="365"/>
      <c r="D151" s="922"/>
      <c r="E151" s="912"/>
      <c r="F151" s="912"/>
      <c r="G151" s="912"/>
      <c r="H151" s="912"/>
      <c r="S151" s="363"/>
      <c r="T151" s="363"/>
      <c r="U151" s="363"/>
      <c r="V151" s="363"/>
      <c r="W151" s="363"/>
      <c r="X151" s="363"/>
      <c r="Y151" s="363"/>
      <c r="Z151" s="363"/>
      <c r="AA151" s="363"/>
    </row>
    <row r="152" spans="1:27" s="1226" customFormat="1">
      <c r="A152" s="365"/>
      <c r="B152" s="365"/>
      <c r="C152" s="365"/>
      <c r="D152" s="922"/>
      <c r="E152" s="912"/>
      <c r="F152" s="912"/>
      <c r="G152" s="912"/>
      <c r="H152" s="912"/>
      <c r="S152" s="363"/>
      <c r="T152" s="363"/>
      <c r="U152" s="363"/>
      <c r="V152" s="363"/>
      <c r="W152" s="363"/>
      <c r="X152" s="363"/>
      <c r="Y152" s="363"/>
      <c r="Z152" s="363"/>
      <c r="AA152" s="363"/>
    </row>
    <row r="153" spans="1:27" s="1226" customFormat="1">
      <c r="A153" s="365"/>
      <c r="B153" s="365"/>
      <c r="C153" s="365"/>
      <c r="D153" s="922"/>
      <c r="E153" s="912"/>
      <c r="F153" s="912"/>
      <c r="G153" s="912"/>
      <c r="H153" s="912"/>
      <c r="S153" s="363"/>
      <c r="T153" s="363"/>
      <c r="U153" s="363"/>
      <c r="V153" s="363"/>
      <c r="W153" s="363"/>
      <c r="X153" s="363"/>
      <c r="Y153" s="363"/>
      <c r="Z153" s="363"/>
      <c r="AA153" s="363"/>
    </row>
    <row r="154" spans="1:27" s="1226" customFormat="1">
      <c r="A154" s="365"/>
      <c r="B154" s="365"/>
      <c r="C154" s="365"/>
      <c r="D154" s="922"/>
      <c r="E154" s="912"/>
      <c r="F154" s="912"/>
      <c r="G154" s="912"/>
      <c r="H154" s="912"/>
      <c r="S154" s="363"/>
      <c r="T154" s="363"/>
      <c r="U154" s="363"/>
      <c r="V154" s="363"/>
      <c r="W154" s="363"/>
      <c r="X154" s="363"/>
      <c r="Y154" s="363"/>
      <c r="Z154" s="363"/>
      <c r="AA154" s="363"/>
    </row>
    <row r="155" spans="1:27" s="1226" customFormat="1">
      <c r="A155" s="365"/>
      <c r="B155" s="365"/>
      <c r="C155" s="365"/>
      <c r="D155" s="922"/>
      <c r="E155" s="912"/>
      <c r="F155" s="912"/>
      <c r="G155" s="912"/>
      <c r="H155" s="912"/>
      <c r="S155" s="363"/>
      <c r="T155" s="363"/>
      <c r="U155" s="363"/>
      <c r="V155" s="363"/>
      <c r="W155" s="363"/>
      <c r="X155" s="363"/>
      <c r="Y155" s="363"/>
      <c r="Z155" s="363"/>
      <c r="AA155" s="363"/>
    </row>
    <row r="156" spans="1:27" s="1226" customFormat="1">
      <c r="A156" s="365"/>
      <c r="B156" s="365"/>
      <c r="C156" s="365"/>
      <c r="D156" s="922"/>
      <c r="E156" s="912"/>
      <c r="F156" s="912"/>
      <c r="G156" s="912"/>
      <c r="H156" s="912"/>
      <c r="S156" s="363"/>
      <c r="T156" s="363"/>
      <c r="U156" s="363"/>
      <c r="V156" s="363"/>
      <c r="W156" s="363"/>
      <c r="X156" s="363"/>
      <c r="Y156" s="363"/>
      <c r="Z156" s="363"/>
      <c r="AA156" s="363"/>
    </row>
    <row r="157" spans="1:27" s="1226" customFormat="1">
      <c r="A157" s="365"/>
      <c r="B157" s="365"/>
      <c r="C157" s="365"/>
      <c r="D157" s="922"/>
      <c r="E157" s="912"/>
      <c r="F157" s="912"/>
      <c r="G157" s="912"/>
      <c r="H157" s="912"/>
      <c r="S157" s="363"/>
      <c r="T157" s="363"/>
      <c r="U157" s="363"/>
      <c r="V157" s="363"/>
      <c r="W157" s="363"/>
      <c r="X157" s="363"/>
      <c r="Y157" s="363"/>
      <c r="Z157" s="363"/>
      <c r="AA157" s="363"/>
    </row>
    <row r="158" spans="1:27" s="1226" customFormat="1">
      <c r="A158" s="365"/>
      <c r="B158" s="365"/>
      <c r="C158" s="365"/>
      <c r="D158" s="922"/>
      <c r="E158" s="912"/>
      <c r="F158" s="912"/>
      <c r="G158" s="912"/>
      <c r="H158" s="912"/>
      <c r="S158" s="363"/>
      <c r="T158" s="363"/>
      <c r="U158" s="363"/>
      <c r="V158" s="363"/>
      <c r="W158" s="363"/>
      <c r="X158" s="363"/>
      <c r="Y158" s="363"/>
      <c r="Z158" s="363"/>
      <c r="AA158" s="363"/>
    </row>
    <row r="159" spans="1:27" s="1226" customFormat="1">
      <c r="A159" s="365"/>
      <c r="B159" s="365"/>
      <c r="C159" s="365"/>
      <c r="D159" s="922"/>
      <c r="E159" s="912"/>
      <c r="F159" s="912"/>
      <c r="G159" s="912"/>
      <c r="H159" s="912"/>
      <c r="S159" s="363"/>
      <c r="T159" s="363"/>
      <c r="U159" s="363"/>
      <c r="V159" s="363"/>
      <c r="W159" s="363"/>
      <c r="X159" s="363"/>
      <c r="Y159" s="363"/>
      <c r="Z159" s="363"/>
      <c r="AA159" s="363"/>
    </row>
    <row r="160" spans="1:27" s="1226" customFormat="1">
      <c r="A160" s="365"/>
      <c r="B160" s="365"/>
      <c r="C160" s="365"/>
      <c r="D160" s="922"/>
      <c r="E160" s="912"/>
      <c r="F160" s="912"/>
      <c r="G160" s="912"/>
      <c r="H160" s="912"/>
      <c r="S160" s="363"/>
      <c r="T160" s="363"/>
      <c r="U160" s="363"/>
      <c r="V160" s="363"/>
      <c r="W160" s="363"/>
      <c r="X160" s="363"/>
      <c r="Y160" s="363"/>
      <c r="Z160" s="363"/>
      <c r="AA160" s="363"/>
    </row>
    <row r="161" spans="1:27" s="1226" customFormat="1">
      <c r="A161" s="365"/>
      <c r="B161" s="365"/>
      <c r="C161" s="365"/>
      <c r="D161" s="922"/>
      <c r="E161" s="912"/>
      <c r="F161" s="912"/>
      <c r="G161" s="912"/>
      <c r="H161" s="912"/>
      <c r="S161" s="363"/>
      <c r="T161" s="363"/>
      <c r="U161" s="363"/>
      <c r="V161" s="363"/>
      <c r="W161" s="363"/>
      <c r="X161" s="363"/>
      <c r="Y161" s="363"/>
      <c r="Z161" s="363"/>
      <c r="AA161" s="363"/>
    </row>
    <row r="162" spans="1:27" s="1226" customFormat="1">
      <c r="A162" s="365"/>
      <c r="B162" s="365"/>
      <c r="C162" s="365"/>
      <c r="D162" s="922"/>
      <c r="E162" s="912"/>
      <c r="F162" s="912"/>
      <c r="G162" s="912"/>
      <c r="H162" s="912"/>
      <c r="S162" s="363"/>
      <c r="T162" s="363"/>
      <c r="U162" s="363"/>
      <c r="V162" s="363"/>
      <c r="W162" s="363"/>
      <c r="X162" s="363"/>
      <c r="Y162" s="363"/>
      <c r="Z162" s="363"/>
      <c r="AA162" s="363"/>
    </row>
    <row r="163" spans="1:27" s="1226" customFormat="1">
      <c r="A163" s="365"/>
      <c r="B163" s="365"/>
      <c r="C163" s="365"/>
      <c r="D163" s="922"/>
      <c r="E163" s="912"/>
      <c r="F163" s="912"/>
      <c r="G163" s="912"/>
      <c r="H163" s="912"/>
      <c r="S163" s="363"/>
      <c r="T163" s="363"/>
      <c r="U163" s="363"/>
      <c r="V163" s="363"/>
      <c r="W163" s="363"/>
      <c r="X163" s="363"/>
      <c r="Y163" s="363"/>
      <c r="Z163" s="363"/>
      <c r="AA163" s="363"/>
    </row>
    <row r="164" spans="1:27" s="1226" customFormat="1">
      <c r="A164" s="365"/>
      <c r="B164" s="365"/>
      <c r="C164" s="365"/>
      <c r="D164" s="922"/>
      <c r="E164" s="912"/>
      <c r="F164" s="912"/>
      <c r="G164" s="912"/>
      <c r="H164" s="912"/>
      <c r="S164" s="363"/>
      <c r="T164" s="363"/>
      <c r="U164" s="363"/>
      <c r="V164" s="363"/>
      <c r="W164" s="363"/>
      <c r="X164" s="363"/>
      <c r="Y164" s="363"/>
      <c r="Z164" s="363"/>
      <c r="AA164" s="363"/>
    </row>
    <row r="165" spans="1:27" s="1226" customFormat="1">
      <c r="A165" s="365"/>
      <c r="B165" s="365"/>
      <c r="C165" s="365"/>
      <c r="D165" s="922"/>
      <c r="E165" s="912"/>
      <c r="F165" s="912"/>
      <c r="G165" s="912"/>
      <c r="H165" s="912"/>
      <c r="S165" s="363"/>
      <c r="T165" s="363"/>
      <c r="U165" s="363"/>
      <c r="V165" s="363"/>
      <c r="W165" s="363"/>
      <c r="X165" s="363"/>
      <c r="Y165" s="363"/>
      <c r="Z165" s="363"/>
      <c r="AA165" s="363"/>
    </row>
    <row r="166" spans="1:27" s="1226" customFormat="1">
      <c r="A166" s="365"/>
      <c r="B166" s="365"/>
      <c r="C166" s="365"/>
      <c r="D166" s="922"/>
      <c r="E166" s="912"/>
      <c r="F166" s="912"/>
      <c r="G166" s="912"/>
      <c r="H166" s="912"/>
      <c r="S166" s="363"/>
      <c r="T166" s="363"/>
      <c r="U166" s="363"/>
      <c r="V166" s="363"/>
      <c r="W166" s="363"/>
      <c r="X166" s="363"/>
      <c r="Y166" s="363"/>
      <c r="Z166" s="363"/>
      <c r="AA166" s="363"/>
    </row>
    <row r="167" spans="1:27" s="1226" customFormat="1">
      <c r="A167" s="365"/>
      <c r="B167" s="365"/>
      <c r="C167" s="365"/>
      <c r="D167" s="922"/>
      <c r="E167" s="912"/>
      <c r="F167" s="912"/>
      <c r="G167" s="912"/>
      <c r="H167" s="912"/>
      <c r="S167" s="363"/>
      <c r="T167" s="363"/>
      <c r="U167" s="363"/>
      <c r="V167" s="363"/>
      <c r="W167" s="363"/>
      <c r="X167" s="363"/>
      <c r="Y167" s="363"/>
      <c r="Z167" s="363"/>
      <c r="AA167" s="363"/>
    </row>
    <row r="168" spans="1:27" s="1226" customFormat="1">
      <c r="A168" s="365"/>
      <c r="B168" s="365"/>
      <c r="C168" s="365"/>
      <c r="D168" s="922"/>
      <c r="E168" s="912"/>
      <c r="F168" s="912"/>
      <c r="G168" s="912"/>
      <c r="H168" s="912"/>
      <c r="S168" s="363"/>
      <c r="T168" s="363"/>
      <c r="U168" s="363"/>
      <c r="V168" s="363"/>
      <c r="W168" s="363"/>
      <c r="X168" s="363"/>
      <c r="Y168" s="363"/>
      <c r="Z168" s="363"/>
      <c r="AA168" s="363"/>
    </row>
    <row r="169" spans="1:27" s="1226" customFormat="1">
      <c r="A169" s="365"/>
      <c r="B169" s="365"/>
      <c r="C169" s="365"/>
      <c r="D169" s="922"/>
      <c r="E169" s="912"/>
      <c r="F169" s="912"/>
      <c r="G169" s="912"/>
      <c r="H169" s="912"/>
      <c r="S169" s="363"/>
      <c r="T169" s="363"/>
      <c r="U169" s="363"/>
      <c r="V169" s="363"/>
      <c r="W169" s="363"/>
      <c r="X169" s="363"/>
      <c r="Y169" s="363"/>
      <c r="Z169" s="363"/>
      <c r="AA169" s="363"/>
    </row>
    <row r="170" spans="1:27" s="1226" customFormat="1">
      <c r="A170" s="365"/>
      <c r="B170" s="365"/>
      <c r="C170" s="365"/>
      <c r="D170" s="922"/>
      <c r="E170" s="912"/>
      <c r="F170" s="912"/>
      <c r="G170" s="912"/>
      <c r="H170" s="912"/>
      <c r="S170" s="363"/>
      <c r="T170" s="363"/>
      <c r="U170" s="363"/>
      <c r="V170" s="363"/>
      <c r="W170" s="363"/>
      <c r="X170" s="363"/>
      <c r="Y170" s="363"/>
      <c r="Z170" s="363"/>
      <c r="AA170" s="363"/>
    </row>
    <row r="171" spans="1:27" s="1226" customFormat="1">
      <c r="A171" s="365"/>
      <c r="B171" s="365"/>
      <c r="C171" s="365"/>
      <c r="D171" s="922"/>
      <c r="E171" s="912"/>
      <c r="F171" s="912"/>
      <c r="G171" s="912"/>
      <c r="H171" s="912"/>
      <c r="S171" s="363"/>
      <c r="T171" s="363"/>
      <c r="U171" s="363"/>
      <c r="V171" s="363"/>
      <c r="W171" s="363"/>
      <c r="X171" s="363"/>
      <c r="Y171" s="363"/>
      <c r="Z171" s="363"/>
      <c r="AA171" s="363"/>
    </row>
    <row r="172" spans="1:27" s="1226" customFormat="1">
      <c r="A172" s="365"/>
      <c r="B172" s="365"/>
      <c r="C172" s="365"/>
      <c r="D172" s="922"/>
      <c r="E172" s="912"/>
      <c r="F172" s="912"/>
      <c r="G172" s="912"/>
      <c r="H172" s="912"/>
      <c r="S172" s="363"/>
      <c r="T172" s="363"/>
      <c r="U172" s="363"/>
      <c r="V172" s="363"/>
      <c r="W172" s="363"/>
      <c r="X172" s="363"/>
      <c r="Y172" s="363"/>
      <c r="Z172" s="363"/>
      <c r="AA172" s="363"/>
    </row>
    <row r="173" spans="1:27" s="1226" customFormat="1">
      <c r="A173" s="365"/>
      <c r="B173" s="365"/>
      <c r="C173" s="365"/>
      <c r="D173" s="922"/>
      <c r="E173" s="912"/>
      <c r="F173" s="912"/>
      <c r="G173" s="912"/>
      <c r="H173" s="912"/>
      <c r="S173" s="363"/>
      <c r="T173" s="363"/>
      <c r="U173" s="363"/>
      <c r="V173" s="363"/>
      <c r="W173" s="363"/>
      <c r="X173" s="363"/>
      <c r="Y173" s="363"/>
      <c r="Z173" s="363"/>
      <c r="AA173" s="363"/>
    </row>
    <row r="174" spans="1:27" s="1226" customFormat="1">
      <c r="A174" s="365"/>
      <c r="B174" s="365"/>
      <c r="C174" s="365"/>
      <c r="D174" s="922"/>
      <c r="E174" s="912"/>
      <c r="F174" s="912"/>
      <c r="G174" s="912"/>
      <c r="H174" s="912"/>
      <c r="S174" s="363"/>
      <c r="T174" s="363"/>
      <c r="U174" s="363"/>
      <c r="V174" s="363"/>
      <c r="W174" s="363"/>
      <c r="X174" s="363"/>
      <c r="Y174" s="363"/>
      <c r="Z174" s="363"/>
      <c r="AA174" s="363"/>
    </row>
    <row r="175" spans="1:27" s="1226" customFormat="1">
      <c r="A175" s="365"/>
      <c r="B175" s="365"/>
      <c r="C175" s="365"/>
      <c r="D175" s="922"/>
      <c r="E175" s="912"/>
      <c r="F175" s="912"/>
      <c r="G175" s="912"/>
      <c r="H175" s="912"/>
      <c r="S175" s="363"/>
      <c r="T175" s="363"/>
      <c r="U175" s="363"/>
      <c r="V175" s="363"/>
      <c r="W175" s="363"/>
      <c r="X175" s="363"/>
      <c r="Y175" s="363"/>
      <c r="Z175" s="363"/>
      <c r="AA175" s="363"/>
    </row>
    <row r="176" spans="1:27" s="1226" customFormat="1">
      <c r="A176" s="365"/>
      <c r="B176" s="365"/>
      <c r="C176" s="365"/>
      <c r="D176" s="922"/>
      <c r="E176" s="912"/>
      <c r="F176" s="912"/>
      <c r="G176" s="912"/>
      <c r="H176" s="912"/>
      <c r="S176" s="363"/>
      <c r="T176" s="363"/>
      <c r="U176" s="363"/>
      <c r="V176" s="363"/>
      <c r="W176" s="363"/>
      <c r="X176" s="363"/>
      <c r="Y176" s="363"/>
      <c r="Z176" s="363"/>
      <c r="AA176" s="363"/>
    </row>
    <row r="177" spans="1:27" s="1226" customFormat="1">
      <c r="A177" s="365"/>
      <c r="B177" s="365"/>
      <c r="C177" s="365"/>
      <c r="D177" s="922"/>
      <c r="E177" s="912"/>
      <c r="F177" s="912"/>
      <c r="G177" s="912"/>
      <c r="H177" s="912"/>
      <c r="S177" s="363"/>
      <c r="T177" s="363"/>
      <c r="U177" s="363"/>
      <c r="V177" s="363"/>
      <c r="W177" s="363"/>
      <c r="X177" s="363"/>
      <c r="Y177" s="363"/>
      <c r="Z177" s="363"/>
      <c r="AA177" s="363"/>
    </row>
    <row r="178" spans="1:27" s="1226" customFormat="1">
      <c r="A178" s="365"/>
      <c r="B178" s="365"/>
      <c r="C178" s="365"/>
      <c r="D178" s="922"/>
      <c r="E178" s="912"/>
      <c r="F178" s="912"/>
      <c r="G178" s="912"/>
      <c r="H178" s="912"/>
      <c r="S178" s="363"/>
      <c r="T178" s="363"/>
      <c r="U178" s="363"/>
      <c r="V178" s="363"/>
      <c r="W178" s="363"/>
      <c r="X178" s="363"/>
      <c r="Y178" s="363"/>
      <c r="Z178" s="363"/>
      <c r="AA178" s="363"/>
    </row>
    <row r="179" spans="1:27" s="1226" customFormat="1">
      <c r="A179" s="365"/>
      <c r="B179" s="365"/>
      <c r="C179" s="365"/>
      <c r="D179" s="922"/>
      <c r="E179" s="912"/>
      <c r="F179" s="912"/>
      <c r="G179" s="912"/>
      <c r="H179" s="912"/>
      <c r="S179" s="363"/>
      <c r="T179" s="363"/>
      <c r="U179" s="363"/>
      <c r="V179" s="363"/>
      <c r="W179" s="363"/>
      <c r="X179" s="363"/>
      <c r="Y179" s="363"/>
      <c r="Z179" s="363"/>
      <c r="AA179" s="363"/>
    </row>
    <row r="180" spans="1:27" s="1226" customFormat="1">
      <c r="A180" s="365"/>
      <c r="B180" s="365"/>
      <c r="C180" s="365"/>
      <c r="D180" s="922"/>
      <c r="E180" s="912"/>
      <c r="F180" s="912"/>
      <c r="G180" s="912"/>
      <c r="H180" s="912"/>
      <c r="S180" s="363"/>
      <c r="T180" s="363"/>
      <c r="U180" s="363"/>
      <c r="V180" s="363"/>
      <c r="W180" s="363"/>
      <c r="X180" s="363"/>
      <c r="Y180" s="363"/>
      <c r="Z180" s="363"/>
      <c r="AA180" s="363"/>
    </row>
    <row r="181" spans="1:27" s="1226" customFormat="1">
      <c r="A181" s="365"/>
      <c r="B181" s="365"/>
      <c r="C181" s="365"/>
      <c r="D181" s="922"/>
      <c r="E181" s="912"/>
      <c r="F181" s="912"/>
      <c r="G181" s="912"/>
      <c r="H181" s="912"/>
      <c r="S181" s="363"/>
      <c r="T181" s="363"/>
      <c r="U181" s="363"/>
      <c r="V181" s="363"/>
      <c r="W181" s="363"/>
      <c r="X181" s="363"/>
      <c r="Y181" s="363"/>
      <c r="Z181" s="363"/>
      <c r="AA181" s="363"/>
    </row>
    <row r="182" spans="1:27" s="1226" customFormat="1">
      <c r="A182" s="365"/>
      <c r="B182" s="365"/>
      <c r="C182" s="365"/>
      <c r="D182" s="922"/>
      <c r="E182" s="912"/>
      <c r="F182" s="912"/>
      <c r="G182" s="912"/>
      <c r="H182" s="912"/>
      <c r="S182" s="363"/>
      <c r="T182" s="363"/>
      <c r="U182" s="363"/>
      <c r="V182" s="363"/>
      <c r="W182" s="363"/>
      <c r="X182" s="363"/>
      <c r="Y182" s="363"/>
      <c r="Z182" s="363"/>
      <c r="AA182" s="363"/>
    </row>
    <row r="183" spans="1:27" s="1226" customFormat="1">
      <c r="A183" s="365"/>
      <c r="B183" s="365"/>
      <c r="C183" s="365"/>
      <c r="D183" s="922"/>
      <c r="E183" s="912"/>
      <c r="F183" s="912"/>
      <c r="G183" s="912"/>
      <c r="H183" s="912"/>
      <c r="S183" s="363"/>
      <c r="T183" s="363"/>
      <c r="U183" s="363"/>
      <c r="V183" s="363"/>
      <c r="W183" s="363"/>
      <c r="X183" s="363"/>
      <c r="Y183" s="363"/>
      <c r="Z183" s="363"/>
      <c r="AA183" s="363"/>
    </row>
    <row r="184" spans="1:27" s="1226" customFormat="1">
      <c r="A184" s="365"/>
      <c r="B184" s="365"/>
      <c r="C184" s="365"/>
      <c r="D184" s="922"/>
      <c r="E184" s="912"/>
      <c r="F184" s="912"/>
      <c r="G184" s="912"/>
      <c r="H184" s="912"/>
      <c r="S184" s="363"/>
      <c r="T184" s="363"/>
      <c r="U184" s="363"/>
      <c r="V184" s="363"/>
      <c r="W184" s="363"/>
      <c r="X184" s="363"/>
      <c r="Y184" s="363"/>
      <c r="Z184" s="363"/>
      <c r="AA184" s="363"/>
    </row>
    <row r="185" spans="1:27" s="1226" customFormat="1">
      <c r="A185" s="365"/>
      <c r="B185" s="365"/>
      <c r="C185" s="365"/>
      <c r="D185" s="922"/>
      <c r="E185" s="912"/>
      <c r="F185" s="912"/>
      <c r="G185" s="912"/>
      <c r="H185" s="912"/>
      <c r="S185" s="363"/>
      <c r="T185" s="363"/>
      <c r="U185" s="363"/>
      <c r="V185" s="363"/>
      <c r="W185" s="363"/>
      <c r="X185" s="363"/>
      <c r="Y185" s="363"/>
      <c r="Z185" s="363"/>
      <c r="AA185" s="363"/>
    </row>
    <row r="186" spans="1:27" s="1226" customFormat="1">
      <c r="A186" s="365"/>
      <c r="B186" s="365"/>
      <c r="C186" s="365"/>
      <c r="D186" s="922"/>
      <c r="E186" s="912"/>
      <c r="F186" s="912"/>
      <c r="G186" s="912"/>
      <c r="H186" s="912"/>
      <c r="S186" s="363"/>
      <c r="T186" s="363"/>
      <c r="U186" s="363"/>
      <c r="V186" s="363"/>
      <c r="W186" s="363"/>
      <c r="X186" s="363"/>
      <c r="Y186" s="363"/>
      <c r="Z186" s="363"/>
      <c r="AA186" s="363"/>
    </row>
    <row r="187" spans="1:27" s="1226" customFormat="1">
      <c r="A187" s="365"/>
      <c r="B187" s="365"/>
      <c r="C187" s="365"/>
      <c r="D187" s="922"/>
      <c r="E187" s="912"/>
      <c r="F187" s="912"/>
      <c r="G187" s="912"/>
      <c r="H187" s="912"/>
      <c r="S187" s="363"/>
      <c r="T187" s="363"/>
      <c r="U187" s="363"/>
      <c r="V187" s="363"/>
      <c r="W187" s="363"/>
      <c r="X187" s="363"/>
      <c r="Y187" s="363"/>
      <c r="Z187" s="363"/>
      <c r="AA187" s="363"/>
    </row>
    <row r="188" spans="1:27" s="1226" customFormat="1">
      <c r="A188" s="365"/>
      <c r="B188" s="365"/>
      <c r="C188" s="365"/>
      <c r="D188" s="922"/>
      <c r="E188" s="912"/>
      <c r="F188" s="912"/>
      <c r="G188" s="912"/>
      <c r="H188" s="912"/>
      <c r="S188" s="363"/>
      <c r="T188" s="363"/>
      <c r="U188" s="363"/>
      <c r="V188" s="363"/>
      <c r="W188" s="363"/>
      <c r="X188" s="363"/>
      <c r="Y188" s="363"/>
      <c r="Z188" s="363"/>
      <c r="AA188" s="363"/>
    </row>
    <row r="189" spans="1:27" s="1226" customFormat="1">
      <c r="A189" s="365"/>
      <c r="B189" s="365"/>
      <c r="C189" s="365"/>
      <c r="D189" s="922"/>
      <c r="E189" s="912"/>
      <c r="F189" s="912"/>
      <c r="G189" s="912"/>
      <c r="H189" s="912"/>
      <c r="S189" s="363"/>
      <c r="T189" s="363"/>
      <c r="U189" s="363"/>
      <c r="V189" s="363"/>
      <c r="W189" s="363"/>
      <c r="X189" s="363"/>
      <c r="Y189" s="363"/>
      <c r="Z189" s="363"/>
      <c r="AA189" s="363"/>
    </row>
    <row r="190" spans="1:27" s="1226" customFormat="1">
      <c r="A190" s="365"/>
      <c r="B190" s="365"/>
      <c r="C190" s="365"/>
      <c r="D190" s="922"/>
      <c r="E190" s="912"/>
      <c r="F190" s="912"/>
      <c r="G190" s="912"/>
      <c r="H190" s="912"/>
      <c r="S190" s="363"/>
      <c r="T190" s="363"/>
      <c r="U190" s="363"/>
      <c r="V190" s="363"/>
      <c r="W190" s="363"/>
      <c r="X190" s="363"/>
      <c r="Y190" s="363"/>
      <c r="Z190" s="363"/>
      <c r="AA190" s="363"/>
    </row>
    <row r="191" spans="1:27" s="1226" customFormat="1">
      <c r="A191" s="365"/>
      <c r="B191" s="365"/>
      <c r="C191" s="365"/>
      <c r="D191" s="922"/>
      <c r="E191" s="912"/>
      <c r="F191" s="912"/>
      <c r="G191" s="912"/>
      <c r="H191" s="912"/>
      <c r="S191" s="363"/>
      <c r="T191" s="363"/>
      <c r="U191" s="363"/>
      <c r="V191" s="363"/>
      <c r="W191" s="363"/>
      <c r="X191" s="363"/>
      <c r="Y191" s="363"/>
      <c r="Z191" s="363"/>
      <c r="AA191" s="363"/>
    </row>
    <row r="192" spans="1:27" s="1226" customFormat="1">
      <c r="A192" s="365"/>
      <c r="B192" s="365"/>
      <c r="C192" s="365"/>
      <c r="D192" s="922"/>
      <c r="E192" s="912"/>
      <c r="F192" s="912"/>
      <c r="G192" s="912"/>
      <c r="H192" s="912"/>
      <c r="S192" s="363"/>
      <c r="T192" s="363"/>
      <c r="U192" s="363"/>
      <c r="V192" s="363"/>
      <c r="W192" s="363"/>
      <c r="X192" s="363"/>
      <c r="Y192" s="363"/>
      <c r="Z192" s="363"/>
      <c r="AA192" s="363"/>
    </row>
    <row r="193" spans="1:27" s="1226" customFormat="1">
      <c r="A193" s="365"/>
      <c r="B193" s="365"/>
      <c r="C193" s="365"/>
      <c r="D193" s="922"/>
      <c r="E193" s="912"/>
      <c r="F193" s="912"/>
      <c r="G193" s="912"/>
      <c r="H193" s="912"/>
      <c r="S193" s="363"/>
      <c r="T193" s="363"/>
      <c r="U193" s="363"/>
      <c r="V193" s="363"/>
      <c r="W193" s="363"/>
      <c r="X193" s="363"/>
      <c r="Y193" s="363"/>
      <c r="Z193" s="363"/>
      <c r="AA193" s="363"/>
    </row>
    <row r="194" spans="1:27" s="1226" customFormat="1">
      <c r="A194" s="365"/>
      <c r="B194" s="365"/>
      <c r="C194" s="365"/>
      <c r="D194" s="922"/>
      <c r="E194" s="912"/>
      <c r="F194" s="912"/>
      <c r="G194" s="912"/>
      <c r="H194" s="912"/>
      <c r="S194" s="363"/>
      <c r="T194" s="363"/>
      <c r="U194" s="363"/>
      <c r="V194" s="363"/>
      <c r="W194" s="363"/>
      <c r="X194" s="363"/>
      <c r="Y194" s="363"/>
      <c r="Z194" s="363"/>
      <c r="AA194" s="363"/>
    </row>
    <row r="195" spans="1:27" s="1226" customFormat="1">
      <c r="A195" s="365"/>
      <c r="B195" s="365"/>
      <c r="C195" s="365"/>
      <c r="D195" s="922"/>
      <c r="E195" s="912"/>
      <c r="F195" s="912"/>
      <c r="G195" s="912"/>
      <c r="H195" s="912"/>
      <c r="S195" s="363"/>
      <c r="T195" s="363"/>
      <c r="U195" s="363"/>
      <c r="V195" s="363"/>
      <c r="W195" s="363"/>
      <c r="X195" s="363"/>
      <c r="Y195" s="363"/>
      <c r="Z195" s="363"/>
      <c r="AA195" s="363"/>
    </row>
    <row r="196" spans="1:27" s="1226" customFormat="1">
      <c r="A196" s="365"/>
      <c r="B196" s="365"/>
      <c r="C196" s="365"/>
      <c r="D196" s="922"/>
      <c r="E196" s="912"/>
      <c r="F196" s="912"/>
      <c r="G196" s="912"/>
      <c r="H196" s="912"/>
      <c r="S196" s="363"/>
      <c r="T196" s="363"/>
      <c r="U196" s="363"/>
      <c r="V196" s="363"/>
      <c r="W196" s="363"/>
      <c r="X196" s="363"/>
      <c r="Y196" s="363"/>
      <c r="Z196" s="363"/>
      <c r="AA196" s="363"/>
    </row>
    <row r="197" spans="1:27" s="1226" customFormat="1">
      <c r="A197" s="365"/>
      <c r="B197" s="365"/>
      <c r="C197" s="365"/>
      <c r="D197" s="922"/>
      <c r="E197" s="912"/>
      <c r="F197" s="912"/>
      <c r="G197" s="912"/>
      <c r="H197" s="912"/>
      <c r="S197" s="363"/>
      <c r="T197" s="363"/>
      <c r="U197" s="363"/>
      <c r="V197" s="363"/>
      <c r="W197" s="363"/>
      <c r="X197" s="363"/>
      <c r="Y197" s="363"/>
      <c r="Z197" s="363"/>
      <c r="AA197" s="363"/>
    </row>
    <row r="198" spans="1:27" s="1226" customFormat="1">
      <c r="A198" s="365"/>
      <c r="B198" s="365"/>
      <c r="C198" s="365"/>
      <c r="D198" s="922"/>
      <c r="E198" s="912"/>
      <c r="F198" s="912"/>
      <c r="G198" s="912"/>
      <c r="H198" s="912"/>
      <c r="S198" s="363"/>
      <c r="T198" s="363"/>
      <c r="U198" s="363"/>
      <c r="V198" s="363"/>
      <c r="W198" s="363"/>
      <c r="X198" s="363"/>
      <c r="Y198" s="363"/>
      <c r="Z198" s="363"/>
      <c r="AA198" s="363"/>
    </row>
    <row r="199" spans="1:27" s="1226" customFormat="1">
      <c r="A199" s="365"/>
      <c r="B199" s="365"/>
      <c r="C199" s="365"/>
      <c r="D199" s="922"/>
      <c r="E199" s="912"/>
      <c r="F199" s="912"/>
      <c r="G199" s="912"/>
      <c r="H199" s="912"/>
      <c r="S199" s="363"/>
      <c r="T199" s="363"/>
      <c r="U199" s="363"/>
      <c r="V199" s="363"/>
      <c r="W199" s="363"/>
      <c r="X199" s="363"/>
      <c r="Y199" s="363"/>
      <c r="Z199" s="363"/>
      <c r="AA199" s="363"/>
    </row>
    <row r="200" spans="1:27" s="1226" customFormat="1">
      <c r="A200" s="365"/>
      <c r="B200" s="365"/>
      <c r="C200" s="365"/>
      <c r="D200" s="922"/>
      <c r="E200" s="912"/>
      <c r="F200" s="912"/>
      <c r="G200" s="912"/>
      <c r="H200" s="912"/>
      <c r="S200" s="363"/>
      <c r="T200" s="363"/>
      <c r="U200" s="363"/>
      <c r="V200" s="363"/>
      <c r="W200" s="363"/>
      <c r="X200" s="363"/>
      <c r="Y200" s="363"/>
      <c r="Z200" s="363"/>
      <c r="AA200" s="363"/>
    </row>
    <row r="201" spans="1:27" s="1226" customFormat="1">
      <c r="A201" s="365"/>
      <c r="B201" s="365"/>
      <c r="C201" s="365"/>
      <c r="D201" s="922"/>
      <c r="E201" s="912"/>
      <c r="F201" s="912"/>
      <c r="G201" s="912"/>
      <c r="H201" s="912"/>
      <c r="S201" s="363"/>
      <c r="T201" s="363"/>
      <c r="U201" s="363"/>
      <c r="V201" s="363"/>
      <c r="W201" s="363"/>
      <c r="X201" s="363"/>
      <c r="Y201" s="363"/>
      <c r="Z201" s="363"/>
      <c r="AA201" s="363"/>
    </row>
    <row r="202" spans="1:27" s="1226" customFormat="1">
      <c r="A202" s="365"/>
      <c r="B202" s="365"/>
      <c r="C202" s="365"/>
      <c r="D202" s="922"/>
      <c r="E202" s="912"/>
      <c r="F202" s="912"/>
      <c r="G202" s="912"/>
      <c r="H202" s="912"/>
      <c r="S202" s="363"/>
      <c r="T202" s="363"/>
      <c r="U202" s="363"/>
      <c r="V202" s="363"/>
      <c r="W202" s="363"/>
      <c r="X202" s="363"/>
      <c r="Y202" s="363"/>
      <c r="Z202" s="363"/>
      <c r="AA202" s="363"/>
    </row>
    <row r="203" spans="1:27" s="1226" customFormat="1">
      <c r="A203" s="365"/>
      <c r="B203" s="365"/>
      <c r="C203" s="365"/>
      <c r="D203" s="922"/>
      <c r="E203" s="912"/>
      <c r="F203" s="912"/>
      <c r="G203" s="912"/>
      <c r="H203" s="912"/>
      <c r="S203" s="363"/>
      <c r="T203" s="363"/>
      <c r="U203" s="363"/>
      <c r="V203" s="363"/>
      <c r="W203" s="363"/>
      <c r="X203" s="363"/>
      <c r="Y203" s="363"/>
      <c r="Z203" s="363"/>
      <c r="AA203" s="363"/>
    </row>
    <row r="204" spans="1:27" s="1226" customFormat="1">
      <c r="A204" s="365"/>
      <c r="B204" s="365"/>
      <c r="C204" s="365"/>
      <c r="D204" s="922"/>
      <c r="E204" s="912"/>
      <c r="F204" s="912"/>
      <c r="G204" s="912"/>
      <c r="H204" s="912"/>
      <c r="S204" s="363"/>
      <c r="T204" s="363"/>
      <c r="U204" s="363"/>
      <c r="V204" s="363"/>
      <c r="W204" s="363"/>
      <c r="X204" s="363"/>
      <c r="Y204" s="363"/>
      <c r="Z204" s="363"/>
      <c r="AA204" s="363"/>
    </row>
    <row r="205" spans="1:27" s="1226" customFormat="1">
      <c r="A205" s="365"/>
      <c r="B205" s="365"/>
      <c r="C205" s="365"/>
      <c r="D205" s="922"/>
      <c r="E205" s="912"/>
      <c r="F205" s="912"/>
      <c r="G205" s="912"/>
      <c r="H205" s="912"/>
      <c r="S205" s="363"/>
      <c r="T205" s="363"/>
      <c r="U205" s="363"/>
      <c r="V205" s="363"/>
      <c r="W205" s="363"/>
      <c r="X205" s="363"/>
      <c r="Y205" s="363"/>
      <c r="Z205" s="363"/>
      <c r="AA205" s="363"/>
    </row>
    <row r="206" spans="1:27" s="1226" customFormat="1">
      <c r="A206" s="365"/>
      <c r="B206" s="365"/>
      <c r="C206" s="365"/>
      <c r="D206" s="922"/>
      <c r="E206" s="912"/>
      <c r="F206" s="912"/>
      <c r="G206" s="912"/>
      <c r="H206" s="912"/>
      <c r="S206" s="363"/>
      <c r="T206" s="363"/>
      <c r="U206" s="363"/>
      <c r="V206" s="363"/>
      <c r="W206" s="363"/>
      <c r="X206" s="363"/>
      <c r="Y206" s="363"/>
      <c r="Z206" s="363"/>
      <c r="AA206" s="363"/>
    </row>
    <row r="284" spans="1:27" s="912" customFormat="1">
      <c r="A284" s="365"/>
      <c r="B284" s="365"/>
      <c r="C284" s="365"/>
      <c r="D284" s="922">
        <v>0</v>
      </c>
      <c r="L284" s="1226"/>
      <c r="N284" s="1226"/>
      <c r="O284" s="1226"/>
      <c r="P284" s="1226"/>
      <c r="Q284" s="1226"/>
      <c r="R284" s="363"/>
      <c r="S284" s="363"/>
      <c r="T284" s="363"/>
      <c r="U284" s="363"/>
      <c r="V284" s="363"/>
      <c r="W284" s="363"/>
      <c r="X284" s="363"/>
      <c r="Y284" s="363"/>
      <c r="Z284" s="363"/>
      <c r="AA284" s="363"/>
    </row>
  </sheetData>
  <mergeCells count="2">
    <mergeCell ref="A1:L1"/>
    <mergeCell ref="A2:R2"/>
  </mergeCells>
  <printOptions horizontalCentered="1"/>
  <pageMargins left="0" right="0" top="0.5" bottom="0.17" header="0.17" footer="0.2"/>
  <pageSetup scale="53"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92D050"/>
  </sheetPr>
  <dimension ref="A1:AL281"/>
  <sheetViews>
    <sheetView showGridLines="0" topLeftCell="A2" zoomScale="75" zoomScaleNormal="75" workbookViewId="0">
      <pane xSplit="3" ySplit="7" topLeftCell="D55" activePane="bottomRight" state="frozen"/>
      <selection activeCell="D71" sqref="D71"/>
      <selection pane="topRight" activeCell="D71" sqref="D71"/>
      <selection pane="bottomLeft" activeCell="D71" sqref="D71"/>
      <selection pane="bottomRight" activeCell="D71" sqref="D71"/>
    </sheetView>
  </sheetViews>
  <sheetFormatPr defaultRowHeight="12.75"/>
  <cols>
    <col min="1" max="1" width="36.85546875" style="365" customWidth="1"/>
    <col min="2" max="2" width="9" style="365" customWidth="1"/>
    <col min="3" max="3" width="2.28515625" style="365" bestFit="1" customWidth="1"/>
    <col min="4" max="4" width="25.5703125" style="922" bestFit="1" customWidth="1"/>
    <col min="5" max="5" width="22" style="389" customWidth="1"/>
    <col min="6" max="6" width="17.7109375" style="389" bestFit="1" customWidth="1"/>
    <col min="7" max="7" width="18.42578125" style="389" customWidth="1"/>
    <col min="8" max="8" width="20" style="389" bestFit="1" customWidth="1"/>
    <col min="9" max="9" width="19.42578125" style="389" bestFit="1" customWidth="1"/>
    <col min="10" max="10" width="13.85546875" style="389" customWidth="1"/>
    <col min="11" max="11" width="18.7109375" style="389" customWidth="1"/>
    <col min="12" max="12" width="20.7109375" style="912" hidden="1" customWidth="1"/>
    <col min="13" max="13" width="19.42578125" style="912" hidden="1" customWidth="1"/>
    <col min="14" max="14" width="19.5703125" style="932" hidden="1" customWidth="1"/>
    <col min="15" max="15" width="16" style="363" hidden="1" customWidth="1"/>
    <col min="16" max="16" width="20.28515625" style="912" hidden="1" customWidth="1"/>
    <col min="17" max="17" width="6" style="363" hidden="1" customWidth="1"/>
    <col min="18" max="18" width="22" style="912" hidden="1" customWidth="1"/>
    <col min="19" max="19" width="6" style="363" hidden="1" customWidth="1"/>
    <col min="20" max="20" width="19.42578125" style="912" hidden="1" customWidth="1"/>
    <col min="21" max="21" width="6" style="363" hidden="1" customWidth="1"/>
    <col min="22" max="22" width="19.42578125" style="912" hidden="1" customWidth="1"/>
    <col min="23" max="23" width="9.140625" style="363" hidden="1" customWidth="1"/>
    <col min="24" max="24" width="19.42578125" style="912" hidden="1" customWidth="1"/>
    <col min="25" max="25" width="6" style="363" hidden="1" customWidth="1"/>
    <col min="26" max="26" width="23.42578125" style="912" hidden="1" customWidth="1"/>
    <col min="27" max="27" width="16.7109375" style="363" bestFit="1" customWidth="1"/>
    <col min="28" max="28" width="19.42578125" style="363" bestFit="1" customWidth="1"/>
    <col min="29" max="29" width="17.5703125" style="363" bestFit="1" customWidth="1"/>
    <col min="30" max="30" width="22.28515625" style="363" customWidth="1"/>
    <col min="31" max="38" width="9.140625" style="363" customWidth="1"/>
    <col min="39" max="233" width="8.85546875" style="365"/>
    <col min="234" max="234" width="44.5703125" style="365" customWidth="1"/>
    <col min="235" max="235" width="14.28515625" style="365" bestFit="1" customWidth="1"/>
    <col min="236" max="236" width="1.7109375" style="365" customWidth="1"/>
    <col min="237" max="237" width="14.85546875" style="365" customWidth="1"/>
    <col min="238" max="238" width="0" style="365" hidden="1" customWidth="1"/>
    <col min="239" max="239" width="17.42578125" style="365" customWidth="1"/>
    <col min="240" max="240" width="0" style="365" hidden="1" customWidth="1"/>
    <col min="241" max="241" width="12.85546875" style="365" customWidth="1"/>
    <col min="242" max="242" width="0" style="365" hidden="1" customWidth="1"/>
    <col min="243" max="243" width="14.42578125" style="365" customWidth="1"/>
    <col min="244" max="244" width="0" style="365" hidden="1" customWidth="1"/>
    <col min="245" max="245" width="17.42578125" style="365" customWidth="1"/>
    <col min="246" max="246" width="0" style="365" hidden="1" customWidth="1"/>
    <col min="247" max="247" width="14" style="365" customWidth="1"/>
    <col min="248" max="248" width="14.28515625" style="365" bestFit="1" customWidth="1"/>
    <col min="249" max="249" width="0" style="365" hidden="1" customWidth="1"/>
    <col min="250" max="250" width="15.5703125" style="365" customWidth="1"/>
    <col min="251" max="251" width="44.5703125" style="365" customWidth="1"/>
    <col min="252" max="252" width="14.28515625" style="365" bestFit="1" customWidth="1"/>
    <col min="253" max="253" width="0" style="365" hidden="1" customWidth="1"/>
    <col min="254" max="254" width="18.140625" style="365" customWidth="1"/>
    <col min="255" max="255" width="0" style="365" hidden="1" customWidth="1"/>
    <col min="256" max="256" width="14" style="365" customWidth="1"/>
    <col min="257" max="257" width="0" style="365" hidden="1" customWidth="1"/>
    <col min="258" max="258" width="20.85546875" style="365" customWidth="1"/>
    <col min="259" max="259" width="0" style="365" hidden="1" customWidth="1"/>
    <col min="260" max="260" width="13.28515625" style="365" customWidth="1"/>
    <col min="261" max="261" width="0" style="365" hidden="1" customWidth="1"/>
    <col min="262" max="262" width="15" style="365" customWidth="1"/>
    <col min="263" max="263" width="0" style="365" hidden="1" customWidth="1"/>
    <col min="264" max="264" width="13.28515625" style="365" customWidth="1"/>
    <col min="265" max="265" width="0" style="365" hidden="1" customWidth="1"/>
    <col min="266" max="266" width="20.140625" style="365" customWidth="1"/>
    <col min="267" max="267" width="14.42578125" style="365" bestFit="1" customWidth="1"/>
    <col min="268" max="268" width="14" style="365" bestFit="1" customWidth="1"/>
    <col min="269" max="269" width="12.28515625" style="365" bestFit="1" customWidth="1"/>
    <col min="270" max="294" width="9.140625" style="365" customWidth="1"/>
    <col min="295" max="489" width="8.85546875" style="365"/>
    <col min="490" max="490" width="44.5703125" style="365" customWidth="1"/>
    <col min="491" max="491" width="14.28515625" style="365" bestFit="1" customWidth="1"/>
    <col min="492" max="492" width="1.7109375" style="365" customWidth="1"/>
    <col min="493" max="493" width="14.85546875" style="365" customWidth="1"/>
    <col min="494" max="494" width="0" style="365" hidden="1" customWidth="1"/>
    <col min="495" max="495" width="17.42578125" style="365" customWidth="1"/>
    <col min="496" max="496" width="0" style="365" hidden="1" customWidth="1"/>
    <col min="497" max="497" width="12.85546875" style="365" customWidth="1"/>
    <col min="498" max="498" width="0" style="365" hidden="1" customWidth="1"/>
    <col min="499" max="499" width="14.42578125" style="365" customWidth="1"/>
    <col min="500" max="500" width="0" style="365" hidden="1" customWidth="1"/>
    <col min="501" max="501" width="17.42578125" style="365" customWidth="1"/>
    <col min="502" max="502" width="0" style="365" hidden="1" customWidth="1"/>
    <col min="503" max="503" width="14" style="365" customWidth="1"/>
    <col min="504" max="504" width="14.28515625" style="365" bestFit="1" customWidth="1"/>
    <col min="505" max="505" width="0" style="365" hidden="1" customWidth="1"/>
    <col min="506" max="506" width="15.5703125" style="365" customWidth="1"/>
    <col min="507" max="507" width="44.5703125" style="365" customWidth="1"/>
    <col min="508" max="508" width="14.28515625" style="365" bestFit="1" customWidth="1"/>
    <col min="509" max="509" width="0" style="365" hidden="1" customWidth="1"/>
    <col min="510" max="510" width="18.140625" style="365" customWidth="1"/>
    <col min="511" max="511" width="0" style="365" hidden="1" customWidth="1"/>
    <col min="512" max="512" width="14" style="365" customWidth="1"/>
    <col min="513" max="513" width="0" style="365" hidden="1" customWidth="1"/>
    <col min="514" max="514" width="20.85546875" style="365" customWidth="1"/>
    <col min="515" max="515" width="0" style="365" hidden="1" customWidth="1"/>
    <col min="516" max="516" width="13.28515625" style="365" customWidth="1"/>
    <col min="517" max="517" width="0" style="365" hidden="1" customWidth="1"/>
    <col min="518" max="518" width="15" style="365" customWidth="1"/>
    <col min="519" max="519" width="0" style="365" hidden="1" customWidth="1"/>
    <col min="520" max="520" width="13.28515625" style="365" customWidth="1"/>
    <col min="521" max="521" width="0" style="365" hidden="1" customWidth="1"/>
    <col min="522" max="522" width="20.140625" style="365" customWidth="1"/>
    <col min="523" max="523" width="14.42578125" style="365" bestFit="1" customWidth="1"/>
    <col min="524" max="524" width="14" style="365" bestFit="1" customWidth="1"/>
    <col min="525" max="525" width="12.28515625" style="365" bestFit="1" customWidth="1"/>
    <col min="526" max="550" width="9.140625" style="365" customWidth="1"/>
    <col min="551" max="745" width="8.85546875" style="365"/>
    <col min="746" max="746" width="44.5703125" style="365" customWidth="1"/>
    <col min="747" max="747" width="14.28515625" style="365" bestFit="1" customWidth="1"/>
    <col min="748" max="748" width="1.7109375" style="365" customWidth="1"/>
    <col min="749" max="749" width="14.85546875" style="365" customWidth="1"/>
    <col min="750" max="750" width="0" style="365" hidden="1" customWidth="1"/>
    <col min="751" max="751" width="17.42578125" style="365" customWidth="1"/>
    <col min="752" max="752" width="0" style="365" hidden="1" customWidth="1"/>
    <col min="753" max="753" width="12.85546875" style="365" customWidth="1"/>
    <col min="754" max="754" width="0" style="365" hidden="1" customWidth="1"/>
    <col min="755" max="755" width="14.42578125" style="365" customWidth="1"/>
    <col min="756" max="756" width="0" style="365" hidden="1" customWidth="1"/>
    <col min="757" max="757" width="17.42578125" style="365" customWidth="1"/>
    <col min="758" max="758" width="0" style="365" hidden="1" customWidth="1"/>
    <col min="759" max="759" width="14" style="365" customWidth="1"/>
    <col min="760" max="760" width="14.28515625" style="365" bestFit="1" customWidth="1"/>
    <col min="761" max="761" width="0" style="365" hidden="1" customWidth="1"/>
    <col min="762" max="762" width="15.5703125" style="365" customWidth="1"/>
    <col min="763" max="763" width="44.5703125" style="365" customWidth="1"/>
    <col min="764" max="764" width="14.28515625" style="365" bestFit="1" customWidth="1"/>
    <col min="765" max="765" width="0" style="365" hidden="1" customWidth="1"/>
    <col min="766" max="766" width="18.140625" style="365" customWidth="1"/>
    <col min="767" max="767" width="0" style="365" hidden="1" customWidth="1"/>
    <col min="768" max="768" width="14" style="365" customWidth="1"/>
    <col min="769" max="769" width="0" style="365" hidden="1" customWidth="1"/>
    <col min="770" max="770" width="20.85546875" style="365" customWidth="1"/>
    <col min="771" max="771" width="0" style="365" hidden="1" customWidth="1"/>
    <col min="772" max="772" width="13.28515625" style="365" customWidth="1"/>
    <col min="773" max="773" width="0" style="365" hidden="1" customWidth="1"/>
    <col min="774" max="774" width="15" style="365" customWidth="1"/>
    <col min="775" max="775" width="0" style="365" hidden="1" customWidth="1"/>
    <col min="776" max="776" width="13.28515625" style="365" customWidth="1"/>
    <col min="777" max="777" width="0" style="365" hidden="1" customWidth="1"/>
    <col min="778" max="778" width="20.140625" style="365" customWidth="1"/>
    <col min="779" max="779" width="14.42578125" style="365" bestFit="1" customWidth="1"/>
    <col min="780" max="780" width="14" style="365" bestFit="1" customWidth="1"/>
    <col min="781" max="781" width="12.28515625" style="365" bestFit="1" customWidth="1"/>
    <col min="782" max="806" width="9.140625" style="365" customWidth="1"/>
    <col min="807" max="1001" width="8.85546875" style="365"/>
    <col min="1002" max="1002" width="44.5703125" style="365" customWidth="1"/>
    <col min="1003" max="1003" width="14.28515625" style="365" bestFit="1" customWidth="1"/>
    <col min="1004" max="1004" width="1.7109375" style="365" customWidth="1"/>
    <col min="1005" max="1005" width="14.85546875" style="365" customWidth="1"/>
    <col min="1006" max="1006" width="0" style="365" hidden="1" customWidth="1"/>
    <col min="1007" max="1007" width="17.42578125" style="365" customWidth="1"/>
    <col min="1008" max="1008" width="0" style="365" hidden="1" customWidth="1"/>
    <col min="1009" max="1009" width="12.85546875" style="365" customWidth="1"/>
    <col min="1010" max="1010" width="0" style="365" hidden="1" customWidth="1"/>
    <col min="1011" max="1011" width="14.42578125" style="365" customWidth="1"/>
    <col min="1012" max="1012" width="0" style="365" hidden="1" customWidth="1"/>
    <col min="1013" max="1013" width="17.42578125" style="365" customWidth="1"/>
    <col min="1014" max="1014" width="0" style="365" hidden="1" customWidth="1"/>
    <col min="1015" max="1015" width="14" style="365" customWidth="1"/>
    <col min="1016" max="1016" width="14.28515625" style="365" bestFit="1" customWidth="1"/>
    <col min="1017" max="1017" width="0" style="365" hidden="1" customWidth="1"/>
    <col min="1018" max="1018" width="15.5703125" style="365" customWidth="1"/>
    <col min="1019" max="1019" width="44.5703125" style="365" customWidth="1"/>
    <col min="1020" max="1020" width="14.28515625" style="365" bestFit="1" customWidth="1"/>
    <col min="1021" max="1021" width="0" style="365" hidden="1" customWidth="1"/>
    <col min="1022" max="1022" width="18.140625" style="365" customWidth="1"/>
    <col min="1023" max="1023" width="0" style="365" hidden="1" customWidth="1"/>
    <col min="1024" max="1024" width="14" style="365" customWidth="1"/>
    <col min="1025" max="1025" width="0" style="365" hidden="1" customWidth="1"/>
    <col min="1026" max="1026" width="20.85546875" style="365" customWidth="1"/>
    <col min="1027" max="1027" width="0" style="365" hidden="1" customWidth="1"/>
    <col min="1028" max="1028" width="13.28515625" style="365" customWidth="1"/>
    <col min="1029" max="1029" width="0" style="365" hidden="1" customWidth="1"/>
    <col min="1030" max="1030" width="15" style="365" customWidth="1"/>
    <col min="1031" max="1031" width="0" style="365" hidden="1" customWidth="1"/>
    <col min="1032" max="1032" width="13.28515625" style="365" customWidth="1"/>
    <col min="1033" max="1033" width="0" style="365" hidden="1" customWidth="1"/>
    <col min="1034" max="1034" width="20.140625" style="365" customWidth="1"/>
    <col min="1035" max="1035" width="14.42578125" style="365" bestFit="1" customWidth="1"/>
    <col min="1036" max="1036" width="14" style="365" bestFit="1" customWidth="1"/>
    <col min="1037" max="1037" width="12.28515625" style="365" bestFit="1" customWidth="1"/>
    <col min="1038" max="1062" width="9.140625" style="365" customWidth="1"/>
    <col min="1063" max="1257" width="8.85546875" style="365"/>
    <col min="1258" max="1258" width="44.5703125" style="365" customWidth="1"/>
    <col min="1259" max="1259" width="14.28515625" style="365" bestFit="1" customWidth="1"/>
    <col min="1260" max="1260" width="1.7109375" style="365" customWidth="1"/>
    <col min="1261" max="1261" width="14.85546875" style="365" customWidth="1"/>
    <col min="1262" max="1262" width="0" style="365" hidden="1" customWidth="1"/>
    <col min="1263" max="1263" width="17.42578125" style="365" customWidth="1"/>
    <col min="1264" max="1264" width="0" style="365" hidden="1" customWidth="1"/>
    <col min="1265" max="1265" width="12.85546875" style="365" customWidth="1"/>
    <col min="1266" max="1266" width="0" style="365" hidden="1" customWidth="1"/>
    <col min="1267" max="1267" width="14.42578125" style="365" customWidth="1"/>
    <col min="1268" max="1268" width="0" style="365" hidden="1" customWidth="1"/>
    <col min="1269" max="1269" width="17.42578125" style="365" customWidth="1"/>
    <col min="1270" max="1270" width="0" style="365" hidden="1" customWidth="1"/>
    <col min="1271" max="1271" width="14" style="365" customWidth="1"/>
    <col min="1272" max="1272" width="14.28515625" style="365" bestFit="1" customWidth="1"/>
    <col min="1273" max="1273" width="0" style="365" hidden="1" customWidth="1"/>
    <col min="1274" max="1274" width="15.5703125" style="365" customWidth="1"/>
    <col min="1275" max="1275" width="44.5703125" style="365" customWidth="1"/>
    <col min="1276" max="1276" width="14.28515625" style="365" bestFit="1" customWidth="1"/>
    <col min="1277" max="1277" width="0" style="365" hidden="1" customWidth="1"/>
    <col min="1278" max="1278" width="18.140625" style="365" customWidth="1"/>
    <col min="1279" max="1279" width="0" style="365" hidden="1" customWidth="1"/>
    <col min="1280" max="1280" width="14" style="365" customWidth="1"/>
    <col min="1281" max="1281" width="0" style="365" hidden="1" customWidth="1"/>
    <col min="1282" max="1282" width="20.85546875" style="365" customWidth="1"/>
    <col min="1283" max="1283" width="0" style="365" hidden="1" customWidth="1"/>
    <col min="1284" max="1284" width="13.28515625" style="365" customWidth="1"/>
    <col min="1285" max="1285" width="0" style="365" hidden="1" customWidth="1"/>
    <col min="1286" max="1286" width="15" style="365" customWidth="1"/>
    <col min="1287" max="1287" width="0" style="365" hidden="1" customWidth="1"/>
    <col min="1288" max="1288" width="13.28515625" style="365" customWidth="1"/>
    <col min="1289" max="1289" width="0" style="365" hidden="1" customWidth="1"/>
    <col min="1290" max="1290" width="20.140625" style="365" customWidth="1"/>
    <col min="1291" max="1291" width="14.42578125" style="365" bestFit="1" customWidth="1"/>
    <col min="1292" max="1292" width="14" style="365" bestFit="1" customWidth="1"/>
    <col min="1293" max="1293" width="12.28515625" style="365" bestFit="1" customWidth="1"/>
    <col min="1294" max="1318" width="9.140625" style="365" customWidth="1"/>
    <col min="1319" max="1513" width="8.85546875" style="365"/>
    <col min="1514" max="1514" width="44.5703125" style="365" customWidth="1"/>
    <col min="1515" max="1515" width="14.28515625" style="365" bestFit="1" customWidth="1"/>
    <col min="1516" max="1516" width="1.7109375" style="365" customWidth="1"/>
    <col min="1517" max="1517" width="14.85546875" style="365" customWidth="1"/>
    <col min="1518" max="1518" width="0" style="365" hidden="1" customWidth="1"/>
    <col min="1519" max="1519" width="17.42578125" style="365" customWidth="1"/>
    <col min="1520" max="1520" width="0" style="365" hidden="1" customWidth="1"/>
    <col min="1521" max="1521" width="12.85546875" style="365" customWidth="1"/>
    <col min="1522" max="1522" width="0" style="365" hidden="1" customWidth="1"/>
    <col min="1523" max="1523" width="14.42578125" style="365" customWidth="1"/>
    <col min="1524" max="1524" width="0" style="365" hidden="1" customWidth="1"/>
    <col min="1525" max="1525" width="17.42578125" style="365" customWidth="1"/>
    <col min="1526" max="1526" width="0" style="365" hidden="1" customWidth="1"/>
    <col min="1527" max="1527" width="14" style="365" customWidth="1"/>
    <col min="1528" max="1528" width="14.28515625" style="365" bestFit="1" customWidth="1"/>
    <col min="1529" max="1529" width="0" style="365" hidden="1" customWidth="1"/>
    <col min="1530" max="1530" width="15.5703125" style="365" customWidth="1"/>
    <col min="1531" max="1531" width="44.5703125" style="365" customWidth="1"/>
    <col min="1532" max="1532" width="14.28515625" style="365" bestFit="1" customWidth="1"/>
    <col min="1533" max="1533" width="0" style="365" hidden="1" customWidth="1"/>
    <col min="1534" max="1534" width="18.140625" style="365" customWidth="1"/>
    <col min="1535" max="1535" width="0" style="365" hidden="1" customWidth="1"/>
    <col min="1536" max="1536" width="14" style="365" customWidth="1"/>
    <col min="1537" max="1537" width="0" style="365" hidden="1" customWidth="1"/>
    <col min="1538" max="1538" width="20.85546875" style="365" customWidth="1"/>
    <col min="1539" max="1539" width="0" style="365" hidden="1" customWidth="1"/>
    <col min="1540" max="1540" width="13.28515625" style="365" customWidth="1"/>
    <col min="1541" max="1541" width="0" style="365" hidden="1" customWidth="1"/>
    <col min="1542" max="1542" width="15" style="365" customWidth="1"/>
    <col min="1543" max="1543" width="0" style="365" hidden="1" customWidth="1"/>
    <col min="1544" max="1544" width="13.28515625" style="365" customWidth="1"/>
    <col min="1545" max="1545" width="0" style="365" hidden="1" customWidth="1"/>
    <col min="1546" max="1546" width="20.140625" style="365" customWidth="1"/>
    <col min="1547" max="1547" width="14.42578125" style="365" bestFit="1" customWidth="1"/>
    <col min="1548" max="1548" width="14" style="365" bestFit="1" customWidth="1"/>
    <col min="1549" max="1549" width="12.28515625" style="365" bestFit="1" customWidth="1"/>
    <col min="1550" max="1574" width="9.140625" style="365" customWidth="1"/>
    <col min="1575" max="1769" width="8.85546875" style="365"/>
    <col min="1770" max="1770" width="44.5703125" style="365" customWidth="1"/>
    <col min="1771" max="1771" width="14.28515625" style="365" bestFit="1" customWidth="1"/>
    <col min="1772" max="1772" width="1.7109375" style="365" customWidth="1"/>
    <col min="1773" max="1773" width="14.85546875" style="365" customWidth="1"/>
    <col min="1774" max="1774" width="0" style="365" hidden="1" customWidth="1"/>
    <col min="1775" max="1775" width="17.42578125" style="365" customWidth="1"/>
    <col min="1776" max="1776" width="0" style="365" hidden="1" customWidth="1"/>
    <col min="1777" max="1777" width="12.85546875" style="365" customWidth="1"/>
    <col min="1778" max="1778" width="0" style="365" hidden="1" customWidth="1"/>
    <col min="1779" max="1779" width="14.42578125" style="365" customWidth="1"/>
    <col min="1780" max="1780" width="0" style="365" hidden="1" customWidth="1"/>
    <col min="1781" max="1781" width="17.42578125" style="365" customWidth="1"/>
    <col min="1782" max="1782" width="0" style="365" hidden="1" customWidth="1"/>
    <col min="1783" max="1783" width="14" style="365" customWidth="1"/>
    <col min="1784" max="1784" width="14.28515625" style="365" bestFit="1" customWidth="1"/>
    <col min="1785" max="1785" width="0" style="365" hidden="1" customWidth="1"/>
    <col min="1786" max="1786" width="15.5703125" style="365" customWidth="1"/>
    <col min="1787" max="1787" width="44.5703125" style="365" customWidth="1"/>
    <col min="1788" max="1788" width="14.28515625" style="365" bestFit="1" customWidth="1"/>
    <col min="1789" max="1789" width="0" style="365" hidden="1" customWidth="1"/>
    <col min="1790" max="1790" width="18.140625" style="365" customWidth="1"/>
    <col min="1791" max="1791" width="0" style="365" hidden="1" customWidth="1"/>
    <col min="1792" max="1792" width="14" style="365" customWidth="1"/>
    <col min="1793" max="1793" width="0" style="365" hidden="1" customWidth="1"/>
    <col min="1794" max="1794" width="20.85546875" style="365" customWidth="1"/>
    <col min="1795" max="1795" width="0" style="365" hidden="1" customWidth="1"/>
    <col min="1796" max="1796" width="13.28515625" style="365" customWidth="1"/>
    <col min="1797" max="1797" width="0" style="365" hidden="1" customWidth="1"/>
    <col min="1798" max="1798" width="15" style="365" customWidth="1"/>
    <col min="1799" max="1799" width="0" style="365" hidden="1" customWidth="1"/>
    <col min="1800" max="1800" width="13.28515625" style="365" customWidth="1"/>
    <col min="1801" max="1801" width="0" style="365" hidden="1" customWidth="1"/>
    <col min="1802" max="1802" width="20.140625" style="365" customWidth="1"/>
    <col min="1803" max="1803" width="14.42578125" style="365" bestFit="1" customWidth="1"/>
    <col min="1804" max="1804" width="14" style="365" bestFit="1" customWidth="1"/>
    <col min="1805" max="1805" width="12.28515625" style="365" bestFit="1" customWidth="1"/>
    <col min="1806" max="1830" width="9.140625" style="365" customWidth="1"/>
    <col min="1831" max="2025" width="8.85546875" style="365"/>
    <col min="2026" max="2026" width="44.5703125" style="365" customWidth="1"/>
    <col min="2027" max="2027" width="14.28515625" style="365" bestFit="1" customWidth="1"/>
    <col min="2028" max="2028" width="1.7109375" style="365" customWidth="1"/>
    <col min="2029" max="2029" width="14.85546875" style="365" customWidth="1"/>
    <col min="2030" max="2030" width="0" style="365" hidden="1" customWidth="1"/>
    <col min="2031" max="2031" width="17.42578125" style="365" customWidth="1"/>
    <col min="2032" max="2032" width="0" style="365" hidden="1" customWidth="1"/>
    <col min="2033" max="2033" width="12.85546875" style="365" customWidth="1"/>
    <col min="2034" max="2034" width="0" style="365" hidden="1" customWidth="1"/>
    <col min="2035" max="2035" width="14.42578125" style="365" customWidth="1"/>
    <col min="2036" max="2036" width="0" style="365" hidden="1" customWidth="1"/>
    <col min="2037" max="2037" width="17.42578125" style="365" customWidth="1"/>
    <col min="2038" max="2038" width="0" style="365" hidden="1" customWidth="1"/>
    <col min="2039" max="2039" width="14" style="365" customWidth="1"/>
    <col min="2040" max="2040" width="14.28515625" style="365" bestFit="1" customWidth="1"/>
    <col min="2041" max="2041" width="0" style="365" hidden="1" customWidth="1"/>
    <col min="2042" max="2042" width="15.5703125" style="365" customWidth="1"/>
    <col min="2043" max="2043" width="44.5703125" style="365" customWidth="1"/>
    <col min="2044" max="2044" width="14.28515625" style="365" bestFit="1" customWidth="1"/>
    <col min="2045" max="2045" width="0" style="365" hidden="1" customWidth="1"/>
    <col min="2046" max="2046" width="18.140625" style="365" customWidth="1"/>
    <col min="2047" max="2047" width="0" style="365" hidden="1" customWidth="1"/>
    <col min="2048" max="2048" width="14" style="365" customWidth="1"/>
    <col min="2049" max="2049" width="0" style="365" hidden="1" customWidth="1"/>
    <col min="2050" max="2050" width="20.85546875" style="365" customWidth="1"/>
    <col min="2051" max="2051" width="0" style="365" hidden="1" customWidth="1"/>
    <col min="2052" max="2052" width="13.28515625" style="365" customWidth="1"/>
    <col min="2053" max="2053" width="0" style="365" hidden="1" customWidth="1"/>
    <col min="2054" max="2054" width="15" style="365" customWidth="1"/>
    <col min="2055" max="2055" width="0" style="365" hidden="1" customWidth="1"/>
    <col min="2056" max="2056" width="13.28515625" style="365" customWidth="1"/>
    <col min="2057" max="2057" width="0" style="365" hidden="1" customWidth="1"/>
    <col min="2058" max="2058" width="20.140625" style="365" customWidth="1"/>
    <col min="2059" max="2059" width="14.42578125" style="365" bestFit="1" customWidth="1"/>
    <col min="2060" max="2060" width="14" style="365" bestFit="1" customWidth="1"/>
    <col min="2061" max="2061" width="12.28515625" style="365" bestFit="1" customWidth="1"/>
    <col min="2062" max="2086" width="9.140625" style="365" customWidth="1"/>
    <col min="2087" max="2281" width="8.85546875" style="365"/>
    <col min="2282" max="2282" width="44.5703125" style="365" customWidth="1"/>
    <col min="2283" max="2283" width="14.28515625" style="365" bestFit="1" customWidth="1"/>
    <col min="2284" max="2284" width="1.7109375" style="365" customWidth="1"/>
    <col min="2285" max="2285" width="14.85546875" style="365" customWidth="1"/>
    <col min="2286" max="2286" width="0" style="365" hidden="1" customWidth="1"/>
    <col min="2287" max="2287" width="17.42578125" style="365" customWidth="1"/>
    <col min="2288" max="2288" width="0" style="365" hidden="1" customWidth="1"/>
    <col min="2289" max="2289" width="12.85546875" style="365" customWidth="1"/>
    <col min="2290" max="2290" width="0" style="365" hidden="1" customWidth="1"/>
    <col min="2291" max="2291" width="14.42578125" style="365" customWidth="1"/>
    <col min="2292" max="2292" width="0" style="365" hidden="1" customWidth="1"/>
    <col min="2293" max="2293" width="17.42578125" style="365" customWidth="1"/>
    <col min="2294" max="2294" width="0" style="365" hidden="1" customWidth="1"/>
    <col min="2295" max="2295" width="14" style="365" customWidth="1"/>
    <col min="2296" max="2296" width="14.28515625" style="365" bestFit="1" customWidth="1"/>
    <col min="2297" max="2297" width="0" style="365" hidden="1" customWidth="1"/>
    <col min="2298" max="2298" width="15.5703125" style="365" customWidth="1"/>
    <col min="2299" max="2299" width="44.5703125" style="365" customWidth="1"/>
    <col min="2300" max="2300" width="14.28515625" style="365" bestFit="1" customWidth="1"/>
    <col min="2301" max="2301" width="0" style="365" hidden="1" customWidth="1"/>
    <col min="2302" max="2302" width="18.140625" style="365" customWidth="1"/>
    <col min="2303" max="2303" width="0" style="365" hidden="1" customWidth="1"/>
    <col min="2304" max="2304" width="14" style="365" customWidth="1"/>
    <col min="2305" max="2305" width="0" style="365" hidden="1" customWidth="1"/>
    <col min="2306" max="2306" width="20.85546875" style="365" customWidth="1"/>
    <col min="2307" max="2307" width="0" style="365" hidden="1" customWidth="1"/>
    <col min="2308" max="2308" width="13.28515625" style="365" customWidth="1"/>
    <col min="2309" max="2309" width="0" style="365" hidden="1" customWidth="1"/>
    <col min="2310" max="2310" width="15" style="365" customWidth="1"/>
    <col min="2311" max="2311" width="0" style="365" hidden="1" customWidth="1"/>
    <col min="2312" max="2312" width="13.28515625" style="365" customWidth="1"/>
    <col min="2313" max="2313" width="0" style="365" hidden="1" customWidth="1"/>
    <col min="2314" max="2314" width="20.140625" style="365" customWidth="1"/>
    <col min="2315" max="2315" width="14.42578125" style="365" bestFit="1" customWidth="1"/>
    <col min="2316" max="2316" width="14" style="365" bestFit="1" customWidth="1"/>
    <col min="2317" max="2317" width="12.28515625" style="365" bestFit="1" customWidth="1"/>
    <col min="2318" max="2342" width="9.140625" style="365" customWidth="1"/>
    <col min="2343" max="2537" width="8.85546875" style="365"/>
    <col min="2538" max="2538" width="44.5703125" style="365" customWidth="1"/>
    <col min="2539" max="2539" width="14.28515625" style="365" bestFit="1" customWidth="1"/>
    <col min="2540" max="2540" width="1.7109375" style="365" customWidth="1"/>
    <col min="2541" max="2541" width="14.85546875" style="365" customWidth="1"/>
    <col min="2542" max="2542" width="0" style="365" hidden="1" customWidth="1"/>
    <col min="2543" max="2543" width="17.42578125" style="365" customWidth="1"/>
    <col min="2544" max="2544" width="0" style="365" hidden="1" customWidth="1"/>
    <col min="2545" max="2545" width="12.85546875" style="365" customWidth="1"/>
    <col min="2546" max="2546" width="0" style="365" hidden="1" customWidth="1"/>
    <col min="2547" max="2547" width="14.42578125" style="365" customWidth="1"/>
    <col min="2548" max="2548" width="0" style="365" hidden="1" customWidth="1"/>
    <col min="2549" max="2549" width="17.42578125" style="365" customWidth="1"/>
    <col min="2550" max="2550" width="0" style="365" hidden="1" customWidth="1"/>
    <col min="2551" max="2551" width="14" style="365" customWidth="1"/>
    <col min="2552" max="2552" width="14.28515625" style="365" bestFit="1" customWidth="1"/>
    <col min="2553" max="2553" width="0" style="365" hidden="1" customWidth="1"/>
    <col min="2554" max="2554" width="15.5703125" style="365" customWidth="1"/>
    <col min="2555" max="2555" width="44.5703125" style="365" customWidth="1"/>
    <col min="2556" max="2556" width="14.28515625" style="365" bestFit="1" customWidth="1"/>
    <col min="2557" max="2557" width="0" style="365" hidden="1" customWidth="1"/>
    <col min="2558" max="2558" width="18.140625" style="365" customWidth="1"/>
    <col min="2559" max="2559" width="0" style="365" hidden="1" customWidth="1"/>
    <col min="2560" max="2560" width="14" style="365" customWidth="1"/>
    <col min="2561" max="2561" width="0" style="365" hidden="1" customWidth="1"/>
    <col min="2562" max="2562" width="20.85546875" style="365" customWidth="1"/>
    <col min="2563" max="2563" width="0" style="365" hidden="1" customWidth="1"/>
    <col min="2564" max="2564" width="13.28515625" style="365" customWidth="1"/>
    <col min="2565" max="2565" width="0" style="365" hidden="1" customWidth="1"/>
    <col min="2566" max="2566" width="15" style="365" customWidth="1"/>
    <col min="2567" max="2567" width="0" style="365" hidden="1" customWidth="1"/>
    <col min="2568" max="2568" width="13.28515625" style="365" customWidth="1"/>
    <col min="2569" max="2569" width="0" style="365" hidden="1" customWidth="1"/>
    <col min="2570" max="2570" width="20.140625" style="365" customWidth="1"/>
    <col min="2571" max="2571" width="14.42578125" style="365" bestFit="1" customWidth="1"/>
    <col min="2572" max="2572" width="14" style="365" bestFit="1" customWidth="1"/>
    <col min="2573" max="2573" width="12.28515625" style="365" bestFit="1" customWidth="1"/>
    <col min="2574" max="2598" width="9.140625" style="365" customWidth="1"/>
    <col min="2599" max="2793" width="8.85546875" style="365"/>
    <col min="2794" max="2794" width="44.5703125" style="365" customWidth="1"/>
    <col min="2795" max="2795" width="14.28515625" style="365" bestFit="1" customWidth="1"/>
    <col min="2796" max="2796" width="1.7109375" style="365" customWidth="1"/>
    <col min="2797" max="2797" width="14.85546875" style="365" customWidth="1"/>
    <col min="2798" max="2798" width="0" style="365" hidden="1" customWidth="1"/>
    <col min="2799" max="2799" width="17.42578125" style="365" customWidth="1"/>
    <col min="2800" max="2800" width="0" style="365" hidden="1" customWidth="1"/>
    <col min="2801" max="2801" width="12.85546875" style="365" customWidth="1"/>
    <col min="2802" max="2802" width="0" style="365" hidden="1" customWidth="1"/>
    <col min="2803" max="2803" width="14.42578125" style="365" customWidth="1"/>
    <col min="2804" max="2804" width="0" style="365" hidden="1" customWidth="1"/>
    <col min="2805" max="2805" width="17.42578125" style="365" customWidth="1"/>
    <col min="2806" max="2806" width="0" style="365" hidden="1" customWidth="1"/>
    <col min="2807" max="2807" width="14" style="365" customWidth="1"/>
    <col min="2808" max="2808" width="14.28515625" style="365" bestFit="1" customWidth="1"/>
    <col min="2809" max="2809" width="0" style="365" hidden="1" customWidth="1"/>
    <col min="2810" max="2810" width="15.5703125" style="365" customWidth="1"/>
    <col min="2811" max="2811" width="44.5703125" style="365" customWidth="1"/>
    <col min="2812" max="2812" width="14.28515625" style="365" bestFit="1" customWidth="1"/>
    <col min="2813" max="2813" width="0" style="365" hidden="1" customWidth="1"/>
    <col min="2814" max="2814" width="18.140625" style="365" customWidth="1"/>
    <col min="2815" max="2815" width="0" style="365" hidden="1" customWidth="1"/>
    <col min="2816" max="2816" width="14" style="365" customWidth="1"/>
    <col min="2817" max="2817" width="0" style="365" hidden="1" customWidth="1"/>
    <col min="2818" max="2818" width="20.85546875" style="365" customWidth="1"/>
    <col min="2819" max="2819" width="0" style="365" hidden="1" customWidth="1"/>
    <col min="2820" max="2820" width="13.28515625" style="365" customWidth="1"/>
    <col min="2821" max="2821" width="0" style="365" hidden="1" customWidth="1"/>
    <col min="2822" max="2822" width="15" style="365" customWidth="1"/>
    <col min="2823" max="2823" width="0" style="365" hidden="1" customWidth="1"/>
    <col min="2824" max="2824" width="13.28515625" style="365" customWidth="1"/>
    <col min="2825" max="2825" width="0" style="365" hidden="1" customWidth="1"/>
    <col min="2826" max="2826" width="20.140625" style="365" customWidth="1"/>
    <col min="2827" max="2827" width="14.42578125" style="365" bestFit="1" customWidth="1"/>
    <col min="2828" max="2828" width="14" style="365" bestFit="1" customWidth="1"/>
    <col min="2829" max="2829" width="12.28515625" style="365" bestFit="1" customWidth="1"/>
    <col min="2830" max="2854" width="9.140625" style="365" customWidth="1"/>
    <col min="2855" max="3049" width="8.85546875" style="365"/>
    <col min="3050" max="3050" width="44.5703125" style="365" customWidth="1"/>
    <col min="3051" max="3051" width="14.28515625" style="365" bestFit="1" customWidth="1"/>
    <col min="3052" max="3052" width="1.7109375" style="365" customWidth="1"/>
    <col min="3053" max="3053" width="14.85546875" style="365" customWidth="1"/>
    <col min="3054" max="3054" width="0" style="365" hidden="1" customWidth="1"/>
    <col min="3055" max="3055" width="17.42578125" style="365" customWidth="1"/>
    <col min="3056" max="3056" width="0" style="365" hidden="1" customWidth="1"/>
    <col min="3057" max="3057" width="12.85546875" style="365" customWidth="1"/>
    <col min="3058" max="3058" width="0" style="365" hidden="1" customWidth="1"/>
    <col min="3059" max="3059" width="14.42578125" style="365" customWidth="1"/>
    <col min="3060" max="3060" width="0" style="365" hidden="1" customWidth="1"/>
    <col min="3061" max="3061" width="17.42578125" style="365" customWidth="1"/>
    <col min="3062" max="3062" width="0" style="365" hidden="1" customWidth="1"/>
    <col min="3063" max="3063" width="14" style="365" customWidth="1"/>
    <col min="3064" max="3064" width="14.28515625" style="365" bestFit="1" customWidth="1"/>
    <col min="3065" max="3065" width="0" style="365" hidden="1" customWidth="1"/>
    <col min="3066" max="3066" width="15.5703125" style="365" customWidth="1"/>
    <col min="3067" max="3067" width="44.5703125" style="365" customWidth="1"/>
    <col min="3068" max="3068" width="14.28515625" style="365" bestFit="1" customWidth="1"/>
    <col min="3069" max="3069" width="0" style="365" hidden="1" customWidth="1"/>
    <col min="3070" max="3070" width="18.140625" style="365" customWidth="1"/>
    <col min="3071" max="3071" width="0" style="365" hidden="1" customWidth="1"/>
    <col min="3072" max="3072" width="14" style="365" customWidth="1"/>
    <col min="3073" max="3073" width="0" style="365" hidden="1" customWidth="1"/>
    <col min="3074" max="3074" width="20.85546875" style="365" customWidth="1"/>
    <col min="3075" max="3075" width="0" style="365" hidden="1" customWidth="1"/>
    <col min="3076" max="3076" width="13.28515625" style="365" customWidth="1"/>
    <col min="3077" max="3077" width="0" style="365" hidden="1" customWidth="1"/>
    <col min="3078" max="3078" width="15" style="365" customWidth="1"/>
    <col min="3079" max="3079" width="0" style="365" hidden="1" customWidth="1"/>
    <col min="3080" max="3080" width="13.28515625" style="365" customWidth="1"/>
    <col min="3081" max="3081" width="0" style="365" hidden="1" customWidth="1"/>
    <col min="3082" max="3082" width="20.140625" style="365" customWidth="1"/>
    <col min="3083" max="3083" width="14.42578125" style="365" bestFit="1" customWidth="1"/>
    <col min="3084" max="3084" width="14" style="365" bestFit="1" customWidth="1"/>
    <col min="3085" max="3085" width="12.28515625" style="365" bestFit="1" customWidth="1"/>
    <col min="3086" max="3110" width="9.140625" style="365" customWidth="1"/>
    <col min="3111" max="3305" width="8.85546875" style="365"/>
    <col min="3306" max="3306" width="44.5703125" style="365" customWidth="1"/>
    <col min="3307" max="3307" width="14.28515625" style="365" bestFit="1" customWidth="1"/>
    <col min="3308" max="3308" width="1.7109375" style="365" customWidth="1"/>
    <col min="3309" max="3309" width="14.85546875" style="365" customWidth="1"/>
    <col min="3310" max="3310" width="0" style="365" hidden="1" customWidth="1"/>
    <col min="3311" max="3311" width="17.42578125" style="365" customWidth="1"/>
    <col min="3312" max="3312" width="0" style="365" hidden="1" customWidth="1"/>
    <col min="3313" max="3313" width="12.85546875" style="365" customWidth="1"/>
    <col min="3314" max="3314" width="0" style="365" hidden="1" customWidth="1"/>
    <col min="3315" max="3315" width="14.42578125" style="365" customWidth="1"/>
    <col min="3316" max="3316" width="0" style="365" hidden="1" customWidth="1"/>
    <col min="3317" max="3317" width="17.42578125" style="365" customWidth="1"/>
    <col min="3318" max="3318" width="0" style="365" hidden="1" customWidth="1"/>
    <col min="3319" max="3319" width="14" style="365" customWidth="1"/>
    <col min="3320" max="3320" width="14.28515625" style="365" bestFit="1" customWidth="1"/>
    <col min="3321" max="3321" width="0" style="365" hidden="1" customWidth="1"/>
    <col min="3322" max="3322" width="15.5703125" style="365" customWidth="1"/>
    <col min="3323" max="3323" width="44.5703125" style="365" customWidth="1"/>
    <col min="3324" max="3324" width="14.28515625" style="365" bestFit="1" customWidth="1"/>
    <col min="3325" max="3325" width="0" style="365" hidden="1" customWidth="1"/>
    <col min="3326" max="3326" width="18.140625" style="365" customWidth="1"/>
    <col min="3327" max="3327" width="0" style="365" hidden="1" customWidth="1"/>
    <col min="3328" max="3328" width="14" style="365" customWidth="1"/>
    <col min="3329" max="3329" width="0" style="365" hidden="1" customWidth="1"/>
    <col min="3330" max="3330" width="20.85546875" style="365" customWidth="1"/>
    <col min="3331" max="3331" width="0" style="365" hidden="1" customWidth="1"/>
    <col min="3332" max="3332" width="13.28515625" style="365" customWidth="1"/>
    <col min="3333" max="3333" width="0" style="365" hidden="1" customWidth="1"/>
    <col min="3334" max="3334" width="15" style="365" customWidth="1"/>
    <col min="3335" max="3335" width="0" style="365" hidden="1" customWidth="1"/>
    <col min="3336" max="3336" width="13.28515625" style="365" customWidth="1"/>
    <col min="3337" max="3337" width="0" style="365" hidden="1" customWidth="1"/>
    <col min="3338" max="3338" width="20.140625" style="365" customWidth="1"/>
    <col min="3339" max="3339" width="14.42578125" style="365" bestFit="1" customWidth="1"/>
    <col min="3340" max="3340" width="14" style="365" bestFit="1" customWidth="1"/>
    <col min="3341" max="3341" width="12.28515625" style="365" bestFit="1" customWidth="1"/>
    <col min="3342" max="3366" width="9.140625" style="365" customWidth="1"/>
    <col min="3367" max="3561" width="8.85546875" style="365"/>
    <col min="3562" max="3562" width="44.5703125" style="365" customWidth="1"/>
    <col min="3563" max="3563" width="14.28515625" style="365" bestFit="1" customWidth="1"/>
    <col min="3564" max="3564" width="1.7109375" style="365" customWidth="1"/>
    <col min="3565" max="3565" width="14.85546875" style="365" customWidth="1"/>
    <col min="3566" max="3566" width="0" style="365" hidden="1" customWidth="1"/>
    <col min="3567" max="3567" width="17.42578125" style="365" customWidth="1"/>
    <col min="3568" max="3568" width="0" style="365" hidden="1" customWidth="1"/>
    <col min="3569" max="3569" width="12.85546875" style="365" customWidth="1"/>
    <col min="3570" max="3570" width="0" style="365" hidden="1" customWidth="1"/>
    <col min="3571" max="3571" width="14.42578125" style="365" customWidth="1"/>
    <col min="3572" max="3572" width="0" style="365" hidden="1" customWidth="1"/>
    <col min="3573" max="3573" width="17.42578125" style="365" customWidth="1"/>
    <col min="3574" max="3574" width="0" style="365" hidden="1" customWidth="1"/>
    <col min="3575" max="3575" width="14" style="365" customWidth="1"/>
    <col min="3576" max="3576" width="14.28515625" style="365" bestFit="1" customWidth="1"/>
    <col min="3577" max="3577" width="0" style="365" hidden="1" customWidth="1"/>
    <col min="3578" max="3578" width="15.5703125" style="365" customWidth="1"/>
    <col min="3579" max="3579" width="44.5703125" style="365" customWidth="1"/>
    <col min="3580" max="3580" width="14.28515625" style="365" bestFit="1" customWidth="1"/>
    <col min="3581" max="3581" width="0" style="365" hidden="1" customWidth="1"/>
    <col min="3582" max="3582" width="18.140625" style="365" customWidth="1"/>
    <col min="3583" max="3583" width="0" style="365" hidden="1" customWidth="1"/>
    <col min="3584" max="3584" width="14" style="365" customWidth="1"/>
    <col min="3585" max="3585" width="0" style="365" hidden="1" customWidth="1"/>
    <col min="3586" max="3586" width="20.85546875" style="365" customWidth="1"/>
    <col min="3587" max="3587" width="0" style="365" hidden="1" customWidth="1"/>
    <col min="3588" max="3588" width="13.28515625" style="365" customWidth="1"/>
    <col min="3589" max="3589" width="0" style="365" hidden="1" customWidth="1"/>
    <col min="3590" max="3590" width="15" style="365" customWidth="1"/>
    <col min="3591" max="3591" width="0" style="365" hidden="1" customWidth="1"/>
    <col min="3592" max="3592" width="13.28515625" style="365" customWidth="1"/>
    <col min="3593" max="3593" width="0" style="365" hidden="1" customWidth="1"/>
    <col min="3594" max="3594" width="20.140625" style="365" customWidth="1"/>
    <col min="3595" max="3595" width="14.42578125" style="365" bestFit="1" customWidth="1"/>
    <col min="3596" max="3596" width="14" style="365" bestFit="1" customWidth="1"/>
    <col min="3597" max="3597" width="12.28515625" style="365" bestFit="1" customWidth="1"/>
    <col min="3598" max="3622" width="9.140625" style="365" customWidth="1"/>
    <col min="3623" max="3817" width="8.85546875" style="365"/>
    <col min="3818" max="3818" width="44.5703125" style="365" customWidth="1"/>
    <col min="3819" max="3819" width="14.28515625" style="365" bestFit="1" customWidth="1"/>
    <col min="3820" max="3820" width="1.7109375" style="365" customWidth="1"/>
    <col min="3821" max="3821" width="14.85546875" style="365" customWidth="1"/>
    <col min="3822" max="3822" width="0" style="365" hidden="1" customWidth="1"/>
    <col min="3823" max="3823" width="17.42578125" style="365" customWidth="1"/>
    <col min="3824" max="3824" width="0" style="365" hidden="1" customWidth="1"/>
    <col min="3825" max="3825" width="12.85546875" style="365" customWidth="1"/>
    <col min="3826" max="3826" width="0" style="365" hidden="1" customWidth="1"/>
    <col min="3827" max="3827" width="14.42578125" style="365" customWidth="1"/>
    <col min="3828" max="3828" width="0" style="365" hidden="1" customWidth="1"/>
    <col min="3829" max="3829" width="17.42578125" style="365" customWidth="1"/>
    <col min="3830" max="3830" width="0" style="365" hidden="1" customWidth="1"/>
    <col min="3831" max="3831" width="14" style="365" customWidth="1"/>
    <col min="3832" max="3832" width="14.28515625" style="365" bestFit="1" customWidth="1"/>
    <col min="3833" max="3833" width="0" style="365" hidden="1" customWidth="1"/>
    <col min="3834" max="3834" width="15.5703125" style="365" customWidth="1"/>
    <col min="3835" max="3835" width="44.5703125" style="365" customWidth="1"/>
    <col min="3836" max="3836" width="14.28515625" style="365" bestFit="1" customWidth="1"/>
    <col min="3837" max="3837" width="0" style="365" hidden="1" customWidth="1"/>
    <col min="3838" max="3838" width="18.140625" style="365" customWidth="1"/>
    <col min="3839" max="3839" width="0" style="365" hidden="1" customWidth="1"/>
    <col min="3840" max="3840" width="14" style="365" customWidth="1"/>
    <col min="3841" max="3841" width="0" style="365" hidden="1" customWidth="1"/>
    <col min="3842" max="3842" width="20.85546875" style="365" customWidth="1"/>
    <col min="3843" max="3843" width="0" style="365" hidden="1" customWidth="1"/>
    <col min="3844" max="3844" width="13.28515625" style="365" customWidth="1"/>
    <col min="3845" max="3845" width="0" style="365" hidden="1" customWidth="1"/>
    <col min="3846" max="3846" width="15" style="365" customWidth="1"/>
    <col min="3847" max="3847" width="0" style="365" hidden="1" customWidth="1"/>
    <col min="3848" max="3848" width="13.28515625" style="365" customWidth="1"/>
    <col min="3849" max="3849" width="0" style="365" hidden="1" customWidth="1"/>
    <col min="3850" max="3850" width="20.140625" style="365" customWidth="1"/>
    <col min="3851" max="3851" width="14.42578125" style="365" bestFit="1" customWidth="1"/>
    <col min="3852" max="3852" width="14" style="365" bestFit="1" customWidth="1"/>
    <col min="3853" max="3853" width="12.28515625" style="365" bestFit="1" customWidth="1"/>
    <col min="3854" max="3878" width="9.140625" style="365" customWidth="1"/>
    <col min="3879" max="4073" width="8.85546875" style="365"/>
    <col min="4074" max="4074" width="44.5703125" style="365" customWidth="1"/>
    <col min="4075" max="4075" width="14.28515625" style="365" bestFit="1" customWidth="1"/>
    <col min="4076" max="4076" width="1.7109375" style="365" customWidth="1"/>
    <col min="4077" max="4077" width="14.85546875" style="365" customWidth="1"/>
    <col min="4078" max="4078" width="0" style="365" hidden="1" customWidth="1"/>
    <col min="4079" max="4079" width="17.42578125" style="365" customWidth="1"/>
    <col min="4080" max="4080" width="0" style="365" hidden="1" customWidth="1"/>
    <col min="4081" max="4081" width="12.85546875" style="365" customWidth="1"/>
    <col min="4082" max="4082" width="0" style="365" hidden="1" customWidth="1"/>
    <col min="4083" max="4083" width="14.42578125" style="365" customWidth="1"/>
    <col min="4084" max="4084" width="0" style="365" hidden="1" customWidth="1"/>
    <col min="4085" max="4085" width="17.42578125" style="365" customWidth="1"/>
    <col min="4086" max="4086" width="0" style="365" hidden="1" customWidth="1"/>
    <col min="4087" max="4087" width="14" style="365" customWidth="1"/>
    <col min="4088" max="4088" width="14.28515625" style="365" bestFit="1" customWidth="1"/>
    <col min="4089" max="4089" width="0" style="365" hidden="1" customWidth="1"/>
    <col min="4090" max="4090" width="15.5703125" style="365" customWidth="1"/>
    <col min="4091" max="4091" width="44.5703125" style="365" customWidth="1"/>
    <col min="4092" max="4092" width="14.28515625" style="365" bestFit="1" customWidth="1"/>
    <col min="4093" max="4093" width="0" style="365" hidden="1" customWidth="1"/>
    <col min="4094" max="4094" width="18.140625" style="365" customWidth="1"/>
    <col min="4095" max="4095" width="0" style="365" hidden="1" customWidth="1"/>
    <col min="4096" max="4096" width="14" style="365" customWidth="1"/>
    <col min="4097" max="4097" width="0" style="365" hidden="1" customWidth="1"/>
    <col min="4098" max="4098" width="20.85546875" style="365" customWidth="1"/>
    <col min="4099" max="4099" width="0" style="365" hidden="1" customWidth="1"/>
    <col min="4100" max="4100" width="13.28515625" style="365" customWidth="1"/>
    <col min="4101" max="4101" width="0" style="365" hidden="1" customWidth="1"/>
    <col min="4102" max="4102" width="15" style="365" customWidth="1"/>
    <col min="4103" max="4103" width="0" style="365" hidden="1" customWidth="1"/>
    <col min="4104" max="4104" width="13.28515625" style="365" customWidth="1"/>
    <col min="4105" max="4105" width="0" style="365" hidden="1" customWidth="1"/>
    <col min="4106" max="4106" width="20.140625" style="365" customWidth="1"/>
    <col min="4107" max="4107" width="14.42578125" style="365" bestFit="1" customWidth="1"/>
    <col min="4108" max="4108" width="14" style="365" bestFit="1" customWidth="1"/>
    <col min="4109" max="4109" width="12.28515625" style="365" bestFit="1" customWidth="1"/>
    <col min="4110" max="4134" width="9.140625" style="365" customWidth="1"/>
    <col min="4135" max="4329" width="8.85546875" style="365"/>
    <col min="4330" max="4330" width="44.5703125" style="365" customWidth="1"/>
    <col min="4331" max="4331" width="14.28515625" style="365" bestFit="1" customWidth="1"/>
    <col min="4332" max="4332" width="1.7109375" style="365" customWidth="1"/>
    <col min="4333" max="4333" width="14.85546875" style="365" customWidth="1"/>
    <col min="4334" max="4334" width="0" style="365" hidden="1" customWidth="1"/>
    <col min="4335" max="4335" width="17.42578125" style="365" customWidth="1"/>
    <col min="4336" max="4336" width="0" style="365" hidden="1" customWidth="1"/>
    <col min="4337" max="4337" width="12.85546875" style="365" customWidth="1"/>
    <col min="4338" max="4338" width="0" style="365" hidden="1" customWidth="1"/>
    <col min="4339" max="4339" width="14.42578125" style="365" customWidth="1"/>
    <col min="4340" max="4340" width="0" style="365" hidden="1" customWidth="1"/>
    <col min="4341" max="4341" width="17.42578125" style="365" customWidth="1"/>
    <col min="4342" max="4342" width="0" style="365" hidden="1" customWidth="1"/>
    <col min="4343" max="4343" width="14" style="365" customWidth="1"/>
    <col min="4344" max="4344" width="14.28515625" style="365" bestFit="1" customWidth="1"/>
    <col min="4345" max="4345" width="0" style="365" hidden="1" customWidth="1"/>
    <col min="4346" max="4346" width="15.5703125" style="365" customWidth="1"/>
    <col min="4347" max="4347" width="44.5703125" style="365" customWidth="1"/>
    <col min="4348" max="4348" width="14.28515625" style="365" bestFit="1" customWidth="1"/>
    <col min="4349" max="4349" width="0" style="365" hidden="1" customWidth="1"/>
    <col min="4350" max="4350" width="18.140625" style="365" customWidth="1"/>
    <col min="4351" max="4351" width="0" style="365" hidden="1" customWidth="1"/>
    <col min="4352" max="4352" width="14" style="365" customWidth="1"/>
    <col min="4353" max="4353" width="0" style="365" hidden="1" customWidth="1"/>
    <col min="4354" max="4354" width="20.85546875" style="365" customWidth="1"/>
    <col min="4355" max="4355" width="0" style="365" hidden="1" customWidth="1"/>
    <col min="4356" max="4356" width="13.28515625" style="365" customWidth="1"/>
    <col min="4357" max="4357" width="0" style="365" hidden="1" customWidth="1"/>
    <col min="4358" max="4358" width="15" style="365" customWidth="1"/>
    <col min="4359" max="4359" width="0" style="365" hidden="1" customWidth="1"/>
    <col min="4360" max="4360" width="13.28515625" style="365" customWidth="1"/>
    <col min="4361" max="4361" width="0" style="365" hidden="1" customWidth="1"/>
    <col min="4362" max="4362" width="20.140625" style="365" customWidth="1"/>
    <col min="4363" max="4363" width="14.42578125" style="365" bestFit="1" customWidth="1"/>
    <col min="4364" max="4364" width="14" style="365" bestFit="1" customWidth="1"/>
    <col min="4365" max="4365" width="12.28515625" style="365" bestFit="1" customWidth="1"/>
    <col min="4366" max="4390" width="9.140625" style="365" customWidth="1"/>
    <col min="4391" max="4585" width="8.85546875" style="365"/>
    <col min="4586" max="4586" width="44.5703125" style="365" customWidth="1"/>
    <col min="4587" max="4587" width="14.28515625" style="365" bestFit="1" customWidth="1"/>
    <col min="4588" max="4588" width="1.7109375" style="365" customWidth="1"/>
    <col min="4589" max="4589" width="14.85546875" style="365" customWidth="1"/>
    <col min="4590" max="4590" width="0" style="365" hidden="1" customWidth="1"/>
    <col min="4591" max="4591" width="17.42578125" style="365" customWidth="1"/>
    <col min="4592" max="4592" width="0" style="365" hidden="1" customWidth="1"/>
    <col min="4593" max="4593" width="12.85546875" style="365" customWidth="1"/>
    <col min="4594" max="4594" width="0" style="365" hidden="1" customWidth="1"/>
    <col min="4595" max="4595" width="14.42578125" style="365" customWidth="1"/>
    <col min="4596" max="4596" width="0" style="365" hidden="1" customWidth="1"/>
    <col min="4597" max="4597" width="17.42578125" style="365" customWidth="1"/>
    <col min="4598" max="4598" width="0" style="365" hidden="1" customWidth="1"/>
    <col min="4599" max="4599" width="14" style="365" customWidth="1"/>
    <col min="4600" max="4600" width="14.28515625" style="365" bestFit="1" customWidth="1"/>
    <col min="4601" max="4601" width="0" style="365" hidden="1" customWidth="1"/>
    <col min="4602" max="4602" width="15.5703125" style="365" customWidth="1"/>
    <col min="4603" max="4603" width="44.5703125" style="365" customWidth="1"/>
    <col min="4604" max="4604" width="14.28515625" style="365" bestFit="1" customWidth="1"/>
    <col min="4605" max="4605" width="0" style="365" hidden="1" customWidth="1"/>
    <col min="4606" max="4606" width="18.140625" style="365" customWidth="1"/>
    <col min="4607" max="4607" width="0" style="365" hidden="1" customWidth="1"/>
    <col min="4608" max="4608" width="14" style="365" customWidth="1"/>
    <col min="4609" max="4609" width="0" style="365" hidden="1" customWidth="1"/>
    <col min="4610" max="4610" width="20.85546875" style="365" customWidth="1"/>
    <col min="4611" max="4611" width="0" style="365" hidden="1" customWidth="1"/>
    <col min="4612" max="4612" width="13.28515625" style="365" customWidth="1"/>
    <col min="4613" max="4613" width="0" style="365" hidden="1" customWidth="1"/>
    <col min="4614" max="4614" width="15" style="365" customWidth="1"/>
    <col min="4615" max="4615" width="0" style="365" hidden="1" customWidth="1"/>
    <col min="4616" max="4616" width="13.28515625" style="365" customWidth="1"/>
    <col min="4617" max="4617" width="0" style="365" hidden="1" customWidth="1"/>
    <col min="4618" max="4618" width="20.140625" style="365" customWidth="1"/>
    <col min="4619" max="4619" width="14.42578125" style="365" bestFit="1" customWidth="1"/>
    <col min="4620" max="4620" width="14" style="365" bestFit="1" customWidth="1"/>
    <col min="4621" max="4621" width="12.28515625" style="365" bestFit="1" customWidth="1"/>
    <col min="4622" max="4646" width="9.140625" style="365" customWidth="1"/>
    <col min="4647" max="4841" width="8.85546875" style="365"/>
    <col min="4842" max="4842" width="44.5703125" style="365" customWidth="1"/>
    <col min="4843" max="4843" width="14.28515625" style="365" bestFit="1" customWidth="1"/>
    <col min="4844" max="4844" width="1.7109375" style="365" customWidth="1"/>
    <col min="4845" max="4845" width="14.85546875" style="365" customWidth="1"/>
    <col min="4846" max="4846" width="0" style="365" hidden="1" customWidth="1"/>
    <col min="4847" max="4847" width="17.42578125" style="365" customWidth="1"/>
    <col min="4848" max="4848" width="0" style="365" hidden="1" customWidth="1"/>
    <col min="4849" max="4849" width="12.85546875" style="365" customWidth="1"/>
    <col min="4850" max="4850" width="0" style="365" hidden="1" customWidth="1"/>
    <col min="4851" max="4851" width="14.42578125" style="365" customWidth="1"/>
    <col min="4852" max="4852" width="0" style="365" hidden="1" customWidth="1"/>
    <col min="4853" max="4853" width="17.42578125" style="365" customWidth="1"/>
    <col min="4854" max="4854" width="0" style="365" hidden="1" customWidth="1"/>
    <col min="4855" max="4855" width="14" style="365" customWidth="1"/>
    <col min="4856" max="4856" width="14.28515625" style="365" bestFit="1" customWidth="1"/>
    <col min="4857" max="4857" width="0" style="365" hidden="1" customWidth="1"/>
    <col min="4858" max="4858" width="15.5703125" style="365" customWidth="1"/>
    <col min="4859" max="4859" width="44.5703125" style="365" customWidth="1"/>
    <col min="4860" max="4860" width="14.28515625" style="365" bestFit="1" customWidth="1"/>
    <col min="4861" max="4861" width="0" style="365" hidden="1" customWidth="1"/>
    <col min="4862" max="4862" width="18.140625" style="365" customWidth="1"/>
    <col min="4863" max="4863" width="0" style="365" hidden="1" customWidth="1"/>
    <col min="4864" max="4864" width="14" style="365" customWidth="1"/>
    <col min="4865" max="4865" width="0" style="365" hidden="1" customWidth="1"/>
    <col min="4866" max="4866" width="20.85546875" style="365" customWidth="1"/>
    <col min="4867" max="4867" width="0" style="365" hidden="1" customWidth="1"/>
    <col min="4868" max="4868" width="13.28515625" style="365" customWidth="1"/>
    <col min="4869" max="4869" width="0" style="365" hidden="1" customWidth="1"/>
    <col min="4870" max="4870" width="15" style="365" customWidth="1"/>
    <col min="4871" max="4871" width="0" style="365" hidden="1" customWidth="1"/>
    <col min="4872" max="4872" width="13.28515625" style="365" customWidth="1"/>
    <col min="4873" max="4873" width="0" style="365" hidden="1" customWidth="1"/>
    <col min="4874" max="4874" width="20.140625" style="365" customWidth="1"/>
    <col min="4875" max="4875" width="14.42578125" style="365" bestFit="1" customWidth="1"/>
    <col min="4876" max="4876" width="14" style="365" bestFit="1" customWidth="1"/>
    <col min="4877" max="4877" width="12.28515625" style="365" bestFit="1" customWidth="1"/>
    <col min="4878" max="4902" width="9.140625" style="365" customWidth="1"/>
    <col min="4903" max="5097" width="8.85546875" style="365"/>
    <col min="5098" max="5098" width="44.5703125" style="365" customWidth="1"/>
    <col min="5099" max="5099" width="14.28515625" style="365" bestFit="1" customWidth="1"/>
    <col min="5100" max="5100" width="1.7109375" style="365" customWidth="1"/>
    <col min="5101" max="5101" width="14.85546875" style="365" customWidth="1"/>
    <col min="5102" max="5102" width="0" style="365" hidden="1" customWidth="1"/>
    <col min="5103" max="5103" width="17.42578125" style="365" customWidth="1"/>
    <col min="5104" max="5104" width="0" style="365" hidden="1" customWidth="1"/>
    <col min="5105" max="5105" width="12.85546875" style="365" customWidth="1"/>
    <col min="5106" max="5106" width="0" style="365" hidden="1" customWidth="1"/>
    <col min="5107" max="5107" width="14.42578125" style="365" customWidth="1"/>
    <col min="5108" max="5108" width="0" style="365" hidden="1" customWidth="1"/>
    <col min="5109" max="5109" width="17.42578125" style="365" customWidth="1"/>
    <col min="5110" max="5110" width="0" style="365" hidden="1" customWidth="1"/>
    <col min="5111" max="5111" width="14" style="365" customWidth="1"/>
    <col min="5112" max="5112" width="14.28515625" style="365" bestFit="1" customWidth="1"/>
    <col min="5113" max="5113" width="0" style="365" hidden="1" customWidth="1"/>
    <col min="5114" max="5114" width="15.5703125" style="365" customWidth="1"/>
    <col min="5115" max="5115" width="44.5703125" style="365" customWidth="1"/>
    <col min="5116" max="5116" width="14.28515625" style="365" bestFit="1" customWidth="1"/>
    <col min="5117" max="5117" width="0" style="365" hidden="1" customWidth="1"/>
    <col min="5118" max="5118" width="18.140625" style="365" customWidth="1"/>
    <col min="5119" max="5119" width="0" style="365" hidden="1" customWidth="1"/>
    <col min="5120" max="5120" width="14" style="365" customWidth="1"/>
    <col min="5121" max="5121" width="0" style="365" hidden="1" customWidth="1"/>
    <col min="5122" max="5122" width="20.85546875" style="365" customWidth="1"/>
    <col min="5123" max="5123" width="0" style="365" hidden="1" customWidth="1"/>
    <col min="5124" max="5124" width="13.28515625" style="365" customWidth="1"/>
    <col min="5125" max="5125" width="0" style="365" hidden="1" customWidth="1"/>
    <col min="5126" max="5126" width="15" style="365" customWidth="1"/>
    <col min="5127" max="5127" width="0" style="365" hidden="1" customWidth="1"/>
    <col min="5128" max="5128" width="13.28515625" style="365" customWidth="1"/>
    <col min="5129" max="5129" width="0" style="365" hidden="1" customWidth="1"/>
    <col min="5130" max="5130" width="20.140625" style="365" customWidth="1"/>
    <col min="5131" max="5131" width="14.42578125" style="365" bestFit="1" customWidth="1"/>
    <col min="5132" max="5132" width="14" style="365" bestFit="1" customWidth="1"/>
    <col min="5133" max="5133" width="12.28515625" style="365" bestFit="1" customWidth="1"/>
    <col min="5134" max="5158" width="9.140625" style="365" customWidth="1"/>
    <col min="5159" max="5353" width="8.85546875" style="365"/>
    <col min="5354" max="5354" width="44.5703125" style="365" customWidth="1"/>
    <col min="5355" max="5355" width="14.28515625" style="365" bestFit="1" customWidth="1"/>
    <col min="5356" max="5356" width="1.7109375" style="365" customWidth="1"/>
    <col min="5357" max="5357" width="14.85546875" style="365" customWidth="1"/>
    <col min="5358" max="5358" width="0" style="365" hidden="1" customWidth="1"/>
    <col min="5359" max="5359" width="17.42578125" style="365" customWidth="1"/>
    <col min="5360" max="5360" width="0" style="365" hidden="1" customWidth="1"/>
    <col min="5361" max="5361" width="12.85546875" style="365" customWidth="1"/>
    <col min="5362" max="5362" width="0" style="365" hidden="1" customWidth="1"/>
    <col min="5363" max="5363" width="14.42578125" style="365" customWidth="1"/>
    <col min="5364" max="5364" width="0" style="365" hidden="1" customWidth="1"/>
    <col min="5365" max="5365" width="17.42578125" style="365" customWidth="1"/>
    <col min="5366" max="5366" width="0" style="365" hidden="1" customWidth="1"/>
    <col min="5367" max="5367" width="14" style="365" customWidth="1"/>
    <col min="5368" max="5368" width="14.28515625" style="365" bestFit="1" customWidth="1"/>
    <col min="5369" max="5369" width="0" style="365" hidden="1" customWidth="1"/>
    <col min="5370" max="5370" width="15.5703125" style="365" customWidth="1"/>
    <col min="5371" max="5371" width="44.5703125" style="365" customWidth="1"/>
    <col min="5372" max="5372" width="14.28515625" style="365" bestFit="1" customWidth="1"/>
    <col min="5373" max="5373" width="0" style="365" hidden="1" customWidth="1"/>
    <col min="5374" max="5374" width="18.140625" style="365" customWidth="1"/>
    <col min="5375" max="5375" width="0" style="365" hidden="1" customWidth="1"/>
    <col min="5376" max="5376" width="14" style="365" customWidth="1"/>
    <col min="5377" max="5377" width="0" style="365" hidden="1" customWidth="1"/>
    <col min="5378" max="5378" width="20.85546875" style="365" customWidth="1"/>
    <col min="5379" max="5379" width="0" style="365" hidden="1" customWidth="1"/>
    <col min="5380" max="5380" width="13.28515625" style="365" customWidth="1"/>
    <col min="5381" max="5381" width="0" style="365" hidden="1" customWidth="1"/>
    <col min="5382" max="5382" width="15" style="365" customWidth="1"/>
    <col min="5383" max="5383" width="0" style="365" hidden="1" customWidth="1"/>
    <col min="5384" max="5384" width="13.28515625" style="365" customWidth="1"/>
    <col min="5385" max="5385" width="0" style="365" hidden="1" customWidth="1"/>
    <col min="5386" max="5386" width="20.140625" style="365" customWidth="1"/>
    <col min="5387" max="5387" width="14.42578125" style="365" bestFit="1" customWidth="1"/>
    <col min="5388" max="5388" width="14" style="365" bestFit="1" customWidth="1"/>
    <col min="5389" max="5389" width="12.28515625" style="365" bestFit="1" customWidth="1"/>
    <col min="5390" max="5414" width="9.140625" style="365" customWidth="1"/>
    <col min="5415" max="5609" width="8.85546875" style="365"/>
    <col min="5610" max="5610" width="44.5703125" style="365" customWidth="1"/>
    <col min="5611" max="5611" width="14.28515625" style="365" bestFit="1" customWidth="1"/>
    <col min="5612" max="5612" width="1.7109375" style="365" customWidth="1"/>
    <col min="5613" max="5613" width="14.85546875" style="365" customWidth="1"/>
    <col min="5614" max="5614" width="0" style="365" hidden="1" customWidth="1"/>
    <col min="5615" max="5615" width="17.42578125" style="365" customWidth="1"/>
    <col min="5616" max="5616" width="0" style="365" hidden="1" customWidth="1"/>
    <col min="5617" max="5617" width="12.85546875" style="365" customWidth="1"/>
    <col min="5618" max="5618" width="0" style="365" hidden="1" customWidth="1"/>
    <col min="5619" max="5619" width="14.42578125" style="365" customWidth="1"/>
    <col min="5620" max="5620" width="0" style="365" hidden="1" customWidth="1"/>
    <col min="5621" max="5621" width="17.42578125" style="365" customWidth="1"/>
    <col min="5622" max="5622" width="0" style="365" hidden="1" customWidth="1"/>
    <col min="5623" max="5623" width="14" style="365" customWidth="1"/>
    <col min="5624" max="5624" width="14.28515625" style="365" bestFit="1" customWidth="1"/>
    <col min="5625" max="5625" width="0" style="365" hidden="1" customWidth="1"/>
    <col min="5626" max="5626" width="15.5703125" style="365" customWidth="1"/>
    <col min="5627" max="5627" width="44.5703125" style="365" customWidth="1"/>
    <col min="5628" max="5628" width="14.28515625" style="365" bestFit="1" customWidth="1"/>
    <col min="5629" max="5629" width="0" style="365" hidden="1" customWidth="1"/>
    <col min="5630" max="5630" width="18.140625" style="365" customWidth="1"/>
    <col min="5631" max="5631" width="0" style="365" hidden="1" customWidth="1"/>
    <col min="5632" max="5632" width="14" style="365" customWidth="1"/>
    <col min="5633" max="5633" width="0" style="365" hidden="1" customWidth="1"/>
    <col min="5634" max="5634" width="20.85546875" style="365" customWidth="1"/>
    <col min="5635" max="5635" width="0" style="365" hidden="1" customWidth="1"/>
    <col min="5636" max="5636" width="13.28515625" style="365" customWidth="1"/>
    <col min="5637" max="5637" width="0" style="365" hidden="1" customWidth="1"/>
    <col min="5638" max="5638" width="15" style="365" customWidth="1"/>
    <col min="5639" max="5639" width="0" style="365" hidden="1" customWidth="1"/>
    <col min="5640" max="5640" width="13.28515625" style="365" customWidth="1"/>
    <col min="5641" max="5641" width="0" style="365" hidden="1" customWidth="1"/>
    <col min="5642" max="5642" width="20.140625" style="365" customWidth="1"/>
    <col min="5643" max="5643" width="14.42578125" style="365" bestFit="1" customWidth="1"/>
    <col min="5644" max="5644" width="14" style="365" bestFit="1" customWidth="1"/>
    <col min="5645" max="5645" width="12.28515625" style="365" bestFit="1" customWidth="1"/>
    <col min="5646" max="5670" width="9.140625" style="365" customWidth="1"/>
    <col min="5671" max="5865" width="8.85546875" style="365"/>
    <col min="5866" max="5866" width="44.5703125" style="365" customWidth="1"/>
    <col min="5867" max="5867" width="14.28515625" style="365" bestFit="1" customWidth="1"/>
    <col min="5868" max="5868" width="1.7109375" style="365" customWidth="1"/>
    <col min="5869" max="5869" width="14.85546875" style="365" customWidth="1"/>
    <col min="5870" max="5870" width="0" style="365" hidden="1" customWidth="1"/>
    <col min="5871" max="5871" width="17.42578125" style="365" customWidth="1"/>
    <col min="5872" max="5872" width="0" style="365" hidden="1" customWidth="1"/>
    <col min="5873" max="5873" width="12.85546875" style="365" customWidth="1"/>
    <col min="5874" max="5874" width="0" style="365" hidden="1" customWidth="1"/>
    <col min="5875" max="5875" width="14.42578125" style="365" customWidth="1"/>
    <col min="5876" max="5876" width="0" style="365" hidden="1" customWidth="1"/>
    <col min="5877" max="5877" width="17.42578125" style="365" customWidth="1"/>
    <col min="5878" max="5878" width="0" style="365" hidden="1" customWidth="1"/>
    <col min="5879" max="5879" width="14" style="365" customWidth="1"/>
    <col min="5880" max="5880" width="14.28515625" style="365" bestFit="1" customWidth="1"/>
    <col min="5881" max="5881" width="0" style="365" hidden="1" customWidth="1"/>
    <col min="5882" max="5882" width="15.5703125" style="365" customWidth="1"/>
    <col min="5883" max="5883" width="44.5703125" style="365" customWidth="1"/>
    <col min="5884" max="5884" width="14.28515625" style="365" bestFit="1" customWidth="1"/>
    <col min="5885" max="5885" width="0" style="365" hidden="1" customWidth="1"/>
    <col min="5886" max="5886" width="18.140625" style="365" customWidth="1"/>
    <col min="5887" max="5887" width="0" style="365" hidden="1" customWidth="1"/>
    <col min="5888" max="5888" width="14" style="365" customWidth="1"/>
    <col min="5889" max="5889" width="0" style="365" hidden="1" customWidth="1"/>
    <col min="5890" max="5890" width="20.85546875" style="365" customWidth="1"/>
    <col min="5891" max="5891" width="0" style="365" hidden="1" customWidth="1"/>
    <col min="5892" max="5892" width="13.28515625" style="365" customWidth="1"/>
    <col min="5893" max="5893" width="0" style="365" hidden="1" customWidth="1"/>
    <col min="5894" max="5894" width="15" style="365" customWidth="1"/>
    <col min="5895" max="5895" width="0" style="365" hidden="1" customWidth="1"/>
    <col min="5896" max="5896" width="13.28515625" style="365" customWidth="1"/>
    <col min="5897" max="5897" width="0" style="365" hidden="1" customWidth="1"/>
    <col min="5898" max="5898" width="20.140625" style="365" customWidth="1"/>
    <col min="5899" max="5899" width="14.42578125" style="365" bestFit="1" customWidth="1"/>
    <col min="5900" max="5900" width="14" style="365" bestFit="1" customWidth="1"/>
    <col min="5901" max="5901" width="12.28515625" style="365" bestFit="1" customWidth="1"/>
    <col min="5902" max="5926" width="9.140625" style="365" customWidth="1"/>
    <col min="5927" max="6121" width="8.85546875" style="365"/>
    <col min="6122" max="6122" width="44.5703125" style="365" customWidth="1"/>
    <col min="6123" max="6123" width="14.28515625" style="365" bestFit="1" customWidth="1"/>
    <col min="6124" max="6124" width="1.7109375" style="365" customWidth="1"/>
    <col min="6125" max="6125" width="14.85546875" style="365" customWidth="1"/>
    <col min="6126" max="6126" width="0" style="365" hidden="1" customWidth="1"/>
    <col min="6127" max="6127" width="17.42578125" style="365" customWidth="1"/>
    <col min="6128" max="6128" width="0" style="365" hidden="1" customWidth="1"/>
    <col min="6129" max="6129" width="12.85546875" style="365" customWidth="1"/>
    <col min="6130" max="6130" width="0" style="365" hidden="1" customWidth="1"/>
    <col min="6131" max="6131" width="14.42578125" style="365" customWidth="1"/>
    <col min="6132" max="6132" width="0" style="365" hidden="1" customWidth="1"/>
    <col min="6133" max="6133" width="17.42578125" style="365" customWidth="1"/>
    <col min="6134" max="6134" width="0" style="365" hidden="1" customWidth="1"/>
    <col min="6135" max="6135" width="14" style="365" customWidth="1"/>
    <col min="6136" max="6136" width="14.28515625" style="365" bestFit="1" customWidth="1"/>
    <col min="6137" max="6137" width="0" style="365" hidden="1" customWidth="1"/>
    <col min="6138" max="6138" width="15.5703125" style="365" customWidth="1"/>
    <col min="6139" max="6139" width="44.5703125" style="365" customWidth="1"/>
    <col min="6140" max="6140" width="14.28515625" style="365" bestFit="1" customWidth="1"/>
    <col min="6141" max="6141" width="0" style="365" hidden="1" customWidth="1"/>
    <col min="6142" max="6142" width="18.140625" style="365" customWidth="1"/>
    <col min="6143" max="6143" width="0" style="365" hidden="1" customWidth="1"/>
    <col min="6144" max="6144" width="14" style="365" customWidth="1"/>
    <col min="6145" max="6145" width="0" style="365" hidden="1" customWidth="1"/>
    <col min="6146" max="6146" width="20.85546875" style="365" customWidth="1"/>
    <col min="6147" max="6147" width="0" style="365" hidden="1" customWidth="1"/>
    <col min="6148" max="6148" width="13.28515625" style="365" customWidth="1"/>
    <col min="6149" max="6149" width="0" style="365" hidden="1" customWidth="1"/>
    <col min="6150" max="6150" width="15" style="365" customWidth="1"/>
    <col min="6151" max="6151" width="0" style="365" hidden="1" customWidth="1"/>
    <col min="6152" max="6152" width="13.28515625" style="365" customWidth="1"/>
    <col min="6153" max="6153" width="0" style="365" hidden="1" customWidth="1"/>
    <col min="6154" max="6154" width="20.140625" style="365" customWidth="1"/>
    <col min="6155" max="6155" width="14.42578125" style="365" bestFit="1" customWidth="1"/>
    <col min="6156" max="6156" width="14" style="365" bestFit="1" customWidth="1"/>
    <col min="6157" max="6157" width="12.28515625" style="365" bestFit="1" customWidth="1"/>
    <col min="6158" max="6182" width="9.140625" style="365" customWidth="1"/>
    <col min="6183" max="6377" width="8.85546875" style="365"/>
    <col min="6378" max="6378" width="44.5703125" style="365" customWidth="1"/>
    <col min="6379" max="6379" width="14.28515625" style="365" bestFit="1" customWidth="1"/>
    <col min="6380" max="6380" width="1.7109375" style="365" customWidth="1"/>
    <col min="6381" max="6381" width="14.85546875" style="365" customWidth="1"/>
    <col min="6382" max="6382" width="0" style="365" hidden="1" customWidth="1"/>
    <col min="6383" max="6383" width="17.42578125" style="365" customWidth="1"/>
    <col min="6384" max="6384" width="0" style="365" hidden="1" customWidth="1"/>
    <col min="6385" max="6385" width="12.85546875" style="365" customWidth="1"/>
    <col min="6386" max="6386" width="0" style="365" hidden="1" customWidth="1"/>
    <col min="6387" max="6387" width="14.42578125" style="365" customWidth="1"/>
    <col min="6388" max="6388" width="0" style="365" hidden="1" customWidth="1"/>
    <col min="6389" max="6389" width="17.42578125" style="365" customWidth="1"/>
    <col min="6390" max="6390" width="0" style="365" hidden="1" customWidth="1"/>
    <col min="6391" max="6391" width="14" style="365" customWidth="1"/>
    <col min="6392" max="6392" width="14.28515625" style="365" bestFit="1" customWidth="1"/>
    <col min="6393" max="6393" width="0" style="365" hidden="1" customWidth="1"/>
    <col min="6394" max="6394" width="15.5703125" style="365" customWidth="1"/>
    <col min="6395" max="6395" width="44.5703125" style="365" customWidth="1"/>
    <col min="6396" max="6396" width="14.28515625" style="365" bestFit="1" customWidth="1"/>
    <col min="6397" max="6397" width="0" style="365" hidden="1" customWidth="1"/>
    <col min="6398" max="6398" width="18.140625" style="365" customWidth="1"/>
    <col min="6399" max="6399" width="0" style="365" hidden="1" customWidth="1"/>
    <col min="6400" max="6400" width="14" style="365" customWidth="1"/>
    <col min="6401" max="6401" width="0" style="365" hidden="1" customWidth="1"/>
    <col min="6402" max="6402" width="20.85546875" style="365" customWidth="1"/>
    <col min="6403" max="6403" width="0" style="365" hidden="1" customWidth="1"/>
    <col min="6404" max="6404" width="13.28515625" style="365" customWidth="1"/>
    <col min="6405" max="6405" width="0" style="365" hidden="1" customWidth="1"/>
    <col min="6406" max="6406" width="15" style="365" customWidth="1"/>
    <col min="6407" max="6407" width="0" style="365" hidden="1" customWidth="1"/>
    <col min="6408" max="6408" width="13.28515625" style="365" customWidth="1"/>
    <col min="6409" max="6409" width="0" style="365" hidden="1" customWidth="1"/>
    <col min="6410" max="6410" width="20.140625" style="365" customWidth="1"/>
    <col min="6411" max="6411" width="14.42578125" style="365" bestFit="1" customWidth="1"/>
    <col min="6412" max="6412" width="14" style="365" bestFit="1" customWidth="1"/>
    <col min="6413" max="6413" width="12.28515625" style="365" bestFit="1" customWidth="1"/>
    <col min="6414" max="6438" width="9.140625" style="365" customWidth="1"/>
    <col min="6439" max="6633" width="8.85546875" style="365"/>
    <col min="6634" max="6634" width="44.5703125" style="365" customWidth="1"/>
    <col min="6635" max="6635" width="14.28515625" style="365" bestFit="1" customWidth="1"/>
    <col min="6636" max="6636" width="1.7109375" style="365" customWidth="1"/>
    <col min="6637" max="6637" width="14.85546875" style="365" customWidth="1"/>
    <col min="6638" max="6638" width="0" style="365" hidden="1" customWidth="1"/>
    <col min="6639" max="6639" width="17.42578125" style="365" customWidth="1"/>
    <col min="6640" max="6640" width="0" style="365" hidden="1" customWidth="1"/>
    <col min="6641" max="6641" width="12.85546875" style="365" customWidth="1"/>
    <col min="6642" max="6642" width="0" style="365" hidden="1" customWidth="1"/>
    <col min="6643" max="6643" width="14.42578125" style="365" customWidth="1"/>
    <col min="6644" max="6644" width="0" style="365" hidden="1" customWidth="1"/>
    <col min="6645" max="6645" width="17.42578125" style="365" customWidth="1"/>
    <col min="6646" max="6646" width="0" style="365" hidden="1" customWidth="1"/>
    <col min="6647" max="6647" width="14" style="365" customWidth="1"/>
    <col min="6648" max="6648" width="14.28515625" style="365" bestFit="1" customWidth="1"/>
    <col min="6649" max="6649" width="0" style="365" hidden="1" customWidth="1"/>
    <col min="6650" max="6650" width="15.5703125" style="365" customWidth="1"/>
    <col min="6651" max="6651" width="44.5703125" style="365" customWidth="1"/>
    <col min="6652" max="6652" width="14.28515625" style="365" bestFit="1" customWidth="1"/>
    <col min="6653" max="6653" width="0" style="365" hidden="1" customWidth="1"/>
    <col min="6654" max="6654" width="18.140625" style="365" customWidth="1"/>
    <col min="6655" max="6655" width="0" style="365" hidden="1" customWidth="1"/>
    <col min="6656" max="6656" width="14" style="365" customWidth="1"/>
    <col min="6657" max="6657" width="0" style="365" hidden="1" customWidth="1"/>
    <col min="6658" max="6658" width="20.85546875" style="365" customWidth="1"/>
    <col min="6659" max="6659" width="0" style="365" hidden="1" customWidth="1"/>
    <col min="6660" max="6660" width="13.28515625" style="365" customWidth="1"/>
    <col min="6661" max="6661" width="0" style="365" hidden="1" customWidth="1"/>
    <col min="6662" max="6662" width="15" style="365" customWidth="1"/>
    <col min="6663" max="6663" width="0" style="365" hidden="1" customWidth="1"/>
    <col min="6664" max="6664" width="13.28515625" style="365" customWidth="1"/>
    <col min="6665" max="6665" width="0" style="365" hidden="1" customWidth="1"/>
    <col min="6666" max="6666" width="20.140625" style="365" customWidth="1"/>
    <col min="6667" max="6667" width="14.42578125" style="365" bestFit="1" customWidth="1"/>
    <col min="6668" max="6668" width="14" style="365" bestFit="1" customWidth="1"/>
    <col min="6669" max="6669" width="12.28515625" style="365" bestFit="1" customWidth="1"/>
    <col min="6670" max="6694" width="9.140625" style="365" customWidth="1"/>
    <col min="6695" max="6889" width="8.85546875" style="365"/>
    <col min="6890" max="6890" width="44.5703125" style="365" customWidth="1"/>
    <col min="6891" max="6891" width="14.28515625" style="365" bestFit="1" customWidth="1"/>
    <col min="6892" max="6892" width="1.7109375" style="365" customWidth="1"/>
    <col min="6893" max="6893" width="14.85546875" style="365" customWidth="1"/>
    <col min="6894" max="6894" width="0" style="365" hidden="1" customWidth="1"/>
    <col min="6895" max="6895" width="17.42578125" style="365" customWidth="1"/>
    <col min="6896" max="6896" width="0" style="365" hidden="1" customWidth="1"/>
    <col min="6897" max="6897" width="12.85546875" style="365" customWidth="1"/>
    <col min="6898" max="6898" width="0" style="365" hidden="1" customWidth="1"/>
    <col min="6899" max="6899" width="14.42578125" style="365" customWidth="1"/>
    <col min="6900" max="6900" width="0" style="365" hidden="1" customWidth="1"/>
    <col min="6901" max="6901" width="17.42578125" style="365" customWidth="1"/>
    <col min="6902" max="6902" width="0" style="365" hidden="1" customWidth="1"/>
    <col min="6903" max="6903" width="14" style="365" customWidth="1"/>
    <col min="6904" max="6904" width="14.28515625" style="365" bestFit="1" customWidth="1"/>
    <col min="6905" max="6905" width="0" style="365" hidden="1" customWidth="1"/>
    <col min="6906" max="6906" width="15.5703125" style="365" customWidth="1"/>
    <col min="6907" max="6907" width="44.5703125" style="365" customWidth="1"/>
    <col min="6908" max="6908" width="14.28515625" style="365" bestFit="1" customWidth="1"/>
    <col min="6909" max="6909" width="0" style="365" hidden="1" customWidth="1"/>
    <col min="6910" max="6910" width="18.140625" style="365" customWidth="1"/>
    <col min="6911" max="6911" width="0" style="365" hidden="1" customWidth="1"/>
    <col min="6912" max="6912" width="14" style="365" customWidth="1"/>
    <col min="6913" max="6913" width="0" style="365" hidden="1" customWidth="1"/>
    <col min="6914" max="6914" width="20.85546875" style="365" customWidth="1"/>
    <col min="6915" max="6915" width="0" style="365" hidden="1" customWidth="1"/>
    <col min="6916" max="6916" width="13.28515625" style="365" customWidth="1"/>
    <col min="6917" max="6917" width="0" style="365" hidden="1" customWidth="1"/>
    <col min="6918" max="6918" width="15" style="365" customWidth="1"/>
    <col min="6919" max="6919" width="0" style="365" hidden="1" customWidth="1"/>
    <col min="6920" max="6920" width="13.28515625" style="365" customWidth="1"/>
    <col min="6921" max="6921" width="0" style="365" hidden="1" customWidth="1"/>
    <col min="6922" max="6922" width="20.140625" style="365" customWidth="1"/>
    <col min="6923" max="6923" width="14.42578125" style="365" bestFit="1" customWidth="1"/>
    <col min="6924" max="6924" width="14" style="365" bestFit="1" customWidth="1"/>
    <col min="6925" max="6925" width="12.28515625" style="365" bestFit="1" customWidth="1"/>
    <col min="6926" max="6950" width="9.140625" style="365" customWidth="1"/>
    <col min="6951" max="7145" width="8.85546875" style="365"/>
    <col min="7146" max="7146" width="44.5703125" style="365" customWidth="1"/>
    <col min="7147" max="7147" width="14.28515625" style="365" bestFit="1" customWidth="1"/>
    <col min="7148" max="7148" width="1.7109375" style="365" customWidth="1"/>
    <col min="7149" max="7149" width="14.85546875" style="365" customWidth="1"/>
    <col min="7150" max="7150" width="0" style="365" hidden="1" customWidth="1"/>
    <col min="7151" max="7151" width="17.42578125" style="365" customWidth="1"/>
    <col min="7152" max="7152" width="0" style="365" hidden="1" customWidth="1"/>
    <col min="7153" max="7153" width="12.85546875" style="365" customWidth="1"/>
    <col min="7154" max="7154" width="0" style="365" hidden="1" customWidth="1"/>
    <col min="7155" max="7155" width="14.42578125" style="365" customWidth="1"/>
    <col min="7156" max="7156" width="0" style="365" hidden="1" customWidth="1"/>
    <col min="7157" max="7157" width="17.42578125" style="365" customWidth="1"/>
    <col min="7158" max="7158" width="0" style="365" hidden="1" customWidth="1"/>
    <col min="7159" max="7159" width="14" style="365" customWidth="1"/>
    <col min="7160" max="7160" width="14.28515625" style="365" bestFit="1" customWidth="1"/>
    <col min="7161" max="7161" width="0" style="365" hidden="1" customWidth="1"/>
    <col min="7162" max="7162" width="15.5703125" style="365" customWidth="1"/>
    <col min="7163" max="7163" width="44.5703125" style="365" customWidth="1"/>
    <col min="7164" max="7164" width="14.28515625" style="365" bestFit="1" customWidth="1"/>
    <col min="7165" max="7165" width="0" style="365" hidden="1" customWidth="1"/>
    <col min="7166" max="7166" width="18.140625" style="365" customWidth="1"/>
    <col min="7167" max="7167" width="0" style="365" hidden="1" customWidth="1"/>
    <col min="7168" max="7168" width="14" style="365" customWidth="1"/>
    <col min="7169" max="7169" width="0" style="365" hidden="1" customWidth="1"/>
    <col min="7170" max="7170" width="20.85546875" style="365" customWidth="1"/>
    <col min="7171" max="7171" width="0" style="365" hidden="1" customWidth="1"/>
    <col min="7172" max="7172" width="13.28515625" style="365" customWidth="1"/>
    <col min="7173" max="7173" width="0" style="365" hidden="1" customWidth="1"/>
    <col min="7174" max="7174" width="15" style="365" customWidth="1"/>
    <col min="7175" max="7175" width="0" style="365" hidden="1" customWidth="1"/>
    <col min="7176" max="7176" width="13.28515625" style="365" customWidth="1"/>
    <col min="7177" max="7177" width="0" style="365" hidden="1" customWidth="1"/>
    <col min="7178" max="7178" width="20.140625" style="365" customWidth="1"/>
    <col min="7179" max="7179" width="14.42578125" style="365" bestFit="1" customWidth="1"/>
    <col min="7180" max="7180" width="14" style="365" bestFit="1" customWidth="1"/>
    <col min="7181" max="7181" width="12.28515625" style="365" bestFit="1" customWidth="1"/>
    <col min="7182" max="7206" width="9.140625" style="365" customWidth="1"/>
    <col min="7207" max="7401" width="8.85546875" style="365"/>
    <col min="7402" max="7402" width="44.5703125" style="365" customWidth="1"/>
    <col min="7403" max="7403" width="14.28515625" style="365" bestFit="1" customWidth="1"/>
    <col min="7404" max="7404" width="1.7109375" style="365" customWidth="1"/>
    <col min="7405" max="7405" width="14.85546875" style="365" customWidth="1"/>
    <col min="7406" max="7406" width="0" style="365" hidden="1" customWidth="1"/>
    <col min="7407" max="7407" width="17.42578125" style="365" customWidth="1"/>
    <col min="7408" max="7408" width="0" style="365" hidden="1" customWidth="1"/>
    <col min="7409" max="7409" width="12.85546875" style="365" customWidth="1"/>
    <col min="7410" max="7410" width="0" style="365" hidden="1" customWidth="1"/>
    <col min="7411" max="7411" width="14.42578125" style="365" customWidth="1"/>
    <col min="7412" max="7412" width="0" style="365" hidden="1" customWidth="1"/>
    <col min="7413" max="7413" width="17.42578125" style="365" customWidth="1"/>
    <col min="7414" max="7414" width="0" style="365" hidden="1" customWidth="1"/>
    <col min="7415" max="7415" width="14" style="365" customWidth="1"/>
    <col min="7416" max="7416" width="14.28515625" style="365" bestFit="1" customWidth="1"/>
    <col min="7417" max="7417" width="0" style="365" hidden="1" customWidth="1"/>
    <col min="7418" max="7418" width="15.5703125" style="365" customWidth="1"/>
    <col min="7419" max="7419" width="44.5703125" style="365" customWidth="1"/>
    <col min="7420" max="7420" width="14.28515625" style="365" bestFit="1" customWidth="1"/>
    <col min="7421" max="7421" width="0" style="365" hidden="1" customWidth="1"/>
    <col min="7422" max="7422" width="18.140625" style="365" customWidth="1"/>
    <col min="7423" max="7423" width="0" style="365" hidden="1" customWidth="1"/>
    <col min="7424" max="7424" width="14" style="365" customWidth="1"/>
    <col min="7425" max="7425" width="0" style="365" hidden="1" customWidth="1"/>
    <col min="7426" max="7426" width="20.85546875" style="365" customWidth="1"/>
    <col min="7427" max="7427" width="0" style="365" hidden="1" customWidth="1"/>
    <col min="7428" max="7428" width="13.28515625" style="365" customWidth="1"/>
    <col min="7429" max="7429" width="0" style="365" hidden="1" customWidth="1"/>
    <col min="7430" max="7430" width="15" style="365" customWidth="1"/>
    <col min="7431" max="7431" width="0" style="365" hidden="1" customWidth="1"/>
    <col min="7432" max="7432" width="13.28515625" style="365" customWidth="1"/>
    <col min="7433" max="7433" width="0" style="365" hidden="1" customWidth="1"/>
    <col min="7434" max="7434" width="20.140625" style="365" customWidth="1"/>
    <col min="7435" max="7435" width="14.42578125" style="365" bestFit="1" customWidth="1"/>
    <col min="7436" max="7436" width="14" style="365" bestFit="1" customWidth="1"/>
    <col min="7437" max="7437" width="12.28515625" style="365" bestFit="1" customWidth="1"/>
    <col min="7438" max="7462" width="9.140625" style="365" customWidth="1"/>
    <col min="7463" max="7657" width="8.85546875" style="365"/>
    <col min="7658" max="7658" width="44.5703125" style="365" customWidth="1"/>
    <col min="7659" max="7659" width="14.28515625" style="365" bestFit="1" customWidth="1"/>
    <col min="7660" max="7660" width="1.7109375" style="365" customWidth="1"/>
    <col min="7661" max="7661" width="14.85546875" style="365" customWidth="1"/>
    <col min="7662" max="7662" width="0" style="365" hidden="1" customWidth="1"/>
    <col min="7663" max="7663" width="17.42578125" style="365" customWidth="1"/>
    <col min="7664" max="7664" width="0" style="365" hidden="1" customWidth="1"/>
    <col min="7665" max="7665" width="12.85546875" style="365" customWidth="1"/>
    <col min="7666" max="7666" width="0" style="365" hidden="1" customWidth="1"/>
    <col min="7667" max="7667" width="14.42578125" style="365" customWidth="1"/>
    <col min="7668" max="7668" width="0" style="365" hidden="1" customWidth="1"/>
    <col min="7669" max="7669" width="17.42578125" style="365" customWidth="1"/>
    <col min="7670" max="7670" width="0" style="365" hidden="1" customWidth="1"/>
    <col min="7671" max="7671" width="14" style="365" customWidth="1"/>
    <col min="7672" max="7672" width="14.28515625" style="365" bestFit="1" customWidth="1"/>
    <col min="7673" max="7673" width="0" style="365" hidden="1" customWidth="1"/>
    <col min="7674" max="7674" width="15.5703125" style="365" customWidth="1"/>
    <col min="7675" max="7675" width="44.5703125" style="365" customWidth="1"/>
    <col min="7676" max="7676" width="14.28515625" style="365" bestFit="1" customWidth="1"/>
    <col min="7677" max="7677" width="0" style="365" hidden="1" customWidth="1"/>
    <col min="7678" max="7678" width="18.140625" style="365" customWidth="1"/>
    <col min="7679" max="7679" width="0" style="365" hidden="1" customWidth="1"/>
    <col min="7680" max="7680" width="14" style="365" customWidth="1"/>
    <col min="7681" max="7681" width="0" style="365" hidden="1" customWidth="1"/>
    <col min="7682" max="7682" width="20.85546875" style="365" customWidth="1"/>
    <col min="7683" max="7683" width="0" style="365" hidden="1" customWidth="1"/>
    <col min="7684" max="7684" width="13.28515625" style="365" customWidth="1"/>
    <col min="7685" max="7685" width="0" style="365" hidden="1" customWidth="1"/>
    <col min="7686" max="7686" width="15" style="365" customWidth="1"/>
    <col min="7687" max="7687" width="0" style="365" hidden="1" customWidth="1"/>
    <col min="7688" max="7688" width="13.28515625" style="365" customWidth="1"/>
    <col min="7689" max="7689" width="0" style="365" hidden="1" customWidth="1"/>
    <col min="7690" max="7690" width="20.140625" style="365" customWidth="1"/>
    <col min="7691" max="7691" width="14.42578125" style="365" bestFit="1" customWidth="1"/>
    <col min="7692" max="7692" width="14" style="365" bestFit="1" customWidth="1"/>
    <col min="7693" max="7693" width="12.28515625" style="365" bestFit="1" customWidth="1"/>
    <col min="7694" max="7718" width="9.140625" style="365" customWidth="1"/>
    <col min="7719" max="7913" width="8.85546875" style="365"/>
    <col min="7914" max="7914" width="44.5703125" style="365" customWidth="1"/>
    <col min="7915" max="7915" width="14.28515625" style="365" bestFit="1" customWidth="1"/>
    <col min="7916" max="7916" width="1.7109375" style="365" customWidth="1"/>
    <col min="7917" max="7917" width="14.85546875" style="365" customWidth="1"/>
    <col min="7918" max="7918" width="0" style="365" hidden="1" customWidth="1"/>
    <col min="7919" max="7919" width="17.42578125" style="365" customWidth="1"/>
    <col min="7920" max="7920" width="0" style="365" hidden="1" customWidth="1"/>
    <col min="7921" max="7921" width="12.85546875" style="365" customWidth="1"/>
    <col min="7922" max="7922" width="0" style="365" hidden="1" customWidth="1"/>
    <col min="7923" max="7923" width="14.42578125" style="365" customWidth="1"/>
    <col min="7924" max="7924" width="0" style="365" hidden="1" customWidth="1"/>
    <col min="7925" max="7925" width="17.42578125" style="365" customWidth="1"/>
    <col min="7926" max="7926" width="0" style="365" hidden="1" customWidth="1"/>
    <col min="7927" max="7927" width="14" style="365" customWidth="1"/>
    <col min="7928" max="7928" width="14.28515625" style="365" bestFit="1" customWidth="1"/>
    <col min="7929" max="7929" width="0" style="365" hidden="1" customWidth="1"/>
    <col min="7930" max="7930" width="15.5703125" style="365" customWidth="1"/>
    <col min="7931" max="7931" width="44.5703125" style="365" customWidth="1"/>
    <col min="7932" max="7932" width="14.28515625" style="365" bestFit="1" customWidth="1"/>
    <col min="7933" max="7933" width="0" style="365" hidden="1" customWidth="1"/>
    <col min="7934" max="7934" width="18.140625" style="365" customWidth="1"/>
    <col min="7935" max="7935" width="0" style="365" hidden="1" customWidth="1"/>
    <col min="7936" max="7936" width="14" style="365" customWidth="1"/>
    <col min="7937" max="7937" width="0" style="365" hidden="1" customWidth="1"/>
    <col min="7938" max="7938" width="20.85546875" style="365" customWidth="1"/>
    <col min="7939" max="7939" width="0" style="365" hidden="1" customWidth="1"/>
    <col min="7940" max="7940" width="13.28515625" style="365" customWidth="1"/>
    <col min="7941" max="7941" width="0" style="365" hidden="1" customWidth="1"/>
    <col min="7942" max="7942" width="15" style="365" customWidth="1"/>
    <col min="7943" max="7943" width="0" style="365" hidden="1" customWidth="1"/>
    <col min="7944" max="7944" width="13.28515625" style="365" customWidth="1"/>
    <col min="7945" max="7945" width="0" style="365" hidden="1" customWidth="1"/>
    <col min="7946" max="7946" width="20.140625" style="365" customWidth="1"/>
    <col min="7947" max="7947" width="14.42578125" style="365" bestFit="1" customWidth="1"/>
    <col min="7948" max="7948" width="14" style="365" bestFit="1" customWidth="1"/>
    <col min="7949" max="7949" width="12.28515625" style="365" bestFit="1" customWidth="1"/>
    <col min="7950" max="7974" width="9.140625" style="365" customWidth="1"/>
    <col min="7975" max="8169" width="8.85546875" style="365"/>
    <col min="8170" max="8170" width="44.5703125" style="365" customWidth="1"/>
    <col min="8171" max="8171" width="14.28515625" style="365" bestFit="1" customWidth="1"/>
    <col min="8172" max="8172" width="1.7109375" style="365" customWidth="1"/>
    <col min="8173" max="8173" width="14.85546875" style="365" customWidth="1"/>
    <col min="8174" max="8174" width="0" style="365" hidden="1" customWidth="1"/>
    <col min="8175" max="8175" width="17.42578125" style="365" customWidth="1"/>
    <col min="8176" max="8176" width="0" style="365" hidden="1" customWidth="1"/>
    <col min="8177" max="8177" width="12.85546875" style="365" customWidth="1"/>
    <col min="8178" max="8178" width="0" style="365" hidden="1" customWidth="1"/>
    <col min="8179" max="8179" width="14.42578125" style="365" customWidth="1"/>
    <col min="8180" max="8180" width="0" style="365" hidden="1" customWidth="1"/>
    <col min="8181" max="8181" width="17.42578125" style="365" customWidth="1"/>
    <col min="8182" max="8182" width="0" style="365" hidden="1" customWidth="1"/>
    <col min="8183" max="8183" width="14" style="365" customWidth="1"/>
    <col min="8184" max="8184" width="14.28515625" style="365" bestFit="1" customWidth="1"/>
    <col min="8185" max="8185" width="0" style="365" hidden="1" customWidth="1"/>
    <col min="8186" max="8186" width="15.5703125" style="365" customWidth="1"/>
    <col min="8187" max="8187" width="44.5703125" style="365" customWidth="1"/>
    <col min="8188" max="8188" width="14.28515625" style="365" bestFit="1" customWidth="1"/>
    <col min="8189" max="8189" width="0" style="365" hidden="1" customWidth="1"/>
    <col min="8190" max="8190" width="18.140625" style="365" customWidth="1"/>
    <col min="8191" max="8191" width="0" style="365" hidden="1" customWidth="1"/>
    <col min="8192" max="8192" width="14" style="365" customWidth="1"/>
    <col min="8193" max="8193" width="0" style="365" hidden="1" customWidth="1"/>
    <col min="8194" max="8194" width="20.85546875" style="365" customWidth="1"/>
    <col min="8195" max="8195" width="0" style="365" hidden="1" customWidth="1"/>
    <col min="8196" max="8196" width="13.28515625" style="365" customWidth="1"/>
    <col min="8197" max="8197" width="0" style="365" hidden="1" customWidth="1"/>
    <col min="8198" max="8198" width="15" style="365" customWidth="1"/>
    <col min="8199" max="8199" width="0" style="365" hidden="1" customWidth="1"/>
    <col min="8200" max="8200" width="13.28515625" style="365" customWidth="1"/>
    <col min="8201" max="8201" width="0" style="365" hidden="1" customWidth="1"/>
    <col min="8202" max="8202" width="20.140625" style="365" customWidth="1"/>
    <col min="8203" max="8203" width="14.42578125" style="365" bestFit="1" customWidth="1"/>
    <col min="8204" max="8204" width="14" style="365" bestFit="1" customWidth="1"/>
    <col min="8205" max="8205" width="12.28515625" style="365" bestFit="1" customWidth="1"/>
    <col min="8206" max="8230" width="9.140625" style="365" customWidth="1"/>
    <col min="8231" max="8425" width="8.85546875" style="365"/>
    <col min="8426" max="8426" width="44.5703125" style="365" customWidth="1"/>
    <col min="8427" max="8427" width="14.28515625" style="365" bestFit="1" customWidth="1"/>
    <col min="8428" max="8428" width="1.7109375" style="365" customWidth="1"/>
    <col min="8429" max="8429" width="14.85546875" style="365" customWidth="1"/>
    <col min="8430" max="8430" width="0" style="365" hidden="1" customWidth="1"/>
    <col min="8431" max="8431" width="17.42578125" style="365" customWidth="1"/>
    <col min="8432" max="8432" width="0" style="365" hidden="1" customWidth="1"/>
    <col min="8433" max="8433" width="12.85546875" style="365" customWidth="1"/>
    <col min="8434" max="8434" width="0" style="365" hidden="1" customWidth="1"/>
    <col min="8435" max="8435" width="14.42578125" style="365" customWidth="1"/>
    <col min="8436" max="8436" width="0" style="365" hidden="1" customWidth="1"/>
    <col min="8437" max="8437" width="17.42578125" style="365" customWidth="1"/>
    <col min="8438" max="8438" width="0" style="365" hidden="1" customWidth="1"/>
    <col min="8439" max="8439" width="14" style="365" customWidth="1"/>
    <col min="8440" max="8440" width="14.28515625" style="365" bestFit="1" customWidth="1"/>
    <col min="8441" max="8441" width="0" style="365" hidden="1" customWidth="1"/>
    <col min="8442" max="8442" width="15.5703125" style="365" customWidth="1"/>
    <col min="8443" max="8443" width="44.5703125" style="365" customWidth="1"/>
    <col min="8444" max="8444" width="14.28515625" style="365" bestFit="1" customWidth="1"/>
    <col min="8445" max="8445" width="0" style="365" hidden="1" customWidth="1"/>
    <col min="8446" max="8446" width="18.140625" style="365" customWidth="1"/>
    <col min="8447" max="8447" width="0" style="365" hidden="1" customWidth="1"/>
    <col min="8448" max="8448" width="14" style="365" customWidth="1"/>
    <col min="8449" max="8449" width="0" style="365" hidden="1" customWidth="1"/>
    <col min="8450" max="8450" width="20.85546875" style="365" customWidth="1"/>
    <col min="8451" max="8451" width="0" style="365" hidden="1" customWidth="1"/>
    <col min="8452" max="8452" width="13.28515625" style="365" customWidth="1"/>
    <col min="8453" max="8453" width="0" style="365" hidden="1" customWidth="1"/>
    <col min="8454" max="8454" width="15" style="365" customWidth="1"/>
    <col min="8455" max="8455" width="0" style="365" hidden="1" customWidth="1"/>
    <col min="8456" max="8456" width="13.28515625" style="365" customWidth="1"/>
    <col min="8457" max="8457" width="0" style="365" hidden="1" customWidth="1"/>
    <col min="8458" max="8458" width="20.140625" style="365" customWidth="1"/>
    <col min="8459" max="8459" width="14.42578125" style="365" bestFit="1" customWidth="1"/>
    <col min="8460" max="8460" width="14" style="365" bestFit="1" customWidth="1"/>
    <col min="8461" max="8461" width="12.28515625" style="365" bestFit="1" customWidth="1"/>
    <col min="8462" max="8486" width="9.140625" style="365" customWidth="1"/>
    <col min="8487" max="8681" width="8.85546875" style="365"/>
    <col min="8682" max="8682" width="44.5703125" style="365" customWidth="1"/>
    <col min="8683" max="8683" width="14.28515625" style="365" bestFit="1" customWidth="1"/>
    <col min="8684" max="8684" width="1.7109375" style="365" customWidth="1"/>
    <col min="8685" max="8685" width="14.85546875" style="365" customWidth="1"/>
    <col min="8686" max="8686" width="0" style="365" hidden="1" customWidth="1"/>
    <col min="8687" max="8687" width="17.42578125" style="365" customWidth="1"/>
    <col min="8688" max="8688" width="0" style="365" hidden="1" customWidth="1"/>
    <col min="8689" max="8689" width="12.85546875" style="365" customWidth="1"/>
    <col min="8690" max="8690" width="0" style="365" hidden="1" customWidth="1"/>
    <col min="8691" max="8691" width="14.42578125" style="365" customWidth="1"/>
    <col min="8692" max="8692" width="0" style="365" hidden="1" customWidth="1"/>
    <col min="8693" max="8693" width="17.42578125" style="365" customWidth="1"/>
    <col min="8694" max="8694" width="0" style="365" hidden="1" customWidth="1"/>
    <col min="8695" max="8695" width="14" style="365" customWidth="1"/>
    <col min="8696" max="8696" width="14.28515625" style="365" bestFit="1" customWidth="1"/>
    <col min="8697" max="8697" width="0" style="365" hidden="1" customWidth="1"/>
    <col min="8698" max="8698" width="15.5703125" style="365" customWidth="1"/>
    <col min="8699" max="8699" width="44.5703125" style="365" customWidth="1"/>
    <col min="8700" max="8700" width="14.28515625" style="365" bestFit="1" customWidth="1"/>
    <col min="8701" max="8701" width="0" style="365" hidden="1" customWidth="1"/>
    <col min="8702" max="8702" width="18.140625" style="365" customWidth="1"/>
    <col min="8703" max="8703" width="0" style="365" hidden="1" customWidth="1"/>
    <col min="8704" max="8704" width="14" style="365" customWidth="1"/>
    <col min="8705" max="8705" width="0" style="365" hidden="1" customWidth="1"/>
    <col min="8706" max="8706" width="20.85546875" style="365" customWidth="1"/>
    <col min="8707" max="8707" width="0" style="365" hidden="1" customWidth="1"/>
    <col min="8708" max="8708" width="13.28515625" style="365" customWidth="1"/>
    <col min="8709" max="8709" width="0" style="365" hidden="1" customWidth="1"/>
    <col min="8710" max="8710" width="15" style="365" customWidth="1"/>
    <col min="8711" max="8711" width="0" style="365" hidden="1" customWidth="1"/>
    <col min="8712" max="8712" width="13.28515625" style="365" customWidth="1"/>
    <col min="8713" max="8713" width="0" style="365" hidden="1" customWidth="1"/>
    <col min="8714" max="8714" width="20.140625" style="365" customWidth="1"/>
    <col min="8715" max="8715" width="14.42578125" style="365" bestFit="1" customWidth="1"/>
    <col min="8716" max="8716" width="14" style="365" bestFit="1" customWidth="1"/>
    <col min="8717" max="8717" width="12.28515625" style="365" bestFit="1" customWidth="1"/>
    <col min="8718" max="8742" width="9.140625" style="365" customWidth="1"/>
    <col min="8743" max="8937" width="8.85546875" style="365"/>
    <col min="8938" max="8938" width="44.5703125" style="365" customWidth="1"/>
    <col min="8939" max="8939" width="14.28515625" style="365" bestFit="1" customWidth="1"/>
    <col min="8940" max="8940" width="1.7109375" style="365" customWidth="1"/>
    <col min="8941" max="8941" width="14.85546875" style="365" customWidth="1"/>
    <col min="8942" max="8942" width="0" style="365" hidden="1" customWidth="1"/>
    <col min="8943" max="8943" width="17.42578125" style="365" customWidth="1"/>
    <col min="8944" max="8944" width="0" style="365" hidden="1" customWidth="1"/>
    <col min="8945" max="8945" width="12.85546875" style="365" customWidth="1"/>
    <col min="8946" max="8946" width="0" style="365" hidden="1" customWidth="1"/>
    <col min="8947" max="8947" width="14.42578125" style="365" customWidth="1"/>
    <col min="8948" max="8948" width="0" style="365" hidden="1" customWidth="1"/>
    <col min="8949" max="8949" width="17.42578125" style="365" customWidth="1"/>
    <col min="8950" max="8950" width="0" style="365" hidden="1" customWidth="1"/>
    <col min="8951" max="8951" width="14" style="365" customWidth="1"/>
    <col min="8952" max="8952" width="14.28515625" style="365" bestFit="1" customWidth="1"/>
    <col min="8953" max="8953" width="0" style="365" hidden="1" customWidth="1"/>
    <col min="8954" max="8954" width="15.5703125" style="365" customWidth="1"/>
    <col min="8955" max="8955" width="44.5703125" style="365" customWidth="1"/>
    <col min="8956" max="8956" width="14.28515625" style="365" bestFit="1" customWidth="1"/>
    <col min="8957" max="8957" width="0" style="365" hidden="1" customWidth="1"/>
    <col min="8958" max="8958" width="18.140625" style="365" customWidth="1"/>
    <col min="8959" max="8959" width="0" style="365" hidden="1" customWidth="1"/>
    <col min="8960" max="8960" width="14" style="365" customWidth="1"/>
    <col min="8961" max="8961" width="0" style="365" hidden="1" customWidth="1"/>
    <col min="8962" max="8962" width="20.85546875" style="365" customWidth="1"/>
    <col min="8963" max="8963" width="0" style="365" hidden="1" customWidth="1"/>
    <col min="8964" max="8964" width="13.28515625" style="365" customWidth="1"/>
    <col min="8965" max="8965" width="0" style="365" hidden="1" customWidth="1"/>
    <col min="8966" max="8966" width="15" style="365" customWidth="1"/>
    <col min="8967" max="8967" width="0" style="365" hidden="1" customWidth="1"/>
    <col min="8968" max="8968" width="13.28515625" style="365" customWidth="1"/>
    <col min="8969" max="8969" width="0" style="365" hidden="1" customWidth="1"/>
    <col min="8970" max="8970" width="20.140625" style="365" customWidth="1"/>
    <col min="8971" max="8971" width="14.42578125" style="365" bestFit="1" customWidth="1"/>
    <col min="8972" max="8972" width="14" style="365" bestFit="1" customWidth="1"/>
    <col min="8973" max="8973" width="12.28515625" style="365" bestFit="1" customWidth="1"/>
    <col min="8974" max="8998" width="9.140625" style="365" customWidth="1"/>
    <col min="8999" max="9193" width="8.85546875" style="365"/>
    <col min="9194" max="9194" width="44.5703125" style="365" customWidth="1"/>
    <col min="9195" max="9195" width="14.28515625" style="365" bestFit="1" customWidth="1"/>
    <col min="9196" max="9196" width="1.7109375" style="365" customWidth="1"/>
    <col min="9197" max="9197" width="14.85546875" style="365" customWidth="1"/>
    <col min="9198" max="9198" width="0" style="365" hidden="1" customWidth="1"/>
    <col min="9199" max="9199" width="17.42578125" style="365" customWidth="1"/>
    <col min="9200" max="9200" width="0" style="365" hidden="1" customWidth="1"/>
    <col min="9201" max="9201" width="12.85546875" style="365" customWidth="1"/>
    <col min="9202" max="9202" width="0" style="365" hidden="1" customWidth="1"/>
    <col min="9203" max="9203" width="14.42578125" style="365" customWidth="1"/>
    <col min="9204" max="9204" width="0" style="365" hidden="1" customWidth="1"/>
    <col min="9205" max="9205" width="17.42578125" style="365" customWidth="1"/>
    <col min="9206" max="9206" width="0" style="365" hidden="1" customWidth="1"/>
    <col min="9207" max="9207" width="14" style="365" customWidth="1"/>
    <col min="9208" max="9208" width="14.28515625" style="365" bestFit="1" customWidth="1"/>
    <col min="9209" max="9209" width="0" style="365" hidden="1" customWidth="1"/>
    <col min="9210" max="9210" width="15.5703125" style="365" customWidth="1"/>
    <col min="9211" max="9211" width="44.5703125" style="365" customWidth="1"/>
    <col min="9212" max="9212" width="14.28515625" style="365" bestFit="1" customWidth="1"/>
    <col min="9213" max="9213" width="0" style="365" hidden="1" customWidth="1"/>
    <col min="9214" max="9214" width="18.140625" style="365" customWidth="1"/>
    <col min="9215" max="9215" width="0" style="365" hidden="1" customWidth="1"/>
    <col min="9216" max="9216" width="14" style="365" customWidth="1"/>
    <col min="9217" max="9217" width="0" style="365" hidden="1" customWidth="1"/>
    <col min="9218" max="9218" width="20.85546875" style="365" customWidth="1"/>
    <col min="9219" max="9219" width="0" style="365" hidden="1" customWidth="1"/>
    <col min="9220" max="9220" width="13.28515625" style="365" customWidth="1"/>
    <col min="9221" max="9221" width="0" style="365" hidden="1" customWidth="1"/>
    <col min="9222" max="9222" width="15" style="365" customWidth="1"/>
    <col min="9223" max="9223" width="0" style="365" hidden="1" customWidth="1"/>
    <col min="9224" max="9224" width="13.28515625" style="365" customWidth="1"/>
    <col min="9225" max="9225" width="0" style="365" hidden="1" customWidth="1"/>
    <col min="9226" max="9226" width="20.140625" style="365" customWidth="1"/>
    <col min="9227" max="9227" width="14.42578125" style="365" bestFit="1" customWidth="1"/>
    <col min="9228" max="9228" width="14" style="365" bestFit="1" customWidth="1"/>
    <col min="9229" max="9229" width="12.28515625" style="365" bestFit="1" customWidth="1"/>
    <col min="9230" max="9254" width="9.140625" style="365" customWidth="1"/>
    <col min="9255" max="9449" width="8.85546875" style="365"/>
    <col min="9450" max="9450" width="44.5703125" style="365" customWidth="1"/>
    <col min="9451" max="9451" width="14.28515625" style="365" bestFit="1" customWidth="1"/>
    <col min="9452" max="9452" width="1.7109375" style="365" customWidth="1"/>
    <col min="9453" max="9453" width="14.85546875" style="365" customWidth="1"/>
    <col min="9454" max="9454" width="0" style="365" hidden="1" customWidth="1"/>
    <col min="9455" max="9455" width="17.42578125" style="365" customWidth="1"/>
    <col min="9456" max="9456" width="0" style="365" hidden="1" customWidth="1"/>
    <col min="9457" max="9457" width="12.85546875" style="365" customWidth="1"/>
    <col min="9458" max="9458" width="0" style="365" hidden="1" customWidth="1"/>
    <col min="9459" max="9459" width="14.42578125" style="365" customWidth="1"/>
    <col min="9460" max="9460" width="0" style="365" hidden="1" customWidth="1"/>
    <col min="9461" max="9461" width="17.42578125" style="365" customWidth="1"/>
    <col min="9462" max="9462" width="0" style="365" hidden="1" customWidth="1"/>
    <col min="9463" max="9463" width="14" style="365" customWidth="1"/>
    <col min="9464" max="9464" width="14.28515625" style="365" bestFit="1" customWidth="1"/>
    <col min="9465" max="9465" width="0" style="365" hidden="1" customWidth="1"/>
    <col min="9466" max="9466" width="15.5703125" style="365" customWidth="1"/>
    <col min="9467" max="9467" width="44.5703125" style="365" customWidth="1"/>
    <col min="9468" max="9468" width="14.28515625" style="365" bestFit="1" customWidth="1"/>
    <col min="9469" max="9469" width="0" style="365" hidden="1" customWidth="1"/>
    <col min="9470" max="9470" width="18.140625" style="365" customWidth="1"/>
    <col min="9471" max="9471" width="0" style="365" hidden="1" customWidth="1"/>
    <col min="9472" max="9472" width="14" style="365" customWidth="1"/>
    <col min="9473" max="9473" width="0" style="365" hidden="1" customWidth="1"/>
    <col min="9474" max="9474" width="20.85546875" style="365" customWidth="1"/>
    <col min="9475" max="9475" width="0" style="365" hidden="1" customWidth="1"/>
    <col min="9476" max="9476" width="13.28515625" style="365" customWidth="1"/>
    <col min="9477" max="9477" width="0" style="365" hidden="1" customWidth="1"/>
    <col min="9478" max="9478" width="15" style="365" customWidth="1"/>
    <col min="9479" max="9479" width="0" style="365" hidden="1" customWidth="1"/>
    <col min="9480" max="9480" width="13.28515625" style="365" customWidth="1"/>
    <col min="9481" max="9481" width="0" style="365" hidden="1" customWidth="1"/>
    <col min="9482" max="9482" width="20.140625" style="365" customWidth="1"/>
    <col min="9483" max="9483" width="14.42578125" style="365" bestFit="1" customWidth="1"/>
    <col min="9484" max="9484" width="14" style="365" bestFit="1" customWidth="1"/>
    <col min="9485" max="9485" width="12.28515625" style="365" bestFit="1" customWidth="1"/>
    <col min="9486" max="9510" width="9.140625" style="365" customWidth="1"/>
    <col min="9511" max="9705" width="8.85546875" style="365"/>
    <col min="9706" max="9706" width="44.5703125" style="365" customWidth="1"/>
    <col min="9707" max="9707" width="14.28515625" style="365" bestFit="1" customWidth="1"/>
    <col min="9708" max="9708" width="1.7109375" style="365" customWidth="1"/>
    <col min="9709" max="9709" width="14.85546875" style="365" customWidth="1"/>
    <col min="9710" max="9710" width="0" style="365" hidden="1" customWidth="1"/>
    <col min="9711" max="9711" width="17.42578125" style="365" customWidth="1"/>
    <col min="9712" max="9712" width="0" style="365" hidden="1" customWidth="1"/>
    <col min="9713" max="9713" width="12.85546875" style="365" customWidth="1"/>
    <col min="9714" max="9714" width="0" style="365" hidden="1" customWidth="1"/>
    <col min="9715" max="9715" width="14.42578125" style="365" customWidth="1"/>
    <col min="9716" max="9716" width="0" style="365" hidden="1" customWidth="1"/>
    <col min="9717" max="9717" width="17.42578125" style="365" customWidth="1"/>
    <col min="9718" max="9718" width="0" style="365" hidden="1" customWidth="1"/>
    <col min="9719" max="9719" width="14" style="365" customWidth="1"/>
    <col min="9720" max="9720" width="14.28515625" style="365" bestFit="1" customWidth="1"/>
    <col min="9721" max="9721" width="0" style="365" hidden="1" customWidth="1"/>
    <col min="9722" max="9722" width="15.5703125" style="365" customWidth="1"/>
    <col min="9723" max="9723" width="44.5703125" style="365" customWidth="1"/>
    <col min="9724" max="9724" width="14.28515625" style="365" bestFit="1" customWidth="1"/>
    <col min="9725" max="9725" width="0" style="365" hidden="1" customWidth="1"/>
    <col min="9726" max="9726" width="18.140625" style="365" customWidth="1"/>
    <col min="9727" max="9727" width="0" style="365" hidden="1" customWidth="1"/>
    <col min="9728" max="9728" width="14" style="365" customWidth="1"/>
    <col min="9729" max="9729" width="0" style="365" hidden="1" customWidth="1"/>
    <col min="9730" max="9730" width="20.85546875" style="365" customWidth="1"/>
    <col min="9731" max="9731" width="0" style="365" hidden="1" customWidth="1"/>
    <col min="9732" max="9732" width="13.28515625" style="365" customWidth="1"/>
    <col min="9733" max="9733" width="0" style="365" hidden="1" customWidth="1"/>
    <col min="9734" max="9734" width="15" style="365" customWidth="1"/>
    <col min="9735" max="9735" width="0" style="365" hidden="1" customWidth="1"/>
    <col min="9736" max="9736" width="13.28515625" style="365" customWidth="1"/>
    <col min="9737" max="9737" width="0" style="365" hidden="1" customWidth="1"/>
    <col min="9738" max="9738" width="20.140625" style="365" customWidth="1"/>
    <col min="9739" max="9739" width="14.42578125" style="365" bestFit="1" customWidth="1"/>
    <col min="9740" max="9740" width="14" style="365" bestFit="1" customWidth="1"/>
    <col min="9741" max="9741" width="12.28515625" style="365" bestFit="1" customWidth="1"/>
    <col min="9742" max="9766" width="9.140625" style="365" customWidth="1"/>
    <col min="9767" max="9961" width="8.85546875" style="365"/>
    <col min="9962" max="9962" width="44.5703125" style="365" customWidth="1"/>
    <col min="9963" max="9963" width="14.28515625" style="365" bestFit="1" customWidth="1"/>
    <col min="9964" max="9964" width="1.7109375" style="365" customWidth="1"/>
    <col min="9965" max="9965" width="14.85546875" style="365" customWidth="1"/>
    <col min="9966" max="9966" width="0" style="365" hidden="1" customWidth="1"/>
    <col min="9967" max="9967" width="17.42578125" style="365" customWidth="1"/>
    <col min="9968" max="9968" width="0" style="365" hidden="1" customWidth="1"/>
    <col min="9969" max="9969" width="12.85546875" style="365" customWidth="1"/>
    <col min="9970" max="9970" width="0" style="365" hidden="1" customWidth="1"/>
    <col min="9971" max="9971" width="14.42578125" style="365" customWidth="1"/>
    <col min="9972" max="9972" width="0" style="365" hidden="1" customWidth="1"/>
    <col min="9973" max="9973" width="17.42578125" style="365" customWidth="1"/>
    <col min="9974" max="9974" width="0" style="365" hidden="1" customWidth="1"/>
    <col min="9975" max="9975" width="14" style="365" customWidth="1"/>
    <col min="9976" max="9976" width="14.28515625" style="365" bestFit="1" customWidth="1"/>
    <col min="9977" max="9977" width="0" style="365" hidden="1" customWidth="1"/>
    <col min="9978" max="9978" width="15.5703125" style="365" customWidth="1"/>
    <col min="9979" max="9979" width="44.5703125" style="365" customWidth="1"/>
    <col min="9980" max="9980" width="14.28515625" style="365" bestFit="1" customWidth="1"/>
    <col min="9981" max="9981" width="0" style="365" hidden="1" customWidth="1"/>
    <col min="9982" max="9982" width="18.140625" style="365" customWidth="1"/>
    <col min="9983" max="9983" width="0" style="365" hidden="1" customWidth="1"/>
    <col min="9984" max="9984" width="14" style="365" customWidth="1"/>
    <col min="9985" max="9985" width="0" style="365" hidden="1" customWidth="1"/>
    <col min="9986" max="9986" width="20.85546875" style="365" customWidth="1"/>
    <col min="9987" max="9987" width="0" style="365" hidden="1" customWidth="1"/>
    <col min="9988" max="9988" width="13.28515625" style="365" customWidth="1"/>
    <col min="9989" max="9989" width="0" style="365" hidden="1" customWidth="1"/>
    <col min="9990" max="9990" width="15" style="365" customWidth="1"/>
    <col min="9991" max="9991" width="0" style="365" hidden="1" customWidth="1"/>
    <col min="9992" max="9992" width="13.28515625" style="365" customWidth="1"/>
    <col min="9993" max="9993" width="0" style="365" hidden="1" customWidth="1"/>
    <col min="9994" max="9994" width="20.140625" style="365" customWidth="1"/>
    <col min="9995" max="9995" width="14.42578125" style="365" bestFit="1" customWidth="1"/>
    <col min="9996" max="9996" width="14" style="365" bestFit="1" customWidth="1"/>
    <col min="9997" max="9997" width="12.28515625" style="365" bestFit="1" customWidth="1"/>
    <col min="9998" max="10022" width="9.140625" style="365" customWidth="1"/>
    <col min="10023" max="10217" width="8.85546875" style="365"/>
    <col min="10218" max="10218" width="44.5703125" style="365" customWidth="1"/>
    <col min="10219" max="10219" width="14.28515625" style="365" bestFit="1" customWidth="1"/>
    <col min="10220" max="10220" width="1.7109375" style="365" customWidth="1"/>
    <col min="10221" max="10221" width="14.85546875" style="365" customWidth="1"/>
    <col min="10222" max="10222" width="0" style="365" hidden="1" customWidth="1"/>
    <col min="10223" max="10223" width="17.42578125" style="365" customWidth="1"/>
    <col min="10224" max="10224" width="0" style="365" hidden="1" customWidth="1"/>
    <col min="10225" max="10225" width="12.85546875" style="365" customWidth="1"/>
    <col min="10226" max="10226" width="0" style="365" hidden="1" customWidth="1"/>
    <col min="10227" max="10227" width="14.42578125" style="365" customWidth="1"/>
    <col min="10228" max="10228" width="0" style="365" hidden="1" customWidth="1"/>
    <col min="10229" max="10229" width="17.42578125" style="365" customWidth="1"/>
    <col min="10230" max="10230" width="0" style="365" hidden="1" customWidth="1"/>
    <col min="10231" max="10231" width="14" style="365" customWidth="1"/>
    <col min="10232" max="10232" width="14.28515625" style="365" bestFit="1" customWidth="1"/>
    <col min="10233" max="10233" width="0" style="365" hidden="1" customWidth="1"/>
    <col min="10234" max="10234" width="15.5703125" style="365" customWidth="1"/>
    <col min="10235" max="10235" width="44.5703125" style="365" customWidth="1"/>
    <col min="10236" max="10236" width="14.28515625" style="365" bestFit="1" customWidth="1"/>
    <col min="10237" max="10237" width="0" style="365" hidden="1" customWidth="1"/>
    <col min="10238" max="10238" width="18.140625" style="365" customWidth="1"/>
    <col min="10239" max="10239" width="0" style="365" hidden="1" customWidth="1"/>
    <col min="10240" max="10240" width="14" style="365" customWidth="1"/>
    <col min="10241" max="10241" width="0" style="365" hidden="1" customWidth="1"/>
    <col min="10242" max="10242" width="20.85546875" style="365" customWidth="1"/>
    <col min="10243" max="10243" width="0" style="365" hidden="1" customWidth="1"/>
    <col min="10244" max="10244" width="13.28515625" style="365" customWidth="1"/>
    <col min="10245" max="10245" width="0" style="365" hidden="1" customWidth="1"/>
    <col min="10246" max="10246" width="15" style="365" customWidth="1"/>
    <col min="10247" max="10247" width="0" style="365" hidden="1" customWidth="1"/>
    <col min="10248" max="10248" width="13.28515625" style="365" customWidth="1"/>
    <col min="10249" max="10249" width="0" style="365" hidden="1" customWidth="1"/>
    <col min="10250" max="10250" width="20.140625" style="365" customWidth="1"/>
    <col min="10251" max="10251" width="14.42578125" style="365" bestFit="1" customWidth="1"/>
    <col min="10252" max="10252" width="14" style="365" bestFit="1" customWidth="1"/>
    <col min="10253" max="10253" width="12.28515625" style="365" bestFit="1" customWidth="1"/>
    <col min="10254" max="10278" width="9.140625" style="365" customWidth="1"/>
    <col min="10279" max="10473" width="8.85546875" style="365"/>
    <col min="10474" max="10474" width="44.5703125" style="365" customWidth="1"/>
    <col min="10475" max="10475" width="14.28515625" style="365" bestFit="1" customWidth="1"/>
    <col min="10476" max="10476" width="1.7109375" style="365" customWidth="1"/>
    <col min="10477" max="10477" width="14.85546875" style="365" customWidth="1"/>
    <col min="10478" max="10478" width="0" style="365" hidden="1" customWidth="1"/>
    <col min="10479" max="10479" width="17.42578125" style="365" customWidth="1"/>
    <col min="10480" max="10480" width="0" style="365" hidden="1" customWidth="1"/>
    <col min="10481" max="10481" width="12.85546875" style="365" customWidth="1"/>
    <col min="10482" max="10482" width="0" style="365" hidden="1" customWidth="1"/>
    <col min="10483" max="10483" width="14.42578125" style="365" customWidth="1"/>
    <col min="10484" max="10484" width="0" style="365" hidden="1" customWidth="1"/>
    <col min="10485" max="10485" width="17.42578125" style="365" customWidth="1"/>
    <col min="10486" max="10486" width="0" style="365" hidden="1" customWidth="1"/>
    <col min="10487" max="10487" width="14" style="365" customWidth="1"/>
    <col min="10488" max="10488" width="14.28515625" style="365" bestFit="1" customWidth="1"/>
    <col min="10489" max="10489" width="0" style="365" hidden="1" customWidth="1"/>
    <col min="10490" max="10490" width="15.5703125" style="365" customWidth="1"/>
    <col min="10491" max="10491" width="44.5703125" style="365" customWidth="1"/>
    <col min="10492" max="10492" width="14.28515625" style="365" bestFit="1" customWidth="1"/>
    <col min="10493" max="10493" width="0" style="365" hidden="1" customWidth="1"/>
    <col min="10494" max="10494" width="18.140625" style="365" customWidth="1"/>
    <col min="10495" max="10495" width="0" style="365" hidden="1" customWidth="1"/>
    <col min="10496" max="10496" width="14" style="365" customWidth="1"/>
    <col min="10497" max="10497" width="0" style="365" hidden="1" customWidth="1"/>
    <col min="10498" max="10498" width="20.85546875" style="365" customWidth="1"/>
    <col min="10499" max="10499" width="0" style="365" hidden="1" customWidth="1"/>
    <col min="10500" max="10500" width="13.28515625" style="365" customWidth="1"/>
    <col min="10501" max="10501" width="0" style="365" hidden="1" customWidth="1"/>
    <col min="10502" max="10502" width="15" style="365" customWidth="1"/>
    <col min="10503" max="10503" width="0" style="365" hidden="1" customWidth="1"/>
    <col min="10504" max="10504" width="13.28515625" style="365" customWidth="1"/>
    <col min="10505" max="10505" width="0" style="365" hidden="1" customWidth="1"/>
    <col min="10506" max="10506" width="20.140625" style="365" customWidth="1"/>
    <col min="10507" max="10507" width="14.42578125" style="365" bestFit="1" customWidth="1"/>
    <col min="10508" max="10508" width="14" style="365" bestFit="1" customWidth="1"/>
    <col min="10509" max="10509" width="12.28515625" style="365" bestFit="1" customWidth="1"/>
    <col min="10510" max="10534" width="9.140625" style="365" customWidth="1"/>
    <col min="10535" max="10729" width="8.85546875" style="365"/>
    <col min="10730" max="10730" width="44.5703125" style="365" customWidth="1"/>
    <col min="10731" max="10731" width="14.28515625" style="365" bestFit="1" customWidth="1"/>
    <col min="10732" max="10732" width="1.7109375" style="365" customWidth="1"/>
    <col min="10733" max="10733" width="14.85546875" style="365" customWidth="1"/>
    <col min="10734" max="10734" width="0" style="365" hidden="1" customWidth="1"/>
    <col min="10735" max="10735" width="17.42578125" style="365" customWidth="1"/>
    <col min="10736" max="10736" width="0" style="365" hidden="1" customWidth="1"/>
    <col min="10737" max="10737" width="12.85546875" style="365" customWidth="1"/>
    <col min="10738" max="10738" width="0" style="365" hidden="1" customWidth="1"/>
    <col min="10739" max="10739" width="14.42578125" style="365" customWidth="1"/>
    <col min="10740" max="10740" width="0" style="365" hidden="1" customWidth="1"/>
    <col min="10741" max="10741" width="17.42578125" style="365" customWidth="1"/>
    <col min="10742" max="10742" width="0" style="365" hidden="1" customWidth="1"/>
    <col min="10743" max="10743" width="14" style="365" customWidth="1"/>
    <col min="10744" max="10744" width="14.28515625" style="365" bestFit="1" customWidth="1"/>
    <col min="10745" max="10745" width="0" style="365" hidden="1" customWidth="1"/>
    <col min="10746" max="10746" width="15.5703125" style="365" customWidth="1"/>
    <col min="10747" max="10747" width="44.5703125" style="365" customWidth="1"/>
    <col min="10748" max="10748" width="14.28515625" style="365" bestFit="1" customWidth="1"/>
    <col min="10749" max="10749" width="0" style="365" hidden="1" customWidth="1"/>
    <col min="10750" max="10750" width="18.140625" style="365" customWidth="1"/>
    <col min="10751" max="10751" width="0" style="365" hidden="1" customWidth="1"/>
    <col min="10752" max="10752" width="14" style="365" customWidth="1"/>
    <col min="10753" max="10753" width="0" style="365" hidden="1" customWidth="1"/>
    <col min="10754" max="10754" width="20.85546875" style="365" customWidth="1"/>
    <col min="10755" max="10755" width="0" style="365" hidden="1" customWidth="1"/>
    <col min="10756" max="10756" width="13.28515625" style="365" customWidth="1"/>
    <col min="10757" max="10757" width="0" style="365" hidden="1" customWidth="1"/>
    <col min="10758" max="10758" width="15" style="365" customWidth="1"/>
    <col min="10759" max="10759" width="0" style="365" hidden="1" customWidth="1"/>
    <col min="10760" max="10760" width="13.28515625" style="365" customWidth="1"/>
    <col min="10761" max="10761" width="0" style="365" hidden="1" customWidth="1"/>
    <col min="10762" max="10762" width="20.140625" style="365" customWidth="1"/>
    <col min="10763" max="10763" width="14.42578125" style="365" bestFit="1" customWidth="1"/>
    <col min="10764" max="10764" width="14" style="365" bestFit="1" customWidth="1"/>
    <col min="10765" max="10765" width="12.28515625" style="365" bestFit="1" customWidth="1"/>
    <col min="10766" max="10790" width="9.140625" style="365" customWidth="1"/>
    <col min="10791" max="10985" width="8.85546875" style="365"/>
    <col min="10986" max="10986" width="44.5703125" style="365" customWidth="1"/>
    <col min="10987" max="10987" width="14.28515625" style="365" bestFit="1" customWidth="1"/>
    <col min="10988" max="10988" width="1.7109375" style="365" customWidth="1"/>
    <col min="10989" max="10989" width="14.85546875" style="365" customWidth="1"/>
    <col min="10990" max="10990" width="0" style="365" hidden="1" customWidth="1"/>
    <col min="10991" max="10991" width="17.42578125" style="365" customWidth="1"/>
    <col min="10992" max="10992" width="0" style="365" hidden="1" customWidth="1"/>
    <col min="10993" max="10993" width="12.85546875" style="365" customWidth="1"/>
    <col min="10994" max="10994" width="0" style="365" hidden="1" customWidth="1"/>
    <col min="10995" max="10995" width="14.42578125" style="365" customWidth="1"/>
    <col min="10996" max="10996" width="0" style="365" hidden="1" customWidth="1"/>
    <col min="10997" max="10997" width="17.42578125" style="365" customWidth="1"/>
    <col min="10998" max="10998" width="0" style="365" hidden="1" customWidth="1"/>
    <col min="10999" max="10999" width="14" style="365" customWidth="1"/>
    <col min="11000" max="11000" width="14.28515625" style="365" bestFit="1" customWidth="1"/>
    <col min="11001" max="11001" width="0" style="365" hidden="1" customWidth="1"/>
    <col min="11002" max="11002" width="15.5703125" style="365" customWidth="1"/>
    <col min="11003" max="11003" width="44.5703125" style="365" customWidth="1"/>
    <col min="11004" max="11004" width="14.28515625" style="365" bestFit="1" customWidth="1"/>
    <col min="11005" max="11005" width="0" style="365" hidden="1" customWidth="1"/>
    <col min="11006" max="11006" width="18.140625" style="365" customWidth="1"/>
    <col min="11007" max="11007" width="0" style="365" hidden="1" customWidth="1"/>
    <col min="11008" max="11008" width="14" style="365" customWidth="1"/>
    <col min="11009" max="11009" width="0" style="365" hidden="1" customWidth="1"/>
    <col min="11010" max="11010" width="20.85546875" style="365" customWidth="1"/>
    <col min="11011" max="11011" width="0" style="365" hidden="1" customWidth="1"/>
    <col min="11012" max="11012" width="13.28515625" style="365" customWidth="1"/>
    <col min="11013" max="11013" width="0" style="365" hidden="1" customWidth="1"/>
    <col min="11014" max="11014" width="15" style="365" customWidth="1"/>
    <col min="11015" max="11015" width="0" style="365" hidden="1" customWidth="1"/>
    <col min="11016" max="11016" width="13.28515625" style="365" customWidth="1"/>
    <col min="11017" max="11017" width="0" style="365" hidden="1" customWidth="1"/>
    <col min="11018" max="11018" width="20.140625" style="365" customWidth="1"/>
    <col min="11019" max="11019" width="14.42578125" style="365" bestFit="1" customWidth="1"/>
    <col min="11020" max="11020" width="14" style="365" bestFit="1" customWidth="1"/>
    <col min="11021" max="11021" width="12.28515625" style="365" bestFit="1" customWidth="1"/>
    <col min="11022" max="11046" width="9.140625" style="365" customWidth="1"/>
    <col min="11047" max="11241" width="8.85546875" style="365"/>
    <col min="11242" max="11242" width="44.5703125" style="365" customWidth="1"/>
    <col min="11243" max="11243" width="14.28515625" style="365" bestFit="1" customWidth="1"/>
    <col min="11244" max="11244" width="1.7109375" style="365" customWidth="1"/>
    <col min="11245" max="11245" width="14.85546875" style="365" customWidth="1"/>
    <col min="11246" max="11246" width="0" style="365" hidden="1" customWidth="1"/>
    <col min="11247" max="11247" width="17.42578125" style="365" customWidth="1"/>
    <col min="11248" max="11248" width="0" style="365" hidden="1" customWidth="1"/>
    <col min="11249" max="11249" width="12.85546875" style="365" customWidth="1"/>
    <col min="11250" max="11250" width="0" style="365" hidden="1" customWidth="1"/>
    <col min="11251" max="11251" width="14.42578125" style="365" customWidth="1"/>
    <col min="11252" max="11252" width="0" style="365" hidden="1" customWidth="1"/>
    <col min="11253" max="11253" width="17.42578125" style="365" customWidth="1"/>
    <col min="11254" max="11254" width="0" style="365" hidden="1" customWidth="1"/>
    <col min="11255" max="11255" width="14" style="365" customWidth="1"/>
    <col min="11256" max="11256" width="14.28515625" style="365" bestFit="1" customWidth="1"/>
    <col min="11257" max="11257" width="0" style="365" hidden="1" customWidth="1"/>
    <col min="11258" max="11258" width="15.5703125" style="365" customWidth="1"/>
    <col min="11259" max="11259" width="44.5703125" style="365" customWidth="1"/>
    <col min="11260" max="11260" width="14.28515625" style="365" bestFit="1" customWidth="1"/>
    <col min="11261" max="11261" width="0" style="365" hidden="1" customWidth="1"/>
    <col min="11262" max="11262" width="18.140625" style="365" customWidth="1"/>
    <col min="11263" max="11263" width="0" style="365" hidden="1" customWidth="1"/>
    <col min="11264" max="11264" width="14" style="365" customWidth="1"/>
    <col min="11265" max="11265" width="0" style="365" hidden="1" customWidth="1"/>
    <col min="11266" max="11266" width="20.85546875" style="365" customWidth="1"/>
    <col min="11267" max="11267" width="0" style="365" hidden="1" customWidth="1"/>
    <col min="11268" max="11268" width="13.28515625" style="365" customWidth="1"/>
    <col min="11269" max="11269" width="0" style="365" hidden="1" customWidth="1"/>
    <col min="11270" max="11270" width="15" style="365" customWidth="1"/>
    <col min="11271" max="11271" width="0" style="365" hidden="1" customWidth="1"/>
    <col min="11272" max="11272" width="13.28515625" style="365" customWidth="1"/>
    <col min="11273" max="11273" width="0" style="365" hidden="1" customWidth="1"/>
    <col min="11274" max="11274" width="20.140625" style="365" customWidth="1"/>
    <col min="11275" max="11275" width="14.42578125" style="365" bestFit="1" customWidth="1"/>
    <col min="11276" max="11276" width="14" style="365" bestFit="1" customWidth="1"/>
    <col min="11277" max="11277" width="12.28515625" style="365" bestFit="1" customWidth="1"/>
    <col min="11278" max="11302" width="9.140625" style="365" customWidth="1"/>
    <col min="11303" max="11497" width="8.85546875" style="365"/>
    <col min="11498" max="11498" width="44.5703125" style="365" customWidth="1"/>
    <col min="11499" max="11499" width="14.28515625" style="365" bestFit="1" customWidth="1"/>
    <col min="11500" max="11500" width="1.7109375" style="365" customWidth="1"/>
    <col min="11501" max="11501" width="14.85546875" style="365" customWidth="1"/>
    <col min="11502" max="11502" width="0" style="365" hidden="1" customWidth="1"/>
    <col min="11503" max="11503" width="17.42578125" style="365" customWidth="1"/>
    <col min="11504" max="11504" width="0" style="365" hidden="1" customWidth="1"/>
    <col min="11505" max="11505" width="12.85546875" style="365" customWidth="1"/>
    <col min="11506" max="11506" width="0" style="365" hidden="1" customWidth="1"/>
    <col min="11507" max="11507" width="14.42578125" style="365" customWidth="1"/>
    <col min="11508" max="11508" width="0" style="365" hidden="1" customWidth="1"/>
    <col min="11509" max="11509" width="17.42578125" style="365" customWidth="1"/>
    <col min="11510" max="11510" width="0" style="365" hidden="1" customWidth="1"/>
    <col min="11511" max="11511" width="14" style="365" customWidth="1"/>
    <col min="11512" max="11512" width="14.28515625" style="365" bestFit="1" customWidth="1"/>
    <col min="11513" max="11513" width="0" style="365" hidden="1" customWidth="1"/>
    <col min="11514" max="11514" width="15.5703125" style="365" customWidth="1"/>
    <col min="11515" max="11515" width="44.5703125" style="365" customWidth="1"/>
    <col min="11516" max="11516" width="14.28515625" style="365" bestFit="1" customWidth="1"/>
    <col min="11517" max="11517" width="0" style="365" hidden="1" customWidth="1"/>
    <col min="11518" max="11518" width="18.140625" style="365" customWidth="1"/>
    <col min="11519" max="11519" width="0" style="365" hidden="1" customWidth="1"/>
    <col min="11520" max="11520" width="14" style="365" customWidth="1"/>
    <col min="11521" max="11521" width="0" style="365" hidden="1" customWidth="1"/>
    <col min="11522" max="11522" width="20.85546875" style="365" customWidth="1"/>
    <col min="11523" max="11523" width="0" style="365" hidden="1" customWidth="1"/>
    <col min="11524" max="11524" width="13.28515625" style="365" customWidth="1"/>
    <col min="11525" max="11525" width="0" style="365" hidden="1" customWidth="1"/>
    <col min="11526" max="11526" width="15" style="365" customWidth="1"/>
    <col min="11527" max="11527" width="0" style="365" hidden="1" customWidth="1"/>
    <col min="11528" max="11528" width="13.28515625" style="365" customWidth="1"/>
    <col min="11529" max="11529" width="0" style="365" hidden="1" customWidth="1"/>
    <col min="11530" max="11530" width="20.140625" style="365" customWidth="1"/>
    <col min="11531" max="11531" width="14.42578125" style="365" bestFit="1" customWidth="1"/>
    <col min="11532" max="11532" width="14" style="365" bestFit="1" customWidth="1"/>
    <col min="11533" max="11533" width="12.28515625" style="365" bestFit="1" customWidth="1"/>
    <col min="11534" max="11558" width="9.140625" style="365" customWidth="1"/>
    <col min="11559" max="11753" width="8.85546875" style="365"/>
    <col min="11754" max="11754" width="44.5703125" style="365" customWidth="1"/>
    <col min="11755" max="11755" width="14.28515625" style="365" bestFit="1" customWidth="1"/>
    <col min="11756" max="11756" width="1.7109375" style="365" customWidth="1"/>
    <col min="11757" max="11757" width="14.85546875" style="365" customWidth="1"/>
    <col min="11758" max="11758" width="0" style="365" hidden="1" customWidth="1"/>
    <col min="11759" max="11759" width="17.42578125" style="365" customWidth="1"/>
    <col min="11760" max="11760" width="0" style="365" hidden="1" customWidth="1"/>
    <col min="11761" max="11761" width="12.85546875" style="365" customWidth="1"/>
    <col min="11762" max="11762" width="0" style="365" hidden="1" customWidth="1"/>
    <col min="11763" max="11763" width="14.42578125" style="365" customWidth="1"/>
    <col min="11764" max="11764" width="0" style="365" hidden="1" customWidth="1"/>
    <col min="11765" max="11765" width="17.42578125" style="365" customWidth="1"/>
    <col min="11766" max="11766" width="0" style="365" hidden="1" customWidth="1"/>
    <col min="11767" max="11767" width="14" style="365" customWidth="1"/>
    <col min="11768" max="11768" width="14.28515625" style="365" bestFit="1" customWidth="1"/>
    <col min="11769" max="11769" width="0" style="365" hidden="1" customWidth="1"/>
    <col min="11770" max="11770" width="15.5703125" style="365" customWidth="1"/>
    <col min="11771" max="11771" width="44.5703125" style="365" customWidth="1"/>
    <col min="11772" max="11772" width="14.28515625" style="365" bestFit="1" customWidth="1"/>
    <col min="11773" max="11773" width="0" style="365" hidden="1" customWidth="1"/>
    <col min="11774" max="11774" width="18.140625" style="365" customWidth="1"/>
    <col min="11775" max="11775" width="0" style="365" hidden="1" customWidth="1"/>
    <col min="11776" max="11776" width="14" style="365" customWidth="1"/>
    <col min="11777" max="11777" width="0" style="365" hidden="1" customWidth="1"/>
    <col min="11778" max="11778" width="20.85546875" style="365" customWidth="1"/>
    <col min="11779" max="11779" width="0" style="365" hidden="1" customWidth="1"/>
    <col min="11780" max="11780" width="13.28515625" style="365" customWidth="1"/>
    <col min="11781" max="11781" width="0" style="365" hidden="1" customWidth="1"/>
    <col min="11782" max="11782" width="15" style="365" customWidth="1"/>
    <col min="11783" max="11783" width="0" style="365" hidden="1" customWidth="1"/>
    <col min="11784" max="11784" width="13.28515625" style="365" customWidth="1"/>
    <col min="11785" max="11785" width="0" style="365" hidden="1" customWidth="1"/>
    <col min="11786" max="11786" width="20.140625" style="365" customWidth="1"/>
    <col min="11787" max="11787" width="14.42578125" style="365" bestFit="1" customWidth="1"/>
    <col min="11788" max="11788" width="14" style="365" bestFit="1" customWidth="1"/>
    <col min="11789" max="11789" width="12.28515625" style="365" bestFit="1" customWidth="1"/>
    <col min="11790" max="11814" width="9.140625" style="365" customWidth="1"/>
    <col min="11815" max="12009" width="8.85546875" style="365"/>
    <col min="12010" max="12010" width="44.5703125" style="365" customWidth="1"/>
    <col min="12011" max="12011" width="14.28515625" style="365" bestFit="1" customWidth="1"/>
    <col min="12012" max="12012" width="1.7109375" style="365" customWidth="1"/>
    <col min="12013" max="12013" width="14.85546875" style="365" customWidth="1"/>
    <col min="12014" max="12014" width="0" style="365" hidden="1" customWidth="1"/>
    <col min="12015" max="12015" width="17.42578125" style="365" customWidth="1"/>
    <col min="12016" max="12016" width="0" style="365" hidden="1" customWidth="1"/>
    <col min="12017" max="12017" width="12.85546875" style="365" customWidth="1"/>
    <col min="12018" max="12018" width="0" style="365" hidden="1" customWidth="1"/>
    <col min="12019" max="12019" width="14.42578125" style="365" customWidth="1"/>
    <col min="12020" max="12020" width="0" style="365" hidden="1" customWidth="1"/>
    <col min="12021" max="12021" width="17.42578125" style="365" customWidth="1"/>
    <col min="12022" max="12022" width="0" style="365" hidden="1" customWidth="1"/>
    <col min="12023" max="12023" width="14" style="365" customWidth="1"/>
    <col min="12024" max="12024" width="14.28515625" style="365" bestFit="1" customWidth="1"/>
    <col min="12025" max="12025" width="0" style="365" hidden="1" customWidth="1"/>
    <col min="12026" max="12026" width="15.5703125" style="365" customWidth="1"/>
    <col min="12027" max="12027" width="44.5703125" style="365" customWidth="1"/>
    <col min="12028" max="12028" width="14.28515625" style="365" bestFit="1" customWidth="1"/>
    <col min="12029" max="12029" width="0" style="365" hidden="1" customWidth="1"/>
    <col min="12030" max="12030" width="18.140625" style="365" customWidth="1"/>
    <col min="12031" max="12031" width="0" style="365" hidden="1" customWidth="1"/>
    <col min="12032" max="12032" width="14" style="365" customWidth="1"/>
    <col min="12033" max="12033" width="0" style="365" hidden="1" customWidth="1"/>
    <col min="12034" max="12034" width="20.85546875" style="365" customWidth="1"/>
    <col min="12035" max="12035" width="0" style="365" hidden="1" customWidth="1"/>
    <col min="12036" max="12036" width="13.28515625" style="365" customWidth="1"/>
    <col min="12037" max="12037" width="0" style="365" hidden="1" customWidth="1"/>
    <col min="12038" max="12038" width="15" style="365" customWidth="1"/>
    <col min="12039" max="12039" width="0" style="365" hidden="1" customWidth="1"/>
    <col min="12040" max="12040" width="13.28515625" style="365" customWidth="1"/>
    <col min="12041" max="12041" width="0" style="365" hidden="1" customWidth="1"/>
    <col min="12042" max="12042" width="20.140625" style="365" customWidth="1"/>
    <col min="12043" max="12043" width="14.42578125" style="365" bestFit="1" customWidth="1"/>
    <col min="12044" max="12044" width="14" style="365" bestFit="1" customWidth="1"/>
    <col min="12045" max="12045" width="12.28515625" style="365" bestFit="1" customWidth="1"/>
    <col min="12046" max="12070" width="9.140625" style="365" customWidth="1"/>
    <col min="12071" max="12265" width="8.85546875" style="365"/>
    <col min="12266" max="12266" width="44.5703125" style="365" customWidth="1"/>
    <col min="12267" max="12267" width="14.28515625" style="365" bestFit="1" customWidth="1"/>
    <col min="12268" max="12268" width="1.7109375" style="365" customWidth="1"/>
    <col min="12269" max="12269" width="14.85546875" style="365" customWidth="1"/>
    <col min="12270" max="12270" width="0" style="365" hidden="1" customWidth="1"/>
    <col min="12271" max="12271" width="17.42578125" style="365" customWidth="1"/>
    <col min="12272" max="12272" width="0" style="365" hidden="1" customWidth="1"/>
    <col min="12273" max="12273" width="12.85546875" style="365" customWidth="1"/>
    <col min="12274" max="12274" width="0" style="365" hidden="1" customWidth="1"/>
    <col min="12275" max="12275" width="14.42578125" style="365" customWidth="1"/>
    <col min="12276" max="12276" width="0" style="365" hidden="1" customWidth="1"/>
    <col min="12277" max="12277" width="17.42578125" style="365" customWidth="1"/>
    <col min="12278" max="12278" width="0" style="365" hidden="1" customWidth="1"/>
    <col min="12279" max="12279" width="14" style="365" customWidth="1"/>
    <col min="12280" max="12280" width="14.28515625" style="365" bestFit="1" customWidth="1"/>
    <col min="12281" max="12281" width="0" style="365" hidden="1" customWidth="1"/>
    <col min="12282" max="12282" width="15.5703125" style="365" customWidth="1"/>
    <col min="12283" max="12283" width="44.5703125" style="365" customWidth="1"/>
    <col min="12284" max="12284" width="14.28515625" style="365" bestFit="1" customWidth="1"/>
    <col min="12285" max="12285" width="0" style="365" hidden="1" customWidth="1"/>
    <col min="12286" max="12286" width="18.140625" style="365" customWidth="1"/>
    <col min="12287" max="12287" width="0" style="365" hidden="1" customWidth="1"/>
    <col min="12288" max="12288" width="14" style="365" customWidth="1"/>
    <col min="12289" max="12289" width="0" style="365" hidden="1" customWidth="1"/>
    <col min="12290" max="12290" width="20.85546875" style="365" customWidth="1"/>
    <col min="12291" max="12291" width="0" style="365" hidden="1" customWidth="1"/>
    <col min="12292" max="12292" width="13.28515625" style="365" customWidth="1"/>
    <col min="12293" max="12293" width="0" style="365" hidden="1" customWidth="1"/>
    <col min="12294" max="12294" width="15" style="365" customWidth="1"/>
    <col min="12295" max="12295" width="0" style="365" hidden="1" customWidth="1"/>
    <col min="12296" max="12296" width="13.28515625" style="365" customWidth="1"/>
    <col min="12297" max="12297" width="0" style="365" hidden="1" customWidth="1"/>
    <col min="12298" max="12298" width="20.140625" style="365" customWidth="1"/>
    <col min="12299" max="12299" width="14.42578125" style="365" bestFit="1" customWidth="1"/>
    <col min="12300" max="12300" width="14" style="365" bestFit="1" customWidth="1"/>
    <col min="12301" max="12301" width="12.28515625" style="365" bestFit="1" customWidth="1"/>
    <col min="12302" max="12326" width="9.140625" style="365" customWidth="1"/>
    <col min="12327" max="12521" width="8.85546875" style="365"/>
    <col min="12522" max="12522" width="44.5703125" style="365" customWidth="1"/>
    <col min="12523" max="12523" width="14.28515625" style="365" bestFit="1" customWidth="1"/>
    <col min="12524" max="12524" width="1.7109375" style="365" customWidth="1"/>
    <col min="12525" max="12525" width="14.85546875" style="365" customWidth="1"/>
    <col min="12526" max="12526" width="0" style="365" hidden="1" customWidth="1"/>
    <col min="12527" max="12527" width="17.42578125" style="365" customWidth="1"/>
    <col min="12528" max="12528" width="0" style="365" hidden="1" customWidth="1"/>
    <col min="12529" max="12529" width="12.85546875" style="365" customWidth="1"/>
    <col min="12530" max="12530" width="0" style="365" hidden="1" customWidth="1"/>
    <col min="12531" max="12531" width="14.42578125" style="365" customWidth="1"/>
    <col min="12532" max="12532" width="0" style="365" hidden="1" customWidth="1"/>
    <col min="12533" max="12533" width="17.42578125" style="365" customWidth="1"/>
    <col min="12534" max="12534" width="0" style="365" hidden="1" customWidth="1"/>
    <col min="12535" max="12535" width="14" style="365" customWidth="1"/>
    <col min="12536" max="12536" width="14.28515625" style="365" bestFit="1" customWidth="1"/>
    <col min="12537" max="12537" width="0" style="365" hidden="1" customWidth="1"/>
    <col min="12538" max="12538" width="15.5703125" style="365" customWidth="1"/>
    <col min="12539" max="12539" width="44.5703125" style="365" customWidth="1"/>
    <col min="12540" max="12540" width="14.28515625" style="365" bestFit="1" customWidth="1"/>
    <col min="12541" max="12541" width="0" style="365" hidden="1" customWidth="1"/>
    <col min="12542" max="12542" width="18.140625" style="365" customWidth="1"/>
    <col min="12543" max="12543" width="0" style="365" hidden="1" customWidth="1"/>
    <col min="12544" max="12544" width="14" style="365" customWidth="1"/>
    <col min="12545" max="12545" width="0" style="365" hidden="1" customWidth="1"/>
    <col min="12546" max="12546" width="20.85546875" style="365" customWidth="1"/>
    <col min="12547" max="12547" width="0" style="365" hidden="1" customWidth="1"/>
    <col min="12548" max="12548" width="13.28515625" style="365" customWidth="1"/>
    <col min="12549" max="12549" width="0" style="365" hidden="1" customWidth="1"/>
    <col min="12550" max="12550" width="15" style="365" customWidth="1"/>
    <col min="12551" max="12551" width="0" style="365" hidden="1" customWidth="1"/>
    <col min="12552" max="12552" width="13.28515625" style="365" customWidth="1"/>
    <col min="12553" max="12553" width="0" style="365" hidden="1" customWidth="1"/>
    <col min="12554" max="12554" width="20.140625" style="365" customWidth="1"/>
    <col min="12555" max="12555" width="14.42578125" style="365" bestFit="1" customWidth="1"/>
    <col min="12556" max="12556" width="14" style="365" bestFit="1" customWidth="1"/>
    <col min="12557" max="12557" width="12.28515625" style="365" bestFit="1" customWidth="1"/>
    <col min="12558" max="12582" width="9.140625" style="365" customWidth="1"/>
    <col min="12583" max="12777" width="8.85546875" style="365"/>
    <col min="12778" max="12778" width="44.5703125" style="365" customWidth="1"/>
    <col min="12779" max="12779" width="14.28515625" style="365" bestFit="1" customWidth="1"/>
    <col min="12780" max="12780" width="1.7109375" style="365" customWidth="1"/>
    <col min="12781" max="12781" width="14.85546875" style="365" customWidth="1"/>
    <col min="12782" max="12782" width="0" style="365" hidden="1" customWidth="1"/>
    <col min="12783" max="12783" width="17.42578125" style="365" customWidth="1"/>
    <col min="12784" max="12784" width="0" style="365" hidden="1" customWidth="1"/>
    <col min="12785" max="12785" width="12.85546875" style="365" customWidth="1"/>
    <col min="12786" max="12786" width="0" style="365" hidden="1" customWidth="1"/>
    <col min="12787" max="12787" width="14.42578125" style="365" customWidth="1"/>
    <col min="12788" max="12788" width="0" style="365" hidden="1" customWidth="1"/>
    <col min="12789" max="12789" width="17.42578125" style="365" customWidth="1"/>
    <col min="12790" max="12790" width="0" style="365" hidden="1" customWidth="1"/>
    <col min="12791" max="12791" width="14" style="365" customWidth="1"/>
    <col min="12792" max="12792" width="14.28515625" style="365" bestFit="1" customWidth="1"/>
    <col min="12793" max="12793" width="0" style="365" hidden="1" customWidth="1"/>
    <col min="12794" max="12794" width="15.5703125" style="365" customWidth="1"/>
    <col min="12795" max="12795" width="44.5703125" style="365" customWidth="1"/>
    <col min="12796" max="12796" width="14.28515625" style="365" bestFit="1" customWidth="1"/>
    <col min="12797" max="12797" width="0" style="365" hidden="1" customWidth="1"/>
    <col min="12798" max="12798" width="18.140625" style="365" customWidth="1"/>
    <col min="12799" max="12799" width="0" style="365" hidden="1" customWidth="1"/>
    <col min="12800" max="12800" width="14" style="365" customWidth="1"/>
    <col min="12801" max="12801" width="0" style="365" hidden="1" customWidth="1"/>
    <col min="12802" max="12802" width="20.85546875" style="365" customWidth="1"/>
    <col min="12803" max="12803" width="0" style="365" hidden="1" customWidth="1"/>
    <col min="12804" max="12804" width="13.28515625" style="365" customWidth="1"/>
    <col min="12805" max="12805" width="0" style="365" hidden="1" customWidth="1"/>
    <col min="12806" max="12806" width="15" style="365" customWidth="1"/>
    <col min="12807" max="12807" width="0" style="365" hidden="1" customWidth="1"/>
    <col min="12808" max="12808" width="13.28515625" style="365" customWidth="1"/>
    <col min="12809" max="12809" width="0" style="365" hidden="1" customWidth="1"/>
    <col min="12810" max="12810" width="20.140625" style="365" customWidth="1"/>
    <col min="12811" max="12811" width="14.42578125" style="365" bestFit="1" customWidth="1"/>
    <col min="12812" max="12812" width="14" style="365" bestFit="1" customWidth="1"/>
    <col min="12813" max="12813" width="12.28515625" style="365" bestFit="1" customWidth="1"/>
    <col min="12814" max="12838" width="9.140625" style="365" customWidth="1"/>
    <col min="12839" max="13033" width="8.85546875" style="365"/>
    <col min="13034" max="13034" width="44.5703125" style="365" customWidth="1"/>
    <col min="13035" max="13035" width="14.28515625" style="365" bestFit="1" customWidth="1"/>
    <col min="13036" max="13036" width="1.7109375" style="365" customWidth="1"/>
    <col min="13037" max="13037" width="14.85546875" style="365" customWidth="1"/>
    <col min="13038" max="13038" width="0" style="365" hidden="1" customWidth="1"/>
    <col min="13039" max="13039" width="17.42578125" style="365" customWidth="1"/>
    <col min="13040" max="13040" width="0" style="365" hidden="1" customWidth="1"/>
    <col min="13041" max="13041" width="12.85546875" style="365" customWidth="1"/>
    <col min="13042" max="13042" width="0" style="365" hidden="1" customWidth="1"/>
    <col min="13043" max="13043" width="14.42578125" style="365" customWidth="1"/>
    <col min="13044" max="13044" width="0" style="365" hidden="1" customWidth="1"/>
    <col min="13045" max="13045" width="17.42578125" style="365" customWidth="1"/>
    <col min="13046" max="13046" width="0" style="365" hidden="1" customWidth="1"/>
    <col min="13047" max="13047" width="14" style="365" customWidth="1"/>
    <col min="13048" max="13048" width="14.28515625" style="365" bestFit="1" customWidth="1"/>
    <col min="13049" max="13049" width="0" style="365" hidden="1" customWidth="1"/>
    <col min="13050" max="13050" width="15.5703125" style="365" customWidth="1"/>
    <col min="13051" max="13051" width="44.5703125" style="365" customWidth="1"/>
    <col min="13052" max="13052" width="14.28515625" style="365" bestFit="1" customWidth="1"/>
    <col min="13053" max="13053" width="0" style="365" hidden="1" customWidth="1"/>
    <col min="13054" max="13054" width="18.140625" style="365" customWidth="1"/>
    <col min="13055" max="13055" width="0" style="365" hidden="1" customWidth="1"/>
    <col min="13056" max="13056" width="14" style="365" customWidth="1"/>
    <col min="13057" max="13057" width="0" style="365" hidden="1" customWidth="1"/>
    <col min="13058" max="13058" width="20.85546875" style="365" customWidth="1"/>
    <col min="13059" max="13059" width="0" style="365" hidden="1" customWidth="1"/>
    <col min="13060" max="13060" width="13.28515625" style="365" customWidth="1"/>
    <col min="13061" max="13061" width="0" style="365" hidden="1" customWidth="1"/>
    <col min="13062" max="13062" width="15" style="365" customWidth="1"/>
    <col min="13063" max="13063" width="0" style="365" hidden="1" customWidth="1"/>
    <col min="13064" max="13064" width="13.28515625" style="365" customWidth="1"/>
    <col min="13065" max="13065" width="0" style="365" hidden="1" customWidth="1"/>
    <col min="13066" max="13066" width="20.140625" style="365" customWidth="1"/>
    <col min="13067" max="13067" width="14.42578125" style="365" bestFit="1" customWidth="1"/>
    <col min="13068" max="13068" width="14" style="365" bestFit="1" customWidth="1"/>
    <col min="13069" max="13069" width="12.28515625" style="365" bestFit="1" customWidth="1"/>
    <col min="13070" max="13094" width="9.140625" style="365" customWidth="1"/>
    <col min="13095" max="13289" width="8.85546875" style="365"/>
    <col min="13290" max="13290" width="44.5703125" style="365" customWidth="1"/>
    <col min="13291" max="13291" width="14.28515625" style="365" bestFit="1" customWidth="1"/>
    <col min="13292" max="13292" width="1.7109375" style="365" customWidth="1"/>
    <col min="13293" max="13293" width="14.85546875" style="365" customWidth="1"/>
    <col min="13294" max="13294" width="0" style="365" hidden="1" customWidth="1"/>
    <col min="13295" max="13295" width="17.42578125" style="365" customWidth="1"/>
    <col min="13296" max="13296" width="0" style="365" hidden="1" customWidth="1"/>
    <col min="13297" max="13297" width="12.85546875" style="365" customWidth="1"/>
    <col min="13298" max="13298" width="0" style="365" hidden="1" customWidth="1"/>
    <col min="13299" max="13299" width="14.42578125" style="365" customWidth="1"/>
    <col min="13300" max="13300" width="0" style="365" hidden="1" customWidth="1"/>
    <col min="13301" max="13301" width="17.42578125" style="365" customWidth="1"/>
    <col min="13302" max="13302" width="0" style="365" hidden="1" customWidth="1"/>
    <col min="13303" max="13303" width="14" style="365" customWidth="1"/>
    <col min="13304" max="13304" width="14.28515625" style="365" bestFit="1" customWidth="1"/>
    <col min="13305" max="13305" width="0" style="365" hidden="1" customWidth="1"/>
    <col min="13306" max="13306" width="15.5703125" style="365" customWidth="1"/>
    <col min="13307" max="13307" width="44.5703125" style="365" customWidth="1"/>
    <col min="13308" max="13308" width="14.28515625" style="365" bestFit="1" customWidth="1"/>
    <col min="13309" max="13309" width="0" style="365" hidden="1" customWidth="1"/>
    <col min="13310" max="13310" width="18.140625" style="365" customWidth="1"/>
    <col min="13311" max="13311" width="0" style="365" hidden="1" customWidth="1"/>
    <col min="13312" max="13312" width="14" style="365" customWidth="1"/>
    <col min="13313" max="13313" width="0" style="365" hidden="1" customWidth="1"/>
    <col min="13314" max="13314" width="20.85546875" style="365" customWidth="1"/>
    <col min="13315" max="13315" width="0" style="365" hidden="1" customWidth="1"/>
    <col min="13316" max="13316" width="13.28515625" style="365" customWidth="1"/>
    <col min="13317" max="13317" width="0" style="365" hidden="1" customWidth="1"/>
    <col min="13318" max="13318" width="15" style="365" customWidth="1"/>
    <col min="13319" max="13319" width="0" style="365" hidden="1" customWidth="1"/>
    <col min="13320" max="13320" width="13.28515625" style="365" customWidth="1"/>
    <col min="13321" max="13321" width="0" style="365" hidden="1" customWidth="1"/>
    <col min="13322" max="13322" width="20.140625" style="365" customWidth="1"/>
    <col min="13323" max="13323" width="14.42578125" style="365" bestFit="1" customWidth="1"/>
    <col min="13324" max="13324" width="14" style="365" bestFit="1" customWidth="1"/>
    <col min="13325" max="13325" width="12.28515625" style="365" bestFit="1" customWidth="1"/>
    <col min="13326" max="13350" width="9.140625" style="365" customWidth="1"/>
    <col min="13351" max="13545" width="8.85546875" style="365"/>
    <col min="13546" max="13546" width="44.5703125" style="365" customWidth="1"/>
    <col min="13547" max="13547" width="14.28515625" style="365" bestFit="1" customWidth="1"/>
    <col min="13548" max="13548" width="1.7109375" style="365" customWidth="1"/>
    <col min="13549" max="13549" width="14.85546875" style="365" customWidth="1"/>
    <col min="13550" max="13550" width="0" style="365" hidden="1" customWidth="1"/>
    <col min="13551" max="13551" width="17.42578125" style="365" customWidth="1"/>
    <col min="13552" max="13552" width="0" style="365" hidden="1" customWidth="1"/>
    <col min="13553" max="13553" width="12.85546875" style="365" customWidth="1"/>
    <col min="13554" max="13554" width="0" style="365" hidden="1" customWidth="1"/>
    <col min="13555" max="13555" width="14.42578125" style="365" customWidth="1"/>
    <col min="13556" max="13556" width="0" style="365" hidden="1" customWidth="1"/>
    <col min="13557" max="13557" width="17.42578125" style="365" customWidth="1"/>
    <col min="13558" max="13558" width="0" style="365" hidden="1" customWidth="1"/>
    <col min="13559" max="13559" width="14" style="365" customWidth="1"/>
    <col min="13560" max="13560" width="14.28515625" style="365" bestFit="1" customWidth="1"/>
    <col min="13561" max="13561" width="0" style="365" hidden="1" customWidth="1"/>
    <col min="13562" max="13562" width="15.5703125" style="365" customWidth="1"/>
    <col min="13563" max="13563" width="44.5703125" style="365" customWidth="1"/>
    <col min="13564" max="13564" width="14.28515625" style="365" bestFit="1" customWidth="1"/>
    <col min="13565" max="13565" width="0" style="365" hidden="1" customWidth="1"/>
    <col min="13566" max="13566" width="18.140625" style="365" customWidth="1"/>
    <col min="13567" max="13567" width="0" style="365" hidden="1" customWidth="1"/>
    <col min="13568" max="13568" width="14" style="365" customWidth="1"/>
    <col min="13569" max="13569" width="0" style="365" hidden="1" customWidth="1"/>
    <col min="13570" max="13570" width="20.85546875" style="365" customWidth="1"/>
    <col min="13571" max="13571" width="0" style="365" hidden="1" customWidth="1"/>
    <col min="13572" max="13572" width="13.28515625" style="365" customWidth="1"/>
    <col min="13573" max="13573" width="0" style="365" hidden="1" customWidth="1"/>
    <col min="13574" max="13574" width="15" style="365" customWidth="1"/>
    <col min="13575" max="13575" width="0" style="365" hidden="1" customWidth="1"/>
    <col min="13576" max="13576" width="13.28515625" style="365" customWidth="1"/>
    <col min="13577" max="13577" width="0" style="365" hidden="1" customWidth="1"/>
    <col min="13578" max="13578" width="20.140625" style="365" customWidth="1"/>
    <col min="13579" max="13579" width="14.42578125" style="365" bestFit="1" customWidth="1"/>
    <col min="13580" max="13580" width="14" style="365" bestFit="1" customWidth="1"/>
    <col min="13581" max="13581" width="12.28515625" style="365" bestFit="1" customWidth="1"/>
    <col min="13582" max="13606" width="9.140625" style="365" customWidth="1"/>
    <col min="13607" max="13801" width="8.85546875" style="365"/>
    <col min="13802" max="13802" width="44.5703125" style="365" customWidth="1"/>
    <col min="13803" max="13803" width="14.28515625" style="365" bestFit="1" customWidth="1"/>
    <col min="13804" max="13804" width="1.7109375" style="365" customWidth="1"/>
    <col min="13805" max="13805" width="14.85546875" style="365" customWidth="1"/>
    <col min="13806" max="13806" width="0" style="365" hidden="1" customWidth="1"/>
    <col min="13807" max="13807" width="17.42578125" style="365" customWidth="1"/>
    <col min="13808" max="13808" width="0" style="365" hidden="1" customWidth="1"/>
    <col min="13809" max="13809" width="12.85546875" style="365" customWidth="1"/>
    <col min="13810" max="13810" width="0" style="365" hidden="1" customWidth="1"/>
    <col min="13811" max="13811" width="14.42578125" style="365" customWidth="1"/>
    <col min="13812" max="13812" width="0" style="365" hidden="1" customWidth="1"/>
    <col min="13813" max="13813" width="17.42578125" style="365" customWidth="1"/>
    <col min="13814" max="13814" width="0" style="365" hidden="1" customWidth="1"/>
    <col min="13815" max="13815" width="14" style="365" customWidth="1"/>
    <col min="13816" max="13816" width="14.28515625" style="365" bestFit="1" customWidth="1"/>
    <col min="13817" max="13817" width="0" style="365" hidden="1" customWidth="1"/>
    <col min="13818" max="13818" width="15.5703125" style="365" customWidth="1"/>
    <col min="13819" max="13819" width="44.5703125" style="365" customWidth="1"/>
    <col min="13820" max="13820" width="14.28515625" style="365" bestFit="1" customWidth="1"/>
    <col min="13821" max="13821" width="0" style="365" hidden="1" customWidth="1"/>
    <col min="13822" max="13822" width="18.140625" style="365" customWidth="1"/>
    <col min="13823" max="13823" width="0" style="365" hidden="1" customWidth="1"/>
    <col min="13824" max="13824" width="14" style="365" customWidth="1"/>
    <col min="13825" max="13825" width="0" style="365" hidden="1" customWidth="1"/>
    <col min="13826" max="13826" width="20.85546875" style="365" customWidth="1"/>
    <col min="13827" max="13827" width="0" style="365" hidden="1" customWidth="1"/>
    <col min="13828" max="13828" width="13.28515625" style="365" customWidth="1"/>
    <col min="13829" max="13829" width="0" style="365" hidden="1" customWidth="1"/>
    <col min="13830" max="13830" width="15" style="365" customWidth="1"/>
    <col min="13831" max="13831" width="0" style="365" hidden="1" customWidth="1"/>
    <col min="13832" max="13832" width="13.28515625" style="365" customWidth="1"/>
    <col min="13833" max="13833" width="0" style="365" hidden="1" customWidth="1"/>
    <col min="13834" max="13834" width="20.140625" style="365" customWidth="1"/>
    <col min="13835" max="13835" width="14.42578125" style="365" bestFit="1" customWidth="1"/>
    <col min="13836" max="13836" width="14" style="365" bestFit="1" customWidth="1"/>
    <col min="13837" max="13837" width="12.28515625" style="365" bestFit="1" customWidth="1"/>
    <col min="13838" max="13862" width="9.140625" style="365" customWidth="1"/>
    <col min="13863" max="14057" width="8.85546875" style="365"/>
    <col min="14058" max="14058" width="44.5703125" style="365" customWidth="1"/>
    <col min="14059" max="14059" width="14.28515625" style="365" bestFit="1" customWidth="1"/>
    <col min="14060" max="14060" width="1.7109375" style="365" customWidth="1"/>
    <col min="14061" max="14061" width="14.85546875" style="365" customWidth="1"/>
    <col min="14062" max="14062" width="0" style="365" hidden="1" customWidth="1"/>
    <col min="14063" max="14063" width="17.42578125" style="365" customWidth="1"/>
    <col min="14064" max="14064" width="0" style="365" hidden="1" customWidth="1"/>
    <col min="14065" max="14065" width="12.85546875" style="365" customWidth="1"/>
    <col min="14066" max="14066" width="0" style="365" hidden="1" customWidth="1"/>
    <col min="14067" max="14067" width="14.42578125" style="365" customWidth="1"/>
    <col min="14068" max="14068" width="0" style="365" hidden="1" customWidth="1"/>
    <col min="14069" max="14069" width="17.42578125" style="365" customWidth="1"/>
    <col min="14070" max="14070" width="0" style="365" hidden="1" customWidth="1"/>
    <col min="14071" max="14071" width="14" style="365" customWidth="1"/>
    <col min="14072" max="14072" width="14.28515625" style="365" bestFit="1" customWidth="1"/>
    <col min="14073" max="14073" width="0" style="365" hidden="1" customWidth="1"/>
    <col min="14074" max="14074" width="15.5703125" style="365" customWidth="1"/>
    <col min="14075" max="14075" width="44.5703125" style="365" customWidth="1"/>
    <col min="14076" max="14076" width="14.28515625" style="365" bestFit="1" customWidth="1"/>
    <col min="14077" max="14077" width="0" style="365" hidden="1" customWidth="1"/>
    <col min="14078" max="14078" width="18.140625" style="365" customWidth="1"/>
    <col min="14079" max="14079" width="0" style="365" hidden="1" customWidth="1"/>
    <col min="14080" max="14080" width="14" style="365" customWidth="1"/>
    <col min="14081" max="14081" width="0" style="365" hidden="1" customWidth="1"/>
    <col min="14082" max="14082" width="20.85546875" style="365" customWidth="1"/>
    <col min="14083" max="14083" width="0" style="365" hidden="1" customWidth="1"/>
    <col min="14084" max="14084" width="13.28515625" style="365" customWidth="1"/>
    <col min="14085" max="14085" width="0" style="365" hidden="1" customWidth="1"/>
    <col min="14086" max="14086" width="15" style="365" customWidth="1"/>
    <col min="14087" max="14087" width="0" style="365" hidden="1" customWidth="1"/>
    <col min="14088" max="14088" width="13.28515625" style="365" customWidth="1"/>
    <col min="14089" max="14089" width="0" style="365" hidden="1" customWidth="1"/>
    <col min="14090" max="14090" width="20.140625" style="365" customWidth="1"/>
    <col min="14091" max="14091" width="14.42578125" style="365" bestFit="1" customWidth="1"/>
    <col min="14092" max="14092" width="14" style="365" bestFit="1" customWidth="1"/>
    <col min="14093" max="14093" width="12.28515625" style="365" bestFit="1" customWidth="1"/>
    <col min="14094" max="14118" width="9.140625" style="365" customWidth="1"/>
    <col min="14119" max="14313" width="8.85546875" style="365"/>
    <col min="14314" max="14314" width="44.5703125" style="365" customWidth="1"/>
    <col min="14315" max="14315" width="14.28515625" style="365" bestFit="1" customWidth="1"/>
    <col min="14316" max="14316" width="1.7109375" style="365" customWidth="1"/>
    <col min="14317" max="14317" width="14.85546875" style="365" customWidth="1"/>
    <col min="14318" max="14318" width="0" style="365" hidden="1" customWidth="1"/>
    <col min="14319" max="14319" width="17.42578125" style="365" customWidth="1"/>
    <col min="14320" max="14320" width="0" style="365" hidden="1" customWidth="1"/>
    <col min="14321" max="14321" width="12.85546875" style="365" customWidth="1"/>
    <col min="14322" max="14322" width="0" style="365" hidden="1" customWidth="1"/>
    <col min="14323" max="14323" width="14.42578125" style="365" customWidth="1"/>
    <col min="14324" max="14324" width="0" style="365" hidden="1" customWidth="1"/>
    <col min="14325" max="14325" width="17.42578125" style="365" customWidth="1"/>
    <col min="14326" max="14326" width="0" style="365" hidden="1" customWidth="1"/>
    <col min="14327" max="14327" width="14" style="365" customWidth="1"/>
    <col min="14328" max="14328" width="14.28515625" style="365" bestFit="1" customWidth="1"/>
    <col min="14329" max="14329" width="0" style="365" hidden="1" customWidth="1"/>
    <col min="14330" max="14330" width="15.5703125" style="365" customWidth="1"/>
    <col min="14331" max="14331" width="44.5703125" style="365" customWidth="1"/>
    <col min="14332" max="14332" width="14.28515625" style="365" bestFit="1" customWidth="1"/>
    <col min="14333" max="14333" width="0" style="365" hidden="1" customWidth="1"/>
    <col min="14334" max="14334" width="18.140625" style="365" customWidth="1"/>
    <col min="14335" max="14335" width="0" style="365" hidden="1" customWidth="1"/>
    <col min="14336" max="14336" width="14" style="365" customWidth="1"/>
    <col min="14337" max="14337" width="0" style="365" hidden="1" customWidth="1"/>
    <col min="14338" max="14338" width="20.85546875" style="365" customWidth="1"/>
    <col min="14339" max="14339" width="0" style="365" hidden="1" customWidth="1"/>
    <col min="14340" max="14340" width="13.28515625" style="365" customWidth="1"/>
    <col min="14341" max="14341" width="0" style="365" hidden="1" customWidth="1"/>
    <col min="14342" max="14342" width="15" style="365" customWidth="1"/>
    <col min="14343" max="14343" width="0" style="365" hidden="1" customWidth="1"/>
    <col min="14344" max="14344" width="13.28515625" style="365" customWidth="1"/>
    <col min="14345" max="14345" width="0" style="365" hidden="1" customWidth="1"/>
    <col min="14346" max="14346" width="20.140625" style="365" customWidth="1"/>
    <col min="14347" max="14347" width="14.42578125" style="365" bestFit="1" customWidth="1"/>
    <col min="14348" max="14348" width="14" style="365" bestFit="1" customWidth="1"/>
    <col min="14349" max="14349" width="12.28515625" style="365" bestFit="1" customWidth="1"/>
    <col min="14350" max="14374" width="9.140625" style="365" customWidth="1"/>
    <col min="14375" max="14569" width="8.85546875" style="365"/>
    <col min="14570" max="14570" width="44.5703125" style="365" customWidth="1"/>
    <col min="14571" max="14571" width="14.28515625" style="365" bestFit="1" customWidth="1"/>
    <col min="14572" max="14572" width="1.7109375" style="365" customWidth="1"/>
    <col min="14573" max="14573" width="14.85546875" style="365" customWidth="1"/>
    <col min="14574" max="14574" width="0" style="365" hidden="1" customWidth="1"/>
    <col min="14575" max="14575" width="17.42578125" style="365" customWidth="1"/>
    <col min="14576" max="14576" width="0" style="365" hidden="1" customWidth="1"/>
    <col min="14577" max="14577" width="12.85546875" style="365" customWidth="1"/>
    <col min="14578" max="14578" width="0" style="365" hidden="1" customWidth="1"/>
    <col min="14579" max="14579" width="14.42578125" style="365" customWidth="1"/>
    <col min="14580" max="14580" width="0" style="365" hidden="1" customWidth="1"/>
    <col min="14581" max="14581" width="17.42578125" style="365" customWidth="1"/>
    <col min="14582" max="14582" width="0" style="365" hidden="1" customWidth="1"/>
    <col min="14583" max="14583" width="14" style="365" customWidth="1"/>
    <col min="14584" max="14584" width="14.28515625" style="365" bestFit="1" customWidth="1"/>
    <col min="14585" max="14585" width="0" style="365" hidden="1" customWidth="1"/>
    <col min="14586" max="14586" width="15.5703125" style="365" customWidth="1"/>
    <col min="14587" max="14587" width="44.5703125" style="365" customWidth="1"/>
    <col min="14588" max="14588" width="14.28515625" style="365" bestFit="1" customWidth="1"/>
    <col min="14589" max="14589" width="0" style="365" hidden="1" customWidth="1"/>
    <col min="14590" max="14590" width="18.140625" style="365" customWidth="1"/>
    <col min="14591" max="14591" width="0" style="365" hidden="1" customWidth="1"/>
    <col min="14592" max="14592" width="14" style="365" customWidth="1"/>
    <col min="14593" max="14593" width="0" style="365" hidden="1" customWidth="1"/>
    <col min="14594" max="14594" width="20.85546875" style="365" customWidth="1"/>
    <col min="14595" max="14595" width="0" style="365" hidden="1" customWidth="1"/>
    <col min="14596" max="14596" width="13.28515625" style="365" customWidth="1"/>
    <col min="14597" max="14597" width="0" style="365" hidden="1" customWidth="1"/>
    <col min="14598" max="14598" width="15" style="365" customWidth="1"/>
    <col min="14599" max="14599" width="0" style="365" hidden="1" customWidth="1"/>
    <col min="14600" max="14600" width="13.28515625" style="365" customWidth="1"/>
    <col min="14601" max="14601" width="0" style="365" hidden="1" customWidth="1"/>
    <col min="14602" max="14602" width="20.140625" style="365" customWidth="1"/>
    <col min="14603" max="14603" width="14.42578125" style="365" bestFit="1" customWidth="1"/>
    <col min="14604" max="14604" width="14" style="365" bestFit="1" customWidth="1"/>
    <col min="14605" max="14605" width="12.28515625" style="365" bestFit="1" customWidth="1"/>
    <col min="14606" max="14630" width="9.140625" style="365" customWidth="1"/>
    <col min="14631" max="14825" width="8.85546875" style="365"/>
    <col min="14826" max="14826" width="44.5703125" style="365" customWidth="1"/>
    <col min="14827" max="14827" width="14.28515625" style="365" bestFit="1" customWidth="1"/>
    <col min="14828" max="14828" width="1.7109375" style="365" customWidth="1"/>
    <col min="14829" max="14829" width="14.85546875" style="365" customWidth="1"/>
    <col min="14830" max="14830" width="0" style="365" hidden="1" customWidth="1"/>
    <col min="14831" max="14831" width="17.42578125" style="365" customWidth="1"/>
    <col min="14832" max="14832" width="0" style="365" hidden="1" customWidth="1"/>
    <col min="14833" max="14833" width="12.85546875" style="365" customWidth="1"/>
    <col min="14834" max="14834" width="0" style="365" hidden="1" customWidth="1"/>
    <col min="14835" max="14835" width="14.42578125" style="365" customWidth="1"/>
    <col min="14836" max="14836" width="0" style="365" hidden="1" customWidth="1"/>
    <col min="14837" max="14837" width="17.42578125" style="365" customWidth="1"/>
    <col min="14838" max="14838" width="0" style="365" hidden="1" customWidth="1"/>
    <col min="14839" max="14839" width="14" style="365" customWidth="1"/>
    <col min="14840" max="14840" width="14.28515625" style="365" bestFit="1" customWidth="1"/>
    <col min="14841" max="14841" width="0" style="365" hidden="1" customWidth="1"/>
    <col min="14842" max="14842" width="15.5703125" style="365" customWidth="1"/>
    <col min="14843" max="14843" width="44.5703125" style="365" customWidth="1"/>
    <col min="14844" max="14844" width="14.28515625" style="365" bestFit="1" customWidth="1"/>
    <col min="14845" max="14845" width="0" style="365" hidden="1" customWidth="1"/>
    <col min="14846" max="14846" width="18.140625" style="365" customWidth="1"/>
    <col min="14847" max="14847" width="0" style="365" hidden="1" customWidth="1"/>
    <col min="14848" max="14848" width="14" style="365" customWidth="1"/>
    <col min="14849" max="14849" width="0" style="365" hidden="1" customWidth="1"/>
    <col min="14850" max="14850" width="20.85546875" style="365" customWidth="1"/>
    <col min="14851" max="14851" width="0" style="365" hidden="1" customWidth="1"/>
    <col min="14852" max="14852" width="13.28515625" style="365" customWidth="1"/>
    <col min="14853" max="14853" width="0" style="365" hidden="1" customWidth="1"/>
    <col min="14854" max="14854" width="15" style="365" customWidth="1"/>
    <col min="14855" max="14855" width="0" style="365" hidden="1" customWidth="1"/>
    <col min="14856" max="14856" width="13.28515625" style="365" customWidth="1"/>
    <col min="14857" max="14857" width="0" style="365" hidden="1" customWidth="1"/>
    <col min="14858" max="14858" width="20.140625" style="365" customWidth="1"/>
    <col min="14859" max="14859" width="14.42578125" style="365" bestFit="1" customWidth="1"/>
    <col min="14860" max="14860" width="14" style="365" bestFit="1" customWidth="1"/>
    <col min="14861" max="14861" width="12.28515625" style="365" bestFit="1" customWidth="1"/>
    <col min="14862" max="14886" width="9.140625" style="365" customWidth="1"/>
    <col min="14887" max="15081" width="8.85546875" style="365"/>
    <col min="15082" max="15082" width="44.5703125" style="365" customWidth="1"/>
    <col min="15083" max="15083" width="14.28515625" style="365" bestFit="1" customWidth="1"/>
    <col min="15084" max="15084" width="1.7109375" style="365" customWidth="1"/>
    <col min="15085" max="15085" width="14.85546875" style="365" customWidth="1"/>
    <col min="15086" max="15086" width="0" style="365" hidden="1" customWidth="1"/>
    <col min="15087" max="15087" width="17.42578125" style="365" customWidth="1"/>
    <col min="15088" max="15088" width="0" style="365" hidden="1" customWidth="1"/>
    <col min="15089" max="15089" width="12.85546875" style="365" customWidth="1"/>
    <col min="15090" max="15090" width="0" style="365" hidden="1" customWidth="1"/>
    <col min="15091" max="15091" width="14.42578125" style="365" customWidth="1"/>
    <col min="15092" max="15092" width="0" style="365" hidden="1" customWidth="1"/>
    <col min="15093" max="15093" width="17.42578125" style="365" customWidth="1"/>
    <col min="15094" max="15094" width="0" style="365" hidden="1" customWidth="1"/>
    <col min="15095" max="15095" width="14" style="365" customWidth="1"/>
    <col min="15096" max="15096" width="14.28515625" style="365" bestFit="1" customWidth="1"/>
    <col min="15097" max="15097" width="0" style="365" hidden="1" customWidth="1"/>
    <col min="15098" max="15098" width="15.5703125" style="365" customWidth="1"/>
    <col min="15099" max="15099" width="44.5703125" style="365" customWidth="1"/>
    <col min="15100" max="15100" width="14.28515625" style="365" bestFit="1" customWidth="1"/>
    <col min="15101" max="15101" width="0" style="365" hidden="1" customWidth="1"/>
    <col min="15102" max="15102" width="18.140625" style="365" customWidth="1"/>
    <col min="15103" max="15103" width="0" style="365" hidden="1" customWidth="1"/>
    <col min="15104" max="15104" width="14" style="365" customWidth="1"/>
    <col min="15105" max="15105" width="0" style="365" hidden="1" customWidth="1"/>
    <col min="15106" max="15106" width="20.85546875" style="365" customWidth="1"/>
    <col min="15107" max="15107" width="0" style="365" hidden="1" customWidth="1"/>
    <col min="15108" max="15108" width="13.28515625" style="365" customWidth="1"/>
    <col min="15109" max="15109" width="0" style="365" hidden="1" customWidth="1"/>
    <col min="15110" max="15110" width="15" style="365" customWidth="1"/>
    <col min="15111" max="15111" width="0" style="365" hidden="1" customWidth="1"/>
    <col min="15112" max="15112" width="13.28515625" style="365" customWidth="1"/>
    <col min="15113" max="15113" width="0" style="365" hidden="1" customWidth="1"/>
    <col min="15114" max="15114" width="20.140625" style="365" customWidth="1"/>
    <col min="15115" max="15115" width="14.42578125" style="365" bestFit="1" customWidth="1"/>
    <col min="15116" max="15116" width="14" style="365" bestFit="1" customWidth="1"/>
    <col min="15117" max="15117" width="12.28515625" style="365" bestFit="1" customWidth="1"/>
    <col min="15118" max="15142" width="9.140625" style="365" customWidth="1"/>
    <col min="15143" max="15337" width="8.85546875" style="365"/>
    <col min="15338" max="15338" width="44.5703125" style="365" customWidth="1"/>
    <col min="15339" max="15339" width="14.28515625" style="365" bestFit="1" customWidth="1"/>
    <col min="15340" max="15340" width="1.7109375" style="365" customWidth="1"/>
    <col min="15341" max="15341" width="14.85546875" style="365" customWidth="1"/>
    <col min="15342" max="15342" width="0" style="365" hidden="1" customWidth="1"/>
    <col min="15343" max="15343" width="17.42578125" style="365" customWidth="1"/>
    <col min="15344" max="15344" width="0" style="365" hidden="1" customWidth="1"/>
    <col min="15345" max="15345" width="12.85546875" style="365" customWidth="1"/>
    <col min="15346" max="15346" width="0" style="365" hidden="1" customWidth="1"/>
    <col min="15347" max="15347" width="14.42578125" style="365" customWidth="1"/>
    <col min="15348" max="15348" width="0" style="365" hidden="1" customWidth="1"/>
    <col min="15349" max="15349" width="17.42578125" style="365" customWidth="1"/>
    <col min="15350" max="15350" width="0" style="365" hidden="1" customWidth="1"/>
    <col min="15351" max="15351" width="14" style="365" customWidth="1"/>
    <col min="15352" max="15352" width="14.28515625" style="365" bestFit="1" customWidth="1"/>
    <col min="15353" max="15353" width="0" style="365" hidden="1" customWidth="1"/>
    <col min="15354" max="15354" width="15.5703125" style="365" customWidth="1"/>
    <col min="15355" max="15355" width="44.5703125" style="365" customWidth="1"/>
    <col min="15356" max="15356" width="14.28515625" style="365" bestFit="1" customWidth="1"/>
    <col min="15357" max="15357" width="0" style="365" hidden="1" customWidth="1"/>
    <col min="15358" max="15358" width="18.140625" style="365" customWidth="1"/>
    <col min="15359" max="15359" width="0" style="365" hidden="1" customWidth="1"/>
    <col min="15360" max="15360" width="14" style="365" customWidth="1"/>
    <col min="15361" max="15361" width="0" style="365" hidden="1" customWidth="1"/>
    <col min="15362" max="15362" width="20.85546875" style="365" customWidth="1"/>
    <col min="15363" max="15363" width="0" style="365" hidden="1" customWidth="1"/>
    <col min="15364" max="15364" width="13.28515625" style="365" customWidth="1"/>
    <col min="15365" max="15365" width="0" style="365" hidden="1" customWidth="1"/>
    <col min="15366" max="15366" width="15" style="365" customWidth="1"/>
    <col min="15367" max="15367" width="0" style="365" hidden="1" customWidth="1"/>
    <col min="15368" max="15368" width="13.28515625" style="365" customWidth="1"/>
    <col min="15369" max="15369" width="0" style="365" hidden="1" customWidth="1"/>
    <col min="15370" max="15370" width="20.140625" style="365" customWidth="1"/>
    <col min="15371" max="15371" width="14.42578125" style="365" bestFit="1" customWidth="1"/>
    <col min="15372" max="15372" width="14" style="365" bestFit="1" customWidth="1"/>
    <col min="15373" max="15373" width="12.28515625" style="365" bestFit="1" customWidth="1"/>
    <col min="15374" max="15398" width="9.140625" style="365" customWidth="1"/>
    <col min="15399" max="15593" width="8.85546875" style="365"/>
    <col min="15594" max="15594" width="44.5703125" style="365" customWidth="1"/>
    <col min="15595" max="15595" width="14.28515625" style="365" bestFit="1" customWidth="1"/>
    <col min="15596" max="15596" width="1.7109375" style="365" customWidth="1"/>
    <col min="15597" max="15597" width="14.85546875" style="365" customWidth="1"/>
    <col min="15598" max="15598" width="0" style="365" hidden="1" customWidth="1"/>
    <col min="15599" max="15599" width="17.42578125" style="365" customWidth="1"/>
    <col min="15600" max="15600" width="0" style="365" hidden="1" customWidth="1"/>
    <col min="15601" max="15601" width="12.85546875" style="365" customWidth="1"/>
    <col min="15602" max="15602" width="0" style="365" hidden="1" customWidth="1"/>
    <col min="15603" max="15603" width="14.42578125" style="365" customWidth="1"/>
    <col min="15604" max="15604" width="0" style="365" hidden="1" customWidth="1"/>
    <col min="15605" max="15605" width="17.42578125" style="365" customWidth="1"/>
    <col min="15606" max="15606" width="0" style="365" hidden="1" customWidth="1"/>
    <col min="15607" max="15607" width="14" style="365" customWidth="1"/>
    <col min="15608" max="15608" width="14.28515625" style="365" bestFit="1" customWidth="1"/>
    <col min="15609" max="15609" width="0" style="365" hidden="1" customWidth="1"/>
    <col min="15610" max="15610" width="15.5703125" style="365" customWidth="1"/>
    <col min="15611" max="15611" width="44.5703125" style="365" customWidth="1"/>
    <col min="15612" max="15612" width="14.28515625" style="365" bestFit="1" customWidth="1"/>
    <col min="15613" max="15613" width="0" style="365" hidden="1" customWidth="1"/>
    <col min="15614" max="15614" width="18.140625" style="365" customWidth="1"/>
    <col min="15615" max="15615" width="0" style="365" hidden="1" customWidth="1"/>
    <col min="15616" max="15616" width="14" style="365" customWidth="1"/>
    <col min="15617" max="15617" width="0" style="365" hidden="1" customWidth="1"/>
    <col min="15618" max="15618" width="20.85546875" style="365" customWidth="1"/>
    <col min="15619" max="15619" width="0" style="365" hidden="1" customWidth="1"/>
    <col min="15620" max="15620" width="13.28515625" style="365" customWidth="1"/>
    <col min="15621" max="15621" width="0" style="365" hidden="1" customWidth="1"/>
    <col min="15622" max="15622" width="15" style="365" customWidth="1"/>
    <col min="15623" max="15623" width="0" style="365" hidden="1" customWidth="1"/>
    <col min="15624" max="15624" width="13.28515625" style="365" customWidth="1"/>
    <col min="15625" max="15625" width="0" style="365" hidden="1" customWidth="1"/>
    <col min="15626" max="15626" width="20.140625" style="365" customWidth="1"/>
    <col min="15627" max="15627" width="14.42578125" style="365" bestFit="1" customWidth="1"/>
    <col min="15628" max="15628" width="14" style="365" bestFit="1" customWidth="1"/>
    <col min="15629" max="15629" width="12.28515625" style="365" bestFit="1" customWidth="1"/>
    <col min="15630" max="15654" width="9.140625" style="365" customWidth="1"/>
    <col min="15655" max="15849" width="8.85546875" style="365"/>
    <col min="15850" max="15850" width="44.5703125" style="365" customWidth="1"/>
    <col min="15851" max="15851" width="14.28515625" style="365" bestFit="1" customWidth="1"/>
    <col min="15852" max="15852" width="1.7109375" style="365" customWidth="1"/>
    <col min="15853" max="15853" width="14.85546875" style="365" customWidth="1"/>
    <col min="15854" max="15854" width="0" style="365" hidden="1" customWidth="1"/>
    <col min="15855" max="15855" width="17.42578125" style="365" customWidth="1"/>
    <col min="15856" max="15856" width="0" style="365" hidden="1" customWidth="1"/>
    <col min="15857" max="15857" width="12.85546875" style="365" customWidth="1"/>
    <col min="15858" max="15858" width="0" style="365" hidden="1" customWidth="1"/>
    <col min="15859" max="15859" width="14.42578125" style="365" customWidth="1"/>
    <col min="15860" max="15860" width="0" style="365" hidden="1" customWidth="1"/>
    <col min="15861" max="15861" width="17.42578125" style="365" customWidth="1"/>
    <col min="15862" max="15862" width="0" style="365" hidden="1" customWidth="1"/>
    <col min="15863" max="15863" width="14" style="365" customWidth="1"/>
    <col min="15864" max="15864" width="14.28515625" style="365" bestFit="1" customWidth="1"/>
    <col min="15865" max="15865" width="0" style="365" hidden="1" customWidth="1"/>
    <col min="15866" max="15866" width="15.5703125" style="365" customWidth="1"/>
    <col min="15867" max="15867" width="44.5703125" style="365" customWidth="1"/>
    <col min="15868" max="15868" width="14.28515625" style="365" bestFit="1" customWidth="1"/>
    <col min="15869" max="15869" width="0" style="365" hidden="1" customWidth="1"/>
    <col min="15870" max="15870" width="18.140625" style="365" customWidth="1"/>
    <col min="15871" max="15871" width="0" style="365" hidden="1" customWidth="1"/>
    <col min="15872" max="15872" width="14" style="365" customWidth="1"/>
    <col min="15873" max="15873" width="0" style="365" hidden="1" customWidth="1"/>
    <col min="15874" max="15874" width="20.85546875" style="365" customWidth="1"/>
    <col min="15875" max="15875" width="0" style="365" hidden="1" customWidth="1"/>
    <col min="15876" max="15876" width="13.28515625" style="365" customWidth="1"/>
    <col min="15877" max="15877" width="0" style="365" hidden="1" customWidth="1"/>
    <col min="15878" max="15878" width="15" style="365" customWidth="1"/>
    <col min="15879" max="15879" width="0" style="365" hidden="1" customWidth="1"/>
    <col min="15880" max="15880" width="13.28515625" style="365" customWidth="1"/>
    <col min="15881" max="15881" width="0" style="365" hidden="1" customWidth="1"/>
    <col min="15882" max="15882" width="20.140625" style="365" customWidth="1"/>
    <col min="15883" max="15883" width="14.42578125" style="365" bestFit="1" customWidth="1"/>
    <col min="15884" max="15884" width="14" style="365" bestFit="1" customWidth="1"/>
    <col min="15885" max="15885" width="12.28515625" style="365" bestFit="1" customWidth="1"/>
    <col min="15886" max="15910" width="9.140625" style="365" customWidth="1"/>
    <col min="15911" max="16105" width="8.85546875" style="365"/>
    <col min="16106" max="16106" width="44.5703125" style="365" customWidth="1"/>
    <col min="16107" max="16107" width="14.28515625" style="365" bestFit="1" customWidth="1"/>
    <col min="16108" max="16108" width="1.7109375" style="365" customWidth="1"/>
    <col min="16109" max="16109" width="14.85546875" style="365" customWidth="1"/>
    <col min="16110" max="16110" width="0" style="365" hidden="1" customWidth="1"/>
    <col min="16111" max="16111" width="17.42578125" style="365" customWidth="1"/>
    <col min="16112" max="16112" width="0" style="365" hidden="1" customWidth="1"/>
    <col min="16113" max="16113" width="12.85546875" style="365" customWidth="1"/>
    <col min="16114" max="16114" width="0" style="365" hidden="1" customWidth="1"/>
    <col min="16115" max="16115" width="14.42578125" style="365" customWidth="1"/>
    <col min="16116" max="16116" width="0" style="365" hidden="1" customWidth="1"/>
    <col min="16117" max="16117" width="17.42578125" style="365" customWidth="1"/>
    <col min="16118" max="16118" width="0" style="365" hidden="1" customWidth="1"/>
    <col min="16119" max="16119" width="14" style="365" customWidth="1"/>
    <col min="16120" max="16120" width="14.28515625" style="365" bestFit="1" customWidth="1"/>
    <col min="16121" max="16121" width="0" style="365" hidden="1" customWidth="1"/>
    <col min="16122" max="16122" width="15.5703125" style="365" customWidth="1"/>
    <col min="16123" max="16123" width="44.5703125" style="365" customWidth="1"/>
    <col min="16124" max="16124" width="14.28515625" style="365" bestFit="1" customWidth="1"/>
    <col min="16125" max="16125" width="0" style="365" hidden="1" customWidth="1"/>
    <col min="16126" max="16126" width="18.140625" style="365" customWidth="1"/>
    <col min="16127" max="16127" width="0" style="365" hidden="1" customWidth="1"/>
    <col min="16128" max="16128" width="14" style="365" customWidth="1"/>
    <col min="16129" max="16129" width="0" style="365" hidden="1" customWidth="1"/>
    <col min="16130" max="16130" width="20.85546875" style="365" customWidth="1"/>
    <col min="16131" max="16131" width="0" style="365" hidden="1" customWidth="1"/>
    <col min="16132" max="16132" width="13.28515625" style="365" customWidth="1"/>
    <col min="16133" max="16133" width="0" style="365" hidden="1" customWidth="1"/>
    <col min="16134" max="16134" width="15" style="365" customWidth="1"/>
    <col min="16135" max="16135" width="0" style="365" hidden="1" customWidth="1"/>
    <col min="16136" max="16136" width="13.28515625" style="365" customWidth="1"/>
    <col min="16137" max="16137" width="0" style="365" hidden="1" customWidth="1"/>
    <col min="16138" max="16138" width="20.140625" style="365" customWidth="1"/>
    <col min="16139" max="16139" width="14.42578125" style="365" bestFit="1" customWidth="1"/>
    <col min="16140" max="16140" width="14" style="365" bestFit="1" customWidth="1"/>
    <col min="16141" max="16141" width="12.28515625" style="365" bestFit="1" customWidth="1"/>
    <col min="16142" max="16166" width="9.140625" style="365" customWidth="1"/>
    <col min="16167" max="16379" width="8.85546875" style="365"/>
    <col min="16380" max="16384" width="8.85546875" style="365" customWidth="1"/>
  </cols>
  <sheetData>
    <row r="1" spans="1:38" s="354" customFormat="1" ht="19.899999999999999" hidden="1" customHeight="1">
      <c r="A1" s="1632"/>
      <c r="B1" s="1632"/>
      <c r="C1" s="1632"/>
      <c r="D1" s="1632"/>
      <c r="E1" s="1632"/>
      <c r="F1" s="1632"/>
      <c r="G1" s="1632"/>
      <c r="H1" s="1632"/>
      <c r="I1" s="1633"/>
      <c r="J1" s="1633"/>
      <c r="K1" s="1633"/>
      <c r="L1" s="1632"/>
      <c r="M1" s="928"/>
      <c r="N1" s="930"/>
      <c r="O1" s="351"/>
      <c r="P1" s="928"/>
      <c r="Q1" s="351"/>
      <c r="R1" s="928"/>
      <c r="S1" s="353"/>
      <c r="T1" s="911"/>
      <c r="U1" s="353"/>
      <c r="V1" s="911"/>
      <c r="W1" s="353"/>
      <c r="X1" s="911"/>
      <c r="Y1" s="353"/>
      <c r="Z1" s="911"/>
      <c r="AA1" s="353"/>
      <c r="AB1" s="353"/>
      <c r="AC1" s="353"/>
      <c r="AD1" s="353"/>
      <c r="AE1" s="353"/>
      <c r="AF1" s="353"/>
      <c r="AG1" s="353"/>
      <c r="AH1" s="353"/>
      <c r="AI1" s="353"/>
      <c r="AJ1" s="353"/>
      <c r="AK1" s="353"/>
      <c r="AL1" s="353"/>
    </row>
    <row r="2" spans="1:38" s="354" customFormat="1" ht="88.9" customHeight="1">
      <c r="A2" s="1688" t="s">
        <v>905</v>
      </c>
      <c r="B2" s="1688"/>
      <c r="C2" s="1688"/>
      <c r="D2" s="1688"/>
      <c r="E2" s="1688"/>
      <c r="F2" s="1688"/>
      <c r="G2" s="1688"/>
      <c r="H2" s="1688"/>
      <c r="I2" s="1688"/>
      <c r="J2" s="1688"/>
      <c r="K2" s="1688"/>
      <c r="L2" s="1688"/>
      <c r="M2" s="1688"/>
      <c r="N2" s="1688"/>
      <c r="O2" s="1688"/>
      <c r="P2" s="1688"/>
      <c r="Q2" s="1688"/>
      <c r="R2" s="1688"/>
      <c r="S2" s="1688"/>
      <c r="T2" s="1688"/>
      <c r="U2" s="1688"/>
      <c r="V2" s="1688"/>
      <c r="W2" s="1688"/>
      <c r="X2" s="1688"/>
      <c r="Y2" s="1688"/>
      <c r="Z2" s="1688"/>
      <c r="AA2" s="353"/>
      <c r="AB2" s="353"/>
      <c r="AC2" s="353"/>
      <c r="AD2" s="353"/>
      <c r="AE2" s="353"/>
      <c r="AF2" s="353"/>
      <c r="AG2" s="353"/>
      <c r="AH2" s="353"/>
      <c r="AI2" s="353"/>
      <c r="AJ2" s="353"/>
      <c r="AK2" s="353"/>
      <c r="AL2" s="353"/>
    </row>
    <row r="3" spans="1:38" s="354" customFormat="1" ht="48" hidden="1">
      <c r="A3" s="957"/>
      <c r="B3" s="1636" t="str">
        <f>PROPER(B1)</f>
        <v/>
      </c>
      <c r="C3" s="1636"/>
      <c r="D3" s="1636"/>
      <c r="E3" s="1636"/>
      <c r="F3" s="1636"/>
      <c r="G3" s="1636"/>
      <c r="H3" s="1636"/>
      <c r="I3" s="1636"/>
      <c r="J3" s="1182"/>
      <c r="K3" s="1182"/>
      <c r="L3" s="935"/>
      <c r="M3" s="911"/>
      <c r="N3" s="931"/>
      <c r="O3" s="353"/>
      <c r="P3" s="911"/>
      <c r="Q3" s="353"/>
      <c r="R3" s="911"/>
      <c r="S3" s="353"/>
      <c r="T3" s="911"/>
      <c r="U3" s="353"/>
      <c r="V3" s="911"/>
      <c r="W3" s="353"/>
      <c r="X3" s="911"/>
      <c r="Y3" s="353"/>
      <c r="Z3" s="911"/>
      <c r="AA3" s="353"/>
      <c r="AB3" s="353"/>
      <c r="AC3" s="353"/>
      <c r="AD3" s="353"/>
      <c r="AE3" s="353"/>
      <c r="AF3" s="353"/>
      <c r="AG3" s="353"/>
      <c r="AH3" s="353"/>
      <c r="AI3" s="353"/>
      <c r="AJ3" s="353"/>
      <c r="AK3" s="353"/>
      <c r="AL3" s="353"/>
    </row>
    <row r="4" spans="1:38" s="354" customFormat="1" ht="15.6" hidden="1" customHeight="1">
      <c r="A4" s="1635"/>
      <c r="B4" s="1635"/>
      <c r="C4" s="1635"/>
      <c r="D4" s="1635"/>
      <c r="E4" s="1635"/>
      <c r="F4" s="1635"/>
      <c r="G4" s="1635"/>
      <c r="H4" s="1635"/>
      <c r="I4" s="1635"/>
      <c r="J4" s="1635"/>
      <c r="K4" s="1635"/>
      <c r="L4" s="1635"/>
      <c r="M4" s="911"/>
      <c r="N4" s="931"/>
      <c r="O4" s="353"/>
      <c r="P4" s="911"/>
      <c r="Q4" s="353"/>
      <c r="R4" s="911"/>
      <c r="S4" s="353"/>
      <c r="T4" s="911"/>
      <c r="U4" s="353"/>
      <c r="V4" s="911"/>
      <c r="W4" s="353"/>
      <c r="X4" s="911"/>
      <c r="Y4" s="353"/>
      <c r="Z4" s="911"/>
      <c r="AA4" s="353"/>
      <c r="AB4" s="353"/>
      <c r="AC4" s="353"/>
      <c r="AD4" s="353"/>
      <c r="AE4" s="353"/>
      <c r="AF4" s="353"/>
      <c r="AG4" s="353"/>
      <c r="AH4" s="353"/>
      <c r="AI4" s="353"/>
      <c r="AJ4" s="353"/>
      <c r="AK4" s="353"/>
      <c r="AL4" s="353"/>
    </row>
    <row r="5" spans="1:38" s="363" customFormat="1" ht="9.6" customHeight="1" thickBot="1">
      <c r="A5" s="360" t="s">
        <v>58</v>
      </c>
      <c r="B5" s="361"/>
      <c r="C5" s="577"/>
      <c r="D5" s="945"/>
      <c r="E5" s="362"/>
      <c r="F5" s="362"/>
      <c r="G5" s="362"/>
      <c r="H5" s="362"/>
      <c r="I5" s="362"/>
      <c r="J5" s="362"/>
      <c r="K5" s="362"/>
      <c r="L5" s="936"/>
      <c r="M5" s="912"/>
      <c r="N5" s="932"/>
      <c r="P5" s="912"/>
      <c r="R5" s="912"/>
      <c r="T5" s="912"/>
      <c r="V5" s="912"/>
      <c r="X5" s="912"/>
      <c r="Z5" s="912"/>
    </row>
    <row r="6" spans="1:38" s="490" customFormat="1" ht="112.15" customHeight="1" thickTop="1" thickBot="1">
      <c r="A6" s="484"/>
      <c r="B6" s="485"/>
      <c r="C6" s="486"/>
      <c r="D6" s="988" t="s">
        <v>573</v>
      </c>
      <c r="E6" s="1179" t="s">
        <v>718</v>
      </c>
      <c r="F6" s="1179" t="s">
        <v>154</v>
      </c>
      <c r="G6" s="1179" t="s">
        <v>411</v>
      </c>
      <c r="H6" s="1179" t="s">
        <v>412</v>
      </c>
      <c r="I6" s="1179" t="s">
        <v>413</v>
      </c>
      <c r="J6" s="1179" t="s">
        <v>772</v>
      </c>
      <c r="K6" s="1179" t="s">
        <v>781</v>
      </c>
      <c r="L6" s="923" t="s">
        <v>414</v>
      </c>
      <c r="M6" s="923" t="s">
        <v>415</v>
      </c>
      <c r="N6" s="923" t="s">
        <v>416</v>
      </c>
      <c r="O6" s="581"/>
      <c r="P6" s="923" t="s">
        <v>417</v>
      </c>
      <c r="Q6" s="581"/>
      <c r="R6" s="923" t="s">
        <v>575</v>
      </c>
      <c r="S6" s="581"/>
      <c r="T6" s="923" t="s">
        <v>419</v>
      </c>
      <c r="U6" s="581"/>
      <c r="V6" s="923" t="s">
        <v>420</v>
      </c>
      <c r="W6" s="581"/>
      <c r="X6" s="923" t="s">
        <v>421</v>
      </c>
      <c r="Y6" s="581"/>
      <c r="Z6" s="913" t="s">
        <v>422</v>
      </c>
      <c r="AA6" s="488"/>
      <c r="AB6" s="488"/>
      <c r="AC6" s="488"/>
      <c r="AD6" s="488"/>
      <c r="AE6" s="488"/>
      <c r="AF6" s="488"/>
      <c r="AG6" s="488"/>
      <c r="AH6" s="488"/>
      <c r="AI6" s="488"/>
      <c r="AJ6" s="488"/>
      <c r="AK6" s="488"/>
      <c r="AL6" s="488"/>
    </row>
    <row r="7" spans="1:38" ht="13.9" customHeight="1" thickTop="1">
      <c r="A7" s="356"/>
      <c r="B7" s="356"/>
      <c r="C7" s="357"/>
      <c r="D7" s="947"/>
      <c r="E7" s="374"/>
      <c r="F7" s="374"/>
      <c r="G7" s="374"/>
      <c r="H7" s="374"/>
      <c r="I7" s="374"/>
      <c r="J7" s="374"/>
      <c r="K7" s="374"/>
      <c r="L7" s="933"/>
      <c r="M7" s="933"/>
      <c r="N7" s="924"/>
      <c r="O7" s="372"/>
      <c r="P7" s="924"/>
      <c r="Q7" s="372"/>
      <c r="R7" s="924"/>
      <c r="S7" s="372"/>
      <c r="T7" s="924"/>
      <c r="U7" s="372"/>
      <c r="V7" s="924"/>
      <c r="W7" s="372"/>
      <c r="X7" s="924"/>
      <c r="Y7" s="372"/>
      <c r="Z7" s="914"/>
    </row>
    <row r="8" spans="1:38" s="417" customFormat="1" ht="15.95" customHeight="1">
      <c r="A8" s="417" t="s">
        <v>423</v>
      </c>
      <c r="C8" s="449"/>
      <c r="D8" s="948"/>
      <c r="E8" s="456"/>
      <c r="F8" s="456"/>
      <c r="G8" s="456"/>
      <c r="H8" s="456"/>
      <c r="I8" s="456"/>
      <c r="J8" s="456"/>
      <c r="K8" s="456"/>
      <c r="L8" s="934"/>
      <c r="M8" s="934"/>
      <c r="N8" s="929"/>
      <c r="O8" s="453"/>
      <c r="P8" s="929"/>
      <c r="Q8" s="453"/>
      <c r="R8" s="915" t="s">
        <v>58</v>
      </c>
      <c r="S8" s="453"/>
      <c r="T8" s="915" t="s">
        <v>58</v>
      </c>
      <c r="U8" s="453"/>
      <c r="V8" s="915" t="s">
        <v>58</v>
      </c>
      <c r="W8" s="453"/>
      <c r="X8" s="915" t="s">
        <v>58</v>
      </c>
      <c r="Y8" s="453"/>
      <c r="Z8" s="915"/>
      <c r="AA8" s="454"/>
      <c r="AB8" s="454"/>
      <c r="AC8" s="454"/>
      <c r="AD8" s="454"/>
      <c r="AE8" s="454"/>
      <c r="AF8" s="454"/>
      <c r="AG8" s="454"/>
      <c r="AH8" s="454"/>
      <c r="AI8" s="454"/>
      <c r="AJ8" s="454"/>
      <c r="AK8" s="454"/>
      <c r="AL8" s="454"/>
    </row>
    <row r="9" spans="1:38" s="417" customFormat="1" ht="20.100000000000001" customHeight="1">
      <c r="A9" s="417" t="s">
        <v>27</v>
      </c>
      <c r="C9" s="417" t="s">
        <v>424</v>
      </c>
      <c r="D9" s="458">
        <f>ROUND('001 General Fund'!K23,0)</f>
        <v>50418790</v>
      </c>
      <c r="E9" s="458">
        <f>ROUND('CRA-Beach'!L11+'CRA-Beach'!L15+'CRA-NW Progresso'!L12+'CRA-NW Progresso'!L16+'CRA-Central City'!L10+'CRA-Central City'!L14,0)</f>
        <v>4794070</v>
      </c>
      <c r="F9" s="458">
        <f>ROUND('Sunrise Key'!L14+'Sunrise Key'!L10,0)</f>
        <v>99940</v>
      </c>
      <c r="G9" s="458">
        <f>ROUND('Beach Bus Improv District'!L13+'Beach Bus Improv District'!L9,0)</f>
        <v>399899</v>
      </c>
      <c r="H9" s="458">
        <f>ROUND('Housing and Community Dev'!L15+'Housing and Community Dev'!L11,0)</f>
        <v>38123</v>
      </c>
      <c r="I9" s="458" t="e">
        <f>ROUND(#REF!,0)</f>
        <v>#REF!</v>
      </c>
      <c r="J9" s="458">
        <f>'School Crossing Guard'!L14</f>
        <v>137125.75</v>
      </c>
      <c r="K9" s="458">
        <f>ROUND(Police!L11+'Drug Enforcement Agency'!L11+Police!L16+'Drug Enforcement Agency'!L16,0)</f>
        <v>1679720</v>
      </c>
      <c r="L9" s="458" t="e">
        <f>ROUND(#REF!+#REF!+#REF!+#REF!+#REF!+#REF!+#REF!+#REF!+#REF!+#REF!,0)</f>
        <v>#REF!</v>
      </c>
      <c r="M9" s="458">
        <f>ROUND(Cemtery!L13+Cemtery!L9,0)</f>
        <v>23929746</v>
      </c>
      <c r="N9" s="458">
        <f>ROUND('Arts Science District Garage'!L14+Cemtery!L9,0)</f>
        <v>0</v>
      </c>
      <c r="O9" s="458"/>
      <c r="P9" s="458">
        <f>ROUND(Sanitation!L16+Sanitation!L12,0)</f>
        <v>7903598</v>
      </c>
      <c r="Q9" s="458"/>
      <c r="R9" s="458">
        <f>ROUND('Water and Sewer'!L15+'Central Region'!L15+'Water and Sewer'!L11+'Central Region'!L11,0)</f>
        <v>56639343</v>
      </c>
      <c r="S9" s="458"/>
      <c r="T9" s="458">
        <f>ROUND(Stormwater!L16+Stormwater!L12,0)</f>
        <v>12213219</v>
      </c>
      <c r="U9" s="458"/>
      <c r="V9" s="458">
        <f>ROUND('Parking System'!L16+'Parking System'!L12,0)</f>
        <v>13737004</v>
      </c>
      <c r="W9" s="458"/>
      <c r="X9" s="458">
        <f>ROUND(Airport!L16+Airport!L12,0)</f>
        <v>13880782</v>
      </c>
      <c r="Y9" s="461"/>
      <c r="Z9" s="461" t="e">
        <f>SUM(D9:X9)</f>
        <v>#REF!</v>
      </c>
      <c r="AA9" s="465"/>
      <c r="AB9" s="454"/>
      <c r="AC9" s="454" t="s">
        <v>58</v>
      </c>
      <c r="AD9" s="454"/>
      <c r="AE9" s="454"/>
      <c r="AF9" s="454"/>
      <c r="AG9" s="454"/>
      <c r="AH9" s="454"/>
      <c r="AI9" s="454"/>
      <c r="AJ9" s="454"/>
      <c r="AK9" s="454"/>
      <c r="AL9" s="454"/>
    </row>
    <row r="10" spans="1:38" s="417" customFormat="1" ht="20.100000000000001" customHeight="1">
      <c r="A10" s="417" t="s">
        <v>782</v>
      </c>
      <c r="D10" s="458">
        <f>ROUND('001 General Fund'!K19,0)</f>
        <v>4457240</v>
      </c>
      <c r="E10" s="458"/>
      <c r="F10" s="458"/>
      <c r="G10" s="458"/>
      <c r="H10" s="458"/>
      <c r="I10" s="458"/>
      <c r="J10" s="458"/>
      <c r="K10" s="458"/>
      <c r="L10" s="458"/>
      <c r="M10" s="458"/>
      <c r="N10" s="458"/>
      <c r="O10" s="458"/>
      <c r="P10" s="458"/>
      <c r="Q10" s="458"/>
      <c r="R10" s="458"/>
      <c r="S10" s="458"/>
      <c r="T10" s="458"/>
      <c r="U10" s="458"/>
      <c r="V10" s="458"/>
      <c r="W10" s="458"/>
      <c r="X10" s="458"/>
      <c r="Y10" s="461"/>
      <c r="Z10" s="461"/>
      <c r="AA10" s="465"/>
      <c r="AB10" s="454"/>
      <c r="AC10" s="454"/>
      <c r="AD10" s="454"/>
      <c r="AE10" s="454"/>
      <c r="AF10" s="454"/>
      <c r="AG10" s="454"/>
      <c r="AH10" s="454"/>
      <c r="AI10" s="454"/>
      <c r="AJ10" s="454"/>
      <c r="AK10" s="454"/>
      <c r="AL10" s="454"/>
    </row>
    <row r="11" spans="1:38" s="417" customFormat="1" ht="20.100000000000001" customHeight="1">
      <c r="A11" s="417" t="s">
        <v>690</v>
      </c>
      <c r="D11" s="458">
        <f>ROUND('001 General Fund'!K20,0)</f>
        <v>5000000</v>
      </c>
      <c r="E11" s="458"/>
      <c r="F11" s="458"/>
      <c r="G11" s="458"/>
      <c r="H11" s="458"/>
      <c r="I11" s="458"/>
      <c r="J11" s="458"/>
      <c r="K11" s="458"/>
      <c r="L11" s="458"/>
      <c r="M11" s="458"/>
      <c r="N11" s="458"/>
      <c r="O11" s="458"/>
      <c r="P11" s="458"/>
      <c r="Q11" s="458"/>
      <c r="R11" s="458"/>
      <c r="S11" s="458"/>
      <c r="T11" s="458"/>
      <c r="U11" s="458"/>
      <c r="V11" s="458"/>
      <c r="W11" s="458"/>
      <c r="X11" s="458"/>
      <c r="Y11" s="461"/>
      <c r="Z11" s="461"/>
      <c r="AA11" s="465"/>
      <c r="AB11" s="454"/>
      <c r="AC11" s="454"/>
      <c r="AD11" s="454"/>
      <c r="AE11" s="454"/>
      <c r="AF11" s="454"/>
      <c r="AG11" s="454"/>
      <c r="AH11" s="454"/>
      <c r="AI11" s="454"/>
      <c r="AJ11" s="454"/>
      <c r="AK11" s="454"/>
      <c r="AL11" s="454"/>
    </row>
    <row r="12" spans="1:38" s="417" customFormat="1" ht="20.100000000000001" customHeight="1">
      <c r="A12" s="417" t="s">
        <v>830</v>
      </c>
      <c r="D12" s="458">
        <f>ROUND('001 General Fund'!K21,0)</f>
        <v>4273912</v>
      </c>
      <c r="E12" s="458"/>
      <c r="F12" s="458"/>
      <c r="G12" s="458"/>
      <c r="H12" s="458"/>
      <c r="I12" s="458"/>
      <c r="J12" s="458"/>
      <c r="K12" s="458"/>
      <c r="L12" s="458"/>
      <c r="M12" s="458"/>
      <c r="N12" s="458"/>
      <c r="O12" s="458"/>
      <c r="P12" s="458"/>
      <c r="Q12" s="458"/>
      <c r="R12" s="458"/>
      <c r="S12" s="458"/>
      <c r="T12" s="458"/>
      <c r="U12" s="458"/>
      <c r="V12" s="458"/>
      <c r="W12" s="458"/>
      <c r="X12" s="458"/>
      <c r="Y12" s="461"/>
      <c r="Z12" s="461"/>
      <c r="AA12" s="465"/>
      <c r="AB12" s="454"/>
      <c r="AC12" s="454"/>
      <c r="AD12" s="454"/>
      <c r="AE12" s="454"/>
      <c r="AF12" s="454"/>
      <c r="AG12" s="454"/>
      <c r="AH12" s="454"/>
      <c r="AI12" s="454"/>
      <c r="AJ12" s="454"/>
      <c r="AK12" s="454"/>
      <c r="AL12" s="454"/>
    </row>
    <row r="13" spans="1:38" s="417" customFormat="1" ht="20.100000000000001" customHeight="1">
      <c r="A13" s="417" t="s">
        <v>841</v>
      </c>
      <c r="D13" s="458">
        <f>ROUND('001 General Fund'!K22,0)</f>
        <v>833479</v>
      </c>
      <c r="E13" s="458">
        <v>0</v>
      </c>
      <c r="F13" s="458">
        <v>0</v>
      </c>
      <c r="G13" s="458">
        <v>0</v>
      </c>
      <c r="H13" s="458">
        <v>0</v>
      </c>
      <c r="I13" s="458" t="e">
        <f>ROUND(#REF!+#REF!+#REF!+#REF!+#REF!+#REF!-I9,0)</f>
        <v>#REF!</v>
      </c>
      <c r="J13" s="458">
        <v>0</v>
      </c>
      <c r="K13" s="458">
        <v>0</v>
      </c>
      <c r="L13" s="458">
        <v>0</v>
      </c>
      <c r="M13" s="458">
        <v>0</v>
      </c>
      <c r="N13" s="458">
        <v>0</v>
      </c>
      <c r="O13" s="458"/>
      <c r="P13" s="458">
        <v>0</v>
      </c>
      <c r="Q13" s="458"/>
      <c r="R13" s="458">
        <v>0</v>
      </c>
      <c r="S13" s="458"/>
      <c r="T13" s="458">
        <v>0</v>
      </c>
      <c r="U13" s="458"/>
      <c r="V13" s="458">
        <v>0</v>
      </c>
      <c r="W13" s="458"/>
      <c r="X13" s="458">
        <v>0</v>
      </c>
      <c r="Y13" s="461"/>
      <c r="Z13" s="461" t="e">
        <f>SUM(D13:Y13)</f>
        <v>#REF!</v>
      </c>
      <c r="AA13" s="465"/>
      <c r="AB13" s="465" t="e">
        <f>I13-AA13</f>
        <v>#REF!</v>
      </c>
      <c r="AC13" s="454"/>
      <c r="AD13" s="454"/>
      <c r="AE13" s="454"/>
      <c r="AF13" s="454"/>
      <c r="AG13" s="454"/>
      <c r="AH13" s="454"/>
      <c r="AI13" s="454"/>
      <c r="AJ13" s="454"/>
      <c r="AK13" s="454"/>
      <c r="AL13" s="454"/>
    </row>
    <row r="14" spans="1:38" s="417" customFormat="1" ht="18.75">
      <c r="A14" s="417" t="s">
        <v>688</v>
      </c>
      <c r="C14" s="417" t="s">
        <v>424</v>
      </c>
      <c r="D14" s="462">
        <f>SUM(D9:D13)</f>
        <v>64983421</v>
      </c>
      <c r="E14" s="1212">
        <f t="shared" ref="E14:K14" si="0">SUM(E9:E13)</f>
        <v>4794070</v>
      </c>
      <c r="F14" s="1212">
        <f t="shared" si="0"/>
        <v>99940</v>
      </c>
      <c r="G14" s="1212">
        <f t="shared" si="0"/>
        <v>399899</v>
      </c>
      <c r="H14" s="1212">
        <f t="shared" si="0"/>
        <v>38123</v>
      </c>
      <c r="I14" s="1212" t="e">
        <f t="shared" si="0"/>
        <v>#REF!</v>
      </c>
      <c r="J14" s="1212">
        <f t="shared" si="0"/>
        <v>137125.75</v>
      </c>
      <c r="K14" s="1212">
        <f t="shared" si="0"/>
        <v>1679720</v>
      </c>
      <c r="L14" s="463" t="e">
        <f t="shared" ref="L14" si="1">SUM(L9:L9)</f>
        <v>#REF!</v>
      </c>
      <c r="M14" s="463">
        <f t="shared" ref="M14:Z14" si="2">SUM(M9:M13)</f>
        <v>23929746</v>
      </c>
      <c r="N14" s="463">
        <f t="shared" si="2"/>
        <v>0</v>
      </c>
      <c r="O14" s="463">
        <f t="shared" si="2"/>
        <v>0</v>
      </c>
      <c r="P14" s="463">
        <f t="shared" si="2"/>
        <v>7903598</v>
      </c>
      <c r="Q14" s="463">
        <f t="shared" si="2"/>
        <v>0</v>
      </c>
      <c r="R14" s="463">
        <f t="shared" si="2"/>
        <v>56639343</v>
      </c>
      <c r="S14" s="463">
        <f t="shared" si="2"/>
        <v>0</v>
      </c>
      <c r="T14" s="463">
        <f t="shared" si="2"/>
        <v>12213219</v>
      </c>
      <c r="U14" s="463">
        <f t="shared" si="2"/>
        <v>0</v>
      </c>
      <c r="V14" s="463">
        <f t="shared" si="2"/>
        <v>13737004</v>
      </c>
      <c r="W14" s="463">
        <f t="shared" si="2"/>
        <v>0</v>
      </c>
      <c r="X14" s="463">
        <f t="shared" si="2"/>
        <v>13880782</v>
      </c>
      <c r="Y14" s="463">
        <f t="shared" si="2"/>
        <v>0</v>
      </c>
      <c r="Z14" s="463" t="e">
        <f t="shared" si="2"/>
        <v>#REF!</v>
      </c>
      <c r="AA14" s="465"/>
      <c r="AB14" s="454"/>
      <c r="AC14" s="454"/>
      <c r="AD14" s="454"/>
      <c r="AE14" s="454"/>
      <c r="AF14" s="454"/>
      <c r="AG14" s="454"/>
      <c r="AH14" s="454"/>
      <c r="AI14" s="454"/>
      <c r="AJ14" s="454"/>
      <c r="AK14" s="454"/>
      <c r="AL14" s="454"/>
    </row>
    <row r="15" spans="1:38" s="417" customFormat="1" ht="12" customHeight="1">
      <c r="D15" s="466"/>
      <c r="E15" s="460"/>
      <c r="F15" s="460"/>
      <c r="G15" s="460"/>
      <c r="H15" s="460"/>
      <c r="I15" s="460"/>
      <c r="J15" s="460"/>
      <c r="K15" s="460"/>
      <c r="L15" s="458"/>
      <c r="M15" s="458"/>
      <c r="N15" s="460"/>
      <c r="O15" s="461"/>
      <c r="P15" s="460"/>
      <c r="Q15" s="458"/>
      <c r="R15" s="460"/>
      <c r="S15" s="458"/>
      <c r="T15" s="460"/>
      <c r="U15" s="458"/>
      <c r="V15" s="460"/>
      <c r="W15" s="458"/>
      <c r="X15" s="460"/>
      <c r="Y15" s="461"/>
      <c r="Z15" s="467"/>
      <c r="AA15" s="465"/>
      <c r="AB15" s="454"/>
      <c r="AC15" s="454"/>
      <c r="AD15" s="454"/>
      <c r="AE15" s="454"/>
      <c r="AF15" s="454"/>
      <c r="AG15" s="454"/>
      <c r="AH15" s="454"/>
      <c r="AI15" s="454"/>
      <c r="AJ15" s="454"/>
      <c r="AK15" s="454"/>
      <c r="AL15" s="454"/>
    </row>
    <row r="16" spans="1:38" s="454" customFormat="1" ht="15.75" customHeight="1">
      <c r="A16" s="454" t="s">
        <v>426</v>
      </c>
      <c r="D16" s="460"/>
      <c r="E16" s="460"/>
      <c r="F16" s="460"/>
      <c r="G16" s="460"/>
      <c r="H16" s="460"/>
      <c r="I16" s="460"/>
      <c r="J16" s="460"/>
      <c r="K16" s="460"/>
      <c r="L16" s="458"/>
      <c r="M16" s="458"/>
      <c r="N16" s="460"/>
      <c r="O16" s="461"/>
      <c r="P16" s="460"/>
      <c r="Q16" s="458"/>
      <c r="R16" s="460"/>
      <c r="S16" s="458"/>
      <c r="T16" s="460"/>
      <c r="U16" s="458"/>
      <c r="V16" s="460"/>
      <c r="W16" s="458"/>
      <c r="X16" s="460"/>
      <c r="Y16" s="461"/>
      <c r="Z16" s="467"/>
      <c r="AA16" s="465"/>
    </row>
    <row r="17" spans="1:29" s="454" customFormat="1" ht="16.5" customHeight="1">
      <c r="A17" s="454" t="s">
        <v>584</v>
      </c>
      <c r="B17" s="700" t="s">
        <v>585</v>
      </c>
      <c r="D17" s="458"/>
      <c r="E17" s="458"/>
      <c r="F17" s="458"/>
      <c r="G17" s="458"/>
      <c r="H17" s="458"/>
      <c r="I17" s="458"/>
      <c r="J17" s="458"/>
      <c r="K17" s="458"/>
      <c r="L17" s="458"/>
      <c r="M17" s="458"/>
      <c r="N17" s="458"/>
      <c r="O17" s="461"/>
      <c r="P17" s="458"/>
      <c r="Q17" s="458"/>
      <c r="R17" s="458"/>
      <c r="S17" s="458"/>
      <c r="T17" s="458"/>
      <c r="U17" s="458"/>
      <c r="V17" s="458"/>
      <c r="W17" s="458"/>
      <c r="X17" s="458"/>
      <c r="Y17" s="461"/>
      <c r="Z17" s="461"/>
      <c r="AA17" s="465"/>
    </row>
    <row r="18" spans="1:29" s="454" customFormat="1" ht="20.100000000000001" customHeight="1">
      <c r="A18" s="454" t="s">
        <v>582</v>
      </c>
      <c r="B18" s="468">
        <v>4.1193</v>
      </c>
      <c r="D18" s="460">
        <f>ROUND('[1]GF Resources'!$J$7,0)</f>
        <v>97569296</v>
      </c>
      <c r="E18" s="460">
        <v>0</v>
      </c>
      <c r="F18" s="460">
        <v>0</v>
      </c>
      <c r="G18" s="460">
        <v>0</v>
      </c>
      <c r="H18" s="460">
        <v>0</v>
      </c>
      <c r="I18" s="460">
        <v>0</v>
      </c>
      <c r="J18" s="460">
        <v>0</v>
      </c>
      <c r="K18" s="460">
        <v>0</v>
      </c>
      <c r="L18" s="460" t="e">
        <f>ROUND(#REF!+#REF!+#REF!,0)</f>
        <v>#REF!</v>
      </c>
      <c r="M18" s="460">
        <v>0</v>
      </c>
      <c r="N18" s="460">
        <v>0</v>
      </c>
      <c r="O18" s="461"/>
      <c r="P18" s="460">
        <v>0</v>
      </c>
      <c r="Q18" s="458"/>
      <c r="R18" s="458">
        <v>0</v>
      </c>
      <c r="S18" s="458"/>
      <c r="T18" s="458">
        <v>0</v>
      </c>
      <c r="U18" s="458"/>
      <c r="V18" s="458">
        <v>0</v>
      </c>
      <c r="W18" s="458"/>
      <c r="X18" s="458">
        <v>0</v>
      </c>
      <c r="Y18" s="461"/>
      <c r="Z18" s="461" t="e">
        <f t="shared" ref="Z18:Z28" si="3">SUM(D18:X18)</f>
        <v>#REF!</v>
      </c>
      <c r="AA18" s="465"/>
    </row>
    <row r="19" spans="1:29" s="454" customFormat="1" ht="20.100000000000001" customHeight="1">
      <c r="A19" s="454" t="s">
        <v>873</v>
      </c>
      <c r="B19" s="468">
        <v>0.20710000000000001</v>
      </c>
      <c r="D19" s="460">
        <v>0</v>
      </c>
      <c r="E19" s="460">
        <v>0</v>
      </c>
      <c r="F19" s="460"/>
      <c r="G19" s="460">
        <v>0</v>
      </c>
      <c r="H19" s="460">
        <v>0</v>
      </c>
      <c r="I19" s="460">
        <v>0</v>
      </c>
      <c r="J19" s="460"/>
      <c r="K19" s="460"/>
      <c r="L19" s="460">
        <v>0</v>
      </c>
      <c r="M19" s="460">
        <v>0</v>
      </c>
      <c r="N19" s="460">
        <v>0</v>
      </c>
      <c r="O19" s="461"/>
      <c r="P19" s="460">
        <v>0</v>
      </c>
      <c r="Q19" s="458"/>
      <c r="R19" s="458">
        <v>0</v>
      </c>
      <c r="S19" s="458"/>
      <c r="T19" s="458">
        <v>0</v>
      </c>
      <c r="U19" s="458"/>
      <c r="V19" s="458">
        <v>0</v>
      </c>
      <c r="W19" s="458"/>
      <c r="X19" s="458">
        <v>0</v>
      </c>
      <c r="Y19" s="461"/>
      <c r="Z19" s="461">
        <f t="shared" si="3"/>
        <v>0</v>
      </c>
      <c r="AA19" s="465"/>
    </row>
    <row r="20" spans="1:29" s="454" customFormat="1" ht="20.100000000000001" customHeight="1">
      <c r="A20" s="454" t="s">
        <v>581</v>
      </c>
      <c r="B20" s="576">
        <v>1</v>
      </c>
      <c r="D20" s="461">
        <v>0</v>
      </c>
      <c r="E20" s="460">
        <v>0</v>
      </c>
      <c r="F20" s="458">
        <f>ROUND('Sunrise Key'!L8,0)</f>
        <v>80098</v>
      </c>
      <c r="G20" s="460">
        <v>0</v>
      </c>
      <c r="H20" s="460">
        <v>0</v>
      </c>
      <c r="I20" s="460">
        <v>0</v>
      </c>
      <c r="J20" s="460">
        <v>0</v>
      </c>
      <c r="K20" s="460">
        <v>0</v>
      </c>
      <c r="L20" s="460">
        <v>0</v>
      </c>
      <c r="M20" s="460">
        <v>0</v>
      </c>
      <c r="N20" s="460">
        <v>0</v>
      </c>
      <c r="O20" s="461"/>
      <c r="P20" s="460">
        <v>0</v>
      </c>
      <c r="Q20" s="458"/>
      <c r="R20" s="460">
        <v>0</v>
      </c>
      <c r="S20" s="458"/>
      <c r="T20" s="460">
        <v>0</v>
      </c>
      <c r="U20" s="458"/>
      <c r="V20" s="460">
        <v>0</v>
      </c>
      <c r="W20" s="458"/>
      <c r="X20" s="460">
        <v>0</v>
      </c>
      <c r="Y20" s="461"/>
      <c r="Z20" s="461">
        <f t="shared" si="3"/>
        <v>80098</v>
      </c>
      <c r="AA20" s="465"/>
    </row>
    <row r="21" spans="1:29" s="454" customFormat="1" ht="20.100000000000001" customHeight="1">
      <c r="A21" s="454" t="s">
        <v>580</v>
      </c>
      <c r="B21" s="684"/>
      <c r="D21" s="460">
        <f>ROUND('[1]GF Resources'!$J$14,0)</f>
        <v>4882276</v>
      </c>
      <c r="E21" s="460">
        <v>0</v>
      </c>
      <c r="F21" s="460">
        <v>0</v>
      </c>
      <c r="G21" s="460">
        <v>0</v>
      </c>
      <c r="H21" s="460">
        <v>0</v>
      </c>
      <c r="I21" s="460">
        <v>0</v>
      </c>
      <c r="J21" s="460">
        <v>0</v>
      </c>
      <c r="K21" s="460">
        <v>0</v>
      </c>
      <c r="L21" s="460">
        <v>0</v>
      </c>
      <c r="M21" s="460">
        <v>0</v>
      </c>
      <c r="N21" s="460">
        <v>0</v>
      </c>
      <c r="O21" s="461"/>
      <c r="P21" s="460">
        <v>0</v>
      </c>
      <c r="Q21" s="458"/>
      <c r="R21" s="460">
        <v>0</v>
      </c>
      <c r="S21" s="458"/>
      <c r="T21" s="460">
        <v>0</v>
      </c>
      <c r="U21" s="458"/>
      <c r="V21" s="460">
        <v>0</v>
      </c>
      <c r="W21" s="458"/>
      <c r="X21" s="460">
        <v>0</v>
      </c>
      <c r="Y21" s="461"/>
      <c r="Z21" s="461">
        <f t="shared" si="3"/>
        <v>4882276</v>
      </c>
      <c r="AA21" s="465"/>
    </row>
    <row r="22" spans="1:29" s="454" customFormat="1" ht="20.100000000000001" customHeight="1">
      <c r="A22" s="454" t="s">
        <v>579</v>
      </c>
      <c r="D22" s="460">
        <f>ROUND('[1]GF Resources'!$J$15,0)</f>
        <v>15228206</v>
      </c>
      <c r="E22" s="460">
        <v>0</v>
      </c>
      <c r="F22" s="460">
        <v>0</v>
      </c>
      <c r="G22" s="460">
        <v>0</v>
      </c>
      <c r="H22" s="460">
        <v>0</v>
      </c>
      <c r="I22" s="460">
        <v>0</v>
      </c>
      <c r="J22" s="460">
        <v>0</v>
      </c>
      <c r="K22" s="460">
        <v>0</v>
      </c>
      <c r="L22" s="460">
        <v>0</v>
      </c>
      <c r="M22" s="460">
        <v>0</v>
      </c>
      <c r="N22" s="460">
        <v>0</v>
      </c>
      <c r="O22" s="461"/>
      <c r="P22" s="460">
        <v>0</v>
      </c>
      <c r="Q22" s="458"/>
      <c r="R22" s="458">
        <v>0</v>
      </c>
      <c r="S22" s="458"/>
      <c r="T22" s="458">
        <v>0</v>
      </c>
      <c r="U22" s="458"/>
      <c r="V22" s="458">
        <v>0</v>
      </c>
      <c r="W22" s="458"/>
      <c r="X22" s="458">
        <v>0</v>
      </c>
      <c r="Y22" s="461"/>
      <c r="Z22" s="461">
        <f t="shared" si="3"/>
        <v>15228206</v>
      </c>
      <c r="AA22" s="465"/>
    </row>
    <row r="23" spans="1:29" s="454" customFormat="1" ht="20.100000000000001" customHeight="1">
      <c r="A23" s="454" t="s">
        <v>578</v>
      </c>
      <c r="D23" s="460">
        <f>ROUND('[1]GF Resources'!$J$16,0)</f>
        <v>36592965</v>
      </c>
      <c r="E23" s="460">
        <v>0</v>
      </c>
      <c r="F23" s="460">
        <v>0</v>
      </c>
      <c r="G23" s="460">
        <v>0</v>
      </c>
      <c r="H23" s="460">
        <v>0</v>
      </c>
      <c r="I23" s="460">
        <v>0</v>
      </c>
      <c r="J23" s="460">
        <v>0</v>
      </c>
      <c r="K23" s="460">
        <v>0</v>
      </c>
      <c r="L23" s="460">
        <v>0</v>
      </c>
      <c r="M23" s="460">
        <v>0</v>
      </c>
      <c r="N23" s="460">
        <v>0</v>
      </c>
      <c r="O23" s="461"/>
      <c r="P23" s="460">
        <v>0</v>
      </c>
      <c r="Q23" s="458"/>
      <c r="R23" s="458">
        <v>0</v>
      </c>
      <c r="S23" s="458"/>
      <c r="T23" s="458">
        <v>0</v>
      </c>
      <c r="U23" s="458"/>
      <c r="V23" s="458">
        <v>0</v>
      </c>
      <c r="W23" s="458"/>
      <c r="X23" s="458">
        <v>0</v>
      </c>
      <c r="Y23" s="461"/>
      <c r="Z23" s="461">
        <f t="shared" si="3"/>
        <v>36592965</v>
      </c>
      <c r="AA23" s="465"/>
    </row>
    <row r="24" spans="1:29" s="454" customFormat="1" ht="20.100000000000001" customHeight="1">
      <c r="A24" s="454" t="s">
        <v>435</v>
      </c>
      <c r="D24" s="460">
        <f>ROUND('[1]GF Resources'!$J$22,0)</f>
        <v>2924286</v>
      </c>
      <c r="E24" s="460">
        <v>0</v>
      </c>
      <c r="F24" s="460">
        <v>0</v>
      </c>
      <c r="G24" s="460">
        <v>0</v>
      </c>
      <c r="H24" s="460">
        <v>0</v>
      </c>
      <c r="I24" s="460" t="e">
        <f>ROUND(#REF!+#REF!+#REF!,0)</f>
        <v>#REF!</v>
      </c>
      <c r="J24" s="460">
        <v>0</v>
      </c>
      <c r="K24" s="460">
        <v>0</v>
      </c>
      <c r="L24" s="460">
        <v>0</v>
      </c>
      <c r="M24" s="460">
        <v>0</v>
      </c>
      <c r="N24" s="460">
        <v>0</v>
      </c>
      <c r="O24" s="461"/>
      <c r="P24" s="460">
        <v>0</v>
      </c>
      <c r="Q24" s="458"/>
      <c r="R24" s="458">
        <v>0</v>
      </c>
      <c r="S24" s="458"/>
      <c r="T24" s="458">
        <v>0</v>
      </c>
      <c r="U24" s="458"/>
      <c r="V24" s="458">
        <v>0</v>
      </c>
      <c r="W24" s="458"/>
      <c r="X24" s="458">
        <v>0</v>
      </c>
      <c r="Y24" s="461"/>
      <c r="Z24" s="461" t="e">
        <f t="shared" si="3"/>
        <v>#REF!</v>
      </c>
      <c r="AA24" s="465"/>
    </row>
    <row r="25" spans="1:29" s="454" customFormat="1" ht="20.100000000000001" customHeight="1">
      <c r="A25" s="454" t="s">
        <v>408</v>
      </c>
      <c r="D25" s="460">
        <f>ROUND('[1]GF Resources'!$J$28,0)</f>
        <v>17749691</v>
      </c>
      <c r="E25" s="458">
        <f>ROUND('CRA-Beach'!L8+'CRA-NW Progresso'!L8,0)</f>
        <v>8187921</v>
      </c>
      <c r="F25" s="460">
        <v>0</v>
      </c>
      <c r="G25" s="460">
        <v>0</v>
      </c>
      <c r="H25" s="458">
        <f>ROUND('Housing and Community Dev'!L8,0)</f>
        <v>9371773</v>
      </c>
      <c r="I25" s="458">
        <v>0</v>
      </c>
      <c r="J25" s="458">
        <v>0</v>
      </c>
      <c r="K25" s="458">
        <v>0</v>
      </c>
      <c r="L25" s="460">
        <v>0</v>
      </c>
      <c r="M25" s="460">
        <v>0</v>
      </c>
      <c r="N25" s="460">
        <v>0</v>
      </c>
      <c r="O25" s="461"/>
      <c r="P25" s="460">
        <v>0</v>
      </c>
      <c r="Q25" s="458"/>
      <c r="R25" s="458">
        <v>0</v>
      </c>
      <c r="S25" s="458"/>
      <c r="T25" s="458">
        <v>0</v>
      </c>
      <c r="U25" s="458"/>
      <c r="V25" s="458">
        <v>0</v>
      </c>
      <c r="W25" s="458"/>
      <c r="X25" s="458">
        <v>0</v>
      </c>
      <c r="Y25" s="461"/>
      <c r="Z25" s="461">
        <f t="shared" si="3"/>
        <v>35309385</v>
      </c>
      <c r="AA25" s="465"/>
      <c r="AC25" s="454" t="s">
        <v>58</v>
      </c>
    </row>
    <row r="26" spans="1:29" s="454" customFormat="1" ht="20.100000000000001" customHeight="1">
      <c r="A26" s="454" t="s">
        <v>114</v>
      </c>
      <c r="D26" s="460">
        <f>ROUND('[1]GF Resources'!$J$40,0)</f>
        <v>26036670</v>
      </c>
      <c r="E26" s="460">
        <f>ROUND(+'CRA-NW Progresso'!L9,0)</f>
        <v>0</v>
      </c>
      <c r="F26" s="460">
        <v>0</v>
      </c>
      <c r="G26" s="460">
        <v>0</v>
      </c>
      <c r="H26" s="460">
        <v>0</v>
      </c>
      <c r="I26" s="460" t="e">
        <f>ROUND(#REF!,0)</f>
        <v>#REF!</v>
      </c>
      <c r="J26" s="460">
        <v>0</v>
      </c>
      <c r="K26" s="460">
        <v>0</v>
      </c>
      <c r="L26" s="460">
        <v>0</v>
      </c>
      <c r="M26" s="460">
        <v>0</v>
      </c>
      <c r="N26" s="458">
        <f>ROUND('Arts Science District Garage'!L8,0)</f>
        <v>1155995</v>
      </c>
      <c r="O26" s="461"/>
      <c r="P26" s="458">
        <f>ROUND(Sanitation!L9,0)</f>
        <v>15162899</v>
      </c>
      <c r="Q26" s="458"/>
      <c r="R26" s="458">
        <f>ROUND('Water and Sewer'!L8+'Central Region'!L8,0)</f>
        <v>122220191</v>
      </c>
      <c r="S26" s="458"/>
      <c r="T26" s="458">
        <f>ROUND(Stormwater!L8,0)</f>
        <v>0</v>
      </c>
      <c r="U26" s="458"/>
      <c r="V26" s="458">
        <f>ROUND('Parking System'!L8,0)</f>
        <v>11903785</v>
      </c>
      <c r="W26" s="458"/>
      <c r="X26" s="458">
        <f>ROUND(Airport!L9,0)</f>
        <v>3796402</v>
      </c>
      <c r="Y26" s="461"/>
      <c r="Z26" s="461" t="e">
        <f t="shared" si="3"/>
        <v>#REF!</v>
      </c>
      <c r="AA26" s="465"/>
    </row>
    <row r="27" spans="1:29" s="454" customFormat="1" ht="20.100000000000001" customHeight="1">
      <c r="A27" s="454" t="s">
        <v>436</v>
      </c>
      <c r="D27" s="460">
        <f>ROUND('[1]GF Resources'!$J$45,0)</f>
        <v>4799918</v>
      </c>
      <c r="E27" s="460">
        <v>0</v>
      </c>
      <c r="F27" s="460">
        <v>0</v>
      </c>
      <c r="G27" s="460">
        <v>0</v>
      </c>
      <c r="H27" s="460">
        <v>0</v>
      </c>
      <c r="I27" s="460">
        <v>0</v>
      </c>
      <c r="J27" s="460">
        <f>ROUND('School Crossing Guard'!L8,0)</f>
        <v>872600</v>
      </c>
      <c r="K27" s="460">
        <f>Police!L9</f>
        <v>255000</v>
      </c>
      <c r="L27" s="460">
        <v>0</v>
      </c>
      <c r="M27" s="460">
        <v>0</v>
      </c>
      <c r="N27" s="460">
        <v>0</v>
      </c>
      <c r="O27" s="461"/>
      <c r="P27" s="460">
        <v>0</v>
      </c>
      <c r="Q27" s="458"/>
      <c r="R27" s="458">
        <v>0</v>
      </c>
      <c r="S27" s="458"/>
      <c r="T27" s="458">
        <v>0</v>
      </c>
      <c r="U27" s="458"/>
      <c r="V27" s="458">
        <f>ROUND('Parking System'!L9,0)</f>
        <v>3038435</v>
      </c>
      <c r="W27" s="458"/>
      <c r="X27" s="458">
        <v>0</v>
      </c>
      <c r="Y27" s="461"/>
      <c r="Z27" s="461">
        <f t="shared" si="3"/>
        <v>8965953</v>
      </c>
      <c r="AA27" s="465"/>
    </row>
    <row r="28" spans="1:29" s="454" customFormat="1" ht="20.100000000000001" customHeight="1">
      <c r="A28" s="454" t="s">
        <v>437</v>
      </c>
      <c r="D28" s="460">
        <f>ROUND('[1]GF Resources'!$J$54,0)</f>
        <v>78384413</v>
      </c>
      <c r="E28" s="458">
        <f>ROUND('CRA-Beach'!L9+'CRA-NW Progresso'!L10+'CRA-Central City'!L8,0)</f>
        <v>191468</v>
      </c>
      <c r="F28" s="458">
        <f>ROUND('Sunrise Key'!L9,0)</f>
        <v>210</v>
      </c>
      <c r="G28" s="458">
        <f>ROUND('Beach Bus Improv District'!L8,0)</f>
        <v>704082</v>
      </c>
      <c r="H28" s="460">
        <v>0</v>
      </c>
      <c r="I28" s="460" t="e">
        <f>ROUND(#REF!+#REF!+#REF!,0)</f>
        <v>#REF!</v>
      </c>
      <c r="J28" s="460">
        <v>0</v>
      </c>
      <c r="K28" s="460">
        <f>Police!L10</f>
        <v>19000</v>
      </c>
      <c r="L28" s="460">
        <v>0</v>
      </c>
      <c r="M28" s="458">
        <f>ROUND(Cemtery!L8,0)</f>
        <v>2200000</v>
      </c>
      <c r="N28" s="458">
        <v>0</v>
      </c>
      <c r="O28" s="461"/>
      <c r="P28" s="460" t="e">
        <f>ROUND(Sanitation!#REF!,0)</f>
        <v>#REF!</v>
      </c>
      <c r="Q28" s="458"/>
      <c r="R28" s="458">
        <f>ROUND('Water and Sewer'!L9+'Central Region'!L9,0)</f>
        <v>6500315</v>
      </c>
      <c r="S28" s="458"/>
      <c r="T28" s="458">
        <f>ROUND(Stormwater!L10,0)</f>
        <v>170400</v>
      </c>
      <c r="U28" s="458"/>
      <c r="V28" s="458">
        <f>ROUND('Parking System'!L10,0)</f>
        <v>382892</v>
      </c>
      <c r="W28" s="458"/>
      <c r="X28" s="458">
        <f>ROUND(Airport!L10,0)</f>
        <v>3899193</v>
      </c>
      <c r="Y28" s="461"/>
      <c r="Z28" s="461" t="e">
        <f t="shared" si="3"/>
        <v>#REF!</v>
      </c>
      <c r="AA28" s="465"/>
      <c r="AC28" s="454" t="s">
        <v>58</v>
      </c>
    </row>
    <row r="29" spans="1:29" s="454" customFormat="1" ht="20.100000000000001" customHeight="1">
      <c r="A29" s="454" t="s">
        <v>438</v>
      </c>
      <c r="C29" s="454" t="s">
        <v>424</v>
      </c>
      <c r="D29" s="463">
        <f>SUM(D17:D28)</f>
        <v>284167721</v>
      </c>
      <c r="E29" s="463">
        <f t="shared" ref="E29:X29" si="4">SUM(E18:E28)</f>
        <v>8379389</v>
      </c>
      <c r="F29" s="463">
        <f t="shared" si="4"/>
        <v>80308</v>
      </c>
      <c r="G29" s="463">
        <f t="shared" si="4"/>
        <v>704082</v>
      </c>
      <c r="H29" s="463">
        <f t="shared" si="4"/>
        <v>9371773</v>
      </c>
      <c r="I29" s="463" t="e">
        <f t="shared" si="4"/>
        <v>#REF!</v>
      </c>
      <c r="J29" s="463">
        <f t="shared" si="4"/>
        <v>872600</v>
      </c>
      <c r="K29" s="463">
        <f t="shared" si="4"/>
        <v>274000</v>
      </c>
      <c r="L29" s="463" t="e">
        <f t="shared" si="4"/>
        <v>#REF!</v>
      </c>
      <c r="M29" s="463">
        <f t="shared" si="4"/>
        <v>2200000</v>
      </c>
      <c r="N29" s="463">
        <f t="shared" si="4"/>
        <v>1155995</v>
      </c>
      <c r="O29" s="463">
        <f t="shared" si="4"/>
        <v>0</v>
      </c>
      <c r="P29" s="463" t="e">
        <f t="shared" si="4"/>
        <v>#REF!</v>
      </c>
      <c r="Q29" s="463">
        <f t="shared" si="4"/>
        <v>0</v>
      </c>
      <c r="R29" s="463">
        <f t="shared" si="4"/>
        <v>128720506</v>
      </c>
      <c r="S29" s="463">
        <f t="shared" si="4"/>
        <v>0</v>
      </c>
      <c r="T29" s="463">
        <f t="shared" si="4"/>
        <v>170400</v>
      </c>
      <c r="U29" s="463">
        <f t="shared" si="4"/>
        <v>0</v>
      </c>
      <c r="V29" s="463">
        <f t="shared" si="4"/>
        <v>15325112</v>
      </c>
      <c r="W29" s="463">
        <f t="shared" si="4"/>
        <v>0</v>
      </c>
      <c r="X29" s="463">
        <f t="shared" si="4"/>
        <v>7695595</v>
      </c>
      <c r="Y29" s="463">
        <f>SUM(Y17:Y28)</f>
        <v>0</v>
      </c>
      <c r="Z29" s="464" t="e">
        <f>SUM(Z18:Z28)</f>
        <v>#REF!</v>
      </c>
      <c r="AA29" s="479">
        <f>D18/D29</f>
        <v>0.34335108736716791</v>
      </c>
    </row>
    <row r="30" spans="1:29" s="454" customFormat="1" ht="15.95" customHeight="1">
      <c r="D30" s="458"/>
      <c r="E30" s="458"/>
      <c r="F30" s="458"/>
      <c r="G30" s="458"/>
      <c r="H30" s="458"/>
      <c r="I30" s="458"/>
      <c r="J30" s="458"/>
      <c r="K30" s="458"/>
      <c r="L30" s="458"/>
      <c r="M30" s="458"/>
      <c r="N30" s="458"/>
      <c r="O30" s="458"/>
      <c r="P30" s="458"/>
      <c r="Q30" s="458"/>
      <c r="R30" s="458"/>
      <c r="S30" s="458"/>
      <c r="T30" s="458"/>
      <c r="U30" s="458"/>
      <c r="V30" s="458"/>
      <c r="W30" s="458"/>
      <c r="X30" s="458"/>
      <c r="Y30" s="458"/>
      <c r="Z30" s="458"/>
      <c r="AA30" s="465"/>
    </row>
    <row r="31" spans="1:29" s="454" customFormat="1" ht="20.100000000000001" customHeight="1">
      <c r="A31" s="454" t="s">
        <v>439</v>
      </c>
      <c r="C31" s="454" t="s">
        <v>424</v>
      </c>
      <c r="D31" s="470">
        <f>ROUND('[1]GF Resources'!$J$57,0)</f>
        <v>982884</v>
      </c>
      <c r="E31" s="470">
        <f>'CRA-Beach'!L10+'CRA-NW Progresso'!L11</f>
        <v>4496529</v>
      </c>
      <c r="F31" s="470">
        <v>0</v>
      </c>
      <c r="G31" s="470">
        <v>0</v>
      </c>
      <c r="H31" s="470">
        <v>0</v>
      </c>
      <c r="I31" s="470">
        <v>0</v>
      </c>
      <c r="J31" s="470">
        <v>0</v>
      </c>
      <c r="K31" s="470"/>
      <c r="L31" s="470" t="e">
        <f>#REF!+#REF!+#REF!+#REF!</f>
        <v>#REF!</v>
      </c>
      <c r="M31" s="470">
        <v>0</v>
      </c>
      <c r="N31" s="470">
        <v>0</v>
      </c>
      <c r="O31" s="461"/>
      <c r="P31" s="470">
        <v>0</v>
      </c>
      <c r="Q31" s="458"/>
      <c r="R31" s="470">
        <f>'Water and Sewer'!L10</f>
        <v>0</v>
      </c>
      <c r="S31" s="458"/>
      <c r="T31" s="470">
        <v>0</v>
      </c>
      <c r="U31" s="458"/>
      <c r="V31" s="470">
        <v>0</v>
      </c>
      <c r="W31" s="458"/>
      <c r="X31" s="470">
        <v>0</v>
      </c>
      <c r="Y31" s="958"/>
      <c r="Z31" s="475" t="e">
        <f>SUM(D31:X31)</f>
        <v>#REF!</v>
      </c>
      <c r="AA31" s="465"/>
    </row>
    <row r="32" spans="1:29" s="454" customFormat="1" ht="10.5" customHeight="1">
      <c r="D32" s="458"/>
      <c r="E32" s="458"/>
      <c r="F32" s="458"/>
      <c r="G32" s="458"/>
      <c r="H32" s="458"/>
      <c r="I32" s="458"/>
      <c r="J32" s="458"/>
      <c r="K32" s="458"/>
      <c r="L32" s="458"/>
      <c r="M32" s="458"/>
      <c r="N32" s="458"/>
      <c r="O32" s="461"/>
      <c r="P32" s="458"/>
      <c r="Q32" s="458"/>
      <c r="R32" s="458"/>
      <c r="S32" s="458"/>
      <c r="T32" s="458"/>
      <c r="U32" s="458"/>
      <c r="V32" s="458"/>
      <c r="W32" s="458"/>
      <c r="X32" s="458"/>
      <c r="Y32" s="461"/>
      <c r="Z32" s="461"/>
    </row>
    <row r="33" spans="1:38" s="454" customFormat="1" ht="21.95" customHeight="1" thickBot="1">
      <c r="A33" s="713" t="s">
        <v>21</v>
      </c>
      <c r="B33" s="714"/>
      <c r="C33" s="454" t="s">
        <v>424</v>
      </c>
      <c r="D33" s="477">
        <f t="shared" ref="D33:Z33" si="5">D14+D29+D31</f>
        <v>350134026</v>
      </c>
      <c r="E33" s="477">
        <f t="shared" si="5"/>
        <v>17669988</v>
      </c>
      <c r="F33" s="477">
        <f t="shared" si="5"/>
        <v>180248</v>
      </c>
      <c r="G33" s="477">
        <f t="shared" si="5"/>
        <v>1103981</v>
      </c>
      <c r="H33" s="477">
        <f t="shared" si="5"/>
        <v>9409896</v>
      </c>
      <c r="I33" s="477" t="e">
        <f t="shared" si="5"/>
        <v>#REF!</v>
      </c>
      <c r="J33" s="477">
        <f t="shared" si="5"/>
        <v>1009725.75</v>
      </c>
      <c r="K33" s="477">
        <f t="shared" si="5"/>
        <v>1953720</v>
      </c>
      <c r="L33" s="477" t="e">
        <f t="shared" si="5"/>
        <v>#REF!</v>
      </c>
      <c r="M33" s="477">
        <f t="shared" si="5"/>
        <v>26129746</v>
      </c>
      <c r="N33" s="477">
        <f t="shared" si="5"/>
        <v>1155995</v>
      </c>
      <c r="O33" s="477">
        <f t="shared" si="5"/>
        <v>0</v>
      </c>
      <c r="P33" s="477" t="e">
        <f t="shared" si="5"/>
        <v>#REF!</v>
      </c>
      <c r="Q33" s="477">
        <f t="shared" si="5"/>
        <v>0</v>
      </c>
      <c r="R33" s="477">
        <f t="shared" si="5"/>
        <v>185359849</v>
      </c>
      <c r="S33" s="477">
        <f t="shared" si="5"/>
        <v>0</v>
      </c>
      <c r="T33" s="477">
        <f t="shared" si="5"/>
        <v>12383619</v>
      </c>
      <c r="U33" s="477">
        <f t="shared" si="5"/>
        <v>0</v>
      </c>
      <c r="V33" s="477">
        <f t="shared" si="5"/>
        <v>29062116</v>
      </c>
      <c r="W33" s="477">
        <f t="shared" si="5"/>
        <v>0</v>
      </c>
      <c r="X33" s="477">
        <f t="shared" si="5"/>
        <v>21576377</v>
      </c>
      <c r="Y33" s="477">
        <f t="shared" si="5"/>
        <v>0</v>
      </c>
      <c r="Z33" s="477" t="e">
        <f t="shared" si="5"/>
        <v>#REF!</v>
      </c>
      <c r="AA33" s="465"/>
    </row>
    <row r="34" spans="1:38" s="454" customFormat="1" ht="10.5" customHeight="1" thickTop="1">
      <c r="D34" s="458"/>
      <c r="E34" s="458"/>
      <c r="F34" s="458"/>
      <c r="G34" s="458"/>
      <c r="H34" s="458"/>
      <c r="I34" s="458"/>
      <c r="J34" s="458"/>
      <c r="K34" s="458"/>
      <c r="L34" s="458"/>
      <c r="M34" s="458"/>
      <c r="N34" s="458"/>
      <c r="O34" s="467"/>
      <c r="P34" s="458"/>
      <c r="Q34" s="458"/>
      <c r="R34" s="458"/>
      <c r="S34" s="458"/>
      <c r="T34" s="458"/>
      <c r="U34" s="458"/>
      <c r="V34" s="458"/>
      <c r="W34" s="458"/>
      <c r="X34" s="458"/>
      <c r="Y34" s="461"/>
      <c r="Z34" s="461"/>
      <c r="AA34" s="465"/>
    </row>
    <row r="35" spans="1:38" s="454" customFormat="1" ht="14.1" customHeight="1">
      <c r="A35" s="685"/>
      <c r="D35" s="460" t="s">
        <v>58</v>
      </c>
      <c r="E35" s="458"/>
      <c r="F35" s="458"/>
      <c r="G35" s="458"/>
      <c r="H35" s="458"/>
      <c r="I35" s="458"/>
      <c r="J35" s="458"/>
      <c r="K35" s="458"/>
      <c r="L35" s="458"/>
      <c r="M35" s="458"/>
      <c r="N35" s="458"/>
      <c r="O35" s="461"/>
      <c r="P35" s="458"/>
      <c r="Q35" s="458"/>
      <c r="R35" s="458"/>
      <c r="S35" s="458"/>
      <c r="T35" s="458"/>
      <c r="U35" s="458"/>
      <c r="V35" s="458"/>
      <c r="W35" s="458"/>
      <c r="X35" s="458"/>
      <c r="Y35" s="461"/>
      <c r="Z35" s="461"/>
      <c r="AA35" s="465"/>
    </row>
    <row r="36" spans="1:38" s="454" customFormat="1" ht="6.95" customHeight="1">
      <c r="D36" s="458"/>
      <c r="E36" s="458"/>
      <c r="F36" s="458"/>
      <c r="G36" s="458"/>
      <c r="H36" s="458"/>
      <c r="I36" s="458"/>
      <c r="J36" s="458"/>
      <c r="K36" s="458"/>
      <c r="L36" s="458"/>
      <c r="M36" s="458"/>
      <c r="N36" s="458"/>
      <c r="O36" s="461"/>
      <c r="P36" s="458"/>
      <c r="Q36" s="458"/>
      <c r="R36" s="458"/>
      <c r="S36" s="458"/>
      <c r="T36" s="458"/>
      <c r="U36" s="458"/>
      <c r="V36" s="458"/>
      <c r="W36" s="458"/>
      <c r="X36" s="458"/>
      <c r="Y36" s="461"/>
      <c r="Z36" s="461"/>
      <c r="AA36" s="465"/>
    </row>
    <row r="37" spans="1:38" s="454" customFormat="1" ht="17.25" customHeight="1">
      <c r="A37" s="454" t="s">
        <v>811</v>
      </c>
      <c r="D37" s="458"/>
      <c r="E37" s="458"/>
      <c r="F37" s="458"/>
      <c r="G37" s="458"/>
      <c r="H37" s="458"/>
      <c r="I37" s="458"/>
      <c r="J37" s="458"/>
      <c r="K37" s="458"/>
      <c r="L37" s="458"/>
      <c r="M37" s="458"/>
      <c r="N37" s="458"/>
      <c r="O37" s="461"/>
      <c r="P37" s="458"/>
      <c r="Q37" s="458"/>
      <c r="R37" s="458"/>
      <c r="S37" s="458"/>
      <c r="T37" s="458"/>
      <c r="U37" s="458"/>
      <c r="V37" s="458"/>
      <c r="W37" s="458"/>
      <c r="X37" s="458"/>
      <c r="Y37" s="461"/>
      <c r="Z37" s="461"/>
      <c r="AA37" s="465"/>
    </row>
    <row r="38" spans="1:38" s="454" customFormat="1" ht="20.100000000000001" customHeight="1">
      <c r="A38" s="454" t="s">
        <v>442</v>
      </c>
      <c r="C38" s="454" t="s">
        <v>424</v>
      </c>
      <c r="D38" s="458" t="e">
        <f>ROUND(VLOOKUP(A38,#REF!,3,FALSE),0)</f>
        <v>#REF!</v>
      </c>
      <c r="E38" s="458">
        <v>0</v>
      </c>
      <c r="F38" s="458">
        <v>0</v>
      </c>
      <c r="G38" s="458">
        <v>0</v>
      </c>
      <c r="H38" s="458">
        <v>0</v>
      </c>
      <c r="I38" s="458">
        <v>0</v>
      </c>
      <c r="J38" s="458">
        <v>0</v>
      </c>
      <c r="K38" s="458">
        <v>0</v>
      </c>
      <c r="L38" s="458">
        <v>0</v>
      </c>
      <c r="M38" s="458">
        <v>0</v>
      </c>
      <c r="N38" s="458">
        <v>0</v>
      </c>
      <c r="O38" s="461"/>
      <c r="P38" s="458">
        <v>0</v>
      </c>
      <c r="Q38" s="458"/>
      <c r="R38" s="458">
        <v>0</v>
      </c>
      <c r="S38" s="458"/>
      <c r="T38" s="458">
        <v>0</v>
      </c>
      <c r="U38" s="458"/>
      <c r="V38" s="458">
        <v>0</v>
      </c>
      <c r="W38" s="458"/>
      <c r="X38" s="458">
        <v>0</v>
      </c>
      <c r="Y38" s="461"/>
      <c r="Z38" s="461" t="e">
        <f t="shared" ref="Z38:Z52" si="6">SUM(D38:X38)</f>
        <v>#REF!</v>
      </c>
      <c r="AA38" s="465"/>
    </row>
    <row r="39" spans="1:38" s="417" customFormat="1" ht="20.100000000000001" customHeight="1">
      <c r="A39" s="417" t="s">
        <v>443</v>
      </c>
      <c r="D39" s="458" t="e">
        <f>ROUND(VLOOKUP(A39,#REF!,3,FALSE),0)</f>
        <v>#REF!</v>
      </c>
      <c r="E39" s="458">
        <v>0</v>
      </c>
      <c r="F39" s="458">
        <v>0</v>
      </c>
      <c r="G39" s="458">
        <v>0</v>
      </c>
      <c r="H39" s="458">
        <v>0</v>
      </c>
      <c r="I39" s="458">
        <v>0</v>
      </c>
      <c r="J39" s="458">
        <v>0</v>
      </c>
      <c r="K39" s="458">
        <v>0</v>
      </c>
      <c r="L39" s="458">
        <v>0</v>
      </c>
      <c r="M39" s="458">
        <v>0</v>
      </c>
      <c r="N39" s="458">
        <v>0</v>
      </c>
      <c r="O39" s="461"/>
      <c r="P39" s="458">
        <v>0</v>
      </c>
      <c r="Q39" s="458"/>
      <c r="R39" s="458">
        <v>0</v>
      </c>
      <c r="S39" s="458"/>
      <c r="T39" s="458">
        <v>0</v>
      </c>
      <c r="U39" s="458"/>
      <c r="V39" s="458">
        <v>0</v>
      </c>
      <c r="W39" s="458"/>
      <c r="X39" s="458">
        <v>0</v>
      </c>
      <c r="Y39" s="461"/>
      <c r="Z39" s="461" t="e">
        <f t="shared" si="6"/>
        <v>#REF!</v>
      </c>
      <c r="AA39" s="465"/>
      <c r="AB39" s="454"/>
      <c r="AC39" s="454"/>
      <c r="AD39" s="454"/>
      <c r="AE39" s="454"/>
      <c r="AF39" s="454"/>
      <c r="AG39" s="454"/>
      <c r="AH39" s="454"/>
      <c r="AI39" s="454"/>
      <c r="AJ39" s="454"/>
      <c r="AK39" s="454"/>
      <c r="AL39" s="454"/>
    </row>
    <row r="40" spans="1:38" s="417" customFormat="1" ht="20.100000000000001" customHeight="1">
      <c r="A40" s="417" t="s">
        <v>444</v>
      </c>
      <c r="D40" s="458" t="e">
        <f>ROUNDDOWN(VLOOKUP(A40,#REF!,3,FALSE),0)</f>
        <v>#REF!</v>
      </c>
      <c r="E40" s="458">
        <v>0</v>
      </c>
      <c r="F40" s="458">
        <v>0</v>
      </c>
      <c r="G40" s="458">
        <v>0</v>
      </c>
      <c r="H40" s="458">
        <v>0</v>
      </c>
      <c r="I40" s="458">
        <v>0</v>
      </c>
      <c r="J40" s="458">
        <v>0</v>
      </c>
      <c r="K40" s="458">
        <v>0</v>
      </c>
      <c r="L40" s="458">
        <v>0</v>
      </c>
      <c r="M40" s="458">
        <v>0</v>
      </c>
      <c r="N40" s="458">
        <v>0</v>
      </c>
      <c r="O40" s="461"/>
      <c r="P40" s="458">
        <v>0</v>
      </c>
      <c r="Q40" s="458"/>
      <c r="R40" s="458">
        <v>0</v>
      </c>
      <c r="S40" s="458"/>
      <c r="T40" s="458">
        <v>0</v>
      </c>
      <c r="U40" s="458"/>
      <c r="V40" s="458">
        <v>0</v>
      </c>
      <c r="W40" s="458"/>
      <c r="X40" s="458">
        <v>0</v>
      </c>
      <c r="Y40" s="461"/>
      <c r="Z40" s="461" t="e">
        <f t="shared" si="6"/>
        <v>#REF!</v>
      </c>
      <c r="AA40" s="465"/>
      <c r="AB40" s="454"/>
      <c r="AC40" s="454"/>
      <c r="AD40" s="454"/>
      <c r="AE40" s="454"/>
      <c r="AF40" s="454"/>
      <c r="AG40" s="454"/>
      <c r="AH40" s="454"/>
      <c r="AI40" s="454"/>
      <c r="AJ40" s="454"/>
      <c r="AK40" s="454"/>
      <c r="AL40" s="454"/>
    </row>
    <row r="41" spans="1:38" s="417" customFormat="1" ht="20.100000000000001" customHeight="1">
      <c r="A41" s="417" t="s">
        <v>445</v>
      </c>
      <c r="D41" s="458" t="e">
        <f>ROUND(VLOOKUP(A41,#REF!,3,FALSE),0)</f>
        <v>#REF!</v>
      </c>
      <c r="E41" s="458">
        <v>0</v>
      </c>
      <c r="F41" s="458">
        <v>0</v>
      </c>
      <c r="G41" s="458">
        <v>0</v>
      </c>
      <c r="H41" s="458">
        <v>0</v>
      </c>
      <c r="I41" s="458">
        <v>0</v>
      </c>
      <c r="J41" s="458">
        <v>0</v>
      </c>
      <c r="K41" s="458">
        <v>0</v>
      </c>
      <c r="L41" s="458">
        <v>0</v>
      </c>
      <c r="M41" s="458">
        <v>0</v>
      </c>
      <c r="N41" s="458">
        <v>0</v>
      </c>
      <c r="O41" s="461"/>
      <c r="P41" s="458">
        <v>0</v>
      </c>
      <c r="Q41" s="458"/>
      <c r="R41" s="458">
        <v>0</v>
      </c>
      <c r="S41" s="458"/>
      <c r="T41" s="458">
        <v>0</v>
      </c>
      <c r="U41" s="458"/>
      <c r="V41" s="458">
        <v>0</v>
      </c>
      <c r="W41" s="458"/>
      <c r="X41" s="458">
        <v>0</v>
      </c>
      <c r="Y41" s="461"/>
      <c r="Z41" s="461" t="e">
        <f t="shared" si="6"/>
        <v>#REF!</v>
      </c>
      <c r="AA41" s="465"/>
      <c r="AB41" s="454"/>
      <c r="AC41" s="454"/>
      <c r="AD41" s="454"/>
      <c r="AE41" s="454"/>
      <c r="AF41" s="454"/>
      <c r="AG41" s="454"/>
      <c r="AH41" s="454"/>
      <c r="AI41" s="454"/>
      <c r="AJ41" s="454"/>
      <c r="AK41" s="454"/>
      <c r="AL41" s="454"/>
    </row>
    <row r="42" spans="1:38" s="417" customFormat="1" ht="20.100000000000001" customHeight="1">
      <c r="A42" s="417" t="s">
        <v>446</v>
      </c>
      <c r="D42" s="458" t="e">
        <f>ROUND(VLOOKUP(A42,#REF!,3,FALSE),0)</f>
        <v>#REF!</v>
      </c>
      <c r="E42" s="458">
        <v>0</v>
      </c>
      <c r="F42" s="458">
        <v>0</v>
      </c>
      <c r="G42" s="458">
        <v>0</v>
      </c>
      <c r="H42" s="458">
        <v>0</v>
      </c>
      <c r="I42" s="458">
        <v>0</v>
      </c>
      <c r="J42" s="458">
        <v>0</v>
      </c>
      <c r="K42" s="458">
        <v>0</v>
      </c>
      <c r="L42" s="458">
        <v>0</v>
      </c>
      <c r="M42" s="458">
        <v>0</v>
      </c>
      <c r="N42" s="458">
        <v>0</v>
      </c>
      <c r="O42" s="461"/>
      <c r="P42" s="458">
        <v>0</v>
      </c>
      <c r="Q42" s="458"/>
      <c r="R42" s="458">
        <v>0</v>
      </c>
      <c r="S42" s="458"/>
      <c r="T42" s="458">
        <v>0</v>
      </c>
      <c r="U42" s="458"/>
      <c r="V42" s="458">
        <v>0</v>
      </c>
      <c r="W42" s="458"/>
      <c r="X42" s="458">
        <v>0</v>
      </c>
      <c r="Y42" s="461"/>
      <c r="Z42" s="461" t="e">
        <f t="shared" si="6"/>
        <v>#REF!</v>
      </c>
      <c r="AA42" s="465"/>
      <c r="AB42" s="454"/>
      <c r="AC42" s="454"/>
      <c r="AD42" s="454"/>
      <c r="AE42" s="454"/>
      <c r="AF42" s="454"/>
      <c r="AG42" s="454"/>
      <c r="AH42" s="454"/>
      <c r="AI42" s="454"/>
      <c r="AJ42" s="454"/>
      <c r="AK42" s="454"/>
      <c r="AL42" s="454"/>
    </row>
    <row r="43" spans="1:38" s="417" customFormat="1" ht="20.100000000000001" customHeight="1">
      <c r="A43" s="417" t="s">
        <v>448</v>
      </c>
      <c r="D43" s="458" t="e">
        <f>ROUND(VLOOKUP(A43,#REF!,3,FALSE),0)</f>
        <v>#REF!</v>
      </c>
      <c r="E43" s="458">
        <v>0</v>
      </c>
      <c r="F43" s="458">
        <v>0</v>
      </c>
      <c r="G43" s="458">
        <v>0</v>
      </c>
      <c r="H43" s="458">
        <v>0</v>
      </c>
      <c r="I43" s="458">
        <v>0</v>
      </c>
      <c r="J43" s="458">
        <v>0</v>
      </c>
      <c r="K43" s="458">
        <v>0</v>
      </c>
      <c r="L43" s="458">
        <v>0</v>
      </c>
      <c r="M43" s="458">
        <v>0</v>
      </c>
      <c r="N43" s="458">
        <v>0</v>
      </c>
      <c r="O43" s="461"/>
      <c r="P43" s="458">
        <v>0</v>
      </c>
      <c r="Q43" s="458"/>
      <c r="R43" s="458">
        <v>0</v>
      </c>
      <c r="S43" s="458"/>
      <c r="T43" s="458">
        <v>0</v>
      </c>
      <c r="U43" s="458"/>
      <c r="V43" s="458">
        <v>0</v>
      </c>
      <c r="W43" s="458"/>
      <c r="X43" s="458">
        <v>0</v>
      </c>
      <c r="Y43" s="461"/>
      <c r="Z43" s="461" t="e">
        <f t="shared" si="6"/>
        <v>#REF!</v>
      </c>
      <c r="AA43" s="465"/>
      <c r="AB43" s="454"/>
      <c r="AC43" s="454"/>
      <c r="AD43" s="454"/>
      <c r="AE43" s="454"/>
      <c r="AF43" s="454"/>
      <c r="AG43" s="454"/>
      <c r="AH43" s="454"/>
      <c r="AI43" s="454"/>
      <c r="AJ43" s="454"/>
      <c r="AK43" s="454"/>
      <c r="AL43" s="454"/>
    </row>
    <row r="44" spans="1:38" s="417" customFormat="1" ht="20.100000000000001" customHeight="1">
      <c r="A44" s="417" t="s">
        <v>683</v>
      </c>
      <c r="D44" s="458" t="e">
        <f>ROUND(VLOOKUP(A44,#REF!,3,FALSE),0)</f>
        <v>#REF!</v>
      </c>
      <c r="E44" s="458">
        <v>0</v>
      </c>
      <c r="F44" s="458">
        <v>0</v>
      </c>
      <c r="G44" s="458">
        <v>0</v>
      </c>
      <c r="H44" s="458">
        <v>0</v>
      </c>
      <c r="I44" s="458">
        <v>0</v>
      </c>
      <c r="J44" s="458">
        <v>0</v>
      </c>
      <c r="K44" s="458">
        <v>0</v>
      </c>
      <c r="L44" s="741">
        <v>0</v>
      </c>
      <c r="M44" s="458">
        <v>0</v>
      </c>
      <c r="N44" s="458">
        <v>0</v>
      </c>
      <c r="O44" s="461"/>
      <c r="P44" s="458">
        <v>0</v>
      </c>
      <c r="Q44" s="458"/>
      <c r="R44" s="458">
        <v>0</v>
      </c>
      <c r="S44" s="458"/>
      <c r="T44" s="458">
        <v>0</v>
      </c>
      <c r="U44" s="458"/>
      <c r="V44" s="458">
        <v>0</v>
      </c>
      <c r="W44" s="458"/>
      <c r="X44" s="458">
        <v>0</v>
      </c>
      <c r="Y44" s="461"/>
      <c r="Z44" s="461" t="e">
        <f t="shared" si="6"/>
        <v>#REF!</v>
      </c>
      <c r="AA44" s="465"/>
      <c r="AB44" s="454"/>
      <c r="AC44" s="454"/>
      <c r="AD44" s="454"/>
      <c r="AE44" s="454"/>
      <c r="AF44" s="454"/>
      <c r="AG44" s="454"/>
      <c r="AH44" s="454"/>
      <c r="AI44" s="454"/>
      <c r="AJ44" s="454"/>
      <c r="AK44" s="454"/>
      <c r="AL44" s="454"/>
    </row>
    <row r="45" spans="1:38" s="417" customFormat="1" ht="20.100000000000001" customHeight="1">
      <c r="A45" s="417" t="s">
        <v>450</v>
      </c>
      <c r="D45" s="458" t="e">
        <f>ROUND(VLOOKUP(A45,#REF!,3,FALSE),0)</f>
        <v>#REF!</v>
      </c>
      <c r="E45" s="458">
        <v>0</v>
      </c>
      <c r="F45" s="458">
        <v>0</v>
      </c>
      <c r="G45" s="458">
        <v>0</v>
      </c>
      <c r="H45" s="458">
        <v>0</v>
      </c>
      <c r="I45" s="458">
        <v>0</v>
      </c>
      <c r="J45" s="458">
        <v>0</v>
      </c>
      <c r="K45" s="458">
        <v>0</v>
      </c>
      <c r="L45" s="458">
        <v>0</v>
      </c>
      <c r="M45" s="458">
        <v>0</v>
      </c>
      <c r="N45" s="458">
        <v>0</v>
      </c>
      <c r="O45" s="461"/>
      <c r="P45" s="458">
        <v>0</v>
      </c>
      <c r="Q45" s="458"/>
      <c r="R45" s="458">
        <v>0</v>
      </c>
      <c r="S45" s="458"/>
      <c r="T45" s="458">
        <v>0</v>
      </c>
      <c r="U45" s="458"/>
      <c r="V45" s="458">
        <v>0</v>
      </c>
      <c r="W45" s="458"/>
      <c r="X45" s="458">
        <v>0</v>
      </c>
      <c r="Y45" s="461"/>
      <c r="Z45" s="461" t="e">
        <f t="shared" si="6"/>
        <v>#REF!</v>
      </c>
      <c r="AA45" s="465"/>
      <c r="AB45" s="454"/>
      <c r="AC45" s="454"/>
      <c r="AD45" s="454"/>
      <c r="AE45" s="454"/>
      <c r="AF45" s="454"/>
      <c r="AG45" s="454"/>
      <c r="AH45" s="454"/>
      <c r="AI45" s="454"/>
      <c r="AJ45" s="454"/>
      <c r="AK45" s="454"/>
      <c r="AL45" s="454"/>
    </row>
    <row r="46" spans="1:38" s="417" customFormat="1" ht="20.100000000000001" customHeight="1">
      <c r="A46" s="417" t="s">
        <v>454</v>
      </c>
      <c r="D46" s="458" t="e">
        <f>ROUND(VLOOKUP(A46,#REF!,3,FALSE),0)</f>
        <v>#REF!</v>
      </c>
      <c r="E46" s="458">
        <v>0</v>
      </c>
      <c r="F46" s="458">
        <v>0</v>
      </c>
      <c r="G46" s="458">
        <v>0</v>
      </c>
      <c r="H46" s="458">
        <v>0</v>
      </c>
      <c r="I46" s="458">
        <v>0</v>
      </c>
      <c r="J46" s="458">
        <v>0</v>
      </c>
      <c r="K46" s="458">
        <v>0</v>
      </c>
      <c r="L46" s="458">
        <v>0</v>
      </c>
      <c r="M46" s="460">
        <f>ROUND(Cemtery!L22,0)</f>
        <v>1250259</v>
      </c>
      <c r="N46" s="458">
        <v>0</v>
      </c>
      <c r="O46" s="461"/>
      <c r="P46" s="458" t="e">
        <f>ROUND(#REF!,0)</f>
        <v>#REF!</v>
      </c>
      <c r="Q46" s="458"/>
      <c r="R46" s="458">
        <v>0</v>
      </c>
      <c r="S46" s="458"/>
      <c r="T46" s="458">
        <v>0</v>
      </c>
      <c r="U46" s="458"/>
      <c r="V46" s="458">
        <v>0</v>
      </c>
      <c r="W46" s="458"/>
      <c r="X46" s="458">
        <v>0</v>
      </c>
      <c r="Y46" s="461"/>
      <c r="Z46" s="461" t="e">
        <f t="shared" si="6"/>
        <v>#REF!</v>
      </c>
      <c r="AA46" s="465"/>
      <c r="AB46" s="454"/>
      <c r="AC46" s="454"/>
      <c r="AD46" s="454"/>
      <c r="AE46" s="454"/>
      <c r="AF46" s="454"/>
      <c r="AG46" s="454"/>
      <c r="AH46" s="454"/>
      <c r="AI46" s="454"/>
      <c r="AJ46" s="454"/>
      <c r="AK46" s="454"/>
      <c r="AL46" s="454"/>
    </row>
    <row r="47" spans="1:38" s="417" customFormat="1" ht="20.100000000000001" customHeight="1">
      <c r="A47" s="417" t="s">
        <v>456</v>
      </c>
      <c r="D47" s="458" t="e">
        <f>ROUND(VLOOKUP(A47,#REF!,3,FALSE),0)</f>
        <v>#REF!</v>
      </c>
      <c r="E47" s="458">
        <v>0</v>
      </c>
      <c r="F47" s="458">
        <v>0</v>
      </c>
      <c r="G47" s="458">
        <v>0</v>
      </c>
      <c r="H47" s="458">
        <v>0</v>
      </c>
      <c r="I47" s="458">
        <v>0</v>
      </c>
      <c r="J47" s="458">
        <f>ROUND('School Crossing Guard'!L19,0)</f>
        <v>893012</v>
      </c>
      <c r="K47" s="458">
        <f>ROUND(Police!L27+'Drug Enforcement Agency'!L26-K56,0)</f>
        <v>1359256</v>
      </c>
      <c r="L47" s="458">
        <v>0</v>
      </c>
      <c r="M47" s="458">
        <v>0</v>
      </c>
      <c r="N47" s="458">
        <v>0</v>
      </c>
      <c r="O47" s="461"/>
      <c r="P47" s="458">
        <v>0</v>
      </c>
      <c r="Q47" s="458"/>
      <c r="R47" s="458">
        <v>0</v>
      </c>
      <c r="S47" s="458"/>
      <c r="T47" s="458">
        <v>0</v>
      </c>
      <c r="U47" s="458"/>
      <c r="V47" s="458">
        <v>0</v>
      </c>
      <c r="W47" s="458"/>
      <c r="X47" s="458">
        <v>0</v>
      </c>
      <c r="Y47" s="461"/>
      <c r="Z47" s="461" t="e">
        <f t="shared" si="6"/>
        <v>#REF!</v>
      </c>
      <c r="AA47" s="465"/>
      <c r="AB47" s="454"/>
      <c r="AC47" s="454"/>
      <c r="AD47" s="454"/>
      <c r="AE47" s="454"/>
      <c r="AF47" s="454"/>
      <c r="AG47" s="454"/>
      <c r="AH47" s="454"/>
      <c r="AI47" s="454"/>
      <c r="AJ47" s="454"/>
      <c r="AK47" s="454"/>
      <c r="AL47" s="454"/>
    </row>
    <row r="48" spans="1:38" s="417" customFormat="1" ht="20.100000000000001" customHeight="1">
      <c r="A48" s="417" t="s">
        <v>459</v>
      </c>
      <c r="D48" s="458" t="e">
        <f>ROUND(VLOOKUP(A48,#REF!,3,FALSE),0)</f>
        <v>#REF!</v>
      </c>
      <c r="E48" s="458">
        <v>0</v>
      </c>
      <c r="F48" s="458">
        <v>0</v>
      </c>
      <c r="G48" s="458">
        <v>0</v>
      </c>
      <c r="H48" s="458">
        <v>0</v>
      </c>
      <c r="I48" s="458">
        <v>0</v>
      </c>
      <c r="J48" s="458">
        <v>0</v>
      </c>
      <c r="K48" s="458">
        <v>0</v>
      </c>
      <c r="L48" s="458">
        <v>0</v>
      </c>
      <c r="M48" s="458">
        <v>0</v>
      </c>
      <c r="N48" s="458">
        <v>0</v>
      </c>
      <c r="O48" s="461"/>
      <c r="P48" s="458" t="e">
        <f>ROUND(#REF!,0)</f>
        <v>#REF!</v>
      </c>
      <c r="Q48" s="458"/>
      <c r="R48" s="458">
        <f>ROUND('Water and Sewer'!L29+'Central Region'!L28-'Water and Sewer'!L27-'Central Region'!L26-'Water and Sewer'!L25-'Central Region'!L25,0)</f>
        <v>98641941</v>
      </c>
      <c r="S48" s="458"/>
      <c r="T48" s="458">
        <f>ROUND(Stormwater!L28-Stormwater!L26,0)</f>
        <v>6029886</v>
      </c>
      <c r="U48" s="458"/>
      <c r="V48" s="458">
        <v>0</v>
      </c>
      <c r="W48" s="458"/>
      <c r="X48" s="458">
        <v>0</v>
      </c>
      <c r="Y48" s="461"/>
      <c r="Z48" s="461" t="e">
        <f t="shared" si="6"/>
        <v>#REF!</v>
      </c>
      <c r="AA48" s="465"/>
      <c r="AB48" s="454"/>
      <c r="AC48" s="454"/>
      <c r="AD48" s="454"/>
      <c r="AE48" s="454"/>
      <c r="AF48" s="454"/>
      <c r="AG48" s="454"/>
      <c r="AH48" s="454"/>
      <c r="AI48" s="454"/>
      <c r="AJ48" s="454"/>
      <c r="AK48" s="454"/>
      <c r="AL48" s="454"/>
    </row>
    <row r="49" spans="1:38" s="417" customFormat="1" ht="20.100000000000001" customHeight="1">
      <c r="A49" s="417" t="s">
        <v>570</v>
      </c>
      <c r="D49" s="458" t="e">
        <f>ROUND(VLOOKUP(A49,#REF!,3,FALSE),0)</f>
        <v>#REF!</v>
      </c>
      <c r="E49" s="458">
        <f>ROUND('CRA-Beach'!L28+'CRA-NW Progresso'!L29-'CRA-Beach'!L27-'CRA-NW Progresso'!L25+'CRA-Central City'!L19,0)</f>
        <v>12213467</v>
      </c>
      <c r="F49" s="460">
        <v>0</v>
      </c>
      <c r="G49" s="458">
        <f>ROUND('Beach Bus Improv District'!L21,0)</f>
        <v>699107</v>
      </c>
      <c r="H49" s="460">
        <f>ROUND('Housing and Community Dev'!L27-'Housing and Community Dev'!L26,0)</f>
        <v>9371773</v>
      </c>
      <c r="I49" s="460" t="e">
        <f>ROUNDDOWN(#REF!+#REF!+#REF!-#REF!,1)</f>
        <v>#REF!</v>
      </c>
      <c r="J49" s="460">
        <v>0</v>
      </c>
      <c r="K49" s="460">
        <v>0</v>
      </c>
      <c r="L49" s="460">
        <v>0</v>
      </c>
      <c r="M49" s="460">
        <v>0</v>
      </c>
      <c r="N49" s="458">
        <v>0</v>
      </c>
      <c r="O49" s="461"/>
      <c r="P49" s="458">
        <v>0</v>
      </c>
      <c r="Q49" s="458"/>
      <c r="R49" s="458">
        <v>0</v>
      </c>
      <c r="S49" s="458"/>
      <c r="T49" s="458">
        <v>0</v>
      </c>
      <c r="U49" s="458"/>
      <c r="V49" s="458">
        <v>0</v>
      </c>
      <c r="W49" s="458"/>
      <c r="X49" s="458">
        <v>0</v>
      </c>
      <c r="Y49" s="461"/>
      <c r="Z49" s="461" t="e">
        <f t="shared" si="6"/>
        <v>#REF!</v>
      </c>
      <c r="AA49" s="465"/>
      <c r="AB49" s="454"/>
      <c r="AC49" s="454"/>
      <c r="AD49" s="454"/>
      <c r="AE49" s="454"/>
      <c r="AF49" s="454"/>
      <c r="AG49" s="454"/>
      <c r="AH49" s="454"/>
      <c r="AI49" s="454"/>
      <c r="AJ49" s="454"/>
      <c r="AK49" s="454"/>
      <c r="AL49" s="454"/>
    </row>
    <row r="50" spans="1:38" s="417" customFormat="1" ht="20.100000000000001" customHeight="1">
      <c r="A50" s="417" t="s">
        <v>476</v>
      </c>
      <c r="D50" s="458" t="e">
        <f>ROUND(VLOOKUP(A50,#REF!,3,FALSE),0)</f>
        <v>#REF!</v>
      </c>
      <c r="E50" s="458">
        <v>0</v>
      </c>
      <c r="F50" s="458">
        <v>0</v>
      </c>
      <c r="G50" s="458">
        <v>0</v>
      </c>
      <c r="H50" s="458">
        <v>0</v>
      </c>
      <c r="I50" s="458">
        <v>0</v>
      </c>
      <c r="J50" s="458">
        <v>0</v>
      </c>
      <c r="K50" s="458">
        <v>0</v>
      </c>
      <c r="L50" s="458">
        <v>0</v>
      </c>
      <c r="M50" s="458">
        <v>0</v>
      </c>
      <c r="N50" s="458">
        <f>ROUND('Arts Science District Garage'!L25,0)</f>
        <v>1160555</v>
      </c>
      <c r="O50" s="461"/>
      <c r="P50" s="458">
        <v>0</v>
      </c>
      <c r="Q50" s="458"/>
      <c r="R50" s="458">
        <v>0</v>
      </c>
      <c r="S50" s="458"/>
      <c r="T50" s="458">
        <v>0</v>
      </c>
      <c r="U50" s="458"/>
      <c r="V50" s="458">
        <f>ROUND('Parking System'!L29-'Parking System'!L27,0)</f>
        <v>21750118</v>
      </c>
      <c r="W50" s="458"/>
      <c r="X50" s="458">
        <f>ROUND(Airport!L28-Airport!L26,0)</f>
        <v>7966111</v>
      </c>
      <c r="Y50" s="461"/>
      <c r="Z50" s="461" t="e">
        <f t="shared" si="6"/>
        <v>#REF!</v>
      </c>
      <c r="AA50" s="465"/>
      <c r="AB50" s="454"/>
      <c r="AC50" s="454"/>
      <c r="AD50" s="454"/>
      <c r="AE50" s="454"/>
      <c r="AF50" s="454"/>
      <c r="AG50" s="454"/>
      <c r="AH50" s="454"/>
      <c r="AI50" s="454"/>
      <c r="AJ50" s="454"/>
      <c r="AK50" s="454"/>
      <c r="AL50" s="454"/>
    </row>
    <row r="51" spans="1:38" s="363" customFormat="1" ht="18.75">
      <c r="A51" s="454" t="s">
        <v>16</v>
      </c>
      <c r="D51" s="458" t="e">
        <f>ROUND(VLOOKUP(A51,#REF!,3,FALSE),0)</f>
        <v>#REF!</v>
      </c>
      <c r="E51" s="458">
        <v>0</v>
      </c>
      <c r="F51" s="458">
        <v>0</v>
      </c>
      <c r="G51" s="458">
        <v>0</v>
      </c>
      <c r="H51" s="458">
        <v>0</v>
      </c>
      <c r="I51" s="458">
        <v>0</v>
      </c>
      <c r="J51" s="458">
        <v>0</v>
      </c>
      <c r="K51" s="458">
        <v>0</v>
      </c>
      <c r="L51" s="458" t="e">
        <f>ROUND(#REF!+#REF!+#REF!+#REF!+#REF!+#REF!+#REF!,0)</f>
        <v>#REF!</v>
      </c>
      <c r="M51" s="458">
        <v>0</v>
      </c>
      <c r="N51" s="458">
        <v>0</v>
      </c>
      <c r="O51" s="461"/>
      <c r="P51" s="458">
        <v>0</v>
      </c>
      <c r="Q51" s="458"/>
      <c r="R51" s="458">
        <f>ROUND('Water and Sewer'!L25+'Central Region'!L25,0)</f>
        <v>33116202</v>
      </c>
      <c r="S51" s="458"/>
      <c r="T51" s="458">
        <v>0</v>
      </c>
      <c r="U51" s="458"/>
      <c r="V51" s="458">
        <v>0</v>
      </c>
      <c r="W51" s="458"/>
      <c r="X51" s="458">
        <v>0</v>
      </c>
      <c r="Y51" s="389"/>
      <c r="Z51" s="461" t="e">
        <f t="shared" si="6"/>
        <v>#REF!</v>
      </c>
      <c r="AA51" s="465"/>
    </row>
    <row r="52" spans="1:38" s="417" customFormat="1" ht="20.100000000000001" customHeight="1">
      <c r="A52" s="417" t="s">
        <v>460</v>
      </c>
      <c r="D52" s="458" t="e">
        <f>ROUND(VLOOKUP(A52,#REF!,3,FALSE),0)+1</f>
        <v>#REF!</v>
      </c>
      <c r="E52" s="460">
        <v>0</v>
      </c>
      <c r="F52" s="458">
        <f>'Sunrise Key'!L21</f>
        <v>80308.3</v>
      </c>
      <c r="G52" s="458">
        <v>0</v>
      </c>
      <c r="H52" s="458">
        <v>0</v>
      </c>
      <c r="I52" s="458">
        <v>0</v>
      </c>
      <c r="J52" s="458">
        <v>0</v>
      </c>
      <c r="K52" s="458">
        <v>0</v>
      </c>
      <c r="L52" s="458">
        <v>0</v>
      </c>
      <c r="M52" s="460">
        <v>0</v>
      </c>
      <c r="N52" s="458">
        <v>0</v>
      </c>
      <c r="O52" s="461"/>
      <c r="P52" s="458">
        <v>0</v>
      </c>
      <c r="Q52" s="458"/>
      <c r="R52" s="458">
        <v>0</v>
      </c>
      <c r="S52" s="458"/>
      <c r="T52" s="458">
        <v>0</v>
      </c>
      <c r="U52" s="458"/>
      <c r="V52" s="458">
        <v>0</v>
      </c>
      <c r="W52" s="458"/>
      <c r="X52" s="458">
        <v>0</v>
      </c>
      <c r="Y52" s="461"/>
      <c r="Z52" s="461" t="e">
        <f t="shared" si="6"/>
        <v>#REF!</v>
      </c>
      <c r="AA52" s="465" t="s">
        <v>61</v>
      </c>
      <c r="AB52" s="454"/>
      <c r="AC52" s="454"/>
      <c r="AD52" s="454"/>
      <c r="AE52" s="454"/>
      <c r="AF52" s="454"/>
      <c r="AG52" s="454"/>
      <c r="AH52" s="454"/>
      <c r="AI52" s="454"/>
      <c r="AJ52" s="454"/>
      <c r="AK52" s="454"/>
      <c r="AL52" s="454"/>
    </row>
    <row r="53" spans="1:38" s="417" customFormat="1" ht="20.100000000000001" customHeight="1">
      <c r="A53" s="417" t="s">
        <v>574</v>
      </c>
      <c r="C53" s="417" t="s">
        <v>424</v>
      </c>
      <c r="D53" s="463" t="e">
        <f t="shared" ref="D53:Z53" si="7">SUM(D38:D52)</f>
        <v>#REF!</v>
      </c>
      <c r="E53" s="463">
        <f t="shared" si="7"/>
        <v>12213467</v>
      </c>
      <c r="F53" s="463">
        <f t="shared" si="7"/>
        <v>80308.3</v>
      </c>
      <c r="G53" s="463">
        <f t="shared" si="7"/>
        <v>699107</v>
      </c>
      <c r="H53" s="463">
        <f t="shared" si="7"/>
        <v>9371773</v>
      </c>
      <c r="I53" s="463" t="e">
        <f t="shared" si="7"/>
        <v>#REF!</v>
      </c>
      <c r="J53" s="463">
        <f t="shared" si="7"/>
        <v>893012</v>
      </c>
      <c r="K53" s="463">
        <f t="shared" si="7"/>
        <v>1359256</v>
      </c>
      <c r="L53" s="463" t="e">
        <f t="shared" si="7"/>
        <v>#REF!</v>
      </c>
      <c r="M53" s="463">
        <f t="shared" si="7"/>
        <v>1250259</v>
      </c>
      <c r="N53" s="463">
        <f t="shared" si="7"/>
        <v>1160555</v>
      </c>
      <c r="O53" s="463">
        <f t="shared" si="7"/>
        <v>0</v>
      </c>
      <c r="P53" s="463" t="e">
        <f t="shared" si="7"/>
        <v>#REF!</v>
      </c>
      <c r="Q53" s="463">
        <f t="shared" si="7"/>
        <v>0</v>
      </c>
      <c r="R53" s="463">
        <f t="shared" si="7"/>
        <v>131758143</v>
      </c>
      <c r="S53" s="463">
        <f t="shared" si="7"/>
        <v>0</v>
      </c>
      <c r="T53" s="463">
        <f t="shared" si="7"/>
        <v>6029886</v>
      </c>
      <c r="U53" s="463">
        <f t="shared" si="7"/>
        <v>0</v>
      </c>
      <c r="V53" s="463">
        <f t="shared" si="7"/>
        <v>21750118</v>
      </c>
      <c r="W53" s="463">
        <f t="shared" si="7"/>
        <v>0</v>
      </c>
      <c r="X53" s="463">
        <f t="shared" si="7"/>
        <v>7966111</v>
      </c>
      <c r="Y53" s="463">
        <f t="shared" si="7"/>
        <v>0</v>
      </c>
      <c r="Z53" s="463" t="e">
        <f t="shared" si="7"/>
        <v>#REF!</v>
      </c>
      <c r="AA53" s="465" t="s">
        <v>58</v>
      </c>
      <c r="AB53" s="457">
        <f>'All Funds Sch A 2013 Page -1'!D68+'All Funds Sch A 2013 Page -1'!D74</f>
        <v>266895892.90999997</v>
      </c>
      <c r="AC53" s="1279" t="s">
        <v>58</v>
      </c>
      <c r="AD53" s="454"/>
      <c r="AE53" s="454"/>
      <c r="AF53" s="454"/>
      <c r="AG53" s="454"/>
      <c r="AH53" s="454"/>
      <c r="AI53" s="454"/>
      <c r="AJ53" s="454"/>
      <c r="AK53" s="454"/>
      <c r="AL53" s="454"/>
    </row>
    <row r="54" spans="1:38" s="417" customFormat="1" ht="12.75" customHeight="1">
      <c r="D54" s="459"/>
      <c r="E54" s="458"/>
      <c r="F54" s="458"/>
      <c r="G54" s="458"/>
      <c r="H54" s="458"/>
      <c r="I54" s="458"/>
      <c r="J54" s="458"/>
      <c r="K54" s="458"/>
      <c r="L54" s="458"/>
      <c r="M54" s="458"/>
      <c r="N54" s="458"/>
      <c r="O54" s="461"/>
      <c r="P54" s="458"/>
      <c r="Q54" s="458"/>
      <c r="R54" s="458"/>
      <c r="S54" s="458"/>
      <c r="T54" s="458"/>
      <c r="U54" s="458"/>
      <c r="V54" s="458"/>
      <c r="W54" s="458"/>
      <c r="X54" s="458"/>
      <c r="Y54" s="461"/>
      <c r="Z54" s="461"/>
      <c r="AA54" s="465"/>
      <c r="AB54" s="457" t="e">
        <f>D53+D60</f>
        <v>#REF!</v>
      </c>
      <c r="AC54" s="454"/>
      <c r="AD54" s="454"/>
      <c r="AE54" s="454"/>
      <c r="AF54" s="454"/>
      <c r="AG54" s="454"/>
      <c r="AH54" s="454"/>
      <c r="AI54" s="454"/>
      <c r="AJ54" s="454"/>
      <c r="AK54" s="454"/>
      <c r="AL54" s="454"/>
    </row>
    <row r="55" spans="1:38" s="417" customFormat="1" ht="14.25" customHeight="1">
      <c r="A55" s="417" t="s">
        <v>462</v>
      </c>
      <c r="D55" s="459"/>
      <c r="E55" s="458"/>
      <c r="F55" s="458"/>
      <c r="G55" s="458"/>
      <c r="H55" s="458"/>
      <c r="I55" s="458"/>
      <c r="J55" s="458"/>
      <c r="K55" s="458"/>
      <c r="L55" s="458"/>
      <c r="M55" s="458"/>
      <c r="N55" s="458"/>
      <c r="O55" s="461"/>
      <c r="P55" s="458"/>
      <c r="Q55" s="458"/>
      <c r="R55" s="458"/>
      <c r="S55" s="458"/>
      <c r="T55" s="458"/>
      <c r="U55" s="458"/>
      <c r="V55" s="458"/>
      <c r="W55" s="458"/>
      <c r="X55" s="458"/>
      <c r="Y55" s="461"/>
      <c r="Z55" s="461"/>
      <c r="AA55" s="465"/>
      <c r="AB55" s="927" t="e">
        <f>AB54-AB53</f>
        <v>#REF!</v>
      </c>
      <c r="AC55" s="454"/>
      <c r="AD55" s="454"/>
      <c r="AE55" s="454"/>
      <c r="AF55" s="454"/>
      <c r="AG55" s="454"/>
      <c r="AH55" s="454"/>
      <c r="AI55" s="454"/>
      <c r="AJ55" s="454"/>
      <c r="AK55" s="454"/>
      <c r="AL55" s="454"/>
    </row>
    <row r="56" spans="1:38" s="417" customFormat="1" ht="18" customHeight="1">
      <c r="A56" s="417" t="s">
        <v>463</v>
      </c>
      <c r="D56" s="458" t="e">
        <f>'001 General Fund'!K136-D57-D59-D58</f>
        <v>#REF!</v>
      </c>
      <c r="E56" s="458">
        <v>117801</v>
      </c>
      <c r="F56" s="458">
        <v>0</v>
      </c>
      <c r="G56" s="458">
        <v>0</v>
      </c>
      <c r="H56" s="458">
        <v>0</v>
      </c>
      <c r="I56" s="458" t="e">
        <f>ROUND(#REF!,0)</f>
        <v>#REF!</v>
      </c>
      <c r="J56" s="458">
        <v>0</v>
      </c>
      <c r="K56" s="458">
        <f>ROUND(Police!L26,0)</f>
        <v>30229</v>
      </c>
      <c r="L56" s="458" t="e">
        <f>ROUND(#REF!,0)</f>
        <v>#REF!</v>
      </c>
      <c r="M56" s="458">
        <v>0</v>
      </c>
      <c r="N56" s="458">
        <v>0</v>
      </c>
      <c r="O56" s="461"/>
      <c r="P56" s="458">
        <f>ROUND(Sanitation!L26,0)</f>
        <v>534730</v>
      </c>
      <c r="Q56" s="458">
        <v>0</v>
      </c>
      <c r="R56" s="458">
        <f>ROUND('Budget Balancing I&amp;O'!J76+'Budget Balancing I&amp;O'!J89,0)</f>
        <v>2663602</v>
      </c>
      <c r="S56" s="458">
        <v>0</v>
      </c>
      <c r="T56" s="458">
        <f>ROUND('Budget Balancing I&amp;O'!J142,0)</f>
        <v>189994</v>
      </c>
      <c r="U56" s="458">
        <v>0</v>
      </c>
      <c r="V56" s="458">
        <f>ROUND('Parking System'!L27,0)</f>
        <v>0</v>
      </c>
      <c r="W56" s="458">
        <v>0</v>
      </c>
      <c r="X56" s="458">
        <f>ROUND('Budget Balancing I&amp;O'!J128,0)</f>
        <v>115733</v>
      </c>
      <c r="Y56" s="458">
        <v>0</v>
      </c>
      <c r="Z56" s="461" t="e">
        <f>ROUNDDOWN(SUM('All Funds Sch A 2014 Page (1)'!D56:K56)+SUM('All Funds Sch A 2014 Page (2)'!L56:X56),0)</f>
        <v>#REF!</v>
      </c>
      <c r="AA56" s="465"/>
      <c r="AB56" s="479" t="e">
        <f>-AB55/AB53</f>
        <v>#REF!</v>
      </c>
      <c r="AC56" s="454"/>
      <c r="AD56" s="454"/>
      <c r="AE56" s="454"/>
      <c r="AF56" s="454"/>
      <c r="AG56" s="454"/>
      <c r="AH56" s="454"/>
      <c r="AI56" s="454"/>
      <c r="AJ56" s="454"/>
      <c r="AK56" s="454"/>
      <c r="AL56" s="454"/>
    </row>
    <row r="57" spans="1:38" s="417" customFormat="1" ht="18" customHeight="1">
      <c r="A57" s="417" t="s">
        <v>464</v>
      </c>
      <c r="D57" s="458">
        <f>ROUND('[4]As of June 19, 2013'!$L$242,0)</f>
        <v>450000</v>
      </c>
      <c r="E57" s="458">
        <v>0</v>
      </c>
      <c r="F57" s="458">
        <v>0</v>
      </c>
      <c r="G57" s="458">
        <v>0</v>
      </c>
      <c r="H57" s="458">
        <v>0</v>
      </c>
      <c r="I57" s="458">
        <v>0</v>
      </c>
      <c r="J57" s="458">
        <v>0</v>
      </c>
      <c r="K57" s="458">
        <v>0</v>
      </c>
      <c r="L57" s="458">
        <v>0</v>
      </c>
      <c r="M57" s="458">
        <v>0</v>
      </c>
      <c r="N57" s="458">
        <v>0</v>
      </c>
      <c r="O57" s="461"/>
      <c r="P57" s="458">
        <v>0</v>
      </c>
      <c r="Q57" s="458"/>
      <c r="R57" s="458">
        <v>0</v>
      </c>
      <c r="S57" s="458"/>
      <c r="T57" s="458">
        <v>0</v>
      </c>
      <c r="U57" s="458"/>
      <c r="V57" s="458">
        <v>0</v>
      </c>
      <c r="W57" s="458"/>
      <c r="X57" s="458">
        <v>0</v>
      </c>
      <c r="Y57" s="461"/>
      <c r="Z57" s="461">
        <f>ROUNDUP(SUM('All Funds Sch A 2014 Page (1)'!D57:K57)+SUM('All Funds Sch A 2014 Page (2)'!L57:X57),0)</f>
        <v>450000</v>
      </c>
      <c r="AA57" s="465"/>
      <c r="AB57" s="454"/>
      <c r="AC57" s="454"/>
      <c r="AD57" s="454"/>
      <c r="AE57" s="454"/>
      <c r="AF57" s="454"/>
      <c r="AG57" s="454"/>
      <c r="AH57" s="454"/>
      <c r="AI57" s="454"/>
      <c r="AJ57" s="454"/>
      <c r="AK57" s="454"/>
      <c r="AL57" s="454"/>
    </row>
    <row r="58" spans="1:38" s="417" customFormat="1" ht="18" customHeight="1">
      <c r="A58" s="417" t="s">
        <v>906</v>
      </c>
      <c r="D58" s="1227">
        <v>2095875</v>
      </c>
      <c r="E58" s="1227"/>
      <c r="F58" s="1227"/>
      <c r="G58" s="1227"/>
      <c r="H58" s="1227"/>
      <c r="I58" s="1227"/>
      <c r="J58" s="1227"/>
      <c r="K58" s="1227"/>
      <c r="L58" s="1227"/>
      <c r="M58" s="1227"/>
      <c r="N58" s="1227"/>
      <c r="O58" s="1229"/>
      <c r="P58" s="1227"/>
      <c r="Q58" s="1227"/>
      <c r="R58" s="1227"/>
      <c r="S58" s="1227"/>
      <c r="T58" s="1227"/>
      <c r="U58" s="1227"/>
      <c r="V58" s="1227"/>
      <c r="W58" s="1227"/>
      <c r="X58" s="1227"/>
      <c r="Y58" s="1229"/>
      <c r="Z58" s="1229"/>
      <c r="AA58" s="465"/>
      <c r="AB58" s="454"/>
      <c r="AC58" s="454"/>
      <c r="AD58" s="454"/>
      <c r="AE58" s="454"/>
      <c r="AF58" s="454"/>
      <c r="AG58" s="454"/>
      <c r="AH58" s="454"/>
      <c r="AI58" s="454"/>
      <c r="AJ58" s="454"/>
      <c r="AK58" s="454"/>
      <c r="AL58" s="454"/>
    </row>
    <row r="59" spans="1:38" s="417" customFormat="1" ht="18" customHeight="1">
      <c r="A59" s="417" t="s">
        <v>465</v>
      </c>
      <c r="D59" s="472">
        <f>'[3]As of August 20, 2013'!$T$240-D58</f>
        <v>2713600</v>
      </c>
      <c r="E59" s="458">
        <f>ROUND('CRA-Beach'!L27+'CRA-NW Progresso'!L25-E56,0)</f>
        <v>5363434</v>
      </c>
      <c r="F59" s="458">
        <v>0</v>
      </c>
      <c r="G59" s="458">
        <v>0</v>
      </c>
      <c r="H59" s="458">
        <f>ROUND('Housing and Community Dev'!L26,0)</f>
        <v>0</v>
      </c>
      <c r="I59" s="458">
        <v>0</v>
      </c>
      <c r="J59" s="458">
        <v>0</v>
      </c>
      <c r="K59" s="458">
        <v>0</v>
      </c>
      <c r="L59" s="458">
        <v>0</v>
      </c>
      <c r="M59" s="458">
        <v>0</v>
      </c>
      <c r="N59" s="470">
        <v>0</v>
      </c>
      <c r="O59" s="461"/>
      <c r="P59" s="470">
        <v>0</v>
      </c>
      <c r="Q59" s="458"/>
      <c r="R59" s="470">
        <f>ROUND('Water and Sewer'!L27+'Central Region'!L26-R56,0)</f>
        <v>3563666</v>
      </c>
      <c r="S59" s="458"/>
      <c r="T59" s="470">
        <f>ROUND(Stormwater!L26-T56,0)</f>
        <v>-189994</v>
      </c>
      <c r="U59" s="458"/>
      <c r="V59" s="470">
        <v>0</v>
      </c>
      <c r="W59" s="458"/>
      <c r="X59" s="470">
        <f>ROUND(Airport!L26-X56,0)</f>
        <v>470135</v>
      </c>
      <c r="Y59" s="461"/>
      <c r="Z59" s="461">
        <f>ROUND(SUM('All Funds Sch A 2014 Page (1)'!D59:K59)+SUM('All Funds Sch A 2014 Page (2)'!L59:X59),0)</f>
        <v>11867864</v>
      </c>
      <c r="AA59" s="465"/>
      <c r="AB59" s="454"/>
      <c r="AC59" s="454"/>
      <c r="AD59" s="454"/>
      <c r="AE59" s="454"/>
      <c r="AF59" s="454"/>
      <c r="AG59" s="454"/>
      <c r="AH59" s="454"/>
      <c r="AI59" s="454"/>
      <c r="AJ59" s="454"/>
      <c r="AK59" s="454"/>
      <c r="AL59" s="454"/>
    </row>
    <row r="60" spans="1:38" s="417" customFormat="1" ht="18" customHeight="1">
      <c r="A60" s="417" t="s">
        <v>587</v>
      </c>
      <c r="C60" s="417" t="s">
        <v>424</v>
      </c>
      <c r="D60" s="462" t="e">
        <f>SUM(D53:D59)</f>
        <v>#REF!</v>
      </c>
      <c r="E60" s="1212">
        <f t="shared" ref="E60:K60" si="8">SUM(E53:E59)</f>
        <v>17694702</v>
      </c>
      <c r="F60" s="1212">
        <f t="shared" si="8"/>
        <v>80308.3</v>
      </c>
      <c r="G60" s="1212">
        <f t="shared" si="8"/>
        <v>699107</v>
      </c>
      <c r="H60" s="1212">
        <f t="shared" si="8"/>
        <v>9371773</v>
      </c>
      <c r="I60" s="1212" t="e">
        <f t="shared" si="8"/>
        <v>#REF!</v>
      </c>
      <c r="J60" s="1212">
        <f t="shared" si="8"/>
        <v>893012</v>
      </c>
      <c r="K60" s="1212">
        <f t="shared" si="8"/>
        <v>1389485</v>
      </c>
      <c r="L60" s="463" t="e">
        <f t="shared" ref="L60" si="9">SUM(L56:L59)</f>
        <v>#REF!</v>
      </c>
      <c r="M60" s="463">
        <f>SUM(M56:M59)</f>
        <v>0</v>
      </c>
      <c r="N60" s="463">
        <f>SUM(N56:N59)</f>
        <v>0</v>
      </c>
      <c r="O60" s="461"/>
      <c r="P60" s="463">
        <f>SUM(P56:P59)</f>
        <v>534730</v>
      </c>
      <c r="Q60" s="458">
        <f>SUM(Q38:Q59)</f>
        <v>0</v>
      </c>
      <c r="R60" s="463">
        <f>SUM(R56:R59)</f>
        <v>6227268</v>
      </c>
      <c r="S60" s="458">
        <f>SUM(S38:S59)</f>
        <v>0</v>
      </c>
      <c r="T60" s="463">
        <f>SUM(T56:T59)</f>
        <v>0</v>
      </c>
      <c r="U60" s="458">
        <f>SUM(U38:U59)</f>
        <v>0</v>
      </c>
      <c r="V60" s="463">
        <f>SUM(V56:V59)</f>
        <v>0</v>
      </c>
      <c r="W60" s="458">
        <f>SUM(W38:W59)</f>
        <v>0</v>
      </c>
      <c r="X60" s="463">
        <f>SUM(X56:X59)</f>
        <v>585868</v>
      </c>
      <c r="Y60" s="461">
        <f>SUM(Y38:Y59)</f>
        <v>0</v>
      </c>
      <c r="Z60" s="464" t="e">
        <f>SUM(Z56:Z59)</f>
        <v>#REF!</v>
      </c>
      <c r="AA60" s="1021" t="s">
        <v>58</v>
      </c>
      <c r="AB60" s="454"/>
      <c r="AC60" s="454"/>
      <c r="AD60" s="454"/>
      <c r="AE60" s="454"/>
      <c r="AF60" s="454"/>
      <c r="AG60" s="454"/>
      <c r="AH60" s="454"/>
      <c r="AI60" s="454"/>
      <c r="AJ60" s="454"/>
      <c r="AK60" s="454"/>
      <c r="AL60" s="454"/>
    </row>
    <row r="61" spans="1:38" s="417" customFormat="1" ht="18.75">
      <c r="D61" s="459"/>
      <c r="E61" s="458"/>
      <c r="F61" s="458"/>
      <c r="G61" s="458"/>
      <c r="H61" s="458"/>
      <c r="I61" s="458"/>
      <c r="J61" s="458"/>
      <c r="K61" s="458"/>
      <c r="L61" s="458"/>
      <c r="M61" s="458"/>
      <c r="N61" s="458"/>
      <c r="O61" s="461"/>
      <c r="P61" s="458"/>
      <c r="Q61" s="458"/>
      <c r="R61" s="458"/>
      <c r="S61" s="458"/>
      <c r="T61" s="458"/>
      <c r="U61" s="458"/>
      <c r="V61" s="458"/>
      <c r="W61" s="458"/>
      <c r="X61" s="458"/>
      <c r="Y61" s="461"/>
      <c r="Z61" s="461"/>
      <c r="AA61" s="465"/>
      <c r="AB61" s="454"/>
      <c r="AC61" s="454"/>
      <c r="AD61" s="454"/>
      <c r="AE61" s="454"/>
      <c r="AF61" s="454"/>
      <c r="AG61" s="454"/>
      <c r="AH61" s="454"/>
      <c r="AI61" s="454"/>
      <c r="AJ61" s="454"/>
      <c r="AK61" s="454"/>
      <c r="AL61" s="454"/>
    </row>
    <row r="62" spans="1:38" s="417" customFormat="1" ht="17.25" customHeight="1">
      <c r="A62" s="417" t="s">
        <v>466</v>
      </c>
      <c r="D62" s="459"/>
      <c r="E62" s="458"/>
      <c r="F62" s="458"/>
      <c r="G62" s="458"/>
      <c r="H62" s="458"/>
      <c r="I62" s="458"/>
      <c r="J62" s="458"/>
      <c r="K62" s="458"/>
      <c r="L62" s="458"/>
      <c r="M62" s="458"/>
      <c r="N62" s="458"/>
      <c r="O62" s="461"/>
      <c r="P62" s="458"/>
      <c r="Q62" s="458"/>
      <c r="R62" s="458"/>
      <c r="S62" s="458"/>
      <c r="T62" s="458"/>
      <c r="U62" s="458"/>
      <c r="V62" s="458"/>
      <c r="W62" s="458"/>
      <c r="X62" s="458"/>
      <c r="Y62" s="461"/>
      <c r="Z62" s="461"/>
      <c r="AA62" s="465"/>
      <c r="AB62" s="454"/>
      <c r="AC62" s="454"/>
      <c r="AD62" s="454"/>
      <c r="AE62" s="454"/>
      <c r="AF62" s="454"/>
      <c r="AG62" s="454"/>
      <c r="AH62" s="454"/>
      <c r="AI62" s="454"/>
      <c r="AJ62" s="454"/>
      <c r="AK62" s="454"/>
      <c r="AL62" s="454"/>
    </row>
    <row r="63" spans="1:38" s="417" customFormat="1" ht="18" customHeight="1">
      <c r="A63" s="417" t="s">
        <v>36</v>
      </c>
      <c r="D63" s="458">
        <f>ROUND('001 General Fund'!K53,0)</f>
        <v>54350613</v>
      </c>
      <c r="E63" s="458">
        <f>ROUND('CRA-Beach'!L32+'CRA-NW Progresso'!L33+'CRA-Central City'!L24,0)</f>
        <v>307</v>
      </c>
      <c r="F63" s="458">
        <f>ROUND('Sunrise Key'!L24,0)</f>
        <v>99940</v>
      </c>
      <c r="G63" s="458">
        <f>ROUND('Beach Bus Improv District'!L25,0)</f>
        <v>404874</v>
      </c>
      <c r="H63" s="458">
        <v>0</v>
      </c>
      <c r="I63" s="458" t="e">
        <f>ROUND(#REF!,0)</f>
        <v>#REF!</v>
      </c>
      <c r="J63" s="458">
        <f>'School Crossing Guard'!L25</f>
        <v>137125.75</v>
      </c>
      <c r="K63" s="458">
        <f>ROUND(Police!L31+'Drug Enforcement Agency'!L30,0)</f>
        <v>610487</v>
      </c>
      <c r="L63" s="458">
        <v>0</v>
      </c>
      <c r="M63" s="458">
        <v>0</v>
      </c>
      <c r="N63" s="458">
        <v>0</v>
      </c>
      <c r="O63" s="461"/>
      <c r="P63" s="458">
        <f>ROUND(Sanitation!L31,0)</f>
        <v>0</v>
      </c>
      <c r="Q63" s="458"/>
      <c r="R63" s="458">
        <f>ROUND('Water and Sewer'!L33+'Central Region'!L32,0)</f>
        <v>0</v>
      </c>
      <c r="S63" s="458"/>
      <c r="T63" s="458">
        <f>ROUND(Stormwater!L32,0)</f>
        <v>13107307</v>
      </c>
      <c r="U63" s="458"/>
      <c r="V63" s="458">
        <f>ROUND('Parking System'!L33,0)</f>
        <v>3533102</v>
      </c>
      <c r="W63" s="458"/>
      <c r="X63" s="460">
        <f>ROUND(Airport!L31,0)</f>
        <v>13024398</v>
      </c>
      <c r="Y63" s="461"/>
      <c r="Z63" s="461" t="e">
        <f>ROUNDUP(SUM('All Funds Sch A 2014 Page (1)'!D63:K63)+SUM('All Funds Sch A 2014 Page (2)'!L63:X63),0)</f>
        <v>#REF!</v>
      </c>
      <c r="AA63" s="465"/>
      <c r="AB63" s="454"/>
      <c r="AC63" s="454"/>
      <c r="AD63" s="454"/>
      <c r="AE63" s="454"/>
      <c r="AF63" s="454"/>
      <c r="AG63" s="454"/>
      <c r="AH63" s="454"/>
      <c r="AI63" s="454"/>
      <c r="AJ63" s="454"/>
      <c r="AK63" s="454"/>
      <c r="AL63" s="454"/>
    </row>
    <row r="64" spans="1:38" s="417" customFormat="1" ht="18" customHeight="1">
      <c r="A64" s="417" t="s">
        <v>782</v>
      </c>
      <c r="D64" s="458">
        <f>ROUND('001 General Fund'!K49,0)</f>
        <v>4457240</v>
      </c>
      <c r="E64" s="458">
        <v>0</v>
      </c>
      <c r="F64" s="458">
        <v>0</v>
      </c>
      <c r="G64" s="458">
        <v>0</v>
      </c>
      <c r="H64" s="458">
        <v>0</v>
      </c>
      <c r="I64" s="458">
        <v>0</v>
      </c>
      <c r="J64" s="458">
        <v>0</v>
      </c>
      <c r="K64" s="458">
        <v>0</v>
      </c>
      <c r="L64" s="458">
        <v>0</v>
      </c>
      <c r="M64" s="458">
        <v>0</v>
      </c>
      <c r="N64" s="458">
        <f>0</f>
        <v>0</v>
      </c>
      <c r="O64" s="458">
        <f>0</f>
        <v>0</v>
      </c>
      <c r="P64" s="458">
        <f>0</f>
        <v>0</v>
      </c>
      <c r="Q64" s="458">
        <f>0</f>
        <v>0</v>
      </c>
      <c r="R64" s="458">
        <f>0</f>
        <v>0</v>
      </c>
      <c r="S64" s="458">
        <f>0</f>
        <v>0</v>
      </c>
      <c r="T64" s="458">
        <f>0</f>
        <v>0</v>
      </c>
      <c r="U64" s="458">
        <f>0</f>
        <v>0</v>
      </c>
      <c r="V64" s="458">
        <f>0</f>
        <v>0</v>
      </c>
      <c r="W64" s="458">
        <f>0</f>
        <v>0</v>
      </c>
      <c r="X64" s="458">
        <f>0</f>
        <v>0</v>
      </c>
      <c r="Y64" s="458">
        <f>0</f>
        <v>0</v>
      </c>
      <c r="Z64" s="461">
        <f>SUM(D64:X64)</f>
        <v>4457240</v>
      </c>
      <c r="AA64" s="465"/>
      <c r="AB64" s="454"/>
      <c r="AC64" s="454"/>
      <c r="AD64" s="454"/>
      <c r="AE64" s="454"/>
      <c r="AF64" s="454"/>
      <c r="AG64" s="454"/>
      <c r="AH64" s="454"/>
      <c r="AI64" s="454"/>
      <c r="AJ64" s="454"/>
      <c r="AK64" s="454"/>
      <c r="AL64" s="454"/>
    </row>
    <row r="65" spans="1:38" s="417" customFormat="1" ht="18" customHeight="1">
      <c r="A65" s="417" t="s">
        <v>690</v>
      </c>
      <c r="D65" s="458">
        <f>ROUND('001 General Fund'!K50,0)</f>
        <v>6000000</v>
      </c>
      <c r="E65" s="458">
        <v>0</v>
      </c>
      <c r="F65" s="458">
        <v>0</v>
      </c>
      <c r="G65" s="458">
        <v>0</v>
      </c>
      <c r="H65" s="458">
        <v>0</v>
      </c>
      <c r="I65" s="458">
        <v>0</v>
      </c>
      <c r="J65" s="458">
        <v>0</v>
      </c>
      <c r="K65" s="458">
        <v>0</v>
      </c>
      <c r="L65" s="458">
        <v>0</v>
      </c>
      <c r="M65" s="458">
        <v>0</v>
      </c>
      <c r="N65" s="458">
        <v>0</v>
      </c>
      <c r="O65" s="458"/>
      <c r="P65" s="458">
        <v>0</v>
      </c>
      <c r="Q65" s="458"/>
      <c r="R65" s="458">
        <v>0</v>
      </c>
      <c r="S65" s="458"/>
      <c r="T65" s="458">
        <v>0</v>
      </c>
      <c r="U65" s="458"/>
      <c r="V65" s="458">
        <v>0</v>
      </c>
      <c r="W65" s="458"/>
      <c r="X65" s="458">
        <v>0</v>
      </c>
      <c r="Y65" s="458"/>
      <c r="Z65" s="461">
        <f>SUM(D65:X65)</f>
        <v>6000000</v>
      </c>
      <c r="AA65" s="465"/>
      <c r="AB65" s="454"/>
      <c r="AC65" s="454"/>
      <c r="AD65" s="454"/>
      <c r="AE65" s="454"/>
      <c r="AF65" s="454"/>
      <c r="AG65" s="454"/>
      <c r="AH65" s="454"/>
      <c r="AI65" s="454"/>
      <c r="AJ65" s="454"/>
      <c r="AK65" s="454"/>
      <c r="AL65" s="454"/>
    </row>
    <row r="66" spans="1:38" s="417" customFormat="1" ht="18" customHeight="1">
      <c r="A66" s="417" t="s">
        <v>841</v>
      </c>
      <c r="D66" s="458">
        <f>ROUND('001 General Fund'!K52,0)</f>
        <v>888679</v>
      </c>
      <c r="E66" s="470">
        <v>0</v>
      </c>
      <c r="F66" s="458">
        <v>0</v>
      </c>
      <c r="G66" s="458">
        <v>0</v>
      </c>
      <c r="H66" s="458">
        <f>'Housing and Community Dev'!L30</f>
        <v>38123</v>
      </c>
      <c r="I66" s="458" t="e">
        <f>ROUND(#REF!+#REF!+#REF!,0)-I63</f>
        <v>#REF!</v>
      </c>
      <c r="J66" s="458">
        <v>0</v>
      </c>
      <c r="K66" s="458">
        <v>0</v>
      </c>
      <c r="L66" s="470" t="e">
        <f>ROUND(#REF!+#REF!+#REF!+#REF!,0)</f>
        <v>#REF!</v>
      </c>
      <c r="M66" s="458">
        <f>ROUND(Cemtery!L25,0)</f>
        <v>24879487</v>
      </c>
      <c r="N66" s="470">
        <v>0</v>
      </c>
      <c r="O66" s="461"/>
      <c r="P66" s="458">
        <f>ROUND(Sanitation!L30,0)</f>
        <v>2310762</v>
      </c>
      <c r="Q66" s="458"/>
      <c r="R66" s="470">
        <f>ROUND('Water and Sewer'!L32+'Central Region'!L31,0)</f>
        <v>47374438</v>
      </c>
      <c r="S66" s="458"/>
      <c r="T66" s="470">
        <v>0</v>
      </c>
      <c r="U66" s="458"/>
      <c r="V66" s="458">
        <f>ROUND('Parking System'!L32,0)</f>
        <v>3778896</v>
      </c>
      <c r="W66" s="458"/>
      <c r="X66" s="470">
        <v>0</v>
      </c>
      <c r="Y66" s="461"/>
      <c r="Z66" s="461" t="e">
        <f>ROUNDUP(SUM('All Funds Sch A 2014 Page (1)'!D66:K66)+SUM('All Funds Sch A 2014 Page (2)'!L66:X66),0)</f>
        <v>#REF!</v>
      </c>
      <c r="AA66" s="465"/>
      <c r="AB66" s="454"/>
      <c r="AC66" s="454"/>
      <c r="AD66" s="454"/>
      <c r="AE66" s="454"/>
      <c r="AF66" s="454"/>
      <c r="AG66" s="454"/>
      <c r="AH66" s="454"/>
      <c r="AI66" s="454"/>
      <c r="AJ66" s="454"/>
      <c r="AK66" s="454"/>
      <c r="AL66" s="454"/>
    </row>
    <row r="67" spans="1:38" s="417" customFormat="1" ht="18" customHeight="1">
      <c r="A67" s="417" t="s">
        <v>468</v>
      </c>
      <c r="C67" s="417" t="s">
        <v>424</v>
      </c>
      <c r="D67" s="462">
        <f>SUM(D63:D66)</f>
        <v>65696532</v>
      </c>
      <c r="E67" s="463">
        <f t="shared" ref="E67:L67" si="10">SUM(E63:E66)</f>
        <v>307</v>
      </c>
      <c r="F67" s="463">
        <f t="shared" si="10"/>
        <v>99940</v>
      </c>
      <c r="G67" s="463">
        <f t="shared" si="10"/>
        <v>404874</v>
      </c>
      <c r="H67" s="463">
        <f t="shared" si="10"/>
        <v>38123</v>
      </c>
      <c r="I67" s="463" t="e">
        <f t="shared" si="10"/>
        <v>#REF!</v>
      </c>
      <c r="J67" s="463">
        <f t="shared" si="10"/>
        <v>137125.75</v>
      </c>
      <c r="K67" s="463">
        <f t="shared" si="10"/>
        <v>610487</v>
      </c>
      <c r="L67" s="463" t="e">
        <f t="shared" si="10"/>
        <v>#REF!</v>
      </c>
      <c r="M67" s="463">
        <f>SUM(M63:M66)</f>
        <v>24879487</v>
      </c>
      <c r="N67" s="463">
        <f>SUM(N63:N66)</f>
        <v>0</v>
      </c>
      <c r="O67" s="461"/>
      <c r="P67" s="463">
        <f>SUM(P63:P66)</f>
        <v>2310762</v>
      </c>
      <c r="Q67" s="458"/>
      <c r="R67" s="463">
        <f>SUM(R63:R66)</f>
        <v>47374438</v>
      </c>
      <c r="S67" s="458"/>
      <c r="T67" s="463">
        <f>SUM(T63:T66)</f>
        <v>13107307</v>
      </c>
      <c r="U67" s="458"/>
      <c r="V67" s="463">
        <f>SUM(V63:V66)</f>
        <v>7311998</v>
      </c>
      <c r="W67" s="458"/>
      <c r="X67" s="463">
        <f>SUM(X63:X66)</f>
        <v>13024398</v>
      </c>
      <c r="Y67" s="461"/>
      <c r="Z67" s="464" t="e">
        <f>SUM(Z63:Z66)</f>
        <v>#REF!</v>
      </c>
      <c r="AA67" s="465" t="s">
        <v>58</v>
      </c>
      <c r="AB67" s="454"/>
      <c r="AC67" s="454" t="s">
        <v>58</v>
      </c>
      <c r="AD67" s="454"/>
      <c r="AE67" s="454"/>
      <c r="AF67" s="454"/>
      <c r="AG67" s="454"/>
      <c r="AH67" s="454"/>
      <c r="AI67" s="454"/>
      <c r="AJ67" s="454"/>
      <c r="AK67" s="454"/>
      <c r="AL67" s="454"/>
    </row>
    <row r="68" spans="1:38" s="417" customFormat="1" ht="8.25" customHeight="1">
      <c r="D68" s="469"/>
      <c r="E68" s="461"/>
      <c r="F68" s="461"/>
      <c r="G68" s="461"/>
      <c r="H68" s="461"/>
      <c r="I68" s="461"/>
      <c r="J68" s="461"/>
      <c r="K68" s="461"/>
      <c r="L68" s="461"/>
      <c r="M68" s="461"/>
      <c r="N68" s="461"/>
      <c r="O68" s="461"/>
      <c r="P68" s="461"/>
      <c r="Q68" s="461"/>
      <c r="R68" s="461"/>
      <c r="S68" s="461"/>
      <c r="T68" s="461"/>
      <c r="U68" s="461"/>
      <c r="V68" s="461"/>
      <c r="W68" s="461"/>
      <c r="X68" s="461"/>
      <c r="Y68" s="461"/>
      <c r="Z68" s="467"/>
      <c r="AA68" s="465"/>
      <c r="AB68" s="454"/>
      <c r="AC68" s="454"/>
      <c r="AD68" s="454"/>
      <c r="AE68" s="454"/>
      <c r="AF68" s="454"/>
      <c r="AG68" s="454"/>
      <c r="AH68" s="454"/>
      <c r="AI68" s="454"/>
      <c r="AJ68" s="454"/>
      <c r="AK68" s="454"/>
      <c r="AL68" s="454"/>
    </row>
    <row r="69" spans="1:38" s="417" customFormat="1" ht="21.95" customHeight="1" thickBot="1">
      <c r="A69" s="476" t="s">
        <v>25</v>
      </c>
      <c r="B69" s="449"/>
      <c r="C69" s="417" t="s">
        <v>424</v>
      </c>
      <c r="D69" s="480" t="e">
        <f>+D60+D67</f>
        <v>#REF!</v>
      </c>
      <c r="E69" s="480">
        <f>E60+E67</f>
        <v>17695009</v>
      </c>
      <c r="F69" s="1236">
        <f t="shared" ref="F69:K69" si="11">F60+F67</f>
        <v>180248.3</v>
      </c>
      <c r="G69" s="1236">
        <f t="shared" si="11"/>
        <v>1103981</v>
      </c>
      <c r="H69" s="1236">
        <f t="shared" si="11"/>
        <v>9409896</v>
      </c>
      <c r="I69" s="1236" t="e">
        <f t="shared" si="11"/>
        <v>#REF!</v>
      </c>
      <c r="J69" s="1236">
        <f t="shared" si="11"/>
        <v>1030137.75</v>
      </c>
      <c r="K69" s="1236">
        <f t="shared" si="11"/>
        <v>1999972</v>
      </c>
      <c r="L69" s="482" t="e">
        <f t="shared" ref="L69" si="12">L53+L60+L67</f>
        <v>#REF!</v>
      </c>
      <c r="M69" s="482">
        <f>M53+M60+M67</f>
        <v>26129746</v>
      </c>
      <c r="N69" s="480">
        <f>N53+N60+N67</f>
        <v>1160555</v>
      </c>
      <c r="O69" s="461"/>
      <c r="P69" s="480" t="e">
        <f>P53+P60+P67</f>
        <v>#REF!</v>
      </c>
      <c r="Q69" s="481">
        <f>Q59+Q63</f>
        <v>0</v>
      </c>
      <c r="R69" s="480">
        <f>R53+R60+R67</f>
        <v>185359849</v>
      </c>
      <c r="S69" s="481">
        <f>S59+S63</f>
        <v>0</v>
      </c>
      <c r="T69" s="480">
        <f>T53+T60+T67</f>
        <v>19137193</v>
      </c>
      <c r="U69" s="481">
        <f>U59+U63</f>
        <v>0</v>
      </c>
      <c r="V69" s="480">
        <f>V53+V60+V67</f>
        <v>29062116</v>
      </c>
      <c r="W69" s="481">
        <f>W59+W63</f>
        <v>0</v>
      </c>
      <c r="X69" s="480">
        <f>X53+X60+X67</f>
        <v>21576377</v>
      </c>
      <c r="Y69" s="481">
        <f>Y60+Y66</f>
        <v>0</v>
      </c>
      <c r="Z69" s="480" t="e">
        <f>ROUNDUP(Z53+Z60+Z67,0)</f>
        <v>#REF!</v>
      </c>
      <c r="AA69" s="465" t="s">
        <v>58</v>
      </c>
      <c r="AB69" s="454"/>
      <c r="AC69" s="454"/>
      <c r="AD69" s="454"/>
      <c r="AE69" s="454"/>
      <c r="AF69" s="454"/>
      <c r="AG69" s="454"/>
      <c r="AH69" s="454"/>
      <c r="AI69" s="454"/>
      <c r="AJ69" s="454"/>
      <c r="AK69" s="454"/>
      <c r="AL69" s="454"/>
    </row>
    <row r="70" spans="1:38" s="417" customFormat="1" ht="21.95" customHeight="1" thickTop="1">
      <c r="A70" s="476"/>
      <c r="B70" s="449"/>
      <c r="D70" s="467"/>
      <c r="E70" s="467" t="s">
        <v>58</v>
      </c>
      <c r="F70" s="467" t="s">
        <v>58</v>
      </c>
      <c r="G70" s="467"/>
      <c r="H70" s="467"/>
      <c r="I70" s="467" t="s">
        <v>58</v>
      </c>
      <c r="J70" s="467"/>
      <c r="K70" s="467" t="s">
        <v>58</v>
      </c>
      <c r="L70" s="483"/>
      <c r="M70" s="705" t="s">
        <v>58</v>
      </c>
      <c r="N70" s="705"/>
      <c r="O70" s="705"/>
      <c r="P70" s="705"/>
      <c r="Q70" s="705"/>
      <c r="R70" s="705"/>
      <c r="S70" s="705"/>
      <c r="T70" s="705"/>
      <c r="U70" s="705"/>
      <c r="V70" s="705"/>
      <c r="W70" s="705"/>
      <c r="X70" s="705"/>
      <c r="Y70" s="705"/>
      <c r="Z70" s="705"/>
      <c r="AA70" s="363"/>
      <c r="AB70" s="454"/>
      <c r="AC70" s="454"/>
      <c r="AD70" s="454"/>
      <c r="AE70" s="454"/>
      <c r="AF70" s="454"/>
      <c r="AG70" s="454"/>
      <c r="AH70" s="454"/>
      <c r="AI70" s="454"/>
      <c r="AJ70" s="454"/>
      <c r="AK70" s="454"/>
      <c r="AL70" s="454"/>
    </row>
    <row r="71" spans="1:38" ht="21" customHeight="1">
      <c r="A71" s="356"/>
      <c r="B71" s="356"/>
      <c r="C71" s="356"/>
      <c r="D71" s="1283" t="e">
        <f>ROUND(D69-'001 General Fund'!K56,0)</f>
        <v>#REF!</v>
      </c>
      <c r="E71" s="375"/>
      <c r="F71" s="375"/>
      <c r="G71" s="375"/>
      <c r="H71" s="375"/>
      <c r="I71" s="375"/>
      <c r="J71" s="375"/>
      <c r="K71" s="375"/>
      <c r="L71" s="375"/>
      <c r="M71" s="389"/>
      <c r="N71" s="389"/>
      <c r="O71" s="389"/>
      <c r="P71" s="389"/>
      <c r="Q71" s="389"/>
      <c r="R71" s="389"/>
      <c r="S71" s="389"/>
      <c r="T71" s="389"/>
      <c r="U71" s="389"/>
      <c r="V71" s="389"/>
      <c r="W71" s="389"/>
      <c r="X71" s="389"/>
      <c r="Y71" s="389"/>
      <c r="Z71" s="389"/>
    </row>
    <row r="72" spans="1:38" ht="9.9499999999999993" customHeight="1">
      <c r="A72" s="356"/>
      <c r="B72" s="356"/>
      <c r="C72" s="356"/>
      <c r="D72" s="380"/>
      <c r="E72" s="375"/>
      <c r="F72" s="375"/>
      <c r="G72" s="375"/>
      <c r="H72" s="375"/>
      <c r="I72" s="375"/>
      <c r="J72" s="375"/>
      <c r="K72" s="375"/>
      <c r="L72" s="375"/>
      <c r="M72" s="389"/>
      <c r="N72" s="389"/>
      <c r="O72" s="389"/>
      <c r="P72" s="389"/>
      <c r="Q72" s="389"/>
      <c r="R72" s="389"/>
      <c r="S72" s="389"/>
      <c r="T72" s="389"/>
      <c r="U72" s="389"/>
      <c r="V72" s="389"/>
      <c r="W72" s="389"/>
      <c r="X72" s="389"/>
      <c r="Y72" s="389"/>
      <c r="Z72" s="389"/>
    </row>
    <row r="73" spans="1:38" s="903" customFormat="1" ht="15.75">
      <c r="A73" s="1110" t="s">
        <v>469</v>
      </c>
      <c r="B73" s="1110"/>
      <c r="C73" s="1110"/>
      <c r="D73" s="1114" t="e">
        <f t="shared" ref="D73:Z73" si="13">D33-D69</f>
        <v>#REF!</v>
      </c>
      <c r="E73" s="1114">
        <f t="shared" si="13"/>
        <v>-25021</v>
      </c>
      <c r="F73" s="1113">
        <f t="shared" si="13"/>
        <v>-0.29999999998835847</v>
      </c>
      <c r="G73" s="1113">
        <f t="shared" si="13"/>
        <v>0</v>
      </c>
      <c r="H73" s="1113">
        <f t="shared" si="13"/>
        <v>0</v>
      </c>
      <c r="I73" s="1113" t="e">
        <f t="shared" si="13"/>
        <v>#REF!</v>
      </c>
      <c r="J73" s="1113">
        <f t="shared" si="13"/>
        <v>-20412</v>
      </c>
      <c r="K73" s="1113">
        <f t="shared" si="13"/>
        <v>-46252</v>
      </c>
      <c r="L73" s="959" t="e">
        <f t="shared" si="13"/>
        <v>#REF!</v>
      </c>
      <c r="M73" s="959">
        <f t="shared" si="13"/>
        <v>0</v>
      </c>
      <c r="N73" s="959">
        <f t="shared" si="13"/>
        <v>-4560</v>
      </c>
      <c r="O73" s="959">
        <f t="shared" si="13"/>
        <v>0</v>
      </c>
      <c r="P73" s="959" t="e">
        <f t="shared" si="13"/>
        <v>#REF!</v>
      </c>
      <c r="Q73" s="959">
        <f t="shared" si="13"/>
        <v>0</v>
      </c>
      <c r="R73" s="959">
        <f t="shared" si="13"/>
        <v>0</v>
      </c>
      <c r="S73" s="959">
        <f t="shared" si="13"/>
        <v>0</v>
      </c>
      <c r="T73" s="959">
        <f t="shared" si="13"/>
        <v>-6753574</v>
      </c>
      <c r="U73" s="959">
        <f t="shared" si="13"/>
        <v>0</v>
      </c>
      <c r="V73" s="959">
        <f t="shared" si="13"/>
        <v>0</v>
      </c>
      <c r="W73" s="959">
        <f t="shared" si="13"/>
        <v>0</v>
      </c>
      <c r="X73" s="959">
        <f t="shared" si="13"/>
        <v>0</v>
      </c>
      <c r="Y73" s="959">
        <f t="shared" si="13"/>
        <v>0</v>
      </c>
      <c r="Z73" s="959" t="e">
        <f t="shared" si="13"/>
        <v>#REF!</v>
      </c>
      <c r="AA73" s="360"/>
      <c r="AB73" s="904"/>
      <c r="AC73" s="904"/>
      <c r="AD73" s="904"/>
      <c r="AE73" s="904"/>
      <c r="AF73" s="904"/>
      <c r="AG73" s="904"/>
      <c r="AH73" s="904"/>
      <c r="AI73" s="904"/>
      <c r="AJ73" s="904"/>
      <c r="AK73" s="904"/>
      <c r="AL73" s="904"/>
    </row>
    <row r="74" spans="1:38">
      <c r="D74" s="1276" t="e">
        <f>D63/D53</f>
        <v>#REF!</v>
      </c>
      <c r="E74" s="389" t="s">
        <v>58</v>
      </c>
      <c r="F74" s="971" t="s">
        <v>58</v>
      </c>
      <c r="I74" s="389" t="s">
        <v>58</v>
      </c>
      <c r="L74" s="389" t="s">
        <v>58</v>
      </c>
      <c r="M74" s="389"/>
      <c r="N74" s="389"/>
      <c r="O74" s="389"/>
      <c r="P74" s="389"/>
      <c r="Q74" s="389"/>
      <c r="R74" s="389"/>
      <c r="S74" s="389"/>
      <c r="T74" s="389"/>
      <c r="U74" s="389"/>
      <c r="V74" s="389"/>
      <c r="W74" s="389"/>
      <c r="X74" s="389"/>
      <c r="Y74" s="389"/>
      <c r="Z74" s="389"/>
    </row>
    <row r="75" spans="1:38">
      <c r="D75" s="1045">
        <f>D18/D29</f>
        <v>0.34335108736716791</v>
      </c>
      <c r="L75" s="389"/>
      <c r="M75" s="389"/>
      <c r="N75" s="389"/>
      <c r="O75" s="389"/>
      <c r="P75" s="389"/>
      <c r="Q75" s="389"/>
      <c r="R75" s="389"/>
      <c r="S75" s="389"/>
      <c r="T75" s="389"/>
      <c r="U75" s="389"/>
      <c r="V75" s="389"/>
      <c r="W75" s="389"/>
      <c r="X75" s="389"/>
      <c r="Y75" s="389"/>
      <c r="Z75" s="389"/>
    </row>
    <row r="76" spans="1:38">
      <c r="D76" s="571" t="e">
        <f>D69/'All Funds Sch A 2014 Page (2)'!Z69</f>
        <v>#REF!</v>
      </c>
      <c r="L76" s="389"/>
      <c r="M76" s="389"/>
      <c r="N76" s="389"/>
      <c r="O76" s="389"/>
      <c r="P76" s="389"/>
      <c r="Q76" s="389"/>
      <c r="R76" s="389"/>
      <c r="S76" s="389"/>
      <c r="T76" s="389"/>
      <c r="U76" s="389"/>
      <c r="V76" s="389"/>
      <c r="W76" s="389"/>
      <c r="X76" s="389"/>
      <c r="Y76" s="389"/>
      <c r="Z76" s="389"/>
    </row>
    <row r="77" spans="1:38">
      <c r="D77" s="567" t="s">
        <v>58</v>
      </c>
      <c r="E77" s="389" t="s">
        <v>58</v>
      </c>
      <c r="L77" s="389"/>
      <c r="M77" s="389"/>
      <c r="N77" s="389"/>
      <c r="O77" s="389"/>
      <c r="P77" s="389"/>
      <c r="Q77" s="389"/>
      <c r="R77" s="389"/>
      <c r="S77" s="389"/>
      <c r="T77" s="389"/>
      <c r="U77" s="389"/>
      <c r="V77" s="389"/>
      <c r="W77" s="389"/>
      <c r="X77" s="389"/>
      <c r="Y77" s="389"/>
      <c r="Z77" s="389"/>
    </row>
    <row r="78" spans="1:38">
      <c r="D78" s="377" t="s">
        <v>58</v>
      </c>
      <c r="L78" s="389"/>
      <c r="M78" s="389"/>
      <c r="N78" s="389"/>
      <c r="O78" s="389"/>
      <c r="P78" s="389"/>
      <c r="Q78" s="389"/>
      <c r="R78" s="389"/>
      <c r="S78" s="389"/>
      <c r="T78" s="389"/>
      <c r="U78" s="389"/>
      <c r="V78" s="389"/>
      <c r="W78" s="389"/>
      <c r="X78" s="389"/>
      <c r="Y78" s="389"/>
      <c r="Z78" s="389"/>
    </row>
    <row r="79" spans="1:38">
      <c r="D79" s="377" t="s">
        <v>58</v>
      </c>
      <c r="L79" s="389"/>
      <c r="M79" s="389"/>
      <c r="N79" s="389"/>
      <c r="O79" s="389"/>
      <c r="P79" s="389"/>
      <c r="Q79" s="389"/>
      <c r="R79" s="389"/>
      <c r="S79" s="389"/>
      <c r="T79" s="389"/>
      <c r="U79" s="389"/>
      <c r="V79" s="389"/>
      <c r="W79" s="389"/>
      <c r="X79" s="389"/>
      <c r="Y79" s="389"/>
      <c r="Z79" s="389"/>
    </row>
    <row r="80" spans="1:38">
      <c r="D80" s="377"/>
      <c r="E80" s="389" t="s">
        <v>58</v>
      </c>
      <c r="L80" s="389"/>
      <c r="M80" s="389"/>
      <c r="N80" s="389"/>
      <c r="O80" s="389"/>
      <c r="P80" s="389"/>
      <c r="Q80" s="389"/>
      <c r="R80" s="389"/>
      <c r="S80" s="389"/>
      <c r="T80" s="389"/>
      <c r="U80" s="389"/>
      <c r="V80" s="389"/>
      <c r="W80" s="389"/>
      <c r="X80" s="389"/>
      <c r="Y80" s="389"/>
      <c r="Z80" s="389"/>
    </row>
    <row r="81" spans="1:38" s="417" customFormat="1" ht="21.95" customHeight="1" thickBot="1">
      <c r="A81" s="476" t="s">
        <v>783</v>
      </c>
      <c r="B81" s="449"/>
      <c r="C81" s="417" t="s">
        <v>424</v>
      </c>
      <c r="D81" s="480">
        <v>315782855.67000002</v>
      </c>
      <c r="E81" s="480">
        <v>10992300</v>
      </c>
      <c r="F81" s="480">
        <v>151173</v>
      </c>
      <c r="G81" s="480">
        <v>706126</v>
      </c>
      <c r="H81" s="480">
        <v>11732668</v>
      </c>
      <c r="I81" s="480">
        <v>19111205</v>
      </c>
      <c r="J81" s="480"/>
      <c r="K81" s="480"/>
      <c r="L81" s="482">
        <v>23730421.23</v>
      </c>
      <c r="M81" s="482">
        <v>21517625</v>
      </c>
      <c r="N81" s="480">
        <v>1451345</v>
      </c>
      <c r="O81" s="461"/>
      <c r="P81" s="480">
        <v>22591218.84</v>
      </c>
      <c r="Q81" s="481"/>
      <c r="R81" s="480">
        <v>205174442.10000002</v>
      </c>
      <c r="S81" s="481"/>
      <c r="T81" s="480">
        <v>17825915.34</v>
      </c>
      <c r="U81" s="481"/>
      <c r="V81" s="480">
        <v>25092661.59</v>
      </c>
      <c r="W81" s="481"/>
      <c r="X81" s="480">
        <v>19374455.009999998</v>
      </c>
      <c r="Y81" s="481"/>
      <c r="Z81" s="480">
        <v>695234411.77999997</v>
      </c>
      <c r="AA81" s="465"/>
      <c r="AB81" s="454"/>
      <c r="AC81" s="454"/>
      <c r="AD81" s="454"/>
      <c r="AE81" s="454"/>
      <c r="AF81" s="454"/>
      <c r="AG81" s="454"/>
      <c r="AH81" s="454"/>
      <c r="AI81" s="454"/>
      <c r="AJ81" s="454"/>
      <c r="AK81" s="454"/>
      <c r="AL81" s="454"/>
    </row>
    <row r="82" spans="1:38" ht="13.5" thickTop="1">
      <c r="D82" s="922" t="e">
        <f>D69-D81</f>
        <v>#REF!</v>
      </c>
      <c r="E82" s="377">
        <f t="shared" ref="E82:Z82" si="14">E69-E81</f>
        <v>6702709</v>
      </c>
      <c r="F82" s="377">
        <f t="shared" si="14"/>
        <v>29075.299999999988</v>
      </c>
      <c r="G82" s="377">
        <f t="shared" si="14"/>
        <v>397855</v>
      </c>
      <c r="H82" s="377">
        <f t="shared" si="14"/>
        <v>-2322772</v>
      </c>
      <c r="I82" s="377" t="e">
        <f t="shared" si="14"/>
        <v>#REF!</v>
      </c>
      <c r="J82" s="377">
        <f t="shared" si="14"/>
        <v>1030137.75</v>
      </c>
      <c r="K82" s="377">
        <f t="shared" si="14"/>
        <v>1999972</v>
      </c>
      <c r="L82" s="377" t="e">
        <f t="shared" si="14"/>
        <v>#REF!</v>
      </c>
      <c r="M82" s="377">
        <f t="shared" si="14"/>
        <v>4612121</v>
      </c>
      <c r="N82" s="377">
        <f t="shared" si="14"/>
        <v>-290790</v>
      </c>
      <c r="O82" s="377">
        <f t="shared" si="14"/>
        <v>0</v>
      </c>
      <c r="P82" s="377" t="e">
        <f t="shared" si="14"/>
        <v>#REF!</v>
      </c>
      <c r="Q82" s="377">
        <f t="shared" si="14"/>
        <v>0</v>
      </c>
      <c r="R82" s="377">
        <f t="shared" si="14"/>
        <v>-19814593.100000024</v>
      </c>
      <c r="S82" s="377">
        <f t="shared" si="14"/>
        <v>0</v>
      </c>
      <c r="T82" s="377">
        <f t="shared" si="14"/>
        <v>1311277.6600000001</v>
      </c>
      <c r="U82" s="377">
        <f t="shared" si="14"/>
        <v>0</v>
      </c>
      <c r="V82" s="377">
        <f t="shared" si="14"/>
        <v>3969454.41</v>
      </c>
      <c r="W82" s="377">
        <f t="shared" si="14"/>
        <v>0</v>
      </c>
      <c r="X82" s="377">
        <f t="shared" si="14"/>
        <v>2201921.9900000021</v>
      </c>
      <c r="Y82" s="377">
        <f t="shared" si="14"/>
        <v>0</v>
      </c>
      <c r="Z82" s="377" t="e">
        <f t="shared" si="14"/>
        <v>#REF!</v>
      </c>
    </row>
    <row r="83" spans="1:38">
      <c r="D83" s="922" t="e">
        <f>18594420-D82</f>
        <v>#REF!</v>
      </c>
      <c r="L83" s="389"/>
      <c r="M83" s="389"/>
      <c r="N83" s="389"/>
      <c r="O83" s="389"/>
      <c r="P83" s="389"/>
      <c r="Q83" s="389"/>
      <c r="R83" s="389"/>
      <c r="S83" s="389"/>
      <c r="T83" s="389"/>
      <c r="U83" s="389"/>
      <c r="V83" s="389"/>
      <c r="W83" s="389"/>
      <c r="X83" s="389"/>
      <c r="Y83" s="389"/>
      <c r="Z83" s="389"/>
    </row>
    <row r="84" spans="1:38">
      <c r="L84" s="389"/>
      <c r="M84" s="389"/>
      <c r="N84" s="389"/>
      <c r="O84" s="389"/>
      <c r="P84" s="389"/>
      <c r="Q84" s="389"/>
      <c r="R84" s="389"/>
      <c r="S84" s="389"/>
      <c r="T84" s="389"/>
      <c r="U84" s="389"/>
      <c r="V84" s="389"/>
      <c r="W84" s="389"/>
      <c r="X84" s="389"/>
      <c r="Y84" s="389"/>
      <c r="Z84" s="389"/>
    </row>
    <row r="85" spans="1:38">
      <c r="L85" s="389"/>
      <c r="M85" s="389"/>
      <c r="N85" s="389"/>
      <c r="O85" s="389"/>
      <c r="P85" s="389"/>
      <c r="Q85" s="389"/>
      <c r="R85" s="389"/>
      <c r="S85" s="389"/>
      <c r="T85" s="389"/>
      <c r="U85" s="389"/>
      <c r="V85" s="389"/>
      <c r="W85" s="389"/>
      <c r="X85" s="389"/>
      <c r="Y85" s="389"/>
      <c r="Z85" s="389"/>
    </row>
    <row r="86" spans="1:38">
      <c r="L86" s="389"/>
      <c r="M86" s="389"/>
      <c r="N86" s="389"/>
      <c r="O86" s="389"/>
      <c r="P86" s="389"/>
      <c r="Q86" s="389"/>
      <c r="R86" s="389"/>
      <c r="S86" s="389"/>
      <c r="T86" s="389"/>
      <c r="U86" s="389"/>
      <c r="V86" s="389"/>
      <c r="W86" s="389"/>
      <c r="X86" s="389"/>
      <c r="Y86" s="389"/>
      <c r="Z86" s="389"/>
    </row>
    <row r="87" spans="1:38" ht="21">
      <c r="D87" s="922" t="e">
        <f>D60+D53</f>
        <v>#REF!</v>
      </c>
      <c r="E87" s="1180" t="e">
        <f>D63/D87</f>
        <v>#REF!</v>
      </c>
      <c r="L87" s="389"/>
      <c r="M87" s="389"/>
      <c r="N87" s="389"/>
      <c r="O87" s="389"/>
      <c r="P87" s="389"/>
      <c r="Q87" s="389"/>
      <c r="R87" s="389"/>
      <c r="S87" s="389"/>
      <c r="T87" s="389"/>
      <c r="U87" s="389"/>
      <c r="V87" s="389"/>
      <c r="W87" s="389"/>
      <c r="X87" s="389"/>
      <c r="Y87" s="389"/>
      <c r="Z87" s="389"/>
    </row>
    <row r="88" spans="1:38">
      <c r="L88" s="389"/>
      <c r="M88" s="389"/>
      <c r="N88" s="389"/>
      <c r="O88" s="389"/>
      <c r="P88" s="389"/>
      <c r="Q88" s="389"/>
      <c r="R88" s="389"/>
      <c r="S88" s="389"/>
      <c r="T88" s="389"/>
      <c r="U88" s="389"/>
      <c r="V88" s="389"/>
      <c r="W88" s="389"/>
      <c r="X88" s="389"/>
      <c r="Y88" s="389"/>
      <c r="Z88" s="389"/>
    </row>
    <row r="89" spans="1:38">
      <c r="L89" s="389"/>
      <c r="M89" s="960"/>
      <c r="N89" s="960"/>
      <c r="O89" s="960"/>
      <c r="P89" s="960"/>
      <c r="Q89" s="960"/>
      <c r="R89" s="960"/>
      <c r="S89" s="960"/>
      <c r="T89" s="960"/>
      <c r="U89" s="960"/>
      <c r="V89" s="960"/>
      <c r="W89" s="960"/>
      <c r="X89" s="960"/>
      <c r="Y89" s="960"/>
      <c r="Z89" s="960"/>
    </row>
    <row r="90" spans="1:38">
      <c r="D90" s="1045" t="e">
        <f>D63/D53</f>
        <v>#REF!</v>
      </c>
      <c r="L90" s="389"/>
      <c r="M90" s="960"/>
      <c r="N90" s="960"/>
      <c r="O90" s="960"/>
      <c r="P90" s="960"/>
      <c r="Q90" s="960"/>
      <c r="R90" s="960"/>
      <c r="S90" s="960"/>
      <c r="T90" s="960"/>
      <c r="U90" s="960"/>
      <c r="V90" s="960"/>
      <c r="W90" s="960"/>
      <c r="X90" s="960"/>
      <c r="Y90" s="960"/>
      <c r="Z90" s="960"/>
    </row>
    <row r="91" spans="1:38">
      <c r="L91" s="389"/>
      <c r="M91" s="389"/>
      <c r="N91" s="389"/>
      <c r="O91" s="389"/>
      <c r="P91" s="389"/>
      <c r="Q91" s="389"/>
      <c r="R91" s="389"/>
      <c r="S91" s="389"/>
      <c r="T91" s="389"/>
      <c r="U91" s="389"/>
      <c r="V91" s="389"/>
      <c r="W91" s="389"/>
      <c r="X91" s="389"/>
      <c r="Y91" s="389"/>
      <c r="Z91" s="389"/>
    </row>
    <row r="92" spans="1:38" s="394" customFormat="1" ht="18.75">
      <c r="A92" s="393"/>
      <c r="B92" s="393"/>
      <c r="C92" s="393"/>
      <c r="D92" s="1065" t="e">
        <f>D63/(D53+D60)</f>
        <v>#REF!</v>
      </c>
      <c r="E92" s="1181"/>
      <c r="F92" s="1181"/>
      <c r="G92" s="1181"/>
      <c r="H92" s="961"/>
      <c r="I92" s="961"/>
      <c r="J92" s="961"/>
      <c r="K92" s="961"/>
      <c r="L92" s="961"/>
      <c r="M92" s="389"/>
      <c r="N92" s="389"/>
      <c r="O92" s="389"/>
      <c r="P92" s="389"/>
      <c r="Q92" s="389"/>
      <c r="R92" s="389"/>
      <c r="S92" s="389"/>
      <c r="T92" s="389"/>
      <c r="U92" s="389"/>
      <c r="V92" s="389"/>
      <c r="W92" s="389"/>
      <c r="X92" s="389"/>
      <c r="Y92" s="389"/>
      <c r="Z92" s="389"/>
      <c r="AA92" s="363"/>
      <c r="AB92" s="396"/>
      <c r="AC92" s="396"/>
      <c r="AD92" s="396"/>
      <c r="AE92" s="396"/>
      <c r="AF92" s="396"/>
      <c r="AG92" s="396"/>
      <c r="AH92" s="396"/>
      <c r="AI92" s="396"/>
      <c r="AJ92" s="396"/>
      <c r="AK92" s="396"/>
      <c r="AL92" s="396"/>
    </row>
    <row r="93" spans="1:38" s="394" customFormat="1" ht="18.75">
      <c r="A93" s="398"/>
      <c r="B93" s="398"/>
      <c r="C93" s="398"/>
      <c r="D93" s="1066" t="e">
        <f>47746545/(D53+D60)</f>
        <v>#REF!</v>
      </c>
      <c r="E93" s="450"/>
      <c r="F93" s="450"/>
      <c r="G93" s="450"/>
      <c r="H93" s="962"/>
      <c r="I93" s="962"/>
      <c r="J93" s="962"/>
      <c r="K93" s="962"/>
      <c r="L93" s="962"/>
      <c r="M93" s="389"/>
      <c r="N93" s="389"/>
      <c r="O93" s="389"/>
      <c r="P93" s="389"/>
      <c r="Q93" s="389"/>
      <c r="R93" s="389"/>
      <c r="S93" s="389"/>
      <c r="T93" s="389"/>
      <c r="U93" s="389"/>
      <c r="V93" s="389"/>
      <c r="W93" s="389"/>
      <c r="X93" s="389"/>
      <c r="Y93" s="389"/>
      <c r="Z93" s="389"/>
      <c r="AA93" s="363"/>
      <c r="AB93" s="396"/>
      <c r="AC93" s="396"/>
      <c r="AD93" s="396"/>
      <c r="AE93" s="396"/>
      <c r="AF93" s="396"/>
      <c r="AG93" s="396"/>
      <c r="AH93" s="396"/>
      <c r="AI93" s="396"/>
      <c r="AJ93" s="396"/>
      <c r="AK93" s="396"/>
      <c r="AL93" s="396"/>
    </row>
    <row r="94" spans="1:38">
      <c r="L94" s="389"/>
      <c r="M94" s="389"/>
      <c r="N94" s="389"/>
      <c r="O94" s="389"/>
      <c r="P94" s="389"/>
      <c r="Q94" s="389"/>
      <c r="R94" s="389"/>
      <c r="S94" s="389"/>
      <c r="T94" s="389"/>
      <c r="U94" s="389"/>
      <c r="V94" s="389"/>
      <c r="W94" s="389"/>
      <c r="X94" s="389"/>
      <c r="Y94" s="389"/>
      <c r="Z94" s="389"/>
    </row>
    <row r="95" spans="1:38">
      <c r="L95" s="389"/>
      <c r="M95" s="389"/>
      <c r="N95" s="389"/>
      <c r="O95" s="389"/>
      <c r="P95" s="389"/>
      <c r="Q95" s="389"/>
      <c r="R95" s="389"/>
      <c r="S95" s="389"/>
      <c r="T95" s="389"/>
      <c r="U95" s="389"/>
      <c r="V95" s="389"/>
      <c r="W95" s="389"/>
      <c r="X95" s="389"/>
      <c r="Y95" s="389"/>
      <c r="Z95" s="389"/>
    </row>
    <row r="96" spans="1:38">
      <c r="L96" s="389"/>
      <c r="M96" s="389"/>
      <c r="N96" s="389"/>
      <c r="O96" s="389"/>
      <c r="P96" s="389"/>
      <c r="Q96" s="389"/>
      <c r="R96" s="389"/>
      <c r="S96" s="389"/>
      <c r="T96" s="389"/>
      <c r="U96" s="389"/>
      <c r="V96" s="389"/>
      <c r="W96" s="389"/>
      <c r="X96" s="389"/>
      <c r="Y96" s="389"/>
      <c r="Z96" s="389"/>
    </row>
    <row r="97" spans="12:26">
      <c r="L97" s="389"/>
      <c r="M97" s="389"/>
      <c r="N97" s="389"/>
      <c r="O97" s="389"/>
      <c r="P97" s="389"/>
      <c r="Q97" s="389"/>
      <c r="R97" s="389"/>
      <c r="S97" s="389"/>
      <c r="T97" s="389"/>
      <c r="U97" s="389"/>
      <c r="V97" s="389"/>
      <c r="W97" s="389"/>
      <c r="X97" s="389"/>
      <c r="Y97" s="389"/>
      <c r="Z97" s="389"/>
    </row>
    <row r="98" spans="12:26">
      <c r="L98" s="389"/>
      <c r="M98" s="389"/>
      <c r="N98" s="389"/>
      <c r="O98" s="389"/>
      <c r="P98" s="389"/>
      <c r="Q98" s="389"/>
      <c r="R98" s="389"/>
      <c r="S98" s="389"/>
      <c r="T98" s="389"/>
      <c r="U98" s="389"/>
      <c r="V98" s="389"/>
      <c r="W98" s="389"/>
      <c r="X98" s="389"/>
      <c r="Y98" s="389"/>
      <c r="Z98" s="389"/>
    </row>
    <row r="99" spans="12:26">
      <c r="L99" s="389"/>
      <c r="M99" s="389"/>
      <c r="N99" s="389"/>
      <c r="O99" s="389"/>
      <c r="P99" s="389"/>
      <c r="Q99" s="389"/>
      <c r="R99" s="389"/>
      <c r="S99" s="389"/>
      <c r="T99" s="389"/>
      <c r="U99" s="389"/>
      <c r="V99" s="389"/>
      <c r="W99" s="389"/>
      <c r="X99" s="389"/>
      <c r="Y99" s="389"/>
      <c r="Z99" s="389"/>
    </row>
    <row r="100" spans="12:26">
      <c r="L100" s="389"/>
      <c r="M100" s="389"/>
      <c r="N100" s="389"/>
      <c r="O100" s="389"/>
      <c r="P100" s="389"/>
      <c r="Q100" s="389"/>
      <c r="R100" s="389"/>
      <c r="S100" s="389"/>
      <c r="T100" s="389"/>
      <c r="U100" s="389"/>
      <c r="V100" s="389"/>
      <c r="W100" s="389"/>
      <c r="X100" s="389"/>
      <c r="Y100" s="389"/>
      <c r="Z100" s="389"/>
    </row>
    <row r="101" spans="12:26">
      <c r="L101" s="389"/>
      <c r="M101" s="389"/>
      <c r="N101" s="389"/>
      <c r="O101" s="389"/>
      <c r="P101" s="389"/>
      <c r="Q101" s="389"/>
      <c r="R101" s="389"/>
      <c r="S101" s="389"/>
      <c r="T101" s="389"/>
      <c r="U101" s="389"/>
      <c r="V101" s="389"/>
      <c r="W101" s="389"/>
      <c r="X101" s="389"/>
      <c r="Y101" s="389"/>
      <c r="Z101" s="389"/>
    </row>
    <row r="102" spans="12:26">
      <c r="L102" s="389"/>
      <c r="M102" s="389"/>
      <c r="N102" s="389"/>
      <c r="O102" s="389"/>
      <c r="P102" s="389"/>
      <c r="Q102" s="389"/>
      <c r="R102" s="389"/>
      <c r="S102" s="389"/>
      <c r="T102" s="389"/>
      <c r="U102" s="389"/>
      <c r="V102" s="389"/>
      <c r="W102" s="389"/>
      <c r="X102" s="389"/>
      <c r="Y102" s="389"/>
      <c r="Z102" s="389"/>
    </row>
    <row r="103" spans="12:26">
      <c r="L103" s="389"/>
      <c r="M103" s="389"/>
      <c r="N103" s="389"/>
      <c r="O103" s="389"/>
      <c r="P103" s="389"/>
      <c r="Q103" s="389"/>
      <c r="R103" s="389"/>
      <c r="S103" s="389"/>
      <c r="T103" s="389"/>
      <c r="U103" s="389"/>
      <c r="V103" s="389"/>
      <c r="W103" s="389"/>
      <c r="X103" s="389"/>
      <c r="Y103" s="389"/>
      <c r="Z103" s="389"/>
    </row>
    <row r="104" spans="12:26">
      <c r="L104" s="389"/>
      <c r="M104" s="389"/>
      <c r="N104" s="389"/>
      <c r="O104" s="389"/>
      <c r="P104" s="389"/>
      <c r="Q104" s="389"/>
      <c r="R104" s="389"/>
      <c r="S104" s="389"/>
      <c r="T104" s="389"/>
      <c r="U104" s="389"/>
      <c r="V104" s="389"/>
      <c r="W104" s="389"/>
      <c r="X104" s="389"/>
      <c r="Y104" s="389"/>
      <c r="Z104" s="389"/>
    </row>
    <row r="105" spans="12:26">
      <c r="L105" s="389"/>
      <c r="M105" s="389"/>
      <c r="N105" s="389"/>
      <c r="O105" s="389"/>
      <c r="P105" s="389"/>
      <c r="Q105" s="389"/>
      <c r="R105" s="389"/>
      <c r="S105" s="389"/>
      <c r="T105" s="389"/>
      <c r="U105" s="389"/>
      <c r="V105" s="389"/>
      <c r="W105" s="389"/>
      <c r="X105" s="389"/>
      <c r="Y105" s="389"/>
      <c r="Z105" s="389"/>
    </row>
    <row r="106" spans="12:26">
      <c r="L106" s="389"/>
      <c r="M106" s="389"/>
      <c r="N106" s="389"/>
      <c r="O106" s="389"/>
      <c r="P106" s="389"/>
      <c r="Q106" s="389"/>
      <c r="R106" s="389"/>
      <c r="S106" s="389"/>
      <c r="T106" s="389"/>
      <c r="U106" s="389"/>
      <c r="V106" s="389"/>
      <c r="W106" s="389"/>
      <c r="X106" s="389"/>
      <c r="Y106" s="389"/>
      <c r="Z106" s="389"/>
    </row>
    <row r="107" spans="12:26">
      <c r="L107" s="389"/>
      <c r="M107" s="389"/>
      <c r="N107" s="389"/>
      <c r="O107" s="389"/>
      <c r="P107" s="389"/>
      <c r="Q107" s="389"/>
      <c r="R107" s="389"/>
      <c r="S107" s="389"/>
      <c r="T107" s="389"/>
      <c r="U107" s="389"/>
      <c r="V107" s="389"/>
      <c r="W107" s="389"/>
      <c r="X107" s="389"/>
      <c r="Y107" s="389"/>
      <c r="Z107" s="389"/>
    </row>
    <row r="108" spans="12:26">
      <c r="L108" s="389"/>
      <c r="M108" s="389"/>
      <c r="N108" s="389"/>
      <c r="O108" s="389"/>
      <c r="P108" s="389"/>
      <c r="Q108" s="389"/>
      <c r="R108" s="389"/>
      <c r="S108" s="389"/>
      <c r="T108" s="389"/>
      <c r="U108" s="389"/>
      <c r="V108" s="389"/>
      <c r="W108" s="389"/>
      <c r="X108" s="389"/>
      <c r="Y108" s="389"/>
      <c r="Z108" s="389"/>
    </row>
    <row r="109" spans="12:26">
      <c r="L109" s="389"/>
      <c r="M109" s="389"/>
      <c r="N109" s="389"/>
      <c r="O109" s="389"/>
      <c r="P109" s="389"/>
      <c r="Q109" s="389"/>
      <c r="R109" s="389"/>
      <c r="S109" s="389"/>
      <c r="T109" s="389"/>
      <c r="U109" s="389"/>
      <c r="V109" s="389"/>
      <c r="W109" s="389"/>
      <c r="X109" s="389"/>
      <c r="Y109" s="389"/>
      <c r="Z109" s="389"/>
    </row>
    <row r="110" spans="12:26">
      <c r="L110" s="389"/>
      <c r="M110" s="389"/>
      <c r="N110" s="389"/>
      <c r="O110" s="389"/>
      <c r="P110" s="389"/>
      <c r="Q110" s="389"/>
      <c r="R110" s="389"/>
      <c r="S110" s="389"/>
      <c r="T110" s="389"/>
      <c r="U110" s="389"/>
      <c r="V110" s="389"/>
      <c r="W110" s="389"/>
      <c r="X110" s="389"/>
      <c r="Y110" s="389"/>
      <c r="Z110" s="389"/>
    </row>
    <row r="111" spans="12:26">
      <c r="L111" s="389"/>
      <c r="M111" s="389"/>
      <c r="N111" s="389"/>
      <c r="O111" s="389"/>
      <c r="P111" s="389"/>
      <c r="Q111" s="389"/>
      <c r="R111" s="389"/>
      <c r="S111" s="389"/>
      <c r="T111" s="389"/>
      <c r="U111" s="389"/>
      <c r="V111" s="389"/>
      <c r="W111" s="389"/>
      <c r="X111" s="389"/>
      <c r="Y111" s="389"/>
      <c r="Z111" s="389"/>
    </row>
    <row r="112" spans="12:26">
      <c r="L112" s="389"/>
      <c r="M112" s="389"/>
      <c r="N112" s="389"/>
      <c r="O112" s="389"/>
      <c r="P112" s="389"/>
      <c r="Q112" s="389"/>
      <c r="R112" s="389"/>
      <c r="S112" s="389"/>
      <c r="T112" s="389"/>
      <c r="U112" s="389"/>
      <c r="V112" s="389"/>
      <c r="W112" s="389"/>
      <c r="X112" s="389"/>
      <c r="Y112" s="389"/>
      <c r="Z112" s="389"/>
    </row>
    <row r="113" spans="12:26">
      <c r="L113" s="389"/>
      <c r="M113" s="389"/>
      <c r="N113" s="389"/>
      <c r="O113" s="389"/>
      <c r="P113" s="389"/>
      <c r="Q113" s="389"/>
      <c r="R113" s="389"/>
      <c r="S113" s="389"/>
      <c r="T113" s="389"/>
      <c r="U113" s="389"/>
      <c r="V113" s="389"/>
      <c r="W113" s="389"/>
      <c r="X113" s="389"/>
      <c r="Y113" s="389"/>
      <c r="Z113" s="389"/>
    </row>
    <row r="114" spans="12:26">
      <c r="L114" s="389"/>
      <c r="M114" s="389"/>
      <c r="N114" s="389"/>
      <c r="O114" s="389"/>
      <c r="P114" s="389"/>
      <c r="Q114" s="389"/>
      <c r="R114" s="389"/>
      <c r="S114" s="389"/>
      <c r="T114" s="389"/>
      <c r="U114" s="389"/>
      <c r="V114" s="389"/>
      <c r="W114" s="389"/>
      <c r="X114" s="389"/>
      <c r="Y114" s="389"/>
      <c r="Z114" s="389"/>
    </row>
    <row r="115" spans="12:26">
      <c r="L115" s="389"/>
      <c r="M115" s="389"/>
      <c r="N115" s="389"/>
      <c r="O115" s="389"/>
      <c r="P115" s="389"/>
      <c r="Q115" s="389"/>
      <c r="R115" s="389"/>
      <c r="S115" s="389"/>
      <c r="T115" s="389"/>
      <c r="U115" s="389"/>
      <c r="V115" s="389"/>
      <c r="W115" s="389"/>
      <c r="X115" s="389"/>
      <c r="Y115" s="389"/>
      <c r="Z115" s="389"/>
    </row>
    <row r="116" spans="12:26">
      <c r="L116" s="389"/>
      <c r="M116" s="389"/>
      <c r="N116" s="389"/>
      <c r="O116" s="389"/>
      <c r="P116" s="389"/>
      <c r="Q116" s="389"/>
      <c r="R116" s="389"/>
      <c r="S116" s="389"/>
      <c r="T116" s="389"/>
      <c r="U116" s="389"/>
      <c r="V116" s="389"/>
      <c r="W116" s="389"/>
      <c r="X116" s="389"/>
      <c r="Y116" s="389"/>
      <c r="Z116" s="389"/>
    </row>
    <row r="117" spans="12:26">
      <c r="L117" s="389"/>
      <c r="M117" s="389"/>
      <c r="N117" s="389"/>
      <c r="O117" s="389"/>
      <c r="P117" s="389"/>
      <c r="Q117" s="389"/>
      <c r="R117" s="389"/>
      <c r="S117" s="389"/>
      <c r="T117" s="389"/>
      <c r="U117" s="389"/>
      <c r="V117" s="389"/>
      <c r="W117" s="389"/>
      <c r="X117" s="389"/>
      <c r="Y117" s="389"/>
      <c r="Z117" s="389"/>
    </row>
    <row r="118" spans="12:26">
      <c r="L118" s="389"/>
      <c r="M118" s="389"/>
      <c r="N118" s="389"/>
      <c r="O118" s="389"/>
      <c r="P118" s="389"/>
      <c r="Q118" s="389"/>
      <c r="R118" s="389"/>
      <c r="S118" s="389"/>
      <c r="T118" s="389"/>
      <c r="U118" s="389"/>
      <c r="V118" s="389"/>
      <c r="W118" s="389"/>
      <c r="X118" s="389"/>
      <c r="Y118" s="389"/>
      <c r="Z118" s="389"/>
    </row>
    <row r="119" spans="12:26">
      <c r="L119" s="389"/>
      <c r="M119" s="389"/>
      <c r="N119" s="389"/>
      <c r="O119" s="389"/>
      <c r="P119" s="389"/>
      <c r="Q119" s="389"/>
      <c r="R119" s="389"/>
      <c r="S119" s="389"/>
      <c r="T119" s="389"/>
      <c r="U119" s="389"/>
      <c r="V119" s="389"/>
      <c r="W119" s="389"/>
      <c r="X119" s="389"/>
      <c r="Y119" s="389"/>
      <c r="Z119" s="389"/>
    </row>
    <row r="120" spans="12:26">
      <c r="L120" s="389"/>
      <c r="M120" s="389"/>
      <c r="N120" s="389"/>
      <c r="O120" s="389"/>
      <c r="P120" s="389"/>
      <c r="Q120" s="389"/>
      <c r="R120" s="389"/>
      <c r="S120" s="389"/>
      <c r="T120" s="389"/>
      <c r="U120" s="389"/>
      <c r="V120" s="389"/>
      <c r="W120" s="389"/>
      <c r="X120" s="389"/>
      <c r="Y120" s="389"/>
      <c r="Z120" s="389"/>
    </row>
    <row r="121" spans="12:26">
      <c r="L121" s="389"/>
      <c r="M121" s="389"/>
      <c r="N121" s="389"/>
      <c r="O121" s="389"/>
      <c r="P121" s="389"/>
      <c r="Q121" s="389"/>
      <c r="R121" s="389"/>
      <c r="S121" s="389"/>
      <c r="T121" s="389"/>
      <c r="U121" s="389"/>
      <c r="V121" s="389"/>
      <c r="W121" s="389"/>
      <c r="X121" s="389"/>
      <c r="Y121" s="389"/>
      <c r="Z121" s="389"/>
    </row>
    <row r="122" spans="12:26">
      <c r="L122" s="389"/>
      <c r="M122" s="389"/>
      <c r="N122" s="389"/>
      <c r="O122" s="389"/>
      <c r="P122" s="389"/>
      <c r="Q122" s="389"/>
      <c r="R122" s="389"/>
      <c r="S122" s="389"/>
      <c r="T122" s="389"/>
      <c r="U122" s="389"/>
      <c r="V122" s="389"/>
      <c r="W122" s="389"/>
      <c r="X122" s="389"/>
      <c r="Y122" s="389"/>
      <c r="Z122" s="389"/>
    </row>
    <row r="123" spans="12:26">
      <c r="L123" s="389"/>
      <c r="M123" s="389"/>
      <c r="N123" s="389"/>
      <c r="O123" s="389"/>
      <c r="P123" s="389"/>
      <c r="Q123" s="389"/>
      <c r="R123" s="389"/>
      <c r="S123" s="389"/>
      <c r="T123" s="389"/>
      <c r="U123" s="389"/>
      <c r="V123" s="389"/>
      <c r="W123" s="389"/>
      <c r="X123" s="389"/>
      <c r="Y123" s="389"/>
      <c r="Z123" s="389"/>
    </row>
    <row r="124" spans="12:26">
      <c r="L124" s="389"/>
      <c r="M124" s="389"/>
      <c r="N124" s="389"/>
      <c r="O124" s="389"/>
      <c r="P124" s="389"/>
      <c r="Q124" s="389"/>
      <c r="R124" s="389"/>
      <c r="S124" s="389"/>
      <c r="T124" s="389"/>
      <c r="U124" s="389"/>
      <c r="V124" s="389"/>
      <c r="W124" s="389"/>
      <c r="X124" s="389"/>
      <c r="Y124" s="389"/>
      <c r="Z124" s="389"/>
    </row>
    <row r="125" spans="12:26">
      <c r="L125" s="389"/>
      <c r="M125" s="389"/>
      <c r="N125" s="389"/>
      <c r="O125" s="389"/>
      <c r="P125" s="389"/>
      <c r="Q125" s="389"/>
      <c r="R125" s="389"/>
      <c r="S125" s="389"/>
      <c r="T125" s="389"/>
      <c r="U125" s="389"/>
      <c r="V125" s="389"/>
      <c r="W125" s="389"/>
      <c r="X125" s="389"/>
      <c r="Y125" s="389"/>
      <c r="Z125" s="389"/>
    </row>
    <row r="126" spans="12:26">
      <c r="L126" s="389"/>
      <c r="M126" s="389"/>
      <c r="N126" s="389"/>
      <c r="O126" s="389"/>
      <c r="P126" s="389"/>
      <c r="Q126" s="389"/>
      <c r="R126" s="389"/>
      <c r="S126" s="389"/>
      <c r="T126" s="389"/>
      <c r="U126" s="389"/>
      <c r="V126" s="389"/>
      <c r="W126" s="389"/>
      <c r="X126" s="389"/>
      <c r="Y126" s="389"/>
      <c r="Z126" s="389"/>
    </row>
    <row r="127" spans="12:26">
      <c r="L127" s="389"/>
      <c r="M127" s="389"/>
      <c r="N127" s="389"/>
      <c r="O127" s="389"/>
      <c r="P127" s="389"/>
      <c r="Q127" s="389"/>
      <c r="R127" s="389"/>
      <c r="S127" s="389"/>
      <c r="T127" s="389"/>
      <c r="U127" s="389"/>
      <c r="V127" s="389"/>
      <c r="W127" s="389"/>
      <c r="X127" s="389"/>
      <c r="Y127" s="389"/>
      <c r="Z127" s="389"/>
    </row>
    <row r="128" spans="12:26">
      <c r="L128" s="389"/>
      <c r="M128" s="389"/>
      <c r="N128" s="389"/>
      <c r="O128" s="389"/>
      <c r="P128" s="389"/>
      <c r="Q128" s="389"/>
      <c r="R128" s="389"/>
      <c r="S128" s="389"/>
      <c r="T128" s="389"/>
      <c r="U128" s="389"/>
      <c r="V128" s="389"/>
      <c r="W128" s="389"/>
      <c r="X128" s="389"/>
      <c r="Y128" s="389"/>
      <c r="Z128" s="389"/>
    </row>
    <row r="129" spans="12:26">
      <c r="L129" s="389"/>
      <c r="M129" s="389"/>
      <c r="N129" s="389"/>
      <c r="O129" s="389"/>
      <c r="P129" s="389"/>
      <c r="Q129" s="389"/>
      <c r="R129" s="389"/>
      <c r="S129" s="389"/>
      <c r="T129" s="389"/>
      <c r="U129" s="389"/>
      <c r="V129" s="389"/>
      <c r="W129" s="389"/>
      <c r="X129" s="389"/>
      <c r="Y129" s="389"/>
      <c r="Z129" s="389"/>
    </row>
    <row r="130" spans="12:26">
      <c r="L130" s="389"/>
      <c r="M130" s="389"/>
      <c r="N130" s="389"/>
      <c r="O130" s="389"/>
      <c r="P130" s="389"/>
      <c r="Q130" s="389"/>
      <c r="R130" s="389"/>
      <c r="S130" s="389"/>
      <c r="T130" s="389"/>
      <c r="U130" s="389"/>
      <c r="V130" s="389"/>
      <c r="W130" s="389"/>
      <c r="X130" s="389"/>
      <c r="Y130" s="389"/>
      <c r="Z130" s="389"/>
    </row>
    <row r="131" spans="12:26">
      <c r="L131" s="389"/>
      <c r="M131" s="389"/>
      <c r="N131" s="389"/>
      <c r="O131" s="389"/>
      <c r="P131" s="389"/>
      <c r="Q131" s="389"/>
      <c r="R131" s="389"/>
      <c r="S131" s="389"/>
      <c r="T131" s="389"/>
      <c r="U131" s="389"/>
      <c r="V131" s="389"/>
      <c r="W131" s="389"/>
      <c r="X131" s="389"/>
      <c r="Y131" s="389"/>
      <c r="Z131" s="389"/>
    </row>
    <row r="132" spans="12:26">
      <c r="L132" s="389"/>
      <c r="M132" s="389"/>
      <c r="N132" s="389"/>
      <c r="O132" s="389"/>
      <c r="P132" s="389"/>
      <c r="Q132" s="389"/>
      <c r="R132" s="389"/>
      <c r="S132" s="389"/>
      <c r="T132" s="389"/>
      <c r="U132" s="389"/>
      <c r="V132" s="389"/>
      <c r="W132" s="389"/>
      <c r="X132" s="389"/>
      <c r="Y132" s="389"/>
      <c r="Z132" s="389"/>
    </row>
    <row r="133" spans="12:26">
      <c r="L133" s="389"/>
      <c r="M133" s="389"/>
      <c r="N133" s="389"/>
      <c r="O133" s="389"/>
      <c r="P133" s="389"/>
      <c r="Q133" s="389"/>
      <c r="R133" s="389"/>
      <c r="S133" s="389"/>
      <c r="T133" s="389"/>
      <c r="U133" s="389"/>
      <c r="V133" s="389"/>
      <c r="W133" s="389"/>
      <c r="X133" s="389"/>
      <c r="Y133" s="389"/>
      <c r="Z133" s="389"/>
    </row>
    <row r="134" spans="12:26">
      <c r="L134" s="389"/>
      <c r="M134" s="389"/>
      <c r="N134" s="389"/>
      <c r="O134" s="389"/>
      <c r="P134" s="389"/>
      <c r="Q134" s="389"/>
      <c r="R134" s="389"/>
      <c r="S134" s="389"/>
      <c r="T134" s="389"/>
      <c r="U134" s="389"/>
      <c r="V134" s="389"/>
      <c r="W134" s="389"/>
      <c r="X134" s="389"/>
      <c r="Y134" s="389"/>
      <c r="Z134" s="389"/>
    </row>
    <row r="135" spans="12:26">
      <c r="L135" s="389"/>
      <c r="M135" s="389"/>
      <c r="N135" s="389"/>
      <c r="O135" s="389"/>
      <c r="P135" s="389"/>
      <c r="Q135" s="389"/>
      <c r="R135" s="389"/>
      <c r="S135" s="389"/>
      <c r="T135" s="389"/>
      <c r="U135" s="389"/>
      <c r="V135" s="389"/>
      <c r="W135" s="389"/>
      <c r="X135" s="389"/>
      <c r="Y135" s="389"/>
      <c r="Z135" s="389"/>
    </row>
    <row r="136" spans="12:26">
      <c r="L136" s="389"/>
      <c r="M136" s="389"/>
      <c r="N136" s="389"/>
      <c r="O136" s="389"/>
      <c r="P136" s="389"/>
      <c r="Q136" s="389"/>
      <c r="R136" s="389"/>
      <c r="S136" s="389"/>
      <c r="T136" s="389"/>
      <c r="U136" s="389"/>
      <c r="V136" s="389"/>
      <c r="W136" s="389"/>
      <c r="X136" s="389"/>
      <c r="Y136" s="389"/>
      <c r="Z136" s="389"/>
    </row>
    <row r="137" spans="12:26">
      <c r="L137" s="389"/>
      <c r="M137" s="389"/>
      <c r="N137" s="389"/>
      <c r="O137" s="389"/>
      <c r="P137" s="389"/>
      <c r="Q137" s="389"/>
      <c r="R137" s="389"/>
      <c r="S137" s="389"/>
      <c r="T137" s="389"/>
      <c r="U137" s="389"/>
      <c r="V137" s="389"/>
      <c r="W137" s="389"/>
      <c r="X137" s="389"/>
      <c r="Y137" s="389"/>
      <c r="Z137" s="389"/>
    </row>
    <row r="138" spans="12:26">
      <c r="L138" s="389"/>
      <c r="M138" s="389"/>
      <c r="N138" s="389"/>
      <c r="O138" s="389"/>
      <c r="P138" s="389"/>
      <c r="Q138" s="389"/>
      <c r="R138" s="389"/>
      <c r="S138" s="389"/>
      <c r="T138" s="389"/>
      <c r="U138" s="389"/>
      <c r="V138" s="389"/>
      <c r="W138" s="389"/>
      <c r="X138" s="389"/>
      <c r="Y138" s="389"/>
      <c r="Z138" s="389"/>
    </row>
    <row r="139" spans="12:26">
      <c r="L139" s="389"/>
      <c r="M139" s="389"/>
      <c r="N139" s="389"/>
      <c r="O139" s="389"/>
      <c r="P139" s="389"/>
      <c r="Q139" s="389"/>
      <c r="R139" s="389"/>
      <c r="S139" s="389"/>
      <c r="T139" s="389"/>
      <c r="U139" s="389"/>
      <c r="V139" s="389"/>
      <c r="W139" s="389"/>
      <c r="X139" s="389"/>
      <c r="Y139" s="389"/>
      <c r="Z139" s="389"/>
    </row>
    <row r="140" spans="12:26">
      <c r="L140" s="389"/>
      <c r="M140" s="389"/>
      <c r="N140" s="389"/>
      <c r="O140" s="389"/>
      <c r="P140" s="389"/>
      <c r="Q140" s="389"/>
      <c r="R140" s="389"/>
      <c r="S140" s="389"/>
      <c r="T140" s="389"/>
      <c r="U140" s="389"/>
      <c r="V140" s="389"/>
      <c r="W140" s="389"/>
      <c r="X140" s="389"/>
      <c r="Y140" s="389"/>
      <c r="Z140" s="389"/>
    </row>
    <row r="141" spans="12:26">
      <c r="L141" s="389"/>
      <c r="M141" s="389"/>
      <c r="N141" s="389"/>
      <c r="O141" s="389"/>
      <c r="P141" s="389"/>
      <c r="Q141" s="389"/>
      <c r="R141" s="389"/>
      <c r="S141" s="389"/>
      <c r="T141" s="389"/>
      <c r="U141" s="389"/>
      <c r="V141" s="389"/>
      <c r="W141" s="389"/>
      <c r="X141" s="389"/>
      <c r="Y141" s="389"/>
      <c r="Z141" s="389"/>
    </row>
    <row r="142" spans="12:26">
      <c r="L142" s="389"/>
      <c r="M142" s="389"/>
      <c r="N142" s="389"/>
      <c r="O142" s="389"/>
      <c r="P142" s="389"/>
      <c r="Q142" s="389"/>
      <c r="R142" s="389"/>
      <c r="S142" s="389"/>
      <c r="T142" s="389"/>
      <c r="U142" s="389"/>
      <c r="V142" s="389"/>
      <c r="W142" s="389"/>
      <c r="X142" s="389"/>
      <c r="Y142" s="389"/>
      <c r="Z142" s="389"/>
    </row>
    <row r="143" spans="12:26">
      <c r="L143" s="389"/>
      <c r="M143" s="389"/>
      <c r="N143" s="389"/>
      <c r="O143" s="389"/>
      <c r="P143" s="389"/>
      <c r="Q143" s="389"/>
      <c r="R143" s="389"/>
      <c r="S143" s="389"/>
      <c r="T143" s="389"/>
      <c r="U143" s="389"/>
      <c r="V143" s="389"/>
      <c r="W143" s="389"/>
      <c r="X143" s="389"/>
      <c r="Y143" s="389"/>
      <c r="Z143" s="389"/>
    </row>
    <row r="144" spans="12:26">
      <c r="L144" s="389"/>
      <c r="M144" s="389"/>
      <c r="N144" s="389"/>
      <c r="O144" s="389"/>
      <c r="P144" s="389"/>
      <c r="Q144" s="389"/>
      <c r="R144" s="389"/>
      <c r="S144" s="389"/>
      <c r="T144" s="389"/>
      <c r="U144" s="389"/>
      <c r="V144" s="389"/>
      <c r="W144" s="389"/>
      <c r="X144" s="389"/>
      <c r="Y144" s="389"/>
      <c r="Z144" s="389"/>
    </row>
    <row r="145" spans="12:26">
      <c r="L145" s="389"/>
      <c r="M145" s="389"/>
      <c r="N145" s="389"/>
      <c r="O145" s="389"/>
      <c r="P145" s="389"/>
      <c r="Q145" s="389"/>
      <c r="R145" s="389"/>
      <c r="S145" s="389"/>
      <c r="T145" s="389"/>
      <c r="U145" s="389"/>
      <c r="V145" s="389"/>
      <c r="W145" s="389"/>
      <c r="X145" s="389"/>
      <c r="Y145" s="389"/>
      <c r="Z145" s="389"/>
    </row>
    <row r="146" spans="12:26">
      <c r="L146" s="389"/>
      <c r="M146" s="389"/>
      <c r="N146" s="389"/>
      <c r="O146" s="389"/>
      <c r="P146" s="389"/>
      <c r="Q146" s="389"/>
      <c r="R146" s="389"/>
      <c r="S146" s="389"/>
      <c r="T146" s="389"/>
      <c r="U146" s="389"/>
      <c r="V146" s="389"/>
      <c r="W146" s="389"/>
      <c r="X146" s="389"/>
      <c r="Y146" s="389"/>
      <c r="Z146" s="389"/>
    </row>
    <row r="147" spans="12:26">
      <c r="L147" s="389"/>
      <c r="M147" s="389"/>
      <c r="N147" s="389"/>
      <c r="O147" s="389"/>
      <c r="P147" s="389"/>
      <c r="Q147" s="389"/>
      <c r="R147" s="389"/>
      <c r="S147" s="389"/>
      <c r="T147" s="389"/>
      <c r="U147" s="389"/>
      <c r="V147" s="389"/>
      <c r="W147" s="389"/>
      <c r="X147" s="389"/>
      <c r="Y147" s="389"/>
      <c r="Z147" s="389"/>
    </row>
    <row r="148" spans="12:26">
      <c r="L148" s="389"/>
      <c r="M148" s="389"/>
      <c r="N148" s="389"/>
      <c r="O148" s="389"/>
      <c r="P148" s="389"/>
      <c r="Q148" s="389"/>
      <c r="R148" s="389"/>
      <c r="S148" s="389"/>
      <c r="T148" s="389"/>
      <c r="U148" s="389"/>
      <c r="V148" s="389"/>
      <c r="W148" s="389"/>
      <c r="X148" s="389"/>
      <c r="Y148" s="389"/>
      <c r="Z148" s="389"/>
    </row>
    <row r="149" spans="12:26">
      <c r="L149" s="389"/>
      <c r="M149" s="389"/>
      <c r="N149" s="389"/>
      <c r="O149" s="389"/>
      <c r="P149" s="389"/>
      <c r="Q149" s="389"/>
      <c r="R149" s="389"/>
      <c r="S149" s="389"/>
      <c r="T149" s="389"/>
      <c r="U149" s="389"/>
      <c r="V149" s="389"/>
      <c r="W149" s="389"/>
      <c r="X149" s="389"/>
      <c r="Y149" s="389"/>
      <c r="Z149" s="389"/>
    </row>
    <row r="150" spans="12:26">
      <c r="L150" s="389"/>
      <c r="M150" s="389"/>
      <c r="N150" s="389"/>
      <c r="O150" s="389"/>
      <c r="P150" s="389"/>
      <c r="Q150" s="389"/>
      <c r="R150" s="389"/>
      <c r="S150" s="389"/>
      <c r="T150" s="389"/>
      <c r="U150" s="389"/>
      <c r="V150" s="389"/>
      <c r="W150" s="389"/>
      <c r="X150" s="389"/>
      <c r="Y150" s="389"/>
      <c r="Z150" s="389"/>
    </row>
    <row r="151" spans="12:26">
      <c r="L151" s="389"/>
      <c r="M151" s="389"/>
      <c r="N151" s="389"/>
      <c r="O151" s="389"/>
      <c r="P151" s="389"/>
      <c r="Q151" s="389"/>
      <c r="R151" s="389"/>
      <c r="S151" s="389"/>
      <c r="T151" s="389"/>
      <c r="U151" s="389"/>
      <c r="V151" s="389"/>
      <c r="W151" s="389"/>
      <c r="X151" s="389"/>
      <c r="Y151" s="389"/>
      <c r="Z151" s="389"/>
    </row>
    <row r="152" spans="12:26">
      <c r="L152" s="389"/>
      <c r="M152" s="389"/>
      <c r="N152" s="389"/>
      <c r="O152" s="389"/>
      <c r="P152" s="389"/>
      <c r="Q152" s="389"/>
      <c r="R152" s="389"/>
      <c r="S152" s="389"/>
      <c r="T152" s="389"/>
      <c r="U152" s="389"/>
      <c r="V152" s="389"/>
      <c r="W152" s="389"/>
      <c r="X152" s="389"/>
      <c r="Y152" s="389"/>
      <c r="Z152" s="389"/>
    </row>
    <row r="153" spans="12:26">
      <c r="L153" s="389"/>
      <c r="M153" s="389"/>
      <c r="N153" s="389"/>
      <c r="O153" s="389"/>
      <c r="P153" s="389"/>
      <c r="Q153" s="389"/>
      <c r="R153" s="389"/>
      <c r="S153" s="389"/>
      <c r="T153" s="389"/>
      <c r="U153" s="389"/>
      <c r="V153" s="389"/>
      <c r="W153" s="389"/>
      <c r="X153" s="389"/>
      <c r="Y153" s="389"/>
      <c r="Z153" s="389"/>
    </row>
    <row r="154" spans="12:26">
      <c r="L154" s="389"/>
      <c r="M154" s="389"/>
      <c r="N154" s="389"/>
      <c r="O154" s="389"/>
      <c r="P154" s="389"/>
      <c r="Q154" s="389"/>
      <c r="R154" s="389"/>
      <c r="S154" s="389"/>
      <c r="T154" s="389"/>
      <c r="U154" s="389"/>
      <c r="V154" s="389"/>
      <c r="W154" s="389"/>
      <c r="X154" s="389"/>
      <c r="Y154" s="389"/>
      <c r="Z154" s="389"/>
    </row>
    <row r="155" spans="12:26">
      <c r="L155" s="389"/>
      <c r="M155" s="389"/>
      <c r="N155" s="389"/>
      <c r="O155" s="389"/>
      <c r="P155" s="389"/>
      <c r="Q155" s="389"/>
      <c r="R155" s="389"/>
      <c r="S155" s="389"/>
      <c r="T155" s="389"/>
      <c r="U155" s="389"/>
      <c r="V155" s="389"/>
      <c r="W155" s="389"/>
      <c r="X155" s="389"/>
      <c r="Y155" s="389"/>
      <c r="Z155" s="389"/>
    </row>
    <row r="156" spans="12:26">
      <c r="L156" s="389"/>
      <c r="M156" s="389"/>
      <c r="N156" s="389"/>
      <c r="O156" s="389"/>
      <c r="P156" s="389"/>
      <c r="Q156" s="389"/>
      <c r="R156" s="389"/>
      <c r="S156" s="389"/>
      <c r="T156" s="389"/>
      <c r="U156" s="389"/>
      <c r="V156" s="389"/>
      <c r="W156" s="389"/>
      <c r="X156" s="389"/>
      <c r="Y156" s="389"/>
      <c r="Z156" s="389"/>
    </row>
    <row r="157" spans="12:26">
      <c r="L157" s="389"/>
      <c r="M157" s="389"/>
      <c r="N157" s="389"/>
      <c r="O157" s="389"/>
      <c r="P157" s="389"/>
      <c r="Q157" s="389"/>
      <c r="R157" s="389"/>
      <c r="S157" s="389"/>
      <c r="T157" s="389"/>
      <c r="U157" s="389"/>
      <c r="V157" s="389"/>
      <c r="W157" s="389"/>
      <c r="X157" s="389"/>
      <c r="Y157" s="389"/>
      <c r="Z157" s="389"/>
    </row>
    <row r="158" spans="12:26">
      <c r="L158" s="389"/>
      <c r="M158" s="389"/>
      <c r="N158" s="389"/>
      <c r="O158" s="389"/>
      <c r="P158" s="389"/>
      <c r="Q158" s="389"/>
      <c r="R158" s="389"/>
      <c r="S158" s="389"/>
      <c r="T158" s="389"/>
      <c r="U158" s="389"/>
      <c r="V158" s="389"/>
      <c r="W158" s="389"/>
      <c r="X158" s="389"/>
      <c r="Y158" s="389"/>
      <c r="Z158" s="389"/>
    </row>
    <row r="159" spans="12:26">
      <c r="L159" s="389"/>
      <c r="M159" s="389"/>
      <c r="N159" s="389"/>
      <c r="O159" s="389"/>
      <c r="P159" s="389"/>
      <c r="Q159" s="389"/>
      <c r="R159" s="389"/>
      <c r="S159" s="389"/>
      <c r="T159" s="389"/>
      <c r="U159" s="389"/>
      <c r="V159" s="389"/>
      <c r="W159" s="389"/>
      <c r="X159" s="389"/>
      <c r="Y159" s="389"/>
      <c r="Z159" s="389"/>
    </row>
    <row r="160" spans="12:26">
      <c r="L160" s="389"/>
      <c r="M160" s="389"/>
      <c r="N160" s="389"/>
      <c r="O160" s="389"/>
      <c r="P160" s="389"/>
      <c r="Q160" s="389"/>
      <c r="R160" s="389"/>
      <c r="S160" s="389"/>
      <c r="T160" s="389"/>
      <c r="U160" s="389"/>
      <c r="V160" s="389"/>
      <c r="W160" s="389"/>
      <c r="X160" s="389"/>
      <c r="Y160" s="389"/>
      <c r="Z160" s="389"/>
    </row>
    <row r="161" spans="12:26">
      <c r="L161" s="389"/>
      <c r="M161" s="389"/>
      <c r="N161" s="389"/>
      <c r="O161" s="389"/>
      <c r="P161" s="389"/>
      <c r="Q161" s="389"/>
      <c r="R161" s="389"/>
      <c r="S161" s="389"/>
      <c r="T161" s="389"/>
      <c r="U161" s="389"/>
      <c r="V161" s="389"/>
      <c r="W161" s="389"/>
      <c r="X161" s="389"/>
      <c r="Y161" s="389"/>
      <c r="Z161" s="389"/>
    </row>
    <row r="162" spans="12:26">
      <c r="L162" s="389"/>
      <c r="M162" s="389"/>
      <c r="N162" s="389"/>
      <c r="O162" s="389"/>
      <c r="P162" s="389"/>
      <c r="Q162" s="389"/>
      <c r="R162" s="389"/>
      <c r="S162" s="389"/>
      <c r="T162" s="389"/>
      <c r="U162" s="389"/>
      <c r="V162" s="389"/>
      <c r="W162" s="389"/>
      <c r="X162" s="389"/>
      <c r="Y162" s="389"/>
      <c r="Z162" s="389"/>
    </row>
    <row r="163" spans="12:26">
      <c r="L163" s="389"/>
      <c r="M163" s="389"/>
      <c r="N163" s="389"/>
      <c r="O163" s="389"/>
      <c r="P163" s="389"/>
      <c r="Q163" s="389"/>
      <c r="R163" s="389"/>
      <c r="S163" s="389"/>
      <c r="T163" s="389"/>
      <c r="U163" s="389"/>
      <c r="V163" s="389"/>
      <c r="W163" s="389"/>
      <c r="X163" s="389"/>
      <c r="Y163" s="389"/>
      <c r="Z163" s="389"/>
    </row>
    <row r="164" spans="12:26">
      <c r="L164" s="389"/>
      <c r="M164" s="389"/>
      <c r="N164" s="389"/>
      <c r="O164" s="389"/>
      <c r="P164" s="389"/>
      <c r="Q164" s="389"/>
      <c r="R164" s="389"/>
      <c r="S164" s="389"/>
      <c r="T164" s="389"/>
      <c r="U164" s="389"/>
      <c r="V164" s="389"/>
      <c r="W164" s="389"/>
      <c r="X164" s="389"/>
      <c r="Y164" s="389"/>
      <c r="Z164" s="389"/>
    </row>
    <row r="165" spans="12:26">
      <c r="L165" s="389"/>
      <c r="M165" s="389"/>
      <c r="N165" s="389"/>
      <c r="O165" s="389"/>
      <c r="P165" s="389"/>
      <c r="Q165" s="389"/>
      <c r="R165" s="389"/>
      <c r="S165" s="389"/>
      <c r="T165" s="389"/>
      <c r="U165" s="389"/>
      <c r="V165" s="389"/>
      <c r="W165" s="389"/>
      <c r="X165" s="389"/>
      <c r="Y165" s="389"/>
      <c r="Z165" s="389"/>
    </row>
    <row r="166" spans="12:26">
      <c r="L166" s="389"/>
      <c r="M166" s="389"/>
      <c r="N166" s="389"/>
      <c r="O166" s="389"/>
      <c r="P166" s="389"/>
      <c r="Q166" s="389"/>
      <c r="R166" s="389"/>
      <c r="S166" s="389"/>
      <c r="T166" s="389"/>
      <c r="U166" s="389"/>
      <c r="V166" s="389"/>
      <c r="W166" s="389"/>
      <c r="X166" s="389"/>
      <c r="Y166" s="389"/>
      <c r="Z166" s="389"/>
    </row>
    <row r="167" spans="12:26">
      <c r="L167" s="389"/>
      <c r="M167" s="389"/>
      <c r="N167" s="389"/>
      <c r="O167" s="389"/>
      <c r="P167" s="389"/>
      <c r="Q167" s="389"/>
      <c r="R167" s="389"/>
      <c r="S167" s="389"/>
      <c r="T167" s="389"/>
      <c r="U167" s="389"/>
      <c r="V167" s="389"/>
      <c r="W167" s="389"/>
      <c r="X167" s="389"/>
      <c r="Y167" s="389"/>
      <c r="Z167" s="389"/>
    </row>
    <row r="168" spans="12:26">
      <c r="L168" s="389"/>
      <c r="M168" s="389"/>
      <c r="N168" s="389"/>
      <c r="O168" s="389"/>
      <c r="P168" s="389"/>
      <c r="Q168" s="389"/>
      <c r="R168" s="389"/>
      <c r="S168" s="389"/>
      <c r="T168" s="389"/>
      <c r="U168" s="389"/>
      <c r="V168" s="389"/>
      <c r="W168" s="389"/>
      <c r="X168" s="389"/>
      <c r="Y168" s="389"/>
      <c r="Z168" s="389"/>
    </row>
    <row r="169" spans="12:26">
      <c r="L169" s="389"/>
      <c r="M169" s="389"/>
      <c r="N169" s="389"/>
      <c r="O169" s="389"/>
      <c r="P169" s="389"/>
      <c r="Q169" s="389"/>
      <c r="R169" s="389"/>
      <c r="S169" s="389"/>
      <c r="T169" s="389"/>
      <c r="U169" s="389"/>
      <c r="V169" s="389"/>
      <c r="W169" s="389"/>
      <c r="X169" s="389"/>
      <c r="Y169" s="389"/>
      <c r="Z169" s="389"/>
    </row>
    <row r="170" spans="12:26">
      <c r="L170" s="389"/>
      <c r="M170" s="389"/>
      <c r="N170" s="389"/>
      <c r="O170" s="389"/>
      <c r="P170" s="389"/>
      <c r="Q170" s="389"/>
      <c r="R170" s="389"/>
      <c r="S170" s="389"/>
      <c r="T170" s="389"/>
      <c r="U170" s="389"/>
      <c r="V170" s="389"/>
      <c r="W170" s="389"/>
      <c r="X170" s="389"/>
      <c r="Y170" s="389"/>
      <c r="Z170" s="389"/>
    </row>
    <row r="171" spans="12:26">
      <c r="L171" s="389"/>
      <c r="M171" s="389"/>
      <c r="N171" s="389"/>
      <c r="O171" s="389"/>
      <c r="P171" s="389"/>
      <c r="Q171" s="389"/>
      <c r="R171" s="389"/>
      <c r="S171" s="389"/>
      <c r="T171" s="389"/>
      <c r="U171" s="389"/>
      <c r="V171" s="389"/>
      <c r="W171" s="389"/>
      <c r="X171" s="389"/>
      <c r="Y171" s="389"/>
      <c r="Z171" s="389"/>
    </row>
    <row r="172" spans="12:26">
      <c r="L172" s="389"/>
      <c r="M172" s="389"/>
      <c r="N172" s="389"/>
      <c r="O172" s="389"/>
      <c r="P172" s="389"/>
      <c r="Q172" s="389"/>
      <c r="R172" s="389"/>
      <c r="S172" s="389"/>
      <c r="T172" s="389"/>
      <c r="U172" s="389"/>
      <c r="V172" s="389"/>
      <c r="W172" s="389"/>
      <c r="X172" s="389"/>
      <c r="Y172" s="389"/>
      <c r="Z172" s="389"/>
    </row>
    <row r="173" spans="12:26">
      <c r="L173" s="389"/>
      <c r="M173" s="389"/>
      <c r="N173" s="389"/>
      <c r="O173" s="389"/>
      <c r="P173" s="389"/>
      <c r="Q173" s="389"/>
      <c r="R173" s="389"/>
      <c r="S173" s="389"/>
      <c r="T173" s="389"/>
      <c r="U173" s="389"/>
      <c r="V173" s="389"/>
      <c r="W173" s="389"/>
      <c r="X173" s="389"/>
      <c r="Y173" s="389"/>
      <c r="Z173" s="389"/>
    </row>
    <row r="174" spans="12:26">
      <c r="L174" s="389"/>
      <c r="M174" s="389"/>
      <c r="N174" s="389"/>
      <c r="O174" s="389"/>
      <c r="P174" s="389"/>
      <c r="Q174" s="389"/>
      <c r="R174" s="389"/>
      <c r="S174" s="389"/>
      <c r="T174" s="389"/>
      <c r="U174" s="389"/>
      <c r="V174" s="389"/>
      <c r="W174" s="389"/>
      <c r="X174" s="389"/>
      <c r="Y174" s="389"/>
      <c r="Z174" s="389"/>
    </row>
    <row r="175" spans="12:26">
      <c r="L175" s="389"/>
      <c r="M175" s="389"/>
      <c r="N175" s="389"/>
      <c r="O175" s="389"/>
      <c r="P175" s="389"/>
      <c r="Q175" s="389"/>
      <c r="R175" s="389"/>
      <c r="S175" s="389"/>
      <c r="T175" s="389"/>
      <c r="U175" s="389"/>
      <c r="V175" s="389"/>
      <c r="W175" s="389"/>
      <c r="X175" s="389"/>
      <c r="Y175" s="389"/>
      <c r="Z175" s="389"/>
    </row>
    <row r="176" spans="12:26">
      <c r="L176" s="389"/>
      <c r="M176" s="389"/>
      <c r="N176" s="389"/>
      <c r="O176" s="389"/>
      <c r="P176" s="389"/>
      <c r="Q176" s="389"/>
      <c r="R176" s="389"/>
      <c r="S176" s="389"/>
      <c r="T176" s="389"/>
      <c r="U176" s="389"/>
      <c r="V176" s="389"/>
      <c r="W176" s="389"/>
      <c r="X176" s="389"/>
      <c r="Y176" s="389"/>
      <c r="Z176" s="389"/>
    </row>
    <row r="177" spans="12:26">
      <c r="L177" s="389"/>
      <c r="M177" s="389"/>
      <c r="N177" s="389"/>
      <c r="O177" s="389"/>
      <c r="P177" s="389"/>
      <c r="Q177" s="389"/>
      <c r="R177" s="389"/>
      <c r="S177" s="389"/>
      <c r="T177" s="389"/>
      <c r="U177" s="389"/>
      <c r="V177" s="389"/>
      <c r="W177" s="389"/>
      <c r="X177" s="389"/>
      <c r="Y177" s="389"/>
      <c r="Z177" s="389"/>
    </row>
    <row r="178" spans="12:26">
      <c r="L178" s="389"/>
      <c r="M178" s="389"/>
      <c r="N178" s="389"/>
      <c r="O178" s="389"/>
      <c r="P178" s="389"/>
      <c r="Q178" s="389"/>
      <c r="R178" s="389"/>
      <c r="S178" s="389"/>
      <c r="T178" s="389"/>
      <c r="U178" s="389"/>
      <c r="V178" s="389"/>
      <c r="W178" s="389"/>
      <c r="X178" s="389"/>
      <c r="Y178" s="389"/>
      <c r="Z178" s="389"/>
    </row>
    <row r="179" spans="12:26">
      <c r="L179" s="389"/>
      <c r="M179" s="389"/>
      <c r="N179" s="389"/>
      <c r="O179" s="389"/>
      <c r="P179" s="389"/>
      <c r="Q179" s="389"/>
      <c r="R179" s="389"/>
      <c r="S179" s="389"/>
      <c r="T179" s="389"/>
      <c r="U179" s="389"/>
      <c r="V179" s="389"/>
      <c r="W179" s="389"/>
      <c r="X179" s="389"/>
      <c r="Y179" s="389"/>
      <c r="Z179" s="389"/>
    </row>
    <row r="180" spans="12:26">
      <c r="L180" s="389"/>
      <c r="M180" s="389"/>
      <c r="N180" s="389"/>
      <c r="O180" s="389"/>
      <c r="P180" s="389"/>
      <c r="Q180" s="389"/>
      <c r="R180" s="389"/>
      <c r="S180" s="389"/>
      <c r="T180" s="389"/>
      <c r="U180" s="389"/>
      <c r="V180" s="389"/>
      <c r="W180" s="389"/>
      <c r="X180" s="389"/>
      <c r="Y180" s="389"/>
      <c r="Z180" s="389"/>
    </row>
    <row r="181" spans="12:26">
      <c r="L181" s="389"/>
      <c r="M181" s="389"/>
      <c r="N181" s="389"/>
      <c r="O181" s="389"/>
      <c r="P181" s="389"/>
      <c r="Q181" s="389"/>
      <c r="R181" s="389"/>
      <c r="S181" s="389"/>
      <c r="T181" s="389"/>
      <c r="U181" s="389"/>
      <c r="V181" s="389"/>
      <c r="W181" s="389"/>
      <c r="X181" s="389"/>
      <c r="Y181" s="389"/>
      <c r="Z181" s="389"/>
    </row>
    <row r="182" spans="12:26">
      <c r="L182" s="389"/>
      <c r="M182" s="389"/>
      <c r="N182" s="389"/>
      <c r="O182" s="389"/>
      <c r="P182" s="389"/>
      <c r="Q182" s="389"/>
      <c r="R182" s="389"/>
      <c r="S182" s="389"/>
      <c r="T182" s="389"/>
      <c r="U182" s="389"/>
      <c r="V182" s="389"/>
      <c r="W182" s="389"/>
      <c r="X182" s="389"/>
      <c r="Y182" s="389"/>
      <c r="Z182" s="389"/>
    </row>
    <row r="183" spans="12:26">
      <c r="L183" s="389"/>
      <c r="M183" s="389"/>
      <c r="N183" s="389"/>
      <c r="O183" s="389"/>
      <c r="P183" s="389"/>
      <c r="Q183" s="389"/>
      <c r="R183" s="389"/>
      <c r="S183" s="389"/>
      <c r="T183" s="389"/>
      <c r="U183" s="389"/>
      <c r="V183" s="389"/>
      <c r="W183" s="389"/>
      <c r="X183" s="389"/>
      <c r="Y183" s="389"/>
      <c r="Z183" s="389"/>
    </row>
    <row r="184" spans="12:26">
      <c r="L184" s="389"/>
      <c r="M184" s="389"/>
      <c r="N184" s="389"/>
      <c r="O184" s="389"/>
      <c r="P184" s="389"/>
      <c r="Q184" s="389"/>
      <c r="R184" s="389"/>
      <c r="S184" s="389"/>
      <c r="T184" s="389"/>
      <c r="U184" s="389"/>
      <c r="V184" s="389"/>
      <c r="W184" s="389"/>
      <c r="X184" s="389"/>
      <c r="Y184" s="389"/>
      <c r="Z184" s="389"/>
    </row>
    <row r="185" spans="12:26">
      <c r="L185" s="389"/>
      <c r="M185" s="389"/>
      <c r="N185" s="389"/>
      <c r="O185" s="389"/>
      <c r="P185" s="389"/>
      <c r="Q185" s="389"/>
      <c r="R185" s="389"/>
      <c r="S185" s="389"/>
      <c r="T185" s="389"/>
      <c r="U185" s="389"/>
      <c r="V185" s="389"/>
      <c r="W185" s="389"/>
      <c r="X185" s="389"/>
      <c r="Y185" s="389"/>
      <c r="Z185" s="389"/>
    </row>
    <row r="186" spans="12:26">
      <c r="L186" s="389"/>
      <c r="M186" s="389"/>
      <c r="N186" s="389"/>
      <c r="O186" s="389"/>
      <c r="P186" s="389"/>
      <c r="Q186" s="389"/>
      <c r="R186" s="389"/>
      <c r="S186" s="389"/>
      <c r="T186" s="389"/>
      <c r="U186" s="389"/>
      <c r="V186" s="389"/>
      <c r="W186" s="389"/>
      <c r="X186" s="389"/>
      <c r="Y186" s="389"/>
      <c r="Z186" s="389"/>
    </row>
    <row r="187" spans="12:26">
      <c r="L187" s="389"/>
      <c r="M187" s="389"/>
      <c r="N187" s="389"/>
      <c r="O187" s="389"/>
      <c r="P187" s="389"/>
      <c r="Q187" s="389"/>
      <c r="R187" s="389"/>
      <c r="S187" s="389"/>
      <c r="T187" s="389"/>
      <c r="U187" s="389"/>
      <c r="V187" s="389"/>
      <c r="W187" s="389"/>
      <c r="X187" s="389"/>
      <c r="Y187" s="389"/>
      <c r="Z187" s="389"/>
    </row>
    <row r="188" spans="12:26">
      <c r="L188" s="389"/>
      <c r="M188" s="389"/>
      <c r="N188" s="389"/>
      <c r="O188" s="389"/>
      <c r="P188" s="389"/>
      <c r="Q188" s="389"/>
      <c r="R188" s="389"/>
      <c r="S188" s="389"/>
      <c r="T188" s="389"/>
      <c r="U188" s="389"/>
      <c r="V188" s="389"/>
      <c r="W188" s="389"/>
      <c r="X188" s="389"/>
      <c r="Y188" s="389"/>
      <c r="Z188" s="389"/>
    </row>
    <row r="189" spans="12:26">
      <c r="L189" s="389"/>
      <c r="M189" s="389"/>
      <c r="N189" s="389"/>
      <c r="O189" s="389"/>
      <c r="P189" s="389"/>
      <c r="Q189" s="389"/>
      <c r="R189" s="389"/>
      <c r="S189" s="389"/>
      <c r="T189" s="389"/>
      <c r="U189" s="389"/>
      <c r="V189" s="389"/>
      <c r="W189" s="389"/>
      <c r="X189" s="389"/>
      <c r="Y189" s="389"/>
      <c r="Z189" s="389"/>
    </row>
    <row r="190" spans="12:26">
      <c r="L190" s="389"/>
      <c r="M190" s="389"/>
      <c r="N190" s="389"/>
      <c r="O190" s="389"/>
      <c r="P190" s="389"/>
      <c r="Q190" s="389"/>
      <c r="R190" s="389"/>
      <c r="S190" s="389"/>
      <c r="T190" s="389"/>
      <c r="U190" s="389"/>
      <c r="V190" s="389"/>
      <c r="W190" s="389"/>
      <c r="X190" s="389"/>
      <c r="Y190" s="389"/>
      <c r="Z190" s="389"/>
    </row>
    <row r="191" spans="12:26">
      <c r="L191" s="389"/>
      <c r="M191" s="389"/>
      <c r="N191" s="389"/>
      <c r="O191" s="389"/>
      <c r="P191" s="389"/>
      <c r="Q191" s="389"/>
      <c r="R191" s="389"/>
      <c r="S191" s="389"/>
      <c r="T191" s="389"/>
      <c r="U191" s="389"/>
      <c r="V191" s="389"/>
      <c r="W191" s="389"/>
      <c r="X191" s="389"/>
      <c r="Y191" s="389"/>
      <c r="Z191" s="389"/>
    </row>
    <row r="192" spans="12:26">
      <c r="L192" s="389"/>
      <c r="M192" s="389"/>
      <c r="N192" s="389"/>
      <c r="O192" s="389"/>
      <c r="P192" s="389"/>
      <c r="Q192" s="389"/>
      <c r="R192" s="389"/>
      <c r="S192" s="389"/>
      <c r="T192" s="389"/>
      <c r="U192" s="389"/>
      <c r="V192" s="389"/>
      <c r="W192" s="389"/>
      <c r="X192" s="389"/>
      <c r="Y192" s="389"/>
      <c r="Z192" s="389"/>
    </row>
    <row r="193" spans="12:26">
      <c r="L193" s="389"/>
      <c r="M193" s="389"/>
      <c r="N193" s="389"/>
      <c r="O193" s="389"/>
      <c r="P193" s="389"/>
      <c r="Q193" s="389"/>
      <c r="R193" s="389"/>
      <c r="S193" s="389"/>
      <c r="T193" s="389"/>
      <c r="U193" s="389"/>
      <c r="V193" s="389"/>
      <c r="W193" s="389"/>
      <c r="X193" s="389"/>
      <c r="Y193" s="389"/>
      <c r="Z193" s="389"/>
    </row>
    <row r="194" spans="12:26">
      <c r="L194" s="389"/>
      <c r="M194" s="389"/>
      <c r="N194" s="389"/>
      <c r="O194" s="389"/>
      <c r="P194" s="389"/>
      <c r="Q194" s="389"/>
      <c r="R194" s="389"/>
      <c r="S194" s="389"/>
      <c r="T194" s="389"/>
      <c r="U194" s="389"/>
      <c r="V194" s="389"/>
      <c r="W194" s="389"/>
      <c r="X194" s="389"/>
      <c r="Y194" s="389"/>
      <c r="Z194" s="389"/>
    </row>
    <row r="195" spans="12:26">
      <c r="L195" s="389"/>
      <c r="M195" s="389"/>
      <c r="N195" s="389"/>
      <c r="O195" s="389"/>
      <c r="P195" s="389"/>
      <c r="Q195" s="389"/>
      <c r="R195" s="389"/>
      <c r="S195" s="389"/>
      <c r="T195" s="389"/>
      <c r="U195" s="389"/>
      <c r="V195" s="389"/>
      <c r="W195" s="389"/>
      <c r="X195" s="389"/>
      <c r="Y195" s="389"/>
      <c r="Z195" s="389"/>
    </row>
    <row r="196" spans="12:26">
      <c r="L196" s="389"/>
      <c r="M196" s="389"/>
      <c r="N196" s="389"/>
      <c r="O196" s="389"/>
      <c r="P196" s="389"/>
      <c r="Q196" s="389"/>
      <c r="R196" s="389"/>
      <c r="S196" s="389"/>
      <c r="T196" s="389"/>
      <c r="U196" s="389"/>
      <c r="V196" s="389"/>
      <c r="W196" s="389"/>
      <c r="X196" s="389"/>
      <c r="Y196" s="389"/>
      <c r="Z196" s="389"/>
    </row>
    <row r="197" spans="12:26">
      <c r="L197" s="389"/>
      <c r="M197" s="389"/>
      <c r="N197" s="389"/>
      <c r="O197" s="389"/>
      <c r="P197" s="389"/>
      <c r="Q197" s="389"/>
      <c r="R197" s="389"/>
      <c r="S197" s="389"/>
      <c r="T197" s="389"/>
      <c r="U197" s="389"/>
      <c r="V197" s="389"/>
      <c r="W197" s="389"/>
      <c r="X197" s="389"/>
      <c r="Y197" s="389"/>
      <c r="Z197" s="389"/>
    </row>
    <row r="198" spans="12:26">
      <c r="L198" s="389"/>
      <c r="M198" s="389"/>
      <c r="N198" s="389"/>
      <c r="O198" s="389"/>
      <c r="P198" s="389"/>
      <c r="Q198" s="389"/>
      <c r="R198" s="389"/>
      <c r="S198" s="389"/>
      <c r="T198" s="389"/>
      <c r="U198" s="389"/>
      <c r="V198" s="389"/>
      <c r="W198" s="389"/>
      <c r="X198" s="389"/>
      <c r="Y198" s="389"/>
      <c r="Z198" s="389"/>
    </row>
    <row r="199" spans="12:26">
      <c r="L199" s="389"/>
      <c r="M199" s="389"/>
      <c r="N199" s="389"/>
      <c r="O199" s="389"/>
      <c r="P199" s="389"/>
      <c r="Q199" s="389"/>
      <c r="R199" s="389"/>
      <c r="S199" s="389"/>
      <c r="T199" s="389"/>
      <c r="U199" s="389"/>
      <c r="V199" s="389"/>
      <c r="W199" s="389"/>
      <c r="X199" s="389"/>
      <c r="Y199" s="389"/>
      <c r="Z199" s="389"/>
    </row>
    <row r="200" spans="12:26">
      <c r="L200" s="389"/>
      <c r="M200" s="389"/>
      <c r="N200" s="389"/>
      <c r="O200" s="389"/>
      <c r="P200" s="389"/>
      <c r="Q200" s="389"/>
      <c r="R200" s="389"/>
      <c r="S200" s="389"/>
      <c r="T200" s="389"/>
      <c r="U200" s="389"/>
      <c r="V200" s="389"/>
      <c r="W200" s="389"/>
      <c r="X200" s="389"/>
      <c r="Y200" s="389"/>
      <c r="Z200" s="389"/>
    </row>
    <row r="201" spans="12:26">
      <c r="L201" s="389"/>
      <c r="M201" s="389"/>
      <c r="N201" s="389"/>
      <c r="O201" s="389"/>
      <c r="P201" s="389"/>
      <c r="Q201" s="389"/>
      <c r="R201" s="389"/>
      <c r="S201" s="389"/>
      <c r="T201" s="389"/>
      <c r="U201" s="389"/>
      <c r="V201" s="389"/>
      <c r="W201" s="389"/>
      <c r="X201" s="389"/>
      <c r="Y201" s="389"/>
      <c r="Z201" s="389"/>
    </row>
    <row r="202" spans="12:26">
      <c r="L202" s="389"/>
      <c r="M202" s="389"/>
      <c r="N202" s="389"/>
      <c r="O202" s="389"/>
      <c r="P202" s="389"/>
      <c r="Q202" s="389"/>
      <c r="R202" s="389"/>
      <c r="S202" s="389"/>
      <c r="T202" s="389"/>
      <c r="U202" s="389"/>
      <c r="V202" s="389"/>
      <c r="W202" s="389"/>
      <c r="X202" s="389"/>
      <c r="Y202" s="389"/>
      <c r="Z202" s="389"/>
    </row>
    <row r="203" spans="12:26">
      <c r="L203" s="389"/>
      <c r="M203" s="389"/>
      <c r="N203" s="389"/>
      <c r="O203" s="389"/>
      <c r="P203" s="389"/>
      <c r="Q203" s="389"/>
      <c r="R203" s="389"/>
      <c r="S203" s="389"/>
      <c r="T203" s="389"/>
      <c r="U203" s="389"/>
      <c r="V203" s="389"/>
      <c r="W203" s="389"/>
      <c r="X203" s="389"/>
      <c r="Y203" s="389"/>
      <c r="Z203" s="389"/>
    </row>
    <row r="281" spans="4:4">
      <c r="D281" s="922">
        <v>0</v>
      </c>
    </row>
  </sheetData>
  <mergeCells count="4">
    <mergeCell ref="A1:L1"/>
    <mergeCell ref="A2:Z2"/>
    <mergeCell ref="B3:I3"/>
    <mergeCell ref="A4:L4"/>
  </mergeCells>
  <printOptions horizontalCentered="1"/>
  <pageMargins left="0" right="0" top="0.5" bottom="0.17" header="0.17" footer="0.2"/>
  <pageSetup scale="48"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fitToPage="1"/>
  </sheetPr>
  <dimension ref="A1:XEC284"/>
  <sheetViews>
    <sheetView showGridLines="0" topLeftCell="A2" zoomScale="70" zoomScaleNormal="70" workbookViewId="0">
      <pane xSplit="2" ySplit="5" topLeftCell="F27" activePane="bottomRight" state="frozen"/>
      <selection activeCell="A2" sqref="A2"/>
      <selection pane="topRight" activeCell="C2" sqref="C2"/>
      <selection pane="bottomLeft" activeCell="A7" sqref="A7"/>
      <selection pane="bottomRight" activeCell="P44" sqref="P44"/>
    </sheetView>
  </sheetViews>
  <sheetFormatPr defaultRowHeight="12.75"/>
  <cols>
    <col min="1" max="1" width="44.28515625" style="365" customWidth="1"/>
    <col min="2" max="2" width="9" style="365" customWidth="1"/>
    <col min="3" max="3" width="17.7109375" style="377" hidden="1" customWidth="1"/>
    <col min="4" max="4" width="23.42578125" style="363" hidden="1" customWidth="1"/>
    <col min="5" max="5" width="5.7109375" style="365" hidden="1" customWidth="1"/>
    <col min="6" max="6" width="17.7109375" style="377" customWidth="1"/>
    <col min="7" max="7" width="23.42578125" style="363" customWidth="1"/>
    <col min="8" max="8" width="5.7109375" style="363" hidden="1" customWidth="1"/>
    <col min="9" max="9" width="17.7109375" style="377" hidden="1" customWidth="1"/>
    <col min="10" max="10" width="21" style="363" hidden="1" customWidth="1"/>
    <col min="11" max="11" width="9.140625" style="363" hidden="1" customWidth="1"/>
    <col min="12" max="12" width="0" style="365" hidden="1" customWidth="1"/>
    <col min="13" max="13" width="44.28515625" style="365" hidden="1" customWidth="1"/>
    <col min="14" max="14" width="9" style="365" hidden="1" customWidth="1"/>
    <col min="15" max="15" width="2.28515625" style="365" bestFit="1" customWidth="1"/>
    <col min="16" max="16" width="17.7109375" style="377" customWidth="1"/>
    <col min="17" max="17" width="23.42578125" style="363" customWidth="1"/>
    <col min="18" max="18" width="2.28515625" style="365" bestFit="1" customWidth="1"/>
    <col min="19" max="20" width="17.7109375" style="377" customWidth="1"/>
    <col min="21" max="21" width="13.28515625" style="365" bestFit="1" customWidth="1"/>
    <col min="22" max="22" width="11.28515625" style="365" bestFit="1" customWidth="1"/>
    <col min="23" max="206" width="8.85546875" style="365"/>
    <col min="207" max="207" width="44.5703125" style="365" customWidth="1"/>
    <col min="208" max="208" width="14.28515625" style="365" bestFit="1" customWidth="1"/>
    <col min="209" max="209" width="1.7109375" style="365" customWidth="1"/>
    <col min="210" max="210" width="14.85546875" style="365" customWidth="1"/>
    <col min="211" max="211" width="0" style="365" hidden="1" customWidth="1"/>
    <col min="212" max="212" width="17.42578125" style="365" customWidth="1"/>
    <col min="213" max="213" width="0" style="365" hidden="1" customWidth="1"/>
    <col min="214" max="214" width="12.85546875" style="365" customWidth="1"/>
    <col min="215" max="215" width="0" style="365" hidden="1" customWidth="1"/>
    <col min="216" max="216" width="14.42578125" style="365" customWidth="1"/>
    <col min="217" max="217" width="0" style="365" hidden="1" customWidth="1"/>
    <col min="218" max="218" width="17.42578125" style="365" customWidth="1"/>
    <col min="219" max="219" width="0" style="365" hidden="1" customWidth="1"/>
    <col min="220" max="220" width="14" style="365" customWidth="1"/>
    <col min="221" max="221" width="14.28515625" style="365" bestFit="1" customWidth="1"/>
    <col min="222" max="222" width="0" style="365" hidden="1" customWidth="1"/>
    <col min="223" max="223" width="15.5703125" style="365" customWidth="1"/>
    <col min="224" max="224" width="44.5703125" style="365" customWidth="1"/>
    <col min="225" max="225" width="14.28515625" style="365" bestFit="1" customWidth="1"/>
    <col min="226" max="226" width="0" style="365" hidden="1" customWidth="1"/>
    <col min="227" max="227" width="18.140625" style="365" customWidth="1"/>
    <col min="228" max="228" width="0" style="365" hidden="1" customWidth="1"/>
    <col min="229" max="229" width="14" style="365" customWidth="1"/>
    <col min="230" max="230" width="0" style="365" hidden="1" customWidth="1"/>
    <col min="231" max="231" width="20.85546875" style="365" customWidth="1"/>
    <col min="232" max="232" width="0" style="365" hidden="1" customWidth="1"/>
    <col min="233" max="233" width="13.28515625" style="365" customWidth="1"/>
    <col min="234" max="234" width="0" style="365" hidden="1" customWidth="1"/>
    <col min="235" max="235" width="15" style="365" customWidth="1"/>
    <col min="236" max="236" width="0" style="365" hidden="1" customWidth="1"/>
    <col min="237" max="237" width="13.28515625" style="365" customWidth="1"/>
    <col min="238" max="238" width="0" style="365" hidden="1" customWidth="1"/>
    <col min="239" max="239" width="20.140625" style="365" customWidth="1"/>
    <col min="240" max="240" width="14.42578125" style="365" bestFit="1" customWidth="1"/>
    <col min="241" max="241" width="14" style="365" bestFit="1" customWidth="1"/>
    <col min="242" max="242" width="12.28515625" style="365" bestFit="1" customWidth="1"/>
    <col min="243" max="267" width="9.140625" style="365" customWidth="1"/>
    <col min="268" max="462" width="8.85546875" style="365"/>
    <col min="463" max="463" width="44.5703125" style="365" customWidth="1"/>
    <col min="464" max="464" width="14.28515625" style="365" bestFit="1" customWidth="1"/>
    <col min="465" max="465" width="1.7109375" style="365" customWidth="1"/>
    <col min="466" max="466" width="14.85546875" style="365" customWidth="1"/>
    <col min="467" max="467" width="0" style="365" hidden="1" customWidth="1"/>
    <col min="468" max="468" width="17.42578125" style="365" customWidth="1"/>
    <col min="469" max="469" width="0" style="365" hidden="1" customWidth="1"/>
    <col min="470" max="470" width="12.85546875" style="365" customWidth="1"/>
    <col min="471" max="471" width="0" style="365" hidden="1" customWidth="1"/>
    <col min="472" max="472" width="14.42578125" style="365" customWidth="1"/>
    <col min="473" max="473" width="0" style="365" hidden="1" customWidth="1"/>
    <col min="474" max="474" width="17.42578125" style="365" customWidth="1"/>
    <col min="475" max="475" width="0" style="365" hidden="1" customWidth="1"/>
    <col min="476" max="476" width="14" style="365" customWidth="1"/>
    <col min="477" max="477" width="14.28515625" style="365" bestFit="1" customWidth="1"/>
    <col min="478" max="478" width="0" style="365" hidden="1" customWidth="1"/>
    <col min="479" max="479" width="15.5703125" style="365" customWidth="1"/>
    <col min="480" max="480" width="44.5703125" style="365" customWidth="1"/>
    <col min="481" max="481" width="14.28515625" style="365" bestFit="1" customWidth="1"/>
    <col min="482" max="482" width="0" style="365" hidden="1" customWidth="1"/>
    <col min="483" max="483" width="18.140625" style="365" customWidth="1"/>
    <col min="484" max="484" width="0" style="365" hidden="1" customWidth="1"/>
    <col min="485" max="485" width="14" style="365" customWidth="1"/>
    <col min="486" max="486" width="0" style="365" hidden="1" customWidth="1"/>
    <col min="487" max="487" width="20.85546875" style="365" customWidth="1"/>
    <col min="488" max="488" width="0" style="365" hidden="1" customWidth="1"/>
    <col min="489" max="489" width="13.28515625" style="365" customWidth="1"/>
    <col min="490" max="490" width="0" style="365" hidden="1" customWidth="1"/>
    <col min="491" max="491" width="15" style="365" customWidth="1"/>
    <col min="492" max="492" width="0" style="365" hidden="1" customWidth="1"/>
    <col min="493" max="493" width="13.28515625" style="365" customWidth="1"/>
    <col min="494" max="494" width="0" style="365" hidden="1" customWidth="1"/>
    <col min="495" max="495" width="20.140625" style="365" customWidth="1"/>
    <col min="496" max="496" width="14.42578125" style="365" bestFit="1" customWidth="1"/>
    <col min="497" max="497" width="14" style="365" bestFit="1" customWidth="1"/>
    <col min="498" max="498" width="12.28515625" style="365" bestFit="1" customWidth="1"/>
    <col min="499" max="523" width="9.140625" style="365" customWidth="1"/>
    <col min="524" max="718" width="8.85546875" style="365"/>
    <col min="719" max="719" width="44.5703125" style="365" customWidth="1"/>
    <col min="720" max="720" width="14.28515625" style="365" bestFit="1" customWidth="1"/>
    <col min="721" max="721" width="1.7109375" style="365" customWidth="1"/>
    <col min="722" max="722" width="14.85546875" style="365" customWidth="1"/>
    <col min="723" max="723" width="0" style="365" hidden="1" customWidth="1"/>
    <col min="724" max="724" width="17.42578125" style="365" customWidth="1"/>
    <col min="725" max="725" width="0" style="365" hidden="1" customWidth="1"/>
    <col min="726" max="726" width="12.85546875" style="365" customWidth="1"/>
    <col min="727" max="727" width="0" style="365" hidden="1" customWidth="1"/>
    <col min="728" max="728" width="14.42578125" style="365" customWidth="1"/>
    <col min="729" max="729" width="0" style="365" hidden="1" customWidth="1"/>
    <col min="730" max="730" width="17.42578125" style="365" customWidth="1"/>
    <col min="731" max="731" width="0" style="365" hidden="1" customWidth="1"/>
    <col min="732" max="732" width="14" style="365" customWidth="1"/>
    <col min="733" max="733" width="14.28515625" style="365" bestFit="1" customWidth="1"/>
    <col min="734" max="734" width="0" style="365" hidden="1" customWidth="1"/>
    <col min="735" max="735" width="15.5703125" style="365" customWidth="1"/>
    <col min="736" max="736" width="44.5703125" style="365" customWidth="1"/>
    <col min="737" max="737" width="14.28515625" style="365" bestFit="1" customWidth="1"/>
    <col min="738" max="738" width="0" style="365" hidden="1" customWidth="1"/>
    <col min="739" max="739" width="18.140625" style="365" customWidth="1"/>
    <col min="740" max="740" width="0" style="365" hidden="1" customWidth="1"/>
    <col min="741" max="741" width="14" style="365" customWidth="1"/>
    <col min="742" max="742" width="0" style="365" hidden="1" customWidth="1"/>
    <col min="743" max="743" width="20.85546875" style="365" customWidth="1"/>
    <col min="744" max="744" width="0" style="365" hidden="1" customWidth="1"/>
    <col min="745" max="745" width="13.28515625" style="365" customWidth="1"/>
    <col min="746" max="746" width="0" style="365" hidden="1" customWidth="1"/>
    <col min="747" max="747" width="15" style="365" customWidth="1"/>
    <col min="748" max="748" width="0" style="365" hidden="1" customWidth="1"/>
    <col min="749" max="749" width="13.28515625" style="365" customWidth="1"/>
    <col min="750" max="750" width="0" style="365" hidden="1" customWidth="1"/>
    <col min="751" max="751" width="20.140625" style="365" customWidth="1"/>
    <col min="752" max="752" width="14.42578125" style="365" bestFit="1" customWidth="1"/>
    <col min="753" max="753" width="14" style="365" bestFit="1" customWidth="1"/>
    <col min="754" max="754" width="12.28515625" style="365" bestFit="1" customWidth="1"/>
    <col min="755" max="779" width="9.140625" style="365" customWidth="1"/>
    <col min="780" max="974" width="8.85546875" style="365"/>
    <col min="975" max="975" width="44.5703125" style="365" customWidth="1"/>
    <col min="976" max="976" width="14.28515625" style="365" bestFit="1" customWidth="1"/>
    <col min="977" max="977" width="1.7109375" style="365" customWidth="1"/>
    <col min="978" max="978" width="14.85546875" style="365" customWidth="1"/>
    <col min="979" max="979" width="0" style="365" hidden="1" customWidth="1"/>
    <col min="980" max="980" width="17.42578125" style="365" customWidth="1"/>
    <col min="981" max="981" width="0" style="365" hidden="1" customWidth="1"/>
    <col min="982" max="982" width="12.85546875" style="365" customWidth="1"/>
    <col min="983" max="983" width="0" style="365" hidden="1" customWidth="1"/>
    <col min="984" max="984" width="14.42578125" style="365" customWidth="1"/>
    <col min="985" max="985" width="0" style="365" hidden="1" customWidth="1"/>
    <col min="986" max="986" width="17.42578125" style="365" customWidth="1"/>
    <col min="987" max="987" width="0" style="365" hidden="1" customWidth="1"/>
    <col min="988" max="988" width="14" style="365" customWidth="1"/>
    <col min="989" max="989" width="14.28515625" style="365" bestFit="1" customWidth="1"/>
    <col min="990" max="990" width="0" style="365" hidden="1" customWidth="1"/>
    <col min="991" max="991" width="15.5703125" style="365" customWidth="1"/>
    <col min="992" max="992" width="44.5703125" style="365" customWidth="1"/>
    <col min="993" max="993" width="14.28515625" style="365" bestFit="1" customWidth="1"/>
    <col min="994" max="994" width="0" style="365" hidden="1" customWidth="1"/>
    <col min="995" max="995" width="18.140625" style="365" customWidth="1"/>
    <col min="996" max="996" width="0" style="365" hidden="1" customWidth="1"/>
    <col min="997" max="997" width="14" style="365" customWidth="1"/>
    <col min="998" max="998" width="0" style="365" hidden="1" customWidth="1"/>
    <col min="999" max="999" width="20.85546875" style="365" customWidth="1"/>
    <col min="1000" max="1000" width="0" style="365" hidden="1" customWidth="1"/>
    <col min="1001" max="1001" width="13.28515625" style="365" customWidth="1"/>
    <col min="1002" max="1002" width="0" style="365" hidden="1" customWidth="1"/>
    <col min="1003" max="1003" width="15" style="365" customWidth="1"/>
    <col min="1004" max="1004" width="0" style="365" hidden="1" customWidth="1"/>
    <col min="1005" max="1005" width="13.28515625" style="365" customWidth="1"/>
    <col min="1006" max="1006" width="0" style="365" hidden="1" customWidth="1"/>
    <col min="1007" max="1007" width="20.140625" style="365" customWidth="1"/>
    <col min="1008" max="1008" width="14.42578125" style="365" bestFit="1" customWidth="1"/>
    <col min="1009" max="1009" width="14" style="365" bestFit="1" customWidth="1"/>
    <col min="1010" max="1010" width="12.28515625" style="365" bestFit="1" customWidth="1"/>
    <col min="1011" max="1035" width="9.140625" style="365" customWidth="1"/>
    <col min="1036" max="1230" width="8.85546875" style="365"/>
    <col min="1231" max="1231" width="44.5703125" style="365" customWidth="1"/>
    <col min="1232" max="1232" width="14.28515625" style="365" bestFit="1" customWidth="1"/>
    <col min="1233" max="1233" width="1.7109375" style="365" customWidth="1"/>
    <col min="1234" max="1234" width="14.85546875" style="365" customWidth="1"/>
    <col min="1235" max="1235" width="0" style="365" hidden="1" customWidth="1"/>
    <col min="1236" max="1236" width="17.42578125" style="365" customWidth="1"/>
    <col min="1237" max="1237" width="0" style="365" hidden="1" customWidth="1"/>
    <col min="1238" max="1238" width="12.85546875" style="365" customWidth="1"/>
    <col min="1239" max="1239" width="0" style="365" hidden="1" customWidth="1"/>
    <col min="1240" max="1240" width="14.42578125" style="365" customWidth="1"/>
    <col min="1241" max="1241" width="0" style="365" hidden="1" customWidth="1"/>
    <col min="1242" max="1242" width="17.42578125" style="365" customWidth="1"/>
    <col min="1243" max="1243" width="0" style="365" hidden="1" customWidth="1"/>
    <col min="1244" max="1244" width="14" style="365" customWidth="1"/>
    <col min="1245" max="1245" width="14.28515625" style="365" bestFit="1" customWidth="1"/>
    <col min="1246" max="1246" width="0" style="365" hidden="1" customWidth="1"/>
    <col min="1247" max="1247" width="15.5703125" style="365" customWidth="1"/>
    <col min="1248" max="1248" width="44.5703125" style="365" customWidth="1"/>
    <col min="1249" max="1249" width="14.28515625" style="365" bestFit="1" customWidth="1"/>
    <col min="1250" max="1250" width="0" style="365" hidden="1" customWidth="1"/>
    <col min="1251" max="1251" width="18.140625" style="365" customWidth="1"/>
    <col min="1252" max="1252" width="0" style="365" hidden="1" customWidth="1"/>
    <col min="1253" max="1253" width="14" style="365" customWidth="1"/>
    <col min="1254" max="1254" width="0" style="365" hidden="1" customWidth="1"/>
    <col min="1255" max="1255" width="20.85546875" style="365" customWidth="1"/>
    <col min="1256" max="1256" width="0" style="365" hidden="1" customWidth="1"/>
    <col min="1257" max="1257" width="13.28515625" style="365" customWidth="1"/>
    <col min="1258" max="1258" width="0" style="365" hidden="1" customWidth="1"/>
    <col min="1259" max="1259" width="15" style="365" customWidth="1"/>
    <col min="1260" max="1260" width="0" style="365" hidden="1" customWidth="1"/>
    <col min="1261" max="1261" width="13.28515625" style="365" customWidth="1"/>
    <col min="1262" max="1262" width="0" style="365" hidden="1" customWidth="1"/>
    <col min="1263" max="1263" width="20.140625" style="365" customWidth="1"/>
    <col min="1264" max="1264" width="14.42578125" style="365" bestFit="1" customWidth="1"/>
    <col min="1265" max="1265" width="14" style="365" bestFit="1" customWidth="1"/>
    <col min="1266" max="1266" width="12.28515625" style="365" bestFit="1" customWidth="1"/>
    <col min="1267" max="1291" width="9.140625" style="365" customWidth="1"/>
    <col min="1292" max="1486" width="8.85546875" style="365"/>
    <col min="1487" max="1487" width="44.5703125" style="365" customWidth="1"/>
    <col min="1488" max="1488" width="14.28515625" style="365" bestFit="1" customWidth="1"/>
    <col min="1489" max="1489" width="1.7109375" style="365" customWidth="1"/>
    <col min="1490" max="1490" width="14.85546875" style="365" customWidth="1"/>
    <col min="1491" max="1491" width="0" style="365" hidden="1" customWidth="1"/>
    <col min="1492" max="1492" width="17.42578125" style="365" customWidth="1"/>
    <col min="1493" max="1493" width="0" style="365" hidden="1" customWidth="1"/>
    <col min="1494" max="1494" width="12.85546875" style="365" customWidth="1"/>
    <col min="1495" max="1495" width="0" style="365" hidden="1" customWidth="1"/>
    <col min="1496" max="1496" width="14.42578125" style="365" customWidth="1"/>
    <col min="1497" max="1497" width="0" style="365" hidden="1" customWidth="1"/>
    <col min="1498" max="1498" width="17.42578125" style="365" customWidth="1"/>
    <col min="1499" max="1499" width="0" style="365" hidden="1" customWidth="1"/>
    <col min="1500" max="1500" width="14" style="365" customWidth="1"/>
    <col min="1501" max="1501" width="14.28515625" style="365" bestFit="1" customWidth="1"/>
    <col min="1502" max="1502" width="0" style="365" hidden="1" customWidth="1"/>
    <col min="1503" max="1503" width="15.5703125" style="365" customWidth="1"/>
    <col min="1504" max="1504" width="44.5703125" style="365" customWidth="1"/>
    <col min="1505" max="1505" width="14.28515625" style="365" bestFit="1" customWidth="1"/>
    <col min="1506" max="1506" width="0" style="365" hidden="1" customWidth="1"/>
    <col min="1507" max="1507" width="18.140625" style="365" customWidth="1"/>
    <col min="1508" max="1508" width="0" style="365" hidden="1" customWidth="1"/>
    <col min="1509" max="1509" width="14" style="365" customWidth="1"/>
    <col min="1510" max="1510" width="0" style="365" hidden="1" customWidth="1"/>
    <col min="1511" max="1511" width="20.85546875" style="365" customWidth="1"/>
    <col min="1512" max="1512" width="0" style="365" hidden="1" customWidth="1"/>
    <col min="1513" max="1513" width="13.28515625" style="365" customWidth="1"/>
    <col min="1514" max="1514" width="0" style="365" hidden="1" customWidth="1"/>
    <col min="1515" max="1515" width="15" style="365" customWidth="1"/>
    <col min="1516" max="1516" width="0" style="365" hidden="1" customWidth="1"/>
    <col min="1517" max="1517" width="13.28515625" style="365" customWidth="1"/>
    <col min="1518" max="1518" width="0" style="365" hidden="1" customWidth="1"/>
    <col min="1519" max="1519" width="20.140625" style="365" customWidth="1"/>
    <col min="1520" max="1520" width="14.42578125" style="365" bestFit="1" customWidth="1"/>
    <col min="1521" max="1521" width="14" style="365" bestFit="1" customWidth="1"/>
    <col min="1522" max="1522" width="12.28515625" style="365" bestFit="1" customWidth="1"/>
    <col min="1523" max="1547" width="9.140625" style="365" customWidth="1"/>
    <col min="1548" max="1742" width="8.85546875" style="365"/>
    <col min="1743" max="1743" width="44.5703125" style="365" customWidth="1"/>
    <col min="1744" max="1744" width="14.28515625" style="365" bestFit="1" customWidth="1"/>
    <col min="1745" max="1745" width="1.7109375" style="365" customWidth="1"/>
    <col min="1746" max="1746" width="14.85546875" style="365" customWidth="1"/>
    <col min="1747" max="1747" width="0" style="365" hidden="1" customWidth="1"/>
    <col min="1748" max="1748" width="17.42578125" style="365" customWidth="1"/>
    <col min="1749" max="1749" width="0" style="365" hidden="1" customWidth="1"/>
    <col min="1750" max="1750" width="12.85546875" style="365" customWidth="1"/>
    <col min="1751" max="1751" width="0" style="365" hidden="1" customWidth="1"/>
    <col min="1752" max="1752" width="14.42578125" style="365" customWidth="1"/>
    <col min="1753" max="1753" width="0" style="365" hidden="1" customWidth="1"/>
    <col min="1754" max="1754" width="17.42578125" style="365" customWidth="1"/>
    <col min="1755" max="1755" width="0" style="365" hidden="1" customWidth="1"/>
    <col min="1756" max="1756" width="14" style="365" customWidth="1"/>
    <col min="1757" max="1757" width="14.28515625" style="365" bestFit="1" customWidth="1"/>
    <col min="1758" max="1758" width="0" style="365" hidden="1" customWidth="1"/>
    <col min="1759" max="1759" width="15.5703125" style="365" customWidth="1"/>
    <col min="1760" max="1760" width="44.5703125" style="365" customWidth="1"/>
    <col min="1761" max="1761" width="14.28515625" style="365" bestFit="1" customWidth="1"/>
    <col min="1762" max="1762" width="0" style="365" hidden="1" customWidth="1"/>
    <col min="1763" max="1763" width="18.140625" style="365" customWidth="1"/>
    <col min="1764" max="1764" width="0" style="365" hidden="1" customWidth="1"/>
    <col min="1765" max="1765" width="14" style="365" customWidth="1"/>
    <col min="1766" max="1766" width="0" style="365" hidden="1" customWidth="1"/>
    <col min="1767" max="1767" width="20.85546875" style="365" customWidth="1"/>
    <col min="1768" max="1768" width="0" style="365" hidden="1" customWidth="1"/>
    <col min="1769" max="1769" width="13.28515625" style="365" customWidth="1"/>
    <col min="1770" max="1770" width="0" style="365" hidden="1" customWidth="1"/>
    <col min="1771" max="1771" width="15" style="365" customWidth="1"/>
    <col min="1772" max="1772" width="0" style="365" hidden="1" customWidth="1"/>
    <col min="1773" max="1773" width="13.28515625" style="365" customWidth="1"/>
    <col min="1774" max="1774" width="0" style="365" hidden="1" customWidth="1"/>
    <col min="1775" max="1775" width="20.140625" style="365" customWidth="1"/>
    <col min="1776" max="1776" width="14.42578125" style="365" bestFit="1" customWidth="1"/>
    <col min="1777" max="1777" width="14" style="365" bestFit="1" customWidth="1"/>
    <col min="1778" max="1778" width="12.28515625" style="365" bestFit="1" customWidth="1"/>
    <col min="1779" max="1803" width="9.140625" style="365" customWidth="1"/>
    <col min="1804" max="1998" width="8.85546875" style="365"/>
    <col min="1999" max="1999" width="44.5703125" style="365" customWidth="1"/>
    <col min="2000" max="2000" width="14.28515625" style="365" bestFit="1" customWidth="1"/>
    <col min="2001" max="2001" width="1.7109375" style="365" customWidth="1"/>
    <col min="2002" max="2002" width="14.85546875" style="365" customWidth="1"/>
    <col min="2003" max="2003" width="0" style="365" hidden="1" customWidth="1"/>
    <col min="2004" max="2004" width="17.42578125" style="365" customWidth="1"/>
    <col min="2005" max="2005" width="0" style="365" hidden="1" customWidth="1"/>
    <col min="2006" max="2006" width="12.85546875" style="365" customWidth="1"/>
    <col min="2007" max="2007" width="0" style="365" hidden="1" customWidth="1"/>
    <col min="2008" max="2008" width="14.42578125" style="365" customWidth="1"/>
    <col min="2009" max="2009" width="0" style="365" hidden="1" customWidth="1"/>
    <col min="2010" max="2010" width="17.42578125" style="365" customWidth="1"/>
    <col min="2011" max="2011" width="0" style="365" hidden="1" customWidth="1"/>
    <col min="2012" max="2012" width="14" style="365" customWidth="1"/>
    <col min="2013" max="2013" width="14.28515625" style="365" bestFit="1" customWidth="1"/>
    <col min="2014" max="2014" width="0" style="365" hidden="1" customWidth="1"/>
    <col min="2015" max="2015" width="15.5703125" style="365" customWidth="1"/>
    <col min="2016" max="2016" width="44.5703125" style="365" customWidth="1"/>
    <col min="2017" max="2017" width="14.28515625" style="365" bestFit="1" customWidth="1"/>
    <col min="2018" max="2018" width="0" style="365" hidden="1" customWidth="1"/>
    <col min="2019" max="2019" width="18.140625" style="365" customWidth="1"/>
    <col min="2020" max="2020" width="0" style="365" hidden="1" customWidth="1"/>
    <col min="2021" max="2021" width="14" style="365" customWidth="1"/>
    <col min="2022" max="2022" width="0" style="365" hidden="1" customWidth="1"/>
    <col min="2023" max="2023" width="20.85546875" style="365" customWidth="1"/>
    <col min="2024" max="2024" width="0" style="365" hidden="1" customWidth="1"/>
    <col min="2025" max="2025" width="13.28515625" style="365" customWidth="1"/>
    <col min="2026" max="2026" width="0" style="365" hidden="1" customWidth="1"/>
    <col min="2027" max="2027" width="15" style="365" customWidth="1"/>
    <col min="2028" max="2028" width="0" style="365" hidden="1" customWidth="1"/>
    <col min="2029" max="2029" width="13.28515625" style="365" customWidth="1"/>
    <col min="2030" max="2030" width="0" style="365" hidden="1" customWidth="1"/>
    <col min="2031" max="2031" width="20.140625" style="365" customWidth="1"/>
    <col min="2032" max="2032" width="14.42578125" style="365" bestFit="1" customWidth="1"/>
    <col min="2033" max="2033" width="14" style="365" bestFit="1" customWidth="1"/>
    <col min="2034" max="2034" width="12.28515625" style="365" bestFit="1" customWidth="1"/>
    <col min="2035" max="2059" width="9.140625" style="365" customWidth="1"/>
    <col min="2060" max="2254" width="8.85546875" style="365"/>
    <col min="2255" max="2255" width="44.5703125" style="365" customWidth="1"/>
    <col min="2256" max="2256" width="14.28515625" style="365" bestFit="1" customWidth="1"/>
    <col min="2257" max="2257" width="1.7109375" style="365" customWidth="1"/>
    <col min="2258" max="2258" width="14.85546875" style="365" customWidth="1"/>
    <col min="2259" max="2259" width="0" style="365" hidden="1" customWidth="1"/>
    <col min="2260" max="2260" width="17.42578125" style="365" customWidth="1"/>
    <col min="2261" max="2261" width="0" style="365" hidden="1" customWidth="1"/>
    <col min="2262" max="2262" width="12.85546875" style="365" customWidth="1"/>
    <col min="2263" max="2263" width="0" style="365" hidden="1" customWidth="1"/>
    <col min="2264" max="2264" width="14.42578125" style="365" customWidth="1"/>
    <col min="2265" max="2265" width="0" style="365" hidden="1" customWidth="1"/>
    <col min="2266" max="2266" width="17.42578125" style="365" customWidth="1"/>
    <col min="2267" max="2267" width="0" style="365" hidden="1" customWidth="1"/>
    <col min="2268" max="2268" width="14" style="365" customWidth="1"/>
    <col min="2269" max="2269" width="14.28515625" style="365" bestFit="1" customWidth="1"/>
    <col min="2270" max="2270" width="0" style="365" hidden="1" customWidth="1"/>
    <col min="2271" max="2271" width="15.5703125" style="365" customWidth="1"/>
    <col min="2272" max="2272" width="44.5703125" style="365" customWidth="1"/>
    <col min="2273" max="2273" width="14.28515625" style="365" bestFit="1" customWidth="1"/>
    <col min="2274" max="2274" width="0" style="365" hidden="1" customWidth="1"/>
    <col min="2275" max="2275" width="18.140625" style="365" customWidth="1"/>
    <col min="2276" max="2276" width="0" style="365" hidden="1" customWidth="1"/>
    <col min="2277" max="2277" width="14" style="365" customWidth="1"/>
    <col min="2278" max="2278" width="0" style="365" hidden="1" customWidth="1"/>
    <col min="2279" max="2279" width="20.85546875" style="365" customWidth="1"/>
    <col min="2280" max="2280" width="0" style="365" hidden="1" customWidth="1"/>
    <col min="2281" max="2281" width="13.28515625" style="365" customWidth="1"/>
    <col min="2282" max="2282" width="0" style="365" hidden="1" customWidth="1"/>
    <col min="2283" max="2283" width="15" style="365" customWidth="1"/>
    <col min="2284" max="2284" width="0" style="365" hidden="1" customWidth="1"/>
    <col min="2285" max="2285" width="13.28515625" style="365" customWidth="1"/>
    <col min="2286" max="2286" width="0" style="365" hidden="1" customWidth="1"/>
    <col min="2287" max="2287" width="20.140625" style="365" customWidth="1"/>
    <col min="2288" max="2288" width="14.42578125" style="365" bestFit="1" customWidth="1"/>
    <col min="2289" max="2289" width="14" style="365" bestFit="1" customWidth="1"/>
    <col min="2290" max="2290" width="12.28515625" style="365" bestFit="1" customWidth="1"/>
    <col min="2291" max="2315" width="9.140625" style="365" customWidth="1"/>
    <col min="2316" max="2510" width="8.85546875" style="365"/>
    <col min="2511" max="2511" width="44.5703125" style="365" customWidth="1"/>
    <col min="2512" max="2512" width="14.28515625" style="365" bestFit="1" customWidth="1"/>
    <col min="2513" max="2513" width="1.7109375" style="365" customWidth="1"/>
    <col min="2514" max="2514" width="14.85546875" style="365" customWidth="1"/>
    <col min="2515" max="2515" width="0" style="365" hidden="1" customWidth="1"/>
    <col min="2516" max="2516" width="17.42578125" style="365" customWidth="1"/>
    <col min="2517" max="2517" width="0" style="365" hidden="1" customWidth="1"/>
    <col min="2518" max="2518" width="12.85546875" style="365" customWidth="1"/>
    <col min="2519" max="2519" width="0" style="365" hidden="1" customWidth="1"/>
    <col min="2520" max="2520" width="14.42578125" style="365" customWidth="1"/>
    <col min="2521" max="2521" width="0" style="365" hidden="1" customWidth="1"/>
    <col min="2522" max="2522" width="17.42578125" style="365" customWidth="1"/>
    <col min="2523" max="2523" width="0" style="365" hidden="1" customWidth="1"/>
    <col min="2524" max="2524" width="14" style="365" customWidth="1"/>
    <col min="2525" max="2525" width="14.28515625" style="365" bestFit="1" customWidth="1"/>
    <col min="2526" max="2526" width="0" style="365" hidden="1" customWidth="1"/>
    <col min="2527" max="2527" width="15.5703125" style="365" customWidth="1"/>
    <col min="2528" max="2528" width="44.5703125" style="365" customWidth="1"/>
    <col min="2529" max="2529" width="14.28515625" style="365" bestFit="1" customWidth="1"/>
    <col min="2530" max="2530" width="0" style="365" hidden="1" customWidth="1"/>
    <col min="2531" max="2531" width="18.140625" style="365" customWidth="1"/>
    <col min="2532" max="2532" width="0" style="365" hidden="1" customWidth="1"/>
    <col min="2533" max="2533" width="14" style="365" customWidth="1"/>
    <col min="2534" max="2534" width="0" style="365" hidden="1" customWidth="1"/>
    <col min="2535" max="2535" width="20.85546875" style="365" customWidth="1"/>
    <col min="2536" max="2536" width="0" style="365" hidden="1" customWidth="1"/>
    <col min="2537" max="2537" width="13.28515625" style="365" customWidth="1"/>
    <col min="2538" max="2538" width="0" style="365" hidden="1" customWidth="1"/>
    <col min="2539" max="2539" width="15" style="365" customWidth="1"/>
    <col min="2540" max="2540" width="0" style="365" hidden="1" customWidth="1"/>
    <col min="2541" max="2541" width="13.28515625" style="365" customWidth="1"/>
    <col min="2542" max="2542" width="0" style="365" hidden="1" customWidth="1"/>
    <col min="2543" max="2543" width="20.140625" style="365" customWidth="1"/>
    <col min="2544" max="2544" width="14.42578125" style="365" bestFit="1" customWidth="1"/>
    <col min="2545" max="2545" width="14" style="365" bestFit="1" customWidth="1"/>
    <col min="2546" max="2546" width="12.28515625" style="365" bestFit="1" customWidth="1"/>
    <col min="2547" max="2571" width="9.140625" style="365" customWidth="1"/>
    <col min="2572" max="2766" width="8.85546875" style="365"/>
    <col min="2767" max="2767" width="44.5703125" style="365" customWidth="1"/>
    <col min="2768" max="2768" width="14.28515625" style="365" bestFit="1" customWidth="1"/>
    <col min="2769" max="2769" width="1.7109375" style="365" customWidth="1"/>
    <col min="2770" max="2770" width="14.85546875" style="365" customWidth="1"/>
    <col min="2771" max="2771" width="0" style="365" hidden="1" customWidth="1"/>
    <col min="2772" max="2772" width="17.42578125" style="365" customWidth="1"/>
    <col min="2773" max="2773" width="0" style="365" hidden="1" customWidth="1"/>
    <col min="2774" max="2774" width="12.85546875" style="365" customWidth="1"/>
    <col min="2775" max="2775" width="0" style="365" hidden="1" customWidth="1"/>
    <col min="2776" max="2776" width="14.42578125" style="365" customWidth="1"/>
    <col min="2777" max="2777" width="0" style="365" hidden="1" customWidth="1"/>
    <col min="2778" max="2778" width="17.42578125" style="365" customWidth="1"/>
    <col min="2779" max="2779" width="0" style="365" hidden="1" customWidth="1"/>
    <col min="2780" max="2780" width="14" style="365" customWidth="1"/>
    <col min="2781" max="2781" width="14.28515625" style="365" bestFit="1" customWidth="1"/>
    <col min="2782" max="2782" width="0" style="365" hidden="1" customWidth="1"/>
    <col min="2783" max="2783" width="15.5703125" style="365" customWidth="1"/>
    <col min="2784" max="2784" width="44.5703125" style="365" customWidth="1"/>
    <col min="2785" max="2785" width="14.28515625" style="365" bestFit="1" customWidth="1"/>
    <col min="2786" max="2786" width="0" style="365" hidden="1" customWidth="1"/>
    <col min="2787" max="2787" width="18.140625" style="365" customWidth="1"/>
    <col min="2788" max="2788" width="0" style="365" hidden="1" customWidth="1"/>
    <col min="2789" max="2789" width="14" style="365" customWidth="1"/>
    <col min="2790" max="2790" width="0" style="365" hidden="1" customWidth="1"/>
    <col min="2791" max="2791" width="20.85546875" style="365" customWidth="1"/>
    <col min="2792" max="2792" width="0" style="365" hidden="1" customWidth="1"/>
    <col min="2793" max="2793" width="13.28515625" style="365" customWidth="1"/>
    <col min="2794" max="2794" width="0" style="365" hidden="1" customWidth="1"/>
    <col min="2795" max="2795" width="15" style="365" customWidth="1"/>
    <col min="2796" max="2796" width="0" style="365" hidden="1" customWidth="1"/>
    <col min="2797" max="2797" width="13.28515625" style="365" customWidth="1"/>
    <col min="2798" max="2798" width="0" style="365" hidden="1" customWidth="1"/>
    <col min="2799" max="2799" width="20.140625" style="365" customWidth="1"/>
    <col min="2800" max="2800" width="14.42578125" style="365" bestFit="1" customWidth="1"/>
    <col min="2801" max="2801" width="14" style="365" bestFit="1" customWidth="1"/>
    <col min="2802" max="2802" width="12.28515625" style="365" bestFit="1" customWidth="1"/>
    <col min="2803" max="2827" width="9.140625" style="365" customWidth="1"/>
    <col min="2828" max="3022" width="8.85546875" style="365"/>
    <col min="3023" max="3023" width="44.5703125" style="365" customWidth="1"/>
    <col min="3024" max="3024" width="14.28515625" style="365" bestFit="1" customWidth="1"/>
    <col min="3025" max="3025" width="1.7109375" style="365" customWidth="1"/>
    <col min="3026" max="3026" width="14.85546875" style="365" customWidth="1"/>
    <col min="3027" max="3027" width="0" style="365" hidden="1" customWidth="1"/>
    <col min="3028" max="3028" width="17.42578125" style="365" customWidth="1"/>
    <col min="3029" max="3029" width="0" style="365" hidden="1" customWidth="1"/>
    <col min="3030" max="3030" width="12.85546875" style="365" customWidth="1"/>
    <col min="3031" max="3031" width="0" style="365" hidden="1" customWidth="1"/>
    <col min="3032" max="3032" width="14.42578125" style="365" customWidth="1"/>
    <col min="3033" max="3033" width="0" style="365" hidden="1" customWidth="1"/>
    <col min="3034" max="3034" width="17.42578125" style="365" customWidth="1"/>
    <col min="3035" max="3035" width="0" style="365" hidden="1" customWidth="1"/>
    <col min="3036" max="3036" width="14" style="365" customWidth="1"/>
    <col min="3037" max="3037" width="14.28515625" style="365" bestFit="1" customWidth="1"/>
    <col min="3038" max="3038" width="0" style="365" hidden="1" customWidth="1"/>
    <col min="3039" max="3039" width="15.5703125" style="365" customWidth="1"/>
    <col min="3040" max="3040" width="44.5703125" style="365" customWidth="1"/>
    <col min="3041" max="3041" width="14.28515625" style="365" bestFit="1" customWidth="1"/>
    <col min="3042" max="3042" width="0" style="365" hidden="1" customWidth="1"/>
    <col min="3043" max="3043" width="18.140625" style="365" customWidth="1"/>
    <col min="3044" max="3044" width="0" style="365" hidden="1" customWidth="1"/>
    <col min="3045" max="3045" width="14" style="365" customWidth="1"/>
    <col min="3046" max="3046" width="0" style="365" hidden="1" customWidth="1"/>
    <col min="3047" max="3047" width="20.85546875" style="365" customWidth="1"/>
    <col min="3048" max="3048" width="0" style="365" hidden="1" customWidth="1"/>
    <col min="3049" max="3049" width="13.28515625" style="365" customWidth="1"/>
    <col min="3050" max="3050" width="0" style="365" hidden="1" customWidth="1"/>
    <col min="3051" max="3051" width="15" style="365" customWidth="1"/>
    <col min="3052" max="3052" width="0" style="365" hidden="1" customWidth="1"/>
    <col min="3053" max="3053" width="13.28515625" style="365" customWidth="1"/>
    <col min="3054" max="3054" width="0" style="365" hidden="1" customWidth="1"/>
    <col min="3055" max="3055" width="20.140625" style="365" customWidth="1"/>
    <col min="3056" max="3056" width="14.42578125" style="365" bestFit="1" customWidth="1"/>
    <col min="3057" max="3057" width="14" style="365" bestFit="1" customWidth="1"/>
    <col min="3058" max="3058" width="12.28515625" style="365" bestFit="1" customWidth="1"/>
    <col min="3059" max="3083" width="9.140625" style="365" customWidth="1"/>
    <col min="3084" max="3278" width="8.85546875" style="365"/>
    <col min="3279" max="3279" width="44.5703125" style="365" customWidth="1"/>
    <col min="3280" max="3280" width="14.28515625" style="365" bestFit="1" customWidth="1"/>
    <col min="3281" max="3281" width="1.7109375" style="365" customWidth="1"/>
    <col min="3282" max="3282" width="14.85546875" style="365" customWidth="1"/>
    <col min="3283" max="3283" width="0" style="365" hidden="1" customWidth="1"/>
    <col min="3284" max="3284" width="17.42578125" style="365" customWidth="1"/>
    <col min="3285" max="3285" width="0" style="365" hidden="1" customWidth="1"/>
    <col min="3286" max="3286" width="12.85546875" style="365" customWidth="1"/>
    <col min="3287" max="3287" width="0" style="365" hidden="1" customWidth="1"/>
    <col min="3288" max="3288" width="14.42578125" style="365" customWidth="1"/>
    <col min="3289" max="3289" width="0" style="365" hidden="1" customWidth="1"/>
    <col min="3290" max="3290" width="17.42578125" style="365" customWidth="1"/>
    <col min="3291" max="3291" width="0" style="365" hidden="1" customWidth="1"/>
    <col min="3292" max="3292" width="14" style="365" customWidth="1"/>
    <col min="3293" max="3293" width="14.28515625" style="365" bestFit="1" customWidth="1"/>
    <col min="3294" max="3294" width="0" style="365" hidden="1" customWidth="1"/>
    <col min="3295" max="3295" width="15.5703125" style="365" customWidth="1"/>
    <col min="3296" max="3296" width="44.5703125" style="365" customWidth="1"/>
    <col min="3297" max="3297" width="14.28515625" style="365" bestFit="1" customWidth="1"/>
    <col min="3298" max="3298" width="0" style="365" hidden="1" customWidth="1"/>
    <col min="3299" max="3299" width="18.140625" style="365" customWidth="1"/>
    <col min="3300" max="3300" width="0" style="365" hidden="1" customWidth="1"/>
    <col min="3301" max="3301" width="14" style="365" customWidth="1"/>
    <col min="3302" max="3302" width="0" style="365" hidden="1" customWidth="1"/>
    <col min="3303" max="3303" width="20.85546875" style="365" customWidth="1"/>
    <col min="3304" max="3304" width="0" style="365" hidden="1" customWidth="1"/>
    <col min="3305" max="3305" width="13.28515625" style="365" customWidth="1"/>
    <col min="3306" max="3306" width="0" style="365" hidden="1" customWidth="1"/>
    <col min="3307" max="3307" width="15" style="365" customWidth="1"/>
    <col min="3308" max="3308" width="0" style="365" hidden="1" customWidth="1"/>
    <col min="3309" max="3309" width="13.28515625" style="365" customWidth="1"/>
    <col min="3310" max="3310" width="0" style="365" hidden="1" customWidth="1"/>
    <col min="3311" max="3311" width="20.140625" style="365" customWidth="1"/>
    <col min="3312" max="3312" width="14.42578125" style="365" bestFit="1" customWidth="1"/>
    <col min="3313" max="3313" width="14" style="365" bestFit="1" customWidth="1"/>
    <col min="3314" max="3314" width="12.28515625" style="365" bestFit="1" customWidth="1"/>
    <col min="3315" max="3339" width="9.140625" style="365" customWidth="1"/>
    <col min="3340" max="3534" width="8.85546875" style="365"/>
    <col min="3535" max="3535" width="44.5703125" style="365" customWidth="1"/>
    <col min="3536" max="3536" width="14.28515625" style="365" bestFit="1" customWidth="1"/>
    <col min="3537" max="3537" width="1.7109375" style="365" customWidth="1"/>
    <col min="3538" max="3538" width="14.85546875" style="365" customWidth="1"/>
    <col min="3539" max="3539" width="0" style="365" hidden="1" customWidth="1"/>
    <col min="3540" max="3540" width="17.42578125" style="365" customWidth="1"/>
    <col min="3541" max="3541" width="0" style="365" hidden="1" customWidth="1"/>
    <col min="3542" max="3542" width="12.85546875" style="365" customWidth="1"/>
    <col min="3543" max="3543" width="0" style="365" hidden="1" customWidth="1"/>
    <col min="3544" max="3544" width="14.42578125" style="365" customWidth="1"/>
    <col min="3545" max="3545" width="0" style="365" hidden="1" customWidth="1"/>
    <col min="3546" max="3546" width="17.42578125" style="365" customWidth="1"/>
    <col min="3547" max="3547" width="0" style="365" hidden="1" customWidth="1"/>
    <col min="3548" max="3548" width="14" style="365" customWidth="1"/>
    <col min="3549" max="3549" width="14.28515625" style="365" bestFit="1" customWidth="1"/>
    <col min="3550" max="3550" width="0" style="365" hidden="1" customWidth="1"/>
    <col min="3551" max="3551" width="15.5703125" style="365" customWidth="1"/>
    <col min="3552" max="3552" width="44.5703125" style="365" customWidth="1"/>
    <col min="3553" max="3553" width="14.28515625" style="365" bestFit="1" customWidth="1"/>
    <col min="3554" max="3554" width="0" style="365" hidden="1" customWidth="1"/>
    <col min="3555" max="3555" width="18.140625" style="365" customWidth="1"/>
    <col min="3556" max="3556" width="0" style="365" hidden="1" customWidth="1"/>
    <col min="3557" max="3557" width="14" style="365" customWidth="1"/>
    <col min="3558" max="3558" width="0" style="365" hidden="1" customWidth="1"/>
    <col min="3559" max="3559" width="20.85546875" style="365" customWidth="1"/>
    <col min="3560" max="3560" width="0" style="365" hidden="1" customWidth="1"/>
    <col min="3561" max="3561" width="13.28515625" style="365" customWidth="1"/>
    <col min="3562" max="3562" width="0" style="365" hidden="1" customWidth="1"/>
    <col min="3563" max="3563" width="15" style="365" customWidth="1"/>
    <col min="3564" max="3564" width="0" style="365" hidden="1" customWidth="1"/>
    <col min="3565" max="3565" width="13.28515625" style="365" customWidth="1"/>
    <col min="3566" max="3566" width="0" style="365" hidden="1" customWidth="1"/>
    <col min="3567" max="3567" width="20.140625" style="365" customWidth="1"/>
    <col min="3568" max="3568" width="14.42578125" style="365" bestFit="1" customWidth="1"/>
    <col min="3569" max="3569" width="14" style="365" bestFit="1" customWidth="1"/>
    <col min="3570" max="3570" width="12.28515625" style="365" bestFit="1" customWidth="1"/>
    <col min="3571" max="3595" width="9.140625" style="365" customWidth="1"/>
    <col min="3596" max="3790" width="8.85546875" style="365"/>
    <col min="3791" max="3791" width="44.5703125" style="365" customWidth="1"/>
    <col min="3792" max="3792" width="14.28515625" style="365" bestFit="1" customWidth="1"/>
    <col min="3793" max="3793" width="1.7109375" style="365" customWidth="1"/>
    <col min="3794" max="3794" width="14.85546875" style="365" customWidth="1"/>
    <col min="3795" max="3795" width="0" style="365" hidden="1" customWidth="1"/>
    <col min="3796" max="3796" width="17.42578125" style="365" customWidth="1"/>
    <col min="3797" max="3797" width="0" style="365" hidden="1" customWidth="1"/>
    <col min="3798" max="3798" width="12.85546875" style="365" customWidth="1"/>
    <col min="3799" max="3799" width="0" style="365" hidden="1" customWidth="1"/>
    <col min="3800" max="3800" width="14.42578125" style="365" customWidth="1"/>
    <col min="3801" max="3801" width="0" style="365" hidden="1" customWidth="1"/>
    <col min="3802" max="3802" width="17.42578125" style="365" customWidth="1"/>
    <col min="3803" max="3803" width="0" style="365" hidden="1" customWidth="1"/>
    <col min="3804" max="3804" width="14" style="365" customWidth="1"/>
    <col min="3805" max="3805" width="14.28515625" style="365" bestFit="1" customWidth="1"/>
    <col min="3806" max="3806" width="0" style="365" hidden="1" customWidth="1"/>
    <col min="3807" max="3807" width="15.5703125" style="365" customWidth="1"/>
    <col min="3808" max="3808" width="44.5703125" style="365" customWidth="1"/>
    <col min="3809" max="3809" width="14.28515625" style="365" bestFit="1" customWidth="1"/>
    <col min="3810" max="3810" width="0" style="365" hidden="1" customWidth="1"/>
    <col min="3811" max="3811" width="18.140625" style="365" customWidth="1"/>
    <col min="3812" max="3812" width="0" style="365" hidden="1" customWidth="1"/>
    <col min="3813" max="3813" width="14" style="365" customWidth="1"/>
    <col min="3814" max="3814" width="0" style="365" hidden="1" customWidth="1"/>
    <col min="3815" max="3815" width="20.85546875" style="365" customWidth="1"/>
    <col min="3816" max="3816" width="0" style="365" hidden="1" customWidth="1"/>
    <col min="3817" max="3817" width="13.28515625" style="365" customWidth="1"/>
    <col min="3818" max="3818" width="0" style="365" hidden="1" customWidth="1"/>
    <col min="3819" max="3819" width="15" style="365" customWidth="1"/>
    <col min="3820" max="3820" width="0" style="365" hidden="1" customWidth="1"/>
    <col min="3821" max="3821" width="13.28515625" style="365" customWidth="1"/>
    <col min="3822" max="3822" width="0" style="365" hidden="1" customWidth="1"/>
    <col min="3823" max="3823" width="20.140625" style="365" customWidth="1"/>
    <col min="3824" max="3824" width="14.42578125" style="365" bestFit="1" customWidth="1"/>
    <col min="3825" max="3825" width="14" style="365" bestFit="1" customWidth="1"/>
    <col min="3826" max="3826" width="12.28515625" style="365" bestFit="1" customWidth="1"/>
    <col min="3827" max="3851" width="9.140625" style="365" customWidth="1"/>
    <col min="3852" max="4046" width="8.85546875" style="365"/>
    <col min="4047" max="4047" width="44.5703125" style="365" customWidth="1"/>
    <col min="4048" max="4048" width="14.28515625" style="365" bestFit="1" customWidth="1"/>
    <col min="4049" max="4049" width="1.7109375" style="365" customWidth="1"/>
    <col min="4050" max="4050" width="14.85546875" style="365" customWidth="1"/>
    <col min="4051" max="4051" width="0" style="365" hidden="1" customWidth="1"/>
    <col min="4052" max="4052" width="17.42578125" style="365" customWidth="1"/>
    <col min="4053" max="4053" width="0" style="365" hidden="1" customWidth="1"/>
    <col min="4054" max="4054" width="12.85546875" style="365" customWidth="1"/>
    <col min="4055" max="4055" width="0" style="365" hidden="1" customWidth="1"/>
    <col min="4056" max="4056" width="14.42578125" style="365" customWidth="1"/>
    <col min="4057" max="4057" width="0" style="365" hidden="1" customWidth="1"/>
    <col min="4058" max="4058" width="17.42578125" style="365" customWidth="1"/>
    <col min="4059" max="4059" width="0" style="365" hidden="1" customWidth="1"/>
    <col min="4060" max="4060" width="14" style="365" customWidth="1"/>
    <col min="4061" max="4061" width="14.28515625" style="365" bestFit="1" customWidth="1"/>
    <col min="4062" max="4062" width="0" style="365" hidden="1" customWidth="1"/>
    <col min="4063" max="4063" width="15.5703125" style="365" customWidth="1"/>
    <col min="4064" max="4064" width="44.5703125" style="365" customWidth="1"/>
    <col min="4065" max="4065" width="14.28515625" style="365" bestFit="1" customWidth="1"/>
    <col min="4066" max="4066" width="0" style="365" hidden="1" customWidth="1"/>
    <col min="4067" max="4067" width="18.140625" style="365" customWidth="1"/>
    <col min="4068" max="4068" width="0" style="365" hidden="1" customWidth="1"/>
    <col min="4069" max="4069" width="14" style="365" customWidth="1"/>
    <col min="4070" max="4070" width="0" style="365" hidden="1" customWidth="1"/>
    <col min="4071" max="4071" width="20.85546875" style="365" customWidth="1"/>
    <col min="4072" max="4072" width="0" style="365" hidden="1" customWidth="1"/>
    <col min="4073" max="4073" width="13.28515625" style="365" customWidth="1"/>
    <col min="4074" max="4074" width="0" style="365" hidden="1" customWidth="1"/>
    <col min="4075" max="4075" width="15" style="365" customWidth="1"/>
    <col min="4076" max="4076" width="0" style="365" hidden="1" customWidth="1"/>
    <col min="4077" max="4077" width="13.28515625" style="365" customWidth="1"/>
    <col min="4078" max="4078" width="0" style="365" hidden="1" customWidth="1"/>
    <col min="4079" max="4079" width="20.140625" style="365" customWidth="1"/>
    <col min="4080" max="4080" width="14.42578125" style="365" bestFit="1" customWidth="1"/>
    <col min="4081" max="4081" width="14" style="365" bestFit="1" customWidth="1"/>
    <col min="4082" max="4082" width="12.28515625" style="365" bestFit="1" customWidth="1"/>
    <col min="4083" max="4107" width="9.140625" style="365" customWidth="1"/>
    <col min="4108" max="4302" width="8.85546875" style="365"/>
    <col min="4303" max="4303" width="44.5703125" style="365" customWidth="1"/>
    <col min="4304" max="4304" width="14.28515625" style="365" bestFit="1" customWidth="1"/>
    <col min="4305" max="4305" width="1.7109375" style="365" customWidth="1"/>
    <col min="4306" max="4306" width="14.85546875" style="365" customWidth="1"/>
    <col min="4307" max="4307" width="0" style="365" hidden="1" customWidth="1"/>
    <col min="4308" max="4308" width="17.42578125" style="365" customWidth="1"/>
    <col min="4309" max="4309" width="0" style="365" hidden="1" customWidth="1"/>
    <col min="4310" max="4310" width="12.85546875" style="365" customWidth="1"/>
    <col min="4311" max="4311" width="0" style="365" hidden="1" customWidth="1"/>
    <col min="4312" max="4312" width="14.42578125" style="365" customWidth="1"/>
    <col min="4313" max="4313" width="0" style="365" hidden="1" customWidth="1"/>
    <col min="4314" max="4314" width="17.42578125" style="365" customWidth="1"/>
    <col min="4315" max="4315" width="0" style="365" hidden="1" customWidth="1"/>
    <col min="4316" max="4316" width="14" style="365" customWidth="1"/>
    <col min="4317" max="4317" width="14.28515625" style="365" bestFit="1" customWidth="1"/>
    <col min="4318" max="4318" width="0" style="365" hidden="1" customWidth="1"/>
    <col min="4319" max="4319" width="15.5703125" style="365" customWidth="1"/>
    <col min="4320" max="4320" width="44.5703125" style="365" customWidth="1"/>
    <col min="4321" max="4321" width="14.28515625" style="365" bestFit="1" customWidth="1"/>
    <col min="4322" max="4322" width="0" style="365" hidden="1" customWidth="1"/>
    <col min="4323" max="4323" width="18.140625" style="365" customWidth="1"/>
    <col min="4324" max="4324" width="0" style="365" hidden="1" customWidth="1"/>
    <col min="4325" max="4325" width="14" style="365" customWidth="1"/>
    <col min="4326" max="4326" width="0" style="365" hidden="1" customWidth="1"/>
    <col min="4327" max="4327" width="20.85546875" style="365" customWidth="1"/>
    <col min="4328" max="4328" width="0" style="365" hidden="1" customWidth="1"/>
    <col min="4329" max="4329" width="13.28515625" style="365" customWidth="1"/>
    <col min="4330" max="4330" width="0" style="365" hidden="1" customWidth="1"/>
    <col min="4331" max="4331" width="15" style="365" customWidth="1"/>
    <col min="4332" max="4332" width="0" style="365" hidden="1" customWidth="1"/>
    <col min="4333" max="4333" width="13.28515625" style="365" customWidth="1"/>
    <col min="4334" max="4334" width="0" style="365" hidden="1" customWidth="1"/>
    <col min="4335" max="4335" width="20.140625" style="365" customWidth="1"/>
    <col min="4336" max="4336" width="14.42578125" style="365" bestFit="1" customWidth="1"/>
    <col min="4337" max="4337" width="14" style="365" bestFit="1" customWidth="1"/>
    <col min="4338" max="4338" width="12.28515625" style="365" bestFit="1" customWidth="1"/>
    <col min="4339" max="4363" width="9.140625" style="365" customWidth="1"/>
    <col min="4364" max="4558" width="8.85546875" style="365"/>
    <col min="4559" max="4559" width="44.5703125" style="365" customWidth="1"/>
    <col min="4560" max="4560" width="14.28515625" style="365" bestFit="1" customWidth="1"/>
    <col min="4561" max="4561" width="1.7109375" style="365" customWidth="1"/>
    <col min="4562" max="4562" width="14.85546875" style="365" customWidth="1"/>
    <col min="4563" max="4563" width="0" style="365" hidden="1" customWidth="1"/>
    <col min="4564" max="4564" width="17.42578125" style="365" customWidth="1"/>
    <col min="4565" max="4565" width="0" style="365" hidden="1" customWidth="1"/>
    <col min="4566" max="4566" width="12.85546875" style="365" customWidth="1"/>
    <col min="4567" max="4567" width="0" style="365" hidden="1" customWidth="1"/>
    <col min="4568" max="4568" width="14.42578125" style="365" customWidth="1"/>
    <col min="4569" max="4569" width="0" style="365" hidden="1" customWidth="1"/>
    <col min="4570" max="4570" width="17.42578125" style="365" customWidth="1"/>
    <col min="4571" max="4571" width="0" style="365" hidden="1" customWidth="1"/>
    <col min="4572" max="4572" width="14" style="365" customWidth="1"/>
    <col min="4573" max="4573" width="14.28515625" style="365" bestFit="1" customWidth="1"/>
    <col min="4574" max="4574" width="0" style="365" hidden="1" customWidth="1"/>
    <col min="4575" max="4575" width="15.5703125" style="365" customWidth="1"/>
    <col min="4576" max="4576" width="44.5703125" style="365" customWidth="1"/>
    <col min="4577" max="4577" width="14.28515625" style="365" bestFit="1" customWidth="1"/>
    <col min="4578" max="4578" width="0" style="365" hidden="1" customWidth="1"/>
    <col min="4579" max="4579" width="18.140625" style="365" customWidth="1"/>
    <col min="4580" max="4580" width="0" style="365" hidden="1" customWidth="1"/>
    <col min="4581" max="4581" width="14" style="365" customWidth="1"/>
    <col min="4582" max="4582" width="0" style="365" hidden="1" customWidth="1"/>
    <col min="4583" max="4583" width="20.85546875" style="365" customWidth="1"/>
    <col min="4584" max="4584" width="0" style="365" hidden="1" customWidth="1"/>
    <col min="4585" max="4585" width="13.28515625" style="365" customWidth="1"/>
    <col min="4586" max="4586" width="0" style="365" hidden="1" customWidth="1"/>
    <col min="4587" max="4587" width="15" style="365" customWidth="1"/>
    <col min="4588" max="4588" width="0" style="365" hidden="1" customWidth="1"/>
    <col min="4589" max="4589" width="13.28515625" style="365" customWidth="1"/>
    <col min="4590" max="4590" width="0" style="365" hidden="1" customWidth="1"/>
    <col min="4591" max="4591" width="20.140625" style="365" customWidth="1"/>
    <col min="4592" max="4592" width="14.42578125" style="365" bestFit="1" customWidth="1"/>
    <col min="4593" max="4593" width="14" style="365" bestFit="1" customWidth="1"/>
    <col min="4594" max="4594" width="12.28515625" style="365" bestFit="1" customWidth="1"/>
    <col min="4595" max="4619" width="9.140625" style="365" customWidth="1"/>
    <col min="4620" max="4814" width="8.85546875" style="365"/>
    <col min="4815" max="4815" width="44.5703125" style="365" customWidth="1"/>
    <col min="4816" max="4816" width="14.28515625" style="365" bestFit="1" customWidth="1"/>
    <col min="4817" max="4817" width="1.7109375" style="365" customWidth="1"/>
    <col min="4818" max="4818" width="14.85546875" style="365" customWidth="1"/>
    <col min="4819" max="4819" width="0" style="365" hidden="1" customWidth="1"/>
    <col min="4820" max="4820" width="17.42578125" style="365" customWidth="1"/>
    <col min="4821" max="4821" width="0" style="365" hidden="1" customWidth="1"/>
    <col min="4822" max="4822" width="12.85546875" style="365" customWidth="1"/>
    <col min="4823" max="4823" width="0" style="365" hidden="1" customWidth="1"/>
    <col min="4824" max="4824" width="14.42578125" style="365" customWidth="1"/>
    <col min="4825" max="4825" width="0" style="365" hidden="1" customWidth="1"/>
    <col min="4826" max="4826" width="17.42578125" style="365" customWidth="1"/>
    <col min="4827" max="4827" width="0" style="365" hidden="1" customWidth="1"/>
    <col min="4828" max="4828" width="14" style="365" customWidth="1"/>
    <col min="4829" max="4829" width="14.28515625" style="365" bestFit="1" customWidth="1"/>
    <col min="4830" max="4830" width="0" style="365" hidden="1" customWidth="1"/>
    <col min="4831" max="4831" width="15.5703125" style="365" customWidth="1"/>
    <col min="4832" max="4832" width="44.5703125" style="365" customWidth="1"/>
    <col min="4833" max="4833" width="14.28515625" style="365" bestFit="1" customWidth="1"/>
    <col min="4834" max="4834" width="0" style="365" hidden="1" customWidth="1"/>
    <col min="4835" max="4835" width="18.140625" style="365" customWidth="1"/>
    <col min="4836" max="4836" width="0" style="365" hidden="1" customWidth="1"/>
    <col min="4837" max="4837" width="14" style="365" customWidth="1"/>
    <col min="4838" max="4838" width="0" style="365" hidden="1" customWidth="1"/>
    <col min="4839" max="4839" width="20.85546875" style="365" customWidth="1"/>
    <col min="4840" max="4840" width="0" style="365" hidden="1" customWidth="1"/>
    <col min="4841" max="4841" width="13.28515625" style="365" customWidth="1"/>
    <col min="4842" max="4842" width="0" style="365" hidden="1" customWidth="1"/>
    <col min="4843" max="4843" width="15" style="365" customWidth="1"/>
    <col min="4844" max="4844" width="0" style="365" hidden="1" customWidth="1"/>
    <col min="4845" max="4845" width="13.28515625" style="365" customWidth="1"/>
    <col min="4846" max="4846" width="0" style="365" hidden="1" customWidth="1"/>
    <col min="4847" max="4847" width="20.140625" style="365" customWidth="1"/>
    <col min="4848" max="4848" width="14.42578125" style="365" bestFit="1" customWidth="1"/>
    <col min="4849" max="4849" width="14" style="365" bestFit="1" customWidth="1"/>
    <col min="4850" max="4850" width="12.28515625" style="365" bestFit="1" customWidth="1"/>
    <col min="4851" max="4875" width="9.140625" style="365" customWidth="1"/>
    <col min="4876" max="5070" width="8.85546875" style="365"/>
    <col min="5071" max="5071" width="44.5703125" style="365" customWidth="1"/>
    <col min="5072" max="5072" width="14.28515625" style="365" bestFit="1" customWidth="1"/>
    <col min="5073" max="5073" width="1.7109375" style="365" customWidth="1"/>
    <col min="5074" max="5074" width="14.85546875" style="365" customWidth="1"/>
    <col min="5075" max="5075" width="0" style="365" hidden="1" customWidth="1"/>
    <col min="5076" max="5076" width="17.42578125" style="365" customWidth="1"/>
    <col min="5077" max="5077" width="0" style="365" hidden="1" customWidth="1"/>
    <col min="5078" max="5078" width="12.85546875" style="365" customWidth="1"/>
    <col min="5079" max="5079" width="0" style="365" hidden="1" customWidth="1"/>
    <col min="5080" max="5080" width="14.42578125" style="365" customWidth="1"/>
    <col min="5081" max="5081" width="0" style="365" hidden="1" customWidth="1"/>
    <col min="5082" max="5082" width="17.42578125" style="365" customWidth="1"/>
    <col min="5083" max="5083" width="0" style="365" hidden="1" customWidth="1"/>
    <col min="5084" max="5084" width="14" style="365" customWidth="1"/>
    <col min="5085" max="5085" width="14.28515625" style="365" bestFit="1" customWidth="1"/>
    <col min="5086" max="5086" width="0" style="365" hidden="1" customWidth="1"/>
    <col min="5087" max="5087" width="15.5703125" style="365" customWidth="1"/>
    <col min="5088" max="5088" width="44.5703125" style="365" customWidth="1"/>
    <col min="5089" max="5089" width="14.28515625" style="365" bestFit="1" customWidth="1"/>
    <col min="5090" max="5090" width="0" style="365" hidden="1" customWidth="1"/>
    <col min="5091" max="5091" width="18.140625" style="365" customWidth="1"/>
    <col min="5092" max="5092" width="0" style="365" hidden="1" customWidth="1"/>
    <col min="5093" max="5093" width="14" style="365" customWidth="1"/>
    <col min="5094" max="5094" width="0" style="365" hidden="1" customWidth="1"/>
    <col min="5095" max="5095" width="20.85546875" style="365" customWidth="1"/>
    <col min="5096" max="5096" width="0" style="365" hidden="1" customWidth="1"/>
    <col min="5097" max="5097" width="13.28515625" style="365" customWidth="1"/>
    <col min="5098" max="5098" width="0" style="365" hidden="1" customWidth="1"/>
    <col min="5099" max="5099" width="15" style="365" customWidth="1"/>
    <col min="5100" max="5100" width="0" style="365" hidden="1" customWidth="1"/>
    <col min="5101" max="5101" width="13.28515625" style="365" customWidth="1"/>
    <col min="5102" max="5102" width="0" style="365" hidden="1" customWidth="1"/>
    <col min="5103" max="5103" width="20.140625" style="365" customWidth="1"/>
    <col min="5104" max="5104" width="14.42578125" style="365" bestFit="1" customWidth="1"/>
    <col min="5105" max="5105" width="14" style="365" bestFit="1" customWidth="1"/>
    <col min="5106" max="5106" width="12.28515625" style="365" bestFit="1" customWidth="1"/>
    <col min="5107" max="5131" width="9.140625" style="365" customWidth="1"/>
    <col min="5132" max="5326" width="8.85546875" style="365"/>
    <col min="5327" max="5327" width="44.5703125" style="365" customWidth="1"/>
    <col min="5328" max="5328" width="14.28515625" style="365" bestFit="1" customWidth="1"/>
    <col min="5329" max="5329" width="1.7109375" style="365" customWidth="1"/>
    <col min="5330" max="5330" width="14.85546875" style="365" customWidth="1"/>
    <col min="5331" max="5331" width="0" style="365" hidden="1" customWidth="1"/>
    <col min="5332" max="5332" width="17.42578125" style="365" customWidth="1"/>
    <col min="5333" max="5333" width="0" style="365" hidden="1" customWidth="1"/>
    <col min="5334" max="5334" width="12.85546875" style="365" customWidth="1"/>
    <col min="5335" max="5335" width="0" style="365" hidden="1" customWidth="1"/>
    <col min="5336" max="5336" width="14.42578125" style="365" customWidth="1"/>
    <col min="5337" max="5337" width="0" style="365" hidden="1" customWidth="1"/>
    <col min="5338" max="5338" width="17.42578125" style="365" customWidth="1"/>
    <col min="5339" max="5339" width="0" style="365" hidden="1" customWidth="1"/>
    <col min="5340" max="5340" width="14" style="365" customWidth="1"/>
    <col min="5341" max="5341" width="14.28515625" style="365" bestFit="1" customWidth="1"/>
    <col min="5342" max="5342" width="0" style="365" hidden="1" customWidth="1"/>
    <col min="5343" max="5343" width="15.5703125" style="365" customWidth="1"/>
    <col min="5344" max="5344" width="44.5703125" style="365" customWidth="1"/>
    <col min="5345" max="5345" width="14.28515625" style="365" bestFit="1" customWidth="1"/>
    <col min="5346" max="5346" width="0" style="365" hidden="1" customWidth="1"/>
    <col min="5347" max="5347" width="18.140625" style="365" customWidth="1"/>
    <col min="5348" max="5348" width="0" style="365" hidden="1" customWidth="1"/>
    <col min="5349" max="5349" width="14" style="365" customWidth="1"/>
    <col min="5350" max="5350" width="0" style="365" hidden="1" customWidth="1"/>
    <col min="5351" max="5351" width="20.85546875" style="365" customWidth="1"/>
    <col min="5352" max="5352" width="0" style="365" hidden="1" customWidth="1"/>
    <col min="5353" max="5353" width="13.28515625" style="365" customWidth="1"/>
    <col min="5354" max="5354" width="0" style="365" hidden="1" customWidth="1"/>
    <col min="5355" max="5355" width="15" style="365" customWidth="1"/>
    <col min="5356" max="5356" width="0" style="365" hidden="1" customWidth="1"/>
    <col min="5357" max="5357" width="13.28515625" style="365" customWidth="1"/>
    <col min="5358" max="5358" width="0" style="365" hidden="1" customWidth="1"/>
    <col min="5359" max="5359" width="20.140625" style="365" customWidth="1"/>
    <col min="5360" max="5360" width="14.42578125" style="365" bestFit="1" customWidth="1"/>
    <col min="5361" max="5361" width="14" style="365" bestFit="1" customWidth="1"/>
    <col min="5362" max="5362" width="12.28515625" style="365" bestFit="1" customWidth="1"/>
    <col min="5363" max="5387" width="9.140625" style="365" customWidth="1"/>
    <col min="5388" max="5582" width="8.85546875" style="365"/>
    <col min="5583" max="5583" width="44.5703125" style="365" customWidth="1"/>
    <col min="5584" max="5584" width="14.28515625" style="365" bestFit="1" customWidth="1"/>
    <col min="5585" max="5585" width="1.7109375" style="365" customWidth="1"/>
    <col min="5586" max="5586" width="14.85546875" style="365" customWidth="1"/>
    <col min="5587" max="5587" width="0" style="365" hidden="1" customWidth="1"/>
    <col min="5588" max="5588" width="17.42578125" style="365" customWidth="1"/>
    <col min="5589" max="5589" width="0" style="365" hidden="1" customWidth="1"/>
    <col min="5590" max="5590" width="12.85546875" style="365" customWidth="1"/>
    <col min="5591" max="5591" width="0" style="365" hidden="1" customWidth="1"/>
    <col min="5592" max="5592" width="14.42578125" style="365" customWidth="1"/>
    <col min="5593" max="5593" width="0" style="365" hidden="1" customWidth="1"/>
    <col min="5594" max="5594" width="17.42578125" style="365" customWidth="1"/>
    <col min="5595" max="5595" width="0" style="365" hidden="1" customWidth="1"/>
    <col min="5596" max="5596" width="14" style="365" customWidth="1"/>
    <col min="5597" max="5597" width="14.28515625" style="365" bestFit="1" customWidth="1"/>
    <col min="5598" max="5598" width="0" style="365" hidden="1" customWidth="1"/>
    <col min="5599" max="5599" width="15.5703125" style="365" customWidth="1"/>
    <col min="5600" max="5600" width="44.5703125" style="365" customWidth="1"/>
    <col min="5601" max="5601" width="14.28515625" style="365" bestFit="1" customWidth="1"/>
    <col min="5602" max="5602" width="0" style="365" hidden="1" customWidth="1"/>
    <col min="5603" max="5603" width="18.140625" style="365" customWidth="1"/>
    <col min="5604" max="5604" width="0" style="365" hidden="1" customWidth="1"/>
    <col min="5605" max="5605" width="14" style="365" customWidth="1"/>
    <col min="5606" max="5606" width="0" style="365" hidden="1" customWidth="1"/>
    <col min="5607" max="5607" width="20.85546875" style="365" customWidth="1"/>
    <col min="5608" max="5608" width="0" style="365" hidden="1" customWidth="1"/>
    <col min="5609" max="5609" width="13.28515625" style="365" customWidth="1"/>
    <col min="5610" max="5610" width="0" style="365" hidden="1" customWidth="1"/>
    <col min="5611" max="5611" width="15" style="365" customWidth="1"/>
    <col min="5612" max="5612" width="0" style="365" hidden="1" customWidth="1"/>
    <col min="5613" max="5613" width="13.28515625" style="365" customWidth="1"/>
    <col min="5614" max="5614" width="0" style="365" hidden="1" customWidth="1"/>
    <col min="5615" max="5615" width="20.140625" style="365" customWidth="1"/>
    <col min="5616" max="5616" width="14.42578125" style="365" bestFit="1" customWidth="1"/>
    <col min="5617" max="5617" width="14" style="365" bestFit="1" customWidth="1"/>
    <col min="5618" max="5618" width="12.28515625" style="365" bestFit="1" customWidth="1"/>
    <col min="5619" max="5643" width="9.140625" style="365" customWidth="1"/>
    <col min="5644" max="5838" width="8.85546875" style="365"/>
    <col min="5839" max="5839" width="44.5703125" style="365" customWidth="1"/>
    <col min="5840" max="5840" width="14.28515625" style="365" bestFit="1" customWidth="1"/>
    <col min="5841" max="5841" width="1.7109375" style="365" customWidth="1"/>
    <col min="5842" max="5842" width="14.85546875" style="365" customWidth="1"/>
    <col min="5843" max="5843" width="0" style="365" hidden="1" customWidth="1"/>
    <col min="5844" max="5844" width="17.42578125" style="365" customWidth="1"/>
    <col min="5845" max="5845" width="0" style="365" hidden="1" customWidth="1"/>
    <col min="5846" max="5846" width="12.85546875" style="365" customWidth="1"/>
    <col min="5847" max="5847" width="0" style="365" hidden="1" customWidth="1"/>
    <col min="5848" max="5848" width="14.42578125" style="365" customWidth="1"/>
    <col min="5849" max="5849" width="0" style="365" hidden="1" customWidth="1"/>
    <col min="5850" max="5850" width="17.42578125" style="365" customWidth="1"/>
    <col min="5851" max="5851" width="0" style="365" hidden="1" customWidth="1"/>
    <col min="5852" max="5852" width="14" style="365" customWidth="1"/>
    <col min="5853" max="5853" width="14.28515625" style="365" bestFit="1" customWidth="1"/>
    <col min="5854" max="5854" width="0" style="365" hidden="1" customWidth="1"/>
    <col min="5855" max="5855" width="15.5703125" style="365" customWidth="1"/>
    <col min="5856" max="5856" width="44.5703125" style="365" customWidth="1"/>
    <col min="5857" max="5857" width="14.28515625" style="365" bestFit="1" customWidth="1"/>
    <col min="5858" max="5858" width="0" style="365" hidden="1" customWidth="1"/>
    <col min="5859" max="5859" width="18.140625" style="365" customWidth="1"/>
    <col min="5860" max="5860" width="0" style="365" hidden="1" customWidth="1"/>
    <col min="5861" max="5861" width="14" style="365" customWidth="1"/>
    <col min="5862" max="5862" width="0" style="365" hidden="1" customWidth="1"/>
    <col min="5863" max="5863" width="20.85546875" style="365" customWidth="1"/>
    <col min="5864" max="5864" width="0" style="365" hidden="1" customWidth="1"/>
    <col min="5865" max="5865" width="13.28515625" style="365" customWidth="1"/>
    <col min="5866" max="5866" width="0" style="365" hidden="1" customWidth="1"/>
    <col min="5867" max="5867" width="15" style="365" customWidth="1"/>
    <col min="5868" max="5868" width="0" style="365" hidden="1" customWidth="1"/>
    <col min="5869" max="5869" width="13.28515625" style="365" customWidth="1"/>
    <col min="5870" max="5870" width="0" style="365" hidden="1" customWidth="1"/>
    <col min="5871" max="5871" width="20.140625" style="365" customWidth="1"/>
    <col min="5872" max="5872" width="14.42578125" style="365" bestFit="1" customWidth="1"/>
    <col min="5873" max="5873" width="14" style="365" bestFit="1" customWidth="1"/>
    <col min="5874" max="5874" width="12.28515625" style="365" bestFit="1" customWidth="1"/>
    <col min="5875" max="5899" width="9.140625" style="365" customWidth="1"/>
    <col min="5900" max="6094" width="8.85546875" style="365"/>
    <col min="6095" max="6095" width="44.5703125" style="365" customWidth="1"/>
    <col min="6096" max="6096" width="14.28515625" style="365" bestFit="1" customWidth="1"/>
    <col min="6097" max="6097" width="1.7109375" style="365" customWidth="1"/>
    <col min="6098" max="6098" width="14.85546875" style="365" customWidth="1"/>
    <col min="6099" max="6099" width="0" style="365" hidden="1" customWidth="1"/>
    <col min="6100" max="6100" width="17.42578125" style="365" customWidth="1"/>
    <col min="6101" max="6101" width="0" style="365" hidden="1" customWidth="1"/>
    <col min="6102" max="6102" width="12.85546875" style="365" customWidth="1"/>
    <col min="6103" max="6103" width="0" style="365" hidden="1" customWidth="1"/>
    <col min="6104" max="6104" width="14.42578125" style="365" customWidth="1"/>
    <col min="6105" max="6105" width="0" style="365" hidden="1" customWidth="1"/>
    <col min="6106" max="6106" width="17.42578125" style="365" customWidth="1"/>
    <col min="6107" max="6107" width="0" style="365" hidden="1" customWidth="1"/>
    <col min="6108" max="6108" width="14" style="365" customWidth="1"/>
    <col min="6109" max="6109" width="14.28515625" style="365" bestFit="1" customWidth="1"/>
    <col min="6110" max="6110" width="0" style="365" hidden="1" customWidth="1"/>
    <col min="6111" max="6111" width="15.5703125" style="365" customWidth="1"/>
    <col min="6112" max="6112" width="44.5703125" style="365" customWidth="1"/>
    <col min="6113" max="6113" width="14.28515625" style="365" bestFit="1" customWidth="1"/>
    <col min="6114" max="6114" width="0" style="365" hidden="1" customWidth="1"/>
    <col min="6115" max="6115" width="18.140625" style="365" customWidth="1"/>
    <col min="6116" max="6116" width="0" style="365" hidden="1" customWidth="1"/>
    <col min="6117" max="6117" width="14" style="365" customWidth="1"/>
    <col min="6118" max="6118" width="0" style="365" hidden="1" customWidth="1"/>
    <col min="6119" max="6119" width="20.85546875" style="365" customWidth="1"/>
    <col min="6120" max="6120" width="0" style="365" hidden="1" customWidth="1"/>
    <col min="6121" max="6121" width="13.28515625" style="365" customWidth="1"/>
    <col min="6122" max="6122" width="0" style="365" hidden="1" customWidth="1"/>
    <col min="6123" max="6123" width="15" style="365" customWidth="1"/>
    <col min="6124" max="6124" width="0" style="365" hidden="1" customWidth="1"/>
    <col min="6125" max="6125" width="13.28515625" style="365" customWidth="1"/>
    <col min="6126" max="6126" width="0" style="365" hidden="1" customWidth="1"/>
    <col min="6127" max="6127" width="20.140625" style="365" customWidth="1"/>
    <col min="6128" max="6128" width="14.42578125" style="365" bestFit="1" customWidth="1"/>
    <col min="6129" max="6129" width="14" style="365" bestFit="1" customWidth="1"/>
    <col min="6130" max="6130" width="12.28515625" style="365" bestFit="1" customWidth="1"/>
    <col min="6131" max="6155" width="9.140625" style="365" customWidth="1"/>
    <col min="6156" max="6350" width="8.85546875" style="365"/>
    <col min="6351" max="6351" width="44.5703125" style="365" customWidth="1"/>
    <col min="6352" max="6352" width="14.28515625" style="365" bestFit="1" customWidth="1"/>
    <col min="6353" max="6353" width="1.7109375" style="365" customWidth="1"/>
    <col min="6354" max="6354" width="14.85546875" style="365" customWidth="1"/>
    <col min="6355" max="6355" width="0" style="365" hidden="1" customWidth="1"/>
    <col min="6356" max="6356" width="17.42578125" style="365" customWidth="1"/>
    <col min="6357" max="6357" width="0" style="365" hidden="1" customWidth="1"/>
    <col min="6358" max="6358" width="12.85546875" style="365" customWidth="1"/>
    <col min="6359" max="6359" width="0" style="365" hidden="1" customWidth="1"/>
    <col min="6360" max="6360" width="14.42578125" style="365" customWidth="1"/>
    <col min="6361" max="6361" width="0" style="365" hidden="1" customWidth="1"/>
    <col min="6362" max="6362" width="17.42578125" style="365" customWidth="1"/>
    <col min="6363" max="6363" width="0" style="365" hidden="1" customWidth="1"/>
    <col min="6364" max="6364" width="14" style="365" customWidth="1"/>
    <col min="6365" max="6365" width="14.28515625" style="365" bestFit="1" customWidth="1"/>
    <col min="6366" max="6366" width="0" style="365" hidden="1" customWidth="1"/>
    <col min="6367" max="6367" width="15.5703125" style="365" customWidth="1"/>
    <col min="6368" max="6368" width="44.5703125" style="365" customWidth="1"/>
    <col min="6369" max="6369" width="14.28515625" style="365" bestFit="1" customWidth="1"/>
    <col min="6370" max="6370" width="0" style="365" hidden="1" customWidth="1"/>
    <col min="6371" max="6371" width="18.140625" style="365" customWidth="1"/>
    <col min="6372" max="6372" width="0" style="365" hidden="1" customWidth="1"/>
    <col min="6373" max="6373" width="14" style="365" customWidth="1"/>
    <col min="6374" max="6374" width="0" style="365" hidden="1" customWidth="1"/>
    <col min="6375" max="6375" width="20.85546875" style="365" customWidth="1"/>
    <col min="6376" max="6376" width="0" style="365" hidden="1" customWidth="1"/>
    <col min="6377" max="6377" width="13.28515625" style="365" customWidth="1"/>
    <col min="6378" max="6378" width="0" style="365" hidden="1" customWidth="1"/>
    <col min="6379" max="6379" width="15" style="365" customWidth="1"/>
    <col min="6380" max="6380" width="0" style="365" hidden="1" customWidth="1"/>
    <col min="6381" max="6381" width="13.28515625" style="365" customWidth="1"/>
    <col min="6382" max="6382" width="0" style="365" hidden="1" customWidth="1"/>
    <col min="6383" max="6383" width="20.140625" style="365" customWidth="1"/>
    <col min="6384" max="6384" width="14.42578125" style="365" bestFit="1" customWidth="1"/>
    <col min="6385" max="6385" width="14" style="365" bestFit="1" customWidth="1"/>
    <col min="6386" max="6386" width="12.28515625" style="365" bestFit="1" customWidth="1"/>
    <col min="6387" max="6411" width="9.140625" style="365" customWidth="1"/>
    <col min="6412" max="6606" width="8.85546875" style="365"/>
    <col min="6607" max="6607" width="44.5703125" style="365" customWidth="1"/>
    <col min="6608" max="6608" width="14.28515625" style="365" bestFit="1" customWidth="1"/>
    <col min="6609" max="6609" width="1.7109375" style="365" customWidth="1"/>
    <col min="6610" max="6610" width="14.85546875" style="365" customWidth="1"/>
    <col min="6611" max="6611" width="0" style="365" hidden="1" customWidth="1"/>
    <col min="6612" max="6612" width="17.42578125" style="365" customWidth="1"/>
    <col min="6613" max="6613" width="0" style="365" hidden="1" customWidth="1"/>
    <col min="6614" max="6614" width="12.85546875" style="365" customWidth="1"/>
    <col min="6615" max="6615" width="0" style="365" hidden="1" customWidth="1"/>
    <col min="6616" max="6616" width="14.42578125" style="365" customWidth="1"/>
    <col min="6617" max="6617" width="0" style="365" hidden="1" customWidth="1"/>
    <col min="6618" max="6618" width="17.42578125" style="365" customWidth="1"/>
    <col min="6619" max="6619" width="0" style="365" hidden="1" customWidth="1"/>
    <col min="6620" max="6620" width="14" style="365" customWidth="1"/>
    <col min="6621" max="6621" width="14.28515625" style="365" bestFit="1" customWidth="1"/>
    <col min="6622" max="6622" width="0" style="365" hidden="1" customWidth="1"/>
    <col min="6623" max="6623" width="15.5703125" style="365" customWidth="1"/>
    <col min="6624" max="6624" width="44.5703125" style="365" customWidth="1"/>
    <col min="6625" max="6625" width="14.28515625" style="365" bestFit="1" customWidth="1"/>
    <col min="6626" max="6626" width="0" style="365" hidden="1" customWidth="1"/>
    <col min="6627" max="6627" width="18.140625" style="365" customWidth="1"/>
    <col min="6628" max="6628" width="0" style="365" hidden="1" customWidth="1"/>
    <col min="6629" max="6629" width="14" style="365" customWidth="1"/>
    <col min="6630" max="6630" width="0" style="365" hidden="1" customWidth="1"/>
    <col min="6631" max="6631" width="20.85546875" style="365" customWidth="1"/>
    <col min="6632" max="6632" width="0" style="365" hidden="1" customWidth="1"/>
    <col min="6633" max="6633" width="13.28515625" style="365" customWidth="1"/>
    <col min="6634" max="6634" width="0" style="365" hidden="1" customWidth="1"/>
    <col min="6635" max="6635" width="15" style="365" customWidth="1"/>
    <col min="6636" max="6636" width="0" style="365" hidden="1" customWidth="1"/>
    <col min="6637" max="6637" width="13.28515625" style="365" customWidth="1"/>
    <col min="6638" max="6638" width="0" style="365" hidden="1" customWidth="1"/>
    <col min="6639" max="6639" width="20.140625" style="365" customWidth="1"/>
    <col min="6640" max="6640" width="14.42578125" style="365" bestFit="1" customWidth="1"/>
    <col min="6641" max="6641" width="14" style="365" bestFit="1" customWidth="1"/>
    <col min="6642" max="6642" width="12.28515625" style="365" bestFit="1" customWidth="1"/>
    <col min="6643" max="6667" width="9.140625" style="365" customWidth="1"/>
    <col min="6668" max="6862" width="8.85546875" style="365"/>
    <col min="6863" max="6863" width="44.5703125" style="365" customWidth="1"/>
    <col min="6864" max="6864" width="14.28515625" style="365" bestFit="1" customWidth="1"/>
    <col min="6865" max="6865" width="1.7109375" style="365" customWidth="1"/>
    <col min="6866" max="6866" width="14.85546875" style="365" customWidth="1"/>
    <col min="6867" max="6867" width="0" style="365" hidden="1" customWidth="1"/>
    <col min="6868" max="6868" width="17.42578125" style="365" customWidth="1"/>
    <col min="6869" max="6869" width="0" style="365" hidden="1" customWidth="1"/>
    <col min="6870" max="6870" width="12.85546875" style="365" customWidth="1"/>
    <col min="6871" max="6871" width="0" style="365" hidden="1" customWidth="1"/>
    <col min="6872" max="6872" width="14.42578125" style="365" customWidth="1"/>
    <col min="6873" max="6873" width="0" style="365" hidden="1" customWidth="1"/>
    <col min="6874" max="6874" width="17.42578125" style="365" customWidth="1"/>
    <col min="6875" max="6875" width="0" style="365" hidden="1" customWidth="1"/>
    <col min="6876" max="6876" width="14" style="365" customWidth="1"/>
    <col min="6877" max="6877" width="14.28515625" style="365" bestFit="1" customWidth="1"/>
    <col min="6878" max="6878" width="0" style="365" hidden="1" customWidth="1"/>
    <col min="6879" max="6879" width="15.5703125" style="365" customWidth="1"/>
    <col min="6880" max="6880" width="44.5703125" style="365" customWidth="1"/>
    <col min="6881" max="6881" width="14.28515625" style="365" bestFit="1" customWidth="1"/>
    <col min="6882" max="6882" width="0" style="365" hidden="1" customWidth="1"/>
    <col min="6883" max="6883" width="18.140625" style="365" customWidth="1"/>
    <col min="6884" max="6884" width="0" style="365" hidden="1" customWidth="1"/>
    <col min="6885" max="6885" width="14" style="365" customWidth="1"/>
    <col min="6886" max="6886" width="0" style="365" hidden="1" customWidth="1"/>
    <col min="6887" max="6887" width="20.85546875" style="365" customWidth="1"/>
    <col min="6888" max="6888" width="0" style="365" hidden="1" customWidth="1"/>
    <col min="6889" max="6889" width="13.28515625" style="365" customWidth="1"/>
    <col min="6890" max="6890" width="0" style="365" hidden="1" customWidth="1"/>
    <col min="6891" max="6891" width="15" style="365" customWidth="1"/>
    <col min="6892" max="6892" width="0" style="365" hidden="1" customWidth="1"/>
    <col min="6893" max="6893" width="13.28515625" style="365" customWidth="1"/>
    <col min="6894" max="6894" width="0" style="365" hidden="1" customWidth="1"/>
    <col min="6895" max="6895" width="20.140625" style="365" customWidth="1"/>
    <col min="6896" max="6896" width="14.42578125" style="365" bestFit="1" customWidth="1"/>
    <col min="6897" max="6897" width="14" style="365" bestFit="1" customWidth="1"/>
    <col min="6898" max="6898" width="12.28515625" style="365" bestFit="1" customWidth="1"/>
    <col min="6899" max="6923" width="9.140625" style="365" customWidth="1"/>
    <col min="6924" max="7118" width="8.85546875" style="365"/>
    <col min="7119" max="7119" width="44.5703125" style="365" customWidth="1"/>
    <col min="7120" max="7120" width="14.28515625" style="365" bestFit="1" customWidth="1"/>
    <col min="7121" max="7121" width="1.7109375" style="365" customWidth="1"/>
    <col min="7122" max="7122" width="14.85546875" style="365" customWidth="1"/>
    <col min="7123" max="7123" width="0" style="365" hidden="1" customWidth="1"/>
    <col min="7124" max="7124" width="17.42578125" style="365" customWidth="1"/>
    <col min="7125" max="7125" width="0" style="365" hidden="1" customWidth="1"/>
    <col min="7126" max="7126" width="12.85546875" style="365" customWidth="1"/>
    <col min="7127" max="7127" width="0" style="365" hidden="1" customWidth="1"/>
    <col min="7128" max="7128" width="14.42578125" style="365" customWidth="1"/>
    <col min="7129" max="7129" width="0" style="365" hidden="1" customWidth="1"/>
    <col min="7130" max="7130" width="17.42578125" style="365" customWidth="1"/>
    <col min="7131" max="7131" width="0" style="365" hidden="1" customWidth="1"/>
    <col min="7132" max="7132" width="14" style="365" customWidth="1"/>
    <col min="7133" max="7133" width="14.28515625" style="365" bestFit="1" customWidth="1"/>
    <col min="7134" max="7134" width="0" style="365" hidden="1" customWidth="1"/>
    <col min="7135" max="7135" width="15.5703125" style="365" customWidth="1"/>
    <col min="7136" max="7136" width="44.5703125" style="365" customWidth="1"/>
    <col min="7137" max="7137" width="14.28515625" style="365" bestFit="1" customWidth="1"/>
    <col min="7138" max="7138" width="0" style="365" hidden="1" customWidth="1"/>
    <col min="7139" max="7139" width="18.140625" style="365" customWidth="1"/>
    <col min="7140" max="7140" width="0" style="365" hidden="1" customWidth="1"/>
    <col min="7141" max="7141" width="14" style="365" customWidth="1"/>
    <col min="7142" max="7142" width="0" style="365" hidden="1" customWidth="1"/>
    <col min="7143" max="7143" width="20.85546875" style="365" customWidth="1"/>
    <col min="7144" max="7144" width="0" style="365" hidden="1" customWidth="1"/>
    <col min="7145" max="7145" width="13.28515625" style="365" customWidth="1"/>
    <col min="7146" max="7146" width="0" style="365" hidden="1" customWidth="1"/>
    <col min="7147" max="7147" width="15" style="365" customWidth="1"/>
    <col min="7148" max="7148" width="0" style="365" hidden="1" customWidth="1"/>
    <col min="7149" max="7149" width="13.28515625" style="365" customWidth="1"/>
    <col min="7150" max="7150" width="0" style="365" hidden="1" customWidth="1"/>
    <col min="7151" max="7151" width="20.140625" style="365" customWidth="1"/>
    <col min="7152" max="7152" width="14.42578125" style="365" bestFit="1" customWidth="1"/>
    <col min="7153" max="7153" width="14" style="365" bestFit="1" customWidth="1"/>
    <col min="7154" max="7154" width="12.28515625" style="365" bestFit="1" customWidth="1"/>
    <col min="7155" max="7179" width="9.140625" style="365" customWidth="1"/>
    <col min="7180" max="7374" width="8.85546875" style="365"/>
    <col min="7375" max="7375" width="44.5703125" style="365" customWidth="1"/>
    <col min="7376" max="7376" width="14.28515625" style="365" bestFit="1" customWidth="1"/>
    <col min="7377" max="7377" width="1.7109375" style="365" customWidth="1"/>
    <col min="7378" max="7378" width="14.85546875" style="365" customWidth="1"/>
    <col min="7379" max="7379" width="0" style="365" hidden="1" customWidth="1"/>
    <col min="7380" max="7380" width="17.42578125" style="365" customWidth="1"/>
    <col min="7381" max="7381" width="0" style="365" hidden="1" customWidth="1"/>
    <col min="7382" max="7382" width="12.85546875" style="365" customWidth="1"/>
    <col min="7383" max="7383" width="0" style="365" hidden="1" customWidth="1"/>
    <col min="7384" max="7384" width="14.42578125" style="365" customWidth="1"/>
    <col min="7385" max="7385" width="0" style="365" hidden="1" customWidth="1"/>
    <col min="7386" max="7386" width="17.42578125" style="365" customWidth="1"/>
    <col min="7387" max="7387" width="0" style="365" hidden="1" customWidth="1"/>
    <col min="7388" max="7388" width="14" style="365" customWidth="1"/>
    <col min="7389" max="7389" width="14.28515625" style="365" bestFit="1" customWidth="1"/>
    <col min="7390" max="7390" width="0" style="365" hidden="1" customWidth="1"/>
    <col min="7391" max="7391" width="15.5703125" style="365" customWidth="1"/>
    <col min="7392" max="7392" width="44.5703125" style="365" customWidth="1"/>
    <col min="7393" max="7393" width="14.28515625" style="365" bestFit="1" customWidth="1"/>
    <col min="7394" max="7394" width="0" style="365" hidden="1" customWidth="1"/>
    <col min="7395" max="7395" width="18.140625" style="365" customWidth="1"/>
    <col min="7396" max="7396" width="0" style="365" hidden="1" customWidth="1"/>
    <col min="7397" max="7397" width="14" style="365" customWidth="1"/>
    <col min="7398" max="7398" width="0" style="365" hidden="1" customWidth="1"/>
    <col min="7399" max="7399" width="20.85546875" style="365" customWidth="1"/>
    <col min="7400" max="7400" width="0" style="365" hidden="1" customWidth="1"/>
    <col min="7401" max="7401" width="13.28515625" style="365" customWidth="1"/>
    <col min="7402" max="7402" width="0" style="365" hidden="1" customWidth="1"/>
    <col min="7403" max="7403" width="15" style="365" customWidth="1"/>
    <col min="7404" max="7404" width="0" style="365" hidden="1" customWidth="1"/>
    <col min="7405" max="7405" width="13.28515625" style="365" customWidth="1"/>
    <col min="7406" max="7406" width="0" style="365" hidden="1" customWidth="1"/>
    <col min="7407" max="7407" width="20.140625" style="365" customWidth="1"/>
    <col min="7408" max="7408" width="14.42578125" style="365" bestFit="1" customWidth="1"/>
    <col min="7409" max="7409" width="14" style="365" bestFit="1" customWidth="1"/>
    <col min="7410" max="7410" width="12.28515625" style="365" bestFit="1" customWidth="1"/>
    <col min="7411" max="7435" width="9.140625" style="365" customWidth="1"/>
    <col min="7436" max="7630" width="8.85546875" style="365"/>
    <col min="7631" max="7631" width="44.5703125" style="365" customWidth="1"/>
    <col min="7632" max="7632" width="14.28515625" style="365" bestFit="1" customWidth="1"/>
    <col min="7633" max="7633" width="1.7109375" style="365" customWidth="1"/>
    <col min="7634" max="7634" width="14.85546875" style="365" customWidth="1"/>
    <col min="7635" max="7635" width="0" style="365" hidden="1" customWidth="1"/>
    <col min="7636" max="7636" width="17.42578125" style="365" customWidth="1"/>
    <col min="7637" max="7637" width="0" style="365" hidden="1" customWidth="1"/>
    <col min="7638" max="7638" width="12.85546875" style="365" customWidth="1"/>
    <col min="7639" max="7639" width="0" style="365" hidden="1" customWidth="1"/>
    <col min="7640" max="7640" width="14.42578125" style="365" customWidth="1"/>
    <col min="7641" max="7641" width="0" style="365" hidden="1" customWidth="1"/>
    <col min="7642" max="7642" width="17.42578125" style="365" customWidth="1"/>
    <col min="7643" max="7643" width="0" style="365" hidden="1" customWidth="1"/>
    <col min="7644" max="7644" width="14" style="365" customWidth="1"/>
    <col min="7645" max="7645" width="14.28515625" style="365" bestFit="1" customWidth="1"/>
    <col min="7646" max="7646" width="0" style="365" hidden="1" customWidth="1"/>
    <col min="7647" max="7647" width="15.5703125" style="365" customWidth="1"/>
    <col min="7648" max="7648" width="44.5703125" style="365" customWidth="1"/>
    <col min="7649" max="7649" width="14.28515625" style="365" bestFit="1" customWidth="1"/>
    <col min="7650" max="7650" width="0" style="365" hidden="1" customWidth="1"/>
    <col min="7651" max="7651" width="18.140625" style="365" customWidth="1"/>
    <col min="7652" max="7652" width="0" style="365" hidden="1" customWidth="1"/>
    <col min="7653" max="7653" width="14" style="365" customWidth="1"/>
    <col min="7654" max="7654" width="0" style="365" hidden="1" customWidth="1"/>
    <col min="7655" max="7655" width="20.85546875" style="365" customWidth="1"/>
    <col min="7656" max="7656" width="0" style="365" hidden="1" customWidth="1"/>
    <col min="7657" max="7657" width="13.28515625" style="365" customWidth="1"/>
    <col min="7658" max="7658" width="0" style="365" hidden="1" customWidth="1"/>
    <col min="7659" max="7659" width="15" style="365" customWidth="1"/>
    <col min="7660" max="7660" width="0" style="365" hidden="1" customWidth="1"/>
    <col min="7661" max="7661" width="13.28515625" style="365" customWidth="1"/>
    <col min="7662" max="7662" width="0" style="365" hidden="1" customWidth="1"/>
    <col min="7663" max="7663" width="20.140625" style="365" customWidth="1"/>
    <col min="7664" max="7664" width="14.42578125" style="365" bestFit="1" customWidth="1"/>
    <col min="7665" max="7665" width="14" style="365" bestFit="1" customWidth="1"/>
    <col min="7666" max="7666" width="12.28515625" style="365" bestFit="1" customWidth="1"/>
    <col min="7667" max="7691" width="9.140625" style="365" customWidth="1"/>
    <col min="7692" max="7886" width="8.85546875" style="365"/>
    <col min="7887" max="7887" width="44.5703125" style="365" customWidth="1"/>
    <col min="7888" max="7888" width="14.28515625" style="365" bestFit="1" customWidth="1"/>
    <col min="7889" max="7889" width="1.7109375" style="365" customWidth="1"/>
    <col min="7890" max="7890" width="14.85546875" style="365" customWidth="1"/>
    <col min="7891" max="7891" width="0" style="365" hidden="1" customWidth="1"/>
    <col min="7892" max="7892" width="17.42578125" style="365" customWidth="1"/>
    <col min="7893" max="7893" width="0" style="365" hidden="1" customWidth="1"/>
    <col min="7894" max="7894" width="12.85546875" style="365" customWidth="1"/>
    <col min="7895" max="7895" width="0" style="365" hidden="1" customWidth="1"/>
    <col min="7896" max="7896" width="14.42578125" style="365" customWidth="1"/>
    <col min="7897" max="7897" width="0" style="365" hidden="1" customWidth="1"/>
    <col min="7898" max="7898" width="17.42578125" style="365" customWidth="1"/>
    <col min="7899" max="7899" width="0" style="365" hidden="1" customWidth="1"/>
    <col min="7900" max="7900" width="14" style="365" customWidth="1"/>
    <col min="7901" max="7901" width="14.28515625" style="365" bestFit="1" customWidth="1"/>
    <col min="7902" max="7902" width="0" style="365" hidden="1" customWidth="1"/>
    <col min="7903" max="7903" width="15.5703125" style="365" customWidth="1"/>
    <col min="7904" max="7904" width="44.5703125" style="365" customWidth="1"/>
    <col min="7905" max="7905" width="14.28515625" style="365" bestFit="1" customWidth="1"/>
    <col min="7906" max="7906" width="0" style="365" hidden="1" customWidth="1"/>
    <col min="7907" max="7907" width="18.140625" style="365" customWidth="1"/>
    <col min="7908" max="7908" width="0" style="365" hidden="1" customWidth="1"/>
    <col min="7909" max="7909" width="14" style="365" customWidth="1"/>
    <col min="7910" max="7910" width="0" style="365" hidden="1" customWidth="1"/>
    <col min="7911" max="7911" width="20.85546875" style="365" customWidth="1"/>
    <col min="7912" max="7912" width="0" style="365" hidden="1" customWidth="1"/>
    <col min="7913" max="7913" width="13.28515625" style="365" customWidth="1"/>
    <col min="7914" max="7914" width="0" style="365" hidden="1" customWidth="1"/>
    <col min="7915" max="7915" width="15" style="365" customWidth="1"/>
    <col min="7916" max="7916" width="0" style="365" hidden="1" customWidth="1"/>
    <col min="7917" max="7917" width="13.28515625" style="365" customWidth="1"/>
    <col min="7918" max="7918" width="0" style="365" hidden="1" customWidth="1"/>
    <col min="7919" max="7919" width="20.140625" style="365" customWidth="1"/>
    <col min="7920" max="7920" width="14.42578125" style="365" bestFit="1" customWidth="1"/>
    <col min="7921" max="7921" width="14" style="365" bestFit="1" customWidth="1"/>
    <col min="7922" max="7922" width="12.28515625" style="365" bestFit="1" customWidth="1"/>
    <col min="7923" max="7947" width="9.140625" style="365" customWidth="1"/>
    <col min="7948" max="8142" width="8.85546875" style="365"/>
    <col min="8143" max="8143" width="44.5703125" style="365" customWidth="1"/>
    <col min="8144" max="8144" width="14.28515625" style="365" bestFit="1" customWidth="1"/>
    <col min="8145" max="8145" width="1.7109375" style="365" customWidth="1"/>
    <col min="8146" max="8146" width="14.85546875" style="365" customWidth="1"/>
    <col min="8147" max="8147" width="0" style="365" hidden="1" customWidth="1"/>
    <col min="8148" max="8148" width="17.42578125" style="365" customWidth="1"/>
    <col min="8149" max="8149" width="0" style="365" hidden="1" customWidth="1"/>
    <col min="8150" max="8150" width="12.85546875" style="365" customWidth="1"/>
    <col min="8151" max="8151" width="0" style="365" hidden="1" customWidth="1"/>
    <col min="8152" max="8152" width="14.42578125" style="365" customWidth="1"/>
    <col min="8153" max="8153" width="0" style="365" hidden="1" customWidth="1"/>
    <col min="8154" max="8154" width="17.42578125" style="365" customWidth="1"/>
    <col min="8155" max="8155" width="0" style="365" hidden="1" customWidth="1"/>
    <col min="8156" max="8156" width="14" style="365" customWidth="1"/>
    <col min="8157" max="8157" width="14.28515625" style="365" bestFit="1" customWidth="1"/>
    <col min="8158" max="8158" width="0" style="365" hidden="1" customWidth="1"/>
    <col min="8159" max="8159" width="15.5703125" style="365" customWidth="1"/>
    <col min="8160" max="8160" width="44.5703125" style="365" customWidth="1"/>
    <col min="8161" max="8161" width="14.28515625" style="365" bestFit="1" customWidth="1"/>
    <col min="8162" max="8162" width="0" style="365" hidden="1" customWidth="1"/>
    <col min="8163" max="8163" width="18.140625" style="365" customWidth="1"/>
    <col min="8164" max="8164" width="0" style="365" hidden="1" customWidth="1"/>
    <col min="8165" max="8165" width="14" style="365" customWidth="1"/>
    <col min="8166" max="8166" width="0" style="365" hidden="1" customWidth="1"/>
    <col min="8167" max="8167" width="20.85546875" style="365" customWidth="1"/>
    <col min="8168" max="8168" width="0" style="365" hidden="1" customWidth="1"/>
    <col min="8169" max="8169" width="13.28515625" style="365" customWidth="1"/>
    <col min="8170" max="8170" width="0" style="365" hidden="1" customWidth="1"/>
    <col min="8171" max="8171" width="15" style="365" customWidth="1"/>
    <col min="8172" max="8172" width="0" style="365" hidden="1" customWidth="1"/>
    <col min="8173" max="8173" width="13.28515625" style="365" customWidth="1"/>
    <col min="8174" max="8174" width="0" style="365" hidden="1" customWidth="1"/>
    <col min="8175" max="8175" width="20.140625" style="365" customWidth="1"/>
    <col min="8176" max="8176" width="14.42578125" style="365" bestFit="1" customWidth="1"/>
    <col min="8177" max="8177" width="14" style="365" bestFit="1" customWidth="1"/>
    <col min="8178" max="8178" width="12.28515625" style="365" bestFit="1" customWidth="1"/>
    <col min="8179" max="8203" width="9.140625" style="365" customWidth="1"/>
    <col min="8204" max="8398" width="8.85546875" style="365"/>
    <col min="8399" max="8399" width="44.5703125" style="365" customWidth="1"/>
    <col min="8400" max="8400" width="14.28515625" style="365" bestFit="1" customWidth="1"/>
    <col min="8401" max="8401" width="1.7109375" style="365" customWidth="1"/>
    <col min="8402" max="8402" width="14.85546875" style="365" customWidth="1"/>
    <col min="8403" max="8403" width="0" style="365" hidden="1" customWidth="1"/>
    <col min="8404" max="8404" width="17.42578125" style="365" customWidth="1"/>
    <col min="8405" max="8405" width="0" style="365" hidden="1" customWidth="1"/>
    <col min="8406" max="8406" width="12.85546875" style="365" customWidth="1"/>
    <col min="8407" max="8407" width="0" style="365" hidden="1" customWidth="1"/>
    <col min="8408" max="8408" width="14.42578125" style="365" customWidth="1"/>
    <col min="8409" max="8409" width="0" style="365" hidden="1" customWidth="1"/>
    <col min="8410" max="8410" width="17.42578125" style="365" customWidth="1"/>
    <col min="8411" max="8411" width="0" style="365" hidden="1" customWidth="1"/>
    <col min="8412" max="8412" width="14" style="365" customWidth="1"/>
    <col min="8413" max="8413" width="14.28515625" style="365" bestFit="1" customWidth="1"/>
    <col min="8414" max="8414" width="0" style="365" hidden="1" customWidth="1"/>
    <col min="8415" max="8415" width="15.5703125" style="365" customWidth="1"/>
    <col min="8416" max="8416" width="44.5703125" style="365" customWidth="1"/>
    <col min="8417" max="8417" width="14.28515625" style="365" bestFit="1" customWidth="1"/>
    <col min="8418" max="8418" width="0" style="365" hidden="1" customWidth="1"/>
    <col min="8419" max="8419" width="18.140625" style="365" customWidth="1"/>
    <col min="8420" max="8420" width="0" style="365" hidden="1" customWidth="1"/>
    <col min="8421" max="8421" width="14" style="365" customWidth="1"/>
    <col min="8422" max="8422" width="0" style="365" hidden="1" customWidth="1"/>
    <col min="8423" max="8423" width="20.85546875" style="365" customWidth="1"/>
    <col min="8424" max="8424" width="0" style="365" hidden="1" customWidth="1"/>
    <col min="8425" max="8425" width="13.28515625" style="365" customWidth="1"/>
    <col min="8426" max="8426" width="0" style="365" hidden="1" customWidth="1"/>
    <col min="8427" max="8427" width="15" style="365" customWidth="1"/>
    <col min="8428" max="8428" width="0" style="365" hidden="1" customWidth="1"/>
    <col min="8429" max="8429" width="13.28515625" style="365" customWidth="1"/>
    <col min="8430" max="8430" width="0" style="365" hidden="1" customWidth="1"/>
    <col min="8431" max="8431" width="20.140625" style="365" customWidth="1"/>
    <col min="8432" max="8432" width="14.42578125" style="365" bestFit="1" customWidth="1"/>
    <col min="8433" max="8433" width="14" style="365" bestFit="1" customWidth="1"/>
    <col min="8434" max="8434" width="12.28515625" style="365" bestFit="1" customWidth="1"/>
    <col min="8435" max="8459" width="9.140625" style="365" customWidth="1"/>
    <col min="8460" max="8654" width="8.85546875" style="365"/>
    <col min="8655" max="8655" width="44.5703125" style="365" customWidth="1"/>
    <col min="8656" max="8656" width="14.28515625" style="365" bestFit="1" customWidth="1"/>
    <col min="8657" max="8657" width="1.7109375" style="365" customWidth="1"/>
    <col min="8658" max="8658" width="14.85546875" style="365" customWidth="1"/>
    <col min="8659" max="8659" width="0" style="365" hidden="1" customWidth="1"/>
    <col min="8660" max="8660" width="17.42578125" style="365" customWidth="1"/>
    <col min="8661" max="8661" width="0" style="365" hidden="1" customWidth="1"/>
    <col min="8662" max="8662" width="12.85546875" style="365" customWidth="1"/>
    <col min="8663" max="8663" width="0" style="365" hidden="1" customWidth="1"/>
    <col min="8664" max="8664" width="14.42578125" style="365" customWidth="1"/>
    <col min="8665" max="8665" width="0" style="365" hidden="1" customWidth="1"/>
    <col min="8666" max="8666" width="17.42578125" style="365" customWidth="1"/>
    <col min="8667" max="8667" width="0" style="365" hidden="1" customWidth="1"/>
    <col min="8668" max="8668" width="14" style="365" customWidth="1"/>
    <col min="8669" max="8669" width="14.28515625" style="365" bestFit="1" customWidth="1"/>
    <col min="8670" max="8670" width="0" style="365" hidden="1" customWidth="1"/>
    <col min="8671" max="8671" width="15.5703125" style="365" customWidth="1"/>
    <col min="8672" max="8672" width="44.5703125" style="365" customWidth="1"/>
    <col min="8673" max="8673" width="14.28515625" style="365" bestFit="1" customWidth="1"/>
    <col min="8674" max="8674" width="0" style="365" hidden="1" customWidth="1"/>
    <col min="8675" max="8675" width="18.140625" style="365" customWidth="1"/>
    <col min="8676" max="8676" width="0" style="365" hidden="1" customWidth="1"/>
    <col min="8677" max="8677" width="14" style="365" customWidth="1"/>
    <col min="8678" max="8678" width="0" style="365" hidden="1" customWidth="1"/>
    <col min="8679" max="8679" width="20.85546875" style="365" customWidth="1"/>
    <col min="8680" max="8680" width="0" style="365" hidden="1" customWidth="1"/>
    <col min="8681" max="8681" width="13.28515625" style="365" customWidth="1"/>
    <col min="8682" max="8682" width="0" style="365" hidden="1" customWidth="1"/>
    <col min="8683" max="8683" width="15" style="365" customWidth="1"/>
    <col min="8684" max="8684" width="0" style="365" hidden="1" customWidth="1"/>
    <col min="8685" max="8685" width="13.28515625" style="365" customWidth="1"/>
    <col min="8686" max="8686" width="0" style="365" hidden="1" customWidth="1"/>
    <col min="8687" max="8687" width="20.140625" style="365" customWidth="1"/>
    <col min="8688" max="8688" width="14.42578125" style="365" bestFit="1" customWidth="1"/>
    <col min="8689" max="8689" width="14" style="365" bestFit="1" customWidth="1"/>
    <col min="8690" max="8690" width="12.28515625" style="365" bestFit="1" customWidth="1"/>
    <col min="8691" max="8715" width="9.140625" style="365" customWidth="1"/>
    <col min="8716" max="8910" width="8.85546875" style="365"/>
    <col min="8911" max="8911" width="44.5703125" style="365" customWidth="1"/>
    <col min="8912" max="8912" width="14.28515625" style="365" bestFit="1" customWidth="1"/>
    <col min="8913" max="8913" width="1.7109375" style="365" customWidth="1"/>
    <col min="8914" max="8914" width="14.85546875" style="365" customWidth="1"/>
    <col min="8915" max="8915" width="0" style="365" hidden="1" customWidth="1"/>
    <col min="8916" max="8916" width="17.42578125" style="365" customWidth="1"/>
    <col min="8917" max="8917" width="0" style="365" hidden="1" customWidth="1"/>
    <col min="8918" max="8918" width="12.85546875" style="365" customWidth="1"/>
    <col min="8919" max="8919" width="0" style="365" hidden="1" customWidth="1"/>
    <col min="8920" max="8920" width="14.42578125" style="365" customWidth="1"/>
    <col min="8921" max="8921" width="0" style="365" hidden="1" customWidth="1"/>
    <col min="8922" max="8922" width="17.42578125" style="365" customWidth="1"/>
    <col min="8923" max="8923" width="0" style="365" hidden="1" customWidth="1"/>
    <col min="8924" max="8924" width="14" style="365" customWidth="1"/>
    <col min="8925" max="8925" width="14.28515625" style="365" bestFit="1" customWidth="1"/>
    <col min="8926" max="8926" width="0" style="365" hidden="1" customWidth="1"/>
    <col min="8927" max="8927" width="15.5703125" style="365" customWidth="1"/>
    <col min="8928" max="8928" width="44.5703125" style="365" customWidth="1"/>
    <col min="8929" max="8929" width="14.28515625" style="365" bestFit="1" customWidth="1"/>
    <col min="8930" max="8930" width="0" style="365" hidden="1" customWidth="1"/>
    <col min="8931" max="8931" width="18.140625" style="365" customWidth="1"/>
    <col min="8932" max="8932" width="0" style="365" hidden="1" customWidth="1"/>
    <col min="8933" max="8933" width="14" style="365" customWidth="1"/>
    <col min="8934" max="8934" width="0" style="365" hidden="1" customWidth="1"/>
    <col min="8935" max="8935" width="20.85546875" style="365" customWidth="1"/>
    <col min="8936" max="8936" width="0" style="365" hidden="1" customWidth="1"/>
    <col min="8937" max="8937" width="13.28515625" style="365" customWidth="1"/>
    <col min="8938" max="8938" width="0" style="365" hidden="1" customWidth="1"/>
    <col min="8939" max="8939" width="15" style="365" customWidth="1"/>
    <col min="8940" max="8940" width="0" style="365" hidden="1" customWidth="1"/>
    <col min="8941" max="8941" width="13.28515625" style="365" customWidth="1"/>
    <col min="8942" max="8942" width="0" style="365" hidden="1" customWidth="1"/>
    <col min="8943" max="8943" width="20.140625" style="365" customWidth="1"/>
    <col min="8944" max="8944" width="14.42578125" style="365" bestFit="1" customWidth="1"/>
    <col min="8945" max="8945" width="14" style="365" bestFit="1" customWidth="1"/>
    <col min="8946" max="8946" width="12.28515625" style="365" bestFit="1" customWidth="1"/>
    <col min="8947" max="8971" width="9.140625" style="365" customWidth="1"/>
    <col min="8972" max="9166" width="8.85546875" style="365"/>
    <col min="9167" max="9167" width="44.5703125" style="365" customWidth="1"/>
    <col min="9168" max="9168" width="14.28515625" style="365" bestFit="1" customWidth="1"/>
    <col min="9169" max="9169" width="1.7109375" style="365" customWidth="1"/>
    <col min="9170" max="9170" width="14.85546875" style="365" customWidth="1"/>
    <col min="9171" max="9171" width="0" style="365" hidden="1" customWidth="1"/>
    <col min="9172" max="9172" width="17.42578125" style="365" customWidth="1"/>
    <col min="9173" max="9173" width="0" style="365" hidden="1" customWidth="1"/>
    <col min="9174" max="9174" width="12.85546875" style="365" customWidth="1"/>
    <col min="9175" max="9175" width="0" style="365" hidden="1" customWidth="1"/>
    <col min="9176" max="9176" width="14.42578125" style="365" customWidth="1"/>
    <col min="9177" max="9177" width="0" style="365" hidden="1" customWidth="1"/>
    <col min="9178" max="9178" width="17.42578125" style="365" customWidth="1"/>
    <col min="9179" max="9179" width="0" style="365" hidden="1" customWidth="1"/>
    <col min="9180" max="9180" width="14" style="365" customWidth="1"/>
    <col min="9181" max="9181" width="14.28515625" style="365" bestFit="1" customWidth="1"/>
    <col min="9182" max="9182" width="0" style="365" hidden="1" customWidth="1"/>
    <col min="9183" max="9183" width="15.5703125" style="365" customWidth="1"/>
    <col min="9184" max="9184" width="44.5703125" style="365" customWidth="1"/>
    <col min="9185" max="9185" width="14.28515625" style="365" bestFit="1" customWidth="1"/>
    <col min="9186" max="9186" width="0" style="365" hidden="1" customWidth="1"/>
    <col min="9187" max="9187" width="18.140625" style="365" customWidth="1"/>
    <col min="9188" max="9188" width="0" style="365" hidden="1" customWidth="1"/>
    <col min="9189" max="9189" width="14" style="365" customWidth="1"/>
    <col min="9190" max="9190" width="0" style="365" hidden="1" customWidth="1"/>
    <col min="9191" max="9191" width="20.85546875" style="365" customWidth="1"/>
    <col min="9192" max="9192" width="0" style="365" hidden="1" customWidth="1"/>
    <col min="9193" max="9193" width="13.28515625" style="365" customWidth="1"/>
    <col min="9194" max="9194" width="0" style="365" hidden="1" customWidth="1"/>
    <col min="9195" max="9195" width="15" style="365" customWidth="1"/>
    <col min="9196" max="9196" width="0" style="365" hidden="1" customWidth="1"/>
    <col min="9197" max="9197" width="13.28515625" style="365" customWidth="1"/>
    <col min="9198" max="9198" width="0" style="365" hidden="1" customWidth="1"/>
    <col min="9199" max="9199" width="20.140625" style="365" customWidth="1"/>
    <col min="9200" max="9200" width="14.42578125" style="365" bestFit="1" customWidth="1"/>
    <col min="9201" max="9201" width="14" style="365" bestFit="1" customWidth="1"/>
    <col min="9202" max="9202" width="12.28515625" style="365" bestFit="1" customWidth="1"/>
    <col min="9203" max="9227" width="9.140625" style="365" customWidth="1"/>
    <col min="9228" max="9422" width="8.85546875" style="365"/>
    <col min="9423" max="9423" width="44.5703125" style="365" customWidth="1"/>
    <col min="9424" max="9424" width="14.28515625" style="365" bestFit="1" customWidth="1"/>
    <col min="9425" max="9425" width="1.7109375" style="365" customWidth="1"/>
    <col min="9426" max="9426" width="14.85546875" style="365" customWidth="1"/>
    <col min="9427" max="9427" width="0" style="365" hidden="1" customWidth="1"/>
    <col min="9428" max="9428" width="17.42578125" style="365" customWidth="1"/>
    <col min="9429" max="9429" width="0" style="365" hidden="1" customWidth="1"/>
    <col min="9430" max="9430" width="12.85546875" style="365" customWidth="1"/>
    <col min="9431" max="9431" width="0" style="365" hidden="1" customWidth="1"/>
    <col min="9432" max="9432" width="14.42578125" style="365" customWidth="1"/>
    <col min="9433" max="9433" width="0" style="365" hidden="1" customWidth="1"/>
    <col min="9434" max="9434" width="17.42578125" style="365" customWidth="1"/>
    <col min="9435" max="9435" width="0" style="365" hidden="1" customWidth="1"/>
    <col min="9436" max="9436" width="14" style="365" customWidth="1"/>
    <col min="9437" max="9437" width="14.28515625" style="365" bestFit="1" customWidth="1"/>
    <col min="9438" max="9438" width="0" style="365" hidden="1" customWidth="1"/>
    <col min="9439" max="9439" width="15.5703125" style="365" customWidth="1"/>
    <col min="9440" max="9440" width="44.5703125" style="365" customWidth="1"/>
    <col min="9441" max="9441" width="14.28515625" style="365" bestFit="1" customWidth="1"/>
    <col min="9442" max="9442" width="0" style="365" hidden="1" customWidth="1"/>
    <col min="9443" max="9443" width="18.140625" style="365" customWidth="1"/>
    <col min="9444" max="9444" width="0" style="365" hidden="1" customWidth="1"/>
    <col min="9445" max="9445" width="14" style="365" customWidth="1"/>
    <col min="9446" max="9446" width="0" style="365" hidden="1" customWidth="1"/>
    <col min="9447" max="9447" width="20.85546875" style="365" customWidth="1"/>
    <col min="9448" max="9448" width="0" style="365" hidden="1" customWidth="1"/>
    <col min="9449" max="9449" width="13.28515625" style="365" customWidth="1"/>
    <col min="9450" max="9450" width="0" style="365" hidden="1" customWidth="1"/>
    <col min="9451" max="9451" width="15" style="365" customWidth="1"/>
    <col min="9452" max="9452" width="0" style="365" hidden="1" customWidth="1"/>
    <col min="9453" max="9453" width="13.28515625" style="365" customWidth="1"/>
    <col min="9454" max="9454" width="0" style="365" hidden="1" customWidth="1"/>
    <col min="9455" max="9455" width="20.140625" style="365" customWidth="1"/>
    <col min="9456" max="9456" width="14.42578125" style="365" bestFit="1" customWidth="1"/>
    <col min="9457" max="9457" width="14" style="365" bestFit="1" customWidth="1"/>
    <col min="9458" max="9458" width="12.28515625" style="365" bestFit="1" customWidth="1"/>
    <col min="9459" max="9483" width="9.140625" style="365" customWidth="1"/>
    <col min="9484" max="9678" width="8.85546875" style="365"/>
    <col min="9679" max="9679" width="44.5703125" style="365" customWidth="1"/>
    <col min="9680" max="9680" width="14.28515625" style="365" bestFit="1" customWidth="1"/>
    <col min="9681" max="9681" width="1.7109375" style="365" customWidth="1"/>
    <col min="9682" max="9682" width="14.85546875" style="365" customWidth="1"/>
    <col min="9683" max="9683" width="0" style="365" hidden="1" customWidth="1"/>
    <col min="9684" max="9684" width="17.42578125" style="365" customWidth="1"/>
    <col min="9685" max="9685" width="0" style="365" hidden="1" customWidth="1"/>
    <col min="9686" max="9686" width="12.85546875" style="365" customWidth="1"/>
    <col min="9687" max="9687" width="0" style="365" hidden="1" customWidth="1"/>
    <col min="9688" max="9688" width="14.42578125" style="365" customWidth="1"/>
    <col min="9689" max="9689" width="0" style="365" hidden="1" customWidth="1"/>
    <col min="9690" max="9690" width="17.42578125" style="365" customWidth="1"/>
    <col min="9691" max="9691" width="0" style="365" hidden="1" customWidth="1"/>
    <col min="9692" max="9692" width="14" style="365" customWidth="1"/>
    <col min="9693" max="9693" width="14.28515625" style="365" bestFit="1" customWidth="1"/>
    <col min="9694" max="9694" width="0" style="365" hidden="1" customWidth="1"/>
    <col min="9695" max="9695" width="15.5703125" style="365" customWidth="1"/>
    <col min="9696" max="9696" width="44.5703125" style="365" customWidth="1"/>
    <col min="9697" max="9697" width="14.28515625" style="365" bestFit="1" customWidth="1"/>
    <col min="9698" max="9698" width="0" style="365" hidden="1" customWidth="1"/>
    <col min="9699" max="9699" width="18.140625" style="365" customWidth="1"/>
    <col min="9700" max="9700" width="0" style="365" hidden="1" customWidth="1"/>
    <col min="9701" max="9701" width="14" style="365" customWidth="1"/>
    <col min="9702" max="9702" width="0" style="365" hidden="1" customWidth="1"/>
    <col min="9703" max="9703" width="20.85546875" style="365" customWidth="1"/>
    <col min="9704" max="9704" width="0" style="365" hidden="1" customWidth="1"/>
    <col min="9705" max="9705" width="13.28515625" style="365" customWidth="1"/>
    <col min="9706" max="9706" width="0" style="365" hidden="1" customWidth="1"/>
    <col min="9707" max="9707" width="15" style="365" customWidth="1"/>
    <col min="9708" max="9708" width="0" style="365" hidden="1" customWidth="1"/>
    <col min="9709" max="9709" width="13.28515625" style="365" customWidth="1"/>
    <col min="9710" max="9710" width="0" style="365" hidden="1" customWidth="1"/>
    <col min="9711" max="9711" width="20.140625" style="365" customWidth="1"/>
    <col min="9712" max="9712" width="14.42578125" style="365" bestFit="1" customWidth="1"/>
    <col min="9713" max="9713" width="14" style="365" bestFit="1" customWidth="1"/>
    <col min="9714" max="9714" width="12.28515625" style="365" bestFit="1" customWidth="1"/>
    <col min="9715" max="9739" width="9.140625" style="365" customWidth="1"/>
    <col min="9740" max="9934" width="8.85546875" style="365"/>
    <col min="9935" max="9935" width="44.5703125" style="365" customWidth="1"/>
    <col min="9936" max="9936" width="14.28515625" style="365" bestFit="1" customWidth="1"/>
    <col min="9937" max="9937" width="1.7109375" style="365" customWidth="1"/>
    <col min="9938" max="9938" width="14.85546875" style="365" customWidth="1"/>
    <col min="9939" max="9939" width="0" style="365" hidden="1" customWidth="1"/>
    <col min="9940" max="9940" width="17.42578125" style="365" customWidth="1"/>
    <col min="9941" max="9941" width="0" style="365" hidden="1" customWidth="1"/>
    <col min="9942" max="9942" width="12.85546875" style="365" customWidth="1"/>
    <col min="9943" max="9943" width="0" style="365" hidden="1" customWidth="1"/>
    <col min="9944" max="9944" width="14.42578125" style="365" customWidth="1"/>
    <col min="9945" max="9945" width="0" style="365" hidden="1" customWidth="1"/>
    <col min="9946" max="9946" width="17.42578125" style="365" customWidth="1"/>
    <col min="9947" max="9947" width="0" style="365" hidden="1" customWidth="1"/>
    <col min="9948" max="9948" width="14" style="365" customWidth="1"/>
    <col min="9949" max="9949" width="14.28515625" style="365" bestFit="1" customWidth="1"/>
    <col min="9950" max="9950" width="0" style="365" hidden="1" customWidth="1"/>
    <col min="9951" max="9951" width="15.5703125" style="365" customWidth="1"/>
    <col min="9952" max="9952" width="44.5703125" style="365" customWidth="1"/>
    <col min="9953" max="9953" width="14.28515625" style="365" bestFit="1" customWidth="1"/>
    <col min="9954" max="9954" width="0" style="365" hidden="1" customWidth="1"/>
    <col min="9955" max="9955" width="18.140625" style="365" customWidth="1"/>
    <col min="9956" max="9956" width="0" style="365" hidden="1" customWidth="1"/>
    <col min="9957" max="9957" width="14" style="365" customWidth="1"/>
    <col min="9958" max="9958" width="0" style="365" hidden="1" customWidth="1"/>
    <col min="9959" max="9959" width="20.85546875" style="365" customWidth="1"/>
    <col min="9960" max="9960" width="0" style="365" hidden="1" customWidth="1"/>
    <col min="9961" max="9961" width="13.28515625" style="365" customWidth="1"/>
    <col min="9962" max="9962" width="0" style="365" hidden="1" customWidth="1"/>
    <col min="9963" max="9963" width="15" style="365" customWidth="1"/>
    <col min="9964" max="9964" width="0" style="365" hidden="1" customWidth="1"/>
    <col min="9965" max="9965" width="13.28515625" style="365" customWidth="1"/>
    <col min="9966" max="9966" width="0" style="365" hidden="1" customWidth="1"/>
    <col min="9967" max="9967" width="20.140625" style="365" customWidth="1"/>
    <col min="9968" max="9968" width="14.42578125" style="365" bestFit="1" customWidth="1"/>
    <col min="9969" max="9969" width="14" style="365" bestFit="1" customWidth="1"/>
    <col min="9970" max="9970" width="12.28515625" style="365" bestFit="1" customWidth="1"/>
    <col min="9971" max="9995" width="9.140625" style="365" customWidth="1"/>
    <col min="9996" max="10190" width="8.85546875" style="365"/>
    <col min="10191" max="10191" width="44.5703125" style="365" customWidth="1"/>
    <col min="10192" max="10192" width="14.28515625" style="365" bestFit="1" customWidth="1"/>
    <col min="10193" max="10193" width="1.7109375" style="365" customWidth="1"/>
    <col min="10194" max="10194" width="14.85546875" style="365" customWidth="1"/>
    <col min="10195" max="10195" width="0" style="365" hidden="1" customWidth="1"/>
    <col min="10196" max="10196" width="17.42578125" style="365" customWidth="1"/>
    <col min="10197" max="10197" width="0" style="365" hidden="1" customWidth="1"/>
    <col min="10198" max="10198" width="12.85546875" style="365" customWidth="1"/>
    <col min="10199" max="10199" width="0" style="365" hidden="1" customWidth="1"/>
    <col min="10200" max="10200" width="14.42578125" style="365" customWidth="1"/>
    <col min="10201" max="10201" width="0" style="365" hidden="1" customWidth="1"/>
    <col min="10202" max="10202" width="17.42578125" style="365" customWidth="1"/>
    <col min="10203" max="10203" width="0" style="365" hidden="1" customWidth="1"/>
    <col min="10204" max="10204" width="14" style="365" customWidth="1"/>
    <col min="10205" max="10205" width="14.28515625" style="365" bestFit="1" customWidth="1"/>
    <col min="10206" max="10206" width="0" style="365" hidden="1" customWidth="1"/>
    <col min="10207" max="10207" width="15.5703125" style="365" customWidth="1"/>
    <col min="10208" max="10208" width="44.5703125" style="365" customWidth="1"/>
    <col min="10209" max="10209" width="14.28515625" style="365" bestFit="1" customWidth="1"/>
    <col min="10210" max="10210" width="0" style="365" hidden="1" customWidth="1"/>
    <col min="10211" max="10211" width="18.140625" style="365" customWidth="1"/>
    <col min="10212" max="10212" width="0" style="365" hidden="1" customWidth="1"/>
    <col min="10213" max="10213" width="14" style="365" customWidth="1"/>
    <col min="10214" max="10214" width="0" style="365" hidden="1" customWidth="1"/>
    <col min="10215" max="10215" width="20.85546875" style="365" customWidth="1"/>
    <col min="10216" max="10216" width="0" style="365" hidden="1" customWidth="1"/>
    <col min="10217" max="10217" width="13.28515625" style="365" customWidth="1"/>
    <col min="10218" max="10218" width="0" style="365" hidden="1" customWidth="1"/>
    <col min="10219" max="10219" width="15" style="365" customWidth="1"/>
    <col min="10220" max="10220" width="0" style="365" hidden="1" customWidth="1"/>
    <col min="10221" max="10221" width="13.28515625" style="365" customWidth="1"/>
    <col min="10222" max="10222" width="0" style="365" hidden="1" customWidth="1"/>
    <col min="10223" max="10223" width="20.140625" style="365" customWidth="1"/>
    <col min="10224" max="10224" width="14.42578125" style="365" bestFit="1" customWidth="1"/>
    <col min="10225" max="10225" width="14" style="365" bestFit="1" customWidth="1"/>
    <col min="10226" max="10226" width="12.28515625" style="365" bestFit="1" customWidth="1"/>
    <col min="10227" max="10251" width="9.140625" style="365" customWidth="1"/>
    <col min="10252" max="10446" width="8.85546875" style="365"/>
    <col min="10447" max="10447" width="44.5703125" style="365" customWidth="1"/>
    <col min="10448" max="10448" width="14.28515625" style="365" bestFit="1" customWidth="1"/>
    <col min="10449" max="10449" width="1.7109375" style="365" customWidth="1"/>
    <col min="10450" max="10450" width="14.85546875" style="365" customWidth="1"/>
    <col min="10451" max="10451" width="0" style="365" hidden="1" customWidth="1"/>
    <col min="10452" max="10452" width="17.42578125" style="365" customWidth="1"/>
    <col min="10453" max="10453" width="0" style="365" hidden="1" customWidth="1"/>
    <col min="10454" max="10454" width="12.85546875" style="365" customWidth="1"/>
    <col min="10455" max="10455" width="0" style="365" hidden="1" customWidth="1"/>
    <col min="10456" max="10456" width="14.42578125" style="365" customWidth="1"/>
    <col min="10457" max="10457" width="0" style="365" hidden="1" customWidth="1"/>
    <col min="10458" max="10458" width="17.42578125" style="365" customWidth="1"/>
    <col min="10459" max="10459" width="0" style="365" hidden="1" customWidth="1"/>
    <col min="10460" max="10460" width="14" style="365" customWidth="1"/>
    <col min="10461" max="10461" width="14.28515625" style="365" bestFit="1" customWidth="1"/>
    <col min="10462" max="10462" width="0" style="365" hidden="1" customWidth="1"/>
    <col min="10463" max="10463" width="15.5703125" style="365" customWidth="1"/>
    <col min="10464" max="10464" width="44.5703125" style="365" customWidth="1"/>
    <col min="10465" max="10465" width="14.28515625" style="365" bestFit="1" customWidth="1"/>
    <col min="10466" max="10466" width="0" style="365" hidden="1" customWidth="1"/>
    <col min="10467" max="10467" width="18.140625" style="365" customWidth="1"/>
    <col min="10468" max="10468" width="0" style="365" hidden="1" customWidth="1"/>
    <col min="10469" max="10469" width="14" style="365" customWidth="1"/>
    <col min="10470" max="10470" width="0" style="365" hidden="1" customWidth="1"/>
    <col min="10471" max="10471" width="20.85546875" style="365" customWidth="1"/>
    <col min="10472" max="10472" width="0" style="365" hidden="1" customWidth="1"/>
    <col min="10473" max="10473" width="13.28515625" style="365" customWidth="1"/>
    <col min="10474" max="10474" width="0" style="365" hidden="1" customWidth="1"/>
    <col min="10475" max="10475" width="15" style="365" customWidth="1"/>
    <col min="10476" max="10476" width="0" style="365" hidden="1" customWidth="1"/>
    <col min="10477" max="10477" width="13.28515625" style="365" customWidth="1"/>
    <col min="10478" max="10478" width="0" style="365" hidden="1" customWidth="1"/>
    <col min="10479" max="10479" width="20.140625" style="365" customWidth="1"/>
    <col min="10480" max="10480" width="14.42578125" style="365" bestFit="1" customWidth="1"/>
    <col min="10481" max="10481" width="14" style="365" bestFit="1" customWidth="1"/>
    <col min="10482" max="10482" width="12.28515625" style="365" bestFit="1" customWidth="1"/>
    <col min="10483" max="10507" width="9.140625" style="365" customWidth="1"/>
    <col min="10508" max="10702" width="8.85546875" style="365"/>
    <col min="10703" max="10703" width="44.5703125" style="365" customWidth="1"/>
    <col min="10704" max="10704" width="14.28515625" style="365" bestFit="1" customWidth="1"/>
    <col min="10705" max="10705" width="1.7109375" style="365" customWidth="1"/>
    <col min="10706" max="10706" width="14.85546875" style="365" customWidth="1"/>
    <col min="10707" max="10707" width="0" style="365" hidden="1" customWidth="1"/>
    <col min="10708" max="10708" width="17.42578125" style="365" customWidth="1"/>
    <col min="10709" max="10709" width="0" style="365" hidden="1" customWidth="1"/>
    <col min="10710" max="10710" width="12.85546875" style="365" customWidth="1"/>
    <col min="10711" max="10711" width="0" style="365" hidden="1" customWidth="1"/>
    <col min="10712" max="10712" width="14.42578125" style="365" customWidth="1"/>
    <col min="10713" max="10713" width="0" style="365" hidden="1" customWidth="1"/>
    <col min="10714" max="10714" width="17.42578125" style="365" customWidth="1"/>
    <col min="10715" max="10715" width="0" style="365" hidden="1" customWidth="1"/>
    <col min="10716" max="10716" width="14" style="365" customWidth="1"/>
    <col min="10717" max="10717" width="14.28515625" style="365" bestFit="1" customWidth="1"/>
    <col min="10718" max="10718" width="0" style="365" hidden="1" customWidth="1"/>
    <col min="10719" max="10719" width="15.5703125" style="365" customWidth="1"/>
    <col min="10720" max="10720" width="44.5703125" style="365" customWidth="1"/>
    <col min="10721" max="10721" width="14.28515625" style="365" bestFit="1" customWidth="1"/>
    <col min="10722" max="10722" width="0" style="365" hidden="1" customWidth="1"/>
    <col min="10723" max="10723" width="18.140625" style="365" customWidth="1"/>
    <col min="10724" max="10724" width="0" style="365" hidden="1" customWidth="1"/>
    <col min="10725" max="10725" width="14" style="365" customWidth="1"/>
    <col min="10726" max="10726" width="0" style="365" hidden="1" customWidth="1"/>
    <col min="10727" max="10727" width="20.85546875" style="365" customWidth="1"/>
    <col min="10728" max="10728" width="0" style="365" hidden="1" customWidth="1"/>
    <col min="10729" max="10729" width="13.28515625" style="365" customWidth="1"/>
    <col min="10730" max="10730" width="0" style="365" hidden="1" customWidth="1"/>
    <col min="10731" max="10731" width="15" style="365" customWidth="1"/>
    <col min="10732" max="10732" width="0" style="365" hidden="1" customWidth="1"/>
    <col min="10733" max="10733" width="13.28515625" style="365" customWidth="1"/>
    <col min="10734" max="10734" width="0" style="365" hidden="1" customWidth="1"/>
    <col min="10735" max="10735" width="20.140625" style="365" customWidth="1"/>
    <col min="10736" max="10736" width="14.42578125" style="365" bestFit="1" customWidth="1"/>
    <col min="10737" max="10737" width="14" style="365" bestFit="1" customWidth="1"/>
    <col min="10738" max="10738" width="12.28515625" style="365" bestFit="1" customWidth="1"/>
    <col min="10739" max="10763" width="9.140625" style="365" customWidth="1"/>
    <col min="10764" max="10958" width="8.85546875" style="365"/>
    <col min="10959" max="10959" width="44.5703125" style="365" customWidth="1"/>
    <col min="10960" max="10960" width="14.28515625" style="365" bestFit="1" customWidth="1"/>
    <col min="10961" max="10961" width="1.7109375" style="365" customWidth="1"/>
    <col min="10962" max="10962" width="14.85546875" style="365" customWidth="1"/>
    <col min="10963" max="10963" width="0" style="365" hidden="1" customWidth="1"/>
    <col min="10964" max="10964" width="17.42578125" style="365" customWidth="1"/>
    <col min="10965" max="10965" width="0" style="365" hidden="1" customWidth="1"/>
    <col min="10966" max="10966" width="12.85546875" style="365" customWidth="1"/>
    <col min="10967" max="10967" width="0" style="365" hidden="1" customWidth="1"/>
    <col min="10968" max="10968" width="14.42578125" style="365" customWidth="1"/>
    <col min="10969" max="10969" width="0" style="365" hidden="1" customWidth="1"/>
    <col min="10970" max="10970" width="17.42578125" style="365" customWidth="1"/>
    <col min="10971" max="10971" width="0" style="365" hidden="1" customWidth="1"/>
    <col min="10972" max="10972" width="14" style="365" customWidth="1"/>
    <col min="10973" max="10973" width="14.28515625" style="365" bestFit="1" customWidth="1"/>
    <col min="10974" max="10974" width="0" style="365" hidden="1" customWidth="1"/>
    <col min="10975" max="10975" width="15.5703125" style="365" customWidth="1"/>
    <col min="10976" max="10976" width="44.5703125" style="365" customWidth="1"/>
    <col min="10977" max="10977" width="14.28515625" style="365" bestFit="1" customWidth="1"/>
    <col min="10978" max="10978" width="0" style="365" hidden="1" customWidth="1"/>
    <col min="10979" max="10979" width="18.140625" style="365" customWidth="1"/>
    <col min="10980" max="10980" width="0" style="365" hidden="1" customWidth="1"/>
    <col min="10981" max="10981" width="14" style="365" customWidth="1"/>
    <col min="10982" max="10982" width="0" style="365" hidden="1" customWidth="1"/>
    <col min="10983" max="10983" width="20.85546875" style="365" customWidth="1"/>
    <col min="10984" max="10984" width="0" style="365" hidden="1" customWidth="1"/>
    <col min="10985" max="10985" width="13.28515625" style="365" customWidth="1"/>
    <col min="10986" max="10986" width="0" style="365" hidden="1" customWidth="1"/>
    <col min="10987" max="10987" width="15" style="365" customWidth="1"/>
    <col min="10988" max="10988" width="0" style="365" hidden="1" customWidth="1"/>
    <col min="10989" max="10989" width="13.28515625" style="365" customWidth="1"/>
    <col min="10990" max="10990" width="0" style="365" hidden="1" customWidth="1"/>
    <col min="10991" max="10991" width="20.140625" style="365" customWidth="1"/>
    <col min="10992" max="10992" width="14.42578125" style="365" bestFit="1" customWidth="1"/>
    <col min="10993" max="10993" width="14" style="365" bestFit="1" customWidth="1"/>
    <col min="10994" max="10994" width="12.28515625" style="365" bestFit="1" customWidth="1"/>
    <col min="10995" max="11019" width="9.140625" style="365" customWidth="1"/>
    <col min="11020" max="11214" width="8.85546875" style="365"/>
    <col min="11215" max="11215" width="44.5703125" style="365" customWidth="1"/>
    <col min="11216" max="11216" width="14.28515625" style="365" bestFit="1" customWidth="1"/>
    <col min="11217" max="11217" width="1.7109375" style="365" customWidth="1"/>
    <col min="11218" max="11218" width="14.85546875" style="365" customWidth="1"/>
    <col min="11219" max="11219" width="0" style="365" hidden="1" customWidth="1"/>
    <col min="11220" max="11220" width="17.42578125" style="365" customWidth="1"/>
    <col min="11221" max="11221" width="0" style="365" hidden="1" customWidth="1"/>
    <col min="11222" max="11222" width="12.85546875" style="365" customWidth="1"/>
    <col min="11223" max="11223" width="0" style="365" hidden="1" customWidth="1"/>
    <col min="11224" max="11224" width="14.42578125" style="365" customWidth="1"/>
    <col min="11225" max="11225" width="0" style="365" hidden="1" customWidth="1"/>
    <col min="11226" max="11226" width="17.42578125" style="365" customWidth="1"/>
    <col min="11227" max="11227" width="0" style="365" hidden="1" customWidth="1"/>
    <col min="11228" max="11228" width="14" style="365" customWidth="1"/>
    <col min="11229" max="11229" width="14.28515625" style="365" bestFit="1" customWidth="1"/>
    <col min="11230" max="11230" width="0" style="365" hidden="1" customWidth="1"/>
    <col min="11231" max="11231" width="15.5703125" style="365" customWidth="1"/>
    <col min="11232" max="11232" width="44.5703125" style="365" customWidth="1"/>
    <col min="11233" max="11233" width="14.28515625" style="365" bestFit="1" customWidth="1"/>
    <col min="11234" max="11234" width="0" style="365" hidden="1" customWidth="1"/>
    <col min="11235" max="11235" width="18.140625" style="365" customWidth="1"/>
    <col min="11236" max="11236" width="0" style="365" hidden="1" customWidth="1"/>
    <col min="11237" max="11237" width="14" style="365" customWidth="1"/>
    <col min="11238" max="11238" width="0" style="365" hidden="1" customWidth="1"/>
    <col min="11239" max="11239" width="20.85546875" style="365" customWidth="1"/>
    <col min="11240" max="11240" width="0" style="365" hidden="1" customWidth="1"/>
    <col min="11241" max="11241" width="13.28515625" style="365" customWidth="1"/>
    <col min="11242" max="11242" width="0" style="365" hidden="1" customWidth="1"/>
    <col min="11243" max="11243" width="15" style="365" customWidth="1"/>
    <col min="11244" max="11244" width="0" style="365" hidden="1" customWidth="1"/>
    <col min="11245" max="11245" width="13.28515625" style="365" customWidth="1"/>
    <col min="11246" max="11246" width="0" style="365" hidden="1" customWidth="1"/>
    <col min="11247" max="11247" width="20.140625" style="365" customWidth="1"/>
    <col min="11248" max="11248" width="14.42578125" style="365" bestFit="1" customWidth="1"/>
    <col min="11249" max="11249" width="14" style="365" bestFit="1" customWidth="1"/>
    <col min="11250" max="11250" width="12.28515625" style="365" bestFit="1" customWidth="1"/>
    <col min="11251" max="11275" width="9.140625" style="365" customWidth="1"/>
    <col min="11276" max="11470" width="8.85546875" style="365"/>
    <col min="11471" max="11471" width="44.5703125" style="365" customWidth="1"/>
    <col min="11472" max="11472" width="14.28515625" style="365" bestFit="1" customWidth="1"/>
    <col min="11473" max="11473" width="1.7109375" style="365" customWidth="1"/>
    <col min="11474" max="11474" width="14.85546875" style="365" customWidth="1"/>
    <col min="11475" max="11475" width="0" style="365" hidden="1" customWidth="1"/>
    <col min="11476" max="11476" width="17.42578125" style="365" customWidth="1"/>
    <col min="11477" max="11477" width="0" style="365" hidden="1" customWidth="1"/>
    <col min="11478" max="11478" width="12.85546875" style="365" customWidth="1"/>
    <col min="11479" max="11479" width="0" style="365" hidden="1" customWidth="1"/>
    <col min="11480" max="11480" width="14.42578125" style="365" customWidth="1"/>
    <col min="11481" max="11481" width="0" style="365" hidden="1" customWidth="1"/>
    <col min="11482" max="11482" width="17.42578125" style="365" customWidth="1"/>
    <col min="11483" max="11483" width="0" style="365" hidden="1" customWidth="1"/>
    <col min="11484" max="11484" width="14" style="365" customWidth="1"/>
    <col min="11485" max="11485" width="14.28515625" style="365" bestFit="1" customWidth="1"/>
    <col min="11486" max="11486" width="0" style="365" hidden="1" customWidth="1"/>
    <col min="11487" max="11487" width="15.5703125" style="365" customWidth="1"/>
    <col min="11488" max="11488" width="44.5703125" style="365" customWidth="1"/>
    <col min="11489" max="11489" width="14.28515625" style="365" bestFit="1" customWidth="1"/>
    <col min="11490" max="11490" width="0" style="365" hidden="1" customWidth="1"/>
    <col min="11491" max="11491" width="18.140625" style="365" customWidth="1"/>
    <col min="11492" max="11492" width="0" style="365" hidden="1" customWidth="1"/>
    <col min="11493" max="11493" width="14" style="365" customWidth="1"/>
    <col min="11494" max="11494" width="0" style="365" hidden="1" customWidth="1"/>
    <col min="11495" max="11495" width="20.85546875" style="365" customWidth="1"/>
    <col min="11496" max="11496" width="0" style="365" hidden="1" customWidth="1"/>
    <col min="11497" max="11497" width="13.28515625" style="365" customWidth="1"/>
    <col min="11498" max="11498" width="0" style="365" hidden="1" customWidth="1"/>
    <col min="11499" max="11499" width="15" style="365" customWidth="1"/>
    <col min="11500" max="11500" width="0" style="365" hidden="1" customWidth="1"/>
    <col min="11501" max="11501" width="13.28515625" style="365" customWidth="1"/>
    <col min="11502" max="11502" width="0" style="365" hidden="1" customWidth="1"/>
    <col min="11503" max="11503" width="20.140625" style="365" customWidth="1"/>
    <col min="11504" max="11504" width="14.42578125" style="365" bestFit="1" customWidth="1"/>
    <col min="11505" max="11505" width="14" style="365" bestFit="1" customWidth="1"/>
    <col min="11506" max="11506" width="12.28515625" style="365" bestFit="1" customWidth="1"/>
    <col min="11507" max="11531" width="9.140625" style="365" customWidth="1"/>
    <col min="11532" max="11726" width="8.85546875" style="365"/>
    <col min="11727" max="11727" width="44.5703125" style="365" customWidth="1"/>
    <col min="11728" max="11728" width="14.28515625" style="365" bestFit="1" customWidth="1"/>
    <col min="11729" max="11729" width="1.7109375" style="365" customWidth="1"/>
    <col min="11730" max="11730" width="14.85546875" style="365" customWidth="1"/>
    <col min="11731" max="11731" width="0" style="365" hidden="1" customWidth="1"/>
    <col min="11732" max="11732" width="17.42578125" style="365" customWidth="1"/>
    <col min="11733" max="11733" width="0" style="365" hidden="1" customWidth="1"/>
    <col min="11734" max="11734" width="12.85546875" style="365" customWidth="1"/>
    <col min="11735" max="11735" width="0" style="365" hidden="1" customWidth="1"/>
    <col min="11736" max="11736" width="14.42578125" style="365" customWidth="1"/>
    <col min="11737" max="11737" width="0" style="365" hidden="1" customWidth="1"/>
    <col min="11738" max="11738" width="17.42578125" style="365" customWidth="1"/>
    <col min="11739" max="11739" width="0" style="365" hidden="1" customWidth="1"/>
    <col min="11740" max="11740" width="14" style="365" customWidth="1"/>
    <col min="11741" max="11741" width="14.28515625" style="365" bestFit="1" customWidth="1"/>
    <col min="11742" max="11742" width="0" style="365" hidden="1" customWidth="1"/>
    <col min="11743" max="11743" width="15.5703125" style="365" customWidth="1"/>
    <col min="11744" max="11744" width="44.5703125" style="365" customWidth="1"/>
    <col min="11745" max="11745" width="14.28515625" style="365" bestFit="1" customWidth="1"/>
    <col min="11746" max="11746" width="0" style="365" hidden="1" customWidth="1"/>
    <col min="11747" max="11747" width="18.140625" style="365" customWidth="1"/>
    <col min="11748" max="11748" width="0" style="365" hidden="1" customWidth="1"/>
    <col min="11749" max="11749" width="14" style="365" customWidth="1"/>
    <col min="11750" max="11750" width="0" style="365" hidden="1" customWidth="1"/>
    <col min="11751" max="11751" width="20.85546875" style="365" customWidth="1"/>
    <col min="11752" max="11752" width="0" style="365" hidden="1" customWidth="1"/>
    <col min="11753" max="11753" width="13.28515625" style="365" customWidth="1"/>
    <col min="11754" max="11754" width="0" style="365" hidden="1" customWidth="1"/>
    <col min="11755" max="11755" width="15" style="365" customWidth="1"/>
    <col min="11756" max="11756" width="0" style="365" hidden="1" customWidth="1"/>
    <col min="11757" max="11757" width="13.28515625" style="365" customWidth="1"/>
    <col min="11758" max="11758" width="0" style="365" hidden="1" customWidth="1"/>
    <col min="11759" max="11759" width="20.140625" style="365" customWidth="1"/>
    <col min="11760" max="11760" width="14.42578125" style="365" bestFit="1" customWidth="1"/>
    <col min="11761" max="11761" width="14" style="365" bestFit="1" customWidth="1"/>
    <col min="11762" max="11762" width="12.28515625" style="365" bestFit="1" customWidth="1"/>
    <col min="11763" max="11787" width="9.140625" style="365" customWidth="1"/>
    <col min="11788" max="11982" width="8.85546875" style="365"/>
    <col min="11983" max="11983" width="44.5703125" style="365" customWidth="1"/>
    <col min="11984" max="11984" width="14.28515625" style="365" bestFit="1" customWidth="1"/>
    <col min="11985" max="11985" width="1.7109375" style="365" customWidth="1"/>
    <col min="11986" max="11986" width="14.85546875" style="365" customWidth="1"/>
    <col min="11987" max="11987" width="0" style="365" hidden="1" customWidth="1"/>
    <col min="11988" max="11988" width="17.42578125" style="365" customWidth="1"/>
    <col min="11989" max="11989" width="0" style="365" hidden="1" customWidth="1"/>
    <col min="11990" max="11990" width="12.85546875" style="365" customWidth="1"/>
    <col min="11991" max="11991" width="0" style="365" hidden="1" customWidth="1"/>
    <col min="11992" max="11992" width="14.42578125" style="365" customWidth="1"/>
    <col min="11993" max="11993" width="0" style="365" hidden="1" customWidth="1"/>
    <col min="11994" max="11994" width="17.42578125" style="365" customWidth="1"/>
    <col min="11995" max="11995" width="0" style="365" hidden="1" customWidth="1"/>
    <col min="11996" max="11996" width="14" style="365" customWidth="1"/>
    <col min="11997" max="11997" width="14.28515625" style="365" bestFit="1" customWidth="1"/>
    <col min="11998" max="11998" width="0" style="365" hidden="1" customWidth="1"/>
    <col min="11999" max="11999" width="15.5703125" style="365" customWidth="1"/>
    <col min="12000" max="12000" width="44.5703125" style="365" customWidth="1"/>
    <col min="12001" max="12001" width="14.28515625" style="365" bestFit="1" customWidth="1"/>
    <col min="12002" max="12002" width="0" style="365" hidden="1" customWidth="1"/>
    <col min="12003" max="12003" width="18.140625" style="365" customWidth="1"/>
    <col min="12004" max="12004" width="0" style="365" hidden="1" customWidth="1"/>
    <col min="12005" max="12005" width="14" style="365" customWidth="1"/>
    <col min="12006" max="12006" width="0" style="365" hidden="1" customWidth="1"/>
    <col min="12007" max="12007" width="20.85546875" style="365" customWidth="1"/>
    <col min="12008" max="12008" width="0" style="365" hidden="1" customWidth="1"/>
    <col min="12009" max="12009" width="13.28515625" style="365" customWidth="1"/>
    <col min="12010" max="12010" width="0" style="365" hidden="1" customWidth="1"/>
    <col min="12011" max="12011" width="15" style="365" customWidth="1"/>
    <col min="12012" max="12012" width="0" style="365" hidden="1" customWidth="1"/>
    <col min="12013" max="12013" width="13.28515625" style="365" customWidth="1"/>
    <col min="12014" max="12014" width="0" style="365" hidden="1" customWidth="1"/>
    <col min="12015" max="12015" width="20.140625" style="365" customWidth="1"/>
    <col min="12016" max="12016" width="14.42578125" style="365" bestFit="1" customWidth="1"/>
    <col min="12017" max="12017" width="14" style="365" bestFit="1" customWidth="1"/>
    <col min="12018" max="12018" width="12.28515625" style="365" bestFit="1" customWidth="1"/>
    <col min="12019" max="12043" width="9.140625" style="365" customWidth="1"/>
    <col min="12044" max="12238" width="8.85546875" style="365"/>
    <col min="12239" max="12239" width="44.5703125" style="365" customWidth="1"/>
    <col min="12240" max="12240" width="14.28515625" style="365" bestFit="1" customWidth="1"/>
    <col min="12241" max="12241" width="1.7109375" style="365" customWidth="1"/>
    <col min="12242" max="12242" width="14.85546875" style="365" customWidth="1"/>
    <col min="12243" max="12243" width="0" style="365" hidden="1" customWidth="1"/>
    <col min="12244" max="12244" width="17.42578125" style="365" customWidth="1"/>
    <col min="12245" max="12245" width="0" style="365" hidden="1" customWidth="1"/>
    <col min="12246" max="12246" width="12.85546875" style="365" customWidth="1"/>
    <col min="12247" max="12247" width="0" style="365" hidden="1" customWidth="1"/>
    <col min="12248" max="12248" width="14.42578125" style="365" customWidth="1"/>
    <col min="12249" max="12249" width="0" style="365" hidden="1" customWidth="1"/>
    <col min="12250" max="12250" width="17.42578125" style="365" customWidth="1"/>
    <col min="12251" max="12251" width="0" style="365" hidden="1" customWidth="1"/>
    <col min="12252" max="12252" width="14" style="365" customWidth="1"/>
    <col min="12253" max="12253" width="14.28515625" style="365" bestFit="1" customWidth="1"/>
    <col min="12254" max="12254" width="0" style="365" hidden="1" customWidth="1"/>
    <col min="12255" max="12255" width="15.5703125" style="365" customWidth="1"/>
    <col min="12256" max="12256" width="44.5703125" style="365" customWidth="1"/>
    <col min="12257" max="12257" width="14.28515625" style="365" bestFit="1" customWidth="1"/>
    <col min="12258" max="12258" width="0" style="365" hidden="1" customWidth="1"/>
    <col min="12259" max="12259" width="18.140625" style="365" customWidth="1"/>
    <col min="12260" max="12260" width="0" style="365" hidden="1" customWidth="1"/>
    <col min="12261" max="12261" width="14" style="365" customWidth="1"/>
    <col min="12262" max="12262" width="0" style="365" hidden="1" customWidth="1"/>
    <col min="12263" max="12263" width="20.85546875" style="365" customWidth="1"/>
    <col min="12264" max="12264" width="0" style="365" hidden="1" customWidth="1"/>
    <col min="12265" max="12265" width="13.28515625" style="365" customWidth="1"/>
    <col min="12266" max="12266" width="0" style="365" hidden="1" customWidth="1"/>
    <col min="12267" max="12267" width="15" style="365" customWidth="1"/>
    <col min="12268" max="12268" width="0" style="365" hidden="1" customWidth="1"/>
    <col min="12269" max="12269" width="13.28515625" style="365" customWidth="1"/>
    <col min="12270" max="12270" width="0" style="365" hidden="1" customWidth="1"/>
    <col min="12271" max="12271" width="20.140625" style="365" customWidth="1"/>
    <col min="12272" max="12272" width="14.42578125" style="365" bestFit="1" customWidth="1"/>
    <col min="12273" max="12273" width="14" style="365" bestFit="1" customWidth="1"/>
    <col min="12274" max="12274" width="12.28515625" style="365" bestFit="1" customWidth="1"/>
    <col min="12275" max="12299" width="9.140625" style="365" customWidth="1"/>
    <col min="12300" max="12494" width="8.85546875" style="365"/>
    <col min="12495" max="12495" width="44.5703125" style="365" customWidth="1"/>
    <col min="12496" max="12496" width="14.28515625" style="365" bestFit="1" customWidth="1"/>
    <col min="12497" max="12497" width="1.7109375" style="365" customWidth="1"/>
    <col min="12498" max="12498" width="14.85546875" style="365" customWidth="1"/>
    <col min="12499" max="12499" width="0" style="365" hidden="1" customWidth="1"/>
    <col min="12500" max="12500" width="17.42578125" style="365" customWidth="1"/>
    <col min="12501" max="12501" width="0" style="365" hidden="1" customWidth="1"/>
    <col min="12502" max="12502" width="12.85546875" style="365" customWidth="1"/>
    <col min="12503" max="12503" width="0" style="365" hidden="1" customWidth="1"/>
    <col min="12504" max="12504" width="14.42578125" style="365" customWidth="1"/>
    <col min="12505" max="12505" width="0" style="365" hidden="1" customWidth="1"/>
    <col min="12506" max="12506" width="17.42578125" style="365" customWidth="1"/>
    <col min="12507" max="12507" width="0" style="365" hidden="1" customWidth="1"/>
    <col min="12508" max="12508" width="14" style="365" customWidth="1"/>
    <col min="12509" max="12509" width="14.28515625" style="365" bestFit="1" customWidth="1"/>
    <col min="12510" max="12510" width="0" style="365" hidden="1" customWidth="1"/>
    <col min="12511" max="12511" width="15.5703125" style="365" customWidth="1"/>
    <col min="12512" max="12512" width="44.5703125" style="365" customWidth="1"/>
    <col min="12513" max="12513" width="14.28515625" style="365" bestFit="1" customWidth="1"/>
    <col min="12514" max="12514" width="0" style="365" hidden="1" customWidth="1"/>
    <col min="12515" max="12515" width="18.140625" style="365" customWidth="1"/>
    <col min="12516" max="12516" width="0" style="365" hidden="1" customWidth="1"/>
    <col min="12517" max="12517" width="14" style="365" customWidth="1"/>
    <col min="12518" max="12518" width="0" style="365" hidden="1" customWidth="1"/>
    <col min="12519" max="12519" width="20.85546875" style="365" customWidth="1"/>
    <col min="12520" max="12520" width="0" style="365" hidden="1" customWidth="1"/>
    <col min="12521" max="12521" width="13.28515625" style="365" customWidth="1"/>
    <col min="12522" max="12522" width="0" style="365" hidden="1" customWidth="1"/>
    <col min="12523" max="12523" width="15" style="365" customWidth="1"/>
    <col min="12524" max="12524" width="0" style="365" hidden="1" customWidth="1"/>
    <col min="12525" max="12525" width="13.28515625" style="365" customWidth="1"/>
    <col min="12526" max="12526" width="0" style="365" hidden="1" customWidth="1"/>
    <col min="12527" max="12527" width="20.140625" style="365" customWidth="1"/>
    <col min="12528" max="12528" width="14.42578125" style="365" bestFit="1" customWidth="1"/>
    <col min="12529" max="12529" width="14" style="365" bestFit="1" customWidth="1"/>
    <col min="12530" max="12530" width="12.28515625" style="365" bestFit="1" customWidth="1"/>
    <col min="12531" max="12555" width="9.140625" style="365" customWidth="1"/>
    <col min="12556" max="12750" width="8.85546875" style="365"/>
    <col min="12751" max="12751" width="44.5703125" style="365" customWidth="1"/>
    <col min="12752" max="12752" width="14.28515625" style="365" bestFit="1" customWidth="1"/>
    <col min="12753" max="12753" width="1.7109375" style="365" customWidth="1"/>
    <col min="12754" max="12754" width="14.85546875" style="365" customWidth="1"/>
    <col min="12755" max="12755" width="0" style="365" hidden="1" customWidth="1"/>
    <col min="12756" max="12756" width="17.42578125" style="365" customWidth="1"/>
    <col min="12757" max="12757" width="0" style="365" hidden="1" customWidth="1"/>
    <col min="12758" max="12758" width="12.85546875" style="365" customWidth="1"/>
    <col min="12759" max="12759" width="0" style="365" hidden="1" customWidth="1"/>
    <col min="12760" max="12760" width="14.42578125" style="365" customWidth="1"/>
    <col min="12761" max="12761" width="0" style="365" hidden="1" customWidth="1"/>
    <col min="12762" max="12762" width="17.42578125" style="365" customWidth="1"/>
    <col min="12763" max="12763" width="0" style="365" hidden="1" customWidth="1"/>
    <col min="12764" max="12764" width="14" style="365" customWidth="1"/>
    <col min="12765" max="12765" width="14.28515625" style="365" bestFit="1" customWidth="1"/>
    <col min="12766" max="12766" width="0" style="365" hidden="1" customWidth="1"/>
    <col min="12767" max="12767" width="15.5703125" style="365" customWidth="1"/>
    <col min="12768" max="12768" width="44.5703125" style="365" customWidth="1"/>
    <col min="12769" max="12769" width="14.28515625" style="365" bestFit="1" customWidth="1"/>
    <col min="12770" max="12770" width="0" style="365" hidden="1" customWidth="1"/>
    <col min="12771" max="12771" width="18.140625" style="365" customWidth="1"/>
    <col min="12772" max="12772" width="0" style="365" hidden="1" customWidth="1"/>
    <col min="12773" max="12773" width="14" style="365" customWidth="1"/>
    <col min="12774" max="12774" width="0" style="365" hidden="1" customWidth="1"/>
    <col min="12775" max="12775" width="20.85546875" style="365" customWidth="1"/>
    <col min="12776" max="12776" width="0" style="365" hidden="1" customWidth="1"/>
    <col min="12777" max="12777" width="13.28515625" style="365" customWidth="1"/>
    <col min="12778" max="12778" width="0" style="365" hidden="1" customWidth="1"/>
    <col min="12779" max="12779" width="15" style="365" customWidth="1"/>
    <col min="12780" max="12780" width="0" style="365" hidden="1" customWidth="1"/>
    <col min="12781" max="12781" width="13.28515625" style="365" customWidth="1"/>
    <col min="12782" max="12782" width="0" style="365" hidden="1" customWidth="1"/>
    <col min="12783" max="12783" width="20.140625" style="365" customWidth="1"/>
    <col min="12784" max="12784" width="14.42578125" style="365" bestFit="1" customWidth="1"/>
    <col min="12785" max="12785" width="14" style="365" bestFit="1" customWidth="1"/>
    <col min="12786" max="12786" width="12.28515625" style="365" bestFit="1" customWidth="1"/>
    <col min="12787" max="12811" width="9.140625" style="365" customWidth="1"/>
    <col min="12812" max="13006" width="8.85546875" style="365"/>
    <col min="13007" max="13007" width="44.5703125" style="365" customWidth="1"/>
    <col min="13008" max="13008" width="14.28515625" style="365" bestFit="1" customWidth="1"/>
    <col min="13009" max="13009" width="1.7109375" style="365" customWidth="1"/>
    <col min="13010" max="13010" width="14.85546875" style="365" customWidth="1"/>
    <col min="13011" max="13011" width="0" style="365" hidden="1" customWidth="1"/>
    <col min="13012" max="13012" width="17.42578125" style="365" customWidth="1"/>
    <col min="13013" max="13013" width="0" style="365" hidden="1" customWidth="1"/>
    <col min="13014" max="13014" width="12.85546875" style="365" customWidth="1"/>
    <col min="13015" max="13015" width="0" style="365" hidden="1" customWidth="1"/>
    <col min="13016" max="13016" width="14.42578125" style="365" customWidth="1"/>
    <col min="13017" max="13017" width="0" style="365" hidden="1" customWidth="1"/>
    <col min="13018" max="13018" width="17.42578125" style="365" customWidth="1"/>
    <col min="13019" max="13019" width="0" style="365" hidden="1" customWidth="1"/>
    <col min="13020" max="13020" width="14" style="365" customWidth="1"/>
    <col min="13021" max="13021" width="14.28515625" style="365" bestFit="1" customWidth="1"/>
    <col min="13022" max="13022" width="0" style="365" hidden="1" customWidth="1"/>
    <col min="13023" max="13023" width="15.5703125" style="365" customWidth="1"/>
    <col min="13024" max="13024" width="44.5703125" style="365" customWidth="1"/>
    <col min="13025" max="13025" width="14.28515625" style="365" bestFit="1" customWidth="1"/>
    <col min="13026" max="13026" width="0" style="365" hidden="1" customWidth="1"/>
    <col min="13027" max="13027" width="18.140625" style="365" customWidth="1"/>
    <col min="13028" max="13028" width="0" style="365" hidden="1" customWidth="1"/>
    <col min="13029" max="13029" width="14" style="365" customWidth="1"/>
    <col min="13030" max="13030" width="0" style="365" hidden="1" customWidth="1"/>
    <col min="13031" max="13031" width="20.85546875" style="365" customWidth="1"/>
    <col min="13032" max="13032" width="0" style="365" hidden="1" customWidth="1"/>
    <col min="13033" max="13033" width="13.28515625" style="365" customWidth="1"/>
    <col min="13034" max="13034" width="0" style="365" hidden="1" customWidth="1"/>
    <col min="13035" max="13035" width="15" style="365" customWidth="1"/>
    <col min="13036" max="13036" width="0" style="365" hidden="1" customWidth="1"/>
    <col min="13037" max="13037" width="13.28515625" style="365" customWidth="1"/>
    <col min="13038" max="13038" width="0" style="365" hidden="1" customWidth="1"/>
    <col min="13039" max="13039" width="20.140625" style="365" customWidth="1"/>
    <col min="13040" max="13040" width="14.42578125" style="365" bestFit="1" customWidth="1"/>
    <col min="13041" max="13041" width="14" style="365" bestFit="1" customWidth="1"/>
    <col min="13042" max="13042" width="12.28515625" style="365" bestFit="1" customWidth="1"/>
    <col min="13043" max="13067" width="9.140625" style="365" customWidth="1"/>
    <col min="13068" max="13262" width="8.85546875" style="365"/>
    <col min="13263" max="13263" width="44.5703125" style="365" customWidth="1"/>
    <col min="13264" max="13264" width="14.28515625" style="365" bestFit="1" customWidth="1"/>
    <col min="13265" max="13265" width="1.7109375" style="365" customWidth="1"/>
    <col min="13266" max="13266" width="14.85546875" style="365" customWidth="1"/>
    <col min="13267" max="13267" width="0" style="365" hidden="1" customWidth="1"/>
    <col min="13268" max="13268" width="17.42578125" style="365" customWidth="1"/>
    <col min="13269" max="13269" width="0" style="365" hidden="1" customWidth="1"/>
    <col min="13270" max="13270" width="12.85546875" style="365" customWidth="1"/>
    <col min="13271" max="13271" width="0" style="365" hidden="1" customWidth="1"/>
    <col min="13272" max="13272" width="14.42578125" style="365" customWidth="1"/>
    <col min="13273" max="13273" width="0" style="365" hidden="1" customWidth="1"/>
    <col min="13274" max="13274" width="17.42578125" style="365" customWidth="1"/>
    <col min="13275" max="13275" width="0" style="365" hidden="1" customWidth="1"/>
    <col min="13276" max="13276" width="14" style="365" customWidth="1"/>
    <col min="13277" max="13277" width="14.28515625" style="365" bestFit="1" customWidth="1"/>
    <col min="13278" max="13278" width="0" style="365" hidden="1" customWidth="1"/>
    <col min="13279" max="13279" width="15.5703125" style="365" customWidth="1"/>
    <col min="13280" max="13280" width="44.5703125" style="365" customWidth="1"/>
    <col min="13281" max="13281" width="14.28515625" style="365" bestFit="1" customWidth="1"/>
    <col min="13282" max="13282" width="0" style="365" hidden="1" customWidth="1"/>
    <col min="13283" max="13283" width="18.140625" style="365" customWidth="1"/>
    <col min="13284" max="13284" width="0" style="365" hidden="1" customWidth="1"/>
    <col min="13285" max="13285" width="14" style="365" customWidth="1"/>
    <col min="13286" max="13286" width="0" style="365" hidden="1" customWidth="1"/>
    <col min="13287" max="13287" width="20.85546875" style="365" customWidth="1"/>
    <col min="13288" max="13288" width="0" style="365" hidden="1" customWidth="1"/>
    <col min="13289" max="13289" width="13.28515625" style="365" customWidth="1"/>
    <col min="13290" max="13290" width="0" style="365" hidden="1" customWidth="1"/>
    <col min="13291" max="13291" width="15" style="365" customWidth="1"/>
    <col min="13292" max="13292" width="0" style="365" hidden="1" customWidth="1"/>
    <col min="13293" max="13293" width="13.28515625" style="365" customWidth="1"/>
    <col min="13294" max="13294" width="0" style="365" hidden="1" customWidth="1"/>
    <col min="13295" max="13295" width="20.140625" style="365" customWidth="1"/>
    <col min="13296" max="13296" width="14.42578125" style="365" bestFit="1" customWidth="1"/>
    <col min="13297" max="13297" width="14" style="365" bestFit="1" customWidth="1"/>
    <col min="13298" max="13298" width="12.28515625" style="365" bestFit="1" customWidth="1"/>
    <col min="13299" max="13323" width="9.140625" style="365" customWidth="1"/>
    <col min="13324" max="13518" width="8.85546875" style="365"/>
    <col min="13519" max="13519" width="44.5703125" style="365" customWidth="1"/>
    <col min="13520" max="13520" width="14.28515625" style="365" bestFit="1" customWidth="1"/>
    <col min="13521" max="13521" width="1.7109375" style="365" customWidth="1"/>
    <col min="13522" max="13522" width="14.85546875" style="365" customWidth="1"/>
    <col min="13523" max="13523" width="0" style="365" hidden="1" customWidth="1"/>
    <col min="13524" max="13524" width="17.42578125" style="365" customWidth="1"/>
    <col min="13525" max="13525" width="0" style="365" hidden="1" customWidth="1"/>
    <col min="13526" max="13526" width="12.85546875" style="365" customWidth="1"/>
    <col min="13527" max="13527" width="0" style="365" hidden="1" customWidth="1"/>
    <col min="13528" max="13528" width="14.42578125" style="365" customWidth="1"/>
    <col min="13529" max="13529" width="0" style="365" hidden="1" customWidth="1"/>
    <col min="13530" max="13530" width="17.42578125" style="365" customWidth="1"/>
    <col min="13531" max="13531" width="0" style="365" hidden="1" customWidth="1"/>
    <col min="13532" max="13532" width="14" style="365" customWidth="1"/>
    <col min="13533" max="13533" width="14.28515625" style="365" bestFit="1" customWidth="1"/>
    <col min="13534" max="13534" width="0" style="365" hidden="1" customWidth="1"/>
    <col min="13535" max="13535" width="15.5703125" style="365" customWidth="1"/>
    <col min="13536" max="13536" width="44.5703125" style="365" customWidth="1"/>
    <col min="13537" max="13537" width="14.28515625" style="365" bestFit="1" customWidth="1"/>
    <col min="13538" max="13538" width="0" style="365" hidden="1" customWidth="1"/>
    <col min="13539" max="13539" width="18.140625" style="365" customWidth="1"/>
    <col min="13540" max="13540" width="0" style="365" hidden="1" customWidth="1"/>
    <col min="13541" max="13541" width="14" style="365" customWidth="1"/>
    <col min="13542" max="13542" width="0" style="365" hidden="1" customWidth="1"/>
    <col min="13543" max="13543" width="20.85546875" style="365" customWidth="1"/>
    <col min="13544" max="13544" width="0" style="365" hidden="1" customWidth="1"/>
    <col min="13545" max="13545" width="13.28515625" style="365" customWidth="1"/>
    <col min="13546" max="13546" width="0" style="365" hidden="1" customWidth="1"/>
    <col min="13547" max="13547" width="15" style="365" customWidth="1"/>
    <col min="13548" max="13548" width="0" style="365" hidden="1" customWidth="1"/>
    <col min="13549" max="13549" width="13.28515625" style="365" customWidth="1"/>
    <col min="13550" max="13550" width="0" style="365" hidden="1" customWidth="1"/>
    <col min="13551" max="13551" width="20.140625" style="365" customWidth="1"/>
    <col min="13552" max="13552" width="14.42578125" style="365" bestFit="1" customWidth="1"/>
    <col min="13553" max="13553" width="14" style="365" bestFit="1" customWidth="1"/>
    <col min="13554" max="13554" width="12.28515625" style="365" bestFit="1" customWidth="1"/>
    <col min="13555" max="13579" width="9.140625" style="365" customWidth="1"/>
    <col min="13580" max="13774" width="8.85546875" style="365"/>
    <col min="13775" max="13775" width="44.5703125" style="365" customWidth="1"/>
    <col min="13776" max="13776" width="14.28515625" style="365" bestFit="1" customWidth="1"/>
    <col min="13777" max="13777" width="1.7109375" style="365" customWidth="1"/>
    <col min="13778" max="13778" width="14.85546875" style="365" customWidth="1"/>
    <col min="13779" max="13779" width="0" style="365" hidden="1" customWidth="1"/>
    <col min="13780" max="13780" width="17.42578125" style="365" customWidth="1"/>
    <col min="13781" max="13781" width="0" style="365" hidden="1" customWidth="1"/>
    <col min="13782" max="13782" width="12.85546875" style="365" customWidth="1"/>
    <col min="13783" max="13783" width="0" style="365" hidden="1" customWidth="1"/>
    <col min="13784" max="13784" width="14.42578125" style="365" customWidth="1"/>
    <col min="13785" max="13785" width="0" style="365" hidden="1" customWidth="1"/>
    <col min="13786" max="13786" width="17.42578125" style="365" customWidth="1"/>
    <col min="13787" max="13787" width="0" style="365" hidden="1" customWidth="1"/>
    <col min="13788" max="13788" width="14" style="365" customWidth="1"/>
    <col min="13789" max="13789" width="14.28515625" style="365" bestFit="1" customWidth="1"/>
    <col min="13790" max="13790" width="0" style="365" hidden="1" customWidth="1"/>
    <col min="13791" max="13791" width="15.5703125" style="365" customWidth="1"/>
    <col min="13792" max="13792" width="44.5703125" style="365" customWidth="1"/>
    <col min="13793" max="13793" width="14.28515625" style="365" bestFit="1" customWidth="1"/>
    <col min="13794" max="13794" width="0" style="365" hidden="1" customWidth="1"/>
    <col min="13795" max="13795" width="18.140625" style="365" customWidth="1"/>
    <col min="13796" max="13796" width="0" style="365" hidden="1" customWidth="1"/>
    <col min="13797" max="13797" width="14" style="365" customWidth="1"/>
    <col min="13798" max="13798" width="0" style="365" hidden="1" customWidth="1"/>
    <col min="13799" max="13799" width="20.85546875" style="365" customWidth="1"/>
    <col min="13800" max="13800" width="0" style="365" hidden="1" customWidth="1"/>
    <col min="13801" max="13801" width="13.28515625" style="365" customWidth="1"/>
    <col min="13802" max="13802" width="0" style="365" hidden="1" customWidth="1"/>
    <col min="13803" max="13803" width="15" style="365" customWidth="1"/>
    <col min="13804" max="13804" width="0" style="365" hidden="1" customWidth="1"/>
    <col min="13805" max="13805" width="13.28515625" style="365" customWidth="1"/>
    <col min="13806" max="13806" width="0" style="365" hidden="1" customWidth="1"/>
    <col min="13807" max="13807" width="20.140625" style="365" customWidth="1"/>
    <col min="13808" max="13808" width="14.42578125" style="365" bestFit="1" customWidth="1"/>
    <col min="13809" max="13809" width="14" style="365" bestFit="1" customWidth="1"/>
    <col min="13810" max="13810" width="12.28515625" style="365" bestFit="1" customWidth="1"/>
    <col min="13811" max="13835" width="9.140625" style="365" customWidth="1"/>
    <col min="13836" max="14030" width="8.85546875" style="365"/>
    <col min="14031" max="14031" width="44.5703125" style="365" customWidth="1"/>
    <col min="14032" max="14032" width="14.28515625" style="365" bestFit="1" customWidth="1"/>
    <col min="14033" max="14033" width="1.7109375" style="365" customWidth="1"/>
    <col min="14034" max="14034" width="14.85546875" style="365" customWidth="1"/>
    <col min="14035" max="14035" width="0" style="365" hidden="1" customWidth="1"/>
    <col min="14036" max="14036" width="17.42578125" style="365" customWidth="1"/>
    <col min="14037" max="14037" width="0" style="365" hidden="1" customWidth="1"/>
    <col min="14038" max="14038" width="12.85546875" style="365" customWidth="1"/>
    <col min="14039" max="14039" width="0" style="365" hidden="1" customWidth="1"/>
    <col min="14040" max="14040" width="14.42578125" style="365" customWidth="1"/>
    <col min="14041" max="14041" width="0" style="365" hidden="1" customWidth="1"/>
    <col min="14042" max="14042" width="17.42578125" style="365" customWidth="1"/>
    <col min="14043" max="14043" width="0" style="365" hidden="1" customWidth="1"/>
    <col min="14044" max="14044" width="14" style="365" customWidth="1"/>
    <col min="14045" max="14045" width="14.28515625" style="365" bestFit="1" customWidth="1"/>
    <col min="14046" max="14046" width="0" style="365" hidden="1" customWidth="1"/>
    <col min="14047" max="14047" width="15.5703125" style="365" customWidth="1"/>
    <col min="14048" max="14048" width="44.5703125" style="365" customWidth="1"/>
    <col min="14049" max="14049" width="14.28515625" style="365" bestFit="1" customWidth="1"/>
    <col min="14050" max="14050" width="0" style="365" hidden="1" customWidth="1"/>
    <col min="14051" max="14051" width="18.140625" style="365" customWidth="1"/>
    <col min="14052" max="14052" width="0" style="365" hidden="1" customWidth="1"/>
    <col min="14053" max="14053" width="14" style="365" customWidth="1"/>
    <col min="14054" max="14054" width="0" style="365" hidden="1" customWidth="1"/>
    <col min="14055" max="14055" width="20.85546875" style="365" customWidth="1"/>
    <col min="14056" max="14056" width="0" style="365" hidden="1" customWidth="1"/>
    <col min="14057" max="14057" width="13.28515625" style="365" customWidth="1"/>
    <col min="14058" max="14058" width="0" style="365" hidden="1" customWidth="1"/>
    <col min="14059" max="14059" width="15" style="365" customWidth="1"/>
    <col min="14060" max="14060" width="0" style="365" hidden="1" customWidth="1"/>
    <col min="14061" max="14061" width="13.28515625" style="365" customWidth="1"/>
    <col min="14062" max="14062" width="0" style="365" hidden="1" customWidth="1"/>
    <col min="14063" max="14063" width="20.140625" style="365" customWidth="1"/>
    <col min="14064" max="14064" width="14.42578125" style="365" bestFit="1" customWidth="1"/>
    <col min="14065" max="14065" width="14" style="365" bestFit="1" customWidth="1"/>
    <col min="14066" max="14066" width="12.28515625" style="365" bestFit="1" customWidth="1"/>
    <col min="14067" max="14091" width="9.140625" style="365" customWidth="1"/>
    <col min="14092" max="14286" width="8.85546875" style="365"/>
    <col min="14287" max="14287" width="44.5703125" style="365" customWidth="1"/>
    <col min="14288" max="14288" width="14.28515625" style="365" bestFit="1" customWidth="1"/>
    <col min="14289" max="14289" width="1.7109375" style="365" customWidth="1"/>
    <col min="14290" max="14290" width="14.85546875" style="365" customWidth="1"/>
    <col min="14291" max="14291" width="0" style="365" hidden="1" customWidth="1"/>
    <col min="14292" max="14292" width="17.42578125" style="365" customWidth="1"/>
    <col min="14293" max="14293" width="0" style="365" hidden="1" customWidth="1"/>
    <col min="14294" max="14294" width="12.85546875" style="365" customWidth="1"/>
    <col min="14295" max="14295" width="0" style="365" hidden="1" customWidth="1"/>
    <col min="14296" max="14296" width="14.42578125" style="365" customWidth="1"/>
    <col min="14297" max="14297" width="0" style="365" hidden="1" customWidth="1"/>
    <col min="14298" max="14298" width="17.42578125" style="365" customWidth="1"/>
    <col min="14299" max="14299" width="0" style="365" hidden="1" customWidth="1"/>
    <col min="14300" max="14300" width="14" style="365" customWidth="1"/>
    <col min="14301" max="14301" width="14.28515625" style="365" bestFit="1" customWidth="1"/>
    <col min="14302" max="14302" width="0" style="365" hidden="1" customWidth="1"/>
    <col min="14303" max="14303" width="15.5703125" style="365" customWidth="1"/>
    <col min="14304" max="14304" width="44.5703125" style="365" customWidth="1"/>
    <col min="14305" max="14305" width="14.28515625" style="365" bestFit="1" customWidth="1"/>
    <col min="14306" max="14306" width="0" style="365" hidden="1" customWidth="1"/>
    <col min="14307" max="14307" width="18.140625" style="365" customWidth="1"/>
    <col min="14308" max="14308" width="0" style="365" hidden="1" customWidth="1"/>
    <col min="14309" max="14309" width="14" style="365" customWidth="1"/>
    <col min="14310" max="14310" width="0" style="365" hidden="1" customWidth="1"/>
    <col min="14311" max="14311" width="20.85546875" style="365" customWidth="1"/>
    <col min="14312" max="14312" width="0" style="365" hidden="1" customWidth="1"/>
    <col min="14313" max="14313" width="13.28515625" style="365" customWidth="1"/>
    <col min="14314" max="14314" width="0" style="365" hidden="1" customWidth="1"/>
    <col min="14315" max="14315" width="15" style="365" customWidth="1"/>
    <col min="14316" max="14316" width="0" style="365" hidden="1" customWidth="1"/>
    <col min="14317" max="14317" width="13.28515625" style="365" customWidth="1"/>
    <col min="14318" max="14318" width="0" style="365" hidden="1" customWidth="1"/>
    <col min="14319" max="14319" width="20.140625" style="365" customWidth="1"/>
    <col min="14320" max="14320" width="14.42578125" style="365" bestFit="1" customWidth="1"/>
    <col min="14321" max="14321" width="14" style="365" bestFit="1" customWidth="1"/>
    <col min="14322" max="14322" width="12.28515625" style="365" bestFit="1" customWidth="1"/>
    <col min="14323" max="14347" width="9.140625" style="365" customWidth="1"/>
    <col min="14348" max="14542" width="8.85546875" style="365"/>
    <col min="14543" max="14543" width="44.5703125" style="365" customWidth="1"/>
    <col min="14544" max="14544" width="14.28515625" style="365" bestFit="1" customWidth="1"/>
    <col min="14545" max="14545" width="1.7109375" style="365" customWidth="1"/>
    <col min="14546" max="14546" width="14.85546875" style="365" customWidth="1"/>
    <col min="14547" max="14547" width="0" style="365" hidden="1" customWidth="1"/>
    <col min="14548" max="14548" width="17.42578125" style="365" customWidth="1"/>
    <col min="14549" max="14549" width="0" style="365" hidden="1" customWidth="1"/>
    <col min="14550" max="14550" width="12.85546875" style="365" customWidth="1"/>
    <col min="14551" max="14551" width="0" style="365" hidden="1" customWidth="1"/>
    <col min="14552" max="14552" width="14.42578125" style="365" customWidth="1"/>
    <col min="14553" max="14553" width="0" style="365" hidden="1" customWidth="1"/>
    <col min="14554" max="14554" width="17.42578125" style="365" customWidth="1"/>
    <col min="14555" max="14555" width="0" style="365" hidden="1" customWidth="1"/>
    <col min="14556" max="14556" width="14" style="365" customWidth="1"/>
    <col min="14557" max="14557" width="14.28515625" style="365" bestFit="1" customWidth="1"/>
    <col min="14558" max="14558" width="0" style="365" hidden="1" customWidth="1"/>
    <col min="14559" max="14559" width="15.5703125" style="365" customWidth="1"/>
    <col min="14560" max="14560" width="44.5703125" style="365" customWidth="1"/>
    <col min="14561" max="14561" width="14.28515625" style="365" bestFit="1" customWidth="1"/>
    <col min="14562" max="14562" width="0" style="365" hidden="1" customWidth="1"/>
    <col min="14563" max="14563" width="18.140625" style="365" customWidth="1"/>
    <col min="14564" max="14564" width="0" style="365" hidden="1" customWidth="1"/>
    <col min="14565" max="14565" width="14" style="365" customWidth="1"/>
    <col min="14566" max="14566" width="0" style="365" hidden="1" customWidth="1"/>
    <col min="14567" max="14567" width="20.85546875" style="365" customWidth="1"/>
    <col min="14568" max="14568" width="0" style="365" hidden="1" customWidth="1"/>
    <col min="14569" max="14569" width="13.28515625" style="365" customWidth="1"/>
    <col min="14570" max="14570" width="0" style="365" hidden="1" customWidth="1"/>
    <col min="14571" max="14571" width="15" style="365" customWidth="1"/>
    <col min="14572" max="14572" width="0" style="365" hidden="1" customWidth="1"/>
    <col min="14573" max="14573" width="13.28515625" style="365" customWidth="1"/>
    <col min="14574" max="14574" width="0" style="365" hidden="1" customWidth="1"/>
    <col min="14575" max="14575" width="20.140625" style="365" customWidth="1"/>
    <col min="14576" max="14576" width="14.42578125" style="365" bestFit="1" customWidth="1"/>
    <col min="14577" max="14577" width="14" style="365" bestFit="1" customWidth="1"/>
    <col min="14578" max="14578" width="12.28515625" style="365" bestFit="1" customWidth="1"/>
    <col min="14579" max="14603" width="9.140625" style="365" customWidth="1"/>
    <col min="14604" max="14798" width="8.85546875" style="365"/>
    <col min="14799" max="14799" width="44.5703125" style="365" customWidth="1"/>
    <col min="14800" max="14800" width="14.28515625" style="365" bestFit="1" customWidth="1"/>
    <col min="14801" max="14801" width="1.7109375" style="365" customWidth="1"/>
    <col min="14802" max="14802" width="14.85546875" style="365" customWidth="1"/>
    <col min="14803" max="14803" width="0" style="365" hidden="1" customWidth="1"/>
    <col min="14804" max="14804" width="17.42578125" style="365" customWidth="1"/>
    <col min="14805" max="14805" width="0" style="365" hidden="1" customWidth="1"/>
    <col min="14806" max="14806" width="12.85546875" style="365" customWidth="1"/>
    <col min="14807" max="14807" width="0" style="365" hidden="1" customWidth="1"/>
    <col min="14808" max="14808" width="14.42578125" style="365" customWidth="1"/>
    <col min="14809" max="14809" width="0" style="365" hidden="1" customWidth="1"/>
    <col min="14810" max="14810" width="17.42578125" style="365" customWidth="1"/>
    <col min="14811" max="14811" width="0" style="365" hidden="1" customWidth="1"/>
    <col min="14812" max="14812" width="14" style="365" customWidth="1"/>
    <col min="14813" max="14813" width="14.28515625" style="365" bestFit="1" customWidth="1"/>
    <col min="14814" max="14814" width="0" style="365" hidden="1" customWidth="1"/>
    <col min="14815" max="14815" width="15.5703125" style="365" customWidth="1"/>
    <col min="14816" max="14816" width="44.5703125" style="365" customWidth="1"/>
    <col min="14817" max="14817" width="14.28515625" style="365" bestFit="1" customWidth="1"/>
    <col min="14818" max="14818" width="0" style="365" hidden="1" customWidth="1"/>
    <col min="14819" max="14819" width="18.140625" style="365" customWidth="1"/>
    <col min="14820" max="14820" width="0" style="365" hidden="1" customWidth="1"/>
    <col min="14821" max="14821" width="14" style="365" customWidth="1"/>
    <col min="14822" max="14822" width="0" style="365" hidden="1" customWidth="1"/>
    <col min="14823" max="14823" width="20.85546875" style="365" customWidth="1"/>
    <col min="14824" max="14824" width="0" style="365" hidden="1" customWidth="1"/>
    <col min="14825" max="14825" width="13.28515625" style="365" customWidth="1"/>
    <col min="14826" max="14826" width="0" style="365" hidden="1" customWidth="1"/>
    <col min="14827" max="14827" width="15" style="365" customWidth="1"/>
    <col min="14828" max="14828" width="0" style="365" hidden="1" customWidth="1"/>
    <col min="14829" max="14829" width="13.28515625" style="365" customWidth="1"/>
    <col min="14830" max="14830" width="0" style="365" hidden="1" customWidth="1"/>
    <col min="14831" max="14831" width="20.140625" style="365" customWidth="1"/>
    <col min="14832" max="14832" width="14.42578125" style="365" bestFit="1" customWidth="1"/>
    <col min="14833" max="14833" width="14" style="365" bestFit="1" customWidth="1"/>
    <col min="14834" max="14834" width="12.28515625" style="365" bestFit="1" customWidth="1"/>
    <col min="14835" max="14859" width="9.140625" style="365" customWidth="1"/>
    <col min="14860" max="15054" width="8.85546875" style="365"/>
    <col min="15055" max="15055" width="44.5703125" style="365" customWidth="1"/>
    <col min="15056" max="15056" width="14.28515625" style="365" bestFit="1" customWidth="1"/>
    <col min="15057" max="15057" width="1.7109375" style="365" customWidth="1"/>
    <col min="15058" max="15058" width="14.85546875" style="365" customWidth="1"/>
    <col min="15059" max="15059" width="0" style="365" hidden="1" customWidth="1"/>
    <col min="15060" max="15060" width="17.42578125" style="365" customWidth="1"/>
    <col min="15061" max="15061" width="0" style="365" hidden="1" customWidth="1"/>
    <col min="15062" max="15062" width="12.85546875" style="365" customWidth="1"/>
    <col min="15063" max="15063" width="0" style="365" hidden="1" customWidth="1"/>
    <col min="15064" max="15064" width="14.42578125" style="365" customWidth="1"/>
    <col min="15065" max="15065" width="0" style="365" hidden="1" customWidth="1"/>
    <col min="15066" max="15066" width="17.42578125" style="365" customWidth="1"/>
    <col min="15067" max="15067" width="0" style="365" hidden="1" customWidth="1"/>
    <col min="15068" max="15068" width="14" style="365" customWidth="1"/>
    <col min="15069" max="15069" width="14.28515625" style="365" bestFit="1" customWidth="1"/>
    <col min="15070" max="15070" width="0" style="365" hidden="1" customWidth="1"/>
    <col min="15071" max="15071" width="15.5703125" style="365" customWidth="1"/>
    <col min="15072" max="15072" width="44.5703125" style="365" customWidth="1"/>
    <col min="15073" max="15073" width="14.28515625" style="365" bestFit="1" customWidth="1"/>
    <col min="15074" max="15074" width="0" style="365" hidden="1" customWidth="1"/>
    <col min="15075" max="15075" width="18.140625" style="365" customWidth="1"/>
    <col min="15076" max="15076" width="0" style="365" hidden="1" customWidth="1"/>
    <col min="15077" max="15077" width="14" style="365" customWidth="1"/>
    <col min="15078" max="15078" width="0" style="365" hidden="1" customWidth="1"/>
    <col min="15079" max="15079" width="20.85546875" style="365" customWidth="1"/>
    <col min="15080" max="15080" width="0" style="365" hidden="1" customWidth="1"/>
    <col min="15081" max="15081" width="13.28515625" style="365" customWidth="1"/>
    <col min="15082" max="15082" width="0" style="365" hidden="1" customWidth="1"/>
    <col min="15083" max="15083" width="15" style="365" customWidth="1"/>
    <col min="15084" max="15084" width="0" style="365" hidden="1" customWidth="1"/>
    <col min="15085" max="15085" width="13.28515625" style="365" customWidth="1"/>
    <col min="15086" max="15086" width="0" style="365" hidden="1" customWidth="1"/>
    <col min="15087" max="15087" width="20.140625" style="365" customWidth="1"/>
    <col min="15088" max="15088" width="14.42578125" style="365" bestFit="1" customWidth="1"/>
    <col min="15089" max="15089" width="14" style="365" bestFit="1" customWidth="1"/>
    <col min="15090" max="15090" width="12.28515625" style="365" bestFit="1" customWidth="1"/>
    <col min="15091" max="15115" width="9.140625" style="365" customWidth="1"/>
    <col min="15116" max="15310" width="8.85546875" style="365"/>
    <col min="15311" max="15311" width="44.5703125" style="365" customWidth="1"/>
    <col min="15312" max="15312" width="14.28515625" style="365" bestFit="1" customWidth="1"/>
    <col min="15313" max="15313" width="1.7109375" style="365" customWidth="1"/>
    <col min="15314" max="15314" width="14.85546875" style="365" customWidth="1"/>
    <col min="15315" max="15315" width="0" style="365" hidden="1" customWidth="1"/>
    <col min="15316" max="15316" width="17.42578125" style="365" customWidth="1"/>
    <col min="15317" max="15317" width="0" style="365" hidden="1" customWidth="1"/>
    <col min="15318" max="15318" width="12.85546875" style="365" customWidth="1"/>
    <col min="15319" max="15319" width="0" style="365" hidden="1" customWidth="1"/>
    <col min="15320" max="15320" width="14.42578125" style="365" customWidth="1"/>
    <col min="15321" max="15321" width="0" style="365" hidden="1" customWidth="1"/>
    <col min="15322" max="15322" width="17.42578125" style="365" customWidth="1"/>
    <col min="15323" max="15323" width="0" style="365" hidden="1" customWidth="1"/>
    <col min="15324" max="15324" width="14" style="365" customWidth="1"/>
    <col min="15325" max="15325" width="14.28515625" style="365" bestFit="1" customWidth="1"/>
    <col min="15326" max="15326" width="0" style="365" hidden="1" customWidth="1"/>
    <col min="15327" max="15327" width="15.5703125" style="365" customWidth="1"/>
    <col min="15328" max="15328" width="44.5703125" style="365" customWidth="1"/>
    <col min="15329" max="15329" width="14.28515625" style="365" bestFit="1" customWidth="1"/>
    <col min="15330" max="15330" width="0" style="365" hidden="1" customWidth="1"/>
    <col min="15331" max="15331" width="18.140625" style="365" customWidth="1"/>
    <col min="15332" max="15332" width="0" style="365" hidden="1" customWidth="1"/>
    <col min="15333" max="15333" width="14" style="365" customWidth="1"/>
    <col min="15334" max="15334" width="0" style="365" hidden="1" customWidth="1"/>
    <col min="15335" max="15335" width="20.85546875" style="365" customWidth="1"/>
    <col min="15336" max="15336" width="0" style="365" hidden="1" customWidth="1"/>
    <col min="15337" max="15337" width="13.28515625" style="365" customWidth="1"/>
    <col min="15338" max="15338" width="0" style="365" hidden="1" customWidth="1"/>
    <col min="15339" max="15339" width="15" style="365" customWidth="1"/>
    <col min="15340" max="15340" width="0" style="365" hidden="1" customWidth="1"/>
    <col min="15341" max="15341" width="13.28515625" style="365" customWidth="1"/>
    <col min="15342" max="15342" width="0" style="365" hidden="1" customWidth="1"/>
    <col min="15343" max="15343" width="20.140625" style="365" customWidth="1"/>
    <col min="15344" max="15344" width="14.42578125" style="365" bestFit="1" customWidth="1"/>
    <col min="15345" max="15345" width="14" style="365" bestFit="1" customWidth="1"/>
    <col min="15346" max="15346" width="12.28515625" style="365" bestFit="1" customWidth="1"/>
    <col min="15347" max="15371" width="9.140625" style="365" customWidth="1"/>
    <col min="15372" max="15566" width="8.85546875" style="365"/>
    <col min="15567" max="15567" width="44.5703125" style="365" customWidth="1"/>
    <col min="15568" max="15568" width="14.28515625" style="365" bestFit="1" customWidth="1"/>
    <col min="15569" max="15569" width="1.7109375" style="365" customWidth="1"/>
    <col min="15570" max="15570" width="14.85546875" style="365" customWidth="1"/>
    <col min="15571" max="15571" width="0" style="365" hidden="1" customWidth="1"/>
    <col min="15572" max="15572" width="17.42578125" style="365" customWidth="1"/>
    <col min="15573" max="15573" width="0" style="365" hidden="1" customWidth="1"/>
    <col min="15574" max="15574" width="12.85546875" style="365" customWidth="1"/>
    <col min="15575" max="15575" width="0" style="365" hidden="1" customWidth="1"/>
    <col min="15576" max="15576" width="14.42578125" style="365" customWidth="1"/>
    <col min="15577" max="15577" width="0" style="365" hidden="1" customWidth="1"/>
    <col min="15578" max="15578" width="17.42578125" style="365" customWidth="1"/>
    <col min="15579" max="15579" width="0" style="365" hidden="1" customWidth="1"/>
    <col min="15580" max="15580" width="14" style="365" customWidth="1"/>
    <col min="15581" max="15581" width="14.28515625" style="365" bestFit="1" customWidth="1"/>
    <col min="15582" max="15582" width="0" style="365" hidden="1" customWidth="1"/>
    <col min="15583" max="15583" width="15.5703125" style="365" customWidth="1"/>
    <col min="15584" max="15584" width="44.5703125" style="365" customWidth="1"/>
    <col min="15585" max="15585" width="14.28515625" style="365" bestFit="1" customWidth="1"/>
    <col min="15586" max="15586" width="0" style="365" hidden="1" customWidth="1"/>
    <col min="15587" max="15587" width="18.140625" style="365" customWidth="1"/>
    <col min="15588" max="15588" width="0" style="365" hidden="1" customWidth="1"/>
    <col min="15589" max="15589" width="14" style="365" customWidth="1"/>
    <col min="15590" max="15590" width="0" style="365" hidden="1" customWidth="1"/>
    <col min="15591" max="15591" width="20.85546875" style="365" customWidth="1"/>
    <col min="15592" max="15592" width="0" style="365" hidden="1" customWidth="1"/>
    <col min="15593" max="15593" width="13.28515625" style="365" customWidth="1"/>
    <col min="15594" max="15594" width="0" style="365" hidden="1" customWidth="1"/>
    <col min="15595" max="15595" width="15" style="365" customWidth="1"/>
    <col min="15596" max="15596" width="0" style="365" hidden="1" customWidth="1"/>
    <col min="15597" max="15597" width="13.28515625" style="365" customWidth="1"/>
    <col min="15598" max="15598" width="0" style="365" hidden="1" customWidth="1"/>
    <col min="15599" max="15599" width="20.140625" style="365" customWidth="1"/>
    <col min="15600" max="15600" width="14.42578125" style="365" bestFit="1" customWidth="1"/>
    <col min="15601" max="15601" width="14" style="365" bestFit="1" customWidth="1"/>
    <col min="15602" max="15602" width="12.28515625" style="365" bestFit="1" customWidth="1"/>
    <col min="15603" max="15627" width="9.140625" style="365" customWidth="1"/>
    <col min="15628" max="15822" width="8.85546875" style="365"/>
    <col min="15823" max="15823" width="44.5703125" style="365" customWidth="1"/>
    <col min="15824" max="15824" width="14.28515625" style="365" bestFit="1" customWidth="1"/>
    <col min="15825" max="15825" width="1.7109375" style="365" customWidth="1"/>
    <col min="15826" max="15826" width="14.85546875" style="365" customWidth="1"/>
    <col min="15827" max="15827" width="0" style="365" hidden="1" customWidth="1"/>
    <col min="15828" max="15828" width="17.42578125" style="365" customWidth="1"/>
    <col min="15829" max="15829" width="0" style="365" hidden="1" customWidth="1"/>
    <col min="15830" max="15830" width="12.85546875" style="365" customWidth="1"/>
    <col min="15831" max="15831" width="0" style="365" hidden="1" customWidth="1"/>
    <col min="15832" max="15832" width="14.42578125" style="365" customWidth="1"/>
    <col min="15833" max="15833" width="0" style="365" hidden="1" customWidth="1"/>
    <col min="15834" max="15834" width="17.42578125" style="365" customWidth="1"/>
    <col min="15835" max="15835" width="0" style="365" hidden="1" customWidth="1"/>
    <col min="15836" max="15836" width="14" style="365" customWidth="1"/>
    <col min="15837" max="15837" width="14.28515625" style="365" bestFit="1" customWidth="1"/>
    <col min="15838" max="15838" width="0" style="365" hidden="1" customWidth="1"/>
    <col min="15839" max="15839" width="15.5703125" style="365" customWidth="1"/>
    <col min="15840" max="15840" width="44.5703125" style="365" customWidth="1"/>
    <col min="15841" max="15841" width="14.28515625" style="365" bestFit="1" customWidth="1"/>
    <col min="15842" max="15842" width="0" style="365" hidden="1" customWidth="1"/>
    <col min="15843" max="15843" width="18.140625" style="365" customWidth="1"/>
    <col min="15844" max="15844" width="0" style="365" hidden="1" customWidth="1"/>
    <col min="15845" max="15845" width="14" style="365" customWidth="1"/>
    <col min="15846" max="15846" width="0" style="365" hidden="1" customWidth="1"/>
    <col min="15847" max="15847" width="20.85546875" style="365" customWidth="1"/>
    <col min="15848" max="15848" width="0" style="365" hidden="1" customWidth="1"/>
    <col min="15849" max="15849" width="13.28515625" style="365" customWidth="1"/>
    <col min="15850" max="15850" width="0" style="365" hidden="1" customWidth="1"/>
    <col min="15851" max="15851" width="15" style="365" customWidth="1"/>
    <col min="15852" max="15852" width="0" style="365" hidden="1" customWidth="1"/>
    <col min="15853" max="15853" width="13.28515625" style="365" customWidth="1"/>
    <col min="15854" max="15854" width="0" style="365" hidden="1" customWidth="1"/>
    <col min="15855" max="15855" width="20.140625" style="365" customWidth="1"/>
    <col min="15856" max="15856" width="14.42578125" style="365" bestFit="1" customWidth="1"/>
    <col min="15857" max="15857" width="14" style="365" bestFit="1" customWidth="1"/>
    <col min="15858" max="15858" width="12.28515625" style="365" bestFit="1" customWidth="1"/>
    <col min="15859" max="15883" width="9.140625" style="365" customWidth="1"/>
    <col min="15884" max="16078" width="8.85546875" style="365"/>
    <col min="16079" max="16079" width="44.5703125" style="365" customWidth="1"/>
    <col min="16080" max="16080" width="14.28515625" style="365" bestFit="1" customWidth="1"/>
    <col min="16081" max="16081" width="1.7109375" style="365" customWidth="1"/>
    <col min="16082" max="16082" width="14.85546875" style="365" customWidth="1"/>
    <col min="16083" max="16083" width="0" style="365" hidden="1" customWidth="1"/>
    <col min="16084" max="16084" width="17.42578125" style="365" customWidth="1"/>
    <col min="16085" max="16085" width="0" style="365" hidden="1" customWidth="1"/>
    <col min="16086" max="16086" width="12.85546875" style="365" customWidth="1"/>
    <col min="16087" max="16087" width="0" style="365" hidden="1" customWidth="1"/>
    <col min="16088" max="16088" width="14.42578125" style="365" customWidth="1"/>
    <col min="16089" max="16089" width="0" style="365" hidden="1" customWidth="1"/>
    <col min="16090" max="16090" width="17.42578125" style="365" customWidth="1"/>
    <col min="16091" max="16091" width="0" style="365" hidden="1" customWidth="1"/>
    <col min="16092" max="16092" width="14" style="365" customWidth="1"/>
    <col min="16093" max="16093" width="14.28515625" style="365" bestFit="1" customWidth="1"/>
    <col min="16094" max="16094" width="0" style="365" hidden="1" customWidth="1"/>
    <col min="16095" max="16095" width="15.5703125" style="365" customWidth="1"/>
    <col min="16096" max="16096" width="44.5703125" style="365" customWidth="1"/>
    <col min="16097" max="16097" width="14.28515625" style="365" bestFit="1" customWidth="1"/>
    <col min="16098" max="16098" width="0" style="365" hidden="1" customWidth="1"/>
    <col min="16099" max="16099" width="18.140625" style="365" customWidth="1"/>
    <col min="16100" max="16100" width="0" style="365" hidden="1" customWidth="1"/>
    <col min="16101" max="16101" width="14" style="365" customWidth="1"/>
    <col min="16102" max="16102" width="0" style="365" hidden="1" customWidth="1"/>
    <col min="16103" max="16103" width="20.85546875" style="365" customWidth="1"/>
    <col min="16104" max="16104" width="0" style="365" hidden="1" customWidth="1"/>
    <col min="16105" max="16105" width="13.28515625" style="365" customWidth="1"/>
    <col min="16106" max="16106" width="0" style="365" hidden="1" customWidth="1"/>
    <col min="16107" max="16107" width="15" style="365" customWidth="1"/>
    <col min="16108" max="16108" width="0" style="365" hidden="1" customWidth="1"/>
    <col min="16109" max="16109" width="13.28515625" style="365" customWidth="1"/>
    <col min="16110" max="16110" width="0" style="365" hidden="1" customWidth="1"/>
    <col min="16111" max="16111" width="20.140625" style="365" customWidth="1"/>
    <col min="16112" max="16112" width="14.42578125" style="365" bestFit="1" customWidth="1"/>
    <col min="16113" max="16113" width="14" style="365" bestFit="1" customWidth="1"/>
    <col min="16114" max="16114" width="12.28515625" style="365" bestFit="1" customWidth="1"/>
    <col min="16115" max="16139" width="9.140625" style="365" customWidth="1"/>
    <col min="16140" max="16352" width="8.85546875" style="365"/>
    <col min="16353" max="16357" width="8.85546875" style="365" customWidth="1"/>
    <col min="16358" max="16384" width="8.85546875" style="365"/>
  </cols>
  <sheetData>
    <row r="1" spans="1:22" s="354" customFormat="1" ht="7.5" hidden="1" customHeight="1">
      <c r="A1" s="1632"/>
      <c r="B1" s="1632"/>
      <c r="C1" s="1632"/>
      <c r="D1" s="1632"/>
      <c r="E1" s="1632"/>
      <c r="F1" s="1632"/>
      <c r="G1" s="353"/>
      <c r="H1" s="353"/>
      <c r="I1" s="353"/>
      <c r="J1" s="353"/>
      <c r="K1" s="353"/>
      <c r="Q1" s="353"/>
    </row>
    <row r="2" spans="1:22" s="354" customFormat="1" ht="48.75" thickBot="1">
      <c r="A2" s="836" t="s">
        <v>58</v>
      </c>
      <c r="B2" s="836"/>
      <c r="C2" s="1634" t="s">
        <v>186</v>
      </c>
      <c r="D2" s="1634"/>
      <c r="E2" s="836"/>
      <c r="F2" s="1634" t="s">
        <v>776</v>
      </c>
      <c r="G2" s="1634"/>
      <c r="H2" s="353"/>
      <c r="I2" s="1634" t="s">
        <v>686</v>
      </c>
      <c r="J2" s="1634"/>
      <c r="K2" s="353"/>
      <c r="M2" s="354" t="s">
        <v>717</v>
      </c>
      <c r="P2" s="1634" t="s">
        <v>775</v>
      </c>
      <c r="Q2" s="1634"/>
    </row>
    <row r="3" spans="1:22" s="354" customFormat="1" ht="48.75" hidden="1" thickBot="1">
      <c r="A3" s="831"/>
      <c r="B3" s="1636" t="str">
        <f>PROPER(B1)</f>
        <v/>
      </c>
      <c r="C3" s="1636"/>
      <c r="D3" s="1636"/>
      <c r="E3" s="1636"/>
      <c r="F3" s="1636"/>
      <c r="G3" s="353"/>
      <c r="H3" s="353"/>
      <c r="I3" s="353"/>
      <c r="J3" s="353"/>
      <c r="K3" s="353"/>
      <c r="M3" s="899"/>
      <c r="N3" s="354" t="s">
        <v>774</v>
      </c>
      <c r="Q3" s="353"/>
    </row>
    <row r="4" spans="1:22" s="354" customFormat="1" ht="15.6" hidden="1" customHeight="1">
      <c r="A4" s="1635"/>
      <c r="B4" s="1635"/>
      <c r="C4" s="1635"/>
      <c r="D4" s="1635"/>
      <c r="E4" s="1635"/>
      <c r="F4" s="1635"/>
      <c r="G4" s="353"/>
      <c r="H4" s="353"/>
      <c r="I4" s="353"/>
      <c r="J4" s="353"/>
      <c r="K4" s="353"/>
      <c r="Q4" s="353"/>
    </row>
    <row r="5" spans="1:22" s="490" customFormat="1" ht="105.6" hidden="1" customHeight="1" thickTop="1" thickBot="1">
      <c r="A5" s="484"/>
      <c r="B5" s="485"/>
      <c r="C5" s="578" t="s">
        <v>573</v>
      </c>
      <c r="D5" s="582" t="s">
        <v>422</v>
      </c>
      <c r="E5" s="486"/>
      <c r="F5" s="578" t="s">
        <v>573</v>
      </c>
      <c r="G5" s="582" t="s">
        <v>422</v>
      </c>
      <c r="H5" s="488"/>
      <c r="I5" s="578" t="s">
        <v>573</v>
      </c>
      <c r="J5" s="582" t="s">
        <v>422</v>
      </c>
      <c r="K5" s="488"/>
      <c r="M5" s="360" t="s">
        <v>58</v>
      </c>
      <c r="N5" s="361"/>
      <c r="O5" s="577"/>
      <c r="P5" s="362"/>
      <c r="Q5" s="363"/>
      <c r="R5" s="577"/>
      <c r="S5" s="362"/>
      <c r="T5" s="362"/>
    </row>
    <row r="6" spans="1:22" ht="43.9" customHeight="1" thickTop="1" thickBot="1">
      <c r="A6" s="356"/>
      <c r="B6" s="356"/>
      <c r="C6" s="578" t="s">
        <v>573</v>
      </c>
      <c r="D6" s="582" t="s">
        <v>422</v>
      </c>
      <c r="E6" s="357"/>
      <c r="F6" s="578" t="s">
        <v>573</v>
      </c>
      <c r="G6" s="582" t="s">
        <v>422</v>
      </c>
      <c r="I6" s="369"/>
      <c r="J6" s="374"/>
      <c r="M6" s="484"/>
      <c r="N6" s="485"/>
      <c r="O6" s="486"/>
      <c r="P6" s="578" t="s">
        <v>573</v>
      </c>
      <c r="Q6" s="582" t="s">
        <v>422</v>
      </c>
      <c r="R6" s="486"/>
      <c r="S6" s="1689" t="s">
        <v>686</v>
      </c>
      <c r="T6" s="1689"/>
    </row>
    <row r="7" spans="1:22" s="417" customFormat="1" ht="15.95" customHeight="1" thickTop="1">
      <c r="A7" s="417" t="s">
        <v>423</v>
      </c>
      <c r="C7" s="450"/>
      <c r="D7" s="456"/>
      <c r="E7" s="449"/>
      <c r="F7" s="450"/>
      <c r="G7" s="456"/>
      <c r="H7" s="454"/>
      <c r="I7" s="450"/>
      <c r="J7" s="456"/>
      <c r="K7" s="454"/>
      <c r="M7" s="417" t="s">
        <v>423</v>
      </c>
      <c r="O7" s="449"/>
      <c r="P7" s="450"/>
      <c r="Q7" s="456"/>
      <c r="R7" s="449"/>
      <c r="S7" s="450"/>
      <c r="T7" s="450"/>
    </row>
    <row r="8" spans="1:22" s="417" customFormat="1" ht="20.100000000000001" customHeight="1">
      <c r="A8" s="417" t="s">
        <v>27</v>
      </c>
      <c r="C8" s="837">
        <v>56244658.240000002</v>
      </c>
      <c r="D8" s="458">
        <v>121892196.03</v>
      </c>
      <c r="F8" s="837">
        <v>51136182.670000002</v>
      </c>
      <c r="G8" s="461">
        <v>185330184.34999999</v>
      </c>
      <c r="H8" s="454"/>
      <c r="I8" s="837">
        <f t="shared" ref="I8:J10" si="0">F8-C8</f>
        <v>-5108475.57</v>
      </c>
      <c r="J8" s="458">
        <f t="shared" si="0"/>
        <v>63437988.319999993</v>
      </c>
      <c r="K8" s="454"/>
      <c r="M8" s="417" t="s">
        <v>27</v>
      </c>
      <c r="O8" s="417" t="s">
        <v>424</v>
      </c>
      <c r="P8" s="458">
        <v>51136182.670000002</v>
      </c>
      <c r="Q8" s="461">
        <v>188105661</v>
      </c>
      <c r="S8" s="458">
        <f t="shared" ref="S8:T11" si="1">P8-F8</f>
        <v>0</v>
      </c>
      <c r="T8" s="458">
        <f t="shared" si="1"/>
        <v>2775476.650000006</v>
      </c>
      <c r="U8" s="417" t="s">
        <v>794</v>
      </c>
    </row>
    <row r="9" spans="1:22" s="417" customFormat="1" ht="20.100000000000001" customHeight="1">
      <c r="A9" s="417" t="s">
        <v>690</v>
      </c>
      <c r="C9" s="458">
        <v>0</v>
      </c>
      <c r="D9" s="458">
        <v>0</v>
      </c>
      <c r="F9" s="458">
        <v>3000000</v>
      </c>
      <c r="G9" s="461">
        <v>3000000</v>
      </c>
      <c r="H9" s="454"/>
      <c r="I9" s="842">
        <f t="shared" si="0"/>
        <v>3000000</v>
      </c>
      <c r="J9" s="842">
        <f t="shared" si="0"/>
        <v>3000000</v>
      </c>
      <c r="K9" s="454"/>
      <c r="M9" s="417" t="s">
        <v>690</v>
      </c>
      <c r="P9" s="458">
        <v>3000000</v>
      </c>
      <c r="Q9" s="461">
        <v>3000000</v>
      </c>
      <c r="S9" s="458">
        <f t="shared" si="1"/>
        <v>0</v>
      </c>
      <c r="T9" s="458">
        <f t="shared" si="1"/>
        <v>0</v>
      </c>
    </row>
    <row r="10" spans="1:22" s="417" customFormat="1" ht="20.100000000000001" customHeight="1">
      <c r="A10" s="417" t="s">
        <v>749</v>
      </c>
      <c r="C10" s="458">
        <v>906837</v>
      </c>
      <c r="D10" s="458">
        <v>42868320.740000002</v>
      </c>
      <c r="F10" s="458"/>
      <c r="G10" s="461"/>
      <c r="H10" s="454"/>
      <c r="I10" s="842">
        <f t="shared" si="0"/>
        <v>-906837</v>
      </c>
      <c r="J10" s="842">
        <f t="shared" si="0"/>
        <v>-42868320.740000002</v>
      </c>
      <c r="K10" s="454"/>
      <c r="P10" s="458"/>
      <c r="Q10" s="461"/>
      <c r="S10" s="458">
        <f t="shared" si="1"/>
        <v>0</v>
      </c>
      <c r="T10" s="458">
        <f t="shared" si="1"/>
        <v>0</v>
      </c>
    </row>
    <row r="11" spans="1:22" s="417" customFormat="1" ht="18.75">
      <c r="A11" s="417" t="s">
        <v>688</v>
      </c>
      <c r="C11" s="462">
        <f>SUM(C8:C10)</f>
        <v>57151495.240000002</v>
      </c>
      <c r="D11" s="462">
        <f>SUM(D8:D10)</f>
        <v>164760516.77000001</v>
      </c>
      <c r="F11" s="462">
        <f>SUM(F8:F10)</f>
        <v>54136182.670000002</v>
      </c>
      <c r="G11" s="463">
        <f>SUM(G8:G10)</f>
        <v>188330184.34999999</v>
      </c>
      <c r="H11" s="454"/>
      <c r="I11" s="462">
        <f>SUM(I8:I10)</f>
        <v>-3015312.5700000003</v>
      </c>
      <c r="J11" s="462">
        <f>SUM(J8:J10)</f>
        <v>23569667.579999991</v>
      </c>
      <c r="K11" s="454"/>
      <c r="M11" s="417" t="s">
        <v>688</v>
      </c>
      <c r="O11" s="417" t="s">
        <v>424</v>
      </c>
      <c r="P11" s="462">
        <v>54136182.670000002</v>
      </c>
      <c r="Q11" s="463">
        <v>191105661</v>
      </c>
      <c r="S11" s="462">
        <f t="shared" si="1"/>
        <v>0</v>
      </c>
      <c r="T11" s="462">
        <f t="shared" si="1"/>
        <v>2775476.650000006</v>
      </c>
      <c r="U11" s="458" t="s">
        <v>58</v>
      </c>
      <c r="V11" s="901" t="s">
        <v>58</v>
      </c>
    </row>
    <row r="12" spans="1:22" s="417" customFormat="1" ht="12" customHeight="1">
      <c r="C12" s="466"/>
      <c r="D12" s="466"/>
      <c r="F12" s="466"/>
      <c r="G12" s="467"/>
      <c r="H12" s="454"/>
      <c r="I12" s="466"/>
      <c r="J12" s="466"/>
      <c r="K12" s="454"/>
      <c r="P12" s="466"/>
      <c r="Q12" s="467"/>
      <c r="S12" s="466"/>
      <c r="T12" s="466"/>
    </row>
    <row r="13" spans="1:22" s="454" customFormat="1" ht="15.75" customHeight="1">
      <c r="A13" s="454" t="s">
        <v>426</v>
      </c>
      <c r="C13" s="460"/>
      <c r="D13" s="460"/>
      <c r="F13" s="460"/>
      <c r="G13" s="467"/>
      <c r="I13" s="460"/>
      <c r="J13" s="460"/>
      <c r="M13" s="454" t="s">
        <v>426</v>
      </c>
      <c r="P13" s="460"/>
      <c r="Q13" s="467"/>
      <c r="S13" s="460"/>
      <c r="T13" s="460"/>
    </row>
    <row r="14" spans="1:22" s="454" customFormat="1" ht="16.5" customHeight="1">
      <c r="A14" s="454" t="s">
        <v>584</v>
      </c>
      <c r="B14" s="700" t="s">
        <v>585</v>
      </c>
      <c r="C14" s="458"/>
      <c r="D14" s="458"/>
      <c r="F14" s="458"/>
      <c r="G14" s="461"/>
      <c r="I14" s="458"/>
      <c r="J14" s="458"/>
      <c r="M14" s="454" t="s">
        <v>584</v>
      </c>
      <c r="N14" s="700" t="s">
        <v>585</v>
      </c>
      <c r="P14" s="458"/>
      <c r="Q14" s="461"/>
      <c r="S14" s="458"/>
      <c r="T14" s="458"/>
    </row>
    <row r="15" spans="1:22" s="454" customFormat="1" ht="20.100000000000001" customHeight="1">
      <c r="A15" s="454" t="s">
        <v>582</v>
      </c>
      <c r="B15" s="468">
        <v>4.1193</v>
      </c>
      <c r="C15" s="838">
        <v>93402605</v>
      </c>
      <c r="D15" s="460">
        <v>93402605</v>
      </c>
      <c r="F15" s="838">
        <v>93930068</v>
      </c>
      <c r="G15" s="461">
        <v>98779267</v>
      </c>
      <c r="I15" s="837">
        <f t="shared" ref="I15:I26" si="2">F15-C15</f>
        <v>527463</v>
      </c>
      <c r="J15" s="458">
        <f t="shared" ref="J15:J26" si="3">G15-D15</f>
        <v>5376662</v>
      </c>
      <c r="M15" s="454" t="s">
        <v>582</v>
      </c>
      <c r="N15" s="468">
        <v>4.1193</v>
      </c>
      <c r="P15" s="460">
        <v>93930068</v>
      </c>
      <c r="Q15" s="461">
        <v>98779267</v>
      </c>
      <c r="S15" s="460">
        <f>P15-F15</f>
        <v>0</v>
      </c>
      <c r="T15" s="460">
        <f>Q15-G15</f>
        <v>0</v>
      </c>
    </row>
    <row r="16" spans="1:22" s="454" customFormat="1" ht="20.100000000000001" customHeight="1">
      <c r="A16" s="454" t="s">
        <v>751</v>
      </c>
      <c r="B16" s="468">
        <v>0.1125</v>
      </c>
      <c r="C16" s="460">
        <v>2524297</v>
      </c>
      <c r="D16" s="460">
        <v>2524297</v>
      </c>
      <c r="F16" s="460">
        <v>0</v>
      </c>
      <c r="G16" s="461">
        <v>0</v>
      </c>
      <c r="I16" s="842">
        <f t="shared" si="2"/>
        <v>-2524297</v>
      </c>
      <c r="J16" s="842">
        <f t="shared" si="3"/>
        <v>-2524297</v>
      </c>
      <c r="M16" s="454" t="s">
        <v>428</v>
      </c>
      <c r="N16" s="468">
        <v>0.1125</v>
      </c>
      <c r="P16" s="460"/>
      <c r="Q16" s="461">
        <v>0</v>
      </c>
      <c r="S16" s="460">
        <f t="shared" ref="S16:S27" si="4">P16-F16</f>
        <v>0</v>
      </c>
      <c r="T16" s="460">
        <f t="shared" ref="T16:T27" si="5">Q16-G16</f>
        <v>0</v>
      </c>
    </row>
    <row r="17" spans="1:21" s="454" customFormat="1" ht="20.100000000000001" customHeight="1">
      <c r="A17" s="454" t="s">
        <v>752</v>
      </c>
      <c r="B17" s="576">
        <v>5.7000000000000002E-2</v>
      </c>
      <c r="C17" s="460">
        <v>1278977</v>
      </c>
      <c r="D17" s="460">
        <v>1278977</v>
      </c>
      <c r="F17" s="460">
        <v>0</v>
      </c>
      <c r="G17" s="461">
        <v>0</v>
      </c>
      <c r="I17" s="842">
        <f t="shared" si="2"/>
        <v>-1278977</v>
      </c>
      <c r="J17" s="842">
        <f t="shared" si="3"/>
        <v>-1278977</v>
      </c>
      <c r="M17" s="454" t="s">
        <v>430</v>
      </c>
      <c r="N17" s="468">
        <v>4.9799999999999997E-2</v>
      </c>
      <c r="P17" s="460"/>
      <c r="Q17" s="461">
        <v>0</v>
      </c>
      <c r="S17" s="460">
        <f t="shared" si="4"/>
        <v>0</v>
      </c>
      <c r="T17" s="460">
        <f t="shared" si="5"/>
        <v>0</v>
      </c>
    </row>
    <row r="18" spans="1:21" s="454" customFormat="1" ht="20.100000000000001" customHeight="1">
      <c r="A18" s="454" t="s">
        <v>581</v>
      </c>
      <c r="B18" s="576">
        <v>1</v>
      </c>
      <c r="C18" s="461">
        <v>0</v>
      </c>
      <c r="D18" s="461">
        <v>70759.8</v>
      </c>
      <c r="F18" s="461">
        <v>0</v>
      </c>
      <c r="G18" s="461">
        <v>71289</v>
      </c>
      <c r="I18" s="842">
        <f t="shared" si="2"/>
        <v>0</v>
      </c>
      <c r="J18" s="842">
        <f t="shared" si="3"/>
        <v>529.19999999999709</v>
      </c>
      <c r="M18" s="454" t="s">
        <v>581</v>
      </c>
      <c r="N18" s="576">
        <v>1</v>
      </c>
      <c r="P18" s="461">
        <v>0</v>
      </c>
      <c r="Q18" s="461">
        <v>71289</v>
      </c>
      <c r="S18" s="461">
        <f t="shared" si="4"/>
        <v>0</v>
      </c>
      <c r="T18" s="461">
        <f t="shared" si="5"/>
        <v>0</v>
      </c>
    </row>
    <row r="19" spans="1:21" s="454" customFormat="1" ht="20.100000000000001" customHeight="1">
      <c r="A19" s="454" t="s">
        <v>580</v>
      </c>
      <c r="B19" s="684"/>
      <c r="C19" s="460">
        <v>4882276</v>
      </c>
      <c r="D19" s="460">
        <v>4882276</v>
      </c>
      <c r="F19" s="460">
        <v>4882276</v>
      </c>
      <c r="G19" s="461">
        <v>4882276</v>
      </c>
      <c r="I19" s="842">
        <f t="shared" si="2"/>
        <v>0</v>
      </c>
      <c r="J19" s="842">
        <f t="shared" si="3"/>
        <v>0</v>
      </c>
      <c r="M19" s="454" t="s">
        <v>580</v>
      </c>
      <c r="N19" s="684"/>
      <c r="P19" s="460">
        <v>4882276</v>
      </c>
      <c r="Q19" s="461">
        <v>4882276</v>
      </c>
      <c r="S19" s="460">
        <f t="shared" si="4"/>
        <v>0</v>
      </c>
      <c r="T19" s="460">
        <f t="shared" si="5"/>
        <v>0</v>
      </c>
    </row>
    <row r="20" spans="1:21" s="454" customFormat="1" ht="20.100000000000001" customHeight="1">
      <c r="A20" s="454" t="s">
        <v>579</v>
      </c>
      <c r="C20" s="460">
        <v>17550000</v>
      </c>
      <c r="D20" s="460">
        <v>17550000</v>
      </c>
      <c r="F20" s="460">
        <v>16900000</v>
      </c>
      <c r="G20" s="461">
        <v>16900000</v>
      </c>
      <c r="I20" s="842">
        <f t="shared" si="2"/>
        <v>-650000</v>
      </c>
      <c r="J20" s="842">
        <f t="shared" si="3"/>
        <v>-650000</v>
      </c>
      <c r="M20" s="454" t="s">
        <v>579</v>
      </c>
      <c r="P20" s="460">
        <v>16400000</v>
      </c>
      <c r="Q20" s="461">
        <v>16400000</v>
      </c>
      <c r="S20" s="460">
        <f t="shared" si="4"/>
        <v>-500000</v>
      </c>
      <c r="T20" s="460">
        <f t="shared" si="5"/>
        <v>-500000</v>
      </c>
      <c r="U20" s="454" t="s">
        <v>784</v>
      </c>
    </row>
    <row r="21" spans="1:21" s="454" customFormat="1" ht="20.100000000000001" customHeight="1">
      <c r="A21" s="454" t="s">
        <v>578</v>
      </c>
      <c r="C21" s="460">
        <v>35955000</v>
      </c>
      <c r="D21" s="460">
        <v>35955000</v>
      </c>
      <c r="F21" s="460">
        <v>35346075</v>
      </c>
      <c r="G21" s="461">
        <v>35346075</v>
      </c>
      <c r="I21" s="842">
        <f t="shared" si="2"/>
        <v>-608925</v>
      </c>
      <c r="J21" s="842">
        <f t="shared" si="3"/>
        <v>-608925</v>
      </c>
      <c r="M21" s="454" t="s">
        <v>578</v>
      </c>
      <c r="P21" s="460">
        <v>35346075</v>
      </c>
      <c r="Q21" s="461">
        <v>35346075</v>
      </c>
      <c r="S21" s="460">
        <f t="shared" si="4"/>
        <v>0</v>
      </c>
      <c r="T21" s="460">
        <f t="shared" si="5"/>
        <v>0</v>
      </c>
    </row>
    <row r="22" spans="1:21" s="454" customFormat="1" ht="20.100000000000001" customHeight="1">
      <c r="A22" s="454" t="s">
        <v>435</v>
      </c>
      <c r="C22" s="460">
        <v>3239570</v>
      </c>
      <c r="D22" s="460">
        <v>12219335</v>
      </c>
      <c r="F22" s="460">
        <v>3100670</v>
      </c>
      <c r="G22" s="461">
        <v>13942455</v>
      </c>
      <c r="I22" s="842">
        <f t="shared" si="2"/>
        <v>-138900</v>
      </c>
      <c r="J22" s="842">
        <f t="shared" si="3"/>
        <v>1723120</v>
      </c>
      <c r="M22" s="454" t="s">
        <v>435</v>
      </c>
      <c r="P22" s="460">
        <v>3100670</v>
      </c>
      <c r="Q22" s="461">
        <v>13942455</v>
      </c>
      <c r="S22" s="460">
        <f t="shared" si="4"/>
        <v>0</v>
      </c>
      <c r="T22" s="460">
        <f t="shared" si="5"/>
        <v>0</v>
      </c>
    </row>
    <row r="23" spans="1:21" s="454" customFormat="1" ht="20.100000000000001" customHeight="1">
      <c r="A23" s="454" t="s">
        <v>408</v>
      </c>
      <c r="C23" s="460">
        <v>16169911</v>
      </c>
      <c r="D23" s="460">
        <v>35436393</v>
      </c>
      <c r="F23" s="460">
        <v>17480975</v>
      </c>
      <c r="G23" s="461">
        <v>36300678</v>
      </c>
      <c r="I23" s="842">
        <f t="shared" si="2"/>
        <v>1311064</v>
      </c>
      <c r="J23" s="842">
        <f t="shared" si="3"/>
        <v>864285</v>
      </c>
      <c r="M23" s="454" t="s">
        <v>408</v>
      </c>
      <c r="P23" s="460">
        <v>18780975</v>
      </c>
      <c r="Q23" s="461">
        <v>37683236</v>
      </c>
      <c r="S23" s="460">
        <f t="shared" si="4"/>
        <v>1300000</v>
      </c>
      <c r="T23" s="460">
        <f t="shared" si="5"/>
        <v>1382558</v>
      </c>
      <c r="U23" s="454" t="s">
        <v>790</v>
      </c>
    </row>
    <row r="24" spans="1:21" s="454" customFormat="1" ht="20.100000000000001" customHeight="1">
      <c r="A24" s="454" t="s">
        <v>114</v>
      </c>
      <c r="C24" s="460">
        <v>20456960</v>
      </c>
      <c r="D24" s="460">
        <v>169054600</v>
      </c>
      <c r="F24" s="460">
        <v>21436296</v>
      </c>
      <c r="G24" s="461">
        <v>174579217</v>
      </c>
      <c r="I24" s="842">
        <f t="shared" si="2"/>
        <v>979336</v>
      </c>
      <c r="J24" s="842">
        <f t="shared" si="3"/>
        <v>5524617</v>
      </c>
      <c r="M24" s="454" t="s">
        <v>114</v>
      </c>
      <c r="P24" s="460">
        <v>20096159</v>
      </c>
      <c r="Q24" s="461">
        <v>173239080</v>
      </c>
      <c r="S24" s="460">
        <f t="shared" si="4"/>
        <v>-1340137</v>
      </c>
      <c r="T24" s="460">
        <f t="shared" si="5"/>
        <v>-1340137</v>
      </c>
      <c r="U24" s="454" t="s">
        <v>785</v>
      </c>
    </row>
    <row r="25" spans="1:21" s="454" customFormat="1" ht="20.100000000000001" customHeight="1">
      <c r="A25" s="454" t="s">
        <v>436</v>
      </c>
      <c r="C25" s="460">
        <v>2905000</v>
      </c>
      <c r="D25" s="460">
        <v>5944000</v>
      </c>
      <c r="F25" s="460">
        <v>2133961</v>
      </c>
      <c r="G25" s="461">
        <v>5580961</v>
      </c>
      <c r="I25" s="842">
        <f t="shared" si="2"/>
        <v>-771039</v>
      </c>
      <c r="J25" s="842">
        <f t="shared" si="3"/>
        <v>-363039</v>
      </c>
      <c r="M25" s="454" t="s">
        <v>436</v>
      </c>
      <c r="P25" s="460">
        <v>2133961</v>
      </c>
      <c r="Q25" s="461">
        <v>5740961</v>
      </c>
      <c r="S25" s="460">
        <f t="shared" si="4"/>
        <v>0</v>
      </c>
      <c r="T25" s="460">
        <f t="shared" si="5"/>
        <v>160000</v>
      </c>
      <c r="U25" s="454" t="s">
        <v>786</v>
      </c>
    </row>
    <row r="26" spans="1:21" s="454" customFormat="1" ht="20.100000000000001" customHeight="1">
      <c r="A26" s="454" t="s">
        <v>437</v>
      </c>
      <c r="C26" s="460">
        <v>58969720.669999994</v>
      </c>
      <c r="D26" s="460">
        <v>70990235.669999987</v>
      </c>
      <c r="F26" s="460">
        <v>65788098</v>
      </c>
      <c r="G26" s="461">
        <v>78590888</v>
      </c>
      <c r="I26" s="842">
        <f t="shared" si="2"/>
        <v>6818377.3300000057</v>
      </c>
      <c r="J26" s="842">
        <f t="shared" si="3"/>
        <v>7600652.3300000131</v>
      </c>
      <c r="M26" s="454" t="s">
        <v>437</v>
      </c>
      <c r="P26" s="460">
        <v>67769547</v>
      </c>
      <c r="Q26" s="461">
        <v>80572337</v>
      </c>
      <c r="S26" s="460">
        <f t="shared" si="4"/>
        <v>1981449</v>
      </c>
      <c r="T26" s="460">
        <f t="shared" si="5"/>
        <v>1981449</v>
      </c>
    </row>
    <row r="27" spans="1:21" s="454" customFormat="1" ht="15.95" customHeight="1">
      <c r="A27" s="685" t="s">
        <v>438</v>
      </c>
      <c r="C27" s="839">
        <f>SUM(C14:C26)</f>
        <v>257334316.66999999</v>
      </c>
      <c r="D27" s="463">
        <f>SUM(D14:D26)</f>
        <v>449308478.47000003</v>
      </c>
      <c r="F27" s="839">
        <f>SUM(F14:F26)</f>
        <v>260998419</v>
      </c>
      <c r="G27" s="464">
        <f>SUM(G15:G26)</f>
        <v>464973106</v>
      </c>
      <c r="I27" s="839">
        <f>SUM(I14:I26)</f>
        <v>3664102.3300000057</v>
      </c>
      <c r="J27" s="463">
        <f>SUM(J14:J26)</f>
        <v>15664627.530000012</v>
      </c>
      <c r="M27" s="685" t="s">
        <v>438</v>
      </c>
      <c r="O27" s="454" t="s">
        <v>424</v>
      </c>
      <c r="P27" s="463">
        <v>262439731</v>
      </c>
      <c r="Q27" s="464">
        <v>466656976</v>
      </c>
      <c r="S27" s="463">
        <f t="shared" si="4"/>
        <v>1441312</v>
      </c>
      <c r="T27" s="463">
        <f t="shared" si="5"/>
        <v>1683870</v>
      </c>
    </row>
    <row r="28" spans="1:21" s="454" customFormat="1" ht="20.100000000000001" customHeight="1">
      <c r="C28" s="458"/>
      <c r="D28" s="458"/>
      <c r="F28" s="458"/>
      <c r="G28" s="458"/>
      <c r="I28" s="458"/>
      <c r="J28" s="458"/>
      <c r="P28" s="458"/>
      <c r="Q28" s="458"/>
      <c r="S28" s="458"/>
      <c r="T28" s="458"/>
    </row>
    <row r="29" spans="1:21" s="454" customFormat="1" ht="18.75">
      <c r="A29" s="454" t="s">
        <v>439</v>
      </c>
      <c r="C29" s="840">
        <v>4031250</v>
      </c>
      <c r="D29" s="470">
        <v>18608397.240000002</v>
      </c>
      <c r="F29" s="840">
        <v>648254</v>
      </c>
      <c r="G29" s="475">
        <v>41931121.43</v>
      </c>
      <c r="I29" s="840">
        <f>F29-C29</f>
        <v>-3382996</v>
      </c>
      <c r="J29" s="840">
        <f>G29-D29</f>
        <v>23322724.189999998</v>
      </c>
      <c r="M29" s="454" t="s">
        <v>439</v>
      </c>
      <c r="O29" s="454" t="s">
        <v>424</v>
      </c>
      <c r="P29" s="470">
        <v>16792792</v>
      </c>
      <c r="Q29" s="475">
        <v>420210373</v>
      </c>
      <c r="S29" s="470">
        <f>P29-F29</f>
        <v>16144538</v>
      </c>
      <c r="T29" s="470">
        <f>Q29-G29</f>
        <v>378279251.56999999</v>
      </c>
      <c r="U29" s="454" t="s">
        <v>787</v>
      </c>
    </row>
    <row r="30" spans="1:21" s="454" customFormat="1" ht="21.95" customHeight="1">
      <c r="C30" s="458"/>
      <c r="D30" s="458"/>
      <c r="F30" s="458"/>
      <c r="G30" s="461"/>
      <c r="I30" s="458"/>
      <c r="J30" s="458"/>
      <c r="P30" s="458"/>
      <c r="Q30" s="461"/>
      <c r="S30" s="458"/>
      <c r="T30" s="458"/>
    </row>
    <row r="31" spans="1:21" s="454" customFormat="1" ht="19.5" thickBot="1">
      <c r="A31" s="713" t="s">
        <v>21</v>
      </c>
      <c r="B31" s="714"/>
      <c r="C31" s="841">
        <f>C11+C27+C29</f>
        <v>318517061.90999997</v>
      </c>
      <c r="D31" s="477">
        <f>D11+D27+D29</f>
        <v>632677392.48000002</v>
      </c>
      <c r="F31" s="841">
        <f>F11+F27+F29</f>
        <v>315782855.67000002</v>
      </c>
      <c r="G31" s="477">
        <f>G11+G27+G29</f>
        <v>695234411.77999997</v>
      </c>
      <c r="I31" s="841">
        <f>I11+I27+I29</f>
        <v>-2734206.2399999946</v>
      </c>
      <c r="J31" s="477">
        <f>J11+J27+J29</f>
        <v>62557019.299999997</v>
      </c>
      <c r="M31" s="713" t="s">
        <v>21</v>
      </c>
      <c r="N31" s="714"/>
      <c r="O31" s="454" t="s">
        <v>424</v>
      </c>
      <c r="P31" s="477">
        <v>333368705.67000002</v>
      </c>
      <c r="Q31" s="477">
        <v>1077973010</v>
      </c>
      <c r="S31" s="477">
        <f>P31-F31</f>
        <v>17585850</v>
      </c>
      <c r="T31" s="477">
        <f>Q31-G31</f>
        <v>382738598.22000003</v>
      </c>
    </row>
    <row r="32" spans="1:21" s="454" customFormat="1" ht="14.1" customHeight="1" thickTop="1">
      <c r="C32" s="458"/>
      <c r="D32" s="461"/>
      <c r="F32" s="458"/>
      <c r="G32" s="461"/>
      <c r="I32" s="458"/>
      <c r="J32" s="461"/>
      <c r="P32" s="458"/>
      <c r="Q32" s="461"/>
      <c r="S32" s="458"/>
      <c r="T32" s="458"/>
    </row>
    <row r="33" spans="1:21" s="454" customFormat="1" ht="18.75">
      <c r="A33" s="454" t="s">
        <v>577</v>
      </c>
      <c r="C33" s="458"/>
      <c r="D33" s="461"/>
      <c r="F33" s="458"/>
      <c r="G33" s="461"/>
      <c r="I33" s="458"/>
      <c r="J33" s="461"/>
      <c r="M33" s="454" t="s">
        <v>577</v>
      </c>
      <c r="P33" s="458"/>
      <c r="Q33" s="461"/>
      <c r="S33" s="458"/>
      <c r="T33" s="458"/>
    </row>
    <row r="34" spans="1:21" s="454" customFormat="1" ht="18.75">
      <c r="A34" s="454" t="s">
        <v>440</v>
      </c>
      <c r="C34" s="837">
        <v>3777369</v>
      </c>
      <c r="D34" s="458">
        <v>11023786.4</v>
      </c>
      <c r="F34" s="837">
        <v>0</v>
      </c>
      <c r="G34" s="467">
        <v>0</v>
      </c>
      <c r="I34" s="837">
        <f t="shared" ref="I34:I56" si="6">F34-C34</f>
        <v>-3777369</v>
      </c>
      <c r="J34" s="458">
        <f>G34-D34</f>
        <v>-11023786.4</v>
      </c>
      <c r="M34" s="454" t="s">
        <v>440</v>
      </c>
      <c r="P34" s="458"/>
      <c r="Q34" s="467">
        <v>0</v>
      </c>
      <c r="S34" s="458">
        <f t="shared" ref="S34:S40" si="7">P34-F34</f>
        <v>0</v>
      </c>
      <c r="T34" s="458">
        <f t="shared" ref="T34:T40" si="8">Q34-G34</f>
        <v>0</v>
      </c>
    </row>
    <row r="35" spans="1:21" s="454" customFormat="1" ht="18.75">
      <c r="A35" s="454" t="s">
        <v>441</v>
      </c>
      <c r="C35" s="458">
        <v>6521262.4000000004</v>
      </c>
      <c r="D35" s="458">
        <v>13535131.350000001</v>
      </c>
      <c r="F35" s="458">
        <v>0</v>
      </c>
      <c r="G35" s="467">
        <v>0</v>
      </c>
      <c r="I35" s="458">
        <f t="shared" si="6"/>
        <v>-6521262.4000000004</v>
      </c>
      <c r="J35" s="458">
        <f t="shared" ref="J35:J56" si="9">G35-D35</f>
        <v>-13535131.350000001</v>
      </c>
      <c r="M35" s="454" t="s">
        <v>441</v>
      </c>
      <c r="P35" s="458"/>
      <c r="Q35" s="467">
        <v>0</v>
      </c>
      <c r="S35" s="458">
        <f t="shared" si="7"/>
        <v>0</v>
      </c>
      <c r="T35" s="458">
        <f t="shared" si="8"/>
        <v>0</v>
      </c>
    </row>
    <row r="36" spans="1:21" s="417" customFormat="1" ht="18.75">
      <c r="A36" s="454" t="s">
        <v>442</v>
      </c>
      <c r="B36" s="454"/>
      <c r="C36" s="458">
        <v>3900617</v>
      </c>
      <c r="D36" s="458">
        <v>3900617</v>
      </c>
      <c r="E36" s="454"/>
      <c r="F36" s="458">
        <v>3596363.88</v>
      </c>
      <c r="G36" s="461">
        <v>3596363.88</v>
      </c>
      <c r="H36" s="454"/>
      <c r="I36" s="458">
        <f t="shared" si="6"/>
        <v>-304253.12000000011</v>
      </c>
      <c r="J36" s="458">
        <f t="shared" si="9"/>
        <v>-304253.12000000011</v>
      </c>
      <c r="K36" s="454"/>
      <c r="M36" s="454" t="s">
        <v>442</v>
      </c>
      <c r="N36" s="454"/>
      <c r="O36" s="454" t="s">
        <v>424</v>
      </c>
      <c r="P36" s="458">
        <v>3371963.24</v>
      </c>
      <c r="Q36" s="461">
        <v>3371963.24</v>
      </c>
      <c r="R36" s="454"/>
      <c r="S36" s="458">
        <f t="shared" si="7"/>
        <v>-224400.63999999966</v>
      </c>
      <c r="T36" s="458">
        <f t="shared" si="8"/>
        <v>-224400.63999999966</v>
      </c>
      <c r="U36" s="417" t="s">
        <v>788</v>
      </c>
    </row>
    <row r="37" spans="1:21" s="417" customFormat="1" ht="18.75">
      <c r="A37" s="417" t="s">
        <v>443</v>
      </c>
      <c r="C37" s="458">
        <v>777728.07</v>
      </c>
      <c r="D37" s="458">
        <v>777728.07</v>
      </c>
      <c r="F37" s="458">
        <v>884913.74</v>
      </c>
      <c r="G37" s="461">
        <v>884913.74</v>
      </c>
      <c r="H37" s="454"/>
      <c r="I37" s="458">
        <f t="shared" si="6"/>
        <v>107185.67000000004</v>
      </c>
      <c r="J37" s="458">
        <f t="shared" si="9"/>
        <v>107185.67000000004</v>
      </c>
      <c r="K37" s="454"/>
      <c r="M37" s="417" t="s">
        <v>443</v>
      </c>
      <c r="P37" s="458">
        <v>825823.2</v>
      </c>
      <c r="Q37" s="461">
        <v>825823.2</v>
      </c>
      <c r="S37" s="458">
        <f t="shared" si="7"/>
        <v>-59090.540000000037</v>
      </c>
      <c r="T37" s="458">
        <f t="shared" si="8"/>
        <v>-59090.540000000037</v>
      </c>
      <c r="U37" s="417" t="s">
        <v>788</v>
      </c>
    </row>
    <row r="38" spans="1:21" s="417" customFormat="1" ht="18.75">
      <c r="A38" s="417" t="s">
        <v>444</v>
      </c>
      <c r="C38" s="458">
        <v>1593529</v>
      </c>
      <c r="D38" s="458">
        <v>1593529</v>
      </c>
      <c r="F38" s="458">
        <v>1178491.1599999999</v>
      </c>
      <c r="G38" s="461">
        <v>1178491.1599999999</v>
      </c>
      <c r="H38" s="454"/>
      <c r="I38" s="458">
        <f t="shared" si="6"/>
        <v>-415037.84000000008</v>
      </c>
      <c r="J38" s="458">
        <f t="shared" si="9"/>
        <v>-415037.84000000008</v>
      </c>
      <c r="K38" s="454"/>
      <c r="M38" s="417" t="s">
        <v>444</v>
      </c>
      <c r="P38" s="458">
        <v>1139562.57</v>
      </c>
      <c r="Q38" s="461">
        <v>1139562.57</v>
      </c>
      <c r="S38" s="458">
        <f t="shared" si="7"/>
        <v>-38928.589999999851</v>
      </c>
      <c r="T38" s="458">
        <f t="shared" si="8"/>
        <v>-38928.589999999851</v>
      </c>
      <c r="U38" s="417" t="s">
        <v>788</v>
      </c>
    </row>
    <row r="39" spans="1:21" s="417" customFormat="1" ht="18.75">
      <c r="A39" s="417" t="s">
        <v>445</v>
      </c>
      <c r="C39" s="458">
        <v>1023683.02</v>
      </c>
      <c r="D39" s="458">
        <v>1023683.02</v>
      </c>
      <c r="F39" s="458">
        <v>1134528.98</v>
      </c>
      <c r="G39" s="461">
        <v>1134528.98</v>
      </c>
      <c r="H39" s="454"/>
      <c r="I39" s="458">
        <f t="shared" si="6"/>
        <v>110845.95999999996</v>
      </c>
      <c r="J39" s="458">
        <f t="shared" si="9"/>
        <v>110845.95999999996</v>
      </c>
      <c r="K39" s="454"/>
      <c r="M39" s="417" t="s">
        <v>445</v>
      </c>
      <c r="P39" s="458">
        <v>1065220.1599999999</v>
      </c>
      <c r="Q39" s="461">
        <v>1065220.1599999999</v>
      </c>
      <c r="S39" s="458">
        <f t="shared" si="7"/>
        <v>-69308.820000000065</v>
      </c>
      <c r="T39" s="458">
        <f t="shared" si="8"/>
        <v>-69308.820000000065</v>
      </c>
      <c r="U39" s="417" t="s">
        <v>788</v>
      </c>
    </row>
    <row r="40" spans="1:21" ht="18.75">
      <c r="A40" s="417" t="s">
        <v>446</v>
      </c>
      <c r="B40" s="417"/>
      <c r="C40" s="458">
        <v>2381827</v>
      </c>
      <c r="D40" s="458">
        <v>2381827</v>
      </c>
      <c r="E40" s="417"/>
      <c r="F40" s="458">
        <v>4595055.5599999996</v>
      </c>
      <c r="G40" s="461">
        <v>4595055.5599999996</v>
      </c>
      <c r="I40" s="458">
        <f t="shared" si="6"/>
        <v>2213228.5599999996</v>
      </c>
      <c r="J40" s="458">
        <f t="shared" si="9"/>
        <v>2213228.5599999996</v>
      </c>
      <c r="M40" s="417" t="s">
        <v>446</v>
      </c>
      <c r="N40" s="417"/>
      <c r="O40" s="417"/>
      <c r="P40" s="458">
        <v>4284719.87</v>
      </c>
      <c r="Q40" s="461">
        <v>4284719.87</v>
      </c>
      <c r="R40" s="417"/>
      <c r="S40" s="458">
        <f t="shared" si="7"/>
        <v>-310335.68999999948</v>
      </c>
      <c r="T40" s="458">
        <f t="shared" si="8"/>
        <v>-310335.68999999948</v>
      </c>
      <c r="U40" s="365" t="s">
        <v>788</v>
      </c>
    </row>
    <row r="41" spans="1:21" s="417" customFormat="1" ht="18.75">
      <c r="A41" s="454" t="s">
        <v>447</v>
      </c>
      <c r="B41" s="365"/>
      <c r="C41" s="458">
        <v>1117769.96</v>
      </c>
      <c r="D41" s="458">
        <v>5068306.3</v>
      </c>
      <c r="E41" s="365"/>
      <c r="F41" s="458">
        <v>0</v>
      </c>
      <c r="G41" s="461">
        <v>0</v>
      </c>
      <c r="H41" s="454"/>
      <c r="I41" s="458">
        <f t="shared" si="6"/>
        <v>-1117769.96</v>
      </c>
      <c r="J41" s="458">
        <f t="shared" si="9"/>
        <v>-5068306.3</v>
      </c>
      <c r="K41" s="454"/>
      <c r="M41" s="365" t="s">
        <v>447</v>
      </c>
      <c r="N41" s="365"/>
      <c r="O41" s="365"/>
      <c r="P41" s="458">
        <v>0</v>
      </c>
      <c r="Q41" s="461">
        <v>0</v>
      </c>
      <c r="R41" s="365"/>
      <c r="S41" s="458">
        <f>P41-F41</f>
        <v>0</v>
      </c>
      <c r="T41" s="458">
        <f>Q41-G41</f>
        <v>0</v>
      </c>
      <c r="U41" s="417" t="s">
        <v>58</v>
      </c>
    </row>
    <row r="42" spans="1:21" s="417" customFormat="1" ht="18.75">
      <c r="A42" s="417" t="s">
        <v>448</v>
      </c>
      <c r="C42" s="458">
        <v>5852179.8200000003</v>
      </c>
      <c r="D42" s="458">
        <v>5852179.8200000003</v>
      </c>
      <c r="F42" s="458">
        <v>7341744.1900000004</v>
      </c>
      <c r="G42" s="461">
        <v>7341744.1900000004</v>
      </c>
      <c r="H42" s="454"/>
      <c r="I42" s="458">
        <f t="shared" si="6"/>
        <v>1489564.37</v>
      </c>
      <c r="J42" s="458">
        <f t="shared" si="9"/>
        <v>1489564.37</v>
      </c>
      <c r="K42" s="454"/>
      <c r="M42" s="417" t="s">
        <v>448</v>
      </c>
      <c r="P42" s="458">
        <v>6693540.9000000004</v>
      </c>
      <c r="Q42" s="461">
        <v>6693540.9000000004</v>
      </c>
      <c r="S42" s="458">
        <f t="shared" ref="S42:S48" si="10">P42-F42</f>
        <v>-648203.29</v>
      </c>
      <c r="T42" s="458">
        <f t="shared" ref="T42:T48" si="11">Q42-G42</f>
        <v>-648203.29</v>
      </c>
      <c r="U42" s="417" t="s">
        <v>788</v>
      </c>
    </row>
    <row r="43" spans="1:21" s="417" customFormat="1" ht="18.75">
      <c r="A43" s="417" t="s">
        <v>683</v>
      </c>
      <c r="C43" s="458">
        <v>73082820</v>
      </c>
      <c r="D43" s="458">
        <v>73082820</v>
      </c>
      <c r="F43" s="458">
        <v>71797732.049999997</v>
      </c>
      <c r="G43" s="461">
        <v>71797732.049999997</v>
      </c>
      <c r="H43" s="454"/>
      <c r="I43" s="458">
        <f t="shared" si="6"/>
        <v>-1285087.950000003</v>
      </c>
      <c r="J43" s="458">
        <f t="shared" si="9"/>
        <v>-1285087.950000003</v>
      </c>
      <c r="K43" s="454"/>
      <c r="M43" s="417" t="s">
        <v>683</v>
      </c>
      <c r="P43" s="458">
        <v>65488672.020000003</v>
      </c>
      <c r="Q43" s="461">
        <v>65488672.020000003</v>
      </c>
      <c r="S43" s="458">
        <f t="shared" si="10"/>
        <v>-6309060.0299999937</v>
      </c>
      <c r="T43" s="458">
        <f t="shared" si="11"/>
        <v>-6309060.0299999937</v>
      </c>
      <c r="U43" s="417" t="s">
        <v>789</v>
      </c>
    </row>
    <row r="44" spans="1:21" s="417" customFormat="1" ht="18.75">
      <c r="A44" s="417" t="s">
        <v>450</v>
      </c>
      <c r="C44" s="458">
        <v>2340707</v>
      </c>
      <c r="D44" s="458">
        <v>2340707</v>
      </c>
      <c r="F44" s="458">
        <v>2425063.7999999998</v>
      </c>
      <c r="G44" s="461">
        <v>2425063.7999999998</v>
      </c>
      <c r="H44" s="454"/>
      <c r="I44" s="458">
        <f t="shared" si="6"/>
        <v>84356.799999999814</v>
      </c>
      <c r="J44" s="458">
        <f t="shared" si="9"/>
        <v>84356.799999999814</v>
      </c>
      <c r="K44" s="454"/>
      <c r="M44" s="417" t="s">
        <v>450</v>
      </c>
      <c r="P44" s="458">
        <v>2133163.38</v>
      </c>
      <c r="Q44" s="461">
        <v>2133163.38</v>
      </c>
      <c r="S44" s="458">
        <f t="shared" si="10"/>
        <v>-291900.41999999993</v>
      </c>
      <c r="T44" s="458">
        <f t="shared" si="11"/>
        <v>-291900.41999999993</v>
      </c>
      <c r="U44" s="417" t="s">
        <v>788</v>
      </c>
    </row>
    <row r="45" spans="1:21" s="417" customFormat="1" ht="18.75">
      <c r="A45" s="417" t="s">
        <v>451</v>
      </c>
      <c r="C45" s="458">
        <v>4627568</v>
      </c>
      <c r="D45" s="458">
        <v>4627568</v>
      </c>
      <c r="F45" s="458">
        <v>0</v>
      </c>
      <c r="G45" s="461">
        <v>0</v>
      </c>
      <c r="H45" s="454"/>
      <c r="I45" s="458">
        <f t="shared" si="6"/>
        <v>-4627568</v>
      </c>
      <c r="J45" s="458">
        <f t="shared" si="9"/>
        <v>-4627568</v>
      </c>
      <c r="K45" s="454"/>
      <c r="M45" s="417" t="s">
        <v>451</v>
      </c>
      <c r="P45" s="458">
        <v>0</v>
      </c>
      <c r="Q45" s="461">
        <v>0</v>
      </c>
      <c r="S45" s="458">
        <f t="shared" si="10"/>
        <v>0</v>
      </c>
      <c r="T45" s="458">
        <f t="shared" si="11"/>
        <v>0</v>
      </c>
    </row>
    <row r="46" spans="1:21" ht="18.75">
      <c r="A46" s="454" t="s">
        <v>750</v>
      </c>
      <c r="C46" s="458">
        <v>0</v>
      </c>
      <c r="D46" s="458">
        <v>12606208.050000001</v>
      </c>
      <c r="F46" s="458">
        <v>0</v>
      </c>
      <c r="G46" s="461">
        <v>0</v>
      </c>
      <c r="I46" s="458">
        <f t="shared" si="6"/>
        <v>0</v>
      </c>
      <c r="J46" s="458">
        <f t="shared" si="9"/>
        <v>-12606208.050000001</v>
      </c>
      <c r="M46" s="417"/>
      <c r="N46" s="417"/>
      <c r="O46" s="417"/>
      <c r="P46" s="458"/>
      <c r="Q46" s="461"/>
      <c r="R46" s="417"/>
      <c r="S46" s="458">
        <f t="shared" si="10"/>
        <v>0</v>
      </c>
      <c r="T46" s="458">
        <f t="shared" si="11"/>
        <v>0</v>
      </c>
    </row>
    <row r="47" spans="1:21" s="417" customFormat="1" ht="18.75">
      <c r="A47" s="417" t="s">
        <v>454</v>
      </c>
      <c r="C47" s="458">
        <v>26928254</v>
      </c>
      <c r="D47" s="458">
        <v>26928254</v>
      </c>
      <c r="F47" s="458">
        <v>40790962.479999997</v>
      </c>
      <c r="G47" s="461">
        <v>50403674.359999999</v>
      </c>
      <c r="H47" s="454"/>
      <c r="I47" s="458">
        <f t="shared" si="6"/>
        <v>13862708.479999997</v>
      </c>
      <c r="J47" s="458">
        <f t="shared" si="9"/>
        <v>23475420.359999999</v>
      </c>
      <c r="K47" s="454"/>
      <c r="M47" s="417" t="s">
        <v>454</v>
      </c>
      <c r="P47" s="458">
        <v>38126459.609999999</v>
      </c>
      <c r="Q47" s="461">
        <v>47454569.25</v>
      </c>
      <c r="S47" s="458">
        <f t="shared" si="10"/>
        <v>-2664502.8699999973</v>
      </c>
      <c r="T47" s="458">
        <f t="shared" si="11"/>
        <v>-2949105.1099999994</v>
      </c>
      <c r="U47" s="417" t="s">
        <v>788</v>
      </c>
    </row>
    <row r="48" spans="1:21" s="417" customFormat="1" ht="18.75">
      <c r="A48" s="417" t="s">
        <v>455</v>
      </c>
      <c r="C48" s="458">
        <v>4065123.38</v>
      </c>
      <c r="D48" s="458">
        <v>16526296.379099999</v>
      </c>
      <c r="F48" s="458">
        <v>0</v>
      </c>
      <c r="G48" s="461">
        <v>0</v>
      </c>
      <c r="H48" s="454"/>
      <c r="I48" s="458">
        <f t="shared" si="6"/>
        <v>-4065123.38</v>
      </c>
      <c r="J48" s="458">
        <f t="shared" si="9"/>
        <v>-16526296.379099999</v>
      </c>
      <c r="K48" s="454"/>
      <c r="M48" s="417" t="s">
        <v>455</v>
      </c>
      <c r="P48" s="458">
        <v>0</v>
      </c>
      <c r="Q48" s="461">
        <v>0</v>
      </c>
      <c r="S48" s="458">
        <f t="shared" si="10"/>
        <v>0</v>
      </c>
      <c r="T48" s="458">
        <f t="shared" si="11"/>
        <v>0</v>
      </c>
    </row>
    <row r="49" spans="1:21" s="417" customFormat="1" ht="18.75">
      <c r="A49" s="417" t="s">
        <v>456</v>
      </c>
      <c r="C49" s="458">
        <v>99990382</v>
      </c>
      <c r="D49" s="458">
        <v>99990382</v>
      </c>
      <c r="F49" s="458">
        <v>98141365.129999995</v>
      </c>
      <c r="G49" s="461">
        <v>98141365.129999995</v>
      </c>
      <c r="H49" s="454"/>
      <c r="I49" s="458">
        <f t="shared" si="6"/>
        <v>-1849016.8700000048</v>
      </c>
      <c r="J49" s="458">
        <f t="shared" si="9"/>
        <v>-1849016.8700000048</v>
      </c>
      <c r="K49" s="454"/>
      <c r="M49" s="417" t="s">
        <v>456</v>
      </c>
      <c r="P49" s="458">
        <v>88918541.209999993</v>
      </c>
      <c r="Q49" s="461">
        <v>91459637.699999988</v>
      </c>
      <c r="S49" s="458">
        <f>P49-F49</f>
        <v>-9222823.9200000018</v>
      </c>
      <c r="T49" s="458">
        <f>Q49-G49</f>
        <v>-6681727.4300000072</v>
      </c>
      <c r="U49" s="417" t="s">
        <v>789</v>
      </c>
    </row>
    <row r="50" spans="1:21" s="417" customFormat="1" ht="18.75">
      <c r="A50" s="417" t="s">
        <v>457</v>
      </c>
      <c r="C50" s="458">
        <v>1452411</v>
      </c>
      <c r="D50" s="458">
        <v>1452411</v>
      </c>
      <c r="F50" s="458">
        <v>0</v>
      </c>
      <c r="G50" s="461">
        <v>0</v>
      </c>
      <c r="H50" s="454"/>
      <c r="I50" s="458">
        <f t="shared" si="6"/>
        <v>-1452411</v>
      </c>
      <c r="J50" s="458">
        <f t="shared" si="9"/>
        <v>-1452411</v>
      </c>
      <c r="K50" s="454"/>
      <c r="M50" s="417" t="s">
        <v>457</v>
      </c>
      <c r="P50" s="458">
        <v>0</v>
      </c>
      <c r="Q50" s="461">
        <v>0</v>
      </c>
      <c r="S50" s="458">
        <f>P50-F50</f>
        <v>0</v>
      </c>
      <c r="T50" s="458">
        <f>Q50-G50</f>
        <v>0</v>
      </c>
    </row>
    <row r="51" spans="1:21" s="417" customFormat="1" ht="18.75">
      <c r="A51" s="417" t="s">
        <v>458</v>
      </c>
      <c r="C51" s="458">
        <v>1329677</v>
      </c>
      <c r="D51" s="458">
        <v>1329677</v>
      </c>
      <c r="F51" s="458">
        <v>0</v>
      </c>
      <c r="G51" s="461">
        <v>0</v>
      </c>
      <c r="H51" s="454"/>
      <c r="I51" s="458">
        <f t="shared" si="6"/>
        <v>-1329677</v>
      </c>
      <c r="J51" s="458">
        <f t="shared" si="9"/>
        <v>-1329677</v>
      </c>
      <c r="K51" s="454"/>
      <c r="M51" s="417" t="s">
        <v>458</v>
      </c>
      <c r="P51" s="458">
        <v>0</v>
      </c>
      <c r="Q51" s="461">
        <v>0</v>
      </c>
      <c r="S51" s="458">
        <f t="shared" ref="S51:S57" si="12">P51-F51</f>
        <v>0</v>
      </c>
      <c r="T51" s="458">
        <f t="shared" ref="T51:T57" si="13">Q51-G51</f>
        <v>0</v>
      </c>
    </row>
    <row r="52" spans="1:21" s="417" customFormat="1" ht="18.75">
      <c r="A52" s="417" t="s">
        <v>459</v>
      </c>
      <c r="C52" s="458">
        <v>16523135.809999999</v>
      </c>
      <c r="D52" s="458">
        <v>120215031.89</v>
      </c>
      <c r="F52" s="458">
        <v>6399065.7300000004</v>
      </c>
      <c r="G52" s="461">
        <v>108101595.16000001</v>
      </c>
      <c r="H52" s="454"/>
      <c r="I52" s="458">
        <f t="shared" si="6"/>
        <v>-10124070.079999998</v>
      </c>
      <c r="J52" s="458">
        <f t="shared" si="9"/>
        <v>-12113436.729999989</v>
      </c>
      <c r="K52" s="454"/>
      <c r="M52" s="417" t="s">
        <v>459</v>
      </c>
      <c r="P52" s="458">
        <v>5626843.0899999999</v>
      </c>
      <c r="Q52" s="461">
        <v>106028932.97</v>
      </c>
      <c r="S52" s="458">
        <f t="shared" si="12"/>
        <v>-772222.6400000006</v>
      </c>
      <c r="T52" s="458">
        <f t="shared" si="13"/>
        <v>-2072662.1900000125</v>
      </c>
      <c r="U52" s="417" t="s">
        <v>791</v>
      </c>
    </row>
    <row r="53" spans="1:21" s="417" customFormat="1" ht="18.75">
      <c r="A53" s="417" t="s">
        <v>570</v>
      </c>
      <c r="C53" s="458">
        <v>0</v>
      </c>
      <c r="D53" s="458">
        <v>0</v>
      </c>
      <c r="F53" s="458">
        <v>7329554.3700000001</v>
      </c>
      <c r="G53" s="461">
        <v>30068656.530000001</v>
      </c>
      <c r="H53" s="454"/>
      <c r="I53" s="458">
        <f t="shared" si="6"/>
        <v>7329554.3700000001</v>
      </c>
      <c r="J53" s="458">
        <f t="shared" si="9"/>
        <v>30068656.530000001</v>
      </c>
      <c r="K53" s="454"/>
      <c r="M53" s="417" t="s">
        <v>570</v>
      </c>
      <c r="P53" s="458">
        <v>6362018.1299999999</v>
      </c>
      <c r="Q53" s="461">
        <v>28305212.490000002</v>
      </c>
      <c r="S53" s="458">
        <f t="shared" si="12"/>
        <v>-967536.24000000022</v>
      </c>
      <c r="T53" s="458">
        <f t="shared" si="13"/>
        <v>-1763444.0399999991</v>
      </c>
      <c r="U53" s="417" t="s">
        <v>791</v>
      </c>
    </row>
    <row r="54" spans="1:21" s="417" customFormat="1" ht="18.75">
      <c r="A54" s="417" t="s">
        <v>476</v>
      </c>
      <c r="C54" s="458">
        <v>0</v>
      </c>
      <c r="D54" s="458">
        <v>0</v>
      </c>
      <c r="F54" s="458">
        <v>1344690.05</v>
      </c>
      <c r="G54" s="461">
        <v>25015458.129999999</v>
      </c>
      <c r="H54" s="454"/>
      <c r="I54" s="458">
        <f t="shared" si="6"/>
        <v>1344690.05</v>
      </c>
      <c r="J54" s="458">
        <f t="shared" si="9"/>
        <v>25015458.129999999</v>
      </c>
      <c r="K54" s="454"/>
      <c r="M54" s="417" t="s">
        <v>476</v>
      </c>
      <c r="P54" s="458">
        <v>1282571.45</v>
      </c>
      <c r="Q54" s="461">
        <v>23945496.490000002</v>
      </c>
      <c r="S54" s="458">
        <f t="shared" si="12"/>
        <v>-62118.600000000093</v>
      </c>
      <c r="T54" s="458">
        <f t="shared" si="13"/>
        <v>-1069961.6399999969</v>
      </c>
      <c r="U54" s="417" t="s">
        <v>791</v>
      </c>
    </row>
    <row r="55" spans="1:21" s="417" customFormat="1" ht="18.75">
      <c r="A55" s="454" t="s">
        <v>16</v>
      </c>
      <c r="B55" s="363"/>
      <c r="C55" s="458">
        <v>0</v>
      </c>
      <c r="D55" s="458">
        <v>42622902.170000002</v>
      </c>
      <c r="E55" s="363"/>
      <c r="F55" s="458">
        <v>0</v>
      </c>
      <c r="G55" s="461">
        <v>54709093</v>
      </c>
      <c r="H55" s="454"/>
      <c r="I55" s="458">
        <f t="shared" si="6"/>
        <v>0</v>
      </c>
      <c r="J55" s="458">
        <f t="shared" si="9"/>
        <v>12086190.829999998</v>
      </c>
      <c r="K55" s="454"/>
      <c r="M55" s="454" t="s">
        <v>16</v>
      </c>
      <c r="N55" s="363"/>
      <c r="O55" s="363"/>
      <c r="P55" s="458">
        <v>0</v>
      </c>
      <c r="Q55" s="461">
        <v>80591442</v>
      </c>
      <c r="R55" s="363"/>
      <c r="S55" s="458">
        <f t="shared" si="12"/>
        <v>0</v>
      </c>
      <c r="T55" s="458">
        <f t="shared" si="13"/>
        <v>25882349</v>
      </c>
      <c r="U55" s="417" t="s">
        <v>792</v>
      </c>
    </row>
    <row r="56" spans="1:21" s="417" customFormat="1" ht="18.75">
      <c r="A56" s="417" t="s">
        <v>460</v>
      </c>
      <c r="C56" s="458">
        <v>-1273223.3099999996</v>
      </c>
      <c r="D56" s="458">
        <v>-1193723.3099999996</v>
      </c>
      <c r="F56" s="458">
        <v>8297913.0999999996</v>
      </c>
      <c r="G56" s="461">
        <v>8377413.0999999996</v>
      </c>
      <c r="H56" s="454"/>
      <c r="I56" s="458">
        <f t="shared" si="6"/>
        <v>9571136.4100000001</v>
      </c>
      <c r="J56" s="458">
        <f t="shared" si="9"/>
        <v>9571136.4100000001</v>
      </c>
      <c r="K56" s="454"/>
      <c r="M56" s="417" t="s">
        <v>460</v>
      </c>
      <c r="P56" s="458">
        <v>13282670.199999999</v>
      </c>
      <c r="Q56" s="461">
        <v>13362170.199999999</v>
      </c>
      <c r="S56" s="458">
        <f t="shared" si="12"/>
        <v>4984757.0999999996</v>
      </c>
      <c r="T56" s="458">
        <f t="shared" si="13"/>
        <v>4984757.0999999996</v>
      </c>
      <c r="U56" s="417" t="s">
        <v>788</v>
      </c>
    </row>
    <row r="57" spans="1:21" s="417" customFormat="1" ht="18.75">
      <c r="A57" s="417" t="s">
        <v>574</v>
      </c>
      <c r="C57" s="839">
        <f>SUM(C33:C56)</f>
        <v>256012820.15000001</v>
      </c>
      <c r="D57" s="463">
        <f>SUM(D33:D56)</f>
        <v>445685322.13910002</v>
      </c>
      <c r="F57" s="839">
        <f>SUM(F36:F56)</f>
        <v>255257444.22</v>
      </c>
      <c r="G57" s="463">
        <f>SUM(G36:G56)</f>
        <v>467771148.76999998</v>
      </c>
      <c r="H57" s="454"/>
      <c r="I57" s="839">
        <f>SUM(I33:I56)</f>
        <v>-755375.93000000715</v>
      </c>
      <c r="J57" s="463">
        <f>SUM(J33:J56)</f>
        <v>22085826.630900003</v>
      </c>
      <c r="K57" s="454"/>
      <c r="M57" s="417" t="s">
        <v>574</v>
      </c>
      <c r="O57" s="417" t="s">
        <v>424</v>
      </c>
      <c r="P57" s="463">
        <v>238601769.02999997</v>
      </c>
      <c r="Q57" s="463">
        <v>476150126</v>
      </c>
      <c r="S57" s="463">
        <f t="shared" si="12"/>
        <v>-16655675.190000027</v>
      </c>
      <c r="T57" s="463">
        <f t="shared" si="13"/>
        <v>8378977.2300000191</v>
      </c>
    </row>
    <row r="58" spans="1:21" s="417" customFormat="1" ht="14.25" customHeight="1">
      <c r="C58" s="459"/>
      <c r="D58" s="461"/>
      <c r="F58" s="459"/>
      <c r="G58" s="461"/>
      <c r="H58" s="454"/>
      <c r="I58" s="459"/>
      <c r="J58" s="461"/>
      <c r="K58" s="454"/>
      <c r="P58" s="459"/>
      <c r="Q58" s="461"/>
      <c r="S58" s="459"/>
      <c r="T58" s="459"/>
    </row>
    <row r="59" spans="1:21" s="417" customFormat="1" ht="18" customHeight="1">
      <c r="A59" s="417" t="s">
        <v>462</v>
      </c>
      <c r="C59" s="459"/>
      <c r="D59" s="461"/>
      <c r="F59" s="459"/>
      <c r="G59" s="461"/>
      <c r="H59" s="454"/>
      <c r="I59" s="459"/>
      <c r="J59" s="461"/>
      <c r="K59" s="454"/>
      <c r="M59" s="417" t="s">
        <v>462</v>
      </c>
      <c r="P59" s="459"/>
      <c r="Q59" s="461"/>
      <c r="S59" s="459"/>
      <c r="T59" s="459"/>
    </row>
    <row r="60" spans="1:21" s="417" customFormat="1" ht="18" customHeight="1">
      <c r="A60" s="417" t="s">
        <v>463</v>
      </c>
      <c r="C60" s="458">
        <v>10527086.5857</v>
      </c>
      <c r="D60" s="458">
        <v>14457831.5657</v>
      </c>
      <c r="F60" s="458">
        <v>7688910</v>
      </c>
      <c r="G60" s="461">
        <v>10662781.43</v>
      </c>
      <c r="H60" s="454"/>
      <c r="I60" s="458">
        <f t="shared" ref="I60:J62" si="14">F60-C60</f>
        <v>-2838176.5856999997</v>
      </c>
      <c r="J60" s="458">
        <f t="shared" si="14"/>
        <v>-3795050.1357000005</v>
      </c>
      <c r="K60" s="454"/>
      <c r="M60" s="417" t="s">
        <v>463</v>
      </c>
      <c r="P60" s="458">
        <v>26954467.830000002</v>
      </c>
      <c r="Q60" s="461">
        <v>370550060.9600001</v>
      </c>
      <c r="S60" s="458">
        <f t="shared" ref="S60:T63" si="15">P60-F60</f>
        <v>19265557.830000002</v>
      </c>
      <c r="T60" s="458">
        <f t="shared" si="15"/>
        <v>359887279.53000009</v>
      </c>
      <c r="U60" s="417" t="s">
        <v>788</v>
      </c>
    </row>
    <row r="61" spans="1:21" s="417" customFormat="1" ht="18" customHeight="1">
      <c r="A61" s="417" t="s">
        <v>464</v>
      </c>
      <c r="C61" s="458">
        <v>657498</v>
      </c>
      <c r="D61" s="458">
        <v>657498</v>
      </c>
      <c r="F61" s="458">
        <v>455656</v>
      </c>
      <c r="G61" s="461">
        <v>455656</v>
      </c>
      <c r="H61" s="454"/>
      <c r="I61" s="458">
        <f t="shared" si="14"/>
        <v>-201842</v>
      </c>
      <c r="J61" s="458">
        <f t="shared" si="14"/>
        <v>-201842</v>
      </c>
      <c r="K61" s="454"/>
      <c r="M61" s="417" t="s">
        <v>464</v>
      </c>
      <c r="P61" s="458">
        <v>455656</v>
      </c>
      <c r="Q61" s="461">
        <v>455656</v>
      </c>
      <c r="S61" s="458">
        <f t="shared" si="15"/>
        <v>0</v>
      </c>
      <c r="T61" s="458">
        <f t="shared" si="15"/>
        <v>0</v>
      </c>
    </row>
    <row r="62" spans="1:21" s="417" customFormat="1" ht="18" customHeight="1">
      <c r="A62" s="417" t="s">
        <v>465</v>
      </c>
      <c r="C62" s="472">
        <v>0</v>
      </c>
      <c r="D62" s="472">
        <v>10876517.68</v>
      </c>
      <c r="F62" s="472">
        <v>1044000</v>
      </c>
      <c r="G62" s="461">
        <v>21824361.41</v>
      </c>
      <c r="H62" s="454"/>
      <c r="I62" s="458">
        <f t="shared" si="14"/>
        <v>1044000</v>
      </c>
      <c r="J62" s="458">
        <f t="shared" si="14"/>
        <v>10947843.73</v>
      </c>
      <c r="K62" s="454"/>
      <c r="M62" s="417" t="s">
        <v>465</v>
      </c>
      <c r="P62" s="472">
        <v>884000</v>
      </c>
      <c r="Q62" s="461">
        <v>21655209.650000002</v>
      </c>
      <c r="S62" s="472">
        <f t="shared" si="15"/>
        <v>-160000</v>
      </c>
      <c r="T62" s="472">
        <f t="shared" si="15"/>
        <v>-169151.75999999791</v>
      </c>
      <c r="U62" s="417" t="s">
        <v>793</v>
      </c>
    </row>
    <row r="63" spans="1:21" s="417" customFormat="1" ht="18.75">
      <c r="A63" s="417" t="s">
        <v>587</v>
      </c>
      <c r="C63" s="843">
        <f>SUM(C60:C62)</f>
        <v>11184584.5857</v>
      </c>
      <c r="D63" s="462">
        <f>SUM(D60:D62)</f>
        <v>25991847.245700002</v>
      </c>
      <c r="F63" s="843">
        <f>SUM(F60:F62)</f>
        <v>9188566</v>
      </c>
      <c r="G63" s="464">
        <f>SUM(G60:G62)</f>
        <v>32942798.84</v>
      </c>
      <c r="H63" s="454"/>
      <c r="I63" s="843">
        <f>SUM(I60:I62)</f>
        <v>-1996018.5856999997</v>
      </c>
      <c r="J63" s="462">
        <f>SUM(J60:J62)</f>
        <v>6950951.5943</v>
      </c>
      <c r="K63" s="454"/>
      <c r="M63" s="417" t="s">
        <v>587</v>
      </c>
      <c r="O63" s="417" t="s">
        <v>424</v>
      </c>
      <c r="P63" s="462">
        <v>28294123.830000002</v>
      </c>
      <c r="Q63" s="464">
        <v>392660926</v>
      </c>
      <c r="S63" s="462">
        <f t="shared" si="15"/>
        <v>19105557.830000002</v>
      </c>
      <c r="T63" s="462">
        <f t="shared" si="15"/>
        <v>359718127.16000003</v>
      </c>
    </row>
    <row r="64" spans="1:21" s="417" customFormat="1" ht="17.25" customHeight="1">
      <c r="C64" s="459"/>
      <c r="D64" s="461"/>
      <c r="F64" s="459"/>
      <c r="G64" s="461"/>
      <c r="H64" s="454"/>
      <c r="I64" s="459"/>
      <c r="J64" s="461"/>
      <c r="K64" s="454"/>
      <c r="P64" s="459"/>
      <c r="Q64" s="461"/>
      <c r="S64" s="459"/>
      <c r="T64" s="459"/>
    </row>
    <row r="65" spans="1:21" s="417" customFormat="1" ht="18" customHeight="1">
      <c r="A65" s="417" t="s">
        <v>466</v>
      </c>
      <c r="C65" s="459"/>
      <c r="D65" s="461"/>
      <c r="F65" s="459"/>
      <c r="G65" s="461"/>
      <c r="H65" s="454"/>
      <c r="I65" s="459"/>
      <c r="J65" s="461"/>
      <c r="K65" s="454"/>
      <c r="M65" s="417" t="s">
        <v>466</v>
      </c>
      <c r="P65" s="459"/>
      <c r="Q65" s="461"/>
      <c r="S65" s="459"/>
      <c r="T65" s="459"/>
    </row>
    <row r="66" spans="1:21" s="417" customFormat="1" ht="18" customHeight="1">
      <c r="A66" s="417" t="s">
        <v>36</v>
      </c>
      <c r="C66" s="458">
        <v>50244657.759999998</v>
      </c>
      <c r="D66" s="458">
        <v>115310998.25</v>
      </c>
      <c r="F66" s="458">
        <v>47336845.450000003</v>
      </c>
      <c r="G66" s="461">
        <v>112640097</v>
      </c>
      <c r="H66" s="454"/>
      <c r="I66" s="458">
        <f t="shared" ref="I66:J69" si="16">F66-C66</f>
        <v>-2907812.3099999949</v>
      </c>
      <c r="J66" s="458">
        <f t="shared" si="16"/>
        <v>-2670901.25</v>
      </c>
      <c r="K66" s="454"/>
      <c r="M66" s="417" t="s">
        <v>36</v>
      </c>
      <c r="P66" s="458">
        <v>46328274.810000002</v>
      </c>
      <c r="Q66" s="461">
        <v>110988119</v>
      </c>
      <c r="S66" s="458">
        <f>P66-F66</f>
        <v>-1008570.6400000006</v>
      </c>
      <c r="T66" s="458">
        <f>Q66-G66</f>
        <v>-1651978</v>
      </c>
    </row>
    <row r="67" spans="1:21" s="417" customFormat="1" ht="18" customHeight="1">
      <c r="A67" s="417" t="s">
        <v>782</v>
      </c>
      <c r="C67" s="458">
        <v>74999.75</v>
      </c>
      <c r="D67" s="458">
        <v>74999.75</v>
      </c>
      <c r="F67" s="458">
        <v>0</v>
      </c>
      <c r="G67" s="461">
        <v>0</v>
      </c>
      <c r="H67" s="454"/>
      <c r="I67" s="458">
        <f t="shared" si="16"/>
        <v>-74999.75</v>
      </c>
      <c r="J67" s="458">
        <f t="shared" si="16"/>
        <v>-74999.75</v>
      </c>
      <c r="K67" s="454"/>
      <c r="M67" s="417" t="s">
        <v>37</v>
      </c>
      <c r="P67" s="458">
        <v>0</v>
      </c>
      <c r="Q67" s="461">
        <v>16144538</v>
      </c>
      <c r="S67" s="458">
        <f t="shared" ref="S67:S68" si="17">P67-F67</f>
        <v>0</v>
      </c>
      <c r="T67" s="458">
        <f t="shared" ref="T67:T68" si="18">Q67-G67</f>
        <v>16144538</v>
      </c>
      <c r="U67" s="417" t="s">
        <v>788</v>
      </c>
    </row>
    <row r="68" spans="1:21" s="417" customFormat="1" ht="18" customHeight="1">
      <c r="A68" s="417" t="s">
        <v>690</v>
      </c>
      <c r="C68" s="458">
        <v>0</v>
      </c>
      <c r="D68" s="458">
        <v>0</v>
      </c>
      <c r="F68" s="458">
        <v>4000000</v>
      </c>
      <c r="G68" s="461">
        <v>4000000</v>
      </c>
      <c r="H68" s="454"/>
      <c r="I68" s="458">
        <f t="shared" si="16"/>
        <v>4000000</v>
      </c>
      <c r="J68" s="458">
        <f t="shared" si="16"/>
        <v>4000000</v>
      </c>
      <c r="K68" s="454"/>
      <c r="M68" s="417" t="s">
        <v>690</v>
      </c>
      <c r="P68" s="458">
        <v>4000000</v>
      </c>
      <c r="Q68" s="461">
        <v>4000000</v>
      </c>
      <c r="S68" s="458">
        <f t="shared" si="17"/>
        <v>0</v>
      </c>
      <c r="T68" s="458">
        <f t="shared" si="18"/>
        <v>0</v>
      </c>
    </row>
    <row r="69" spans="1:21" s="417" customFormat="1" ht="18" customHeight="1">
      <c r="A69" s="417" t="s">
        <v>29</v>
      </c>
      <c r="C69" s="470">
        <v>999999.66</v>
      </c>
      <c r="D69" s="470">
        <v>45614225.090000004</v>
      </c>
      <c r="F69" s="470">
        <v>0</v>
      </c>
      <c r="G69" s="461">
        <v>77880367.170000002</v>
      </c>
      <c r="H69" s="454"/>
      <c r="I69" s="458">
        <f t="shared" si="16"/>
        <v>-999999.66</v>
      </c>
      <c r="J69" s="458">
        <f t="shared" si="16"/>
        <v>32266142.079999998</v>
      </c>
      <c r="K69" s="454"/>
      <c r="M69" s="417" t="s">
        <v>749</v>
      </c>
      <c r="P69" s="470">
        <v>16144538</v>
      </c>
      <c r="Q69" s="461">
        <v>78029300</v>
      </c>
      <c r="S69" s="470">
        <f t="shared" ref="S69:T70" si="19">P69-F69</f>
        <v>16144538</v>
      </c>
      <c r="T69" s="470">
        <f t="shared" si="19"/>
        <v>148932.82999999821</v>
      </c>
    </row>
    <row r="70" spans="1:21" s="417" customFormat="1" ht="18.75">
      <c r="A70" s="417" t="s">
        <v>468</v>
      </c>
      <c r="C70" s="462">
        <f>SUM(C66:C69)</f>
        <v>51319657.169999994</v>
      </c>
      <c r="D70" s="462">
        <f>SUM(D66:D69)</f>
        <v>161000223.09</v>
      </c>
      <c r="F70" s="462">
        <f>SUM(F66:F69)</f>
        <v>51336845.450000003</v>
      </c>
      <c r="G70" s="464">
        <f>SUM(G66:G69)</f>
        <v>194520464.17000002</v>
      </c>
      <c r="H70" s="454"/>
      <c r="I70" s="462">
        <f>SUM(I66:I69)</f>
        <v>17188.280000005034</v>
      </c>
      <c r="J70" s="462">
        <f>SUM(J66:J69)</f>
        <v>33520241.079999998</v>
      </c>
      <c r="K70" s="454"/>
      <c r="M70" s="417" t="s">
        <v>468</v>
      </c>
      <c r="O70" s="417" t="s">
        <v>424</v>
      </c>
      <c r="P70" s="462">
        <v>66472812.810000002</v>
      </c>
      <c r="Q70" s="464">
        <v>209161957</v>
      </c>
      <c r="S70" s="462">
        <f t="shared" si="19"/>
        <v>15135967.359999999</v>
      </c>
      <c r="T70" s="462">
        <f t="shared" si="19"/>
        <v>14641492.829999983</v>
      </c>
    </row>
    <row r="71" spans="1:21" s="417" customFormat="1" ht="21.95" customHeight="1">
      <c r="C71" s="469"/>
      <c r="D71" s="467"/>
      <c r="F71" s="469"/>
      <c r="G71" s="467"/>
      <c r="H71" s="454"/>
      <c r="I71" s="469"/>
      <c r="J71" s="467"/>
      <c r="K71" s="454"/>
      <c r="P71" s="469"/>
      <c r="Q71" s="467"/>
      <c r="S71" s="469"/>
      <c r="T71" s="469"/>
    </row>
    <row r="72" spans="1:21" s="417" customFormat="1" ht="21.95" customHeight="1" thickBot="1">
      <c r="A72" s="476" t="s">
        <v>25</v>
      </c>
      <c r="B72" s="449"/>
      <c r="C72" s="844">
        <f>C57+C63+C70</f>
        <v>318517061.90570003</v>
      </c>
      <c r="D72" s="480">
        <f>D57+D63+D70</f>
        <v>632677392.47479999</v>
      </c>
      <c r="F72" s="844">
        <f>F57+F63+F70</f>
        <v>315782855.67000002</v>
      </c>
      <c r="G72" s="480">
        <f>G57+G63+G70</f>
        <v>695234411.77999997</v>
      </c>
      <c r="H72" s="454"/>
      <c r="I72" s="844">
        <f>I57+I63+I70</f>
        <v>-2734206.2357000019</v>
      </c>
      <c r="J72" s="480">
        <f>J57+J63+J70</f>
        <v>62557019.305200003</v>
      </c>
      <c r="K72" s="454"/>
      <c r="M72" s="476" t="s">
        <v>25</v>
      </c>
      <c r="N72" s="449"/>
      <c r="O72" s="417" t="s">
        <v>424</v>
      </c>
      <c r="P72" s="480">
        <v>333368705.66999996</v>
      </c>
      <c r="Q72" s="480">
        <v>1077973010</v>
      </c>
      <c r="S72" s="480">
        <f>P72-F72</f>
        <v>17585849.99999994</v>
      </c>
      <c r="T72" s="480">
        <f>Q72-G72</f>
        <v>382738598.22000003</v>
      </c>
    </row>
    <row r="73" spans="1:21" ht="19.5" thickTop="1">
      <c r="C73" s="377" t="s">
        <v>58</v>
      </c>
      <c r="F73" s="377" t="s">
        <v>58</v>
      </c>
      <c r="I73" s="377" t="s">
        <v>58</v>
      </c>
      <c r="M73" s="476"/>
      <c r="N73" s="449"/>
      <c r="O73" s="417"/>
      <c r="P73" s="467"/>
      <c r="Q73" s="382" t="s">
        <v>58</v>
      </c>
      <c r="R73" s="417"/>
      <c r="S73" s="467"/>
      <c r="T73" s="467"/>
    </row>
    <row r="74" spans="1:21" ht="15.75">
      <c r="M74" s="356"/>
      <c r="N74" s="356"/>
      <c r="O74" s="356"/>
      <c r="P74" s="380">
        <v>0</v>
      </c>
      <c r="R74" s="356"/>
      <c r="S74" s="380"/>
      <c r="T74" s="380"/>
    </row>
    <row r="75" spans="1:21" ht="24" thickBot="1">
      <c r="C75" s="568" t="s">
        <v>58</v>
      </c>
      <c r="F75" s="480">
        <v>315782855.67000002</v>
      </c>
      <c r="G75" s="389">
        <v>695234411.77999997</v>
      </c>
      <c r="I75" s="568" t="s">
        <v>58</v>
      </c>
      <c r="M75" s="356"/>
      <c r="N75" s="356"/>
      <c r="O75" s="356"/>
      <c r="P75" s="380"/>
      <c r="R75" s="356"/>
      <c r="S75" s="380"/>
      <c r="T75" s="380"/>
    </row>
    <row r="76" spans="1:21" ht="13.5" thickTop="1">
      <c r="C76" s="377" t="s">
        <v>58</v>
      </c>
      <c r="F76" s="377" t="s">
        <v>58</v>
      </c>
      <c r="I76" s="377" t="s">
        <v>58</v>
      </c>
      <c r="M76" s="381" t="s">
        <v>469</v>
      </c>
      <c r="N76" s="381"/>
      <c r="O76" s="381"/>
      <c r="P76" s="566">
        <v>0</v>
      </c>
      <c r="Q76" s="382">
        <v>0</v>
      </c>
      <c r="R76" s="381"/>
      <c r="S76" s="566"/>
      <c r="T76" s="566"/>
    </row>
    <row r="77" spans="1:21">
      <c r="P77" s="571">
        <v>0.19416568032307857</v>
      </c>
      <c r="S77" s="571"/>
      <c r="T77" s="571"/>
    </row>
    <row r="78" spans="1:21">
      <c r="P78" s="567" t="s">
        <v>58</v>
      </c>
      <c r="S78" s="567"/>
      <c r="T78" s="567"/>
    </row>
    <row r="80" spans="1:21">
      <c r="P80" s="567" t="s">
        <v>58</v>
      </c>
      <c r="S80" s="567"/>
      <c r="T80" s="567"/>
    </row>
    <row r="81" spans="1:20">
      <c r="P81" s="377" t="s">
        <v>58</v>
      </c>
    </row>
    <row r="82" spans="1:20">
      <c r="P82" s="377" t="s">
        <v>58</v>
      </c>
    </row>
    <row r="83" spans="1:20">
      <c r="D83" s="396"/>
      <c r="G83" s="396"/>
      <c r="J83" s="396"/>
    </row>
    <row r="84" spans="1:20" ht="23.25">
      <c r="D84" s="396"/>
      <c r="G84" s="396"/>
      <c r="J84" s="396"/>
      <c r="P84" s="568" t="s">
        <v>58</v>
      </c>
      <c r="S84" s="568"/>
      <c r="T84" s="568"/>
    </row>
    <row r="85" spans="1:20" s="394" customFormat="1">
      <c r="A85" s="365"/>
      <c r="B85" s="365"/>
      <c r="C85" s="377"/>
      <c r="D85" s="363"/>
      <c r="E85" s="365"/>
      <c r="F85" s="377"/>
      <c r="G85" s="363"/>
      <c r="H85" s="396"/>
      <c r="I85" s="377"/>
      <c r="J85" s="363"/>
      <c r="K85" s="396"/>
      <c r="M85" s="365"/>
      <c r="N85" s="365"/>
      <c r="O85" s="365"/>
      <c r="P85" s="377" t="s">
        <v>58</v>
      </c>
      <c r="Q85" s="363"/>
      <c r="R85" s="365"/>
      <c r="S85" s="377"/>
      <c r="T85" s="377"/>
    </row>
    <row r="86" spans="1:20" s="394" customFormat="1" ht="18.75">
      <c r="A86" s="393"/>
      <c r="B86" s="393"/>
      <c r="C86" s="569"/>
      <c r="D86" s="363"/>
      <c r="E86" s="393"/>
      <c r="F86" s="569"/>
      <c r="G86" s="363"/>
      <c r="H86" s="396"/>
      <c r="I86" s="569"/>
      <c r="J86" s="363"/>
      <c r="K86" s="396"/>
      <c r="M86" s="365"/>
      <c r="N86" s="365"/>
      <c r="O86" s="365"/>
      <c r="P86" s="377"/>
      <c r="Q86" s="363"/>
      <c r="R86" s="365"/>
      <c r="S86" s="377"/>
      <c r="T86" s="377"/>
    </row>
    <row r="87" spans="1:20" ht="18.75">
      <c r="A87" s="398"/>
      <c r="B87" s="398"/>
      <c r="C87" s="570"/>
      <c r="E87" s="398"/>
      <c r="F87" s="570"/>
      <c r="I87" s="570"/>
    </row>
    <row r="92" spans="1:20">
      <c r="Q92" s="396"/>
    </row>
    <row r="93" spans="1:20">
      <c r="Q93" s="396"/>
    </row>
    <row r="95" spans="1:20" ht="18.75">
      <c r="M95" s="393"/>
      <c r="N95" s="393"/>
      <c r="O95" s="393"/>
      <c r="P95" s="569"/>
      <c r="R95" s="393"/>
      <c r="S95" s="569"/>
      <c r="T95" s="569"/>
    </row>
    <row r="96" spans="1:20" ht="18.75">
      <c r="M96" s="398"/>
      <c r="N96" s="398"/>
      <c r="O96" s="398"/>
      <c r="P96" s="570"/>
      <c r="R96" s="398"/>
      <c r="S96" s="570"/>
      <c r="T96" s="570"/>
    </row>
    <row r="274" spans="1:16357" s="363" customFormat="1">
      <c r="A274" s="365"/>
      <c r="B274" s="365"/>
      <c r="C274" s="377"/>
      <c r="E274" s="365"/>
      <c r="F274" s="377"/>
      <c r="I274" s="377"/>
      <c r="L274" s="365"/>
      <c r="M274" s="365"/>
      <c r="N274" s="365"/>
      <c r="O274" s="365"/>
      <c r="P274" s="377"/>
      <c r="R274" s="365"/>
      <c r="S274" s="377"/>
      <c r="T274" s="377"/>
      <c r="U274" s="365"/>
      <c r="V274" s="365"/>
      <c r="W274" s="365"/>
      <c r="X274" s="365"/>
      <c r="Y274" s="365"/>
      <c r="Z274" s="365"/>
      <c r="AA274" s="365"/>
      <c r="AB274" s="365"/>
      <c r="AC274" s="365"/>
      <c r="AD274" s="365"/>
      <c r="AE274" s="365"/>
      <c r="AF274" s="365"/>
      <c r="AG274" s="365"/>
      <c r="AH274" s="365"/>
      <c r="AI274" s="365"/>
      <c r="AJ274" s="365"/>
      <c r="AK274" s="365"/>
      <c r="AL274" s="365"/>
      <c r="AM274" s="365"/>
      <c r="AN274" s="365"/>
      <c r="AO274" s="365"/>
      <c r="AP274" s="365"/>
      <c r="AQ274" s="365"/>
      <c r="AR274" s="365"/>
      <c r="AS274" s="365"/>
      <c r="AT274" s="365"/>
      <c r="AU274" s="365"/>
      <c r="AV274" s="365"/>
      <c r="AW274" s="365"/>
      <c r="AX274" s="365"/>
      <c r="AY274" s="365"/>
      <c r="AZ274" s="365"/>
      <c r="BA274" s="365"/>
      <c r="BB274" s="365"/>
      <c r="BC274" s="365"/>
      <c r="BD274" s="365"/>
      <c r="BE274" s="365"/>
      <c r="BF274" s="365"/>
      <c r="BG274" s="365"/>
      <c r="BH274" s="365"/>
      <c r="BI274" s="365"/>
      <c r="BJ274" s="365"/>
      <c r="BK274" s="365"/>
      <c r="BL274" s="365"/>
      <c r="BM274" s="365"/>
      <c r="BN274" s="365"/>
      <c r="BO274" s="365"/>
      <c r="BP274" s="365"/>
      <c r="BQ274" s="365"/>
      <c r="BR274" s="365"/>
      <c r="BS274" s="365"/>
      <c r="BT274" s="365"/>
      <c r="BU274" s="365"/>
      <c r="BV274" s="365"/>
      <c r="BW274" s="365"/>
      <c r="BX274" s="365"/>
      <c r="BY274" s="365"/>
      <c r="BZ274" s="365"/>
      <c r="CA274" s="365"/>
      <c r="CB274" s="365"/>
      <c r="CC274" s="365"/>
      <c r="CD274" s="365"/>
      <c r="CE274" s="365"/>
      <c r="CF274" s="365"/>
      <c r="CG274" s="365"/>
      <c r="CH274" s="365"/>
      <c r="CI274" s="365"/>
      <c r="CJ274" s="365"/>
      <c r="CK274" s="365"/>
      <c r="CL274" s="365"/>
      <c r="CM274" s="365"/>
      <c r="CN274" s="365"/>
      <c r="CO274" s="365"/>
      <c r="CP274" s="365"/>
      <c r="CQ274" s="365"/>
      <c r="CR274" s="365"/>
      <c r="CS274" s="365"/>
      <c r="CT274" s="365"/>
      <c r="CU274" s="365"/>
      <c r="CV274" s="365"/>
      <c r="CW274" s="365"/>
      <c r="CX274" s="365"/>
      <c r="CY274" s="365"/>
      <c r="CZ274" s="365"/>
      <c r="DA274" s="365"/>
      <c r="DB274" s="365"/>
      <c r="DC274" s="365"/>
      <c r="DD274" s="365"/>
      <c r="DE274" s="365"/>
      <c r="DF274" s="365"/>
      <c r="DG274" s="365"/>
      <c r="DH274" s="365"/>
      <c r="DI274" s="365"/>
      <c r="DJ274" s="365"/>
      <c r="DK274" s="365"/>
      <c r="DL274" s="365"/>
      <c r="DM274" s="365"/>
      <c r="DN274" s="365"/>
      <c r="DO274" s="365"/>
      <c r="DP274" s="365"/>
      <c r="DQ274" s="365"/>
      <c r="DR274" s="365"/>
      <c r="DS274" s="365"/>
      <c r="DT274" s="365"/>
      <c r="DU274" s="365"/>
      <c r="DV274" s="365"/>
      <c r="DW274" s="365"/>
      <c r="DX274" s="365"/>
      <c r="DY274" s="365"/>
      <c r="DZ274" s="365"/>
      <c r="EA274" s="365"/>
      <c r="EB274" s="365"/>
      <c r="EC274" s="365"/>
      <c r="ED274" s="365"/>
      <c r="EE274" s="365"/>
      <c r="EF274" s="365"/>
      <c r="EG274" s="365"/>
      <c r="EH274" s="365"/>
      <c r="EI274" s="365"/>
      <c r="EJ274" s="365"/>
      <c r="EK274" s="365"/>
      <c r="EL274" s="365"/>
      <c r="EM274" s="365"/>
      <c r="EN274" s="365"/>
      <c r="EO274" s="365"/>
      <c r="EP274" s="365"/>
      <c r="EQ274" s="365"/>
      <c r="ER274" s="365"/>
      <c r="ES274" s="365"/>
      <c r="ET274" s="365"/>
      <c r="EU274" s="365"/>
      <c r="EV274" s="365"/>
      <c r="EW274" s="365"/>
      <c r="EX274" s="365"/>
      <c r="EY274" s="365"/>
      <c r="EZ274" s="365"/>
      <c r="FA274" s="365"/>
      <c r="FB274" s="365"/>
      <c r="FC274" s="365"/>
      <c r="FD274" s="365"/>
      <c r="FE274" s="365"/>
      <c r="FF274" s="365"/>
      <c r="FG274" s="365"/>
      <c r="FH274" s="365"/>
      <c r="FI274" s="365"/>
      <c r="FJ274" s="365"/>
      <c r="FK274" s="365"/>
      <c r="FL274" s="365"/>
      <c r="FM274" s="365"/>
      <c r="FN274" s="365"/>
      <c r="FO274" s="365"/>
      <c r="FP274" s="365"/>
      <c r="FQ274" s="365"/>
      <c r="FR274" s="365"/>
      <c r="FS274" s="365"/>
      <c r="FT274" s="365"/>
      <c r="FU274" s="365"/>
      <c r="FV274" s="365"/>
      <c r="FW274" s="365"/>
      <c r="FX274" s="365"/>
      <c r="FY274" s="365"/>
      <c r="FZ274" s="365"/>
      <c r="GA274" s="365"/>
      <c r="GB274" s="365"/>
      <c r="GC274" s="365"/>
      <c r="GD274" s="365"/>
      <c r="GE274" s="365"/>
      <c r="GF274" s="365"/>
      <c r="GG274" s="365"/>
      <c r="GH274" s="365"/>
      <c r="GI274" s="365"/>
      <c r="GJ274" s="365"/>
      <c r="GK274" s="365"/>
      <c r="GL274" s="365"/>
      <c r="GM274" s="365"/>
      <c r="GN274" s="365"/>
      <c r="GO274" s="365"/>
      <c r="GP274" s="365"/>
      <c r="GQ274" s="365"/>
      <c r="GR274" s="365"/>
      <c r="GS274" s="365"/>
      <c r="GT274" s="365"/>
      <c r="GU274" s="365"/>
      <c r="GV274" s="365"/>
      <c r="GW274" s="365"/>
      <c r="GX274" s="365"/>
      <c r="GY274" s="365"/>
      <c r="GZ274" s="365"/>
      <c r="HA274" s="365"/>
      <c r="HB274" s="365"/>
      <c r="HC274" s="365"/>
      <c r="HD274" s="365"/>
      <c r="HE274" s="365"/>
      <c r="HF274" s="365"/>
      <c r="HG274" s="365"/>
      <c r="HH274" s="365"/>
      <c r="HI274" s="365"/>
      <c r="HJ274" s="365"/>
      <c r="HK274" s="365"/>
      <c r="HL274" s="365"/>
      <c r="HM274" s="365"/>
      <c r="HN274" s="365"/>
      <c r="HO274" s="365"/>
      <c r="HP274" s="365"/>
      <c r="HQ274" s="365"/>
      <c r="HR274" s="365"/>
      <c r="HS274" s="365"/>
      <c r="HT274" s="365"/>
      <c r="HU274" s="365"/>
      <c r="HV274" s="365"/>
      <c r="HW274" s="365"/>
      <c r="HX274" s="365"/>
      <c r="HY274" s="365"/>
      <c r="HZ274" s="365"/>
      <c r="IA274" s="365"/>
      <c r="IB274" s="365"/>
      <c r="IC274" s="365"/>
      <c r="ID274" s="365"/>
      <c r="IE274" s="365"/>
      <c r="IF274" s="365"/>
      <c r="IG274" s="365"/>
      <c r="IH274" s="365"/>
      <c r="II274" s="365"/>
      <c r="IJ274" s="365"/>
      <c r="IK274" s="365"/>
      <c r="IL274" s="365"/>
      <c r="IM274" s="365"/>
      <c r="IN274" s="365"/>
      <c r="IO274" s="365"/>
      <c r="IP274" s="365"/>
      <c r="IQ274" s="365"/>
      <c r="IR274" s="365"/>
      <c r="IS274" s="365"/>
      <c r="IT274" s="365"/>
      <c r="IU274" s="365"/>
      <c r="IV274" s="365"/>
      <c r="IW274" s="365"/>
      <c r="IX274" s="365"/>
      <c r="IY274" s="365"/>
      <c r="IZ274" s="365"/>
      <c r="JA274" s="365"/>
      <c r="JB274" s="365"/>
      <c r="JC274" s="365"/>
      <c r="JD274" s="365"/>
      <c r="JE274" s="365"/>
      <c r="JF274" s="365"/>
      <c r="JG274" s="365"/>
      <c r="JH274" s="365"/>
      <c r="JI274" s="365"/>
      <c r="JJ274" s="365"/>
      <c r="JK274" s="365"/>
      <c r="JL274" s="365"/>
      <c r="JM274" s="365"/>
      <c r="JN274" s="365"/>
      <c r="JO274" s="365"/>
      <c r="JP274" s="365"/>
      <c r="JQ274" s="365"/>
      <c r="JR274" s="365"/>
      <c r="JS274" s="365"/>
      <c r="JT274" s="365"/>
      <c r="JU274" s="365"/>
      <c r="JV274" s="365"/>
      <c r="JW274" s="365"/>
      <c r="JX274" s="365"/>
      <c r="JY274" s="365"/>
      <c r="JZ274" s="365"/>
      <c r="KA274" s="365"/>
      <c r="KB274" s="365"/>
      <c r="KC274" s="365"/>
      <c r="KD274" s="365"/>
      <c r="KE274" s="365"/>
      <c r="KF274" s="365"/>
      <c r="KG274" s="365"/>
      <c r="KH274" s="365"/>
      <c r="KI274" s="365"/>
      <c r="KJ274" s="365"/>
      <c r="KK274" s="365"/>
      <c r="KL274" s="365"/>
      <c r="KM274" s="365"/>
      <c r="KN274" s="365"/>
      <c r="KO274" s="365"/>
      <c r="KP274" s="365"/>
      <c r="KQ274" s="365"/>
      <c r="KR274" s="365"/>
      <c r="KS274" s="365"/>
      <c r="KT274" s="365"/>
      <c r="KU274" s="365"/>
      <c r="KV274" s="365"/>
      <c r="KW274" s="365"/>
      <c r="KX274" s="365"/>
      <c r="KY274" s="365"/>
      <c r="KZ274" s="365"/>
      <c r="LA274" s="365"/>
      <c r="LB274" s="365"/>
      <c r="LC274" s="365"/>
      <c r="LD274" s="365"/>
      <c r="LE274" s="365"/>
      <c r="LF274" s="365"/>
      <c r="LG274" s="365"/>
      <c r="LH274" s="365"/>
      <c r="LI274" s="365"/>
      <c r="LJ274" s="365"/>
      <c r="LK274" s="365"/>
      <c r="LL274" s="365"/>
      <c r="LM274" s="365"/>
      <c r="LN274" s="365"/>
      <c r="LO274" s="365"/>
      <c r="LP274" s="365"/>
      <c r="LQ274" s="365"/>
      <c r="LR274" s="365"/>
      <c r="LS274" s="365"/>
      <c r="LT274" s="365"/>
      <c r="LU274" s="365"/>
      <c r="LV274" s="365"/>
      <c r="LW274" s="365"/>
      <c r="LX274" s="365"/>
      <c r="LY274" s="365"/>
      <c r="LZ274" s="365"/>
      <c r="MA274" s="365"/>
      <c r="MB274" s="365"/>
      <c r="MC274" s="365"/>
      <c r="MD274" s="365"/>
      <c r="ME274" s="365"/>
      <c r="MF274" s="365"/>
      <c r="MG274" s="365"/>
      <c r="MH274" s="365"/>
      <c r="MI274" s="365"/>
      <c r="MJ274" s="365"/>
      <c r="MK274" s="365"/>
      <c r="ML274" s="365"/>
      <c r="MM274" s="365"/>
      <c r="MN274" s="365"/>
      <c r="MO274" s="365"/>
      <c r="MP274" s="365"/>
      <c r="MQ274" s="365"/>
      <c r="MR274" s="365"/>
      <c r="MS274" s="365"/>
      <c r="MT274" s="365"/>
      <c r="MU274" s="365"/>
      <c r="MV274" s="365"/>
      <c r="MW274" s="365"/>
      <c r="MX274" s="365"/>
      <c r="MY274" s="365"/>
      <c r="MZ274" s="365"/>
      <c r="NA274" s="365"/>
      <c r="NB274" s="365"/>
      <c r="NC274" s="365"/>
      <c r="ND274" s="365"/>
      <c r="NE274" s="365"/>
      <c r="NF274" s="365"/>
      <c r="NG274" s="365"/>
      <c r="NH274" s="365"/>
      <c r="NI274" s="365"/>
      <c r="NJ274" s="365"/>
      <c r="NK274" s="365"/>
      <c r="NL274" s="365"/>
      <c r="NM274" s="365"/>
      <c r="NN274" s="365"/>
      <c r="NO274" s="365"/>
      <c r="NP274" s="365"/>
      <c r="NQ274" s="365"/>
      <c r="NR274" s="365"/>
      <c r="NS274" s="365"/>
      <c r="NT274" s="365"/>
      <c r="NU274" s="365"/>
      <c r="NV274" s="365"/>
      <c r="NW274" s="365"/>
      <c r="NX274" s="365"/>
      <c r="NY274" s="365"/>
      <c r="NZ274" s="365"/>
      <c r="OA274" s="365"/>
      <c r="OB274" s="365"/>
      <c r="OC274" s="365"/>
      <c r="OD274" s="365"/>
      <c r="OE274" s="365"/>
      <c r="OF274" s="365"/>
      <c r="OG274" s="365"/>
      <c r="OH274" s="365"/>
      <c r="OI274" s="365"/>
      <c r="OJ274" s="365"/>
      <c r="OK274" s="365"/>
      <c r="OL274" s="365"/>
      <c r="OM274" s="365"/>
      <c r="ON274" s="365"/>
      <c r="OO274" s="365"/>
      <c r="OP274" s="365"/>
      <c r="OQ274" s="365"/>
      <c r="OR274" s="365"/>
      <c r="OS274" s="365"/>
      <c r="OT274" s="365"/>
      <c r="OU274" s="365"/>
      <c r="OV274" s="365"/>
      <c r="OW274" s="365"/>
      <c r="OX274" s="365"/>
      <c r="OY274" s="365"/>
      <c r="OZ274" s="365"/>
      <c r="PA274" s="365"/>
      <c r="PB274" s="365"/>
      <c r="PC274" s="365"/>
      <c r="PD274" s="365"/>
      <c r="PE274" s="365"/>
      <c r="PF274" s="365"/>
      <c r="PG274" s="365"/>
      <c r="PH274" s="365"/>
      <c r="PI274" s="365"/>
      <c r="PJ274" s="365"/>
      <c r="PK274" s="365"/>
      <c r="PL274" s="365"/>
      <c r="PM274" s="365"/>
      <c r="PN274" s="365"/>
      <c r="PO274" s="365"/>
      <c r="PP274" s="365"/>
      <c r="PQ274" s="365"/>
      <c r="PR274" s="365"/>
      <c r="PS274" s="365"/>
      <c r="PT274" s="365"/>
      <c r="PU274" s="365"/>
      <c r="PV274" s="365"/>
      <c r="PW274" s="365"/>
      <c r="PX274" s="365"/>
      <c r="PY274" s="365"/>
      <c r="PZ274" s="365"/>
      <c r="QA274" s="365"/>
      <c r="QB274" s="365"/>
      <c r="QC274" s="365"/>
      <c r="QD274" s="365"/>
      <c r="QE274" s="365"/>
      <c r="QF274" s="365"/>
      <c r="QG274" s="365"/>
      <c r="QH274" s="365"/>
      <c r="QI274" s="365"/>
      <c r="QJ274" s="365"/>
      <c r="QK274" s="365"/>
      <c r="QL274" s="365"/>
      <c r="QM274" s="365"/>
      <c r="QN274" s="365"/>
      <c r="QO274" s="365"/>
      <c r="QP274" s="365"/>
      <c r="QQ274" s="365"/>
      <c r="QR274" s="365"/>
      <c r="QS274" s="365"/>
      <c r="QT274" s="365"/>
      <c r="QU274" s="365"/>
      <c r="QV274" s="365"/>
      <c r="QW274" s="365"/>
      <c r="QX274" s="365"/>
      <c r="QY274" s="365"/>
      <c r="QZ274" s="365"/>
      <c r="RA274" s="365"/>
      <c r="RB274" s="365"/>
      <c r="RC274" s="365"/>
      <c r="RD274" s="365"/>
      <c r="RE274" s="365"/>
      <c r="RF274" s="365"/>
      <c r="RG274" s="365"/>
      <c r="RH274" s="365"/>
      <c r="RI274" s="365"/>
      <c r="RJ274" s="365"/>
      <c r="RK274" s="365"/>
      <c r="RL274" s="365"/>
      <c r="RM274" s="365"/>
      <c r="RN274" s="365"/>
      <c r="RO274" s="365"/>
      <c r="RP274" s="365"/>
      <c r="RQ274" s="365"/>
      <c r="RR274" s="365"/>
      <c r="RS274" s="365"/>
      <c r="RT274" s="365"/>
      <c r="RU274" s="365"/>
      <c r="RV274" s="365"/>
      <c r="RW274" s="365"/>
      <c r="RX274" s="365"/>
      <c r="RY274" s="365"/>
      <c r="RZ274" s="365"/>
      <c r="SA274" s="365"/>
      <c r="SB274" s="365"/>
      <c r="SC274" s="365"/>
      <c r="SD274" s="365"/>
      <c r="SE274" s="365"/>
      <c r="SF274" s="365"/>
      <c r="SG274" s="365"/>
      <c r="SH274" s="365"/>
      <c r="SI274" s="365"/>
      <c r="SJ274" s="365"/>
      <c r="SK274" s="365"/>
      <c r="SL274" s="365"/>
      <c r="SM274" s="365"/>
      <c r="SN274" s="365"/>
      <c r="SO274" s="365"/>
      <c r="SP274" s="365"/>
      <c r="SQ274" s="365"/>
      <c r="SR274" s="365"/>
      <c r="SS274" s="365"/>
      <c r="ST274" s="365"/>
      <c r="SU274" s="365"/>
      <c r="SV274" s="365"/>
      <c r="SW274" s="365"/>
      <c r="SX274" s="365"/>
      <c r="SY274" s="365"/>
      <c r="SZ274" s="365"/>
      <c r="TA274" s="365"/>
      <c r="TB274" s="365"/>
      <c r="TC274" s="365"/>
      <c r="TD274" s="365"/>
      <c r="TE274" s="365"/>
      <c r="TF274" s="365"/>
      <c r="TG274" s="365"/>
      <c r="TH274" s="365"/>
      <c r="TI274" s="365"/>
      <c r="TJ274" s="365"/>
      <c r="TK274" s="365"/>
      <c r="TL274" s="365"/>
      <c r="TM274" s="365"/>
      <c r="TN274" s="365"/>
      <c r="TO274" s="365"/>
      <c r="TP274" s="365"/>
      <c r="TQ274" s="365"/>
      <c r="TR274" s="365"/>
      <c r="TS274" s="365"/>
      <c r="TT274" s="365"/>
      <c r="TU274" s="365"/>
      <c r="TV274" s="365"/>
      <c r="TW274" s="365"/>
      <c r="TX274" s="365"/>
      <c r="TY274" s="365"/>
      <c r="TZ274" s="365"/>
      <c r="UA274" s="365"/>
      <c r="UB274" s="365"/>
      <c r="UC274" s="365"/>
      <c r="UD274" s="365"/>
      <c r="UE274" s="365"/>
      <c r="UF274" s="365"/>
      <c r="UG274" s="365"/>
      <c r="UH274" s="365"/>
      <c r="UI274" s="365"/>
      <c r="UJ274" s="365"/>
      <c r="UK274" s="365"/>
      <c r="UL274" s="365"/>
      <c r="UM274" s="365"/>
      <c r="UN274" s="365"/>
      <c r="UO274" s="365"/>
      <c r="UP274" s="365"/>
      <c r="UQ274" s="365"/>
      <c r="UR274" s="365"/>
      <c r="US274" s="365"/>
      <c r="UT274" s="365"/>
      <c r="UU274" s="365"/>
      <c r="UV274" s="365"/>
      <c r="UW274" s="365"/>
      <c r="UX274" s="365"/>
      <c r="UY274" s="365"/>
      <c r="UZ274" s="365"/>
      <c r="VA274" s="365"/>
      <c r="VB274" s="365"/>
      <c r="VC274" s="365"/>
      <c r="VD274" s="365"/>
      <c r="VE274" s="365"/>
      <c r="VF274" s="365"/>
      <c r="VG274" s="365"/>
      <c r="VH274" s="365"/>
      <c r="VI274" s="365"/>
      <c r="VJ274" s="365"/>
      <c r="VK274" s="365"/>
      <c r="VL274" s="365"/>
      <c r="VM274" s="365"/>
      <c r="VN274" s="365"/>
      <c r="VO274" s="365"/>
      <c r="VP274" s="365"/>
      <c r="VQ274" s="365"/>
      <c r="VR274" s="365"/>
      <c r="VS274" s="365"/>
      <c r="VT274" s="365"/>
      <c r="VU274" s="365"/>
      <c r="VV274" s="365"/>
      <c r="VW274" s="365"/>
      <c r="VX274" s="365"/>
      <c r="VY274" s="365"/>
      <c r="VZ274" s="365"/>
      <c r="WA274" s="365"/>
      <c r="WB274" s="365"/>
      <c r="WC274" s="365"/>
      <c r="WD274" s="365"/>
      <c r="WE274" s="365"/>
      <c r="WF274" s="365"/>
      <c r="WG274" s="365"/>
      <c r="WH274" s="365"/>
      <c r="WI274" s="365"/>
      <c r="WJ274" s="365"/>
      <c r="WK274" s="365"/>
      <c r="WL274" s="365"/>
      <c r="WM274" s="365"/>
      <c r="WN274" s="365"/>
      <c r="WO274" s="365"/>
      <c r="WP274" s="365"/>
      <c r="WQ274" s="365"/>
      <c r="WR274" s="365"/>
      <c r="WS274" s="365"/>
      <c r="WT274" s="365"/>
      <c r="WU274" s="365"/>
      <c r="WV274" s="365"/>
      <c r="WW274" s="365"/>
      <c r="WX274" s="365"/>
      <c r="WY274" s="365"/>
      <c r="WZ274" s="365"/>
      <c r="XA274" s="365"/>
      <c r="XB274" s="365"/>
      <c r="XC274" s="365"/>
      <c r="XD274" s="365"/>
      <c r="XE274" s="365"/>
      <c r="XF274" s="365"/>
      <c r="XG274" s="365"/>
      <c r="XH274" s="365"/>
      <c r="XI274" s="365"/>
      <c r="XJ274" s="365"/>
      <c r="XK274" s="365"/>
      <c r="XL274" s="365"/>
      <c r="XM274" s="365"/>
      <c r="XN274" s="365"/>
      <c r="XO274" s="365"/>
      <c r="XP274" s="365"/>
      <c r="XQ274" s="365"/>
      <c r="XR274" s="365"/>
      <c r="XS274" s="365"/>
      <c r="XT274" s="365"/>
      <c r="XU274" s="365"/>
      <c r="XV274" s="365"/>
      <c r="XW274" s="365"/>
      <c r="XX274" s="365"/>
      <c r="XY274" s="365"/>
      <c r="XZ274" s="365"/>
      <c r="YA274" s="365"/>
      <c r="YB274" s="365"/>
      <c r="YC274" s="365"/>
      <c r="YD274" s="365"/>
      <c r="YE274" s="365"/>
      <c r="YF274" s="365"/>
      <c r="YG274" s="365"/>
      <c r="YH274" s="365"/>
      <c r="YI274" s="365"/>
      <c r="YJ274" s="365"/>
      <c r="YK274" s="365"/>
      <c r="YL274" s="365"/>
      <c r="YM274" s="365"/>
      <c r="YN274" s="365"/>
      <c r="YO274" s="365"/>
      <c r="YP274" s="365"/>
      <c r="YQ274" s="365"/>
      <c r="YR274" s="365"/>
      <c r="YS274" s="365"/>
      <c r="YT274" s="365"/>
      <c r="YU274" s="365"/>
      <c r="YV274" s="365"/>
      <c r="YW274" s="365"/>
      <c r="YX274" s="365"/>
      <c r="YY274" s="365"/>
      <c r="YZ274" s="365"/>
      <c r="ZA274" s="365"/>
      <c r="ZB274" s="365"/>
      <c r="ZC274" s="365"/>
      <c r="ZD274" s="365"/>
      <c r="ZE274" s="365"/>
      <c r="ZF274" s="365"/>
      <c r="ZG274" s="365"/>
      <c r="ZH274" s="365"/>
      <c r="ZI274" s="365"/>
      <c r="ZJ274" s="365"/>
      <c r="ZK274" s="365"/>
      <c r="ZL274" s="365"/>
      <c r="ZM274" s="365"/>
      <c r="ZN274" s="365"/>
      <c r="ZO274" s="365"/>
      <c r="ZP274" s="365"/>
      <c r="ZQ274" s="365"/>
      <c r="ZR274" s="365"/>
      <c r="ZS274" s="365"/>
      <c r="ZT274" s="365"/>
      <c r="ZU274" s="365"/>
      <c r="ZV274" s="365"/>
      <c r="ZW274" s="365"/>
      <c r="ZX274" s="365"/>
      <c r="ZY274" s="365"/>
      <c r="ZZ274" s="365"/>
      <c r="AAA274" s="365"/>
      <c r="AAB274" s="365"/>
      <c r="AAC274" s="365"/>
      <c r="AAD274" s="365"/>
      <c r="AAE274" s="365"/>
      <c r="AAF274" s="365"/>
      <c r="AAG274" s="365"/>
      <c r="AAH274" s="365"/>
      <c r="AAI274" s="365"/>
      <c r="AAJ274" s="365"/>
      <c r="AAK274" s="365"/>
      <c r="AAL274" s="365"/>
      <c r="AAM274" s="365"/>
      <c r="AAN274" s="365"/>
      <c r="AAO274" s="365"/>
      <c r="AAP274" s="365"/>
      <c r="AAQ274" s="365"/>
      <c r="AAR274" s="365"/>
      <c r="AAS274" s="365"/>
      <c r="AAT274" s="365"/>
      <c r="AAU274" s="365"/>
      <c r="AAV274" s="365"/>
      <c r="AAW274" s="365"/>
      <c r="AAX274" s="365"/>
      <c r="AAY274" s="365"/>
      <c r="AAZ274" s="365"/>
      <c r="ABA274" s="365"/>
      <c r="ABB274" s="365"/>
      <c r="ABC274" s="365"/>
      <c r="ABD274" s="365"/>
      <c r="ABE274" s="365"/>
      <c r="ABF274" s="365"/>
      <c r="ABG274" s="365"/>
      <c r="ABH274" s="365"/>
      <c r="ABI274" s="365"/>
      <c r="ABJ274" s="365"/>
      <c r="ABK274" s="365"/>
      <c r="ABL274" s="365"/>
      <c r="ABM274" s="365"/>
      <c r="ABN274" s="365"/>
      <c r="ABO274" s="365"/>
      <c r="ABP274" s="365"/>
      <c r="ABQ274" s="365"/>
      <c r="ABR274" s="365"/>
      <c r="ABS274" s="365"/>
      <c r="ABT274" s="365"/>
      <c r="ABU274" s="365"/>
      <c r="ABV274" s="365"/>
      <c r="ABW274" s="365"/>
      <c r="ABX274" s="365"/>
      <c r="ABY274" s="365"/>
      <c r="ABZ274" s="365"/>
      <c r="ACA274" s="365"/>
      <c r="ACB274" s="365"/>
      <c r="ACC274" s="365"/>
      <c r="ACD274" s="365"/>
      <c r="ACE274" s="365"/>
      <c r="ACF274" s="365"/>
      <c r="ACG274" s="365"/>
      <c r="ACH274" s="365"/>
      <c r="ACI274" s="365"/>
      <c r="ACJ274" s="365"/>
      <c r="ACK274" s="365"/>
      <c r="ACL274" s="365"/>
      <c r="ACM274" s="365"/>
      <c r="ACN274" s="365"/>
      <c r="ACO274" s="365"/>
      <c r="ACP274" s="365"/>
      <c r="ACQ274" s="365"/>
      <c r="ACR274" s="365"/>
      <c r="ACS274" s="365"/>
      <c r="ACT274" s="365"/>
      <c r="ACU274" s="365"/>
      <c r="ACV274" s="365"/>
      <c r="ACW274" s="365"/>
      <c r="ACX274" s="365"/>
      <c r="ACY274" s="365"/>
      <c r="ACZ274" s="365"/>
      <c r="ADA274" s="365"/>
      <c r="ADB274" s="365"/>
      <c r="ADC274" s="365"/>
      <c r="ADD274" s="365"/>
      <c r="ADE274" s="365"/>
      <c r="ADF274" s="365"/>
      <c r="ADG274" s="365"/>
      <c r="ADH274" s="365"/>
      <c r="ADI274" s="365"/>
      <c r="ADJ274" s="365"/>
      <c r="ADK274" s="365"/>
      <c r="ADL274" s="365"/>
      <c r="ADM274" s="365"/>
      <c r="ADN274" s="365"/>
      <c r="ADO274" s="365"/>
      <c r="ADP274" s="365"/>
      <c r="ADQ274" s="365"/>
      <c r="ADR274" s="365"/>
      <c r="ADS274" s="365"/>
      <c r="ADT274" s="365"/>
      <c r="ADU274" s="365"/>
      <c r="ADV274" s="365"/>
      <c r="ADW274" s="365"/>
      <c r="ADX274" s="365"/>
      <c r="ADY274" s="365"/>
      <c r="ADZ274" s="365"/>
      <c r="AEA274" s="365"/>
      <c r="AEB274" s="365"/>
      <c r="AEC274" s="365"/>
      <c r="AED274" s="365"/>
      <c r="AEE274" s="365"/>
      <c r="AEF274" s="365"/>
      <c r="AEG274" s="365"/>
      <c r="AEH274" s="365"/>
      <c r="AEI274" s="365"/>
      <c r="AEJ274" s="365"/>
      <c r="AEK274" s="365"/>
      <c r="AEL274" s="365"/>
      <c r="AEM274" s="365"/>
      <c r="AEN274" s="365"/>
      <c r="AEO274" s="365"/>
      <c r="AEP274" s="365"/>
      <c r="AEQ274" s="365"/>
      <c r="AER274" s="365"/>
      <c r="AES274" s="365"/>
      <c r="AET274" s="365"/>
      <c r="AEU274" s="365"/>
      <c r="AEV274" s="365"/>
      <c r="AEW274" s="365"/>
      <c r="AEX274" s="365"/>
      <c r="AEY274" s="365"/>
      <c r="AEZ274" s="365"/>
      <c r="AFA274" s="365"/>
      <c r="AFB274" s="365"/>
      <c r="AFC274" s="365"/>
      <c r="AFD274" s="365"/>
      <c r="AFE274" s="365"/>
      <c r="AFF274" s="365"/>
      <c r="AFG274" s="365"/>
      <c r="AFH274" s="365"/>
      <c r="AFI274" s="365"/>
      <c r="AFJ274" s="365"/>
      <c r="AFK274" s="365"/>
      <c r="AFL274" s="365"/>
      <c r="AFM274" s="365"/>
      <c r="AFN274" s="365"/>
      <c r="AFO274" s="365"/>
      <c r="AFP274" s="365"/>
      <c r="AFQ274" s="365"/>
      <c r="AFR274" s="365"/>
      <c r="AFS274" s="365"/>
      <c r="AFT274" s="365"/>
      <c r="AFU274" s="365"/>
      <c r="AFV274" s="365"/>
      <c r="AFW274" s="365"/>
      <c r="AFX274" s="365"/>
      <c r="AFY274" s="365"/>
      <c r="AFZ274" s="365"/>
      <c r="AGA274" s="365"/>
      <c r="AGB274" s="365"/>
      <c r="AGC274" s="365"/>
      <c r="AGD274" s="365"/>
      <c r="AGE274" s="365"/>
      <c r="AGF274" s="365"/>
      <c r="AGG274" s="365"/>
      <c r="AGH274" s="365"/>
      <c r="AGI274" s="365"/>
      <c r="AGJ274" s="365"/>
      <c r="AGK274" s="365"/>
      <c r="AGL274" s="365"/>
      <c r="AGM274" s="365"/>
      <c r="AGN274" s="365"/>
      <c r="AGO274" s="365"/>
      <c r="AGP274" s="365"/>
      <c r="AGQ274" s="365"/>
      <c r="AGR274" s="365"/>
      <c r="AGS274" s="365"/>
      <c r="AGT274" s="365"/>
      <c r="AGU274" s="365"/>
      <c r="AGV274" s="365"/>
      <c r="AGW274" s="365"/>
      <c r="AGX274" s="365"/>
      <c r="AGY274" s="365"/>
      <c r="AGZ274" s="365"/>
      <c r="AHA274" s="365"/>
      <c r="AHB274" s="365"/>
      <c r="AHC274" s="365"/>
      <c r="AHD274" s="365"/>
      <c r="AHE274" s="365"/>
      <c r="AHF274" s="365"/>
      <c r="AHG274" s="365"/>
      <c r="AHH274" s="365"/>
      <c r="AHI274" s="365"/>
      <c r="AHJ274" s="365"/>
      <c r="AHK274" s="365"/>
      <c r="AHL274" s="365"/>
      <c r="AHM274" s="365"/>
      <c r="AHN274" s="365"/>
      <c r="AHO274" s="365"/>
      <c r="AHP274" s="365"/>
      <c r="AHQ274" s="365"/>
      <c r="AHR274" s="365"/>
      <c r="AHS274" s="365"/>
      <c r="AHT274" s="365"/>
      <c r="AHU274" s="365"/>
      <c r="AHV274" s="365"/>
      <c r="AHW274" s="365"/>
      <c r="AHX274" s="365"/>
      <c r="AHY274" s="365"/>
      <c r="AHZ274" s="365"/>
      <c r="AIA274" s="365"/>
      <c r="AIB274" s="365"/>
      <c r="AIC274" s="365"/>
      <c r="AID274" s="365"/>
      <c r="AIE274" s="365"/>
      <c r="AIF274" s="365"/>
      <c r="AIG274" s="365"/>
      <c r="AIH274" s="365"/>
      <c r="AII274" s="365"/>
      <c r="AIJ274" s="365"/>
      <c r="AIK274" s="365"/>
      <c r="AIL274" s="365"/>
      <c r="AIM274" s="365"/>
      <c r="AIN274" s="365"/>
      <c r="AIO274" s="365"/>
      <c r="AIP274" s="365"/>
      <c r="AIQ274" s="365"/>
      <c r="AIR274" s="365"/>
      <c r="AIS274" s="365"/>
      <c r="AIT274" s="365"/>
      <c r="AIU274" s="365"/>
      <c r="AIV274" s="365"/>
      <c r="AIW274" s="365"/>
      <c r="AIX274" s="365"/>
      <c r="AIY274" s="365"/>
      <c r="AIZ274" s="365"/>
      <c r="AJA274" s="365"/>
      <c r="AJB274" s="365"/>
      <c r="AJC274" s="365"/>
      <c r="AJD274" s="365"/>
      <c r="AJE274" s="365"/>
      <c r="AJF274" s="365"/>
      <c r="AJG274" s="365"/>
      <c r="AJH274" s="365"/>
      <c r="AJI274" s="365"/>
      <c r="AJJ274" s="365"/>
      <c r="AJK274" s="365"/>
      <c r="AJL274" s="365"/>
      <c r="AJM274" s="365"/>
      <c r="AJN274" s="365"/>
      <c r="AJO274" s="365"/>
      <c r="AJP274" s="365"/>
      <c r="AJQ274" s="365"/>
      <c r="AJR274" s="365"/>
      <c r="AJS274" s="365"/>
      <c r="AJT274" s="365"/>
      <c r="AJU274" s="365"/>
      <c r="AJV274" s="365"/>
      <c r="AJW274" s="365"/>
      <c r="AJX274" s="365"/>
      <c r="AJY274" s="365"/>
      <c r="AJZ274" s="365"/>
      <c r="AKA274" s="365"/>
      <c r="AKB274" s="365"/>
      <c r="AKC274" s="365"/>
      <c r="AKD274" s="365"/>
      <c r="AKE274" s="365"/>
      <c r="AKF274" s="365"/>
      <c r="AKG274" s="365"/>
      <c r="AKH274" s="365"/>
      <c r="AKI274" s="365"/>
      <c r="AKJ274" s="365"/>
      <c r="AKK274" s="365"/>
      <c r="AKL274" s="365"/>
      <c r="AKM274" s="365"/>
      <c r="AKN274" s="365"/>
      <c r="AKO274" s="365"/>
      <c r="AKP274" s="365"/>
      <c r="AKQ274" s="365"/>
      <c r="AKR274" s="365"/>
      <c r="AKS274" s="365"/>
      <c r="AKT274" s="365"/>
      <c r="AKU274" s="365"/>
      <c r="AKV274" s="365"/>
      <c r="AKW274" s="365"/>
      <c r="AKX274" s="365"/>
      <c r="AKY274" s="365"/>
      <c r="AKZ274" s="365"/>
      <c r="ALA274" s="365"/>
      <c r="ALB274" s="365"/>
      <c r="ALC274" s="365"/>
      <c r="ALD274" s="365"/>
      <c r="ALE274" s="365"/>
      <c r="ALF274" s="365"/>
      <c r="ALG274" s="365"/>
      <c r="ALH274" s="365"/>
      <c r="ALI274" s="365"/>
      <c r="ALJ274" s="365"/>
      <c r="ALK274" s="365"/>
      <c r="ALL274" s="365"/>
      <c r="ALM274" s="365"/>
      <c r="ALN274" s="365"/>
      <c r="ALO274" s="365"/>
      <c r="ALP274" s="365"/>
      <c r="ALQ274" s="365"/>
      <c r="ALR274" s="365"/>
      <c r="ALS274" s="365"/>
      <c r="ALT274" s="365"/>
      <c r="ALU274" s="365"/>
      <c r="ALV274" s="365"/>
      <c r="ALW274" s="365"/>
      <c r="ALX274" s="365"/>
      <c r="ALY274" s="365"/>
      <c r="ALZ274" s="365"/>
      <c r="AMA274" s="365"/>
      <c r="AMB274" s="365"/>
      <c r="AMC274" s="365"/>
      <c r="AMD274" s="365"/>
      <c r="AME274" s="365"/>
      <c r="AMF274" s="365"/>
      <c r="AMG274" s="365"/>
      <c r="AMH274" s="365"/>
      <c r="AMI274" s="365"/>
      <c r="AMJ274" s="365"/>
      <c r="AMK274" s="365"/>
      <c r="AML274" s="365"/>
      <c r="AMM274" s="365"/>
      <c r="AMN274" s="365"/>
      <c r="AMO274" s="365"/>
      <c r="AMP274" s="365"/>
      <c r="AMQ274" s="365"/>
      <c r="AMR274" s="365"/>
      <c r="AMS274" s="365"/>
      <c r="AMT274" s="365"/>
      <c r="AMU274" s="365"/>
      <c r="AMV274" s="365"/>
      <c r="AMW274" s="365"/>
      <c r="AMX274" s="365"/>
      <c r="AMY274" s="365"/>
      <c r="AMZ274" s="365"/>
      <c r="ANA274" s="365"/>
      <c r="ANB274" s="365"/>
      <c r="ANC274" s="365"/>
      <c r="AND274" s="365"/>
      <c r="ANE274" s="365"/>
      <c r="ANF274" s="365"/>
      <c r="ANG274" s="365"/>
      <c r="ANH274" s="365"/>
      <c r="ANI274" s="365"/>
      <c r="ANJ274" s="365"/>
      <c r="ANK274" s="365"/>
      <c r="ANL274" s="365"/>
      <c r="ANM274" s="365"/>
      <c r="ANN274" s="365"/>
      <c r="ANO274" s="365"/>
      <c r="ANP274" s="365"/>
      <c r="ANQ274" s="365"/>
      <c r="ANR274" s="365"/>
      <c r="ANS274" s="365"/>
      <c r="ANT274" s="365"/>
      <c r="ANU274" s="365"/>
      <c r="ANV274" s="365"/>
      <c r="ANW274" s="365"/>
      <c r="ANX274" s="365"/>
      <c r="ANY274" s="365"/>
      <c r="ANZ274" s="365"/>
      <c r="AOA274" s="365"/>
      <c r="AOB274" s="365"/>
      <c r="AOC274" s="365"/>
      <c r="AOD274" s="365"/>
      <c r="AOE274" s="365"/>
      <c r="AOF274" s="365"/>
      <c r="AOG274" s="365"/>
      <c r="AOH274" s="365"/>
      <c r="AOI274" s="365"/>
      <c r="AOJ274" s="365"/>
      <c r="AOK274" s="365"/>
      <c r="AOL274" s="365"/>
      <c r="AOM274" s="365"/>
      <c r="AON274" s="365"/>
      <c r="AOO274" s="365"/>
      <c r="AOP274" s="365"/>
      <c r="AOQ274" s="365"/>
      <c r="AOR274" s="365"/>
      <c r="AOS274" s="365"/>
      <c r="AOT274" s="365"/>
      <c r="AOU274" s="365"/>
      <c r="AOV274" s="365"/>
      <c r="AOW274" s="365"/>
      <c r="AOX274" s="365"/>
      <c r="AOY274" s="365"/>
      <c r="AOZ274" s="365"/>
      <c r="APA274" s="365"/>
      <c r="APB274" s="365"/>
      <c r="APC274" s="365"/>
      <c r="APD274" s="365"/>
      <c r="APE274" s="365"/>
      <c r="APF274" s="365"/>
      <c r="APG274" s="365"/>
      <c r="APH274" s="365"/>
      <c r="API274" s="365"/>
      <c r="APJ274" s="365"/>
      <c r="APK274" s="365"/>
      <c r="APL274" s="365"/>
      <c r="APM274" s="365"/>
      <c r="APN274" s="365"/>
      <c r="APO274" s="365"/>
      <c r="APP274" s="365"/>
      <c r="APQ274" s="365"/>
      <c r="APR274" s="365"/>
      <c r="APS274" s="365"/>
      <c r="APT274" s="365"/>
      <c r="APU274" s="365"/>
      <c r="APV274" s="365"/>
      <c r="APW274" s="365"/>
      <c r="APX274" s="365"/>
      <c r="APY274" s="365"/>
      <c r="APZ274" s="365"/>
      <c r="AQA274" s="365"/>
      <c r="AQB274" s="365"/>
      <c r="AQC274" s="365"/>
      <c r="AQD274" s="365"/>
      <c r="AQE274" s="365"/>
      <c r="AQF274" s="365"/>
      <c r="AQG274" s="365"/>
      <c r="AQH274" s="365"/>
      <c r="AQI274" s="365"/>
      <c r="AQJ274" s="365"/>
      <c r="AQK274" s="365"/>
      <c r="AQL274" s="365"/>
      <c r="AQM274" s="365"/>
      <c r="AQN274" s="365"/>
      <c r="AQO274" s="365"/>
      <c r="AQP274" s="365"/>
      <c r="AQQ274" s="365"/>
      <c r="AQR274" s="365"/>
      <c r="AQS274" s="365"/>
      <c r="AQT274" s="365"/>
      <c r="AQU274" s="365"/>
      <c r="AQV274" s="365"/>
      <c r="AQW274" s="365"/>
      <c r="AQX274" s="365"/>
      <c r="AQY274" s="365"/>
      <c r="AQZ274" s="365"/>
      <c r="ARA274" s="365"/>
      <c r="ARB274" s="365"/>
      <c r="ARC274" s="365"/>
      <c r="ARD274" s="365"/>
      <c r="ARE274" s="365"/>
      <c r="ARF274" s="365"/>
      <c r="ARG274" s="365"/>
      <c r="ARH274" s="365"/>
      <c r="ARI274" s="365"/>
      <c r="ARJ274" s="365"/>
      <c r="ARK274" s="365"/>
      <c r="ARL274" s="365"/>
      <c r="ARM274" s="365"/>
      <c r="ARN274" s="365"/>
      <c r="ARO274" s="365"/>
      <c r="ARP274" s="365"/>
      <c r="ARQ274" s="365"/>
      <c r="ARR274" s="365"/>
      <c r="ARS274" s="365"/>
      <c r="ART274" s="365"/>
      <c r="ARU274" s="365"/>
      <c r="ARV274" s="365"/>
      <c r="ARW274" s="365"/>
      <c r="ARX274" s="365"/>
      <c r="ARY274" s="365"/>
      <c r="ARZ274" s="365"/>
      <c r="ASA274" s="365"/>
      <c r="ASB274" s="365"/>
      <c r="ASC274" s="365"/>
      <c r="ASD274" s="365"/>
      <c r="ASE274" s="365"/>
      <c r="ASF274" s="365"/>
      <c r="ASG274" s="365"/>
      <c r="ASH274" s="365"/>
      <c r="ASI274" s="365"/>
      <c r="ASJ274" s="365"/>
      <c r="ASK274" s="365"/>
      <c r="ASL274" s="365"/>
      <c r="ASM274" s="365"/>
      <c r="ASN274" s="365"/>
      <c r="ASO274" s="365"/>
      <c r="ASP274" s="365"/>
      <c r="ASQ274" s="365"/>
      <c r="ASR274" s="365"/>
      <c r="ASS274" s="365"/>
      <c r="AST274" s="365"/>
      <c r="ASU274" s="365"/>
      <c r="ASV274" s="365"/>
      <c r="ASW274" s="365"/>
      <c r="ASX274" s="365"/>
      <c r="ASY274" s="365"/>
      <c r="ASZ274" s="365"/>
      <c r="ATA274" s="365"/>
      <c r="ATB274" s="365"/>
      <c r="ATC274" s="365"/>
      <c r="ATD274" s="365"/>
      <c r="ATE274" s="365"/>
      <c r="ATF274" s="365"/>
      <c r="ATG274" s="365"/>
      <c r="ATH274" s="365"/>
      <c r="ATI274" s="365"/>
      <c r="ATJ274" s="365"/>
      <c r="ATK274" s="365"/>
      <c r="ATL274" s="365"/>
      <c r="ATM274" s="365"/>
      <c r="ATN274" s="365"/>
      <c r="ATO274" s="365"/>
      <c r="ATP274" s="365"/>
      <c r="ATQ274" s="365"/>
      <c r="ATR274" s="365"/>
      <c r="ATS274" s="365"/>
      <c r="ATT274" s="365"/>
      <c r="ATU274" s="365"/>
      <c r="ATV274" s="365"/>
      <c r="ATW274" s="365"/>
      <c r="ATX274" s="365"/>
      <c r="ATY274" s="365"/>
      <c r="ATZ274" s="365"/>
      <c r="AUA274" s="365"/>
      <c r="AUB274" s="365"/>
      <c r="AUC274" s="365"/>
      <c r="AUD274" s="365"/>
      <c r="AUE274" s="365"/>
      <c r="AUF274" s="365"/>
      <c r="AUG274" s="365"/>
      <c r="AUH274" s="365"/>
      <c r="AUI274" s="365"/>
      <c r="AUJ274" s="365"/>
      <c r="AUK274" s="365"/>
      <c r="AUL274" s="365"/>
      <c r="AUM274" s="365"/>
      <c r="AUN274" s="365"/>
      <c r="AUO274" s="365"/>
      <c r="AUP274" s="365"/>
      <c r="AUQ274" s="365"/>
      <c r="AUR274" s="365"/>
      <c r="AUS274" s="365"/>
      <c r="AUT274" s="365"/>
      <c r="AUU274" s="365"/>
      <c r="AUV274" s="365"/>
      <c r="AUW274" s="365"/>
      <c r="AUX274" s="365"/>
      <c r="AUY274" s="365"/>
      <c r="AUZ274" s="365"/>
      <c r="AVA274" s="365"/>
      <c r="AVB274" s="365"/>
      <c r="AVC274" s="365"/>
      <c r="AVD274" s="365"/>
      <c r="AVE274" s="365"/>
      <c r="AVF274" s="365"/>
      <c r="AVG274" s="365"/>
      <c r="AVH274" s="365"/>
      <c r="AVI274" s="365"/>
      <c r="AVJ274" s="365"/>
      <c r="AVK274" s="365"/>
      <c r="AVL274" s="365"/>
      <c r="AVM274" s="365"/>
      <c r="AVN274" s="365"/>
      <c r="AVO274" s="365"/>
      <c r="AVP274" s="365"/>
      <c r="AVQ274" s="365"/>
      <c r="AVR274" s="365"/>
      <c r="AVS274" s="365"/>
      <c r="AVT274" s="365"/>
      <c r="AVU274" s="365"/>
      <c r="AVV274" s="365"/>
      <c r="AVW274" s="365"/>
      <c r="AVX274" s="365"/>
      <c r="AVY274" s="365"/>
      <c r="AVZ274" s="365"/>
      <c r="AWA274" s="365"/>
      <c r="AWB274" s="365"/>
      <c r="AWC274" s="365"/>
      <c r="AWD274" s="365"/>
      <c r="AWE274" s="365"/>
      <c r="AWF274" s="365"/>
      <c r="AWG274" s="365"/>
      <c r="AWH274" s="365"/>
      <c r="AWI274" s="365"/>
      <c r="AWJ274" s="365"/>
      <c r="AWK274" s="365"/>
      <c r="AWL274" s="365"/>
      <c r="AWM274" s="365"/>
      <c r="AWN274" s="365"/>
      <c r="AWO274" s="365"/>
      <c r="AWP274" s="365"/>
      <c r="AWQ274" s="365"/>
      <c r="AWR274" s="365"/>
      <c r="AWS274" s="365"/>
      <c r="AWT274" s="365"/>
      <c r="AWU274" s="365"/>
      <c r="AWV274" s="365"/>
      <c r="AWW274" s="365"/>
      <c r="AWX274" s="365"/>
      <c r="AWY274" s="365"/>
      <c r="AWZ274" s="365"/>
      <c r="AXA274" s="365"/>
      <c r="AXB274" s="365"/>
      <c r="AXC274" s="365"/>
      <c r="AXD274" s="365"/>
      <c r="AXE274" s="365"/>
      <c r="AXF274" s="365"/>
      <c r="AXG274" s="365"/>
      <c r="AXH274" s="365"/>
      <c r="AXI274" s="365"/>
      <c r="AXJ274" s="365"/>
      <c r="AXK274" s="365"/>
      <c r="AXL274" s="365"/>
      <c r="AXM274" s="365"/>
      <c r="AXN274" s="365"/>
      <c r="AXO274" s="365"/>
      <c r="AXP274" s="365"/>
      <c r="AXQ274" s="365"/>
      <c r="AXR274" s="365"/>
      <c r="AXS274" s="365"/>
      <c r="AXT274" s="365"/>
      <c r="AXU274" s="365"/>
      <c r="AXV274" s="365"/>
      <c r="AXW274" s="365"/>
      <c r="AXX274" s="365"/>
      <c r="AXY274" s="365"/>
      <c r="AXZ274" s="365"/>
      <c r="AYA274" s="365"/>
      <c r="AYB274" s="365"/>
      <c r="AYC274" s="365"/>
      <c r="AYD274" s="365"/>
      <c r="AYE274" s="365"/>
      <c r="AYF274" s="365"/>
      <c r="AYG274" s="365"/>
      <c r="AYH274" s="365"/>
      <c r="AYI274" s="365"/>
      <c r="AYJ274" s="365"/>
      <c r="AYK274" s="365"/>
      <c r="AYL274" s="365"/>
      <c r="AYM274" s="365"/>
      <c r="AYN274" s="365"/>
      <c r="AYO274" s="365"/>
      <c r="AYP274" s="365"/>
      <c r="AYQ274" s="365"/>
      <c r="AYR274" s="365"/>
      <c r="AYS274" s="365"/>
      <c r="AYT274" s="365"/>
      <c r="AYU274" s="365"/>
      <c r="AYV274" s="365"/>
      <c r="AYW274" s="365"/>
      <c r="AYX274" s="365"/>
      <c r="AYY274" s="365"/>
      <c r="AYZ274" s="365"/>
      <c r="AZA274" s="365"/>
      <c r="AZB274" s="365"/>
      <c r="AZC274" s="365"/>
      <c r="AZD274" s="365"/>
      <c r="AZE274" s="365"/>
      <c r="AZF274" s="365"/>
      <c r="AZG274" s="365"/>
      <c r="AZH274" s="365"/>
      <c r="AZI274" s="365"/>
      <c r="AZJ274" s="365"/>
      <c r="AZK274" s="365"/>
      <c r="AZL274" s="365"/>
      <c r="AZM274" s="365"/>
      <c r="AZN274" s="365"/>
      <c r="AZO274" s="365"/>
      <c r="AZP274" s="365"/>
      <c r="AZQ274" s="365"/>
      <c r="AZR274" s="365"/>
      <c r="AZS274" s="365"/>
      <c r="AZT274" s="365"/>
      <c r="AZU274" s="365"/>
      <c r="AZV274" s="365"/>
      <c r="AZW274" s="365"/>
      <c r="AZX274" s="365"/>
      <c r="AZY274" s="365"/>
      <c r="AZZ274" s="365"/>
      <c r="BAA274" s="365"/>
      <c r="BAB274" s="365"/>
      <c r="BAC274" s="365"/>
      <c r="BAD274" s="365"/>
      <c r="BAE274" s="365"/>
      <c r="BAF274" s="365"/>
      <c r="BAG274" s="365"/>
      <c r="BAH274" s="365"/>
      <c r="BAI274" s="365"/>
      <c r="BAJ274" s="365"/>
      <c r="BAK274" s="365"/>
      <c r="BAL274" s="365"/>
      <c r="BAM274" s="365"/>
      <c r="BAN274" s="365"/>
      <c r="BAO274" s="365"/>
      <c r="BAP274" s="365"/>
      <c r="BAQ274" s="365"/>
      <c r="BAR274" s="365"/>
      <c r="BAS274" s="365"/>
      <c r="BAT274" s="365"/>
      <c r="BAU274" s="365"/>
      <c r="BAV274" s="365"/>
      <c r="BAW274" s="365"/>
      <c r="BAX274" s="365"/>
      <c r="BAY274" s="365"/>
      <c r="BAZ274" s="365"/>
      <c r="BBA274" s="365"/>
      <c r="BBB274" s="365"/>
      <c r="BBC274" s="365"/>
      <c r="BBD274" s="365"/>
      <c r="BBE274" s="365"/>
      <c r="BBF274" s="365"/>
      <c r="BBG274" s="365"/>
      <c r="BBH274" s="365"/>
      <c r="BBI274" s="365"/>
      <c r="BBJ274" s="365"/>
      <c r="BBK274" s="365"/>
      <c r="BBL274" s="365"/>
      <c r="BBM274" s="365"/>
      <c r="BBN274" s="365"/>
      <c r="BBO274" s="365"/>
      <c r="BBP274" s="365"/>
      <c r="BBQ274" s="365"/>
      <c r="BBR274" s="365"/>
      <c r="BBS274" s="365"/>
      <c r="BBT274" s="365"/>
      <c r="BBU274" s="365"/>
      <c r="BBV274" s="365"/>
      <c r="BBW274" s="365"/>
      <c r="BBX274" s="365"/>
      <c r="BBY274" s="365"/>
      <c r="BBZ274" s="365"/>
      <c r="BCA274" s="365"/>
      <c r="BCB274" s="365"/>
      <c r="BCC274" s="365"/>
      <c r="BCD274" s="365"/>
      <c r="BCE274" s="365"/>
      <c r="BCF274" s="365"/>
      <c r="BCG274" s="365"/>
      <c r="BCH274" s="365"/>
      <c r="BCI274" s="365"/>
      <c r="BCJ274" s="365"/>
      <c r="BCK274" s="365"/>
      <c r="BCL274" s="365"/>
      <c r="BCM274" s="365"/>
      <c r="BCN274" s="365"/>
      <c r="BCO274" s="365"/>
      <c r="BCP274" s="365"/>
      <c r="BCQ274" s="365"/>
      <c r="BCR274" s="365"/>
      <c r="BCS274" s="365"/>
      <c r="BCT274" s="365"/>
      <c r="BCU274" s="365"/>
      <c r="BCV274" s="365"/>
      <c r="BCW274" s="365"/>
      <c r="BCX274" s="365"/>
      <c r="BCY274" s="365"/>
      <c r="BCZ274" s="365"/>
      <c r="BDA274" s="365"/>
      <c r="BDB274" s="365"/>
      <c r="BDC274" s="365"/>
      <c r="BDD274" s="365"/>
      <c r="BDE274" s="365"/>
      <c r="BDF274" s="365"/>
      <c r="BDG274" s="365"/>
      <c r="BDH274" s="365"/>
      <c r="BDI274" s="365"/>
      <c r="BDJ274" s="365"/>
      <c r="BDK274" s="365"/>
      <c r="BDL274" s="365"/>
      <c r="BDM274" s="365"/>
      <c r="BDN274" s="365"/>
      <c r="BDO274" s="365"/>
      <c r="BDP274" s="365"/>
      <c r="BDQ274" s="365"/>
      <c r="BDR274" s="365"/>
      <c r="BDS274" s="365"/>
      <c r="BDT274" s="365"/>
      <c r="BDU274" s="365"/>
      <c r="BDV274" s="365"/>
      <c r="BDW274" s="365"/>
      <c r="BDX274" s="365"/>
      <c r="BDY274" s="365"/>
      <c r="BDZ274" s="365"/>
      <c r="BEA274" s="365"/>
      <c r="BEB274" s="365"/>
      <c r="BEC274" s="365"/>
      <c r="BED274" s="365"/>
      <c r="BEE274" s="365"/>
      <c r="BEF274" s="365"/>
      <c r="BEG274" s="365"/>
      <c r="BEH274" s="365"/>
      <c r="BEI274" s="365"/>
      <c r="BEJ274" s="365"/>
      <c r="BEK274" s="365"/>
      <c r="BEL274" s="365"/>
      <c r="BEM274" s="365"/>
      <c r="BEN274" s="365"/>
      <c r="BEO274" s="365"/>
      <c r="BEP274" s="365"/>
      <c r="BEQ274" s="365"/>
      <c r="BER274" s="365"/>
      <c r="BES274" s="365"/>
      <c r="BET274" s="365"/>
      <c r="BEU274" s="365"/>
      <c r="BEV274" s="365"/>
      <c r="BEW274" s="365"/>
      <c r="BEX274" s="365"/>
      <c r="BEY274" s="365"/>
      <c r="BEZ274" s="365"/>
      <c r="BFA274" s="365"/>
      <c r="BFB274" s="365"/>
      <c r="BFC274" s="365"/>
      <c r="BFD274" s="365"/>
      <c r="BFE274" s="365"/>
      <c r="BFF274" s="365"/>
      <c r="BFG274" s="365"/>
      <c r="BFH274" s="365"/>
      <c r="BFI274" s="365"/>
      <c r="BFJ274" s="365"/>
      <c r="BFK274" s="365"/>
      <c r="BFL274" s="365"/>
      <c r="BFM274" s="365"/>
      <c r="BFN274" s="365"/>
      <c r="BFO274" s="365"/>
      <c r="BFP274" s="365"/>
      <c r="BFQ274" s="365"/>
      <c r="BFR274" s="365"/>
      <c r="BFS274" s="365"/>
      <c r="BFT274" s="365"/>
      <c r="BFU274" s="365"/>
      <c r="BFV274" s="365"/>
      <c r="BFW274" s="365"/>
      <c r="BFX274" s="365"/>
      <c r="BFY274" s="365"/>
      <c r="BFZ274" s="365"/>
      <c r="BGA274" s="365"/>
      <c r="BGB274" s="365"/>
      <c r="BGC274" s="365"/>
      <c r="BGD274" s="365"/>
      <c r="BGE274" s="365"/>
      <c r="BGF274" s="365"/>
      <c r="BGG274" s="365"/>
      <c r="BGH274" s="365"/>
      <c r="BGI274" s="365"/>
      <c r="BGJ274" s="365"/>
      <c r="BGK274" s="365"/>
      <c r="BGL274" s="365"/>
      <c r="BGM274" s="365"/>
      <c r="BGN274" s="365"/>
      <c r="BGO274" s="365"/>
      <c r="BGP274" s="365"/>
      <c r="BGQ274" s="365"/>
      <c r="BGR274" s="365"/>
      <c r="BGS274" s="365"/>
      <c r="BGT274" s="365"/>
      <c r="BGU274" s="365"/>
      <c r="BGV274" s="365"/>
      <c r="BGW274" s="365"/>
      <c r="BGX274" s="365"/>
      <c r="BGY274" s="365"/>
      <c r="BGZ274" s="365"/>
      <c r="BHA274" s="365"/>
      <c r="BHB274" s="365"/>
      <c r="BHC274" s="365"/>
      <c r="BHD274" s="365"/>
      <c r="BHE274" s="365"/>
      <c r="BHF274" s="365"/>
      <c r="BHG274" s="365"/>
      <c r="BHH274" s="365"/>
      <c r="BHI274" s="365"/>
      <c r="BHJ274" s="365"/>
      <c r="BHK274" s="365"/>
      <c r="BHL274" s="365"/>
      <c r="BHM274" s="365"/>
      <c r="BHN274" s="365"/>
      <c r="BHO274" s="365"/>
      <c r="BHP274" s="365"/>
      <c r="BHQ274" s="365"/>
      <c r="BHR274" s="365"/>
      <c r="BHS274" s="365"/>
      <c r="BHT274" s="365"/>
      <c r="BHU274" s="365"/>
      <c r="BHV274" s="365"/>
      <c r="BHW274" s="365"/>
      <c r="BHX274" s="365"/>
      <c r="BHY274" s="365"/>
      <c r="BHZ274" s="365"/>
      <c r="BIA274" s="365"/>
      <c r="BIB274" s="365"/>
      <c r="BIC274" s="365"/>
      <c r="BID274" s="365"/>
      <c r="BIE274" s="365"/>
      <c r="BIF274" s="365"/>
      <c r="BIG274" s="365"/>
      <c r="BIH274" s="365"/>
      <c r="BII274" s="365"/>
      <c r="BIJ274" s="365"/>
      <c r="BIK274" s="365"/>
      <c r="BIL274" s="365"/>
      <c r="BIM274" s="365"/>
      <c r="BIN274" s="365"/>
      <c r="BIO274" s="365"/>
      <c r="BIP274" s="365"/>
      <c r="BIQ274" s="365"/>
      <c r="BIR274" s="365"/>
      <c r="BIS274" s="365"/>
      <c r="BIT274" s="365"/>
      <c r="BIU274" s="365"/>
      <c r="BIV274" s="365"/>
      <c r="BIW274" s="365"/>
      <c r="BIX274" s="365"/>
      <c r="BIY274" s="365"/>
      <c r="BIZ274" s="365"/>
      <c r="BJA274" s="365"/>
      <c r="BJB274" s="365"/>
      <c r="BJC274" s="365"/>
      <c r="BJD274" s="365"/>
      <c r="BJE274" s="365"/>
      <c r="BJF274" s="365"/>
      <c r="BJG274" s="365"/>
      <c r="BJH274" s="365"/>
      <c r="BJI274" s="365"/>
      <c r="BJJ274" s="365"/>
      <c r="BJK274" s="365"/>
      <c r="BJL274" s="365"/>
      <c r="BJM274" s="365"/>
      <c r="BJN274" s="365"/>
      <c r="BJO274" s="365"/>
      <c r="BJP274" s="365"/>
      <c r="BJQ274" s="365"/>
      <c r="BJR274" s="365"/>
      <c r="BJS274" s="365"/>
      <c r="BJT274" s="365"/>
      <c r="BJU274" s="365"/>
      <c r="BJV274" s="365"/>
      <c r="BJW274" s="365"/>
      <c r="BJX274" s="365"/>
      <c r="BJY274" s="365"/>
      <c r="BJZ274" s="365"/>
      <c r="BKA274" s="365"/>
      <c r="BKB274" s="365"/>
      <c r="BKC274" s="365"/>
      <c r="BKD274" s="365"/>
      <c r="BKE274" s="365"/>
      <c r="BKF274" s="365"/>
      <c r="BKG274" s="365"/>
      <c r="BKH274" s="365"/>
      <c r="BKI274" s="365"/>
      <c r="BKJ274" s="365"/>
      <c r="BKK274" s="365"/>
      <c r="BKL274" s="365"/>
      <c r="BKM274" s="365"/>
      <c r="BKN274" s="365"/>
      <c r="BKO274" s="365"/>
      <c r="BKP274" s="365"/>
      <c r="BKQ274" s="365"/>
      <c r="BKR274" s="365"/>
      <c r="BKS274" s="365"/>
      <c r="BKT274" s="365"/>
      <c r="BKU274" s="365"/>
      <c r="BKV274" s="365"/>
      <c r="BKW274" s="365"/>
      <c r="BKX274" s="365"/>
      <c r="BKY274" s="365"/>
      <c r="BKZ274" s="365"/>
      <c r="BLA274" s="365"/>
      <c r="BLB274" s="365"/>
      <c r="BLC274" s="365"/>
      <c r="BLD274" s="365"/>
      <c r="BLE274" s="365"/>
      <c r="BLF274" s="365"/>
      <c r="BLG274" s="365"/>
      <c r="BLH274" s="365"/>
      <c r="BLI274" s="365"/>
      <c r="BLJ274" s="365"/>
      <c r="BLK274" s="365"/>
      <c r="BLL274" s="365"/>
      <c r="BLM274" s="365"/>
      <c r="BLN274" s="365"/>
      <c r="BLO274" s="365"/>
      <c r="BLP274" s="365"/>
      <c r="BLQ274" s="365"/>
      <c r="BLR274" s="365"/>
      <c r="BLS274" s="365"/>
      <c r="BLT274" s="365"/>
      <c r="BLU274" s="365"/>
      <c r="BLV274" s="365"/>
      <c r="BLW274" s="365"/>
      <c r="BLX274" s="365"/>
      <c r="BLY274" s="365"/>
      <c r="BLZ274" s="365"/>
      <c r="BMA274" s="365"/>
      <c r="BMB274" s="365"/>
      <c r="BMC274" s="365"/>
      <c r="BMD274" s="365"/>
      <c r="BME274" s="365"/>
      <c r="BMF274" s="365"/>
      <c r="BMG274" s="365"/>
      <c r="BMH274" s="365"/>
      <c r="BMI274" s="365"/>
      <c r="BMJ274" s="365"/>
      <c r="BMK274" s="365"/>
      <c r="BML274" s="365"/>
      <c r="BMM274" s="365"/>
      <c r="BMN274" s="365"/>
      <c r="BMO274" s="365"/>
      <c r="BMP274" s="365"/>
      <c r="BMQ274" s="365"/>
      <c r="BMR274" s="365"/>
      <c r="BMS274" s="365"/>
      <c r="BMT274" s="365"/>
      <c r="BMU274" s="365"/>
      <c r="BMV274" s="365"/>
      <c r="BMW274" s="365"/>
      <c r="BMX274" s="365"/>
      <c r="BMY274" s="365"/>
      <c r="BMZ274" s="365"/>
      <c r="BNA274" s="365"/>
      <c r="BNB274" s="365"/>
      <c r="BNC274" s="365"/>
      <c r="BND274" s="365"/>
      <c r="BNE274" s="365"/>
      <c r="BNF274" s="365"/>
      <c r="BNG274" s="365"/>
      <c r="BNH274" s="365"/>
      <c r="BNI274" s="365"/>
      <c r="BNJ274" s="365"/>
      <c r="BNK274" s="365"/>
      <c r="BNL274" s="365"/>
      <c r="BNM274" s="365"/>
      <c r="BNN274" s="365"/>
      <c r="BNO274" s="365"/>
      <c r="BNP274" s="365"/>
      <c r="BNQ274" s="365"/>
      <c r="BNR274" s="365"/>
      <c r="BNS274" s="365"/>
      <c r="BNT274" s="365"/>
      <c r="BNU274" s="365"/>
      <c r="BNV274" s="365"/>
      <c r="BNW274" s="365"/>
      <c r="BNX274" s="365"/>
      <c r="BNY274" s="365"/>
      <c r="BNZ274" s="365"/>
      <c r="BOA274" s="365"/>
      <c r="BOB274" s="365"/>
      <c r="BOC274" s="365"/>
      <c r="BOD274" s="365"/>
      <c r="BOE274" s="365"/>
      <c r="BOF274" s="365"/>
      <c r="BOG274" s="365"/>
      <c r="BOH274" s="365"/>
      <c r="BOI274" s="365"/>
      <c r="BOJ274" s="365"/>
      <c r="BOK274" s="365"/>
      <c r="BOL274" s="365"/>
      <c r="BOM274" s="365"/>
      <c r="BON274" s="365"/>
      <c r="BOO274" s="365"/>
      <c r="BOP274" s="365"/>
      <c r="BOQ274" s="365"/>
      <c r="BOR274" s="365"/>
      <c r="BOS274" s="365"/>
      <c r="BOT274" s="365"/>
      <c r="BOU274" s="365"/>
      <c r="BOV274" s="365"/>
      <c r="BOW274" s="365"/>
      <c r="BOX274" s="365"/>
      <c r="BOY274" s="365"/>
      <c r="BOZ274" s="365"/>
      <c r="BPA274" s="365"/>
      <c r="BPB274" s="365"/>
      <c r="BPC274" s="365"/>
      <c r="BPD274" s="365"/>
      <c r="BPE274" s="365"/>
      <c r="BPF274" s="365"/>
      <c r="BPG274" s="365"/>
      <c r="BPH274" s="365"/>
      <c r="BPI274" s="365"/>
      <c r="BPJ274" s="365"/>
      <c r="BPK274" s="365"/>
      <c r="BPL274" s="365"/>
      <c r="BPM274" s="365"/>
      <c r="BPN274" s="365"/>
      <c r="BPO274" s="365"/>
      <c r="BPP274" s="365"/>
      <c r="BPQ274" s="365"/>
      <c r="BPR274" s="365"/>
      <c r="BPS274" s="365"/>
      <c r="BPT274" s="365"/>
      <c r="BPU274" s="365"/>
      <c r="BPV274" s="365"/>
      <c r="BPW274" s="365"/>
      <c r="BPX274" s="365"/>
      <c r="BPY274" s="365"/>
      <c r="BPZ274" s="365"/>
      <c r="BQA274" s="365"/>
      <c r="BQB274" s="365"/>
      <c r="BQC274" s="365"/>
      <c r="BQD274" s="365"/>
      <c r="BQE274" s="365"/>
      <c r="BQF274" s="365"/>
      <c r="BQG274" s="365"/>
      <c r="BQH274" s="365"/>
      <c r="BQI274" s="365"/>
      <c r="BQJ274" s="365"/>
      <c r="BQK274" s="365"/>
      <c r="BQL274" s="365"/>
      <c r="BQM274" s="365"/>
      <c r="BQN274" s="365"/>
      <c r="BQO274" s="365"/>
      <c r="BQP274" s="365"/>
      <c r="BQQ274" s="365"/>
      <c r="BQR274" s="365"/>
      <c r="BQS274" s="365"/>
      <c r="BQT274" s="365"/>
      <c r="BQU274" s="365"/>
      <c r="BQV274" s="365"/>
      <c r="BQW274" s="365"/>
      <c r="BQX274" s="365"/>
      <c r="BQY274" s="365"/>
      <c r="BQZ274" s="365"/>
      <c r="BRA274" s="365"/>
      <c r="BRB274" s="365"/>
      <c r="BRC274" s="365"/>
      <c r="BRD274" s="365"/>
      <c r="BRE274" s="365"/>
      <c r="BRF274" s="365"/>
      <c r="BRG274" s="365"/>
      <c r="BRH274" s="365"/>
      <c r="BRI274" s="365"/>
      <c r="BRJ274" s="365"/>
      <c r="BRK274" s="365"/>
      <c r="BRL274" s="365"/>
      <c r="BRM274" s="365"/>
      <c r="BRN274" s="365"/>
      <c r="BRO274" s="365"/>
      <c r="BRP274" s="365"/>
      <c r="BRQ274" s="365"/>
      <c r="BRR274" s="365"/>
      <c r="BRS274" s="365"/>
      <c r="BRT274" s="365"/>
      <c r="BRU274" s="365"/>
      <c r="BRV274" s="365"/>
      <c r="BRW274" s="365"/>
      <c r="BRX274" s="365"/>
      <c r="BRY274" s="365"/>
      <c r="BRZ274" s="365"/>
      <c r="BSA274" s="365"/>
      <c r="BSB274" s="365"/>
      <c r="BSC274" s="365"/>
      <c r="BSD274" s="365"/>
      <c r="BSE274" s="365"/>
      <c r="BSF274" s="365"/>
      <c r="BSG274" s="365"/>
      <c r="BSH274" s="365"/>
      <c r="BSI274" s="365"/>
      <c r="BSJ274" s="365"/>
      <c r="BSK274" s="365"/>
      <c r="BSL274" s="365"/>
      <c r="BSM274" s="365"/>
      <c r="BSN274" s="365"/>
      <c r="BSO274" s="365"/>
      <c r="BSP274" s="365"/>
      <c r="BSQ274" s="365"/>
      <c r="BSR274" s="365"/>
      <c r="BSS274" s="365"/>
      <c r="BST274" s="365"/>
      <c r="BSU274" s="365"/>
      <c r="BSV274" s="365"/>
      <c r="BSW274" s="365"/>
      <c r="BSX274" s="365"/>
      <c r="BSY274" s="365"/>
      <c r="BSZ274" s="365"/>
      <c r="BTA274" s="365"/>
      <c r="BTB274" s="365"/>
      <c r="BTC274" s="365"/>
      <c r="BTD274" s="365"/>
      <c r="BTE274" s="365"/>
      <c r="BTF274" s="365"/>
      <c r="BTG274" s="365"/>
      <c r="BTH274" s="365"/>
      <c r="BTI274" s="365"/>
      <c r="BTJ274" s="365"/>
      <c r="BTK274" s="365"/>
      <c r="BTL274" s="365"/>
      <c r="BTM274" s="365"/>
      <c r="BTN274" s="365"/>
      <c r="BTO274" s="365"/>
      <c r="BTP274" s="365"/>
      <c r="BTQ274" s="365"/>
      <c r="BTR274" s="365"/>
      <c r="BTS274" s="365"/>
      <c r="BTT274" s="365"/>
      <c r="BTU274" s="365"/>
      <c r="BTV274" s="365"/>
      <c r="BTW274" s="365"/>
      <c r="BTX274" s="365"/>
      <c r="BTY274" s="365"/>
      <c r="BTZ274" s="365"/>
      <c r="BUA274" s="365"/>
      <c r="BUB274" s="365"/>
      <c r="BUC274" s="365"/>
      <c r="BUD274" s="365"/>
      <c r="BUE274" s="365"/>
      <c r="BUF274" s="365"/>
      <c r="BUG274" s="365"/>
      <c r="BUH274" s="365"/>
      <c r="BUI274" s="365"/>
      <c r="BUJ274" s="365"/>
      <c r="BUK274" s="365"/>
      <c r="BUL274" s="365"/>
      <c r="BUM274" s="365"/>
      <c r="BUN274" s="365"/>
      <c r="BUO274" s="365"/>
      <c r="BUP274" s="365"/>
      <c r="BUQ274" s="365"/>
      <c r="BUR274" s="365"/>
      <c r="BUS274" s="365"/>
      <c r="BUT274" s="365"/>
      <c r="BUU274" s="365"/>
      <c r="BUV274" s="365"/>
      <c r="BUW274" s="365"/>
      <c r="BUX274" s="365"/>
      <c r="BUY274" s="365"/>
      <c r="BUZ274" s="365"/>
      <c r="BVA274" s="365"/>
      <c r="BVB274" s="365"/>
      <c r="BVC274" s="365"/>
      <c r="BVD274" s="365"/>
      <c r="BVE274" s="365"/>
      <c r="BVF274" s="365"/>
      <c r="BVG274" s="365"/>
      <c r="BVH274" s="365"/>
      <c r="BVI274" s="365"/>
      <c r="BVJ274" s="365"/>
      <c r="BVK274" s="365"/>
      <c r="BVL274" s="365"/>
      <c r="BVM274" s="365"/>
      <c r="BVN274" s="365"/>
      <c r="BVO274" s="365"/>
      <c r="BVP274" s="365"/>
      <c r="BVQ274" s="365"/>
      <c r="BVR274" s="365"/>
      <c r="BVS274" s="365"/>
      <c r="BVT274" s="365"/>
      <c r="BVU274" s="365"/>
      <c r="BVV274" s="365"/>
      <c r="BVW274" s="365"/>
      <c r="BVX274" s="365"/>
      <c r="BVY274" s="365"/>
      <c r="BVZ274" s="365"/>
      <c r="BWA274" s="365"/>
      <c r="BWB274" s="365"/>
      <c r="BWC274" s="365"/>
      <c r="BWD274" s="365"/>
      <c r="BWE274" s="365"/>
      <c r="BWF274" s="365"/>
      <c r="BWG274" s="365"/>
      <c r="BWH274" s="365"/>
      <c r="BWI274" s="365"/>
      <c r="BWJ274" s="365"/>
      <c r="BWK274" s="365"/>
      <c r="BWL274" s="365"/>
      <c r="BWM274" s="365"/>
      <c r="BWN274" s="365"/>
      <c r="BWO274" s="365"/>
      <c r="BWP274" s="365"/>
      <c r="BWQ274" s="365"/>
      <c r="BWR274" s="365"/>
      <c r="BWS274" s="365"/>
      <c r="BWT274" s="365"/>
      <c r="BWU274" s="365"/>
      <c r="BWV274" s="365"/>
      <c r="BWW274" s="365"/>
      <c r="BWX274" s="365"/>
      <c r="BWY274" s="365"/>
      <c r="BWZ274" s="365"/>
      <c r="BXA274" s="365"/>
      <c r="BXB274" s="365"/>
      <c r="BXC274" s="365"/>
      <c r="BXD274" s="365"/>
      <c r="BXE274" s="365"/>
      <c r="BXF274" s="365"/>
      <c r="BXG274" s="365"/>
      <c r="BXH274" s="365"/>
      <c r="BXI274" s="365"/>
      <c r="BXJ274" s="365"/>
      <c r="BXK274" s="365"/>
      <c r="BXL274" s="365"/>
      <c r="BXM274" s="365"/>
      <c r="BXN274" s="365"/>
      <c r="BXO274" s="365"/>
      <c r="BXP274" s="365"/>
      <c r="BXQ274" s="365"/>
      <c r="BXR274" s="365"/>
      <c r="BXS274" s="365"/>
      <c r="BXT274" s="365"/>
      <c r="BXU274" s="365"/>
      <c r="BXV274" s="365"/>
      <c r="BXW274" s="365"/>
      <c r="BXX274" s="365"/>
      <c r="BXY274" s="365"/>
      <c r="BXZ274" s="365"/>
      <c r="BYA274" s="365"/>
      <c r="BYB274" s="365"/>
      <c r="BYC274" s="365"/>
      <c r="BYD274" s="365"/>
      <c r="BYE274" s="365"/>
      <c r="BYF274" s="365"/>
      <c r="BYG274" s="365"/>
      <c r="BYH274" s="365"/>
      <c r="BYI274" s="365"/>
      <c r="BYJ274" s="365"/>
      <c r="BYK274" s="365"/>
      <c r="BYL274" s="365"/>
      <c r="BYM274" s="365"/>
      <c r="BYN274" s="365"/>
      <c r="BYO274" s="365"/>
      <c r="BYP274" s="365"/>
      <c r="BYQ274" s="365"/>
      <c r="BYR274" s="365"/>
      <c r="BYS274" s="365"/>
      <c r="BYT274" s="365"/>
      <c r="BYU274" s="365"/>
      <c r="BYV274" s="365"/>
      <c r="BYW274" s="365"/>
      <c r="BYX274" s="365"/>
      <c r="BYY274" s="365"/>
      <c r="BYZ274" s="365"/>
      <c r="BZA274" s="365"/>
      <c r="BZB274" s="365"/>
      <c r="BZC274" s="365"/>
      <c r="BZD274" s="365"/>
      <c r="BZE274" s="365"/>
      <c r="BZF274" s="365"/>
      <c r="BZG274" s="365"/>
      <c r="BZH274" s="365"/>
      <c r="BZI274" s="365"/>
      <c r="BZJ274" s="365"/>
      <c r="BZK274" s="365"/>
      <c r="BZL274" s="365"/>
      <c r="BZM274" s="365"/>
      <c r="BZN274" s="365"/>
      <c r="BZO274" s="365"/>
      <c r="BZP274" s="365"/>
      <c r="BZQ274" s="365"/>
      <c r="BZR274" s="365"/>
      <c r="BZS274" s="365"/>
      <c r="BZT274" s="365"/>
      <c r="BZU274" s="365"/>
      <c r="BZV274" s="365"/>
      <c r="BZW274" s="365"/>
      <c r="BZX274" s="365"/>
      <c r="BZY274" s="365"/>
      <c r="BZZ274" s="365"/>
      <c r="CAA274" s="365"/>
      <c r="CAB274" s="365"/>
      <c r="CAC274" s="365"/>
      <c r="CAD274" s="365"/>
      <c r="CAE274" s="365"/>
      <c r="CAF274" s="365"/>
      <c r="CAG274" s="365"/>
      <c r="CAH274" s="365"/>
      <c r="CAI274" s="365"/>
      <c r="CAJ274" s="365"/>
      <c r="CAK274" s="365"/>
      <c r="CAL274" s="365"/>
      <c r="CAM274" s="365"/>
      <c r="CAN274" s="365"/>
      <c r="CAO274" s="365"/>
      <c r="CAP274" s="365"/>
      <c r="CAQ274" s="365"/>
      <c r="CAR274" s="365"/>
      <c r="CAS274" s="365"/>
      <c r="CAT274" s="365"/>
      <c r="CAU274" s="365"/>
      <c r="CAV274" s="365"/>
      <c r="CAW274" s="365"/>
      <c r="CAX274" s="365"/>
      <c r="CAY274" s="365"/>
      <c r="CAZ274" s="365"/>
      <c r="CBA274" s="365"/>
      <c r="CBB274" s="365"/>
      <c r="CBC274" s="365"/>
      <c r="CBD274" s="365"/>
      <c r="CBE274" s="365"/>
      <c r="CBF274" s="365"/>
      <c r="CBG274" s="365"/>
      <c r="CBH274" s="365"/>
      <c r="CBI274" s="365"/>
      <c r="CBJ274" s="365"/>
      <c r="CBK274" s="365"/>
      <c r="CBL274" s="365"/>
      <c r="CBM274" s="365"/>
      <c r="CBN274" s="365"/>
      <c r="CBO274" s="365"/>
      <c r="CBP274" s="365"/>
      <c r="CBQ274" s="365"/>
      <c r="CBR274" s="365"/>
      <c r="CBS274" s="365"/>
      <c r="CBT274" s="365"/>
      <c r="CBU274" s="365"/>
      <c r="CBV274" s="365"/>
      <c r="CBW274" s="365"/>
      <c r="CBX274" s="365"/>
      <c r="CBY274" s="365"/>
      <c r="CBZ274" s="365"/>
      <c r="CCA274" s="365"/>
      <c r="CCB274" s="365"/>
      <c r="CCC274" s="365"/>
      <c r="CCD274" s="365"/>
      <c r="CCE274" s="365"/>
      <c r="CCF274" s="365"/>
      <c r="CCG274" s="365"/>
      <c r="CCH274" s="365"/>
      <c r="CCI274" s="365"/>
      <c r="CCJ274" s="365"/>
      <c r="CCK274" s="365"/>
      <c r="CCL274" s="365"/>
      <c r="CCM274" s="365"/>
      <c r="CCN274" s="365"/>
      <c r="CCO274" s="365"/>
      <c r="CCP274" s="365"/>
      <c r="CCQ274" s="365"/>
      <c r="CCR274" s="365"/>
      <c r="CCS274" s="365"/>
      <c r="CCT274" s="365"/>
      <c r="CCU274" s="365"/>
      <c r="CCV274" s="365"/>
      <c r="CCW274" s="365"/>
      <c r="CCX274" s="365"/>
      <c r="CCY274" s="365"/>
      <c r="CCZ274" s="365"/>
      <c r="CDA274" s="365"/>
      <c r="CDB274" s="365"/>
      <c r="CDC274" s="365"/>
      <c r="CDD274" s="365"/>
      <c r="CDE274" s="365"/>
      <c r="CDF274" s="365"/>
      <c r="CDG274" s="365"/>
      <c r="CDH274" s="365"/>
      <c r="CDI274" s="365"/>
      <c r="CDJ274" s="365"/>
      <c r="CDK274" s="365"/>
      <c r="CDL274" s="365"/>
      <c r="CDM274" s="365"/>
      <c r="CDN274" s="365"/>
      <c r="CDO274" s="365"/>
      <c r="CDP274" s="365"/>
      <c r="CDQ274" s="365"/>
      <c r="CDR274" s="365"/>
      <c r="CDS274" s="365"/>
      <c r="CDT274" s="365"/>
      <c r="CDU274" s="365"/>
      <c r="CDV274" s="365"/>
      <c r="CDW274" s="365"/>
      <c r="CDX274" s="365"/>
      <c r="CDY274" s="365"/>
      <c r="CDZ274" s="365"/>
      <c r="CEA274" s="365"/>
      <c r="CEB274" s="365"/>
      <c r="CEC274" s="365"/>
      <c r="CED274" s="365"/>
      <c r="CEE274" s="365"/>
      <c r="CEF274" s="365"/>
      <c r="CEG274" s="365"/>
      <c r="CEH274" s="365"/>
      <c r="CEI274" s="365"/>
      <c r="CEJ274" s="365"/>
      <c r="CEK274" s="365"/>
      <c r="CEL274" s="365"/>
      <c r="CEM274" s="365"/>
      <c r="CEN274" s="365"/>
      <c r="CEO274" s="365"/>
      <c r="CEP274" s="365"/>
      <c r="CEQ274" s="365"/>
      <c r="CER274" s="365"/>
      <c r="CES274" s="365"/>
      <c r="CET274" s="365"/>
      <c r="CEU274" s="365"/>
      <c r="CEV274" s="365"/>
      <c r="CEW274" s="365"/>
      <c r="CEX274" s="365"/>
      <c r="CEY274" s="365"/>
      <c r="CEZ274" s="365"/>
      <c r="CFA274" s="365"/>
      <c r="CFB274" s="365"/>
      <c r="CFC274" s="365"/>
      <c r="CFD274" s="365"/>
      <c r="CFE274" s="365"/>
      <c r="CFF274" s="365"/>
      <c r="CFG274" s="365"/>
      <c r="CFH274" s="365"/>
      <c r="CFI274" s="365"/>
      <c r="CFJ274" s="365"/>
      <c r="CFK274" s="365"/>
      <c r="CFL274" s="365"/>
      <c r="CFM274" s="365"/>
      <c r="CFN274" s="365"/>
      <c r="CFO274" s="365"/>
      <c r="CFP274" s="365"/>
      <c r="CFQ274" s="365"/>
      <c r="CFR274" s="365"/>
      <c r="CFS274" s="365"/>
      <c r="CFT274" s="365"/>
      <c r="CFU274" s="365"/>
      <c r="CFV274" s="365"/>
      <c r="CFW274" s="365"/>
      <c r="CFX274" s="365"/>
      <c r="CFY274" s="365"/>
      <c r="CFZ274" s="365"/>
      <c r="CGA274" s="365"/>
      <c r="CGB274" s="365"/>
      <c r="CGC274" s="365"/>
      <c r="CGD274" s="365"/>
      <c r="CGE274" s="365"/>
      <c r="CGF274" s="365"/>
      <c r="CGG274" s="365"/>
      <c r="CGH274" s="365"/>
      <c r="CGI274" s="365"/>
      <c r="CGJ274" s="365"/>
      <c r="CGK274" s="365"/>
      <c r="CGL274" s="365"/>
      <c r="CGM274" s="365"/>
      <c r="CGN274" s="365"/>
      <c r="CGO274" s="365"/>
      <c r="CGP274" s="365"/>
      <c r="CGQ274" s="365"/>
      <c r="CGR274" s="365"/>
      <c r="CGS274" s="365"/>
      <c r="CGT274" s="365"/>
      <c r="CGU274" s="365"/>
      <c r="CGV274" s="365"/>
      <c r="CGW274" s="365"/>
      <c r="CGX274" s="365"/>
      <c r="CGY274" s="365"/>
      <c r="CGZ274" s="365"/>
      <c r="CHA274" s="365"/>
      <c r="CHB274" s="365"/>
      <c r="CHC274" s="365"/>
      <c r="CHD274" s="365"/>
      <c r="CHE274" s="365"/>
      <c r="CHF274" s="365"/>
      <c r="CHG274" s="365"/>
      <c r="CHH274" s="365"/>
      <c r="CHI274" s="365"/>
      <c r="CHJ274" s="365"/>
      <c r="CHK274" s="365"/>
      <c r="CHL274" s="365"/>
      <c r="CHM274" s="365"/>
      <c r="CHN274" s="365"/>
      <c r="CHO274" s="365"/>
      <c r="CHP274" s="365"/>
      <c r="CHQ274" s="365"/>
      <c r="CHR274" s="365"/>
      <c r="CHS274" s="365"/>
      <c r="CHT274" s="365"/>
      <c r="CHU274" s="365"/>
      <c r="CHV274" s="365"/>
      <c r="CHW274" s="365"/>
      <c r="CHX274" s="365"/>
      <c r="CHY274" s="365"/>
      <c r="CHZ274" s="365"/>
      <c r="CIA274" s="365"/>
      <c r="CIB274" s="365"/>
      <c r="CIC274" s="365"/>
      <c r="CID274" s="365"/>
      <c r="CIE274" s="365"/>
      <c r="CIF274" s="365"/>
      <c r="CIG274" s="365"/>
      <c r="CIH274" s="365"/>
      <c r="CII274" s="365"/>
      <c r="CIJ274" s="365"/>
      <c r="CIK274" s="365"/>
      <c r="CIL274" s="365"/>
      <c r="CIM274" s="365"/>
      <c r="CIN274" s="365"/>
      <c r="CIO274" s="365"/>
      <c r="CIP274" s="365"/>
      <c r="CIQ274" s="365"/>
      <c r="CIR274" s="365"/>
      <c r="CIS274" s="365"/>
      <c r="CIT274" s="365"/>
      <c r="CIU274" s="365"/>
      <c r="CIV274" s="365"/>
      <c r="CIW274" s="365"/>
      <c r="CIX274" s="365"/>
      <c r="CIY274" s="365"/>
      <c r="CIZ274" s="365"/>
      <c r="CJA274" s="365"/>
      <c r="CJB274" s="365"/>
      <c r="CJC274" s="365"/>
      <c r="CJD274" s="365"/>
      <c r="CJE274" s="365"/>
      <c r="CJF274" s="365"/>
      <c r="CJG274" s="365"/>
      <c r="CJH274" s="365"/>
      <c r="CJI274" s="365"/>
      <c r="CJJ274" s="365"/>
      <c r="CJK274" s="365"/>
      <c r="CJL274" s="365"/>
      <c r="CJM274" s="365"/>
      <c r="CJN274" s="365"/>
      <c r="CJO274" s="365"/>
      <c r="CJP274" s="365"/>
      <c r="CJQ274" s="365"/>
      <c r="CJR274" s="365"/>
      <c r="CJS274" s="365"/>
      <c r="CJT274" s="365"/>
      <c r="CJU274" s="365"/>
      <c r="CJV274" s="365"/>
      <c r="CJW274" s="365"/>
      <c r="CJX274" s="365"/>
      <c r="CJY274" s="365"/>
      <c r="CJZ274" s="365"/>
      <c r="CKA274" s="365"/>
      <c r="CKB274" s="365"/>
      <c r="CKC274" s="365"/>
      <c r="CKD274" s="365"/>
      <c r="CKE274" s="365"/>
      <c r="CKF274" s="365"/>
      <c r="CKG274" s="365"/>
      <c r="CKH274" s="365"/>
      <c r="CKI274" s="365"/>
      <c r="CKJ274" s="365"/>
      <c r="CKK274" s="365"/>
      <c r="CKL274" s="365"/>
      <c r="CKM274" s="365"/>
      <c r="CKN274" s="365"/>
      <c r="CKO274" s="365"/>
      <c r="CKP274" s="365"/>
      <c r="CKQ274" s="365"/>
      <c r="CKR274" s="365"/>
      <c r="CKS274" s="365"/>
      <c r="CKT274" s="365"/>
      <c r="CKU274" s="365"/>
      <c r="CKV274" s="365"/>
      <c r="CKW274" s="365"/>
      <c r="CKX274" s="365"/>
      <c r="CKY274" s="365"/>
      <c r="CKZ274" s="365"/>
      <c r="CLA274" s="365"/>
      <c r="CLB274" s="365"/>
      <c r="CLC274" s="365"/>
      <c r="CLD274" s="365"/>
      <c r="CLE274" s="365"/>
      <c r="CLF274" s="365"/>
      <c r="CLG274" s="365"/>
      <c r="CLH274" s="365"/>
      <c r="CLI274" s="365"/>
      <c r="CLJ274" s="365"/>
      <c r="CLK274" s="365"/>
      <c r="CLL274" s="365"/>
      <c r="CLM274" s="365"/>
      <c r="CLN274" s="365"/>
      <c r="CLO274" s="365"/>
      <c r="CLP274" s="365"/>
      <c r="CLQ274" s="365"/>
      <c r="CLR274" s="365"/>
      <c r="CLS274" s="365"/>
      <c r="CLT274" s="365"/>
      <c r="CLU274" s="365"/>
      <c r="CLV274" s="365"/>
      <c r="CLW274" s="365"/>
      <c r="CLX274" s="365"/>
      <c r="CLY274" s="365"/>
      <c r="CLZ274" s="365"/>
      <c r="CMA274" s="365"/>
      <c r="CMB274" s="365"/>
      <c r="CMC274" s="365"/>
      <c r="CMD274" s="365"/>
      <c r="CME274" s="365"/>
      <c r="CMF274" s="365"/>
      <c r="CMG274" s="365"/>
      <c r="CMH274" s="365"/>
      <c r="CMI274" s="365"/>
      <c r="CMJ274" s="365"/>
      <c r="CMK274" s="365"/>
      <c r="CML274" s="365"/>
      <c r="CMM274" s="365"/>
      <c r="CMN274" s="365"/>
      <c r="CMO274" s="365"/>
      <c r="CMP274" s="365"/>
      <c r="CMQ274" s="365"/>
      <c r="CMR274" s="365"/>
      <c r="CMS274" s="365"/>
      <c r="CMT274" s="365"/>
      <c r="CMU274" s="365"/>
      <c r="CMV274" s="365"/>
      <c r="CMW274" s="365"/>
      <c r="CMX274" s="365"/>
      <c r="CMY274" s="365"/>
      <c r="CMZ274" s="365"/>
      <c r="CNA274" s="365"/>
      <c r="CNB274" s="365"/>
      <c r="CNC274" s="365"/>
      <c r="CND274" s="365"/>
      <c r="CNE274" s="365"/>
      <c r="CNF274" s="365"/>
      <c r="CNG274" s="365"/>
      <c r="CNH274" s="365"/>
      <c r="CNI274" s="365"/>
      <c r="CNJ274" s="365"/>
      <c r="CNK274" s="365"/>
      <c r="CNL274" s="365"/>
      <c r="CNM274" s="365"/>
      <c r="CNN274" s="365"/>
      <c r="CNO274" s="365"/>
      <c r="CNP274" s="365"/>
      <c r="CNQ274" s="365"/>
      <c r="CNR274" s="365"/>
      <c r="CNS274" s="365"/>
      <c r="CNT274" s="365"/>
      <c r="CNU274" s="365"/>
      <c r="CNV274" s="365"/>
      <c r="CNW274" s="365"/>
      <c r="CNX274" s="365"/>
      <c r="CNY274" s="365"/>
      <c r="CNZ274" s="365"/>
      <c r="COA274" s="365"/>
      <c r="COB274" s="365"/>
      <c r="COC274" s="365"/>
      <c r="COD274" s="365"/>
      <c r="COE274" s="365"/>
      <c r="COF274" s="365"/>
      <c r="COG274" s="365"/>
      <c r="COH274" s="365"/>
      <c r="COI274" s="365"/>
      <c r="COJ274" s="365"/>
      <c r="COK274" s="365"/>
      <c r="COL274" s="365"/>
      <c r="COM274" s="365"/>
      <c r="CON274" s="365"/>
      <c r="COO274" s="365"/>
      <c r="COP274" s="365"/>
      <c r="COQ274" s="365"/>
      <c r="COR274" s="365"/>
      <c r="COS274" s="365"/>
      <c r="COT274" s="365"/>
      <c r="COU274" s="365"/>
      <c r="COV274" s="365"/>
      <c r="COW274" s="365"/>
      <c r="COX274" s="365"/>
      <c r="COY274" s="365"/>
      <c r="COZ274" s="365"/>
      <c r="CPA274" s="365"/>
      <c r="CPB274" s="365"/>
      <c r="CPC274" s="365"/>
      <c r="CPD274" s="365"/>
      <c r="CPE274" s="365"/>
      <c r="CPF274" s="365"/>
      <c r="CPG274" s="365"/>
      <c r="CPH274" s="365"/>
      <c r="CPI274" s="365"/>
      <c r="CPJ274" s="365"/>
      <c r="CPK274" s="365"/>
      <c r="CPL274" s="365"/>
      <c r="CPM274" s="365"/>
      <c r="CPN274" s="365"/>
      <c r="CPO274" s="365"/>
      <c r="CPP274" s="365"/>
      <c r="CPQ274" s="365"/>
      <c r="CPR274" s="365"/>
      <c r="CPS274" s="365"/>
      <c r="CPT274" s="365"/>
      <c r="CPU274" s="365"/>
      <c r="CPV274" s="365"/>
      <c r="CPW274" s="365"/>
      <c r="CPX274" s="365"/>
      <c r="CPY274" s="365"/>
      <c r="CPZ274" s="365"/>
      <c r="CQA274" s="365"/>
      <c r="CQB274" s="365"/>
      <c r="CQC274" s="365"/>
      <c r="CQD274" s="365"/>
      <c r="CQE274" s="365"/>
      <c r="CQF274" s="365"/>
      <c r="CQG274" s="365"/>
      <c r="CQH274" s="365"/>
      <c r="CQI274" s="365"/>
      <c r="CQJ274" s="365"/>
      <c r="CQK274" s="365"/>
      <c r="CQL274" s="365"/>
      <c r="CQM274" s="365"/>
      <c r="CQN274" s="365"/>
      <c r="CQO274" s="365"/>
      <c r="CQP274" s="365"/>
      <c r="CQQ274" s="365"/>
      <c r="CQR274" s="365"/>
      <c r="CQS274" s="365"/>
      <c r="CQT274" s="365"/>
      <c r="CQU274" s="365"/>
      <c r="CQV274" s="365"/>
      <c r="CQW274" s="365"/>
      <c r="CQX274" s="365"/>
      <c r="CQY274" s="365"/>
      <c r="CQZ274" s="365"/>
      <c r="CRA274" s="365"/>
      <c r="CRB274" s="365"/>
      <c r="CRC274" s="365"/>
      <c r="CRD274" s="365"/>
      <c r="CRE274" s="365"/>
      <c r="CRF274" s="365"/>
      <c r="CRG274" s="365"/>
      <c r="CRH274" s="365"/>
      <c r="CRI274" s="365"/>
      <c r="CRJ274" s="365"/>
      <c r="CRK274" s="365"/>
      <c r="CRL274" s="365"/>
      <c r="CRM274" s="365"/>
      <c r="CRN274" s="365"/>
      <c r="CRO274" s="365"/>
      <c r="CRP274" s="365"/>
      <c r="CRQ274" s="365"/>
      <c r="CRR274" s="365"/>
      <c r="CRS274" s="365"/>
      <c r="CRT274" s="365"/>
      <c r="CRU274" s="365"/>
      <c r="CRV274" s="365"/>
      <c r="CRW274" s="365"/>
      <c r="CRX274" s="365"/>
      <c r="CRY274" s="365"/>
      <c r="CRZ274" s="365"/>
      <c r="CSA274" s="365"/>
      <c r="CSB274" s="365"/>
      <c r="CSC274" s="365"/>
      <c r="CSD274" s="365"/>
      <c r="CSE274" s="365"/>
      <c r="CSF274" s="365"/>
      <c r="CSG274" s="365"/>
      <c r="CSH274" s="365"/>
      <c r="CSI274" s="365"/>
      <c r="CSJ274" s="365"/>
      <c r="CSK274" s="365"/>
      <c r="CSL274" s="365"/>
      <c r="CSM274" s="365"/>
      <c r="CSN274" s="365"/>
      <c r="CSO274" s="365"/>
      <c r="CSP274" s="365"/>
      <c r="CSQ274" s="365"/>
      <c r="CSR274" s="365"/>
      <c r="CSS274" s="365"/>
      <c r="CST274" s="365"/>
      <c r="CSU274" s="365"/>
      <c r="CSV274" s="365"/>
      <c r="CSW274" s="365"/>
      <c r="CSX274" s="365"/>
      <c r="CSY274" s="365"/>
      <c r="CSZ274" s="365"/>
      <c r="CTA274" s="365"/>
      <c r="CTB274" s="365"/>
      <c r="CTC274" s="365"/>
      <c r="CTD274" s="365"/>
      <c r="CTE274" s="365"/>
      <c r="CTF274" s="365"/>
      <c r="CTG274" s="365"/>
      <c r="CTH274" s="365"/>
      <c r="CTI274" s="365"/>
      <c r="CTJ274" s="365"/>
      <c r="CTK274" s="365"/>
      <c r="CTL274" s="365"/>
      <c r="CTM274" s="365"/>
      <c r="CTN274" s="365"/>
      <c r="CTO274" s="365"/>
      <c r="CTP274" s="365"/>
      <c r="CTQ274" s="365"/>
      <c r="CTR274" s="365"/>
      <c r="CTS274" s="365"/>
      <c r="CTT274" s="365"/>
      <c r="CTU274" s="365"/>
      <c r="CTV274" s="365"/>
      <c r="CTW274" s="365"/>
      <c r="CTX274" s="365"/>
      <c r="CTY274" s="365"/>
      <c r="CTZ274" s="365"/>
      <c r="CUA274" s="365"/>
      <c r="CUB274" s="365"/>
      <c r="CUC274" s="365"/>
      <c r="CUD274" s="365"/>
      <c r="CUE274" s="365"/>
      <c r="CUF274" s="365"/>
      <c r="CUG274" s="365"/>
      <c r="CUH274" s="365"/>
      <c r="CUI274" s="365"/>
      <c r="CUJ274" s="365"/>
      <c r="CUK274" s="365"/>
      <c r="CUL274" s="365"/>
      <c r="CUM274" s="365"/>
      <c r="CUN274" s="365"/>
      <c r="CUO274" s="365"/>
      <c r="CUP274" s="365"/>
      <c r="CUQ274" s="365"/>
      <c r="CUR274" s="365"/>
      <c r="CUS274" s="365"/>
      <c r="CUT274" s="365"/>
      <c r="CUU274" s="365"/>
      <c r="CUV274" s="365"/>
      <c r="CUW274" s="365"/>
      <c r="CUX274" s="365"/>
      <c r="CUY274" s="365"/>
      <c r="CUZ274" s="365"/>
      <c r="CVA274" s="365"/>
      <c r="CVB274" s="365"/>
      <c r="CVC274" s="365"/>
      <c r="CVD274" s="365"/>
      <c r="CVE274" s="365"/>
      <c r="CVF274" s="365"/>
      <c r="CVG274" s="365"/>
      <c r="CVH274" s="365"/>
      <c r="CVI274" s="365"/>
      <c r="CVJ274" s="365"/>
      <c r="CVK274" s="365"/>
      <c r="CVL274" s="365"/>
      <c r="CVM274" s="365"/>
      <c r="CVN274" s="365"/>
      <c r="CVO274" s="365"/>
      <c r="CVP274" s="365"/>
      <c r="CVQ274" s="365"/>
      <c r="CVR274" s="365"/>
      <c r="CVS274" s="365"/>
      <c r="CVT274" s="365"/>
      <c r="CVU274" s="365"/>
      <c r="CVV274" s="365"/>
      <c r="CVW274" s="365"/>
      <c r="CVX274" s="365"/>
      <c r="CVY274" s="365"/>
      <c r="CVZ274" s="365"/>
      <c r="CWA274" s="365"/>
      <c r="CWB274" s="365"/>
      <c r="CWC274" s="365"/>
      <c r="CWD274" s="365"/>
      <c r="CWE274" s="365"/>
      <c r="CWF274" s="365"/>
      <c r="CWG274" s="365"/>
      <c r="CWH274" s="365"/>
      <c r="CWI274" s="365"/>
      <c r="CWJ274" s="365"/>
      <c r="CWK274" s="365"/>
      <c r="CWL274" s="365"/>
      <c r="CWM274" s="365"/>
      <c r="CWN274" s="365"/>
      <c r="CWO274" s="365"/>
      <c r="CWP274" s="365"/>
      <c r="CWQ274" s="365"/>
      <c r="CWR274" s="365"/>
      <c r="CWS274" s="365"/>
      <c r="CWT274" s="365"/>
      <c r="CWU274" s="365"/>
      <c r="CWV274" s="365"/>
      <c r="CWW274" s="365"/>
      <c r="CWX274" s="365"/>
      <c r="CWY274" s="365"/>
      <c r="CWZ274" s="365"/>
      <c r="CXA274" s="365"/>
      <c r="CXB274" s="365"/>
      <c r="CXC274" s="365"/>
      <c r="CXD274" s="365"/>
      <c r="CXE274" s="365"/>
      <c r="CXF274" s="365"/>
      <c r="CXG274" s="365"/>
      <c r="CXH274" s="365"/>
      <c r="CXI274" s="365"/>
      <c r="CXJ274" s="365"/>
      <c r="CXK274" s="365"/>
      <c r="CXL274" s="365"/>
      <c r="CXM274" s="365"/>
      <c r="CXN274" s="365"/>
      <c r="CXO274" s="365"/>
      <c r="CXP274" s="365"/>
      <c r="CXQ274" s="365"/>
      <c r="CXR274" s="365"/>
      <c r="CXS274" s="365"/>
      <c r="CXT274" s="365"/>
      <c r="CXU274" s="365"/>
      <c r="CXV274" s="365"/>
      <c r="CXW274" s="365"/>
      <c r="CXX274" s="365"/>
      <c r="CXY274" s="365"/>
      <c r="CXZ274" s="365"/>
      <c r="CYA274" s="365"/>
      <c r="CYB274" s="365"/>
      <c r="CYC274" s="365"/>
      <c r="CYD274" s="365"/>
      <c r="CYE274" s="365"/>
      <c r="CYF274" s="365"/>
      <c r="CYG274" s="365"/>
      <c r="CYH274" s="365"/>
      <c r="CYI274" s="365"/>
      <c r="CYJ274" s="365"/>
      <c r="CYK274" s="365"/>
      <c r="CYL274" s="365"/>
      <c r="CYM274" s="365"/>
      <c r="CYN274" s="365"/>
      <c r="CYO274" s="365"/>
      <c r="CYP274" s="365"/>
      <c r="CYQ274" s="365"/>
      <c r="CYR274" s="365"/>
      <c r="CYS274" s="365"/>
      <c r="CYT274" s="365"/>
      <c r="CYU274" s="365"/>
      <c r="CYV274" s="365"/>
      <c r="CYW274" s="365"/>
      <c r="CYX274" s="365"/>
      <c r="CYY274" s="365"/>
      <c r="CYZ274" s="365"/>
      <c r="CZA274" s="365"/>
      <c r="CZB274" s="365"/>
      <c r="CZC274" s="365"/>
      <c r="CZD274" s="365"/>
      <c r="CZE274" s="365"/>
      <c r="CZF274" s="365"/>
      <c r="CZG274" s="365"/>
      <c r="CZH274" s="365"/>
      <c r="CZI274" s="365"/>
      <c r="CZJ274" s="365"/>
      <c r="CZK274" s="365"/>
      <c r="CZL274" s="365"/>
      <c r="CZM274" s="365"/>
      <c r="CZN274" s="365"/>
      <c r="CZO274" s="365"/>
      <c r="CZP274" s="365"/>
      <c r="CZQ274" s="365"/>
      <c r="CZR274" s="365"/>
      <c r="CZS274" s="365"/>
      <c r="CZT274" s="365"/>
      <c r="CZU274" s="365"/>
      <c r="CZV274" s="365"/>
      <c r="CZW274" s="365"/>
      <c r="CZX274" s="365"/>
      <c r="CZY274" s="365"/>
      <c r="CZZ274" s="365"/>
      <c r="DAA274" s="365"/>
      <c r="DAB274" s="365"/>
      <c r="DAC274" s="365"/>
      <c r="DAD274" s="365"/>
      <c r="DAE274" s="365"/>
      <c r="DAF274" s="365"/>
      <c r="DAG274" s="365"/>
      <c r="DAH274" s="365"/>
      <c r="DAI274" s="365"/>
      <c r="DAJ274" s="365"/>
      <c r="DAK274" s="365"/>
      <c r="DAL274" s="365"/>
      <c r="DAM274" s="365"/>
      <c r="DAN274" s="365"/>
      <c r="DAO274" s="365"/>
      <c r="DAP274" s="365"/>
      <c r="DAQ274" s="365"/>
      <c r="DAR274" s="365"/>
      <c r="DAS274" s="365"/>
      <c r="DAT274" s="365"/>
      <c r="DAU274" s="365"/>
      <c r="DAV274" s="365"/>
      <c r="DAW274" s="365"/>
      <c r="DAX274" s="365"/>
      <c r="DAY274" s="365"/>
      <c r="DAZ274" s="365"/>
      <c r="DBA274" s="365"/>
      <c r="DBB274" s="365"/>
      <c r="DBC274" s="365"/>
      <c r="DBD274" s="365"/>
      <c r="DBE274" s="365"/>
      <c r="DBF274" s="365"/>
      <c r="DBG274" s="365"/>
      <c r="DBH274" s="365"/>
      <c r="DBI274" s="365"/>
      <c r="DBJ274" s="365"/>
      <c r="DBK274" s="365"/>
      <c r="DBL274" s="365"/>
      <c r="DBM274" s="365"/>
      <c r="DBN274" s="365"/>
      <c r="DBO274" s="365"/>
      <c r="DBP274" s="365"/>
      <c r="DBQ274" s="365"/>
      <c r="DBR274" s="365"/>
      <c r="DBS274" s="365"/>
      <c r="DBT274" s="365"/>
      <c r="DBU274" s="365"/>
      <c r="DBV274" s="365"/>
      <c r="DBW274" s="365"/>
      <c r="DBX274" s="365"/>
      <c r="DBY274" s="365"/>
      <c r="DBZ274" s="365"/>
      <c r="DCA274" s="365"/>
      <c r="DCB274" s="365"/>
      <c r="DCC274" s="365"/>
      <c r="DCD274" s="365"/>
      <c r="DCE274" s="365"/>
      <c r="DCF274" s="365"/>
      <c r="DCG274" s="365"/>
      <c r="DCH274" s="365"/>
      <c r="DCI274" s="365"/>
      <c r="DCJ274" s="365"/>
      <c r="DCK274" s="365"/>
      <c r="DCL274" s="365"/>
      <c r="DCM274" s="365"/>
      <c r="DCN274" s="365"/>
      <c r="DCO274" s="365"/>
      <c r="DCP274" s="365"/>
      <c r="DCQ274" s="365"/>
      <c r="DCR274" s="365"/>
      <c r="DCS274" s="365"/>
      <c r="DCT274" s="365"/>
      <c r="DCU274" s="365"/>
      <c r="DCV274" s="365"/>
      <c r="DCW274" s="365"/>
      <c r="DCX274" s="365"/>
      <c r="DCY274" s="365"/>
      <c r="DCZ274" s="365"/>
      <c r="DDA274" s="365"/>
      <c r="DDB274" s="365"/>
      <c r="DDC274" s="365"/>
      <c r="DDD274" s="365"/>
      <c r="DDE274" s="365"/>
      <c r="DDF274" s="365"/>
      <c r="DDG274" s="365"/>
      <c r="DDH274" s="365"/>
      <c r="DDI274" s="365"/>
      <c r="DDJ274" s="365"/>
      <c r="DDK274" s="365"/>
      <c r="DDL274" s="365"/>
      <c r="DDM274" s="365"/>
      <c r="DDN274" s="365"/>
      <c r="DDO274" s="365"/>
      <c r="DDP274" s="365"/>
      <c r="DDQ274" s="365"/>
      <c r="DDR274" s="365"/>
      <c r="DDS274" s="365"/>
      <c r="DDT274" s="365"/>
      <c r="DDU274" s="365"/>
      <c r="DDV274" s="365"/>
      <c r="DDW274" s="365"/>
      <c r="DDX274" s="365"/>
      <c r="DDY274" s="365"/>
      <c r="DDZ274" s="365"/>
      <c r="DEA274" s="365"/>
      <c r="DEB274" s="365"/>
      <c r="DEC274" s="365"/>
      <c r="DED274" s="365"/>
      <c r="DEE274" s="365"/>
      <c r="DEF274" s="365"/>
      <c r="DEG274" s="365"/>
      <c r="DEH274" s="365"/>
      <c r="DEI274" s="365"/>
      <c r="DEJ274" s="365"/>
      <c r="DEK274" s="365"/>
      <c r="DEL274" s="365"/>
      <c r="DEM274" s="365"/>
      <c r="DEN274" s="365"/>
      <c r="DEO274" s="365"/>
      <c r="DEP274" s="365"/>
      <c r="DEQ274" s="365"/>
      <c r="DER274" s="365"/>
      <c r="DES274" s="365"/>
      <c r="DET274" s="365"/>
      <c r="DEU274" s="365"/>
      <c r="DEV274" s="365"/>
      <c r="DEW274" s="365"/>
      <c r="DEX274" s="365"/>
      <c r="DEY274" s="365"/>
      <c r="DEZ274" s="365"/>
      <c r="DFA274" s="365"/>
      <c r="DFB274" s="365"/>
      <c r="DFC274" s="365"/>
      <c r="DFD274" s="365"/>
      <c r="DFE274" s="365"/>
      <c r="DFF274" s="365"/>
      <c r="DFG274" s="365"/>
      <c r="DFH274" s="365"/>
      <c r="DFI274" s="365"/>
      <c r="DFJ274" s="365"/>
      <c r="DFK274" s="365"/>
      <c r="DFL274" s="365"/>
      <c r="DFM274" s="365"/>
      <c r="DFN274" s="365"/>
      <c r="DFO274" s="365"/>
      <c r="DFP274" s="365"/>
      <c r="DFQ274" s="365"/>
      <c r="DFR274" s="365"/>
      <c r="DFS274" s="365"/>
      <c r="DFT274" s="365"/>
      <c r="DFU274" s="365"/>
      <c r="DFV274" s="365"/>
      <c r="DFW274" s="365"/>
      <c r="DFX274" s="365"/>
      <c r="DFY274" s="365"/>
      <c r="DFZ274" s="365"/>
      <c r="DGA274" s="365"/>
      <c r="DGB274" s="365"/>
      <c r="DGC274" s="365"/>
      <c r="DGD274" s="365"/>
      <c r="DGE274" s="365"/>
      <c r="DGF274" s="365"/>
      <c r="DGG274" s="365"/>
      <c r="DGH274" s="365"/>
      <c r="DGI274" s="365"/>
      <c r="DGJ274" s="365"/>
      <c r="DGK274" s="365"/>
      <c r="DGL274" s="365"/>
      <c r="DGM274" s="365"/>
      <c r="DGN274" s="365"/>
      <c r="DGO274" s="365"/>
      <c r="DGP274" s="365"/>
      <c r="DGQ274" s="365"/>
      <c r="DGR274" s="365"/>
      <c r="DGS274" s="365"/>
      <c r="DGT274" s="365"/>
      <c r="DGU274" s="365"/>
      <c r="DGV274" s="365"/>
      <c r="DGW274" s="365"/>
      <c r="DGX274" s="365"/>
      <c r="DGY274" s="365"/>
      <c r="DGZ274" s="365"/>
      <c r="DHA274" s="365"/>
      <c r="DHB274" s="365"/>
      <c r="DHC274" s="365"/>
      <c r="DHD274" s="365"/>
      <c r="DHE274" s="365"/>
      <c r="DHF274" s="365"/>
      <c r="DHG274" s="365"/>
      <c r="DHH274" s="365"/>
      <c r="DHI274" s="365"/>
      <c r="DHJ274" s="365"/>
      <c r="DHK274" s="365"/>
      <c r="DHL274" s="365"/>
      <c r="DHM274" s="365"/>
      <c r="DHN274" s="365"/>
      <c r="DHO274" s="365"/>
      <c r="DHP274" s="365"/>
      <c r="DHQ274" s="365"/>
      <c r="DHR274" s="365"/>
      <c r="DHS274" s="365"/>
      <c r="DHT274" s="365"/>
      <c r="DHU274" s="365"/>
      <c r="DHV274" s="365"/>
      <c r="DHW274" s="365"/>
      <c r="DHX274" s="365"/>
      <c r="DHY274" s="365"/>
      <c r="DHZ274" s="365"/>
      <c r="DIA274" s="365"/>
      <c r="DIB274" s="365"/>
      <c r="DIC274" s="365"/>
      <c r="DID274" s="365"/>
      <c r="DIE274" s="365"/>
      <c r="DIF274" s="365"/>
      <c r="DIG274" s="365"/>
      <c r="DIH274" s="365"/>
      <c r="DII274" s="365"/>
      <c r="DIJ274" s="365"/>
      <c r="DIK274" s="365"/>
      <c r="DIL274" s="365"/>
      <c r="DIM274" s="365"/>
      <c r="DIN274" s="365"/>
      <c r="DIO274" s="365"/>
      <c r="DIP274" s="365"/>
      <c r="DIQ274" s="365"/>
      <c r="DIR274" s="365"/>
      <c r="DIS274" s="365"/>
      <c r="DIT274" s="365"/>
      <c r="DIU274" s="365"/>
      <c r="DIV274" s="365"/>
      <c r="DIW274" s="365"/>
      <c r="DIX274" s="365"/>
      <c r="DIY274" s="365"/>
      <c r="DIZ274" s="365"/>
      <c r="DJA274" s="365"/>
      <c r="DJB274" s="365"/>
      <c r="DJC274" s="365"/>
      <c r="DJD274" s="365"/>
      <c r="DJE274" s="365"/>
      <c r="DJF274" s="365"/>
      <c r="DJG274" s="365"/>
      <c r="DJH274" s="365"/>
      <c r="DJI274" s="365"/>
      <c r="DJJ274" s="365"/>
      <c r="DJK274" s="365"/>
      <c r="DJL274" s="365"/>
      <c r="DJM274" s="365"/>
      <c r="DJN274" s="365"/>
      <c r="DJO274" s="365"/>
      <c r="DJP274" s="365"/>
      <c r="DJQ274" s="365"/>
      <c r="DJR274" s="365"/>
      <c r="DJS274" s="365"/>
      <c r="DJT274" s="365"/>
      <c r="DJU274" s="365"/>
      <c r="DJV274" s="365"/>
      <c r="DJW274" s="365"/>
      <c r="DJX274" s="365"/>
      <c r="DJY274" s="365"/>
      <c r="DJZ274" s="365"/>
      <c r="DKA274" s="365"/>
      <c r="DKB274" s="365"/>
      <c r="DKC274" s="365"/>
      <c r="DKD274" s="365"/>
      <c r="DKE274" s="365"/>
      <c r="DKF274" s="365"/>
      <c r="DKG274" s="365"/>
      <c r="DKH274" s="365"/>
      <c r="DKI274" s="365"/>
      <c r="DKJ274" s="365"/>
      <c r="DKK274" s="365"/>
      <c r="DKL274" s="365"/>
      <c r="DKM274" s="365"/>
      <c r="DKN274" s="365"/>
      <c r="DKO274" s="365"/>
      <c r="DKP274" s="365"/>
      <c r="DKQ274" s="365"/>
      <c r="DKR274" s="365"/>
      <c r="DKS274" s="365"/>
      <c r="DKT274" s="365"/>
      <c r="DKU274" s="365"/>
      <c r="DKV274" s="365"/>
      <c r="DKW274" s="365"/>
      <c r="DKX274" s="365"/>
      <c r="DKY274" s="365"/>
      <c r="DKZ274" s="365"/>
      <c r="DLA274" s="365"/>
      <c r="DLB274" s="365"/>
      <c r="DLC274" s="365"/>
      <c r="DLD274" s="365"/>
      <c r="DLE274" s="365"/>
      <c r="DLF274" s="365"/>
      <c r="DLG274" s="365"/>
      <c r="DLH274" s="365"/>
      <c r="DLI274" s="365"/>
      <c r="DLJ274" s="365"/>
      <c r="DLK274" s="365"/>
      <c r="DLL274" s="365"/>
      <c r="DLM274" s="365"/>
      <c r="DLN274" s="365"/>
      <c r="DLO274" s="365"/>
      <c r="DLP274" s="365"/>
      <c r="DLQ274" s="365"/>
      <c r="DLR274" s="365"/>
      <c r="DLS274" s="365"/>
      <c r="DLT274" s="365"/>
      <c r="DLU274" s="365"/>
      <c r="DLV274" s="365"/>
      <c r="DLW274" s="365"/>
      <c r="DLX274" s="365"/>
      <c r="DLY274" s="365"/>
      <c r="DLZ274" s="365"/>
      <c r="DMA274" s="365"/>
      <c r="DMB274" s="365"/>
      <c r="DMC274" s="365"/>
      <c r="DMD274" s="365"/>
      <c r="DME274" s="365"/>
      <c r="DMF274" s="365"/>
      <c r="DMG274" s="365"/>
      <c r="DMH274" s="365"/>
      <c r="DMI274" s="365"/>
      <c r="DMJ274" s="365"/>
      <c r="DMK274" s="365"/>
      <c r="DML274" s="365"/>
      <c r="DMM274" s="365"/>
      <c r="DMN274" s="365"/>
      <c r="DMO274" s="365"/>
      <c r="DMP274" s="365"/>
      <c r="DMQ274" s="365"/>
      <c r="DMR274" s="365"/>
      <c r="DMS274" s="365"/>
      <c r="DMT274" s="365"/>
      <c r="DMU274" s="365"/>
      <c r="DMV274" s="365"/>
      <c r="DMW274" s="365"/>
      <c r="DMX274" s="365"/>
      <c r="DMY274" s="365"/>
      <c r="DMZ274" s="365"/>
      <c r="DNA274" s="365"/>
      <c r="DNB274" s="365"/>
      <c r="DNC274" s="365"/>
      <c r="DND274" s="365"/>
      <c r="DNE274" s="365"/>
      <c r="DNF274" s="365"/>
      <c r="DNG274" s="365"/>
      <c r="DNH274" s="365"/>
      <c r="DNI274" s="365"/>
      <c r="DNJ274" s="365"/>
      <c r="DNK274" s="365"/>
      <c r="DNL274" s="365"/>
      <c r="DNM274" s="365"/>
      <c r="DNN274" s="365"/>
      <c r="DNO274" s="365"/>
      <c r="DNP274" s="365"/>
      <c r="DNQ274" s="365"/>
      <c r="DNR274" s="365"/>
      <c r="DNS274" s="365"/>
      <c r="DNT274" s="365"/>
      <c r="DNU274" s="365"/>
      <c r="DNV274" s="365"/>
      <c r="DNW274" s="365"/>
      <c r="DNX274" s="365"/>
      <c r="DNY274" s="365"/>
      <c r="DNZ274" s="365"/>
      <c r="DOA274" s="365"/>
      <c r="DOB274" s="365"/>
      <c r="DOC274" s="365"/>
      <c r="DOD274" s="365"/>
      <c r="DOE274" s="365"/>
      <c r="DOF274" s="365"/>
      <c r="DOG274" s="365"/>
      <c r="DOH274" s="365"/>
      <c r="DOI274" s="365"/>
      <c r="DOJ274" s="365"/>
      <c r="DOK274" s="365"/>
      <c r="DOL274" s="365"/>
      <c r="DOM274" s="365"/>
      <c r="DON274" s="365"/>
      <c r="DOO274" s="365"/>
      <c r="DOP274" s="365"/>
      <c r="DOQ274" s="365"/>
      <c r="DOR274" s="365"/>
      <c r="DOS274" s="365"/>
      <c r="DOT274" s="365"/>
      <c r="DOU274" s="365"/>
      <c r="DOV274" s="365"/>
      <c r="DOW274" s="365"/>
      <c r="DOX274" s="365"/>
      <c r="DOY274" s="365"/>
      <c r="DOZ274" s="365"/>
      <c r="DPA274" s="365"/>
      <c r="DPB274" s="365"/>
      <c r="DPC274" s="365"/>
      <c r="DPD274" s="365"/>
      <c r="DPE274" s="365"/>
      <c r="DPF274" s="365"/>
      <c r="DPG274" s="365"/>
      <c r="DPH274" s="365"/>
      <c r="DPI274" s="365"/>
      <c r="DPJ274" s="365"/>
      <c r="DPK274" s="365"/>
      <c r="DPL274" s="365"/>
      <c r="DPM274" s="365"/>
      <c r="DPN274" s="365"/>
      <c r="DPO274" s="365"/>
      <c r="DPP274" s="365"/>
      <c r="DPQ274" s="365"/>
      <c r="DPR274" s="365"/>
      <c r="DPS274" s="365"/>
      <c r="DPT274" s="365"/>
      <c r="DPU274" s="365"/>
      <c r="DPV274" s="365"/>
      <c r="DPW274" s="365"/>
      <c r="DPX274" s="365"/>
      <c r="DPY274" s="365"/>
      <c r="DPZ274" s="365"/>
      <c r="DQA274" s="365"/>
      <c r="DQB274" s="365"/>
      <c r="DQC274" s="365"/>
      <c r="DQD274" s="365"/>
      <c r="DQE274" s="365"/>
      <c r="DQF274" s="365"/>
      <c r="DQG274" s="365"/>
      <c r="DQH274" s="365"/>
      <c r="DQI274" s="365"/>
      <c r="DQJ274" s="365"/>
      <c r="DQK274" s="365"/>
      <c r="DQL274" s="365"/>
      <c r="DQM274" s="365"/>
      <c r="DQN274" s="365"/>
      <c r="DQO274" s="365"/>
      <c r="DQP274" s="365"/>
      <c r="DQQ274" s="365"/>
      <c r="DQR274" s="365"/>
      <c r="DQS274" s="365"/>
      <c r="DQT274" s="365"/>
      <c r="DQU274" s="365"/>
      <c r="DQV274" s="365"/>
      <c r="DQW274" s="365"/>
      <c r="DQX274" s="365"/>
      <c r="DQY274" s="365"/>
      <c r="DQZ274" s="365"/>
      <c r="DRA274" s="365"/>
      <c r="DRB274" s="365"/>
      <c r="DRC274" s="365"/>
      <c r="DRD274" s="365"/>
      <c r="DRE274" s="365"/>
      <c r="DRF274" s="365"/>
      <c r="DRG274" s="365"/>
      <c r="DRH274" s="365"/>
      <c r="DRI274" s="365"/>
      <c r="DRJ274" s="365"/>
      <c r="DRK274" s="365"/>
      <c r="DRL274" s="365"/>
      <c r="DRM274" s="365"/>
      <c r="DRN274" s="365"/>
      <c r="DRO274" s="365"/>
      <c r="DRP274" s="365"/>
      <c r="DRQ274" s="365"/>
      <c r="DRR274" s="365"/>
      <c r="DRS274" s="365"/>
      <c r="DRT274" s="365"/>
      <c r="DRU274" s="365"/>
      <c r="DRV274" s="365"/>
      <c r="DRW274" s="365"/>
      <c r="DRX274" s="365"/>
      <c r="DRY274" s="365"/>
      <c r="DRZ274" s="365"/>
      <c r="DSA274" s="365"/>
      <c r="DSB274" s="365"/>
      <c r="DSC274" s="365"/>
      <c r="DSD274" s="365"/>
      <c r="DSE274" s="365"/>
      <c r="DSF274" s="365"/>
      <c r="DSG274" s="365"/>
      <c r="DSH274" s="365"/>
      <c r="DSI274" s="365"/>
      <c r="DSJ274" s="365"/>
      <c r="DSK274" s="365"/>
      <c r="DSL274" s="365"/>
      <c r="DSM274" s="365"/>
      <c r="DSN274" s="365"/>
      <c r="DSO274" s="365"/>
      <c r="DSP274" s="365"/>
      <c r="DSQ274" s="365"/>
      <c r="DSR274" s="365"/>
      <c r="DSS274" s="365"/>
      <c r="DST274" s="365"/>
      <c r="DSU274" s="365"/>
      <c r="DSV274" s="365"/>
      <c r="DSW274" s="365"/>
      <c r="DSX274" s="365"/>
      <c r="DSY274" s="365"/>
      <c r="DSZ274" s="365"/>
      <c r="DTA274" s="365"/>
      <c r="DTB274" s="365"/>
      <c r="DTC274" s="365"/>
      <c r="DTD274" s="365"/>
      <c r="DTE274" s="365"/>
      <c r="DTF274" s="365"/>
      <c r="DTG274" s="365"/>
      <c r="DTH274" s="365"/>
      <c r="DTI274" s="365"/>
      <c r="DTJ274" s="365"/>
      <c r="DTK274" s="365"/>
      <c r="DTL274" s="365"/>
      <c r="DTM274" s="365"/>
      <c r="DTN274" s="365"/>
      <c r="DTO274" s="365"/>
      <c r="DTP274" s="365"/>
      <c r="DTQ274" s="365"/>
      <c r="DTR274" s="365"/>
      <c r="DTS274" s="365"/>
      <c r="DTT274" s="365"/>
      <c r="DTU274" s="365"/>
      <c r="DTV274" s="365"/>
      <c r="DTW274" s="365"/>
      <c r="DTX274" s="365"/>
      <c r="DTY274" s="365"/>
      <c r="DTZ274" s="365"/>
      <c r="DUA274" s="365"/>
      <c r="DUB274" s="365"/>
      <c r="DUC274" s="365"/>
      <c r="DUD274" s="365"/>
      <c r="DUE274" s="365"/>
      <c r="DUF274" s="365"/>
      <c r="DUG274" s="365"/>
      <c r="DUH274" s="365"/>
      <c r="DUI274" s="365"/>
      <c r="DUJ274" s="365"/>
      <c r="DUK274" s="365"/>
      <c r="DUL274" s="365"/>
      <c r="DUM274" s="365"/>
      <c r="DUN274" s="365"/>
      <c r="DUO274" s="365"/>
      <c r="DUP274" s="365"/>
      <c r="DUQ274" s="365"/>
      <c r="DUR274" s="365"/>
      <c r="DUS274" s="365"/>
      <c r="DUT274" s="365"/>
      <c r="DUU274" s="365"/>
      <c r="DUV274" s="365"/>
      <c r="DUW274" s="365"/>
      <c r="DUX274" s="365"/>
      <c r="DUY274" s="365"/>
      <c r="DUZ274" s="365"/>
      <c r="DVA274" s="365"/>
      <c r="DVB274" s="365"/>
      <c r="DVC274" s="365"/>
      <c r="DVD274" s="365"/>
      <c r="DVE274" s="365"/>
      <c r="DVF274" s="365"/>
      <c r="DVG274" s="365"/>
      <c r="DVH274" s="365"/>
      <c r="DVI274" s="365"/>
      <c r="DVJ274" s="365"/>
      <c r="DVK274" s="365"/>
      <c r="DVL274" s="365"/>
      <c r="DVM274" s="365"/>
      <c r="DVN274" s="365"/>
      <c r="DVO274" s="365"/>
      <c r="DVP274" s="365"/>
      <c r="DVQ274" s="365"/>
      <c r="DVR274" s="365"/>
      <c r="DVS274" s="365"/>
      <c r="DVT274" s="365"/>
      <c r="DVU274" s="365"/>
      <c r="DVV274" s="365"/>
      <c r="DVW274" s="365"/>
      <c r="DVX274" s="365"/>
      <c r="DVY274" s="365"/>
      <c r="DVZ274" s="365"/>
      <c r="DWA274" s="365"/>
      <c r="DWB274" s="365"/>
      <c r="DWC274" s="365"/>
      <c r="DWD274" s="365"/>
      <c r="DWE274" s="365"/>
      <c r="DWF274" s="365"/>
      <c r="DWG274" s="365"/>
      <c r="DWH274" s="365"/>
      <c r="DWI274" s="365"/>
      <c r="DWJ274" s="365"/>
      <c r="DWK274" s="365"/>
      <c r="DWL274" s="365"/>
      <c r="DWM274" s="365"/>
      <c r="DWN274" s="365"/>
      <c r="DWO274" s="365"/>
      <c r="DWP274" s="365"/>
      <c r="DWQ274" s="365"/>
      <c r="DWR274" s="365"/>
      <c r="DWS274" s="365"/>
      <c r="DWT274" s="365"/>
      <c r="DWU274" s="365"/>
      <c r="DWV274" s="365"/>
      <c r="DWW274" s="365"/>
      <c r="DWX274" s="365"/>
      <c r="DWY274" s="365"/>
      <c r="DWZ274" s="365"/>
      <c r="DXA274" s="365"/>
      <c r="DXB274" s="365"/>
      <c r="DXC274" s="365"/>
      <c r="DXD274" s="365"/>
      <c r="DXE274" s="365"/>
      <c r="DXF274" s="365"/>
      <c r="DXG274" s="365"/>
      <c r="DXH274" s="365"/>
      <c r="DXI274" s="365"/>
      <c r="DXJ274" s="365"/>
      <c r="DXK274" s="365"/>
      <c r="DXL274" s="365"/>
      <c r="DXM274" s="365"/>
      <c r="DXN274" s="365"/>
      <c r="DXO274" s="365"/>
      <c r="DXP274" s="365"/>
      <c r="DXQ274" s="365"/>
      <c r="DXR274" s="365"/>
      <c r="DXS274" s="365"/>
      <c r="DXT274" s="365"/>
      <c r="DXU274" s="365"/>
      <c r="DXV274" s="365"/>
      <c r="DXW274" s="365"/>
      <c r="DXX274" s="365"/>
      <c r="DXY274" s="365"/>
      <c r="DXZ274" s="365"/>
      <c r="DYA274" s="365"/>
      <c r="DYB274" s="365"/>
      <c r="DYC274" s="365"/>
      <c r="DYD274" s="365"/>
      <c r="DYE274" s="365"/>
      <c r="DYF274" s="365"/>
      <c r="DYG274" s="365"/>
      <c r="DYH274" s="365"/>
      <c r="DYI274" s="365"/>
      <c r="DYJ274" s="365"/>
      <c r="DYK274" s="365"/>
      <c r="DYL274" s="365"/>
      <c r="DYM274" s="365"/>
      <c r="DYN274" s="365"/>
      <c r="DYO274" s="365"/>
      <c r="DYP274" s="365"/>
      <c r="DYQ274" s="365"/>
      <c r="DYR274" s="365"/>
      <c r="DYS274" s="365"/>
      <c r="DYT274" s="365"/>
      <c r="DYU274" s="365"/>
      <c r="DYV274" s="365"/>
      <c r="DYW274" s="365"/>
      <c r="DYX274" s="365"/>
      <c r="DYY274" s="365"/>
      <c r="DYZ274" s="365"/>
      <c r="DZA274" s="365"/>
      <c r="DZB274" s="365"/>
      <c r="DZC274" s="365"/>
      <c r="DZD274" s="365"/>
      <c r="DZE274" s="365"/>
      <c r="DZF274" s="365"/>
      <c r="DZG274" s="365"/>
      <c r="DZH274" s="365"/>
      <c r="DZI274" s="365"/>
      <c r="DZJ274" s="365"/>
      <c r="DZK274" s="365"/>
      <c r="DZL274" s="365"/>
      <c r="DZM274" s="365"/>
      <c r="DZN274" s="365"/>
      <c r="DZO274" s="365"/>
      <c r="DZP274" s="365"/>
      <c r="DZQ274" s="365"/>
      <c r="DZR274" s="365"/>
      <c r="DZS274" s="365"/>
      <c r="DZT274" s="365"/>
      <c r="DZU274" s="365"/>
      <c r="DZV274" s="365"/>
      <c r="DZW274" s="365"/>
      <c r="DZX274" s="365"/>
      <c r="DZY274" s="365"/>
      <c r="DZZ274" s="365"/>
      <c r="EAA274" s="365"/>
      <c r="EAB274" s="365"/>
      <c r="EAC274" s="365"/>
      <c r="EAD274" s="365"/>
      <c r="EAE274" s="365"/>
      <c r="EAF274" s="365"/>
      <c r="EAG274" s="365"/>
      <c r="EAH274" s="365"/>
      <c r="EAI274" s="365"/>
      <c r="EAJ274" s="365"/>
      <c r="EAK274" s="365"/>
      <c r="EAL274" s="365"/>
      <c r="EAM274" s="365"/>
      <c r="EAN274" s="365"/>
      <c r="EAO274" s="365"/>
      <c r="EAP274" s="365"/>
      <c r="EAQ274" s="365"/>
      <c r="EAR274" s="365"/>
      <c r="EAS274" s="365"/>
      <c r="EAT274" s="365"/>
      <c r="EAU274" s="365"/>
      <c r="EAV274" s="365"/>
      <c r="EAW274" s="365"/>
      <c r="EAX274" s="365"/>
      <c r="EAY274" s="365"/>
      <c r="EAZ274" s="365"/>
      <c r="EBA274" s="365"/>
      <c r="EBB274" s="365"/>
      <c r="EBC274" s="365"/>
      <c r="EBD274" s="365"/>
      <c r="EBE274" s="365"/>
      <c r="EBF274" s="365"/>
      <c r="EBG274" s="365"/>
      <c r="EBH274" s="365"/>
      <c r="EBI274" s="365"/>
      <c r="EBJ274" s="365"/>
      <c r="EBK274" s="365"/>
      <c r="EBL274" s="365"/>
      <c r="EBM274" s="365"/>
      <c r="EBN274" s="365"/>
      <c r="EBO274" s="365"/>
      <c r="EBP274" s="365"/>
      <c r="EBQ274" s="365"/>
      <c r="EBR274" s="365"/>
      <c r="EBS274" s="365"/>
      <c r="EBT274" s="365"/>
      <c r="EBU274" s="365"/>
      <c r="EBV274" s="365"/>
      <c r="EBW274" s="365"/>
      <c r="EBX274" s="365"/>
      <c r="EBY274" s="365"/>
      <c r="EBZ274" s="365"/>
      <c r="ECA274" s="365"/>
      <c r="ECB274" s="365"/>
      <c r="ECC274" s="365"/>
      <c r="ECD274" s="365"/>
      <c r="ECE274" s="365"/>
      <c r="ECF274" s="365"/>
      <c r="ECG274" s="365"/>
      <c r="ECH274" s="365"/>
      <c r="ECI274" s="365"/>
      <c r="ECJ274" s="365"/>
      <c r="ECK274" s="365"/>
      <c r="ECL274" s="365"/>
      <c r="ECM274" s="365"/>
      <c r="ECN274" s="365"/>
      <c r="ECO274" s="365"/>
      <c r="ECP274" s="365"/>
      <c r="ECQ274" s="365"/>
      <c r="ECR274" s="365"/>
      <c r="ECS274" s="365"/>
      <c r="ECT274" s="365"/>
      <c r="ECU274" s="365"/>
      <c r="ECV274" s="365"/>
      <c r="ECW274" s="365"/>
      <c r="ECX274" s="365"/>
      <c r="ECY274" s="365"/>
      <c r="ECZ274" s="365"/>
      <c r="EDA274" s="365"/>
      <c r="EDB274" s="365"/>
      <c r="EDC274" s="365"/>
      <c r="EDD274" s="365"/>
      <c r="EDE274" s="365"/>
      <c r="EDF274" s="365"/>
      <c r="EDG274" s="365"/>
      <c r="EDH274" s="365"/>
      <c r="EDI274" s="365"/>
      <c r="EDJ274" s="365"/>
      <c r="EDK274" s="365"/>
      <c r="EDL274" s="365"/>
      <c r="EDM274" s="365"/>
      <c r="EDN274" s="365"/>
      <c r="EDO274" s="365"/>
      <c r="EDP274" s="365"/>
      <c r="EDQ274" s="365"/>
      <c r="EDR274" s="365"/>
      <c r="EDS274" s="365"/>
      <c r="EDT274" s="365"/>
      <c r="EDU274" s="365"/>
      <c r="EDV274" s="365"/>
      <c r="EDW274" s="365"/>
      <c r="EDX274" s="365"/>
      <c r="EDY274" s="365"/>
      <c r="EDZ274" s="365"/>
      <c r="EEA274" s="365"/>
      <c r="EEB274" s="365"/>
      <c r="EEC274" s="365"/>
      <c r="EED274" s="365"/>
      <c r="EEE274" s="365"/>
      <c r="EEF274" s="365"/>
      <c r="EEG274" s="365"/>
      <c r="EEH274" s="365"/>
      <c r="EEI274" s="365"/>
      <c r="EEJ274" s="365"/>
      <c r="EEK274" s="365"/>
      <c r="EEL274" s="365"/>
      <c r="EEM274" s="365"/>
      <c r="EEN274" s="365"/>
      <c r="EEO274" s="365"/>
      <c r="EEP274" s="365"/>
      <c r="EEQ274" s="365"/>
      <c r="EER274" s="365"/>
      <c r="EES274" s="365"/>
      <c r="EET274" s="365"/>
      <c r="EEU274" s="365"/>
      <c r="EEV274" s="365"/>
      <c r="EEW274" s="365"/>
      <c r="EEX274" s="365"/>
      <c r="EEY274" s="365"/>
      <c r="EEZ274" s="365"/>
      <c r="EFA274" s="365"/>
      <c r="EFB274" s="365"/>
      <c r="EFC274" s="365"/>
      <c r="EFD274" s="365"/>
      <c r="EFE274" s="365"/>
      <c r="EFF274" s="365"/>
      <c r="EFG274" s="365"/>
      <c r="EFH274" s="365"/>
      <c r="EFI274" s="365"/>
      <c r="EFJ274" s="365"/>
      <c r="EFK274" s="365"/>
      <c r="EFL274" s="365"/>
      <c r="EFM274" s="365"/>
      <c r="EFN274" s="365"/>
      <c r="EFO274" s="365"/>
      <c r="EFP274" s="365"/>
      <c r="EFQ274" s="365"/>
      <c r="EFR274" s="365"/>
      <c r="EFS274" s="365"/>
      <c r="EFT274" s="365"/>
      <c r="EFU274" s="365"/>
      <c r="EFV274" s="365"/>
      <c r="EFW274" s="365"/>
      <c r="EFX274" s="365"/>
      <c r="EFY274" s="365"/>
      <c r="EFZ274" s="365"/>
      <c r="EGA274" s="365"/>
      <c r="EGB274" s="365"/>
      <c r="EGC274" s="365"/>
      <c r="EGD274" s="365"/>
      <c r="EGE274" s="365"/>
      <c r="EGF274" s="365"/>
      <c r="EGG274" s="365"/>
      <c r="EGH274" s="365"/>
      <c r="EGI274" s="365"/>
      <c r="EGJ274" s="365"/>
      <c r="EGK274" s="365"/>
      <c r="EGL274" s="365"/>
      <c r="EGM274" s="365"/>
      <c r="EGN274" s="365"/>
      <c r="EGO274" s="365"/>
      <c r="EGP274" s="365"/>
      <c r="EGQ274" s="365"/>
      <c r="EGR274" s="365"/>
      <c r="EGS274" s="365"/>
      <c r="EGT274" s="365"/>
      <c r="EGU274" s="365"/>
      <c r="EGV274" s="365"/>
      <c r="EGW274" s="365"/>
      <c r="EGX274" s="365"/>
      <c r="EGY274" s="365"/>
      <c r="EGZ274" s="365"/>
      <c r="EHA274" s="365"/>
      <c r="EHB274" s="365"/>
      <c r="EHC274" s="365"/>
      <c r="EHD274" s="365"/>
      <c r="EHE274" s="365"/>
      <c r="EHF274" s="365"/>
      <c r="EHG274" s="365"/>
      <c r="EHH274" s="365"/>
      <c r="EHI274" s="365"/>
      <c r="EHJ274" s="365"/>
      <c r="EHK274" s="365"/>
      <c r="EHL274" s="365"/>
      <c r="EHM274" s="365"/>
      <c r="EHN274" s="365"/>
      <c r="EHO274" s="365"/>
      <c r="EHP274" s="365"/>
      <c r="EHQ274" s="365"/>
      <c r="EHR274" s="365"/>
      <c r="EHS274" s="365"/>
      <c r="EHT274" s="365"/>
      <c r="EHU274" s="365"/>
      <c r="EHV274" s="365"/>
      <c r="EHW274" s="365"/>
      <c r="EHX274" s="365"/>
      <c r="EHY274" s="365"/>
      <c r="EHZ274" s="365"/>
      <c r="EIA274" s="365"/>
      <c r="EIB274" s="365"/>
      <c r="EIC274" s="365"/>
      <c r="EID274" s="365"/>
      <c r="EIE274" s="365"/>
      <c r="EIF274" s="365"/>
      <c r="EIG274" s="365"/>
      <c r="EIH274" s="365"/>
      <c r="EII274" s="365"/>
      <c r="EIJ274" s="365"/>
      <c r="EIK274" s="365"/>
      <c r="EIL274" s="365"/>
      <c r="EIM274" s="365"/>
      <c r="EIN274" s="365"/>
      <c r="EIO274" s="365"/>
      <c r="EIP274" s="365"/>
      <c r="EIQ274" s="365"/>
      <c r="EIR274" s="365"/>
      <c r="EIS274" s="365"/>
      <c r="EIT274" s="365"/>
      <c r="EIU274" s="365"/>
      <c r="EIV274" s="365"/>
      <c r="EIW274" s="365"/>
      <c r="EIX274" s="365"/>
      <c r="EIY274" s="365"/>
      <c r="EIZ274" s="365"/>
      <c r="EJA274" s="365"/>
      <c r="EJB274" s="365"/>
      <c r="EJC274" s="365"/>
      <c r="EJD274" s="365"/>
      <c r="EJE274" s="365"/>
      <c r="EJF274" s="365"/>
      <c r="EJG274" s="365"/>
      <c r="EJH274" s="365"/>
      <c r="EJI274" s="365"/>
      <c r="EJJ274" s="365"/>
      <c r="EJK274" s="365"/>
      <c r="EJL274" s="365"/>
      <c r="EJM274" s="365"/>
      <c r="EJN274" s="365"/>
      <c r="EJO274" s="365"/>
      <c r="EJP274" s="365"/>
      <c r="EJQ274" s="365"/>
      <c r="EJR274" s="365"/>
      <c r="EJS274" s="365"/>
      <c r="EJT274" s="365"/>
      <c r="EJU274" s="365"/>
      <c r="EJV274" s="365"/>
      <c r="EJW274" s="365"/>
      <c r="EJX274" s="365"/>
      <c r="EJY274" s="365"/>
      <c r="EJZ274" s="365"/>
      <c r="EKA274" s="365"/>
      <c r="EKB274" s="365"/>
      <c r="EKC274" s="365"/>
      <c r="EKD274" s="365"/>
      <c r="EKE274" s="365"/>
      <c r="EKF274" s="365"/>
      <c r="EKG274" s="365"/>
      <c r="EKH274" s="365"/>
      <c r="EKI274" s="365"/>
      <c r="EKJ274" s="365"/>
      <c r="EKK274" s="365"/>
      <c r="EKL274" s="365"/>
      <c r="EKM274" s="365"/>
      <c r="EKN274" s="365"/>
      <c r="EKO274" s="365"/>
      <c r="EKP274" s="365"/>
      <c r="EKQ274" s="365"/>
      <c r="EKR274" s="365"/>
      <c r="EKS274" s="365"/>
      <c r="EKT274" s="365"/>
      <c r="EKU274" s="365"/>
      <c r="EKV274" s="365"/>
      <c r="EKW274" s="365"/>
      <c r="EKX274" s="365"/>
      <c r="EKY274" s="365"/>
      <c r="EKZ274" s="365"/>
      <c r="ELA274" s="365"/>
      <c r="ELB274" s="365"/>
      <c r="ELC274" s="365"/>
      <c r="ELD274" s="365"/>
      <c r="ELE274" s="365"/>
      <c r="ELF274" s="365"/>
      <c r="ELG274" s="365"/>
      <c r="ELH274" s="365"/>
      <c r="ELI274" s="365"/>
      <c r="ELJ274" s="365"/>
      <c r="ELK274" s="365"/>
      <c r="ELL274" s="365"/>
      <c r="ELM274" s="365"/>
      <c r="ELN274" s="365"/>
      <c r="ELO274" s="365"/>
      <c r="ELP274" s="365"/>
      <c r="ELQ274" s="365"/>
      <c r="ELR274" s="365"/>
      <c r="ELS274" s="365"/>
      <c r="ELT274" s="365"/>
      <c r="ELU274" s="365"/>
      <c r="ELV274" s="365"/>
      <c r="ELW274" s="365"/>
      <c r="ELX274" s="365"/>
      <c r="ELY274" s="365"/>
      <c r="ELZ274" s="365"/>
      <c r="EMA274" s="365"/>
      <c r="EMB274" s="365"/>
      <c r="EMC274" s="365"/>
      <c r="EMD274" s="365"/>
      <c r="EME274" s="365"/>
      <c r="EMF274" s="365"/>
      <c r="EMG274" s="365"/>
      <c r="EMH274" s="365"/>
      <c r="EMI274" s="365"/>
      <c r="EMJ274" s="365"/>
      <c r="EMK274" s="365"/>
      <c r="EML274" s="365"/>
      <c r="EMM274" s="365"/>
      <c r="EMN274" s="365"/>
      <c r="EMO274" s="365"/>
      <c r="EMP274" s="365"/>
      <c r="EMQ274" s="365"/>
      <c r="EMR274" s="365"/>
      <c r="EMS274" s="365"/>
      <c r="EMT274" s="365"/>
      <c r="EMU274" s="365"/>
      <c r="EMV274" s="365"/>
      <c r="EMW274" s="365"/>
      <c r="EMX274" s="365"/>
      <c r="EMY274" s="365"/>
      <c r="EMZ274" s="365"/>
      <c r="ENA274" s="365"/>
      <c r="ENB274" s="365"/>
      <c r="ENC274" s="365"/>
      <c r="END274" s="365"/>
      <c r="ENE274" s="365"/>
      <c r="ENF274" s="365"/>
      <c r="ENG274" s="365"/>
      <c r="ENH274" s="365"/>
      <c r="ENI274" s="365"/>
      <c r="ENJ274" s="365"/>
      <c r="ENK274" s="365"/>
      <c r="ENL274" s="365"/>
      <c r="ENM274" s="365"/>
      <c r="ENN274" s="365"/>
      <c r="ENO274" s="365"/>
      <c r="ENP274" s="365"/>
      <c r="ENQ274" s="365"/>
      <c r="ENR274" s="365"/>
      <c r="ENS274" s="365"/>
      <c r="ENT274" s="365"/>
      <c r="ENU274" s="365"/>
      <c r="ENV274" s="365"/>
      <c r="ENW274" s="365"/>
      <c r="ENX274" s="365"/>
      <c r="ENY274" s="365"/>
      <c r="ENZ274" s="365"/>
      <c r="EOA274" s="365"/>
      <c r="EOB274" s="365"/>
      <c r="EOC274" s="365"/>
      <c r="EOD274" s="365"/>
      <c r="EOE274" s="365"/>
      <c r="EOF274" s="365"/>
      <c r="EOG274" s="365"/>
      <c r="EOH274" s="365"/>
      <c r="EOI274" s="365"/>
      <c r="EOJ274" s="365"/>
      <c r="EOK274" s="365"/>
      <c r="EOL274" s="365"/>
      <c r="EOM274" s="365"/>
      <c r="EON274" s="365"/>
      <c r="EOO274" s="365"/>
      <c r="EOP274" s="365"/>
      <c r="EOQ274" s="365"/>
      <c r="EOR274" s="365"/>
      <c r="EOS274" s="365"/>
      <c r="EOT274" s="365"/>
      <c r="EOU274" s="365"/>
      <c r="EOV274" s="365"/>
      <c r="EOW274" s="365"/>
      <c r="EOX274" s="365"/>
      <c r="EOY274" s="365"/>
      <c r="EOZ274" s="365"/>
      <c r="EPA274" s="365"/>
      <c r="EPB274" s="365"/>
      <c r="EPC274" s="365"/>
      <c r="EPD274" s="365"/>
      <c r="EPE274" s="365"/>
      <c r="EPF274" s="365"/>
      <c r="EPG274" s="365"/>
      <c r="EPH274" s="365"/>
      <c r="EPI274" s="365"/>
      <c r="EPJ274" s="365"/>
      <c r="EPK274" s="365"/>
      <c r="EPL274" s="365"/>
      <c r="EPM274" s="365"/>
      <c r="EPN274" s="365"/>
      <c r="EPO274" s="365"/>
      <c r="EPP274" s="365"/>
      <c r="EPQ274" s="365"/>
      <c r="EPR274" s="365"/>
      <c r="EPS274" s="365"/>
      <c r="EPT274" s="365"/>
      <c r="EPU274" s="365"/>
      <c r="EPV274" s="365"/>
      <c r="EPW274" s="365"/>
      <c r="EPX274" s="365"/>
      <c r="EPY274" s="365"/>
      <c r="EPZ274" s="365"/>
      <c r="EQA274" s="365"/>
      <c r="EQB274" s="365"/>
      <c r="EQC274" s="365"/>
      <c r="EQD274" s="365"/>
      <c r="EQE274" s="365"/>
      <c r="EQF274" s="365"/>
      <c r="EQG274" s="365"/>
      <c r="EQH274" s="365"/>
      <c r="EQI274" s="365"/>
      <c r="EQJ274" s="365"/>
      <c r="EQK274" s="365"/>
      <c r="EQL274" s="365"/>
      <c r="EQM274" s="365"/>
      <c r="EQN274" s="365"/>
      <c r="EQO274" s="365"/>
      <c r="EQP274" s="365"/>
      <c r="EQQ274" s="365"/>
      <c r="EQR274" s="365"/>
      <c r="EQS274" s="365"/>
      <c r="EQT274" s="365"/>
      <c r="EQU274" s="365"/>
      <c r="EQV274" s="365"/>
      <c r="EQW274" s="365"/>
      <c r="EQX274" s="365"/>
      <c r="EQY274" s="365"/>
      <c r="EQZ274" s="365"/>
      <c r="ERA274" s="365"/>
      <c r="ERB274" s="365"/>
      <c r="ERC274" s="365"/>
      <c r="ERD274" s="365"/>
      <c r="ERE274" s="365"/>
      <c r="ERF274" s="365"/>
      <c r="ERG274" s="365"/>
      <c r="ERH274" s="365"/>
      <c r="ERI274" s="365"/>
      <c r="ERJ274" s="365"/>
      <c r="ERK274" s="365"/>
      <c r="ERL274" s="365"/>
      <c r="ERM274" s="365"/>
      <c r="ERN274" s="365"/>
      <c r="ERO274" s="365"/>
      <c r="ERP274" s="365"/>
      <c r="ERQ274" s="365"/>
      <c r="ERR274" s="365"/>
      <c r="ERS274" s="365"/>
      <c r="ERT274" s="365"/>
      <c r="ERU274" s="365"/>
      <c r="ERV274" s="365"/>
      <c r="ERW274" s="365"/>
      <c r="ERX274" s="365"/>
      <c r="ERY274" s="365"/>
      <c r="ERZ274" s="365"/>
      <c r="ESA274" s="365"/>
      <c r="ESB274" s="365"/>
      <c r="ESC274" s="365"/>
      <c r="ESD274" s="365"/>
      <c r="ESE274" s="365"/>
      <c r="ESF274" s="365"/>
      <c r="ESG274" s="365"/>
      <c r="ESH274" s="365"/>
      <c r="ESI274" s="365"/>
      <c r="ESJ274" s="365"/>
      <c r="ESK274" s="365"/>
      <c r="ESL274" s="365"/>
      <c r="ESM274" s="365"/>
      <c r="ESN274" s="365"/>
      <c r="ESO274" s="365"/>
      <c r="ESP274" s="365"/>
      <c r="ESQ274" s="365"/>
      <c r="ESR274" s="365"/>
      <c r="ESS274" s="365"/>
      <c r="EST274" s="365"/>
      <c r="ESU274" s="365"/>
      <c r="ESV274" s="365"/>
      <c r="ESW274" s="365"/>
      <c r="ESX274" s="365"/>
      <c r="ESY274" s="365"/>
      <c r="ESZ274" s="365"/>
      <c r="ETA274" s="365"/>
      <c r="ETB274" s="365"/>
      <c r="ETC274" s="365"/>
      <c r="ETD274" s="365"/>
      <c r="ETE274" s="365"/>
      <c r="ETF274" s="365"/>
      <c r="ETG274" s="365"/>
      <c r="ETH274" s="365"/>
      <c r="ETI274" s="365"/>
      <c r="ETJ274" s="365"/>
      <c r="ETK274" s="365"/>
      <c r="ETL274" s="365"/>
      <c r="ETM274" s="365"/>
      <c r="ETN274" s="365"/>
      <c r="ETO274" s="365"/>
      <c r="ETP274" s="365"/>
      <c r="ETQ274" s="365"/>
      <c r="ETR274" s="365"/>
      <c r="ETS274" s="365"/>
      <c r="ETT274" s="365"/>
      <c r="ETU274" s="365"/>
      <c r="ETV274" s="365"/>
      <c r="ETW274" s="365"/>
      <c r="ETX274" s="365"/>
      <c r="ETY274" s="365"/>
      <c r="ETZ274" s="365"/>
      <c r="EUA274" s="365"/>
      <c r="EUB274" s="365"/>
      <c r="EUC274" s="365"/>
      <c r="EUD274" s="365"/>
      <c r="EUE274" s="365"/>
      <c r="EUF274" s="365"/>
      <c r="EUG274" s="365"/>
      <c r="EUH274" s="365"/>
      <c r="EUI274" s="365"/>
      <c r="EUJ274" s="365"/>
      <c r="EUK274" s="365"/>
      <c r="EUL274" s="365"/>
      <c r="EUM274" s="365"/>
      <c r="EUN274" s="365"/>
      <c r="EUO274" s="365"/>
      <c r="EUP274" s="365"/>
      <c r="EUQ274" s="365"/>
      <c r="EUR274" s="365"/>
      <c r="EUS274" s="365"/>
      <c r="EUT274" s="365"/>
      <c r="EUU274" s="365"/>
      <c r="EUV274" s="365"/>
      <c r="EUW274" s="365"/>
      <c r="EUX274" s="365"/>
      <c r="EUY274" s="365"/>
      <c r="EUZ274" s="365"/>
      <c r="EVA274" s="365"/>
      <c r="EVB274" s="365"/>
      <c r="EVC274" s="365"/>
      <c r="EVD274" s="365"/>
      <c r="EVE274" s="365"/>
      <c r="EVF274" s="365"/>
      <c r="EVG274" s="365"/>
      <c r="EVH274" s="365"/>
      <c r="EVI274" s="365"/>
      <c r="EVJ274" s="365"/>
      <c r="EVK274" s="365"/>
      <c r="EVL274" s="365"/>
      <c r="EVM274" s="365"/>
      <c r="EVN274" s="365"/>
      <c r="EVO274" s="365"/>
      <c r="EVP274" s="365"/>
      <c r="EVQ274" s="365"/>
      <c r="EVR274" s="365"/>
      <c r="EVS274" s="365"/>
      <c r="EVT274" s="365"/>
      <c r="EVU274" s="365"/>
      <c r="EVV274" s="365"/>
      <c r="EVW274" s="365"/>
      <c r="EVX274" s="365"/>
      <c r="EVY274" s="365"/>
      <c r="EVZ274" s="365"/>
      <c r="EWA274" s="365"/>
      <c r="EWB274" s="365"/>
      <c r="EWC274" s="365"/>
      <c r="EWD274" s="365"/>
      <c r="EWE274" s="365"/>
      <c r="EWF274" s="365"/>
      <c r="EWG274" s="365"/>
      <c r="EWH274" s="365"/>
      <c r="EWI274" s="365"/>
      <c r="EWJ274" s="365"/>
      <c r="EWK274" s="365"/>
      <c r="EWL274" s="365"/>
      <c r="EWM274" s="365"/>
      <c r="EWN274" s="365"/>
      <c r="EWO274" s="365"/>
      <c r="EWP274" s="365"/>
      <c r="EWQ274" s="365"/>
      <c r="EWR274" s="365"/>
      <c r="EWS274" s="365"/>
      <c r="EWT274" s="365"/>
      <c r="EWU274" s="365"/>
      <c r="EWV274" s="365"/>
      <c r="EWW274" s="365"/>
      <c r="EWX274" s="365"/>
      <c r="EWY274" s="365"/>
      <c r="EWZ274" s="365"/>
      <c r="EXA274" s="365"/>
      <c r="EXB274" s="365"/>
      <c r="EXC274" s="365"/>
      <c r="EXD274" s="365"/>
      <c r="EXE274" s="365"/>
      <c r="EXF274" s="365"/>
      <c r="EXG274" s="365"/>
      <c r="EXH274" s="365"/>
      <c r="EXI274" s="365"/>
      <c r="EXJ274" s="365"/>
      <c r="EXK274" s="365"/>
      <c r="EXL274" s="365"/>
      <c r="EXM274" s="365"/>
      <c r="EXN274" s="365"/>
      <c r="EXO274" s="365"/>
      <c r="EXP274" s="365"/>
      <c r="EXQ274" s="365"/>
      <c r="EXR274" s="365"/>
      <c r="EXS274" s="365"/>
      <c r="EXT274" s="365"/>
      <c r="EXU274" s="365"/>
      <c r="EXV274" s="365"/>
      <c r="EXW274" s="365"/>
      <c r="EXX274" s="365"/>
      <c r="EXY274" s="365"/>
      <c r="EXZ274" s="365"/>
      <c r="EYA274" s="365"/>
      <c r="EYB274" s="365"/>
      <c r="EYC274" s="365"/>
      <c r="EYD274" s="365"/>
      <c r="EYE274" s="365"/>
      <c r="EYF274" s="365"/>
      <c r="EYG274" s="365"/>
      <c r="EYH274" s="365"/>
      <c r="EYI274" s="365"/>
      <c r="EYJ274" s="365"/>
      <c r="EYK274" s="365"/>
      <c r="EYL274" s="365"/>
      <c r="EYM274" s="365"/>
      <c r="EYN274" s="365"/>
      <c r="EYO274" s="365"/>
      <c r="EYP274" s="365"/>
      <c r="EYQ274" s="365"/>
      <c r="EYR274" s="365"/>
      <c r="EYS274" s="365"/>
      <c r="EYT274" s="365"/>
      <c r="EYU274" s="365"/>
      <c r="EYV274" s="365"/>
      <c r="EYW274" s="365"/>
      <c r="EYX274" s="365"/>
      <c r="EYY274" s="365"/>
      <c r="EYZ274" s="365"/>
      <c r="EZA274" s="365"/>
      <c r="EZB274" s="365"/>
      <c r="EZC274" s="365"/>
      <c r="EZD274" s="365"/>
      <c r="EZE274" s="365"/>
      <c r="EZF274" s="365"/>
      <c r="EZG274" s="365"/>
      <c r="EZH274" s="365"/>
      <c r="EZI274" s="365"/>
      <c r="EZJ274" s="365"/>
      <c r="EZK274" s="365"/>
      <c r="EZL274" s="365"/>
      <c r="EZM274" s="365"/>
      <c r="EZN274" s="365"/>
      <c r="EZO274" s="365"/>
      <c r="EZP274" s="365"/>
      <c r="EZQ274" s="365"/>
      <c r="EZR274" s="365"/>
      <c r="EZS274" s="365"/>
      <c r="EZT274" s="365"/>
      <c r="EZU274" s="365"/>
      <c r="EZV274" s="365"/>
      <c r="EZW274" s="365"/>
      <c r="EZX274" s="365"/>
      <c r="EZY274" s="365"/>
      <c r="EZZ274" s="365"/>
      <c r="FAA274" s="365"/>
      <c r="FAB274" s="365"/>
      <c r="FAC274" s="365"/>
      <c r="FAD274" s="365"/>
      <c r="FAE274" s="365"/>
      <c r="FAF274" s="365"/>
      <c r="FAG274" s="365"/>
      <c r="FAH274" s="365"/>
      <c r="FAI274" s="365"/>
      <c r="FAJ274" s="365"/>
      <c r="FAK274" s="365"/>
      <c r="FAL274" s="365"/>
      <c r="FAM274" s="365"/>
      <c r="FAN274" s="365"/>
      <c r="FAO274" s="365"/>
      <c r="FAP274" s="365"/>
      <c r="FAQ274" s="365"/>
      <c r="FAR274" s="365"/>
      <c r="FAS274" s="365"/>
      <c r="FAT274" s="365"/>
      <c r="FAU274" s="365"/>
      <c r="FAV274" s="365"/>
      <c r="FAW274" s="365"/>
      <c r="FAX274" s="365"/>
      <c r="FAY274" s="365"/>
      <c r="FAZ274" s="365"/>
      <c r="FBA274" s="365"/>
      <c r="FBB274" s="365"/>
      <c r="FBC274" s="365"/>
      <c r="FBD274" s="365"/>
      <c r="FBE274" s="365"/>
      <c r="FBF274" s="365"/>
      <c r="FBG274" s="365"/>
      <c r="FBH274" s="365"/>
      <c r="FBI274" s="365"/>
      <c r="FBJ274" s="365"/>
      <c r="FBK274" s="365"/>
      <c r="FBL274" s="365"/>
      <c r="FBM274" s="365"/>
      <c r="FBN274" s="365"/>
      <c r="FBO274" s="365"/>
      <c r="FBP274" s="365"/>
      <c r="FBQ274" s="365"/>
      <c r="FBR274" s="365"/>
      <c r="FBS274" s="365"/>
      <c r="FBT274" s="365"/>
      <c r="FBU274" s="365"/>
      <c r="FBV274" s="365"/>
      <c r="FBW274" s="365"/>
      <c r="FBX274" s="365"/>
      <c r="FBY274" s="365"/>
      <c r="FBZ274" s="365"/>
      <c r="FCA274" s="365"/>
      <c r="FCB274" s="365"/>
      <c r="FCC274" s="365"/>
      <c r="FCD274" s="365"/>
      <c r="FCE274" s="365"/>
      <c r="FCF274" s="365"/>
      <c r="FCG274" s="365"/>
      <c r="FCH274" s="365"/>
      <c r="FCI274" s="365"/>
      <c r="FCJ274" s="365"/>
      <c r="FCK274" s="365"/>
      <c r="FCL274" s="365"/>
      <c r="FCM274" s="365"/>
      <c r="FCN274" s="365"/>
      <c r="FCO274" s="365"/>
      <c r="FCP274" s="365"/>
      <c r="FCQ274" s="365"/>
      <c r="FCR274" s="365"/>
      <c r="FCS274" s="365"/>
      <c r="FCT274" s="365"/>
      <c r="FCU274" s="365"/>
      <c r="FCV274" s="365"/>
      <c r="FCW274" s="365"/>
      <c r="FCX274" s="365"/>
      <c r="FCY274" s="365"/>
      <c r="FCZ274" s="365"/>
      <c r="FDA274" s="365"/>
      <c r="FDB274" s="365"/>
      <c r="FDC274" s="365"/>
      <c r="FDD274" s="365"/>
      <c r="FDE274" s="365"/>
      <c r="FDF274" s="365"/>
      <c r="FDG274" s="365"/>
      <c r="FDH274" s="365"/>
      <c r="FDI274" s="365"/>
      <c r="FDJ274" s="365"/>
      <c r="FDK274" s="365"/>
      <c r="FDL274" s="365"/>
      <c r="FDM274" s="365"/>
      <c r="FDN274" s="365"/>
      <c r="FDO274" s="365"/>
      <c r="FDP274" s="365"/>
      <c r="FDQ274" s="365"/>
      <c r="FDR274" s="365"/>
      <c r="FDS274" s="365"/>
      <c r="FDT274" s="365"/>
      <c r="FDU274" s="365"/>
      <c r="FDV274" s="365"/>
      <c r="FDW274" s="365"/>
      <c r="FDX274" s="365"/>
      <c r="FDY274" s="365"/>
      <c r="FDZ274" s="365"/>
      <c r="FEA274" s="365"/>
      <c r="FEB274" s="365"/>
      <c r="FEC274" s="365"/>
      <c r="FED274" s="365"/>
      <c r="FEE274" s="365"/>
      <c r="FEF274" s="365"/>
      <c r="FEG274" s="365"/>
      <c r="FEH274" s="365"/>
      <c r="FEI274" s="365"/>
      <c r="FEJ274" s="365"/>
      <c r="FEK274" s="365"/>
      <c r="FEL274" s="365"/>
      <c r="FEM274" s="365"/>
      <c r="FEN274" s="365"/>
      <c r="FEO274" s="365"/>
      <c r="FEP274" s="365"/>
      <c r="FEQ274" s="365"/>
      <c r="FER274" s="365"/>
      <c r="FES274" s="365"/>
      <c r="FET274" s="365"/>
      <c r="FEU274" s="365"/>
      <c r="FEV274" s="365"/>
      <c r="FEW274" s="365"/>
      <c r="FEX274" s="365"/>
      <c r="FEY274" s="365"/>
      <c r="FEZ274" s="365"/>
      <c r="FFA274" s="365"/>
      <c r="FFB274" s="365"/>
      <c r="FFC274" s="365"/>
      <c r="FFD274" s="365"/>
      <c r="FFE274" s="365"/>
      <c r="FFF274" s="365"/>
      <c r="FFG274" s="365"/>
      <c r="FFH274" s="365"/>
      <c r="FFI274" s="365"/>
      <c r="FFJ274" s="365"/>
      <c r="FFK274" s="365"/>
      <c r="FFL274" s="365"/>
      <c r="FFM274" s="365"/>
      <c r="FFN274" s="365"/>
      <c r="FFO274" s="365"/>
      <c r="FFP274" s="365"/>
      <c r="FFQ274" s="365"/>
      <c r="FFR274" s="365"/>
      <c r="FFS274" s="365"/>
      <c r="FFT274" s="365"/>
      <c r="FFU274" s="365"/>
      <c r="FFV274" s="365"/>
      <c r="FFW274" s="365"/>
      <c r="FFX274" s="365"/>
      <c r="FFY274" s="365"/>
      <c r="FFZ274" s="365"/>
      <c r="FGA274" s="365"/>
      <c r="FGB274" s="365"/>
      <c r="FGC274" s="365"/>
      <c r="FGD274" s="365"/>
      <c r="FGE274" s="365"/>
      <c r="FGF274" s="365"/>
      <c r="FGG274" s="365"/>
      <c r="FGH274" s="365"/>
      <c r="FGI274" s="365"/>
      <c r="FGJ274" s="365"/>
      <c r="FGK274" s="365"/>
      <c r="FGL274" s="365"/>
      <c r="FGM274" s="365"/>
      <c r="FGN274" s="365"/>
      <c r="FGO274" s="365"/>
      <c r="FGP274" s="365"/>
      <c r="FGQ274" s="365"/>
      <c r="FGR274" s="365"/>
      <c r="FGS274" s="365"/>
      <c r="FGT274" s="365"/>
      <c r="FGU274" s="365"/>
      <c r="FGV274" s="365"/>
      <c r="FGW274" s="365"/>
      <c r="FGX274" s="365"/>
      <c r="FGY274" s="365"/>
      <c r="FGZ274" s="365"/>
      <c r="FHA274" s="365"/>
      <c r="FHB274" s="365"/>
      <c r="FHC274" s="365"/>
      <c r="FHD274" s="365"/>
      <c r="FHE274" s="365"/>
      <c r="FHF274" s="365"/>
      <c r="FHG274" s="365"/>
      <c r="FHH274" s="365"/>
      <c r="FHI274" s="365"/>
      <c r="FHJ274" s="365"/>
      <c r="FHK274" s="365"/>
      <c r="FHL274" s="365"/>
      <c r="FHM274" s="365"/>
      <c r="FHN274" s="365"/>
      <c r="FHO274" s="365"/>
      <c r="FHP274" s="365"/>
      <c r="FHQ274" s="365"/>
      <c r="FHR274" s="365"/>
      <c r="FHS274" s="365"/>
      <c r="FHT274" s="365"/>
      <c r="FHU274" s="365"/>
      <c r="FHV274" s="365"/>
      <c r="FHW274" s="365"/>
      <c r="FHX274" s="365"/>
      <c r="FHY274" s="365"/>
      <c r="FHZ274" s="365"/>
      <c r="FIA274" s="365"/>
      <c r="FIB274" s="365"/>
      <c r="FIC274" s="365"/>
      <c r="FID274" s="365"/>
      <c r="FIE274" s="365"/>
      <c r="FIF274" s="365"/>
      <c r="FIG274" s="365"/>
      <c r="FIH274" s="365"/>
      <c r="FII274" s="365"/>
      <c r="FIJ274" s="365"/>
      <c r="FIK274" s="365"/>
      <c r="FIL274" s="365"/>
      <c r="FIM274" s="365"/>
      <c r="FIN274" s="365"/>
      <c r="FIO274" s="365"/>
      <c r="FIP274" s="365"/>
      <c r="FIQ274" s="365"/>
      <c r="FIR274" s="365"/>
      <c r="FIS274" s="365"/>
      <c r="FIT274" s="365"/>
      <c r="FIU274" s="365"/>
      <c r="FIV274" s="365"/>
      <c r="FIW274" s="365"/>
      <c r="FIX274" s="365"/>
      <c r="FIY274" s="365"/>
      <c r="FIZ274" s="365"/>
      <c r="FJA274" s="365"/>
      <c r="FJB274" s="365"/>
      <c r="FJC274" s="365"/>
      <c r="FJD274" s="365"/>
      <c r="FJE274" s="365"/>
      <c r="FJF274" s="365"/>
      <c r="FJG274" s="365"/>
      <c r="FJH274" s="365"/>
      <c r="FJI274" s="365"/>
      <c r="FJJ274" s="365"/>
      <c r="FJK274" s="365"/>
      <c r="FJL274" s="365"/>
      <c r="FJM274" s="365"/>
      <c r="FJN274" s="365"/>
      <c r="FJO274" s="365"/>
      <c r="FJP274" s="365"/>
      <c r="FJQ274" s="365"/>
      <c r="FJR274" s="365"/>
      <c r="FJS274" s="365"/>
      <c r="FJT274" s="365"/>
      <c r="FJU274" s="365"/>
      <c r="FJV274" s="365"/>
      <c r="FJW274" s="365"/>
      <c r="FJX274" s="365"/>
      <c r="FJY274" s="365"/>
      <c r="FJZ274" s="365"/>
      <c r="FKA274" s="365"/>
      <c r="FKB274" s="365"/>
      <c r="FKC274" s="365"/>
      <c r="FKD274" s="365"/>
      <c r="FKE274" s="365"/>
      <c r="FKF274" s="365"/>
      <c r="FKG274" s="365"/>
      <c r="FKH274" s="365"/>
      <c r="FKI274" s="365"/>
      <c r="FKJ274" s="365"/>
      <c r="FKK274" s="365"/>
      <c r="FKL274" s="365"/>
      <c r="FKM274" s="365"/>
      <c r="FKN274" s="365"/>
      <c r="FKO274" s="365"/>
      <c r="FKP274" s="365"/>
      <c r="FKQ274" s="365"/>
      <c r="FKR274" s="365"/>
      <c r="FKS274" s="365"/>
      <c r="FKT274" s="365"/>
      <c r="FKU274" s="365"/>
      <c r="FKV274" s="365"/>
      <c r="FKW274" s="365"/>
      <c r="FKX274" s="365"/>
      <c r="FKY274" s="365"/>
      <c r="FKZ274" s="365"/>
      <c r="FLA274" s="365"/>
      <c r="FLB274" s="365"/>
      <c r="FLC274" s="365"/>
      <c r="FLD274" s="365"/>
      <c r="FLE274" s="365"/>
      <c r="FLF274" s="365"/>
      <c r="FLG274" s="365"/>
      <c r="FLH274" s="365"/>
      <c r="FLI274" s="365"/>
      <c r="FLJ274" s="365"/>
      <c r="FLK274" s="365"/>
      <c r="FLL274" s="365"/>
      <c r="FLM274" s="365"/>
      <c r="FLN274" s="365"/>
      <c r="FLO274" s="365"/>
      <c r="FLP274" s="365"/>
      <c r="FLQ274" s="365"/>
      <c r="FLR274" s="365"/>
      <c r="FLS274" s="365"/>
      <c r="FLT274" s="365"/>
      <c r="FLU274" s="365"/>
      <c r="FLV274" s="365"/>
      <c r="FLW274" s="365"/>
      <c r="FLX274" s="365"/>
      <c r="FLY274" s="365"/>
      <c r="FLZ274" s="365"/>
      <c r="FMA274" s="365"/>
      <c r="FMB274" s="365"/>
      <c r="FMC274" s="365"/>
      <c r="FMD274" s="365"/>
      <c r="FME274" s="365"/>
      <c r="FMF274" s="365"/>
      <c r="FMG274" s="365"/>
      <c r="FMH274" s="365"/>
      <c r="FMI274" s="365"/>
      <c r="FMJ274" s="365"/>
      <c r="FMK274" s="365"/>
      <c r="FML274" s="365"/>
      <c r="FMM274" s="365"/>
      <c r="FMN274" s="365"/>
      <c r="FMO274" s="365"/>
      <c r="FMP274" s="365"/>
      <c r="FMQ274" s="365"/>
      <c r="FMR274" s="365"/>
      <c r="FMS274" s="365"/>
      <c r="FMT274" s="365"/>
      <c r="FMU274" s="365"/>
      <c r="FMV274" s="365"/>
      <c r="FMW274" s="365"/>
      <c r="FMX274" s="365"/>
      <c r="FMY274" s="365"/>
      <c r="FMZ274" s="365"/>
      <c r="FNA274" s="365"/>
      <c r="FNB274" s="365"/>
      <c r="FNC274" s="365"/>
      <c r="FND274" s="365"/>
      <c r="FNE274" s="365"/>
      <c r="FNF274" s="365"/>
      <c r="FNG274" s="365"/>
      <c r="FNH274" s="365"/>
      <c r="FNI274" s="365"/>
      <c r="FNJ274" s="365"/>
      <c r="FNK274" s="365"/>
      <c r="FNL274" s="365"/>
      <c r="FNM274" s="365"/>
      <c r="FNN274" s="365"/>
      <c r="FNO274" s="365"/>
      <c r="FNP274" s="365"/>
      <c r="FNQ274" s="365"/>
      <c r="FNR274" s="365"/>
      <c r="FNS274" s="365"/>
      <c r="FNT274" s="365"/>
      <c r="FNU274" s="365"/>
      <c r="FNV274" s="365"/>
      <c r="FNW274" s="365"/>
      <c r="FNX274" s="365"/>
      <c r="FNY274" s="365"/>
      <c r="FNZ274" s="365"/>
      <c r="FOA274" s="365"/>
      <c r="FOB274" s="365"/>
      <c r="FOC274" s="365"/>
      <c r="FOD274" s="365"/>
      <c r="FOE274" s="365"/>
      <c r="FOF274" s="365"/>
      <c r="FOG274" s="365"/>
      <c r="FOH274" s="365"/>
      <c r="FOI274" s="365"/>
      <c r="FOJ274" s="365"/>
      <c r="FOK274" s="365"/>
      <c r="FOL274" s="365"/>
      <c r="FOM274" s="365"/>
      <c r="FON274" s="365"/>
      <c r="FOO274" s="365"/>
      <c r="FOP274" s="365"/>
      <c r="FOQ274" s="365"/>
      <c r="FOR274" s="365"/>
      <c r="FOS274" s="365"/>
      <c r="FOT274" s="365"/>
      <c r="FOU274" s="365"/>
      <c r="FOV274" s="365"/>
      <c r="FOW274" s="365"/>
      <c r="FOX274" s="365"/>
      <c r="FOY274" s="365"/>
      <c r="FOZ274" s="365"/>
      <c r="FPA274" s="365"/>
      <c r="FPB274" s="365"/>
      <c r="FPC274" s="365"/>
      <c r="FPD274" s="365"/>
      <c r="FPE274" s="365"/>
      <c r="FPF274" s="365"/>
      <c r="FPG274" s="365"/>
      <c r="FPH274" s="365"/>
      <c r="FPI274" s="365"/>
      <c r="FPJ274" s="365"/>
      <c r="FPK274" s="365"/>
      <c r="FPL274" s="365"/>
      <c r="FPM274" s="365"/>
      <c r="FPN274" s="365"/>
      <c r="FPO274" s="365"/>
      <c r="FPP274" s="365"/>
      <c r="FPQ274" s="365"/>
      <c r="FPR274" s="365"/>
      <c r="FPS274" s="365"/>
      <c r="FPT274" s="365"/>
      <c r="FPU274" s="365"/>
      <c r="FPV274" s="365"/>
      <c r="FPW274" s="365"/>
      <c r="FPX274" s="365"/>
      <c r="FPY274" s="365"/>
      <c r="FPZ274" s="365"/>
      <c r="FQA274" s="365"/>
      <c r="FQB274" s="365"/>
      <c r="FQC274" s="365"/>
      <c r="FQD274" s="365"/>
      <c r="FQE274" s="365"/>
      <c r="FQF274" s="365"/>
      <c r="FQG274" s="365"/>
      <c r="FQH274" s="365"/>
      <c r="FQI274" s="365"/>
      <c r="FQJ274" s="365"/>
      <c r="FQK274" s="365"/>
      <c r="FQL274" s="365"/>
      <c r="FQM274" s="365"/>
      <c r="FQN274" s="365"/>
      <c r="FQO274" s="365"/>
      <c r="FQP274" s="365"/>
      <c r="FQQ274" s="365"/>
      <c r="FQR274" s="365"/>
      <c r="FQS274" s="365"/>
      <c r="FQT274" s="365"/>
      <c r="FQU274" s="365"/>
      <c r="FQV274" s="365"/>
      <c r="FQW274" s="365"/>
      <c r="FQX274" s="365"/>
      <c r="FQY274" s="365"/>
      <c r="FQZ274" s="365"/>
      <c r="FRA274" s="365"/>
      <c r="FRB274" s="365"/>
      <c r="FRC274" s="365"/>
      <c r="FRD274" s="365"/>
      <c r="FRE274" s="365"/>
      <c r="FRF274" s="365"/>
      <c r="FRG274" s="365"/>
      <c r="FRH274" s="365"/>
      <c r="FRI274" s="365"/>
      <c r="FRJ274" s="365"/>
      <c r="FRK274" s="365"/>
      <c r="FRL274" s="365"/>
      <c r="FRM274" s="365"/>
      <c r="FRN274" s="365"/>
      <c r="FRO274" s="365"/>
      <c r="FRP274" s="365"/>
      <c r="FRQ274" s="365"/>
      <c r="FRR274" s="365"/>
      <c r="FRS274" s="365"/>
      <c r="FRT274" s="365"/>
      <c r="FRU274" s="365"/>
      <c r="FRV274" s="365"/>
      <c r="FRW274" s="365"/>
      <c r="FRX274" s="365"/>
      <c r="FRY274" s="365"/>
      <c r="FRZ274" s="365"/>
      <c r="FSA274" s="365"/>
      <c r="FSB274" s="365"/>
      <c r="FSC274" s="365"/>
      <c r="FSD274" s="365"/>
      <c r="FSE274" s="365"/>
      <c r="FSF274" s="365"/>
      <c r="FSG274" s="365"/>
      <c r="FSH274" s="365"/>
      <c r="FSI274" s="365"/>
      <c r="FSJ274" s="365"/>
      <c r="FSK274" s="365"/>
      <c r="FSL274" s="365"/>
      <c r="FSM274" s="365"/>
      <c r="FSN274" s="365"/>
      <c r="FSO274" s="365"/>
      <c r="FSP274" s="365"/>
      <c r="FSQ274" s="365"/>
      <c r="FSR274" s="365"/>
      <c r="FSS274" s="365"/>
      <c r="FST274" s="365"/>
      <c r="FSU274" s="365"/>
      <c r="FSV274" s="365"/>
      <c r="FSW274" s="365"/>
      <c r="FSX274" s="365"/>
      <c r="FSY274" s="365"/>
      <c r="FSZ274" s="365"/>
      <c r="FTA274" s="365"/>
      <c r="FTB274" s="365"/>
      <c r="FTC274" s="365"/>
      <c r="FTD274" s="365"/>
      <c r="FTE274" s="365"/>
      <c r="FTF274" s="365"/>
      <c r="FTG274" s="365"/>
      <c r="FTH274" s="365"/>
      <c r="FTI274" s="365"/>
      <c r="FTJ274" s="365"/>
      <c r="FTK274" s="365"/>
      <c r="FTL274" s="365"/>
      <c r="FTM274" s="365"/>
      <c r="FTN274" s="365"/>
      <c r="FTO274" s="365"/>
      <c r="FTP274" s="365"/>
      <c r="FTQ274" s="365"/>
      <c r="FTR274" s="365"/>
      <c r="FTS274" s="365"/>
      <c r="FTT274" s="365"/>
      <c r="FTU274" s="365"/>
      <c r="FTV274" s="365"/>
      <c r="FTW274" s="365"/>
      <c r="FTX274" s="365"/>
      <c r="FTY274" s="365"/>
      <c r="FTZ274" s="365"/>
      <c r="FUA274" s="365"/>
      <c r="FUB274" s="365"/>
      <c r="FUC274" s="365"/>
      <c r="FUD274" s="365"/>
      <c r="FUE274" s="365"/>
      <c r="FUF274" s="365"/>
      <c r="FUG274" s="365"/>
      <c r="FUH274" s="365"/>
      <c r="FUI274" s="365"/>
      <c r="FUJ274" s="365"/>
      <c r="FUK274" s="365"/>
      <c r="FUL274" s="365"/>
      <c r="FUM274" s="365"/>
      <c r="FUN274" s="365"/>
      <c r="FUO274" s="365"/>
      <c r="FUP274" s="365"/>
      <c r="FUQ274" s="365"/>
      <c r="FUR274" s="365"/>
      <c r="FUS274" s="365"/>
      <c r="FUT274" s="365"/>
      <c r="FUU274" s="365"/>
      <c r="FUV274" s="365"/>
      <c r="FUW274" s="365"/>
      <c r="FUX274" s="365"/>
      <c r="FUY274" s="365"/>
      <c r="FUZ274" s="365"/>
      <c r="FVA274" s="365"/>
      <c r="FVB274" s="365"/>
      <c r="FVC274" s="365"/>
      <c r="FVD274" s="365"/>
      <c r="FVE274" s="365"/>
      <c r="FVF274" s="365"/>
      <c r="FVG274" s="365"/>
      <c r="FVH274" s="365"/>
      <c r="FVI274" s="365"/>
      <c r="FVJ274" s="365"/>
      <c r="FVK274" s="365"/>
      <c r="FVL274" s="365"/>
      <c r="FVM274" s="365"/>
      <c r="FVN274" s="365"/>
      <c r="FVO274" s="365"/>
      <c r="FVP274" s="365"/>
      <c r="FVQ274" s="365"/>
      <c r="FVR274" s="365"/>
      <c r="FVS274" s="365"/>
      <c r="FVT274" s="365"/>
      <c r="FVU274" s="365"/>
      <c r="FVV274" s="365"/>
      <c r="FVW274" s="365"/>
      <c r="FVX274" s="365"/>
      <c r="FVY274" s="365"/>
      <c r="FVZ274" s="365"/>
      <c r="FWA274" s="365"/>
      <c r="FWB274" s="365"/>
      <c r="FWC274" s="365"/>
      <c r="FWD274" s="365"/>
      <c r="FWE274" s="365"/>
      <c r="FWF274" s="365"/>
      <c r="FWG274" s="365"/>
      <c r="FWH274" s="365"/>
      <c r="FWI274" s="365"/>
      <c r="FWJ274" s="365"/>
      <c r="FWK274" s="365"/>
      <c r="FWL274" s="365"/>
      <c r="FWM274" s="365"/>
      <c r="FWN274" s="365"/>
      <c r="FWO274" s="365"/>
      <c r="FWP274" s="365"/>
      <c r="FWQ274" s="365"/>
      <c r="FWR274" s="365"/>
      <c r="FWS274" s="365"/>
      <c r="FWT274" s="365"/>
      <c r="FWU274" s="365"/>
      <c r="FWV274" s="365"/>
      <c r="FWW274" s="365"/>
      <c r="FWX274" s="365"/>
      <c r="FWY274" s="365"/>
      <c r="FWZ274" s="365"/>
      <c r="FXA274" s="365"/>
      <c r="FXB274" s="365"/>
      <c r="FXC274" s="365"/>
      <c r="FXD274" s="365"/>
      <c r="FXE274" s="365"/>
      <c r="FXF274" s="365"/>
      <c r="FXG274" s="365"/>
      <c r="FXH274" s="365"/>
      <c r="FXI274" s="365"/>
      <c r="FXJ274" s="365"/>
      <c r="FXK274" s="365"/>
      <c r="FXL274" s="365"/>
      <c r="FXM274" s="365"/>
      <c r="FXN274" s="365"/>
      <c r="FXO274" s="365"/>
      <c r="FXP274" s="365"/>
      <c r="FXQ274" s="365"/>
      <c r="FXR274" s="365"/>
      <c r="FXS274" s="365"/>
      <c r="FXT274" s="365"/>
      <c r="FXU274" s="365"/>
      <c r="FXV274" s="365"/>
      <c r="FXW274" s="365"/>
      <c r="FXX274" s="365"/>
      <c r="FXY274" s="365"/>
      <c r="FXZ274" s="365"/>
      <c r="FYA274" s="365"/>
      <c r="FYB274" s="365"/>
      <c r="FYC274" s="365"/>
      <c r="FYD274" s="365"/>
      <c r="FYE274" s="365"/>
      <c r="FYF274" s="365"/>
      <c r="FYG274" s="365"/>
      <c r="FYH274" s="365"/>
      <c r="FYI274" s="365"/>
      <c r="FYJ274" s="365"/>
      <c r="FYK274" s="365"/>
      <c r="FYL274" s="365"/>
      <c r="FYM274" s="365"/>
      <c r="FYN274" s="365"/>
      <c r="FYO274" s="365"/>
      <c r="FYP274" s="365"/>
      <c r="FYQ274" s="365"/>
      <c r="FYR274" s="365"/>
      <c r="FYS274" s="365"/>
      <c r="FYT274" s="365"/>
      <c r="FYU274" s="365"/>
      <c r="FYV274" s="365"/>
      <c r="FYW274" s="365"/>
      <c r="FYX274" s="365"/>
      <c r="FYY274" s="365"/>
      <c r="FYZ274" s="365"/>
      <c r="FZA274" s="365"/>
      <c r="FZB274" s="365"/>
      <c r="FZC274" s="365"/>
      <c r="FZD274" s="365"/>
      <c r="FZE274" s="365"/>
      <c r="FZF274" s="365"/>
      <c r="FZG274" s="365"/>
      <c r="FZH274" s="365"/>
      <c r="FZI274" s="365"/>
      <c r="FZJ274" s="365"/>
      <c r="FZK274" s="365"/>
      <c r="FZL274" s="365"/>
      <c r="FZM274" s="365"/>
      <c r="FZN274" s="365"/>
      <c r="FZO274" s="365"/>
      <c r="FZP274" s="365"/>
      <c r="FZQ274" s="365"/>
      <c r="FZR274" s="365"/>
      <c r="FZS274" s="365"/>
      <c r="FZT274" s="365"/>
      <c r="FZU274" s="365"/>
      <c r="FZV274" s="365"/>
      <c r="FZW274" s="365"/>
      <c r="FZX274" s="365"/>
      <c r="FZY274" s="365"/>
      <c r="FZZ274" s="365"/>
      <c r="GAA274" s="365"/>
      <c r="GAB274" s="365"/>
      <c r="GAC274" s="365"/>
      <c r="GAD274" s="365"/>
      <c r="GAE274" s="365"/>
      <c r="GAF274" s="365"/>
      <c r="GAG274" s="365"/>
      <c r="GAH274" s="365"/>
      <c r="GAI274" s="365"/>
      <c r="GAJ274" s="365"/>
      <c r="GAK274" s="365"/>
      <c r="GAL274" s="365"/>
      <c r="GAM274" s="365"/>
      <c r="GAN274" s="365"/>
      <c r="GAO274" s="365"/>
      <c r="GAP274" s="365"/>
      <c r="GAQ274" s="365"/>
      <c r="GAR274" s="365"/>
      <c r="GAS274" s="365"/>
      <c r="GAT274" s="365"/>
      <c r="GAU274" s="365"/>
      <c r="GAV274" s="365"/>
      <c r="GAW274" s="365"/>
      <c r="GAX274" s="365"/>
      <c r="GAY274" s="365"/>
      <c r="GAZ274" s="365"/>
      <c r="GBA274" s="365"/>
      <c r="GBB274" s="365"/>
      <c r="GBC274" s="365"/>
      <c r="GBD274" s="365"/>
      <c r="GBE274" s="365"/>
      <c r="GBF274" s="365"/>
      <c r="GBG274" s="365"/>
      <c r="GBH274" s="365"/>
      <c r="GBI274" s="365"/>
      <c r="GBJ274" s="365"/>
      <c r="GBK274" s="365"/>
      <c r="GBL274" s="365"/>
      <c r="GBM274" s="365"/>
      <c r="GBN274" s="365"/>
      <c r="GBO274" s="365"/>
      <c r="GBP274" s="365"/>
      <c r="GBQ274" s="365"/>
      <c r="GBR274" s="365"/>
      <c r="GBS274" s="365"/>
      <c r="GBT274" s="365"/>
      <c r="GBU274" s="365"/>
      <c r="GBV274" s="365"/>
      <c r="GBW274" s="365"/>
      <c r="GBX274" s="365"/>
      <c r="GBY274" s="365"/>
      <c r="GBZ274" s="365"/>
      <c r="GCA274" s="365"/>
      <c r="GCB274" s="365"/>
      <c r="GCC274" s="365"/>
      <c r="GCD274" s="365"/>
      <c r="GCE274" s="365"/>
      <c r="GCF274" s="365"/>
      <c r="GCG274" s="365"/>
      <c r="GCH274" s="365"/>
      <c r="GCI274" s="365"/>
      <c r="GCJ274" s="365"/>
      <c r="GCK274" s="365"/>
      <c r="GCL274" s="365"/>
      <c r="GCM274" s="365"/>
      <c r="GCN274" s="365"/>
      <c r="GCO274" s="365"/>
      <c r="GCP274" s="365"/>
      <c r="GCQ274" s="365"/>
      <c r="GCR274" s="365"/>
      <c r="GCS274" s="365"/>
      <c r="GCT274" s="365"/>
      <c r="GCU274" s="365"/>
      <c r="GCV274" s="365"/>
      <c r="GCW274" s="365"/>
      <c r="GCX274" s="365"/>
      <c r="GCY274" s="365"/>
      <c r="GCZ274" s="365"/>
      <c r="GDA274" s="365"/>
      <c r="GDB274" s="365"/>
      <c r="GDC274" s="365"/>
      <c r="GDD274" s="365"/>
      <c r="GDE274" s="365"/>
      <c r="GDF274" s="365"/>
      <c r="GDG274" s="365"/>
      <c r="GDH274" s="365"/>
      <c r="GDI274" s="365"/>
      <c r="GDJ274" s="365"/>
      <c r="GDK274" s="365"/>
      <c r="GDL274" s="365"/>
      <c r="GDM274" s="365"/>
      <c r="GDN274" s="365"/>
      <c r="GDO274" s="365"/>
      <c r="GDP274" s="365"/>
      <c r="GDQ274" s="365"/>
      <c r="GDR274" s="365"/>
      <c r="GDS274" s="365"/>
      <c r="GDT274" s="365"/>
      <c r="GDU274" s="365"/>
      <c r="GDV274" s="365"/>
      <c r="GDW274" s="365"/>
      <c r="GDX274" s="365"/>
      <c r="GDY274" s="365"/>
      <c r="GDZ274" s="365"/>
      <c r="GEA274" s="365"/>
      <c r="GEB274" s="365"/>
      <c r="GEC274" s="365"/>
      <c r="GED274" s="365"/>
      <c r="GEE274" s="365"/>
      <c r="GEF274" s="365"/>
      <c r="GEG274" s="365"/>
      <c r="GEH274" s="365"/>
      <c r="GEI274" s="365"/>
      <c r="GEJ274" s="365"/>
      <c r="GEK274" s="365"/>
      <c r="GEL274" s="365"/>
      <c r="GEM274" s="365"/>
      <c r="GEN274" s="365"/>
      <c r="GEO274" s="365"/>
      <c r="GEP274" s="365"/>
      <c r="GEQ274" s="365"/>
      <c r="GER274" s="365"/>
      <c r="GES274" s="365"/>
      <c r="GET274" s="365"/>
      <c r="GEU274" s="365"/>
      <c r="GEV274" s="365"/>
      <c r="GEW274" s="365"/>
      <c r="GEX274" s="365"/>
      <c r="GEY274" s="365"/>
      <c r="GEZ274" s="365"/>
      <c r="GFA274" s="365"/>
      <c r="GFB274" s="365"/>
      <c r="GFC274" s="365"/>
      <c r="GFD274" s="365"/>
      <c r="GFE274" s="365"/>
      <c r="GFF274" s="365"/>
      <c r="GFG274" s="365"/>
      <c r="GFH274" s="365"/>
      <c r="GFI274" s="365"/>
      <c r="GFJ274" s="365"/>
      <c r="GFK274" s="365"/>
      <c r="GFL274" s="365"/>
      <c r="GFM274" s="365"/>
      <c r="GFN274" s="365"/>
      <c r="GFO274" s="365"/>
      <c r="GFP274" s="365"/>
      <c r="GFQ274" s="365"/>
      <c r="GFR274" s="365"/>
      <c r="GFS274" s="365"/>
      <c r="GFT274" s="365"/>
      <c r="GFU274" s="365"/>
      <c r="GFV274" s="365"/>
      <c r="GFW274" s="365"/>
      <c r="GFX274" s="365"/>
      <c r="GFY274" s="365"/>
      <c r="GFZ274" s="365"/>
      <c r="GGA274" s="365"/>
      <c r="GGB274" s="365"/>
      <c r="GGC274" s="365"/>
      <c r="GGD274" s="365"/>
      <c r="GGE274" s="365"/>
      <c r="GGF274" s="365"/>
      <c r="GGG274" s="365"/>
      <c r="GGH274" s="365"/>
      <c r="GGI274" s="365"/>
      <c r="GGJ274" s="365"/>
      <c r="GGK274" s="365"/>
      <c r="GGL274" s="365"/>
      <c r="GGM274" s="365"/>
      <c r="GGN274" s="365"/>
      <c r="GGO274" s="365"/>
      <c r="GGP274" s="365"/>
      <c r="GGQ274" s="365"/>
      <c r="GGR274" s="365"/>
      <c r="GGS274" s="365"/>
      <c r="GGT274" s="365"/>
      <c r="GGU274" s="365"/>
      <c r="GGV274" s="365"/>
      <c r="GGW274" s="365"/>
      <c r="GGX274" s="365"/>
      <c r="GGY274" s="365"/>
      <c r="GGZ274" s="365"/>
      <c r="GHA274" s="365"/>
      <c r="GHB274" s="365"/>
      <c r="GHC274" s="365"/>
      <c r="GHD274" s="365"/>
      <c r="GHE274" s="365"/>
      <c r="GHF274" s="365"/>
      <c r="GHG274" s="365"/>
      <c r="GHH274" s="365"/>
      <c r="GHI274" s="365"/>
      <c r="GHJ274" s="365"/>
      <c r="GHK274" s="365"/>
      <c r="GHL274" s="365"/>
      <c r="GHM274" s="365"/>
      <c r="GHN274" s="365"/>
      <c r="GHO274" s="365"/>
      <c r="GHP274" s="365"/>
      <c r="GHQ274" s="365"/>
      <c r="GHR274" s="365"/>
      <c r="GHS274" s="365"/>
      <c r="GHT274" s="365"/>
      <c r="GHU274" s="365"/>
      <c r="GHV274" s="365"/>
      <c r="GHW274" s="365"/>
      <c r="GHX274" s="365"/>
      <c r="GHY274" s="365"/>
      <c r="GHZ274" s="365"/>
      <c r="GIA274" s="365"/>
      <c r="GIB274" s="365"/>
      <c r="GIC274" s="365"/>
      <c r="GID274" s="365"/>
      <c r="GIE274" s="365"/>
      <c r="GIF274" s="365"/>
      <c r="GIG274" s="365"/>
      <c r="GIH274" s="365"/>
      <c r="GII274" s="365"/>
      <c r="GIJ274" s="365"/>
      <c r="GIK274" s="365"/>
      <c r="GIL274" s="365"/>
      <c r="GIM274" s="365"/>
      <c r="GIN274" s="365"/>
      <c r="GIO274" s="365"/>
      <c r="GIP274" s="365"/>
      <c r="GIQ274" s="365"/>
      <c r="GIR274" s="365"/>
      <c r="GIS274" s="365"/>
      <c r="GIT274" s="365"/>
      <c r="GIU274" s="365"/>
      <c r="GIV274" s="365"/>
      <c r="GIW274" s="365"/>
      <c r="GIX274" s="365"/>
      <c r="GIY274" s="365"/>
      <c r="GIZ274" s="365"/>
      <c r="GJA274" s="365"/>
      <c r="GJB274" s="365"/>
      <c r="GJC274" s="365"/>
      <c r="GJD274" s="365"/>
      <c r="GJE274" s="365"/>
      <c r="GJF274" s="365"/>
      <c r="GJG274" s="365"/>
      <c r="GJH274" s="365"/>
      <c r="GJI274" s="365"/>
      <c r="GJJ274" s="365"/>
      <c r="GJK274" s="365"/>
      <c r="GJL274" s="365"/>
      <c r="GJM274" s="365"/>
      <c r="GJN274" s="365"/>
      <c r="GJO274" s="365"/>
      <c r="GJP274" s="365"/>
      <c r="GJQ274" s="365"/>
      <c r="GJR274" s="365"/>
      <c r="GJS274" s="365"/>
      <c r="GJT274" s="365"/>
      <c r="GJU274" s="365"/>
      <c r="GJV274" s="365"/>
      <c r="GJW274" s="365"/>
      <c r="GJX274" s="365"/>
      <c r="GJY274" s="365"/>
      <c r="GJZ274" s="365"/>
      <c r="GKA274" s="365"/>
      <c r="GKB274" s="365"/>
      <c r="GKC274" s="365"/>
      <c r="GKD274" s="365"/>
      <c r="GKE274" s="365"/>
      <c r="GKF274" s="365"/>
      <c r="GKG274" s="365"/>
      <c r="GKH274" s="365"/>
      <c r="GKI274" s="365"/>
      <c r="GKJ274" s="365"/>
      <c r="GKK274" s="365"/>
      <c r="GKL274" s="365"/>
      <c r="GKM274" s="365"/>
      <c r="GKN274" s="365"/>
      <c r="GKO274" s="365"/>
      <c r="GKP274" s="365"/>
      <c r="GKQ274" s="365"/>
      <c r="GKR274" s="365"/>
      <c r="GKS274" s="365"/>
      <c r="GKT274" s="365"/>
      <c r="GKU274" s="365"/>
      <c r="GKV274" s="365"/>
      <c r="GKW274" s="365"/>
      <c r="GKX274" s="365"/>
      <c r="GKY274" s="365"/>
      <c r="GKZ274" s="365"/>
      <c r="GLA274" s="365"/>
      <c r="GLB274" s="365"/>
      <c r="GLC274" s="365"/>
      <c r="GLD274" s="365"/>
      <c r="GLE274" s="365"/>
      <c r="GLF274" s="365"/>
      <c r="GLG274" s="365"/>
      <c r="GLH274" s="365"/>
      <c r="GLI274" s="365"/>
      <c r="GLJ274" s="365"/>
      <c r="GLK274" s="365"/>
      <c r="GLL274" s="365"/>
      <c r="GLM274" s="365"/>
      <c r="GLN274" s="365"/>
      <c r="GLO274" s="365"/>
      <c r="GLP274" s="365"/>
      <c r="GLQ274" s="365"/>
      <c r="GLR274" s="365"/>
      <c r="GLS274" s="365"/>
      <c r="GLT274" s="365"/>
      <c r="GLU274" s="365"/>
      <c r="GLV274" s="365"/>
      <c r="GLW274" s="365"/>
      <c r="GLX274" s="365"/>
      <c r="GLY274" s="365"/>
      <c r="GLZ274" s="365"/>
      <c r="GMA274" s="365"/>
      <c r="GMB274" s="365"/>
      <c r="GMC274" s="365"/>
      <c r="GMD274" s="365"/>
      <c r="GME274" s="365"/>
      <c r="GMF274" s="365"/>
      <c r="GMG274" s="365"/>
      <c r="GMH274" s="365"/>
      <c r="GMI274" s="365"/>
      <c r="GMJ274" s="365"/>
      <c r="GMK274" s="365"/>
      <c r="GML274" s="365"/>
      <c r="GMM274" s="365"/>
      <c r="GMN274" s="365"/>
      <c r="GMO274" s="365"/>
      <c r="GMP274" s="365"/>
      <c r="GMQ274" s="365"/>
      <c r="GMR274" s="365"/>
      <c r="GMS274" s="365"/>
      <c r="GMT274" s="365"/>
      <c r="GMU274" s="365"/>
      <c r="GMV274" s="365"/>
      <c r="GMW274" s="365"/>
      <c r="GMX274" s="365"/>
      <c r="GMY274" s="365"/>
      <c r="GMZ274" s="365"/>
      <c r="GNA274" s="365"/>
      <c r="GNB274" s="365"/>
      <c r="GNC274" s="365"/>
      <c r="GND274" s="365"/>
      <c r="GNE274" s="365"/>
      <c r="GNF274" s="365"/>
      <c r="GNG274" s="365"/>
      <c r="GNH274" s="365"/>
      <c r="GNI274" s="365"/>
      <c r="GNJ274" s="365"/>
      <c r="GNK274" s="365"/>
      <c r="GNL274" s="365"/>
      <c r="GNM274" s="365"/>
      <c r="GNN274" s="365"/>
      <c r="GNO274" s="365"/>
      <c r="GNP274" s="365"/>
      <c r="GNQ274" s="365"/>
      <c r="GNR274" s="365"/>
      <c r="GNS274" s="365"/>
      <c r="GNT274" s="365"/>
      <c r="GNU274" s="365"/>
      <c r="GNV274" s="365"/>
      <c r="GNW274" s="365"/>
      <c r="GNX274" s="365"/>
      <c r="GNY274" s="365"/>
      <c r="GNZ274" s="365"/>
      <c r="GOA274" s="365"/>
      <c r="GOB274" s="365"/>
      <c r="GOC274" s="365"/>
      <c r="GOD274" s="365"/>
      <c r="GOE274" s="365"/>
      <c r="GOF274" s="365"/>
      <c r="GOG274" s="365"/>
      <c r="GOH274" s="365"/>
      <c r="GOI274" s="365"/>
      <c r="GOJ274" s="365"/>
      <c r="GOK274" s="365"/>
      <c r="GOL274" s="365"/>
      <c r="GOM274" s="365"/>
      <c r="GON274" s="365"/>
      <c r="GOO274" s="365"/>
      <c r="GOP274" s="365"/>
      <c r="GOQ274" s="365"/>
      <c r="GOR274" s="365"/>
      <c r="GOS274" s="365"/>
      <c r="GOT274" s="365"/>
      <c r="GOU274" s="365"/>
      <c r="GOV274" s="365"/>
      <c r="GOW274" s="365"/>
      <c r="GOX274" s="365"/>
      <c r="GOY274" s="365"/>
      <c r="GOZ274" s="365"/>
      <c r="GPA274" s="365"/>
      <c r="GPB274" s="365"/>
      <c r="GPC274" s="365"/>
      <c r="GPD274" s="365"/>
      <c r="GPE274" s="365"/>
      <c r="GPF274" s="365"/>
      <c r="GPG274" s="365"/>
      <c r="GPH274" s="365"/>
      <c r="GPI274" s="365"/>
      <c r="GPJ274" s="365"/>
      <c r="GPK274" s="365"/>
      <c r="GPL274" s="365"/>
      <c r="GPM274" s="365"/>
      <c r="GPN274" s="365"/>
      <c r="GPO274" s="365"/>
      <c r="GPP274" s="365"/>
      <c r="GPQ274" s="365"/>
      <c r="GPR274" s="365"/>
      <c r="GPS274" s="365"/>
      <c r="GPT274" s="365"/>
      <c r="GPU274" s="365"/>
      <c r="GPV274" s="365"/>
      <c r="GPW274" s="365"/>
      <c r="GPX274" s="365"/>
      <c r="GPY274" s="365"/>
      <c r="GPZ274" s="365"/>
      <c r="GQA274" s="365"/>
      <c r="GQB274" s="365"/>
      <c r="GQC274" s="365"/>
      <c r="GQD274" s="365"/>
      <c r="GQE274" s="365"/>
      <c r="GQF274" s="365"/>
      <c r="GQG274" s="365"/>
      <c r="GQH274" s="365"/>
      <c r="GQI274" s="365"/>
      <c r="GQJ274" s="365"/>
      <c r="GQK274" s="365"/>
      <c r="GQL274" s="365"/>
      <c r="GQM274" s="365"/>
      <c r="GQN274" s="365"/>
      <c r="GQO274" s="365"/>
      <c r="GQP274" s="365"/>
      <c r="GQQ274" s="365"/>
      <c r="GQR274" s="365"/>
      <c r="GQS274" s="365"/>
      <c r="GQT274" s="365"/>
      <c r="GQU274" s="365"/>
      <c r="GQV274" s="365"/>
      <c r="GQW274" s="365"/>
      <c r="GQX274" s="365"/>
      <c r="GQY274" s="365"/>
      <c r="GQZ274" s="365"/>
      <c r="GRA274" s="365"/>
      <c r="GRB274" s="365"/>
      <c r="GRC274" s="365"/>
      <c r="GRD274" s="365"/>
      <c r="GRE274" s="365"/>
      <c r="GRF274" s="365"/>
      <c r="GRG274" s="365"/>
      <c r="GRH274" s="365"/>
      <c r="GRI274" s="365"/>
      <c r="GRJ274" s="365"/>
      <c r="GRK274" s="365"/>
      <c r="GRL274" s="365"/>
      <c r="GRM274" s="365"/>
      <c r="GRN274" s="365"/>
      <c r="GRO274" s="365"/>
      <c r="GRP274" s="365"/>
      <c r="GRQ274" s="365"/>
      <c r="GRR274" s="365"/>
      <c r="GRS274" s="365"/>
      <c r="GRT274" s="365"/>
      <c r="GRU274" s="365"/>
      <c r="GRV274" s="365"/>
      <c r="GRW274" s="365"/>
      <c r="GRX274" s="365"/>
      <c r="GRY274" s="365"/>
      <c r="GRZ274" s="365"/>
      <c r="GSA274" s="365"/>
      <c r="GSB274" s="365"/>
      <c r="GSC274" s="365"/>
      <c r="GSD274" s="365"/>
      <c r="GSE274" s="365"/>
      <c r="GSF274" s="365"/>
      <c r="GSG274" s="365"/>
      <c r="GSH274" s="365"/>
      <c r="GSI274" s="365"/>
      <c r="GSJ274" s="365"/>
      <c r="GSK274" s="365"/>
      <c r="GSL274" s="365"/>
      <c r="GSM274" s="365"/>
      <c r="GSN274" s="365"/>
      <c r="GSO274" s="365"/>
      <c r="GSP274" s="365"/>
      <c r="GSQ274" s="365"/>
      <c r="GSR274" s="365"/>
      <c r="GSS274" s="365"/>
      <c r="GST274" s="365"/>
      <c r="GSU274" s="365"/>
      <c r="GSV274" s="365"/>
      <c r="GSW274" s="365"/>
      <c r="GSX274" s="365"/>
      <c r="GSY274" s="365"/>
      <c r="GSZ274" s="365"/>
      <c r="GTA274" s="365"/>
      <c r="GTB274" s="365"/>
      <c r="GTC274" s="365"/>
      <c r="GTD274" s="365"/>
      <c r="GTE274" s="365"/>
      <c r="GTF274" s="365"/>
      <c r="GTG274" s="365"/>
      <c r="GTH274" s="365"/>
      <c r="GTI274" s="365"/>
      <c r="GTJ274" s="365"/>
      <c r="GTK274" s="365"/>
      <c r="GTL274" s="365"/>
      <c r="GTM274" s="365"/>
      <c r="GTN274" s="365"/>
      <c r="GTO274" s="365"/>
      <c r="GTP274" s="365"/>
      <c r="GTQ274" s="365"/>
      <c r="GTR274" s="365"/>
      <c r="GTS274" s="365"/>
      <c r="GTT274" s="365"/>
      <c r="GTU274" s="365"/>
      <c r="GTV274" s="365"/>
      <c r="GTW274" s="365"/>
      <c r="GTX274" s="365"/>
      <c r="GTY274" s="365"/>
      <c r="GTZ274" s="365"/>
      <c r="GUA274" s="365"/>
      <c r="GUB274" s="365"/>
      <c r="GUC274" s="365"/>
      <c r="GUD274" s="365"/>
      <c r="GUE274" s="365"/>
      <c r="GUF274" s="365"/>
      <c r="GUG274" s="365"/>
      <c r="GUH274" s="365"/>
      <c r="GUI274" s="365"/>
      <c r="GUJ274" s="365"/>
      <c r="GUK274" s="365"/>
      <c r="GUL274" s="365"/>
      <c r="GUM274" s="365"/>
      <c r="GUN274" s="365"/>
      <c r="GUO274" s="365"/>
      <c r="GUP274" s="365"/>
      <c r="GUQ274" s="365"/>
      <c r="GUR274" s="365"/>
      <c r="GUS274" s="365"/>
      <c r="GUT274" s="365"/>
      <c r="GUU274" s="365"/>
      <c r="GUV274" s="365"/>
      <c r="GUW274" s="365"/>
      <c r="GUX274" s="365"/>
      <c r="GUY274" s="365"/>
      <c r="GUZ274" s="365"/>
      <c r="GVA274" s="365"/>
      <c r="GVB274" s="365"/>
      <c r="GVC274" s="365"/>
      <c r="GVD274" s="365"/>
      <c r="GVE274" s="365"/>
      <c r="GVF274" s="365"/>
      <c r="GVG274" s="365"/>
      <c r="GVH274" s="365"/>
      <c r="GVI274" s="365"/>
      <c r="GVJ274" s="365"/>
      <c r="GVK274" s="365"/>
      <c r="GVL274" s="365"/>
      <c r="GVM274" s="365"/>
      <c r="GVN274" s="365"/>
      <c r="GVO274" s="365"/>
      <c r="GVP274" s="365"/>
      <c r="GVQ274" s="365"/>
      <c r="GVR274" s="365"/>
      <c r="GVS274" s="365"/>
      <c r="GVT274" s="365"/>
      <c r="GVU274" s="365"/>
      <c r="GVV274" s="365"/>
      <c r="GVW274" s="365"/>
      <c r="GVX274" s="365"/>
      <c r="GVY274" s="365"/>
      <c r="GVZ274" s="365"/>
      <c r="GWA274" s="365"/>
      <c r="GWB274" s="365"/>
      <c r="GWC274" s="365"/>
      <c r="GWD274" s="365"/>
      <c r="GWE274" s="365"/>
      <c r="GWF274" s="365"/>
      <c r="GWG274" s="365"/>
      <c r="GWH274" s="365"/>
      <c r="GWI274" s="365"/>
      <c r="GWJ274" s="365"/>
      <c r="GWK274" s="365"/>
      <c r="GWL274" s="365"/>
      <c r="GWM274" s="365"/>
      <c r="GWN274" s="365"/>
      <c r="GWO274" s="365"/>
      <c r="GWP274" s="365"/>
      <c r="GWQ274" s="365"/>
      <c r="GWR274" s="365"/>
      <c r="GWS274" s="365"/>
      <c r="GWT274" s="365"/>
      <c r="GWU274" s="365"/>
      <c r="GWV274" s="365"/>
      <c r="GWW274" s="365"/>
      <c r="GWX274" s="365"/>
      <c r="GWY274" s="365"/>
      <c r="GWZ274" s="365"/>
      <c r="GXA274" s="365"/>
      <c r="GXB274" s="365"/>
      <c r="GXC274" s="365"/>
      <c r="GXD274" s="365"/>
      <c r="GXE274" s="365"/>
      <c r="GXF274" s="365"/>
      <c r="GXG274" s="365"/>
      <c r="GXH274" s="365"/>
      <c r="GXI274" s="365"/>
      <c r="GXJ274" s="365"/>
      <c r="GXK274" s="365"/>
      <c r="GXL274" s="365"/>
      <c r="GXM274" s="365"/>
      <c r="GXN274" s="365"/>
      <c r="GXO274" s="365"/>
      <c r="GXP274" s="365"/>
      <c r="GXQ274" s="365"/>
      <c r="GXR274" s="365"/>
      <c r="GXS274" s="365"/>
      <c r="GXT274" s="365"/>
      <c r="GXU274" s="365"/>
      <c r="GXV274" s="365"/>
      <c r="GXW274" s="365"/>
      <c r="GXX274" s="365"/>
      <c r="GXY274" s="365"/>
      <c r="GXZ274" s="365"/>
      <c r="GYA274" s="365"/>
      <c r="GYB274" s="365"/>
      <c r="GYC274" s="365"/>
      <c r="GYD274" s="365"/>
      <c r="GYE274" s="365"/>
      <c r="GYF274" s="365"/>
      <c r="GYG274" s="365"/>
      <c r="GYH274" s="365"/>
      <c r="GYI274" s="365"/>
      <c r="GYJ274" s="365"/>
      <c r="GYK274" s="365"/>
      <c r="GYL274" s="365"/>
      <c r="GYM274" s="365"/>
      <c r="GYN274" s="365"/>
      <c r="GYO274" s="365"/>
      <c r="GYP274" s="365"/>
      <c r="GYQ274" s="365"/>
      <c r="GYR274" s="365"/>
      <c r="GYS274" s="365"/>
      <c r="GYT274" s="365"/>
      <c r="GYU274" s="365"/>
      <c r="GYV274" s="365"/>
      <c r="GYW274" s="365"/>
      <c r="GYX274" s="365"/>
      <c r="GYY274" s="365"/>
      <c r="GYZ274" s="365"/>
      <c r="GZA274" s="365"/>
      <c r="GZB274" s="365"/>
      <c r="GZC274" s="365"/>
      <c r="GZD274" s="365"/>
      <c r="GZE274" s="365"/>
      <c r="GZF274" s="365"/>
      <c r="GZG274" s="365"/>
      <c r="GZH274" s="365"/>
      <c r="GZI274" s="365"/>
      <c r="GZJ274" s="365"/>
      <c r="GZK274" s="365"/>
      <c r="GZL274" s="365"/>
      <c r="GZM274" s="365"/>
      <c r="GZN274" s="365"/>
      <c r="GZO274" s="365"/>
      <c r="GZP274" s="365"/>
      <c r="GZQ274" s="365"/>
      <c r="GZR274" s="365"/>
      <c r="GZS274" s="365"/>
      <c r="GZT274" s="365"/>
      <c r="GZU274" s="365"/>
      <c r="GZV274" s="365"/>
      <c r="GZW274" s="365"/>
      <c r="GZX274" s="365"/>
      <c r="GZY274" s="365"/>
      <c r="GZZ274" s="365"/>
      <c r="HAA274" s="365"/>
      <c r="HAB274" s="365"/>
      <c r="HAC274" s="365"/>
      <c r="HAD274" s="365"/>
      <c r="HAE274" s="365"/>
      <c r="HAF274" s="365"/>
      <c r="HAG274" s="365"/>
      <c r="HAH274" s="365"/>
      <c r="HAI274" s="365"/>
      <c r="HAJ274" s="365"/>
      <c r="HAK274" s="365"/>
      <c r="HAL274" s="365"/>
      <c r="HAM274" s="365"/>
      <c r="HAN274" s="365"/>
      <c r="HAO274" s="365"/>
      <c r="HAP274" s="365"/>
      <c r="HAQ274" s="365"/>
      <c r="HAR274" s="365"/>
      <c r="HAS274" s="365"/>
      <c r="HAT274" s="365"/>
      <c r="HAU274" s="365"/>
      <c r="HAV274" s="365"/>
      <c r="HAW274" s="365"/>
      <c r="HAX274" s="365"/>
      <c r="HAY274" s="365"/>
      <c r="HAZ274" s="365"/>
      <c r="HBA274" s="365"/>
      <c r="HBB274" s="365"/>
      <c r="HBC274" s="365"/>
      <c r="HBD274" s="365"/>
      <c r="HBE274" s="365"/>
      <c r="HBF274" s="365"/>
      <c r="HBG274" s="365"/>
      <c r="HBH274" s="365"/>
      <c r="HBI274" s="365"/>
      <c r="HBJ274" s="365"/>
      <c r="HBK274" s="365"/>
      <c r="HBL274" s="365"/>
      <c r="HBM274" s="365"/>
      <c r="HBN274" s="365"/>
      <c r="HBO274" s="365"/>
      <c r="HBP274" s="365"/>
      <c r="HBQ274" s="365"/>
      <c r="HBR274" s="365"/>
      <c r="HBS274" s="365"/>
      <c r="HBT274" s="365"/>
      <c r="HBU274" s="365"/>
      <c r="HBV274" s="365"/>
      <c r="HBW274" s="365"/>
      <c r="HBX274" s="365"/>
      <c r="HBY274" s="365"/>
      <c r="HBZ274" s="365"/>
      <c r="HCA274" s="365"/>
      <c r="HCB274" s="365"/>
      <c r="HCC274" s="365"/>
      <c r="HCD274" s="365"/>
      <c r="HCE274" s="365"/>
      <c r="HCF274" s="365"/>
      <c r="HCG274" s="365"/>
      <c r="HCH274" s="365"/>
      <c r="HCI274" s="365"/>
      <c r="HCJ274" s="365"/>
      <c r="HCK274" s="365"/>
      <c r="HCL274" s="365"/>
      <c r="HCM274" s="365"/>
      <c r="HCN274" s="365"/>
      <c r="HCO274" s="365"/>
      <c r="HCP274" s="365"/>
      <c r="HCQ274" s="365"/>
      <c r="HCR274" s="365"/>
      <c r="HCS274" s="365"/>
      <c r="HCT274" s="365"/>
      <c r="HCU274" s="365"/>
      <c r="HCV274" s="365"/>
      <c r="HCW274" s="365"/>
      <c r="HCX274" s="365"/>
      <c r="HCY274" s="365"/>
      <c r="HCZ274" s="365"/>
      <c r="HDA274" s="365"/>
      <c r="HDB274" s="365"/>
      <c r="HDC274" s="365"/>
      <c r="HDD274" s="365"/>
      <c r="HDE274" s="365"/>
      <c r="HDF274" s="365"/>
      <c r="HDG274" s="365"/>
      <c r="HDH274" s="365"/>
      <c r="HDI274" s="365"/>
      <c r="HDJ274" s="365"/>
      <c r="HDK274" s="365"/>
      <c r="HDL274" s="365"/>
      <c r="HDM274" s="365"/>
      <c r="HDN274" s="365"/>
      <c r="HDO274" s="365"/>
      <c r="HDP274" s="365"/>
      <c r="HDQ274" s="365"/>
      <c r="HDR274" s="365"/>
      <c r="HDS274" s="365"/>
      <c r="HDT274" s="365"/>
      <c r="HDU274" s="365"/>
      <c r="HDV274" s="365"/>
      <c r="HDW274" s="365"/>
      <c r="HDX274" s="365"/>
      <c r="HDY274" s="365"/>
      <c r="HDZ274" s="365"/>
      <c r="HEA274" s="365"/>
      <c r="HEB274" s="365"/>
      <c r="HEC274" s="365"/>
      <c r="HED274" s="365"/>
      <c r="HEE274" s="365"/>
      <c r="HEF274" s="365"/>
      <c r="HEG274" s="365"/>
      <c r="HEH274" s="365"/>
      <c r="HEI274" s="365"/>
      <c r="HEJ274" s="365"/>
      <c r="HEK274" s="365"/>
      <c r="HEL274" s="365"/>
      <c r="HEM274" s="365"/>
      <c r="HEN274" s="365"/>
      <c r="HEO274" s="365"/>
      <c r="HEP274" s="365"/>
      <c r="HEQ274" s="365"/>
      <c r="HER274" s="365"/>
      <c r="HES274" s="365"/>
      <c r="HET274" s="365"/>
      <c r="HEU274" s="365"/>
      <c r="HEV274" s="365"/>
      <c r="HEW274" s="365"/>
      <c r="HEX274" s="365"/>
      <c r="HEY274" s="365"/>
      <c r="HEZ274" s="365"/>
      <c r="HFA274" s="365"/>
      <c r="HFB274" s="365"/>
      <c r="HFC274" s="365"/>
      <c r="HFD274" s="365"/>
      <c r="HFE274" s="365"/>
      <c r="HFF274" s="365"/>
      <c r="HFG274" s="365"/>
      <c r="HFH274" s="365"/>
      <c r="HFI274" s="365"/>
      <c r="HFJ274" s="365"/>
      <c r="HFK274" s="365"/>
      <c r="HFL274" s="365"/>
      <c r="HFM274" s="365"/>
      <c r="HFN274" s="365"/>
      <c r="HFO274" s="365"/>
      <c r="HFP274" s="365"/>
      <c r="HFQ274" s="365"/>
      <c r="HFR274" s="365"/>
      <c r="HFS274" s="365"/>
      <c r="HFT274" s="365"/>
      <c r="HFU274" s="365"/>
      <c r="HFV274" s="365"/>
      <c r="HFW274" s="365"/>
      <c r="HFX274" s="365"/>
      <c r="HFY274" s="365"/>
      <c r="HFZ274" s="365"/>
      <c r="HGA274" s="365"/>
      <c r="HGB274" s="365"/>
      <c r="HGC274" s="365"/>
      <c r="HGD274" s="365"/>
      <c r="HGE274" s="365"/>
      <c r="HGF274" s="365"/>
      <c r="HGG274" s="365"/>
      <c r="HGH274" s="365"/>
      <c r="HGI274" s="365"/>
      <c r="HGJ274" s="365"/>
      <c r="HGK274" s="365"/>
      <c r="HGL274" s="365"/>
      <c r="HGM274" s="365"/>
      <c r="HGN274" s="365"/>
      <c r="HGO274" s="365"/>
      <c r="HGP274" s="365"/>
      <c r="HGQ274" s="365"/>
      <c r="HGR274" s="365"/>
      <c r="HGS274" s="365"/>
      <c r="HGT274" s="365"/>
      <c r="HGU274" s="365"/>
      <c r="HGV274" s="365"/>
      <c r="HGW274" s="365"/>
      <c r="HGX274" s="365"/>
      <c r="HGY274" s="365"/>
      <c r="HGZ274" s="365"/>
      <c r="HHA274" s="365"/>
      <c r="HHB274" s="365"/>
      <c r="HHC274" s="365"/>
      <c r="HHD274" s="365"/>
      <c r="HHE274" s="365"/>
      <c r="HHF274" s="365"/>
      <c r="HHG274" s="365"/>
      <c r="HHH274" s="365"/>
      <c r="HHI274" s="365"/>
      <c r="HHJ274" s="365"/>
      <c r="HHK274" s="365"/>
      <c r="HHL274" s="365"/>
      <c r="HHM274" s="365"/>
      <c r="HHN274" s="365"/>
      <c r="HHO274" s="365"/>
      <c r="HHP274" s="365"/>
      <c r="HHQ274" s="365"/>
      <c r="HHR274" s="365"/>
      <c r="HHS274" s="365"/>
      <c r="HHT274" s="365"/>
      <c r="HHU274" s="365"/>
      <c r="HHV274" s="365"/>
      <c r="HHW274" s="365"/>
      <c r="HHX274" s="365"/>
      <c r="HHY274" s="365"/>
      <c r="HHZ274" s="365"/>
      <c r="HIA274" s="365"/>
      <c r="HIB274" s="365"/>
      <c r="HIC274" s="365"/>
      <c r="HID274" s="365"/>
      <c r="HIE274" s="365"/>
      <c r="HIF274" s="365"/>
      <c r="HIG274" s="365"/>
      <c r="HIH274" s="365"/>
      <c r="HII274" s="365"/>
      <c r="HIJ274" s="365"/>
      <c r="HIK274" s="365"/>
      <c r="HIL274" s="365"/>
      <c r="HIM274" s="365"/>
      <c r="HIN274" s="365"/>
      <c r="HIO274" s="365"/>
      <c r="HIP274" s="365"/>
      <c r="HIQ274" s="365"/>
      <c r="HIR274" s="365"/>
      <c r="HIS274" s="365"/>
      <c r="HIT274" s="365"/>
      <c r="HIU274" s="365"/>
      <c r="HIV274" s="365"/>
      <c r="HIW274" s="365"/>
      <c r="HIX274" s="365"/>
      <c r="HIY274" s="365"/>
      <c r="HIZ274" s="365"/>
      <c r="HJA274" s="365"/>
      <c r="HJB274" s="365"/>
      <c r="HJC274" s="365"/>
      <c r="HJD274" s="365"/>
      <c r="HJE274" s="365"/>
      <c r="HJF274" s="365"/>
      <c r="HJG274" s="365"/>
      <c r="HJH274" s="365"/>
      <c r="HJI274" s="365"/>
      <c r="HJJ274" s="365"/>
      <c r="HJK274" s="365"/>
      <c r="HJL274" s="365"/>
      <c r="HJM274" s="365"/>
      <c r="HJN274" s="365"/>
      <c r="HJO274" s="365"/>
      <c r="HJP274" s="365"/>
      <c r="HJQ274" s="365"/>
      <c r="HJR274" s="365"/>
      <c r="HJS274" s="365"/>
      <c r="HJT274" s="365"/>
      <c r="HJU274" s="365"/>
      <c r="HJV274" s="365"/>
      <c r="HJW274" s="365"/>
      <c r="HJX274" s="365"/>
      <c r="HJY274" s="365"/>
      <c r="HJZ274" s="365"/>
      <c r="HKA274" s="365"/>
      <c r="HKB274" s="365"/>
      <c r="HKC274" s="365"/>
      <c r="HKD274" s="365"/>
      <c r="HKE274" s="365"/>
      <c r="HKF274" s="365"/>
      <c r="HKG274" s="365"/>
      <c r="HKH274" s="365"/>
      <c r="HKI274" s="365"/>
      <c r="HKJ274" s="365"/>
      <c r="HKK274" s="365"/>
      <c r="HKL274" s="365"/>
      <c r="HKM274" s="365"/>
      <c r="HKN274" s="365"/>
      <c r="HKO274" s="365"/>
      <c r="HKP274" s="365"/>
      <c r="HKQ274" s="365"/>
      <c r="HKR274" s="365"/>
      <c r="HKS274" s="365"/>
      <c r="HKT274" s="365"/>
      <c r="HKU274" s="365"/>
      <c r="HKV274" s="365"/>
      <c r="HKW274" s="365"/>
      <c r="HKX274" s="365"/>
      <c r="HKY274" s="365"/>
      <c r="HKZ274" s="365"/>
      <c r="HLA274" s="365"/>
      <c r="HLB274" s="365"/>
      <c r="HLC274" s="365"/>
      <c r="HLD274" s="365"/>
      <c r="HLE274" s="365"/>
      <c r="HLF274" s="365"/>
      <c r="HLG274" s="365"/>
      <c r="HLH274" s="365"/>
      <c r="HLI274" s="365"/>
      <c r="HLJ274" s="365"/>
      <c r="HLK274" s="365"/>
      <c r="HLL274" s="365"/>
      <c r="HLM274" s="365"/>
      <c r="HLN274" s="365"/>
      <c r="HLO274" s="365"/>
      <c r="HLP274" s="365"/>
      <c r="HLQ274" s="365"/>
      <c r="HLR274" s="365"/>
      <c r="HLS274" s="365"/>
      <c r="HLT274" s="365"/>
      <c r="HLU274" s="365"/>
      <c r="HLV274" s="365"/>
      <c r="HLW274" s="365"/>
      <c r="HLX274" s="365"/>
      <c r="HLY274" s="365"/>
      <c r="HLZ274" s="365"/>
      <c r="HMA274" s="365"/>
      <c r="HMB274" s="365"/>
      <c r="HMC274" s="365"/>
      <c r="HMD274" s="365"/>
      <c r="HME274" s="365"/>
      <c r="HMF274" s="365"/>
      <c r="HMG274" s="365"/>
      <c r="HMH274" s="365"/>
      <c r="HMI274" s="365"/>
      <c r="HMJ274" s="365"/>
      <c r="HMK274" s="365"/>
      <c r="HML274" s="365"/>
      <c r="HMM274" s="365"/>
      <c r="HMN274" s="365"/>
      <c r="HMO274" s="365"/>
      <c r="HMP274" s="365"/>
      <c r="HMQ274" s="365"/>
      <c r="HMR274" s="365"/>
      <c r="HMS274" s="365"/>
      <c r="HMT274" s="365"/>
      <c r="HMU274" s="365"/>
      <c r="HMV274" s="365"/>
      <c r="HMW274" s="365"/>
      <c r="HMX274" s="365"/>
      <c r="HMY274" s="365"/>
      <c r="HMZ274" s="365"/>
      <c r="HNA274" s="365"/>
      <c r="HNB274" s="365"/>
      <c r="HNC274" s="365"/>
      <c r="HND274" s="365"/>
      <c r="HNE274" s="365"/>
      <c r="HNF274" s="365"/>
      <c r="HNG274" s="365"/>
      <c r="HNH274" s="365"/>
      <c r="HNI274" s="365"/>
      <c r="HNJ274" s="365"/>
      <c r="HNK274" s="365"/>
      <c r="HNL274" s="365"/>
      <c r="HNM274" s="365"/>
      <c r="HNN274" s="365"/>
      <c r="HNO274" s="365"/>
      <c r="HNP274" s="365"/>
      <c r="HNQ274" s="365"/>
      <c r="HNR274" s="365"/>
      <c r="HNS274" s="365"/>
      <c r="HNT274" s="365"/>
      <c r="HNU274" s="365"/>
      <c r="HNV274" s="365"/>
      <c r="HNW274" s="365"/>
      <c r="HNX274" s="365"/>
      <c r="HNY274" s="365"/>
      <c r="HNZ274" s="365"/>
      <c r="HOA274" s="365"/>
      <c r="HOB274" s="365"/>
      <c r="HOC274" s="365"/>
      <c r="HOD274" s="365"/>
      <c r="HOE274" s="365"/>
      <c r="HOF274" s="365"/>
      <c r="HOG274" s="365"/>
      <c r="HOH274" s="365"/>
      <c r="HOI274" s="365"/>
      <c r="HOJ274" s="365"/>
      <c r="HOK274" s="365"/>
      <c r="HOL274" s="365"/>
      <c r="HOM274" s="365"/>
      <c r="HON274" s="365"/>
      <c r="HOO274" s="365"/>
      <c r="HOP274" s="365"/>
      <c r="HOQ274" s="365"/>
      <c r="HOR274" s="365"/>
      <c r="HOS274" s="365"/>
      <c r="HOT274" s="365"/>
      <c r="HOU274" s="365"/>
      <c r="HOV274" s="365"/>
      <c r="HOW274" s="365"/>
      <c r="HOX274" s="365"/>
      <c r="HOY274" s="365"/>
      <c r="HOZ274" s="365"/>
      <c r="HPA274" s="365"/>
      <c r="HPB274" s="365"/>
      <c r="HPC274" s="365"/>
      <c r="HPD274" s="365"/>
      <c r="HPE274" s="365"/>
      <c r="HPF274" s="365"/>
      <c r="HPG274" s="365"/>
      <c r="HPH274" s="365"/>
      <c r="HPI274" s="365"/>
      <c r="HPJ274" s="365"/>
      <c r="HPK274" s="365"/>
      <c r="HPL274" s="365"/>
      <c r="HPM274" s="365"/>
      <c r="HPN274" s="365"/>
      <c r="HPO274" s="365"/>
      <c r="HPP274" s="365"/>
      <c r="HPQ274" s="365"/>
      <c r="HPR274" s="365"/>
      <c r="HPS274" s="365"/>
      <c r="HPT274" s="365"/>
      <c r="HPU274" s="365"/>
      <c r="HPV274" s="365"/>
      <c r="HPW274" s="365"/>
      <c r="HPX274" s="365"/>
      <c r="HPY274" s="365"/>
      <c r="HPZ274" s="365"/>
      <c r="HQA274" s="365"/>
      <c r="HQB274" s="365"/>
      <c r="HQC274" s="365"/>
      <c r="HQD274" s="365"/>
      <c r="HQE274" s="365"/>
      <c r="HQF274" s="365"/>
      <c r="HQG274" s="365"/>
      <c r="HQH274" s="365"/>
      <c r="HQI274" s="365"/>
      <c r="HQJ274" s="365"/>
      <c r="HQK274" s="365"/>
      <c r="HQL274" s="365"/>
      <c r="HQM274" s="365"/>
      <c r="HQN274" s="365"/>
      <c r="HQO274" s="365"/>
      <c r="HQP274" s="365"/>
      <c r="HQQ274" s="365"/>
      <c r="HQR274" s="365"/>
      <c r="HQS274" s="365"/>
      <c r="HQT274" s="365"/>
      <c r="HQU274" s="365"/>
      <c r="HQV274" s="365"/>
      <c r="HQW274" s="365"/>
      <c r="HQX274" s="365"/>
      <c r="HQY274" s="365"/>
      <c r="HQZ274" s="365"/>
      <c r="HRA274" s="365"/>
      <c r="HRB274" s="365"/>
      <c r="HRC274" s="365"/>
      <c r="HRD274" s="365"/>
      <c r="HRE274" s="365"/>
      <c r="HRF274" s="365"/>
      <c r="HRG274" s="365"/>
      <c r="HRH274" s="365"/>
      <c r="HRI274" s="365"/>
      <c r="HRJ274" s="365"/>
      <c r="HRK274" s="365"/>
      <c r="HRL274" s="365"/>
      <c r="HRM274" s="365"/>
      <c r="HRN274" s="365"/>
      <c r="HRO274" s="365"/>
      <c r="HRP274" s="365"/>
      <c r="HRQ274" s="365"/>
      <c r="HRR274" s="365"/>
      <c r="HRS274" s="365"/>
      <c r="HRT274" s="365"/>
      <c r="HRU274" s="365"/>
      <c r="HRV274" s="365"/>
      <c r="HRW274" s="365"/>
      <c r="HRX274" s="365"/>
      <c r="HRY274" s="365"/>
      <c r="HRZ274" s="365"/>
      <c r="HSA274" s="365"/>
      <c r="HSB274" s="365"/>
      <c r="HSC274" s="365"/>
      <c r="HSD274" s="365"/>
      <c r="HSE274" s="365"/>
      <c r="HSF274" s="365"/>
      <c r="HSG274" s="365"/>
      <c r="HSH274" s="365"/>
      <c r="HSI274" s="365"/>
      <c r="HSJ274" s="365"/>
      <c r="HSK274" s="365"/>
      <c r="HSL274" s="365"/>
      <c r="HSM274" s="365"/>
      <c r="HSN274" s="365"/>
      <c r="HSO274" s="365"/>
      <c r="HSP274" s="365"/>
      <c r="HSQ274" s="365"/>
      <c r="HSR274" s="365"/>
      <c r="HSS274" s="365"/>
      <c r="HST274" s="365"/>
      <c r="HSU274" s="365"/>
      <c r="HSV274" s="365"/>
      <c r="HSW274" s="365"/>
      <c r="HSX274" s="365"/>
      <c r="HSY274" s="365"/>
      <c r="HSZ274" s="365"/>
      <c r="HTA274" s="365"/>
      <c r="HTB274" s="365"/>
      <c r="HTC274" s="365"/>
      <c r="HTD274" s="365"/>
      <c r="HTE274" s="365"/>
      <c r="HTF274" s="365"/>
      <c r="HTG274" s="365"/>
      <c r="HTH274" s="365"/>
      <c r="HTI274" s="365"/>
      <c r="HTJ274" s="365"/>
      <c r="HTK274" s="365"/>
      <c r="HTL274" s="365"/>
      <c r="HTM274" s="365"/>
      <c r="HTN274" s="365"/>
      <c r="HTO274" s="365"/>
      <c r="HTP274" s="365"/>
      <c r="HTQ274" s="365"/>
      <c r="HTR274" s="365"/>
      <c r="HTS274" s="365"/>
      <c r="HTT274" s="365"/>
      <c r="HTU274" s="365"/>
      <c r="HTV274" s="365"/>
      <c r="HTW274" s="365"/>
      <c r="HTX274" s="365"/>
      <c r="HTY274" s="365"/>
      <c r="HTZ274" s="365"/>
      <c r="HUA274" s="365"/>
      <c r="HUB274" s="365"/>
      <c r="HUC274" s="365"/>
      <c r="HUD274" s="365"/>
      <c r="HUE274" s="365"/>
      <c r="HUF274" s="365"/>
      <c r="HUG274" s="365"/>
      <c r="HUH274" s="365"/>
      <c r="HUI274" s="365"/>
      <c r="HUJ274" s="365"/>
      <c r="HUK274" s="365"/>
      <c r="HUL274" s="365"/>
      <c r="HUM274" s="365"/>
      <c r="HUN274" s="365"/>
      <c r="HUO274" s="365"/>
      <c r="HUP274" s="365"/>
      <c r="HUQ274" s="365"/>
      <c r="HUR274" s="365"/>
      <c r="HUS274" s="365"/>
      <c r="HUT274" s="365"/>
      <c r="HUU274" s="365"/>
      <c r="HUV274" s="365"/>
      <c r="HUW274" s="365"/>
      <c r="HUX274" s="365"/>
      <c r="HUY274" s="365"/>
      <c r="HUZ274" s="365"/>
      <c r="HVA274" s="365"/>
      <c r="HVB274" s="365"/>
      <c r="HVC274" s="365"/>
      <c r="HVD274" s="365"/>
      <c r="HVE274" s="365"/>
      <c r="HVF274" s="365"/>
      <c r="HVG274" s="365"/>
      <c r="HVH274" s="365"/>
      <c r="HVI274" s="365"/>
      <c r="HVJ274" s="365"/>
      <c r="HVK274" s="365"/>
      <c r="HVL274" s="365"/>
      <c r="HVM274" s="365"/>
      <c r="HVN274" s="365"/>
      <c r="HVO274" s="365"/>
      <c r="HVP274" s="365"/>
      <c r="HVQ274" s="365"/>
      <c r="HVR274" s="365"/>
      <c r="HVS274" s="365"/>
      <c r="HVT274" s="365"/>
      <c r="HVU274" s="365"/>
      <c r="HVV274" s="365"/>
      <c r="HVW274" s="365"/>
      <c r="HVX274" s="365"/>
      <c r="HVY274" s="365"/>
      <c r="HVZ274" s="365"/>
      <c r="HWA274" s="365"/>
      <c r="HWB274" s="365"/>
      <c r="HWC274" s="365"/>
      <c r="HWD274" s="365"/>
      <c r="HWE274" s="365"/>
      <c r="HWF274" s="365"/>
      <c r="HWG274" s="365"/>
      <c r="HWH274" s="365"/>
      <c r="HWI274" s="365"/>
      <c r="HWJ274" s="365"/>
      <c r="HWK274" s="365"/>
      <c r="HWL274" s="365"/>
      <c r="HWM274" s="365"/>
      <c r="HWN274" s="365"/>
      <c r="HWO274" s="365"/>
      <c r="HWP274" s="365"/>
      <c r="HWQ274" s="365"/>
      <c r="HWR274" s="365"/>
      <c r="HWS274" s="365"/>
      <c r="HWT274" s="365"/>
      <c r="HWU274" s="365"/>
      <c r="HWV274" s="365"/>
      <c r="HWW274" s="365"/>
      <c r="HWX274" s="365"/>
      <c r="HWY274" s="365"/>
      <c r="HWZ274" s="365"/>
      <c r="HXA274" s="365"/>
      <c r="HXB274" s="365"/>
      <c r="HXC274" s="365"/>
      <c r="HXD274" s="365"/>
      <c r="HXE274" s="365"/>
      <c r="HXF274" s="365"/>
      <c r="HXG274" s="365"/>
      <c r="HXH274" s="365"/>
      <c r="HXI274" s="365"/>
      <c r="HXJ274" s="365"/>
      <c r="HXK274" s="365"/>
      <c r="HXL274" s="365"/>
      <c r="HXM274" s="365"/>
      <c r="HXN274" s="365"/>
      <c r="HXO274" s="365"/>
      <c r="HXP274" s="365"/>
      <c r="HXQ274" s="365"/>
      <c r="HXR274" s="365"/>
      <c r="HXS274" s="365"/>
      <c r="HXT274" s="365"/>
      <c r="HXU274" s="365"/>
      <c r="HXV274" s="365"/>
      <c r="HXW274" s="365"/>
      <c r="HXX274" s="365"/>
      <c r="HXY274" s="365"/>
      <c r="HXZ274" s="365"/>
      <c r="HYA274" s="365"/>
      <c r="HYB274" s="365"/>
      <c r="HYC274" s="365"/>
      <c r="HYD274" s="365"/>
      <c r="HYE274" s="365"/>
      <c r="HYF274" s="365"/>
      <c r="HYG274" s="365"/>
      <c r="HYH274" s="365"/>
      <c r="HYI274" s="365"/>
      <c r="HYJ274" s="365"/>
      <c r="HYK274" s="365"/>
      <c r="HYL274" s="365"/>
      <c r="HYM274" s="365"/>
      <c r="HYN274" s="365"/>
      <c r="HYO274" s="365"/>
      <c r="HYP274" s="365"/>
      <c r="HYQ274" s="365"/>
      <c r="HYR274" s="365"/>
      <c r="HYS274" s="365"/>
      <c r="HYT274" s="365"/>
      <c r="HYU274" s="365"/>
      <c r="HYV274" s="365"/>
      <c r="HYW274" s="365"/>
      <c r="HYX274" s="365"/>
      <c r="HYY274" s="365"/>
      <c r="HYZ274" s="365"/>
      <c r="HZA274" s="365"/>
      <c r="HZB274" s="365"/>
      <c r="HZC274" s="365"/>
      <c r="HZD274" s="365"/>
      <c r="HZE274" s="365"/>
      <c r="HZF274" s="365"/>
      <c r="HZG274" s="365"/>
      <c r="HZH274" s="365"/>
      <c r="HZI274" s="365"/>
      <c r="HZJ274" s="365"/>
      <c r="HZK274" s="365"/>
      <c r="HZL274" s="365"/>
      <c r="HZM274" s="365"/>
      <c r="HZN274" s="365"/>
      <c r="HZO274" s="365"/>
      <c r="HZP274" s="365"/>
      <c r="HZQ274" s="365"/>
      <c r="HZR274" s="365"/>
      <c r="HZS274" s="365"/>
      <c r="HZT274" s="365"/>
      <c r="HZU274" s="365"/>
      <c r="HZV274" s="365"/>
      <c r="HZW274" s="365"/>
      <c r="HZX274" s="365"/>
      <c r="HZY274" s="365"/>
      <c r="HZZ274" s="365"/>
      <c r="IAA274" s="365"/>
      <c r="IAB274" s="365"/>
      <c r="IAC274" s="365"/>
      <c r="IAD274" s="365"/>
      <c r="IAE274" s="365"/>
      <c r="IAF274" s="365"/>
      <c r="IAG274" s="365"/>
      <c r="IAH274" s="365"/>
      <c r="IAI274" s="365"/>
      <c r="IAJ274" s="365"/>
      <c r="IAK274" s="365"/>
      <c r="IAL274" s="365"/>
      <c r="IAM274" s="365"/>
      <c r="IAN274" s="365"/>
      <c r="IAO274" s="365"/>
      <c r="IAP274" s="365"/>
      <c r="IAQ274" s="365"/>
      <c r="IAR274" s="365"/>
      <c r="IAS274" s="365"/>
      <c r="IAT274" s="365"/>
      <c r="IAU274" s="365"/>
      <c r="IAV274" s="365"/>
      <c r="IAW274" s="365"/>
      <c r="IAX274" s="365"/>
      <c r="IAY274" s="365"/>
      <c r="IAZ274" s="365"/>
      <c r="IBA274" s="365"/>
      <c r="IBB274" s="365"/>
      <c r="IBC274" s="365"/>
      <c r="IBD274" s="365"/>
      <c r="IBE274" s="365"/>
      <c r="IBF274" s="365"/>
      <c r="IBG274" s="365"/>
      <c r="IBH274" s="365"/>
      <c r="IBI274" s="365"/>
      <c r="IBJ274" s="365"/>
      <c r="IBK274" s="365"/>
      <c r="IBL274" s="365"/>
      <c r="IBM274" s="365"/>
      <c r="IBN274" s="365"/>
      <c r="IBO274" s="365"/>
      <c r="IBP274" s="365"/>
      <c r="IBQ274" s="365"/>
      <c r="IBR274" s="365"/>
      <c r="IBS274" s="365"/>
      <c r="IBT274" s="365"/>
      <c r="IBU274" s="365"/>
      <c r="IBV274" s="365"/>
      <c r="IBW274" s="365"/>
      <c r="IBX274" s="365"/>
      <c r="IBY274" s="365"/>
      <c r="IBZ274" s="365"/>
      <c r="ICA274" s="365"/>
      <c r="ICB274" s="365"/>
      <c r="ICC274" s="365"/>
      <c r="ICD274" s="365"/>
      <c r="ICE274" s="365"/>
      <c r="ICF274" s="365"/>
      <c r="ICG274" s="365"/>
      <c r="ICH274" s="365"/>
      <c r="ICI274" s="365"/>
      <c r="ICJ274" s="365"/>
      <c r="ICK274" s="365"/>
      <c r="ICL274" s="365"/>
      <c r="ICM274" s="365"/>
      <c r="ICN274" s="365"/>
      <c r="ICO274" s="365"/>
      <c r="ICP274" s="365"/>
      <c r="ICQ274" s="365"/>
      <c r="ICR274" s="365"/>
      <c r="ICS274" s="365"/>
      <c r="ICT274" s="365"/>
      <c r="ICU274" s="365"/>
      <c r="ICV274" s="365"/>
      <c r="ICW274" s="365"/>
      <c r="ICX274" s="365"/>
      <c r="ICY274" s="365"/>
      <c r="ICZ274" s="365"/>
      <c r="IDA274" s="365"/>
      <c r="IDB274" s="365"/>
      <c r="IDC274" s="365"/>
      <c r="IDD274" s="365"/>
      <c r="IDE274" s="365"/>
      <c r="IDF274" s="365"/>
      <c r="IDG274" s="365"/>
      <c r="IDH274" s="365"/>
      <c r="IDI274" s="365"/>
      <c r="IDJ274" s="365"/>
      <c r="IDK274" s="365"/>
      <c r="IDL274" s="365"/>
      <c r="IDM274" s="365"/>
      <c r="IDN274" s="365"/>
      <c r="IDO274" s="365"/>
      <c r="IDP274" s="365"/>
      <c r="IDQ274" s="365"/>
      <c r="IDR274" s="365"/>
      <c r="IDS274" s="365"/>
      <c r="IDT274" s="365"/>
      <c r="IDU274" s="365"/>
      <c r="IDV274" s="365"/>
      <c r="IDW274" s="365"/>
      <c r="IDX274" s="365"/>
      <c r="IDY274" s="365"/>
      <c r="IDZ274" s="365"/>
      <c r="IEA274" s="365"/>
      <c r="IEB274" s="365"/>
      <c r="IEC274" s="365"/>
      <c r="IED274" s="365"/>
      <c r="IEE274" s="365"/>
      <c r="IEF274" s="365"/>
      <c r="IEG274" s="365"/>
      <c r="IEH274" s="365"/>
      <c r="IEI274" s="365"/>
      <c r="IEJ274" s="365"/>
      <c r="IEK274" s="365"/>
      <c r="IEL274" s="365"/>
      <c r="IEM274" s="365"/>
      <c r="IEN274" s="365"/>
      <c r="IEO274" s="365"/>
      <c r="IEP274" s="365"/>
      <c r="IEQ274" s="365"/>
      <c r="IER274" s="365"/>
      <c r="IES274" s="365"/>
      <c r="IET274" s="365"/>
      <c r="IEU274" s="365"/>
      <c r="IEV274" s="365"/>
      <c r="IEW274" s="365"/>
      <c r="IEX274" s="365"/>
      <c r="IEY274" s="365"/>
      <c r="IEZ274" s="365"/>
      <c r="IFA274" s="365"/>
      <c r="IFB274" s="365"/>
      <c r="IFC274" s="365"/>
      <c r="IFD274" s="365"/>
      <c r="IFE274" s="365"/>
      <c r="IFF274" s="365"/>
      <c r="IFG274" s="365"/>
      <c r="IFH274" s="365"/>
      <c r="IFI274" s="365"/>
      <c r="IFJ274" s="365"/>
      <c r="IFK274" s="365"/>
      <c r="IFL274" s="365"/>
      <c r="IFM274" s="365"/>
      <c r="IFN274" s="365"/>
      <c r="IFO274" s="365"/>
      <c r="IFP274" s="365"/>
      <c r="IFQ274" s="365"/>
      <c r="IFR274" s="365"/>
      <c r="IFS274" s="365"/>
      <c r="IFT274" s="365"/>
      <c r="IFU274" s="365"/>
      <c r="IFV274" s="365"/>
      <c r="IFW274" s="365"/>
      <c r="IFX274" s="365"/>
      <c r="IFY274" s="365"/>
      <c r="IFZ274" s="365"/>
      <c r="IGA274" s="365"/>
      <c r="IGB274" s="365"/>
      <c r="IGC274" s="365"/>
      <c r="IGD274" s="365"/>
      <c r="IGE274" s="365"/>
      <c r="IGF274" s="365"/>
      <c r="IGG274" s="365"/>
      <c r="IGH274" s="365"/>
      <c r="IGI274" s="365"/>
      <c r="IGJ274" s="365"/>
      <c r="IGK274" s="365"/>
      <c r="IGL274" s="365"/>
      <c r="IGM274" s="365"/>
      <c r="IGN274" s="365"/>
      <c r="IGO274" s="365"/>
      <c r="IGP274" s="365"/>
      <c r="IGQ274" s="365"/>
      <c r="IGR274" s="365"/>
      <c r="IGS274" s="365"/>
      <c r="IGT274" s="365"/>
      <c r="IGU274" s="365"/>
      <c r="IGV274" s="365"/>
      <c r="IGW274" s="365"/>
      <c r="IGX274" s="365"/>
      <c r="IGY274" s="365"/>
      <c r="IGZ274" s="365"/>
      <c r="IHA274" s="365"/>
      <c r="IHB274" s="365"/>
      <c r="IHC274" s="365"/>
      <c r="IHD274" s="365"/>
      <c r="IHE274" s="365"/>
      <c r="IHF274" s="365"/>
      <c r="IHG274" s="365"/>
      <c r="IHH274" s="365"/>
      <c r="IHI274" s="365"/>
      <c r="IHJ274" s="365"/>
      <c r="IHK274" s="365"/>
      <c r="IHL274" s="365"/>
      <c r="IHM274" s="365"/>
      <c r="IHN274" s="365"/>
      <c r="IHO274" s="365"/>
      <c r="IHP274" s="365"/>
      <c r="IHQ274" s="365"/>
      <c r="IHR274" s="365"/>
      <c r="IHS274" s="365"/>
      <c r="IHT274" s="365"/>
      <c r="IHU274" s="365"/>
      <c r="IHV274" s="365"/>
      <c r="IHW274" s="365"/>
      <c r="IHX274" s="365"/>
      <c r="IHY274" s="365"/>
      <c r="IHZ274" s="365"/>
      <c r="IIA274" s="365"/>
      <c r="IIB274" s="365"/>
      <c r="IIC274" s="365"/>
      <c r="IID274" s="365"/>
      <c r="IIE274" s="365"/>
      <c r="IIF274" s="365"/>
      <c r="IIG274" s="365"/>
      <c r="IIH274" s="365"/>
      <c r="III274" s="365"/>
      <c r="IIJ274" s="365"/>
      <c r="IIK274" s="365"/>
      <c r="IIL274" s="365"/>
      <c r="IIM274" s="365"/>
      <c r="IIN274" s="365"/>
      <c r="IIO274" s="365"/>
      <c r="IIP274" s="365"/>
      <c r="IIQ274" s="365"/>
      <c r="IIR274" s="365"/>
      <c r="IIS274" s="365"/>
      <c r="IIT274" s="365"/>
      <c r="IIU274" s="365"/>
      <c r="IIV274" s="365"/>
      <c r="IIW274" s="365"/>
      <c r="IIX274" s="365"/>
      <c r="IIY274" s="365"/>
      <c r="IIZ274" s="365"/>
      <c r="IJA274" s="365"/>
      <c r="IJB274" s="365"/>
      <c r="IJC274" s="365"/>
      <c r="IJD274" s="365"/>
      <c r="IJE274" s="365"/>
      <c r="IJF274" s="365"/>
      <c r="IJG274" s="365"/>
      <c r="IJH274" s="365"/>
      <c r="IJI274" s="365"/>
      <c r="IJJ274" s="365"/>
      <c r="IJK274" s="365"/>
      <c r="IJL274" s="365"/>
      <c r="IJM274" s="365"/>
      <c r="IJN274" s="365"/>
      <c r="IJO274" s="365"/>
      <c r="IJP274" s="365"/>
      <c r="IJQ274" s="365"/>
      <c r="IJR274" s="365"/>
      <c r="IJS274" s="365"/>
      <c r="IJT274" s="365"/>
      <c r="IJU274" s="365"/>
      <c r="IJV274" s="365"/>
      <c r="IJW274" s="365"/>
      <c r="IJX274" s="365"/>
      <c r="IJY274" s="365"/>
      <c r="IJZ274" s="365"/>
      <c r="IKA274" s="365"/>
      <c r="IKB274" s="365"/>
      <c r="IKC274" s="365"/>
      <c r="IKD274" s="365"/>
      <c r="IKE274" s="365"/>
      <c r="IKF274" s="365"/>
      <c r="IKG274" s="365"/>
      <c r="IKH274" s="365"/>
      <c r="IKI274" s="365"/>
      <c r="IKJ274" s="365"/>
      <c r="IKK274" s="365"/>
      <c r="IKL274" s="365"/>
      <c r="IKM274" s="365"/>
      <c r="IKN274" s="365"/>
      <c r="IKO274" s="365"/>
      <c r="IKP274" s="365"/>
      <c r="IKQ274" s="365"/>
      <c r="IKR274" s="365"/>
      <c r="IKS274" s="365"/>
      <c r="IKT274" s="365"/>
      <c r="IKU274" s="365"/>
      <c r="IKV274" s="365"/>
      <c r="IKW274" s="365"/>
      <c r="IKX274" s="365"/>
      <c r="IKY274" s="365"/>
      <c r="IKZ274" s="365"/>
      <c r="ILA274" s="365"/>
      <c r="ILB274" s="365"/>
      <c r="ILC274" s="365"/>
      <c r="ILD274" s="365"/>
      <c r="ILE274" s="365"/>
      <c r="ILF274" s="365"/>
      <c r="ILG274" s="365"/>
      <c r="ILH274" s="365"/>
      <c r="ILI274" s="365"/>
      <c r="ILJ274" s="365"/>
      <c r="ILK274" s="365"/>
      <c r="ILL274" s="365"/>
      <c r="ILM274" s="365"/>
      <c r="ILN274" s="365"/>
      <c r="ILO274" s="365"/>
      <c r="ILP274" s="365"/>
      <c r="ILQ274" s="365"/>
      <c r="ILR274" s="365"/>
      <c r="ILS274" s="365"/>
      <c r="ILT274" s="365"/>
      <c r="ILU274" s="365"/>
      <c r="ILV274" s="365"/>
      <c r="ILW274" s="365"/>
      <c r="ILX274" s="365"/>
      <c r="ILY274" s="365"/>
      <c r="ILZ274" s="365"/>
      <c r="IMA274" s="365"/>
      <c r="IMB274" s="365"/>
      <c r="IMC274" s="365"/>
      <c r="IMD274" s="365"/>
      <c r="IME274" s="365"/>
      <c r="IMF274" s="365"/>
      <c r="IMG274" s="365"/>
      <c r="IMH274" s="365"/>
      <c r="IMI274" s="365"/>
      <c r="IMJ274" s="365"/>
      <c r="IMK274" s="365"/>
      <c r="IML274" s="365"/>
      <c r="IMM274" s="365"/>
      <c r="IMN274" s="365"/>
      <c r="IMO274" s="365"/>
      <c r="IMP274" s="365"/>
      <c r="IMQ274" s="365"/>
      <c r="IMR274" s="365"/>
      <c r="IMS274" s="365"/>
      <c r="IMT274" s="365"/>
      <c r="IMU274" s="365"/>
      <c r="IMV274" s="365"/>
      <c r="IMW274" s="365"/>
      <c r="IMX274" s="365"/>
      <c r="IMY274" s="365"/>
      <c r="IMZ274" s="365"/>
      <c r="INA274" s="365"/>
      <c r="INB274" s="365"/>
      <c r="INC274" s="365"/>
      <c r="IND274" s="365"/>
      <c r="INE274" s="365"/>
      <c r="INF274" s="365"/>
      <c r="ING274" s="365"/>
      <c r="INH274" s="365"/>
      <c r="INI274" s="365"/>
      <c r="INJ274" s="365"/>
      <c r="INK274" s="365"/>
      <c r="INL274" s="365"/>
      <c r="INM274" s="365"/>
      <c r="INN274" s="365"/>
      <c r="INO274" s="365"/>
      <c r="INP274" s="365"/>
      <c r="INQ274" s="365"/>
      <c r="INR274" s="365"/>
      <c r="INS274" s="365"/>
      <c r="INT274" s="365"/>
      <c r="INU274" s="365"/>
      <c r="INV274" s="365"/>
      <c r="INW274" s="365"/>
      <c r="INX274" s="365"/>
      <c r="INY274" s="365"/>
      <c r="INZ274" s="365"/>
      <c r="IOA274" s="365"/>
      <c r="IOB274" s="365"/>
      <c r="IOC274" s="365"/>
      <c r="IOD274" s="365"/>
      <c r="IOE274" s="365"/>
      <c r="IOF274" s="365"/>
      <c r="IOG274" s="365"/>
      <c r="IOH274" s="365"/>
      <c r="IOI274" s="365"/>
      <c r="IOJ274" s="365"/>
      <c r="IOK274" s="365"/>
      <c r="IOL274" s="365"/>
      <c r="IOM274" s="365"/>
      <c r="ION274" s="365"/>
      <c r="IOO274" s="365"/>
      <c r="IOP274" s="365"/>
      <c r="IOQ274" s="365"/>
      <c r="IOR274" s="365"/>
      <c r="IOS274" s="365"/>
      <c r="IOT274" s="365"/>
      <c r="IOU274" s="365"/>
      <c r="IOV274" s="365"/>
      <c r="IOW274" s="365"/>
      <c r="IOX274" s="365"/>
      <c r="IOY274" s="365"/>
      <c r="IOZ274" s="365"/>
      <c r="IPA274" s="365"/>
      <c r="IPB274" s="365"/>
      <c r="IPC274" s="365"/>
      <c r="IPD274" s="365"/>
      <c r="IPE274" s="365"/>
      <c r="IPF274" s="365"/>
      <c r="IPG274" s="365"/>
      <c r="IPH274" s="365"/>
      <c r="IPI274" s="365"/>
      <c r="IPJ274" s="365"/>
      <c r="IPK274" s="365"/>
      <c r="IPL274" s="365"/>
      <c r="IPM274" s="365"/>
      <c r="IPN274" s="365"/>
      <c r="IPO274" s="365"/>
      <c r="IPP274" s="365"/>
      <c r="IPQ274" s="365"/>
      <c r="IPR274" s="365"/>
      <c r="IPS274" s="365"/>
      <c r="IPT274" s="365"/>
      <c r="IPU274" s="365"/>
      <c r="IPV274" s="365"/>
      <c r="IPW274" s="365"/>
      <c r="IPX274" s="365"/>
      <c r="IPY274" s="365"/>
      <c r="IPZ274" s="365"/>
      <c r="IQA274" s="365"/>
      <c r="IQB274" s="365"/>
      <c r="IQC274" s="365"/>
      <c r="IQD274" s="365"/>
      <c r="IQE274" s="365"/>
      <c r="IQF274" s="365"/>
      <c r="IQG274" s="365"/>
      <c r="IQH274" s="365"/>
      <c r="IQI274" s="365"/>
      <c r="IQJ274" s="365"/>
      <c r="IQK274" s="365"/>
      <c r="IQL274" s="365"/>
      <c r="IQM274" s="365"/>
      <c r="IQN274" s="365"/>
      <c r="IQO274" s="365"/>
      <c r="IQP274" s="365"/>
      <c r="IQQ274" s="365"/>
      <c r="IQR274" s="365"/>
      <c r="IQS274" s="365"/>
      <c r="IQT274" s="365"/>
      <c r="IQU274" s="365"/>
      <c r="IQV274" s="365"/>
      <c r="IQW274" s="365"/>
      <c r="IQX274" s="365"/>
      <c r="IQY274" s="365"/>
      <c r="IQZ274" s="365"/>
      <c r="IRA274" s="365"/>
      <c r="IRB274" s="365"/>
      <c r="IRC274" s="365"/>
      <c r="IRD274" s="365"/>
      <c r="IRE274" s="365"/>
      <c r="IRF274" s="365"/>
      <c r="IRG274" s="365"/>
      <c r="IRH274" s="365"/>
      <c r="IRI274" s="365"/>
      <c r="IRJ274" s="365"/>
      <c r="IRK274" s="365"/>
      <c r="IRL274" s="365"/>
      <c r="IRM274" s="365"/>
      <c r="IRN274" s="365"/>
      <c r="IRO274" s="365"/>
      <c r="IRP274" s="365"/>
      <c r="IRQ274" s="365"/>
      <c r="IRR274" s="365"/>
      <c r="IRS274" s="365"/>
      <c r="IRT274" s="365"/>
      <c r="IRU274" s="365"/>
      <c r="IRV274" s="365"/>
      <c r="IRW274" s="365"/>
      <c r="IRX274" s="365"/>
      <c r="IRY274" s="365"/>
      <c r="IRZ274" s="365"/>
      <c r="ISA274" s="365"/>
      <c r="ISB274" s="365"/>
      <c r="ISC274" s="365"/>
      <c r="ISD274" s="365"/>
      <c r="ISE274" s="365"/>
      <c r="ISF274" s="365"/>
      <c r="ISG274" s="365"/>
      <c r="ISH274" s="365"/>
      <c r="ISI274" s="365"/>
      <c r="ISJ274" s="365"/>
      <c r="ISK274" s="365"/>
      <c r="ISL274" s="365"/>
      <c r="ISM274" s="365"/>
      <c r="ISN274" s="365"/>
      <c r="ISO274" s="365"/>
      <c r="ISP274" s="365"/>
      <c r="ISQ274" s="365"/>
      <c r="ISR274" s="365"/>
      <c r="ISS274" s="365"/>
      <c r="IST274" s="365"/>
      <c r="ISU274" s="365"/>
      <c r="ISV274" s="365"/>
      <c r="ISW274" s="365"/>
      <c r="ISX274" s="365"/>
      <c r="ISY274" s="365"/>
      <c r="ISZ274" s="365"/>
      <c r="ITA274" s="365"/>
      <c r="ITB274" s="365"/>
      <c r="ITC274" s="365"/>
      <c r="ITD274" s="365"/>
      <c r="ITE274" s="365"/>
      <c r="ITF274" s="365"/>
      <c r="ITG274" s="365"/>
      <c r="ITH274" s="365"/>
      <c r="ITI274" s="365"/>
      <c r="ITJ274" s="365"/>
      <c r="ITK274" s="365"/>
      <c r="ITL274" s="365"/>
      <c r="ITM274" s="365"/>
      <c r="ITN274" s="365"/>
      <c r="ITO274" s="365"/>
      <c r="ITP274" s="365"/>
      <c r="ITQ274" s="365"/>
      <c r="ITR274" s="365"/>
      <c r="ITS274" s="365"/>
      <c r="ITT274" s="365"/>
      <c r="ITU274" s="365"/>
      <c r="ITV274" s="365"/>
      <c r="ITW274" s="365"/>
      <c r="ITX274" s="365"/>
      <c r="ITY274" s="365"/>
      <c r="ITZ274" s="365"/>
      <c r="IUA274" s="365"/>
      <c r="IUB274" s="365"/>
      <c r="IUC274" s="365"/>
      <c r="IUD274" s="365"/>
      <c r="IUE274" s="365"/>
      <c r="IUF274" s="365"/>
      <c r="IUG274" s="365"/>
      <c r="IUH274" s="365"/>
      <c r="IUI274" s="365"/>
      <c r="IUJ274" s="365"/>
      <c r="IUK274" s="365"/>
      <c r="IUL274" s="365"/>
      <c r="IUM274" s="365"/>
      <c r="IUN274" s="365"/>
      <c r="IUO274" s="365"/>
      <c r="IUP274" s="365"/>
      <c r="IUQ274" s="365"/>
      <c r="IUR274" s="365"/>
      <c r="IUS274" s="365"/>
      <c r="IUT274" s="365"/>
      <c r="IUU274" s="365"/>
      <c r="IUV274" s="365"/>
      <c r="IUW274" s="365"/>
      <c r="IUX274" s="365"/>
      <c r="IUY274" s="365"/>
      <c r="IUZ274" s="365"/>
      <c r="IVA274" s="365"/>
      <c r="IVB274" s="365"/>
      <c r="IVC274" s="365"/>
      <c r="IVD274" s="365"/>
      <c r="IVE274" s="365"/>
      <c r="IVF274" s="365"/>
      <c r="IVG274" s="365"/>
      <c r="IVH274" s="365"/>
      <c r="IVI274" s="365"/>
      <c r="IVJ274" s="365"/>
      <c r="IVK274" s="365"/>
      <c r="IVL274" s="365"/>
      <c r="IVM274" s="365"/>
      <c r="IVN274" s="365"/>
      <c r="IVO274" s="365"/>
      <c r="IVP274" s="365"/>
      <c r="IVQ274" s="365"/>
      <c r="IVR274" s="365"/>
      <c r="IVS274" s="365"/>
      <c r="IVT274" s="365"/>
      <c r="IVU274" s="365"/>
      <c r="IVV274" s="365"/>
      <c r="IVW274" s="365"/>
      <c r="IVX274" s="365"/>
      <c r="IVY274" s="365"/>
      <c r="IVZ274" s="365"/>
      <c r="IWA274" s="365"/>
      <c r="IWB274" s="365"/>
      <c r="IWC274" s="365"/>
      <c r="IWD274" s="365"/>
      <c r="IWE274" s="365"/>
      <c r="IWF274" s="365"/>
      <c r="IWG274" s="365"/>
      <c r="IWH274" s="365"/>
      <c r="IWI274" s="365"/>
      <c r="IWJ274" s="365"/>
      <c r="IWK274" s="365"/>
      <c r="IWL274" s="365"/>
      <c r="IWM274" s="365"/>
      <c r="IWN274" s="365"/>
      <c r="IWO274" s="365"/>
      <c r="IWP274" s="365"/>
      <c r="IWQ274" s="365"/>
      <c r="IWR274" s="365"/>
      <c r="IWS274" s="365"/>
      <c r="IWT274" s="365"/>
      <c r="IWU274" s="365"/>
      <c r="IWV274" s="365"/>
      <c r="IWW274" s="365"/>
      <c r="IWX274" s="365"/>
      <c r="IWY274" s="365"/>
      <c r="IWZ274" s="365"/>
      <c r="IXA274" s="365"/>
      <c r="IXB274" s="365"/>
      <c r="IXC274" s="365"/>
      <c r="IXD274" s="365"/>
      <c r="IXE274" s="365"/>
      <c r="IXF274" s="365"/>
      <c r="IXG274" s="365"/>
      <c r="IXH274" s="365"/>
      <c r="IXI274" s="365"/>
      <c r="IXJ274" s="365"/>
      <c r="IXK274" s="365"/>
      <c r="IXL274" s="365"/>
      <c r="IXM274" s="365"/>
      <c r="IXN274" s="365"/>
      <c r="IXO274" s="365"/>
      <c r="IXP274" s="365"/>
      <c r="IXQ274" s="365"/>
      <c r="IXR274" s="365"/>
      <c r="IXS274" s="365"/>
      <c r="IXT274" s="365"/>
      <c r="IXU274" s="365"/>
      <c r="IXV274" s="365"/>
      <c r="IXW274" s="365"/>
      <c r="IXX274" s="365"/>
      <c r="IXY274" s="365"/>
      <c r="IXZ274" s="365"/>
      <c r="IYA274" s="365"/>
      <c r="IYB274" s="365"/>
      <c r="IYC274" s="365"/>
      <c r="IYD274" s="365"/>
      <c r="IYE274" s="365"/>
      <c r="IYF274" s="365"/>
      <c r="IYG274" s="365"/>
      <c r="IYH274" s="365"/>
      <c r="IYI274" s="365"/>
      <c r="IYJ274" s="365"/>
      <c r="IYK274" s="365"/>
      <c r="IYL274" s="365"/>
      <c r="IYM274" s="365"/>
      <c r="IYN274" s="365"/>
      <c r="IYO274" s="365"/>
      <c r="IYP274" s="365"/>
      <c r="IYQ274" s="365"/>
      <c r="IYR274" s="365"/>
      <c r="IYS274" s="365"/>
      <c r="IYT274" s="365"/>
      <c r="IYU274" s="365"/>
      <c r="IYV274" s="365"/>
      <c r="IYW274" s="365"/>
      <c r="IYX274" s="365"/>
      <c r="IYY274" s="365"/>
      <c r="IYZ274" s="365"/>
      <c r="IZA274" s="365"/>
      <c r="IZB274" s="365"/>
      <c r="IZC274" s="365"/>
      <c r="IZD274" s="365"/>
      <c r="IZE274" s="365"/>
      <c r="IZF274" s="365"/>
      <c r="IZG274" s="365"/>
      <c r="IZH274" s="365"/>
      <c r="IZI274" s="365"/>
      <c r="IZJ274" s="365"/>
      <c r="IZK274" s="365"/>
      <c r="IZL274" s="365"/>
      <c r="IZM274" s="365"/>
      <c r="IZN274" s="365"/>
      <c r="IZO274" s="365"/>
      <c r="IZP274" s="365"/>
      <c r="IZQ274" s="365"/>
      <c r="IZR274" s="365"/>
      <c r="IZS274" s="365"/>
      <c r="IZT274" s="365"/>
      <c r="IZU274" s="365"/>
      <c r="IZV274" s="365"/>
      <c r="IZW274" s="365"/>
      <c r="IZX274" s="365"/>
      <c r="IZY274" s="365"/>
      <c r="IZZ274" s="365"/>
      <c r="JAA274" s="365"/>
      <c r="JAB274" s="365"/>
      <c r="JAC274" s="365"/>
      <c r="JAD274" s="365"/>
      <c r="JAE274" s="365"/>
      <c r="JAF274" s="365"/>
      <c r="JAG274" s="365"/>
      <c r="JAH274" s="365"/>
      <c r="JAI274" s="365"/>
      <c r="JAJ274" s="365"/>
      <c r="JAK274" s="365"/>
      <c r="JAL274" s="365"/>
      <c r="JAM274" s="365"/>
      <c r="JAN274" s="365"/>
      <c r="JAO274" s="365"/>
      <c r="JAP274" s="365"/>
      <c r="JAQ274" s="365"/>
      <c r="JAR274" s="365"/>
      <c r="JAS274" s="365"/>
      <c r="JAT274" s="365"/>
      <c r="JAU274" s="365"/>
      <c r="JAV274" s="365"/>
      <c r="JAW274" s="365"/>
      <c r="JAX274" s="365"/>
      <c r="JAY274" s="365"/>
      <c r="JAZ274" s="365"/>
      <c r="JBA274" s="365"/>
      <c r="JBB274" s="365"/>
      <c r="JBC274" s="365"/>
      <c r="JBD274" s="365"/>
      <c r="JBE274" s="365"/>
      <c r="JBF274" s="365"/>
      <c r="JBG274" s="365"/>
      <c r="JBH274" s="365"/>
      <c r="JBI274" s="365"/>
      <c r="JBJ274" s="365"/>
      <c r="JBK274" s="365"/>
      <c r="JBL274" s="365"/>
      <c r="JBM274" s="365"/>
      <c r="JBN274" s="365"/>
      <c r="JBO274" s="365"/>
      <c r="JBP274" s="365"/>
      <c r="JBQ274" s="365"/>
      <c r="JBR274" s="365"/>
      <c r="JBS274" s="365"/>
      <c r="JBT274" s="365"/>
      <c r="JBU274" s="365"/>
      <c r="JBV274" s="365"/>
      <c r="JBW274" s="365"/>
      <c r="JBX274" s="365"/>
      <c r="JBY274" s="365"/>
      <c r="JBZ274" s="365"/>
      <c r="JCA274" s="365"/>
      <c r="JCB274" s="365"/>
      <c r="JCC274" s="365"/>
      <c r="JCD274" s="365"/>
      <c r="JCE274" s="365"/>
      <c r="JCF274" s="365"/>
      <c r="JCG274" s="365"/>
      <c r="JCH274" s="365"/>
      <c r="JCI274" s="365"/>
      <c r="JCJ274" s="365"/>
      <c r="JCK274" s="365"/>
      <c r="JCL274" s="365"/>
      <c r="JCM274" s="365"/>
      <c r="JCN274" s="365"/>
      <c r="JCO274" s="365"/>
      <c r="JCP274" s="365"/>
      <c r="JCQ274" s="365"/>
      <c r="JCR274" s="365"/>
      <c r="JCS274" s="365"/>
      <c r="JCT274" s="365"/>
      <c r="JCU274" s="365"/>
      <c r="JCV274" s="365"/>
      <c r="JCW274" s="365"/>
      <c r="JCX274" s="365"/>
      <c r="JCY274" s="365"/>
      <c r="JCZ274" s="365"/>
      <c r="JDA274" s="365"/>
      <c r="JDB274" s="365"/>
      <c r="JDC274" s="365"/>
      <c r="JDD274" s="365"/>
      <c r="JDE274" s="365"/>
      <c r="JDF274" s="365"/>
      <c r="JDG274" s="365"/>
      <c r="JDH274" s="365"/>
      <c r="JDI274" s="365"/>
      <c r="JDJ274" s="365"/>
      <c r="JDK274" s="365"/>
      <c r="JDL274" s="365"/>
      <c r="JDM274" s="365"/>
      <c r="JDN274" s="365"/>
      <c r="JDO274" s="365"/>
      <c r="JDP274" s="365"/>
      <c r="JDQ274" s="365"/>
      <c r="JDR274" s="365"/>
      <c r="JDS274" s="365"/>
      <c r="JDT274" s="365"/>
      <c r="JDU274" s="365"/>
      <c r="JDV274" s="365"/>
      <c r="JDW274" s="365"/>
      <c r="JDX274" s="365"/>
      <c r="JDY274" s="365"/>
      <c r="JDZ274" s="365"/>
      <c r="JEA274" s="365"/>
      <c r="JEB274" s="365"/>
      <c r="JEC274" s="365"/>
      <c r="JED274" s="365"/>
      <c r="JEE274" s="365"/>
      <c r="JEF274" s="365"/>
      <c r="JEG274" s="365"/>
      <c r="JEH274" s="365"/>
      <c r="JEI274" s="365"/>
      <c r="JEJ274" s="365"/>
      <c r="JEK274" s="365"/>
      <c r="JEL274" s="365"/>
      <c r="JEM274" s="365"/>
      <c r="JEN274" s="365"/>
      <c r="JEO274" s="365"/>
      <c r="JEP274" s="365"/>
      <c r="JEQ274" s="365"/>
      <c r="JER274" s="365"/>
      <c r="JES274" s="365"/>
      <c r="JET274" s="365"/>
      <c r="JEU274" s="365"/>
      <c r="JEV274" s="365"/>
      <c r="JEW274" s="365"/>
      <c r="JEX274" s="365"/>
      <c r="JEY274" s="365"/>
      <c r="JEZ274" s="365"/>
      <c r="JFA274" s="365"/>
      <c r="JFB274" s="365"/>
      <c r="JFC274" s="365"/>
      <c r="JFD274" s="365"/>
      <c r="JFE274" s="365"/>
      <c r="JFF274" s="365"/>
      <c r="JFG274" s="365"/>
      <c r="JFH274" s="365"/>
      <c r="JFI274" s="365"/>
      <c r="JFJ274" s="365"/>
      <c r="JFK274" s="365"/>
      <c r="JFL274" s="365"/>
      <c r="JFM274" s="365"/>
      <c r="JFN274" s="365"/>
      <c r="JFO274" s="365"/>
      <c r="JFP274" s="365"/>
      <c r="JFQ274" s="365"/>
      <c r="JFR274" s="365"/>
      <c r="JFS274" s="365"/>
      <c r="JFT274" s="365"/>
      <c r="JFU274" s="365"/>
      <c r="JFV274" s="365"/>
      <c r="JFW274" s="365"/>
      <c r="JFX274" s="365"/>
      <c r="JFY274" s="365"/>
      <c r="JFZ274" s="365"/>
      <c r="JGA274" s="365"/>
      <c r="JGB274" s="365"/>
      <c r="JGC274" s="365"/>
      <c r="JGD274" s="365"/>
      <c r="JGE274" s="365"/>
      <c r="JGF274" s="365"/>
      <c r="JGG274" s="365"/>
      <c r="JGH274" s="365"/>
      <c r="JGI274" s="365"/>
      <c r="JGJ274" s="365"/>
      <c r="JGK274" s="365"/>
      <c r="JGL274" s="365"/>
      <c r="JGM274" s="365"/>
      <c r="JGN274" s="365"/>
      <c r="JGO274" s="365"/>
      <c r="JGP274" s="365"/>
      <c r="JGQ274" s="365"/>
      <c r="JGR274" s="365"/>
      <c r="JGS274" s="365"/>
      <c r="JGT274" s="365"/>
      <c r="JGU274" s="365"/>
      <c r="JGV274" s="365"/>
      <c r="JGW274" s="365"/>
      <c r="JGX274" s="365"/>
      <c r="JGY274" s="365"/>
      <c r="JGZ274" s="365"/>
      <c r="JHA274" s="365"/>
      <c r="JHB274" s="365"/>
      <c r="JHC274" s="365"/>
      <c r="JHD274" s="365"/>
      <c r="JHE274" s="365"/>
      <c r="JHF274" s="365"/>
      <c r="JHG274" s="365"/>
      <c r="JHH274" s="365"/>
      <c r="JHI274" s="365"/>
      <c r="JHJ274" s="365"/>
      <c r="JHK274" s="365"/>
      <c r="JHL274" s="365"/>
      <c r="JHM274" s="365"/>
      <c r="JHN274" s="365"/>
      <c r="JHO274" s="365"/>
      <c r="JHP274" s="365"/>
      <c r="JHQ274" s="365"/>
      <c r="JHR274" s="365"/>
      <c r="JHS274" s="365"/>
      <c r="JHT274" s="365"/>
      <c r="JHU274" s="365"/>
      <c r="JHV274" s="365"/>
      <c r="JHW274" s="365"/>
      <c r="JHX274" s="365"/>
      <c r="JHY274" s="365"/>
      <c r="JHZ274" s="365"/>
      <c r="JIA274" s="365"/>
      <c r="JIB274" s="365"/>
      <c r="JIC274" s="365"/>
      <c r="JID274" s="365"/>
      <c r="JIE274" s="365"/>
      <c r="JIF274" s="365"/>
      <c r="JIG274" s="365"/>
      <c r="JIH274" s="365"/>
      <c r="JII274" s="365"/>
      <c r="JIJ274" s="365"/>
      <c r="JIK274" s="365"/>
      <c r="JIL274" s="365"/>
      <c r="JIM274" s="365"/>
      <c r="JIN274" s="365"/>
      <c r="JIO274" s="365"/>
      <c r="JIP274" s="365"/>
      <c r="JIQ274" s="365"/>
      <c r="JIR274" s="365"/>
      <c r="JIS274" s="365"/>
      <c r="JIT274" s="365"/>
      <c r="JIU274" s="365"/>
      <c r="JIV274" s="365"/>
      <c r="JIW274" s="365"/>
      <c r="JIX274" s="365"/>
      <c r="JIY274" s="365"/>
      <c r="JIZ274" s="365"/>
      <c r="JJA274" s="365"/>
      <c r="JJB274" s="365"/>
      <c r="JJC274" s="365"/>
      <c r="JJD274" s="365"/>
      <c r="JJE274" s="365"/>
      <c r="JJF274" s="365"/>
      <c r="JJG274" s="365"/>
      <c r="JJH274" s="365"/>
      <c r="JJI274" s="365"/>
      <c r="JJJ274" s="365"/>
      <c r="JJK274" s="365"/>
      <c r="JJL274" s="365"/>
      <c r="JJM274" s="365"/>
      <c r="JJN274" s="365"/>
      <c r="JJO274" s="365"/>
      <c r="JJP274" s="365"/>
      <c r="JJQ274" s="365"/>
      <c r="JJR274" s="365"/>
      <c r="JJS274" s="365"/>
      <c r="JJT274" s="365"/>
      <c r="JJU274" s="365"/>
      <c r="JJV274" s="365"/>
      <c r="JJW274" s="365"/>
      <c r="JJX274" s="365"/>
      <c r="JJY274" s="365"/>
      <c r="JJZ274" s="365"/>
      <c r="JKA274" s="365"/>
      <c r="JKB274" s="365"/>
      <c r="JKC274" s="365"/>
      <c r="JKD274" s="365"/>
      <c r="JKE274" s="365"/>
      <c r="JKF274" s="365"/>
      <c r="JKG274" s="365"/>
      <c r="JKH274" s="365"/>
      <c r="JKI274" s="365"/>
      <c r="JKJ274" s="365"/>
      <c r="JKK274" s="365"/>
      <c r="JKL274" s="365"/>
      <c r="JKM274" s="365"/>
      <c r="JKN274" s="365"/>
      <c r="JKO274" s="365"/>
      <c r="JKP274" s="365"/>
      <c r="JKQ274" s="365"/>
      <c r="JKR274" s="365"/>
      <c r="JKS274" s="365"/>
      <c r="JKT274" s="365"/>
      <c r="JKU274" s="365"/>
      <c r="JKV274" s="365"/>
      <c r="JKW274" s="365"/>
      <c r="JKX274" s="365"/>
      <c r="JKY274" s="365"/>
      <c r="JKZ274" s="365"/>
      <c r="JLA274" s="365"/>
      <c r="JLB274" s="365"/>
      <c r="JLC274" s="365"/>
      <c r="JLD274" s="365"/>
      <c r="JLE274" s="365"/>
      <c r="JLF274" s="365"/>
      <c r="JLG274" s="365"/>
      <c r="JLH274" s="365"/>
      <c r="JLI274" s="365"/>
      <c r="JLJ274" s="365"/>
      <c r="JLK274" s="365"/>
      <c r="JLL274" s="365"/>
      <c r="JLM274" s="365"/>
      <c r="JLN274" s="365"/>
      <c r="JLO274" s="365"/>
      <c r="JLP274" s="365"/>
      <c r="JLQ274" s="365"/>
      <c r="JLR274" s="365"/>
      <c r="JLS274" s="365"/>
      <c r="JLT274" s="365"/>
      <c r="JLU274" s="365"/>
      <c r="JLV274" s="365"/>
      <c r="JLW274" s="365"/>
      <c r="JLX274" s="365"/>
      <c r="JLY274" s="365"/>
      <c r="JLZ274" s="365"/>
      <c r="JMA274" s="365"/>
      <c r="JMB274" s="365"/>
      <c r="JMC274" s="365"/>
      <c r="JMD274" s="365"/>
      <c r="JME274" s="365"/>
      <c r="JMF274" s="365"/>
      <c r="JMG274" s="365"/>
      <c r="JMH274" s="365"/>
      <c r="JMI274" s="365"/>
      <c r="JMJ274" s="365"/>
      <c r="JMK274" s="365"/>
      <c r="JML274" s="365"/>
      <c r="JMM274" s="365"/>
      <c r="JMN274" s="365"/>
      <c r="JMO274" s="365"/>
      <c r="JMP274" s="365"/>
      <c r="JMQ274" s="365"/>
      <c r="JMR274" s="365"/>
      <c r="JMS274" s="365"/>
      <c r="JMT274" s="365"/>
      <c r="JMU274" s="365"/>
      <c r="JMV274" s="365"/>
      <c r="JMW274" s="365"/>
      <c r="JMX274" s="365"/>
      <c r="JMY274" s="365"/>
      <c r="JMZ274" s="365"/>
      <c r="JNA274" s="365"/>
      <c r="JNB274" s="365"/>
      <c r="JNC274" s="365"/>
      <c r="JND274" s="365"/>
      <c r="JNE274" s="365"/>
      <c r="JNF274" s="365"/>
      <c r="JNG274" s="365"/>
      <c r="JNH274" s="365"/>
      <c r="JNI274" s="365"/>
      <c r="JNJ274" s="365"/>
      <c r="JNK274" s="365"/>
      <c r="JNL274" s="365"/>
      <c r="JNM274" s="365"/>
      <c r="JNN274" s="365"/>
      <c r="JNO274" s="365"/>
      <c r="JNP274" s="365"/>
      <c r="JNQ274" s="365"/>
      <c r="JNR274" s="365"/>
      <c r="JNS274" s="365"/>
      <c r="JNT274" s="365"/>
      <c r="JNU274" s="365"/>
      <c r="JNV274" s="365"/>
      <c r="JNW274" s="365"/>
      <c r="JNX274" s="365"/>
      <c r="JNY274" s="365"/>
      <c r="JNZ274" s="365"/>
      <c r="JOA274" s="365"/>
      <c r="JOB274" s="365"/>
      <c r="JOC274" s="365"/>
      <c r="JOD274" s="365"/>
      <c r="JOE274" s="365"/>
      <c r="JOF274" s="365"/>
      <c r="JOG274" s="365"/>
      <c r="JOH274" s="365"/>
      <c r="JOI274" s="365"/>
      <c r="JOJ274" s="365"/>
      <c r="JOK274" s="365"/>
      <c r="JOL274" s="365"/>
      <c r="JOM274" s="365"/>
      <c r="JON274" s="365"/>
      <c r="JOO274" s="365"/>
      <c r="JOP274" s="365"/>
      <c r="JOQ274" s="365"/>
      <c r="JOR274" s="365"/>
      <c r="JOS274" s="365"/>
      <c r="JOT274" s="365"/>
      <c r="JOU274" s="365"/>
      <c r="JOV274" s="365"/>
      <c r="JOW274" s="365"/>
      <c r="JOX274" s="365"/>
      <c r="JOY274" s="365"/>
      <c r="JOZ274" s="365"/>
      <c r="JPA274" s="365"/>
      <c r="JPB274" s="365"/>
      <c r="JPC274" s="365"/>
      <c r="JPD274" s="365"/>
      <c r="JPE274" s="365"/>
      <c r="JPF274" s="365"/>
      <c r="JPG274" s="365"/>
      <c r="JPH274" s="365"/>
      <c r="JPI274" s="365"/>
      <c r="JPJ274" s="365"/>
      <c r="JPK274" s="365"/>
      <c r="JPL274" s="365"/>
      <c r="JPM274" s="365"/>
      <c r="JPN274" s="365"/>
      <c r="JPO274" s="365"/>
      <c r="JPP274" s="365"/>
      <c r="JPQ274" s="365"/>
      <c r="JPR274" s="365"/>
      <c r="JPS274" s="365"/>
      <c r="JPT274" s="365"/>
      <c r="JPU274" s="365"/>
      <c r="JPV274" s="365"/>
      <c r="JPW274" s="365"/>
      <c r="JPX274" s="365"/>
      <c r="JPY274" s="365"/>
      <c r="JPZ274" s="365"/>
      <c r="JQA274" s="365"/>
      <c r="JQB274" s="365"/>
      <c r="JQC274" s="365"/>
      <c r="JQD274" s="365"/>
      <c r="JQE274" s="365"/>
      <c r="JQF274" s="365"/>
      <c r="JQG274" s="365"/>
      <c r="JQH274" s="365"/>
      <c r="JQI274" s="365"/>
      <c r="JQJ274" s="365"/>
      <c r="JQK274" s="365"/>
      <c r="JQL274" s="365"/>
      <c r="JQM274" s="365"/>
      <c r="JQN274" s="365"/>
      <c r="JQO274" s="365"/>
      <c r="JQP274" s="365"/>
      <c r="JQQ274" s="365"/>
      <c r="JQR274" s="365"/>
      <c r="JQS274" s="365"/>
      <c r="JQT274" s="365"/>
      <c r="JQU274" s="365"/>
      <c r="JQV274" s="365"/>
      <c r="JQW274" s="365"/>
      <c r="JQX274" s="365"/>
      <c r="JQY274" s="365"/>
      <c r="JQZ274" s="365"/>
      <c r="JRA274" s="365"/>
      <c r="JRB274" s="365"/>
      <c r="JRC274" s="365"/>
      <c r="JRD274" s="365"/>
      <c r="JRE274" s="365"/>
      <c r="JRF274" s="365"/>
      <c r="JRG274" s="365"/>
      <c r="JRH274" s="365"/>
      <c r="JRI274" s="365"/>
      <c r="JRJ274" s="365"/>
      <c r="JRK274" s="365"/>
      <c r="JRL274" s="365"/>
      <c r="JRM274" s="365"/>
      <c r="JRN274" s="365"/>
      <c r="JRO274" s="365"/>
      <c r="JRP274" s="365"/>
      <c r="JRQ274" s="365"/>
      <c r="JRR274" s="365"/>
      <c r="JRS274" s="365"/>
      <c r="JRT274" s="365"/>
      <c r="JRU274" s="365"/>
      <c r="JRV274" s="365"/>
      <c r="JRW274" s="365"/>
      <c r="JRX274" s="365"/>
      <c r="JRY274" s="365"/>
      <c r="JRZ274" s="365"/>
      <c r="JSA274" s="365"/>
      <c r="JSB274" s="365"/>
      <c r="JSC274" s="365"/>
      <c r="JSD274" s="365"/>
      <c r="JSE274" s="365"/>
      <c r="JSF274" s="365"/>
      <c r="JSG274" s="365"/>
      <c r="JSH274" s="365"/>
      <c r="JSI274" s="365"/>
      <c r="JSJ274" s="365"/>
      <c r="JSK274" s="365"/>
      <c r="JSL274" s="365"/>
      <c r="JSM274" s="365"/>
      <c r="JSN274" s="365"/>
      <c r="JSO274" s="365"/>
      <c r="JSP274" s="365"/>
      <c r="JSQ274" s="365"/>
      <c r="JSR274" s="365"/>
      <c r="JSS274" s="365"/>
      <c r="JST274" s="365"/>
      <c r="JSU274" s="365"/>
      <c r="JSV274" s="365"/>
      <c r="JSW274" s="365"/>
      <c r="JSX274" s="365"/>
      <c r="JSY274" s="365"/>
      <c r="JSZ274" s="365"/>
      <c r="JTA274" s="365"/>
      <c r="JTB274" s="365"/>
      <c r="JTC274" s="365"/>
      <c r="JTD274" s="365"/>
      <c r="JTE274" s="365"/>
      <c r="JTF274" s="365"/>
      <c r="JTG274" s="365"/>
      <c r="JTH274" s="365"/>
      <c r="JTI274" s="365"/>
      <c r="JTJ274" s="365"/>
      <c r="JTK274" s="365"/>
      <c r="JTL274" s="365"/>
      <c r="JTM274" s="365"/>
      <c r="JTN274" s="365"/>
      <c r="JTO274" s="365"/>
      <c r="JTP274" s="365"/>
      <c r="JTQ274" s="365"/>
      <c r="JTR274" s="365"/>
      <c r="JTS274" s="365"/>
      <c r="JTT274" s="365"/>
      <c r="JTU274" s="365"/>
      <c r="JTV274" s="365"/>
      <c r="JTW274" s="365"/>
      <c r="JTX274" s="365"/>
      <c r="JTY274" s="365"/>
      <c r="JTZ274" s="365"/>
      <c r="JUA274" s="365"/>
      <c r="JUB274" s="365"/>
      <c r="JUC274" s="365"/>
      <c r="JUD274" s="365"/>
      <c r="JUE274" s="365"/>
      <c r="JUF274" s="365"/>
      <c r="JUG274" s="365"/>
      <c r="JUH274" s="365"/>
      <c r="JUI274" s="365"/>
      <c r="JUJ274" s="365"/>
      <c r="JUK274" s="365"/>
      <c r="JUL274" s="365"/>
      <c r="JUM274" s="365"/>
      <c r="JUN274" s="365"/>
      <c r="JUO274" s="365"/>
      <c r="JUP274" s="365"/>
      <c r="JUQ274" s="365"/>
      <c r="JUR274" s="365"/>
      <c r="JUS274" s="365"/>
      <c r="JUT274" s="365"/>
      <c r="JUU274" s="365"/>
      <c r="JUV274" s="365"/>
      <c r="JUW274" s="365"/>
      <c r="JUX274" s="365"/>
      <c r="JUY274" s="365"/>
      <c r="JUZ274" s="365"/>
      <c r="JVA274" s="365"/>
      <c r="JVB274" s="365"/>
      <c r="JVC274" s="365"/>
      <c r="JVD274" s="365"/>
      <c r="JVE274" s="365"/>
      <c r="JVF274" s="365"/>
      <c r="JVG274" s="365"/>
      <c r="JVH274" s="365"/>
      <c r="JVI274" s="365"/>
      <c r="JVJ274" s="365"/>
      <c r="JVK274" s="365"/>
      <c r="JVL274" s="365"/>
      <c r="JVM274" s="365"/>
      <c r="JVN274" s="365"/>
      <c r="JVO274" s="365"/>
      <c r="JVP274" s="365"/>
      <c r="JVQ274" s="365"/>
      <c r="JVR274" s="365"/>
      <c r="JVS274" s="365"/>
      <c r="JVT274" s="365"/>
      <c r="JVU274" s="365"/>
      <c r="JVV274" s="365"/>
      <c r="JVW274" s="365"/>
      <c r="JVX274" s="365"/>
      <c r="JVY274" s="365"/>
      <c r="JVZ274" s="365"/>
      <c r="JWA274" s="365"/>
      <c r="JWB274" s="365"/>
      <c r="JWC274" s="365"/>
      <c r="JWD274" s="365"/>
      <c r="JWE274" s="365"/>
      <c r="JWF274" s="365"/>
      <c r="JWG274" s="365"/>
      <c r="JWH274" s="365"/>
      <c r="JWI274" s="365"/>
      <c r="JWJ274" s="365"/>
      <c r="JWK274" s="365"/>
      <c r="JWL274" s="365"/>
      <c r="JWM274" s="365"/>
      <c r="JWN274" s="365"/>
      <c r="JWO274" s="365"/>
      <c r="JWP274" s="365"/>
      <c r="JWQ274" s="365"/>
      <c r="JWR274" s="365"/>
      <c r="JWS274" s="365"/>
      <c r="JWT274" s="365"/>
      <c r="JWU274" s="365"/>
      <c r="JWV274" s="365"/>
      <c r="JWW274" s="365"/>
      <c r="JWX274" s="365"/>
      <c r="JWY274" s="365"/>
      <c r="JWZ274" s="365"/>
      <c r="JXA274" s="365"/>
      <c r="JXB274" s="365"/>
      <c r="JXC274" s="365"/>
      <c r="JXD274" s="365"/>
      <c r="JXE274" s="365"/>
      <c r="JXF274" s="365"/>
      <c r="JXG274" s="365"/>
      <c r="JXH274" s="365"/>
      <c r="JXI274" s="365"/>
      <c r="JXJ274" s="365"/>
      <c r="JXK274" s="365"/>
      <c r="JXL274" s="365"/>
      <c r="JXM274" s="365"/>
      <c r="JXN274" s="365"/>
      <c r="JXO274" s="365"/>
      <c r="JXP274" s="365"/>
      <c r="JXQ274" s="365"/>
      <c r="JXR274" s="365"/>
      <c r="JXS274" s="365"/>
      <c r="JXT274" s="365"/>
      <c r="JXU274" s="365"/>
      <c r="JXV274" s="365"/>
      <c r="JXW274" s="365"/>
      <c r="JXX274" s="365"/>
      <c r="JXY274" s="365"/>
      <c r="JXZ274" s="365"/>
      <c r="JYA274" s="365"/>
      <c r="JYB274" s="365"/>
      <c r="JYC274" s="365"/>
      <c r="JYD274" s="365"/>
      <c r="JYE274" s="365"/>
      <c r="JYF274" s="365"/>
      <c r="JYG274" s="365"/>
      <c r="JYH274" s="365"/>
      <c r="JYI274" s="365"/>
      <c r="JYJ274" s="365"/>
      <c r="JYK274" s="365"/>
      <c r="JYL274" s="365"/>
      <c r="JYM274" s="365"/>
      <c r="JYN274" s="365"/>
      <c r="JYO274" s="365"/>
      <c r="JYP274" s="365"/>
      <c r="JYQ274" s="365"/>
      <c r="JYR274" s="365"/>
      <c r="JYS274" s="365"/>
      <c r="JYT274" s="365"/>
      <c r="JYU274" s="365"/>
      <c r="JYV274" s="365"/>
      <c r="JYW274" s="365"/>
      <c r="JYX274" s="365"/>
      <c r="JYY274" s="365"/>
      <c r="JYZ274" s="365"/>
      <c r="JZA274" s="365"/>
      <c r="JZB274" s="365"/>
      <c r="JZC274" s="365"/>
      <c r="JZD274" s="365"/>
      <c r="JZE274" s="365"/>
      <c r="JZF274" s="365"/>
      <c r="JZG274" s="365"/>
      <c r="JZH274" s="365"/>
      <c r="JZI274" s="365"/>
      <c r="JZJ274" s="365"/>
      <c r="JZK274" s="365"/>
      <c r="JZL274" s="365"/>
      <c r="JZM274" s="365"/>
      <c r="JZN274" s="365"/>
      <c r="JZO274" s="365"/>
      <c r="JZP274" s="365"/>
      <c r="JZQ274" s="365"/>
      <c r="JZR274" s="365"/>
      <c r="JZS274" s="365"/>
      <c r="JZT274" s="365"/>
      <c r="JZU274" s="365"/>
      <c r="JZV274" s="365"/>
      <c r="JZW274" s="365"/>
      <c r="JZX274" s="365"/>
      <c r="JZY274" s="365"/>
      <c r="JZZ274" s="365"/>
      <c r="KAA274" s="365"/>
      <c r="KAB274" s="365"/>
      <c r="KAC274" s="365"/>
      <c r="KAD274" s="365"/>
      <c r="KAE274" s="365"/>
      <c r="KAF274" s="365"/>
      <c r="KAG274" s="365"/>
      <c r="KAH274" s="365"/>
      <c r="KAI274" s="365"/>
      <c r="KAJ274" s="365"/>
      <c r="KAK274" s="365"/>
      <c r="KAL274" s="365"/>
      <c r="KAM274" s="365"/>
      <c r="KAN274" s="365"/>
      <c r="KAO274" s="365"/>
      <c r="KAP274" s="365"/>
      <c r="KAQ274" s="365"/>
      <c r="KAR274" s="365"/>
      <c r="KAS274" s="365"/>
      <c r="KAT274" s="365"/>
      <c r="KAU274" s="365"/>
      <c r="KAV274" s="365"/>
      <c r="KAW274" s="365"/>
      <c r="KAX274" s="365"/>
      <c r="KAY274" s="365"/>
      <c r="KAZ274" s="365"/>
      <c r="KBA274" s="365"/>
      <c r="KBB274" s="365"/>
      <c r="KBC274" s="365"/>
      <c r="KBD274" s="365"/>
      <c r="KBE274" s="365"/>
      <c r="KBF274" s="365"/>
      <c r="KBG274" s="365"/>
      <c r="KBH274" s="365"/>
      <c r="KBI274" s="365"/>
      <c r="KBJ274" s="365"/>
      <c r="KBK274" s="365"/>
      <c r="KBL274" s="365"/>
      <c r="KBM274" s="365"/>
      <c r="KBN274" s="365"/>
      <c r="KBO274" s="365"/>
      <c r="KBP274" s="365"/>
      <c r="KBQ274" s="365"/>
      <c r="KBR274" s="365"/>
      <c r="KBS274" s="365"/>
      <c r="KBT274" s="365"/>
      <c r="KBU274" s="365"/>
      <c r="KBV274" s="365"/>
      <c r="KBW274" s="365"/>
      <c r="KBX274" s="365"/>
      <c r="KBY274" s="365"/>
      <c r="KBZ274" s="365"/>
      <c r="KCA274" s="365"/>
      <c r="KCB274" s="365"/>
      <c r="KCC274" s="365"/>
      <c r="KCD274" s="365"/>
      <c r="KCE274" s="365"/>
      <c r="KCF274" s="365"/>
      <c r="KCG274" s="365"/>
      <c r="KCH274" s="365"/>
      <c r="KCI274" s="365"/>
      <c r="KCJ274" s="365"/>
      <c r="KCK274" s="365"/>
      <c r="KCL274" s="365"/>
      <c r="KCM274" s="365"/>
      <c r="KCN274" s="365"/>
      <c r="KCO274" s="365"/>
      <c r="KCP274" s="365"/>
      <c r="KCQ274" s="365"/>
      <c r="KCR274" s="365"/>
      <c r="KCS274" s="365"/>
      <c r="KCT274" s="365"/>
      <c r="KCU274" s="365"/>
      <c r="KCV274" s="365"/>
      <c r="KCW274" s="365"/>
      <c r="KCX274" s="365"/>
      <c r="KCY274" s="365"/>
      <c r="KCZ274" s="365"/>
      <c r="KDA274" s="365"/>
      <c r="KDB274" s="365"/>
      <c r="KDC274" s="365"/>
      <c r="KDD274" s="365"/>
      <c r="KDE274" s="365"/>
      <c r="KDF274" s="365"/>
      <c r="KDG274" s="365"/>
      <c r="KDH274" s="365"/>
      <c r="KDI274" s="365"/>
      <c r="KDJ274" s="365"/>
      <c r="KDK274" s="365"/>
      <c r="KDL274" s="365"/>
      <c r="KDM274" s="365"/>
      <c r="KDN274" s="365"/>
      <c r="KDO274" s="365"/>
      <c r="KDP274" s="365"/>
      <c r="KDQ274" s="365"/>
      <c r="KDR274" s="365"/>
      <c r="KDS274" s="365"/>
      <c r="KDT274" s="365"/>
      <c r="KDU274" s="365"/>
      <c r="KDV274" s="365"/>
      <c r="KDW274" s="365"/>
      <c r="KDX274" s="365"/>
      <c r="KDY274" s="365"/>
      <c r="KDZ274" s="365"/>
      <c r="KEA274" s="365"/>
      <c r="KEB274" s="365"/>
      <c r="KEC274" s="365"/>
      <c r="KED274" s="365"/>
      <c r="KEE274" s="365"/>
      <c r="KEF274" s="365"/>
      <c r="KEG274" s="365"/>
      <c r="KEH274" s="365"/>
      <c r="KEI274" s="365"/>
      <c r="KEJ274" s="365"/>
      <c r="KEK274" s="365"/>
      <c r="KEL274" s="365"/>
      <c r="KEM274" s="365"/>
      <c r="KEN274" s="365"/>
      <c r="KEO274" s="365"/>
      <c r="KEP274" s="365"/>
      <c r="KEQ274" s="365"/>
      <c r="KER274" s="365"/>
      <c r="KES274" s="365"/>
      <c r="KET274" s="365"/>
      <c r="KEU274" s="365"/>
      <c r="KEV274" s="365"/>
      <c r="KEW274" s="365"/>
      <c r="KEX274" s="365"/>
      <c r="KEY274" s="365"/>
      <c r="KEZ274" s="365"/>
      <c r="KFA274" s="365"/>
      <c r="KFB274" s="365"/>
      <c r="KFC274" s="365"/>
      <c r="KFD274" s="365"/>
      <c r="KFE274" s="365"/>
      <c r="KFF274" s="365"/>
      <c r="KFG274" s="365"/>
      <c r="KFH274" s="365"/>
      <c r="KFI274" s="365"/>
      <c r="KFJ274" s="365"/>
      <c r="KFK274" s="365"/>
      <c r="KFL274" s="365"/>
      <c r="KFM274" s="365"/>
      <c r="KFN274" s="365"/>
      <c r="KFO274" s="365"/>
      <c r="KFP274" s="365"/>
      <c r="KFQ274" s="365"/>
      <c r="KFR274" s="365"/>
      <c r="KFS274" s="365"/>
      <c r="KFT274" s="365"/>
      <c r="KFU274" s="365"/>
      <c r="KFV274" s="365"/>
      <c r="KFW274" s="365"/>
      <c r="KFX274" s="365"/>
      <c r="KFY274" s="365"/>
      <c r="KFZ274" s="365"/>
      <c r="KGA274" s="365"/>
      <c r="KGB274" s="365"/>
      <c r="KGC274" s="365"/>
      <c r="KGD274" s="365"/>
      <c r="KGE274" s="365"/>
      <c r="KGF274" s="365"/>
      <c r="KGG274" s="365"/>
      <c r="KGH274" s="365"/>
      <c r="KGI274" s="365"/>
      <c r="KGJ274" s="365"/>
      <c r="KGK274" s="365"/>
      <c r="KGL274" s="365"/>
      <c r="KGM274" s="365"/>
      <c r="KGN274" s="365"/>
      <c r="KGO274" s="365"/>
      <c r="KGP274" s="365"/>
      <c r="KGQ274" s="365"/>
      <c r="KGR274" s="365"/>
      <c r="KGS274" s="365"/>
      <c r="KGT274" s="365"/>
      <c r="KGU274" s="365"/>
      <c r="KGV274" s="365"/>
      <c r="KGW274" s="365"/>
      <c r="KGX274" s="365"/>
      <c r="KGY274" s="365"/>
      <c r="KGZ274" s="365"/>
      <c r="KHA274" s="365"/>
      <c r="KHB274" s="365"/>
      <c r="KHC274" s="365"/>
      <c r="KHD274" s="365"/>
      <c r="KHE274" s="365"/>
      <c r="KHF274" s="365"/>
      <c r="KHG274" s="365"/>
      <c r="KHH274" s="365"/>
      <c r="KHI274" s="365"/>
      <c r="KHJ274" s="365"/>
      <c r="KHK274" s="365"/>
      <c r="KHL274" s="365"/>
      <c r="KHM274" s="365"/>
      <c r="KHN274" s="365"/>
      <c r="KHO274" s="365"/>
      <c r="KHP274" s="365"/>
      <c r="KHQ274" s="365"/>
      <c r="KHR274" s="365"/>
      <c r="KHS274" s="365"/>
      <c r="KHT274" s="365"/>
      <c r="KHU274" s="365"/>
      <c r="KHV274" s="365"/>
      <c r="KHW274" s="365"/>
      <c r="KHX274" s="365"/>
      <c r="KHY274" s="365"/>
      <c r="KHZ274" s="365"/>
      <c r="KIA274" s="365"/>
      <c r="KIB274" s="365"/>
      <c r="KIC274" s="365"/>
      <c r="KID274" s="365"/>
      <c r="KIE274" s="365"/>
      <c r="KIF274" s="365"/>
      <c r="KIG274" s="365"/>
      <c r="KIH274" s="365"/>
      <c r="KII274" s="365"/>
      <c r="KIJ274" s="365"/>
      <c r="KIK274" s="365"/>
      <c r="KIL274" s="365"/>
      <c r="KIM274" s="365"/>
      <c r="KIN274" s="365"/>
      <c r="KIO274" s="365"/>
      <c r="KIP274" s="365"/>
      <c r="KIQ274" s="365"/>
      <c r="KIR274" s="365"/>
      <c r="KIS274" s="365"/>
      <c r="KIT274" s="365"/>
      <c r="KIU274" s="365"/>
      <c r="KIV274" s="365"/>
      <c r="KIW274" s="365"/>
      <c r="KIX274" s="365"/>
      <c r="KIY274" s="365"/>
      <c r="KIZ274" s="365"/>
      <c r="KJA274" s="365"/>
      <c r="KJB274" s="365"/>
      <c r="KJC274" s="365"/>
      <c r="KJD274" s="365"/>
      <c r="KJE274" s="365"/>
      <c r="KJF274" s="365"/>
      <c r="KJG274" s="365"/>
      <c r="KJH274" s="365"/>
      <c r="KJI274" s="365"/>
      <c r="KJJ274" s="365"/>
      <c r="KJK274" s="365"/>
      <c r="KJL274" s="365"/>
      <c r="KJM274" s="365"/>
      <c r="KJN274" s="365"/>
      <c r="KJO274" s="365"/>
      <c r="KJP274" s="365"/>
      <c r="KJQ274" s="365"/>
      <c r="KJR274" s="365"/>
      <c r="KJS274" s="365"/>
      <c r="KJT274" s="365"/>
      <c r="KJU274" s="365"/>
      <c r="KJV274" s="365"/>
      <c r="KJW274" s="365"/>
      <c r="KJX274" s="365"/>
      <c r="KJY274" s="365"/>
      <c r="KJZ274" s="365"/>
      <c r="KKA274" s="365"/>
      <c r="KKB274" s="365"/>
      <c r="KKC274" s="365"/>
      <c r="KKD274" s="365"/>
      <c r="KKE274" s="365"/>
      <c r="KKF274" s="365"/>
      <c r="KKG274" s="365"/>
      <c r="KKH274" s="365"/>
      <c r="KKI274" s="365"/>
      <c r="KKJ274" s="365"/>
      <c r="KKK274" s="365"/>
      <c r="KKL274" s="365"/>
      <c r="KKM274" s="365"/>
      <c r="KKN274" s="365"/>
      <c r="KKO274" s="365"/>
      <c r="KKP274" s="365"/>
      <c r="KKQ274" s="365"/>
      <c r="KKR274" s="365"/>
      <c r="KKS274" s="365"/>
      <c r="KKT274" s="365"/>
      <c r="KKU274" s="365"/>
      <c r="KKV274" s="365"/>
      <c r="KKW274" s="365"/>
      <c r="KKX274" s="365"/>
      <c r="KKY274" s="365"/>
      <c r="KKZ274" s="365"/>
      <c r="KLA274" s="365"/>
      <c r="KLB274" s="365"/>
      <c r="KLC274" s="365"/>
      <c r="KLD274" s="365"/>
      <c r="KLE274" s="365"/>
      <c r="KLF274" s="365"/>
      <c r="KLG274" s="365"/>
      <c r="KLH274" s="365"/>
      <c r="KLI274" s="365"/>
      <c r="KLJ274" s="365"/>
      <c r="KLK274" s="365"/>
      <c r="KLL274" s="365"/>
      <c r="KLM274" s="365"/>
      <c r="KLN274" s="365"/>
      <c r="KLO274" s="365"/>
      <c r="KLP274" s="365"/>
      <c r="KLQ274" s="365"/>
      <c r="KLR274" s="365"/>
      <c r="KLS274" s="365"/>
      <c r="KLT274" s="365"/>
      <c r="KLU274" s="365"/>
      <c r="KLV274" s="365"/>
      <c r="KLW274" s="365"/>
      <c r="KLX274" s="365"/>
      <c r="KLY274" s="365"/>
      <c r="KLZ274" s="365"/>
      <c r="KMA274" s="365"/>
      <c r="KMB274" s="365"/>
      <c r="KMC274" s="365"/>
      <c r="KMD274" s="365"/>
      <c r="KME274" s="365"/>
      <c r="KMF274" s="365"/>
      <c r="KMG274" s="365"/>
      <c r="KMH274" s="365"/>
      <c r="KMI274" s="365"/>
      <c r="KMJ274" s="365"/>
      <c r="KMK274" s="365"/>
      <c r="KML274" s="365"/>
      <c r="KMM274" s="365"/>
      <c r="KMN274" s="365"/>
      <c r="KMO274" s="365"/>
      <c r="KMP274" s="365"/>
      <c r="KMQ274" s="365"/>
      <c r="KMR274" s="365"/>
      <c r="KMS274" s="365"/>
      <c r="KMT274" s="365"/>
      <c r="KMU274" s="365"/>
      <c r="KMV274" s="365"/>
      <c r="KMW274" s="365"/>
      <c r="KMX274" s="365"/>
      <c r="KMY274" s="365"/>
      <c r="KMZ274" s="365"/>
      <c r="KNA274" s="365"/>
      <c r="KNB274" s="365"/>
      <c r="KNC274" s="365"/>
      <c r="KND274" s="365"/>
      <c r="KNE274" s="365"/>
      <c r="KNF274" s="365"/>
      <c r="KNG274" s="365"/>
      <c r="KNH274" s="365"/>
      <c r="KNI274" s="365"/>
      <c r="KNJ274" s="365"/>
      <c r="KNK274" s="365"/>
      <c r="KNL274" s="365"/>
      <c r="KNM274" s="365"/>
      <c r="KNN274" s="365"/>
      <c r="KNO274" s="365"/>
      <c r="KNP274" s="365"/>
      <c r="KNQ274" s="365"/>
      <c r="KNR274" s="365"/>
      <c r="KNS274" s="365"/>
      <c r="KNT274" s="365"/>
      <c r="KNU274" s="365"/>
      <c r="KNV274" s="365"/>
      <c r="KNW274" s="365"/>
      <c r="KNX274" s="365"/>
      <c r="KNY274" s="365"/>
      <c r="KNZ274" s="365"/>
      <c r="KOA274" s="365"/>
      <c r="KOB274" s="365"/>
      <c r="KOC274" s="365"/>
      <c r="KOD274" s="365"/>
      <c r="KOE274" s="365"/>
      <c r="KOF274" s="365"/>
      <c r="KOG274" s="365"/>
      <c r="KOH274" s="365"/>
      <c r="KOI274" s="365"/>
      <c r="KOJ274" s="365"/>
      <c r="KOK274" s="365"/>
      <c r="KOL274" s="365"/>
      <c r="KOM274" s="365"/>
      <c r="KON274" s="365"/>
      <c r="KOO274" s="365"/>
      <c r="KOP274" s="365"/>
      <c r="KOQ274" s="365"/>
      <c r="KOR274" s="365"/>
      <c r="KOS274" s="365"/>
      <c r="KOT274" s="365"/>
      <c r="KOU274" s="365"/>
      <c r="KOV274" s="365"/>
      <c r="KOW274" s="365"/>
      <c r="KOX274" s="365"/>
      <c r="KOY274" s="365"/>
      <c r="KOZ274" s="365"/>
      <c r="KPA274" s="365"/>
      <c r="KPB274" s="365"/>
      <c r="KPC274" s="365"/>
      <c r="KPD274" s="365"/>
      <c r="KPE274" s="365"/>
      <c r="KPF274" s="365"/>
      <c r="KPG274" s="365"/>
      <c r="KPH274" s="365"/>
      <c r="KPI274" s="365"/>
      <c r="KPJ274" s="365"/>
      <c r="KPK274" s="365"/>
      <c r="KPL274" s="365"/>
      <c r="KPM274" s="365"/>
      <c r="KPN274" s="365"/>
      <c r="KPO274" s="365"/>
      <c r="KPP274" s="365"/>
      <c r="KPQ274" s="365"/>
      <c r="KPR274" s="365"/>
      <c r="KPS274" s="365"/>
      <c r="KPT274" s="365"/>
      <c r="KPU274" s="365"/>
      <c r="KPV274" s="365"/>
      <c r="KPW274" s="365"/>
      <c r="KPX274" s="365"/>
      <c r="KPY274" s="365"/>
      <c r="KPZ274" s="365"/>
      <c r="KQA274" s="365"/>
      <c r="KQB274" s="365"/>
      <c r="KQC274" s="365"/>
      <c r="KQD274" s="365"/>
      <c r="KQE274" s="365"/>
      <c r="KQF274" s="365"/>
      <c r="KQG274" s="365"/>
      <c r="KQH274" s="365"/>
      <c r="KQI274" s="365"/>
      <c r="KQJ274" s="365"/>
      <c r="KQK274" s="365"/>
      <c r="KQL274" s="365"/>
      <c r="KQM274" s="365"/>
      <c r="KQN274" s="365"/>
      <c r="KQO274" s="365"/>
      <c r="KQP274" s="365"/>
      <c r="KQQ274" s="365"/>
      <c r="KQR274" s="365"/>
      <c r="KQS274" s="365"/>
      <c r="KQT274" s="365"/>
      <c r="KQU274" s="365"/>
      <c r="KQV274" s="365"/>
      <c r="KQW274" s="365"/>
      <c r="KQX274" s="365"/>
      <c r="KQY274" s="365"/>
      <c r="KQZ274" s="365"/>
      <c r="KRA274" s="365"/>
      <c r="KRB274" s="365"/>
      <c r="KRC274" s="365"/>
      <c r="KRD274" s="365"/>
      <c r="KRE274" s="365"/>
      <c r="KRF274" s="365"/>
      <c r="KRG274" s="365"/>
      <c r="KRH274" s="365"/>
      <c r="KRI274" s="365"/>
      <c r="KRJ274" s="365"/>
      <c r="KRK274" s="365"/>
      <c r="KRL274" s="365"/>
      <c r="KRM274" s="365"/>
      <c r="KRN274" s="365"/>
      <c r="KRO274" s="365"/>
      <c r="KRP274" s="365"/>
      <c r="KRQ274" s="365"/>
      <c r="KRR274" s="365"/>
      <c r="KRS274" s="365"/>
      <c r="KRT274" s="365"/>
      <c r="KRU274" s="365"/>
      <c r="KRV274" s="365"/>
      <c r="KRW274" s="365"/>
      <c r="KRX274" s="365"/>
      <c r="KRY274" s="365"/>
      <c r="KRZ274" s="365"/>
      <c r="KSA274" s="365"/>
      <c r="KSB274" s="365"/>
      <c r="KSC274" s="365"/>
      <c r="KSD274" s="365"/>
      <c r="KSE274" s="365"/>
      <c r="KSF274" s="365"/>
      <c r="KSG274" s="365"/>
      <c r="KSH274" s="365"/>
      <c r="KSI274" s="365"/>
      <c r="KSJ274" s="365"/>
      <c r="KSK274" s="365"/>
      <c r="KSL274" s="365"/>
      <c r="KSM274" s="365"/>
      <c r="KSN274" s="365"/>
      <c r="KSO274" s="365"/>
      <c r="KSP274" s="365"/>
      <c r="KSQ274" s="365"/>
      <c r="KSR274" s="365"/>
      <c r="KSS274" s="365"/>
      <c r="KST274" s="365"/>
      <c r="KSU274" s="365"/>
      <c r="KSV274" s="365"/>
      <c r="KSW274" s="365"/>
      <c r="KSX274" s="365"/>
      <c r="KSY274" s="365"/>
      <c r="KSZ274" s="365"/>
      <c r="KTA274" s="365"/>
      <c r="KTB274" s="365"/>
      <c r="KTC274" s="365"/>
      <c r="KTD274" s="365"/>
      <c r="KTE274" s="365"/>
      <c r="KTF274" s="365"/>
      <c r="KTG274" s="365"/>
      <c r="KTH274" s="365"/>
      <c r="KTI274" s="365"/>
      <c r="KTJ274" s="365"/>
      <c r="KTK274" s="365"/>
      <c r="KTL274" s="365"/>
      <c r="KTM274" s="365"/>
      <c r="KTN274" s="365"/>
      <c r="KTO274" s="365"/>
      <c r="KTP274" s="365"/>
      <c r="KTQ274" s="365"/>
      <c r="KTR274" s="365"/>
      <c r="KTS274" s="365"/>
      <c r="KTT274" s="365"/>
      <c r="KTU274" s="365"/>
      <c r="KTV274" s="365"/>
      <c r="KTW274" s="365"/>
      <c r="KTX274" s="365"/>
      <c r="KTY274" s="365"/>
      <c r="KTZ274" s="365"/>
      <c r="KUA274" s="365"/>
      <c r="KUB274" s="365"/>
      <c r="KUC274" s="365"/>
      <c r="KUD274" s="365"/>
      <c r="KUE274" s="365"/>
      <c r="KUF274" s="365"/>
      <c r="KUG274" s="365"/>
      <c r="KUH274" s="365"/>
      <c r="KUI274" s="365"/>
      <c r="KUJ274" s="365"/>
      <c r="KUK274" s="365"/>
      <c r="KUL274" s="365"/>
      <c r="KUM274" s="365"/>
      <c r="KUN274" s="365"/>
      <c r="KUO274" s="365"/>
      <c r="KUP274" s="365"/>
      <c r="KUQ274" s="365"/>
      <c r="KUR274" s="365"/>
      <c r="KUS274" s="365"/>
      <c r="KUT274" s="365"/>
      <c r="KUU274" s="365"/>
      <c r="KUV274" s="365"/>
      <c r="KUW274" s="365"/>
      <c r="KUX274" s="365"/>
      <c r="KUY274" s="365"/>
      <c r="KUZ274" s="365"/>
      <c r="KVA274" s="365"/>
      <c r="KVB274" s="365"/>
      <c r="KVC274" s="365"/>
      <c r="KVD274" s="365"/>
      <c r="KVE274" s="365"/>
      <c r="KVF274" s="365"/>
      <c r="KVG274" s="365"/>
      <c r="KVH274" s="365"/>
      <c r="KVI274" s="365"/>
      <c r="KVJ274" s="365"/>
      <c r="KVK274" s="365"/>
      <c r="KVL274" s="365"/>
      <c r="KVM274" s="365"/>
      <c r="KVN274" s="365"/>
      <c r="KVO274" s="365"/>
      <c r="KVP274" s="365"/>
      <c r="KVQ274" s="365"/>
      <c r="KVR274" s="365"/>
      <c r="KVS274" s="365"/>
      <c r="KVT274" s="365"/>
      <c r="KVU274" s="365"/>
      <c r="KVV274" s="365"/>
      <c r="KVW274" s="365"/>
      <c r="KVX274" s="365"/>
      <c r="KVY274" s="365"/>
      <c r="KVZ274" s="365"/>
      <c r="KWA274" s="365"/>
      <c r="KWB274" s="365"/>
      <c r="KWC274" s="365"/>
      <c r="KWD274" s="365"/>
      <c r="KWE274" s="365"/>
      <c r="KWF274" s="365"/>
      <c r="KWG274" s="365"/>
      <c r="KWH274" s="365"/>
      <c r="KWI274" s="365"/>
      <c r="KWJ274" s="365"/>
      <c r="KWK274" s="365"/>
      <c r="KWL274" s="365"/>
      <c r="KWM274" s="365"/>
      <c r="KWN274" s="365"/>
      <c r="KWO274" s="365"/>
      <c r="KWP274" s="365"/>
      <c r="KWQ274" s="365"/>
      <c r="KWR274" s="365"/>
      <c r="KWS274" s="365"/>
      <c r="KWT274" s="365"/>
      <c r="KWU274" s="365"/>
      <c r="KWV274" s="365"/>
      <c r="KWW274" s="365"/>
      <c r="KWX274" s="365"/>
      <c r="KWY274" s="365"/>
      <c r="KWZ274" s="365"/>
      <c r="KXA274" s="365"/>
      <c r="KXB274" s="365"/>
      <c r="KXC274" s="365"/>
      <c r="KXD274" s="365"/>
      <c r="KXE274" s="365"/>
      <c r="KXF274" s="365"/>
      <c r="KXG274" s="365"/>
      <c r="KXH274" s="365"/>
      <c r="KXI274" s="365"/>
      <c r="KXJ274" s="365"/>
      <c r="KXK274" s="365"/>
      <c r="KXL274" s="365"/>
      <c r="KXM274" s="365"/>
      <c r="KXN274" s="365"/>
      <c r="KXO274" s="365"/>
      <c r="KXP274" s="365"/>
      <c r="KXQ274" s="365"/>
      <c r="KXR274" s="365"/>
      <c r="KXS274" s="365"/>
      <c r="KXT274" s="365"/>
      <c r="KXU274" s="365"/>
      <c r="KXV274" s="365"/>
      <c r="KXW274" s="365"/>
      <c r="KXX274" s="365"/>
      <c r="KXY274" s="365"/>
      <c r="KXZ274" s="365"/>
      <c r="KYA274" s="365"/>
      <c r="KYB274" s="365"/>
      <c r="KYC274" s="365"/>
      <c r="KYD274" s="365"/>
      <c r="KYE274" s="365"/>
      <c r="KYF274" s="365"/>
      <c r="KYG274" s="365"/>
      <c r="KYH274" s="365"/>
      <c r="KYI274" s="365"/>
      <c r="KYJ274" s="365"/>
      <c r="KYK274" s="365"/>
      <c r="KYL274" s="365"/>
      <c r="KYM274" s="365"/>
      <c r="KYN274" s="365"/>
      <c r="KYO274" s="365"/>
      <c r="KYP274" s="365"/>
      <c r="KYQ274" s="365"/>
      <c r="KYR274" s="365"/>
      <c r="KYS274" s="365"/>
      <c r="KYT274" s="365"/>
      <c r="KYU274" s="365"/>
      <c r="KYV274" s="365"/>
      <c r="KYW274" s="365"/>
      <c r="KYX274" s="365"/>
      <c r="KYY274" s="365"/>
      <c r="KYZ274" s="365"/>
      <c r="KZA274" s="365"/>
      <c r="KZB274" s="365"/>
      <c r="KZC274" s="365"/>
      <c r="KZD274" s="365"/>
      <c r="KZE274" s="365"/>
      <c r="KZF274" s="365"/>
      <c r="KZG274" s="365"/>
      <c r="KZH274" s="365"/>
      <c r="KZI274" s="365"/>
      <c r="KZJ274" s="365"/>
      <c r="KZK274" s="365"/>
      <c r="KZL274" s="365"/>
      <c r="KZM274" s="365"/>
      <c r="KZN274" s="365"/>
      <c r="KZO274" s="365"/>
      <c r="KZP274" s="365"/>
      <c r="KZQ274" s="365"/>
      <c r="KZR274" s="365"/>
      <c r="KZS274" s="365"/>
      <c r="KZT274" s="365"/>
      <c r="KZU274" s="365"/>
      <c r="KZV274" s="365"/>
      <c r="KZW274" s="365"/>
      <c r="KZX274" s="365"/>
      <c r="KZY274" s="365"/>
      <c r="KZZ274" s="365"/>
      <c r="LAA274" s="365"/>
      <c r="LAB274" s="365"/>
      <c r="LAC274" s="365"/>
      <c r="LAD274" s="365"/>
      <c r="LAE274" s="365"/>
      <c r="LAF274" s="365"/>
      <c r="LAG274" s="365"/>
      <c r="LAH274" s="365"/>
      <c r="LAI274" s="365"/>
      <c r="LAJ274" s="365"/>
      <c r="LAK274" s="365"/>
      <c r="LAL274" s="365"/>
      <c r="LAM274" s="365"/>
      <c r="LAN274" s="365"/>
      <c r="LAO274" s="365"/>
      <c r="LAP274" s="365"/>
      <c r="LAQ274" s="365"/>
      <c r="LAR274" s="365"/>
      <c r="LAS274" s="365"/>
      <c r="LAT274" s="365"/>
      <c r="LAU274" s="365"/>
      <c r="LAV274" s="365"/>
      <c r="LAW274" s="365"/>
      <c r="LAX274" s="365"/>
      <c r="LAY274" s="365"/>
      <c r="LAZ274" s="365"/>
      <c r="LBA274" s="365"/>
      <c r="LBB274" s="365"/>
      <c r="LBC274" s="365"/>
      <c r="LBD274" s="365"/>
      <c r="LBE274" s="365"/>
      <c r="LBF274" s="365"/>
      <c r="LBG274" s="365"/>
      <c r="LBH274" s="365"/>
      <c r="LBI274" s="365"/>
      <c r="LBJ274" s="365"/>
      <c r="LBK274" s="365"/>
      <c r="LBL274" s="365"/>
      <c r="LBM274" s="365"/>
      <c r="LBN274" s="365"/>
      <c r="LBO274" s="365"/>
      <c r="LBP274" s="365"/>
      <c r="LBQ274" s="365"/>
      <c r="LBR274" s="365"/>
      <c r="LBS274" s="365"/>
      <c r="LBT274" s="365"/>
      <c r="LBU274" s="365"/>
      <c r="LBV274" s="365"/>
      <c r="LBW274" s="365"/>
      <c r="LBX274" s="365"/>
      <c r="LBY274" s="365"/>
      <c r="LBZ274" s="365"/>
      <c r="LCA274" s="365"/>
      <c r="LCB274" s="365"/>
      <c r="LCC274" s="365"/>
      <c r="LCD274" s="365"/>
      <c r="LCE274" s="365"/>
      <c r="LCF274" s="365"/>
      <c r="LCG274" s="365"/>
      <c r="LCH274" s="365"/>
      <c r="LCI274" s="365"/>
      <c r="LCJ274" s="365"/>
      <c r="LCK274" s="365"/>
      <c r="LCL274" s="365"/>
      <c r="LCM274" s="365"/>
      <c r="LCN274" s="365"/>
      <c r="LCO274" s="365"/>
      <c r="LCP274" s="365"/>
      <c r="LCQ274" s="365"/>
      <c r="LCR274" s="365"/>
      <c r="LCS274" s="365"/>
      <c r="LCT274" s="365"/>
      <c r="LCU274" s="365"/>
      <c r="LCV274" s="365"/>
      <c r="LCW274" s="365"/>
      <c r="LCX274" s="365"/>
      <c r="LCY274" s="365"/>
      <c r="LCZ274" s="365"/>
      <c r="LDA274" s="365"/>
      <c r="LDB274" s="365"/>
      <c r="LDC274" s="365"/>
      <c r="LDD274" s="365"/>
      <c r="LDE274" s="365"/>
      <c r="LDF274" s="365"/>
      <c r="LDG274" s="365"/>
      <c r="LDH274" s="365"/>
      <c r="LDI274" s="365"/>
      <c r="LDJ274" s="365"/>
      <c r="LDK274" s="365"/>
      <c r="LDL274" s="365"/>
      <c r="LDM274" s="365"/>
      <c r="LDN274" s="365"/>
      <c r="LDO274" s="365"/>
      <c r="LDP274" s="365"/>
      <c r="LDQ274" s="365"/>
      <c r="LDR274" s="365"/>
      <c r="LDS274" s="365"/>
      <c r="LDT274" s="365"/>
      <c r="LDU274" s="365"/>
      <c r="LDV274" s="365"/>
      <c r="LDW274" s="365"/>
      <c r="LDX274" s="365"/>
      <c r="LDY274" s="365"/>
      <c r="LDZ274" s="365"/>
      <c r="LEA274" s="365"/>
      <c r="LEB274" s="365"/>
      <c r="LEC274" s="365"/>
      <c r="LED274" s="365"/>
      <c r="LEE274" s="365"/>
      <c r="LEF274" s="365"/>
      <c r="LEG274" s="365"/>
      <c r="LEH274" s="365"/>
      <c r="LEI274" s="365"/>
      <c r="LEJ274" s="365"/>
      <c r="LEK274" s="365"/>
      <c r="LEL274" s="365"/>
      <c r="LEM274" s="365"/>
      <c r="LEN274" s="365"/>
      <c r="LEO274" s="365"/>
      <c r="LEP274" s="365"/>
      <c r="LEQ274" s="365"/>
      <c r="LER274" s="365"/>
      <c r="LES274" s="365"/>
      <c r="LET274" s="365"/>
      <c r="LEU274" s="365"/>
      <c r="LEV274" s="365"/>
      <c r="LEW274" s="365"/>
      <c r="LEX274" s="365"/>
      <c r="LEY274" s="365"/>
      <c r="LEZ274" s="365"/>
      <c r="LFA274" s="365"/>
      <c r="LFB274" s="365"/>
      <c r="LFC274" s="365"/>
      <c r="LFD274" s="365"/>
      <c r="LFE274" s="365"/>
      <c r="LFF274" s="365"/>
      <c r="LFG274" s="365"/>
      <c r="LFH274" s="365"/>
      <c r="LFI274" s="365"/>
      <c r="LFJ274" s="365"/>
      <c r="LFK274" s="365"/>
      <c r="LFL274" s="365"/>
      <c r="LFM274" s="365"/>
      <c r="LFN274" s="365"/>
      <c r="LFO274" s="365"/>
      <c r="LFP274" s="365"/>
      <c r="LFQ274" s="365"/>
      <c r="LFR274" s="365"/>
      <c r="LFS274" s="365"/>
      <c r="LFT274" s="365"/>
      <c r="LFU274" s="365"/>
      <c r="LFV274" s="365"/>
      <c r="LFW274" s="365"/>
      <c r="LFX274" s="365"/>
      <c r="LFY274" s="365"/>
      <c r="LFZ274" s="365"/>
      <c r="LGA274" s="365"/>
      <c r="LGB274" s="365"/>
      <c r="LGC274" s="365"/>
      <c r="LGD274" s="365"/>
      <c r="LGE274" s="365"/>
      <c r="LGF274" s="365"/>
      <c r="LGG274" s="365"/>
      <c r="LGH274" s="365"/>
      <c r="LGI274" s="365"/>
      <c r="LGJ274" s="365"/>
      <c r="LGK274" s="365"/>
      <c r="LGL274" s="365"/>
      <c r="LGM274" s="365"/>
      <c r="LGN274" s="365"/>
      <c r="LGO274" s="365"/>
      <c r="LGP274" s="365"/>
      <c r="LGQ274" s="365"/>
      <c r="LGR274" s="365"/>
      <c r="LGS274" s="365"/>
      <c r="LGT274" s="365"/>
      <c r="LGU274" s="365"/>
      <c r="LGV274" s="365"/>
      <c r="LGW274" s="365"/>
      <c r="LGX274" s="365"/>
      <c r="LGY274" s="365"/>
      <c r="LGZ274" s="365"/>
      <c r="LHA274" s="365"/>
      <c r="LHB274" s="365"/>
      <c r="LHC274" s="365"/>
      <c r="LHD274" s="365"/>
      <c r="LHE274" s="365"/>
      <c r="LHF274" s="365"/>
      <c r="LHG274" s="365"/>
      <c r="LHH274" s="365"/>
      <c r="LHI274" s="365"/>
      <c r="LHJ274" s="365"/>
      <c r="LHK274" s="365"/>
      <c r="LHL274" s="365"/>
      <c r="LHM274" s="365"/>
      <c r="LHN274" s="365"/>
      <c r="LHO274" s="365"/>
      <c r="LHP274" s="365"/>
      <c r="LHQ274" s="365"/>
      <c r="LHR274" s="365"/>
      <c r="LHS274" s="365"/>
      <c r="LHT274" s="365"/>
      <c r="LHU274" s="365"/>
      <c r="LHV274" s="365"/>
      <c r="LHW274" s="365"/>
      <c r="LHX274" s="365"/>
      <c r="LHY274" s="365"/>
      <c r="LHZ274" s="365"/>
      <c r="LIA274" s="365"/>
      <c r="LIB274" s="365"/>
      <c r="LIC274" s="365"/>
      <c r="LID274" s="365"/>
      <c r="LIE274" s="365"/>
      <c r="LIF274" s="365"/>
      <c r="LIG274" s="365"/>
      <c r="LIH274" s="365"/>
      <c r="LII274" s="365"/>
      <c r="LIJ274" s="365"/>
      <c r="LIK274" s="365"/>
      <c r="LIL274" s="365"/>
      <c r="LIM274" s="365"/>
      <c r="LIN274" s="365"/>
      <c r="LIO274" s="365"/>
      <c r="LIP274" s="365"/>
      <c r="LIQ274" s="365"/>
      <c r="LIR274" s="365"/>
      <c r="LIS274" s="365"/>
      <c r="LIT274" s="365"/>
      <c r="LIU274" s="365"/>
      <c r="LIV274" s="365"/>
      <c r="LIW274" s="365"/>
      <c r="LIX274" s="365"/>
      <c r="LIY274" s="365"/>
      <c r="LIZ274" s="365"/>
      <c r="LJA274" s="365"/>
      <c r="LJB274" s="365"/>
      <c r="LJC274" s="365"/>
      <c r="LJD274" s="365"/>
      <c r="LJE274" s="365"/>
      <c r="LJF274" s="365"/>
      <c r="LJG274" s="365"/>
      <c r="LJH274" s="365"/>
      <c r="LJI274" s="365"/>
      <c r="LJJ274" s="365"/>
      <c r="LJK274" s="365"/>
      <c r="LJL274" s="365"/>
      <c r="LJM274" s="365"/>
      <c r="LJN274" s="365"/>
      <c r="LJO274" s="365"/>
      <c r="LJP274" s="365"/>
      <c r="LJQ274" s="365"/>
      <c r="LJR274" s="365"/>
      <c r="LJS274" s="365"/>
      <c r="LJT274" s="365"/>
      <c r="LJU274" s="365"/>
      <c r="LJV274" s="365"/>
      <c r="LJW274" s="365"/>
      <c r="LJX274" s="365"/>
      <c r="LJY274" s="365"/>
      <c r="LJZ274" s="365"/>
      <c r="LKA274" s="365"/>
      <c r="LKB274" s="365"/>
      <c r="LKC274" s="365"/>
      <c r="LKD274" s="365"/>
      <c r="LKE274" s="365"/>
      <c r="LKF274" s="365"/>
      <c r="LKG274" s="365"/>
      <c r="LKH274" s="365"/>
      <c r="LKI274" s="365"/>
      <c r="LKJ274" s="365"/>
      <c r="LKK274" s="365"/>
      <c r="LKL274" s="365"/>
      <c r="LKM274" s="365"/>
      <c r="LKN274" s="365"/>
      <c r="LKO274" s="365"/>
      <c r="LKP274" s="365"/>
      <c r="LKQ274" s="365"/>
      <c r="LKR274" s="365"/>
      <c r="LKS274" s="365"/>
      <c r="LKT274" s="365"/>
      <c r="LKU274" s="365"/>
      <c r="LKV274" s="365"/>
      <c r="LKW274" s="365"/>
      <c r="LKX274" s="365"/>
      <c r="LKY274" s="365"/>
      <c r="LKZ274" s="365"/>
      <c r="LLA274" s="365"/>
      <c r="LLB274" s="365"/>
      <c r="LLC274" s="365"/>
      <c r="LLD274" s="365"/>
      <c r="LLE274" s="365"/>
      <c r="LLF274" s="365"/>
      <c r="LLG274" s="365"/>
      <c r="LLH274" s="365"/>
      <c r="LLI274" s="365"/>
      <c r="LLJ274" s="365"/>
      <c r="LLK274" s="365"/>
      <c r="LLL274" s="365"/>
      <c r="LLM274" s="365"/>
      <c r="LLN274" s="365"/>
      <c r="LLO274" s="365"/>
      <c r="LLP274" s="365"/>
      <c r="LLQ274" s="365"/>
      <c r="LLR274" s="365"/>
      <c r="LLS274" s="365"/>
      <c r="LLT274" s="365"/>
      <c r="LLU274" s="365"/>
      <c r="LLV274" s="365"/>
      <c r="LLW274" s="365"/>
      <c r="LLX274" s="365"/>
      <c r="LLY274" s="365"/>
      <c r="LLZ274" s="365"/>
      <c r="LMA274" s="365"/>
      <c r="LMB274" s="365"/>
      <c r="LMC274" s="365"/>
      <c r="LMD274" s="365"/>
      <c r="LME274" s="365"/>
      <c r="LMF274" s="365"/>
      <c r="LMG274" s="365"/>
      <c r="LMH274" s="365"/>
      <c r="LMI274" s="365"/>
      <c r="LMJ274" s="365"/>
      <c r="LMK274" s="365"/>
      <c r="LML274" s="365"/>
      <c r="LMM274" s="365"/>
      <c r="LMN274" s="365"/>
      <c r="LMO274" s="365"/>
      <c r="LMP274" s="365"/>
      <c r="LMQ274" s="365"/>
      <c r="LMR274" s="365"/>
      <c r="LMS274" s="365"/>
      <c r="LMT274" s="365"/>
      <c r="LMU274" s="365"/>
      <c r="LMV274" s="365"/>
      <c r="LMW274" s="365"/>
      <c r="LMX274" s="365"/>
      <c r="LMY274" s="365"/>
      <c r="LMZ274" s="365"/>
      <c r="LNA274" s="365"/>
      <c r="LNB274" s="365"/>
      <c r="LNC274" s="365"/>
      <c r="LND274" s="365"/>
      <c r="LNE274" s="365"/>
      <c r="LNF274" s="365"/>
      <c r="LNG274" s="365"/>
      <c r="LNH274" s="365"/>
      <c r="LNI274" s="365"/>
      <c r="LNJ274" s="365"/>
      <c r="LNK274" s="365"/>
      <c r="LNL274" s="365"/>
      <c r="LNM274" s="365"/>
      <c r="LNN274" s="365"/>
      <c r="LNO274" s="365"/>
      <c r="LNP274" s="365"/>
      <c r="LNQ274" s="365"/>
      <c r="LNR274" s="365"/>
      <c r="LNS274" s="365"/>
      <c r="LNT274" s="365"/>
      <c r="LNU274" s="365"/>
      <c r="LNV274" s="365"/>
      <c r="LNW274" s="365"/>
      <c r="LNX274" s="365"/>
      <c r="LNY274" s="365"/>
      <c r="LNZ274" s="365"/>
      <c r="LOA274" s="365"/>
      <c r="LOB274" s="365"/>
      <c r="LOC274" s="365"/>
      <c r="LOD274" s="365"/>
      <c r="LOE274" s="365"/>
      <c r="LOF274" s="365"/>
      <c r="LOG274" s="365"/>
      <c r="LOH274" s="365"/>
      <c r="LOI274" s="365"/>
      <c r="LOJ274" s="365"/>
      <c r="LOK274" s="365"/>
      <c r="LOL274" s="365"/>
      <c r="LOM274" s="365"/>
      <c r="LON274" s="365"/>
      <c r="LOO274" s="365"/>
      <c r="LOP274" s="365"/>
      <c r="LOQ274" s="365"/>
      <c r="LOR274" s="365"/>
      <c r="LOS274" s="365"/>
      <c r="LOT274" s="365"/>
      <c r="LOU274" s="365"/>
      <c r="LOV274" s="365"/>
      <c r="LOW274" s="365"/>
      <c r="LOX274" s="365"/>
      <c r="LOY274" s="365"/>
      <c r="LOZ274" s="365"/>
      <c r="LPA274" s="365"/>
      <c r="LPB274" s="365"/>
      <c r="LPC274" s="365"/>
      <c r="LPD274" s="365"/>
      <c r="LPE274" s="365"/>
      <c r="LPF274" s="365"/>
      <c r="LPG274" s="365"/>
      <c r="LPH274" s="365"/>
      <c r="LPI274" s="365"/>
      <c r="LPJ274" s="365"/>
      <c r="LPK274" s="365"/>
      <c r="LPL274" s="365"/>
      <c r="LPM274" s="365"/>
      <c r="LPN274" s="365"/>
      <c r="LPO274" s="365"/>
      <c r="LPP274" s="365"/>
      <c r="LPQ274" s="365"/>
      <c r="LPR274" s="365"/>
      <c r="LPS274" s="365"/>
      <c r="LPT274" s="365"/>
      <c r="LPU274" s="365"/>
      <c r="LPV274" s="365"/>
      <c r="LPW274" s="365"/>
      <c r="LPX274" s="365"/>
      <c r="LPY274" s="365"/>
      <c r="LPZ274" s="365"/>
      <c r="LQA274" s="365"/>
      <c r="LQB274" s="365"/>
      <c r="LQC274" s="365"/>
      <c r="LQD274" s="365"/>
      <c r="LQE274" s="365"/>
      <c r="LQF274" s="365"/>
      <c r="LQG274" s="365"/>
      <c r="LQH274" s="365"/>
      <c r="LQI274" s="365"/>
      <c r="LQJ274" s="365"/>
      <c r="LQK274" s="365"/>
      <c r="LQL274" s="365"/>
      <c r="LQM274" s="365"/>
      <c r="LQN274" s="365"/>
      <c r="LQO274" s="365"/>
      <c r="LQP274" s="365"/>
      <c r="LQQ274" s="365"/>
      <c r="LQR274" s="365"/>
      <c r="LQS274" s="365"/>
      <c r="LQT274" s="365"/>
      <c r="LQU274" s="365"/>
      <c r="LQV274" s="365"/>
      <c r="LQW274" s="365"/>
      <c r="LQX274" s="365"/>
      <c r="LQY274" s="365"/>
      <c r="LQZ274" s="365"/>
      <c r="LRA274" s="365"/>
      <c r="LRB274" s="365"/>
      <c r="LRC274" s="365"/>
      <c r="LRD274" s="365"/>
      <c r="LRE274" s="365"/>
      <c r="LRF274" s="365"/>
      <c r="LRG274" s="365"/>
      <c r="LRH274" s="365"/>
      <c r="LRI274" s="365"/>
      <c r="LRJ274" s="365"/>
      <c r="LRK274" s="365"/>
      <c r="LRL274" s="365"/>
      <c r="LRM274" s="365"/>
      <c r="LRN274" s="365"/>
      <c r="LRO274" s="365"/>
      <c r="LRP274" s="365"/>
      <c r="LRQ274" s="365"/>
      <c r="LRR274" s="365"/>
      <c r="LRS274" s="365"/>
      <c r="LRT274" s="365"/>
      <c r="LRU274" s="365"/>
      <c r="LRV274" s="365"/>
      <c r="LRW274" s="365"/>
      <c r="LRX274" s="365"/>
      <c r="LRY274" s="365"/>
      <c r="LRZ274" s="365"/>
      <c r="LSA274" s="365"/>
      <c r="LSB274" s="365"/>
      <c r="LSC274" s="365"/>
      <c r="LSD274" s="365"/>
      <c r="LSE274" s="365"/>
      <c r="LSF274" s="365"/>
      <c r="LSG274" s="365"/>
      <c r="LSH274" s="365"/>
      <c r="LSI274" s="365"/>
      <c r="LSJ274" s="365"/>
      <c r="LSK274" s="365"/>
      <c r="LSL274" s="365"/>
      <c r="LSM274" s="365"/>
      <c r="LSN274" s="365"/>
      <c r="LSO274" s="365"/>
      <c r="LSP274" s="365"/>
      <c r="LSQ274" s="365"/>
      <c r="LSR274" s="365"/>
      <c r="LSS274" s="365"/>
      <c r="LST274" s="365"/>
      <c r="LSU274" s="365"/>
      <c r="LSV274" s="365"/>
      <c r="LSW274" s="365"/>
      <c r="LSX274" s="365"/>
      <c r="LSY274" s="365"/>
      <c r="LSZ274" s="365"/>
      <c r="LTA274" s="365"/>
      <c r="LTB274" s="365"/>
      <c r="LTC274" s="365"/>
      <c r="LTD274" s="365"/>
      <c r="LTE274" s="365"/>
      <c r="LTF274" s="365"/>
      <c r="LTG274" s="365"/>
      <c r="LTH274" s="365"/>
      <c r="LTI274" s="365"/>
      <c r="LTJ274" s="365"/>
      <c r="LTK274" s="365"/>
      <c r="LTL274" s="365"/>
      <c r="LTM274" s="365"/>
      <c r="LTN274" s="365"/>
      <c r="LTO274" s="365"/>
      <c r="LTP274" s="365"/>
      <c r="LTQ274" s="365"/>
      <c r="LTR274" s="365"/>
      <c r="LTS274" s="365"/>
      <c r="LTT274" s="365"/>
      <c r="LTU274" s="365"/>
      <c r="LTV274" s="365"/>
      <c r="LTW274" s="365"/>
      <c r="LTX274" s="365"/>
      <c r="LTY274" s="365"/>
      <c r="LTZ274" s="365"/>
      <c r="LUA274" s="365"/>
      <c r="LUB274" s="365"/>
      <c r="LUC274" s="365"/>
      <c r="LUD274" s="365"/>
      <c r="LUE274" s="365"/>
      <c r="LUF274" s="365"/>
      <c r="LUG274" s="365"/>
      <c r="LUH274" s="365"/>
      <c r="LUI274" s="365"/>
      <c r="LUJ274" s="365"/>
      <c r="LUK274" s="365"/>
      <c r="LUL274" s="365"/>
      <c r="LUM274" s="365"/>
      <c r="LUN274" s="365"/>
      <c r="LUO274" s="365"/>
      <c r="LUP274" s="365"/>
      <c r="LUQ274" s="365"/>
      <c r="LUR274" s="365"/>
      <c r="LUS274" s="365"/>
      <c r="LUT274" s="365"/>
      <c r="LUU274" s="365"/>
      <c r="LUV274" s="365"/>
      <c r="LUW274" s="365"/>
      <c r="LUX274" s="365"/>
      <c r="LUY274" s="365"/>
      <c r="LUZ274" s="365"/>
      <c r="LVA274" s="365"/>
      <c r="LVB274" s="365"/>
      <c r="LVC274" s="365"/>
      <c r="LVD274" s="365"/>
      <c r="LVE274" s="365"/>
      <c r="LVF274" s="365"/>
      <c r="LVG274" s="365"/>
      <c r="LVH274" s="365"/>
      <c r="LVI274" s="365"/>
      <c r="LVJ274" s="365"/>
      <c r="LVK274" s="365"/>
      <c r="LVL274" s="365"/>
      <c r="LVM274" s="365"/>
      <c r="LVN274" s="365"/>
      <c r="LVO274" s="365"/>
      <c r="LVP274" s="365"/>
      <c r="LVQ274" s="365"/>
      <c r="LVR274" s="365"/>
      <c r="LVS274" s="365"/>
      <c r="LVT274" s="365"/>
      <c r="LVU274" s="365"/>
      <c r="LVV274" s="365"/>
      <c r="LVW274" s="365"/>
      <c r="LVX274" s="365"/>
      <c r="LVY274" s="365"/>
      <c r="LVZ274" s="365"/>
      <c r="LWA274" s="365"/>
      <c r="LWB274" s="365"/>
      <c r="LWC274" s="365"/>
      <c r="LWD274" s="365"/>
      <c r="LWE274" s="365"/>
      <c r="LWF274" s="365"/>
      <c r="LWG274" s="365"/>
      <c r="LWH274" s="365"/>
      <c r="LWI274" s="365"/>
      <c r="LWJ274" s="365"/>
      <c r="LWK274" s="365"/>
      <c r="LWL274" s="365"/>
      <c r="LWM274" s="365"/>
      <c r="LWN274" s="365"/>
      <c r="LWO274" s="365"/>
      <c r="LWP274" s="365"/>
      <c r="LWQ274" s="365"/>
      <c r="LWR274" s="365"/>
      <c r="LWS274" s="365"/>
      <c r="LWT274" s="365"/>
      <c r="LWU274" s="365"/>
      <c r="LWV274" s="365"/>
      <c r="LWW274" s="365"/>
      <c r="LWX274" s="365"/>
      <c r="LWY274" s="365"/>
      <c r="LWZ274" s="365"/>
      <c r="LXA274" s="365"/>
      <c r="LXB274" s="365"/>
      <c r="LXC274" s="365"/>
      <c r="LXD274" s="365"/>
      <c r="LXE274" s="365"/>
      <c r="LXF274" s="365"/>
      <c r="LXG274" s="365"/>
      <c r="LXH274" s="365"/>
      <c r="LXI274" s="365"/>
      <c r="LXJ274" s="365"/>
      <c r="LXK274" s="365"/>
      <c r="LXL274" s="365"/>
      <c r="LXM274" s="365"/>
      <c r="LXN274" s="365"/>
      <c r="LXO274" s="365"/>
      <c r="LXP274" s="365"/>
      <c r="LXQ274" s="365"/>
      <c r="LXR274" s="365"/>
      <c r="LXS274" s="365"/>
      <c r="LXT274" s="365"/>
      <c r="LXU274" s="365"/>
      <c r="LXV274" s="365"/>
      <c r="LXW274" s="365"/>
      <c r="LXX274" s="365"/>
      <c r="LXY274" s="365"/>
      <c r="LXZ274" s="365"/>
      <c r="LYA274" s="365"/>
      <c r="LYB274" s="365"/>
      <c r="LYC274" s="365"/>
      <c r="LYD274" s="365"/>
      <c r="LYE274" s="365"/>
      <c r="LYF274" s="365"/>
      <c r="LYG274" s="365"/>
      <c r="LYH274" s="365"/>
      <c r="LYI274" s="365"/>
      <c r="LYJ274" s="365"/>
      <c r="LYK274" s="365"/>
      <c r="LYL274" s="365"/>
      <c r="LYM274" s="365"/>
      <c r="LYN274" s="365"/>
      <c r="LYO274" s="365"/>
      <c r="LYP274" s="365"/>
      <c r="LYQ274" s="365"/>
      <c r="LYR274" s="365"/>
      <c r="LYS274" s="365"/>
      <c r="LYT274" s="365"/>
      <c r="LYU274" s="365"/>
      <c r="LYV274" s="365"/>
      <c r="LYW274" s="365"/>
      <c r="LYX274" s="365"/>
      <c r="LYY274" s="365"/>
      <c r="LYZ274" s="365"/>
      <c r="LZA274" s="365"/>
      <c r="LZB274" s="365"/>
      <c r="LZC274" s="365"/>
      <c r="LZD274" s="365"/>
      <c r="LZE274" s="365"/>
      <c r="LZF274" s="365"/>
      <c r="LZG274" s="365"/>
      <c r="LZH274" s="365"/>
      <c r="LZI274" s="365"/>
      <c r="LZJ274" s="365"/>
      <c r="LZK274" s="365"/>
      <c r="LZL274" s="365"/>
      <c r="LZM274" s="365"/>
      <c r="LZN274" s="365"/>
      <c r="LZO274" s="365"/>
      <c r="LZP274" s="365"/>
      <c r="LZQ274" s="365"/>
      <c r="LZR274" s="365"/>
      <c r="LZS274" s="365"/>
      <c r="LZT274" s="365"/>
      <c r="LZU274" s="365"/>
      <c r="LZV274" s="365"/>
      <c r="LZW274" s="365"/>
      <c r="LZX274" s="365"/>
      <c r="LZY274" s="365"/>
      <c r="LZZ274" s="365"/>
      <c r="MAA274" s="365"/>
      <c r="MAB274" s="365"/>
      <c r="MAC274" s="365"/>
      <c r="MAD274" s="365"/>
      <c r="MAE274" s="365"/>
      <c r="MAF274" s="365"/>
      <c r="MAG274" s="365"/>
      <c r="MAH274" s="365"/>
      <c r="MAI274" s="365"/>
      <c r="MAJ274" s="365"/>
      <c r="MAK274" s="365"/>
      <c r="MAL274" s="365"/>
      <c r="MAM274" s="365"/>
      <c r="MAN274" s="365"/>
      <c r="MAO274" s="365"/>
      <c r="MAP274" s="365"/>
      <c r="MAQ274" s="365"/>
      <c r="MAR274" s="365"/>
      <c r="MAS274" s="365"/>
      <c r="MAT274" s="365"/>
      <c r="MAU274" s="365"/>
      <c r="MAV274" s="365"/>
      <c r="MAW274" s="365"/>
      <c r="MAX274" s="365"/>
      <c r="MAY274" s="365"/>
      <c r="MAZ274" s="365"/>
      <c r="MBA274" s="365"/>
      <c r="MBB274" s="365"/>
      <c r="MBC274" s="365"/>
      <c r="MBD274" s="365"/>
      <c r="MBE274" s="365"/>
      <c r="MBF274" s="365"/>
      <c r="MBG274" s="365"/>
      <c r="MBH274" s="365"/>
      <c r="MBI274" s="365"/>
      <c r="MBJ274" s="365"/>
      <c r="MBK274" s="365"/>
      <c r="MBL274" s="365"/>
      <c r="MBM274" s="365"/>
      <c r="MBN274" s="365"/>
      <c r="MBO274" s="365"/>
      <c r="MBP274" s="365"/>
      <c r="MBQ274" s="365"/>
      <c r="MBR274" s="365"/>
      <c r="MBS274" s="365"/>
      <c r="MBT274" s="365"/>
      <c r="MBU274" s="365"/>
      <c r="MBV274" s="365"/>
      <c r="MBW274" s="365"/>
      <c r="MBX274" s="365"/>
      <c r="MBY274" s="365"/>
      <c r="MBZ274" s="365"/>
      <c r="MCA274" s="365"/>
      <c r="MCB274" s="365"/>
      <c r="MCC274" s="365"/>
      <c r="MCD274" s="365"/>
      <c r="MCE274" s="365"/>
      <c r="MCF274" s="365"/>
      <c r="MCG274" s="365"/>
      <c r="MCH274" s="365"/>
      <c r="MCI274" s="365"/>
      <c r="MCJ274" s="365"/>
      <c r="MCK274" s="365"/>
      <c r="MCL274" s="365"/>
      <c r="MCM274" s="365"/>
      <c r="MCN274" s="365"/>
      <c r="MCO274" s="365"/>
      <c r="MCP274" s="365"/>
      <c r="MCQ274" s="365"/>
      <c r="MCR274" s="365"/>
      <c r="MCS274" s="365"/>
      <c r="MCT274" s="365"/>
      <c r="MCU274" s="365"/>
      <c r="MCV274" s="365"/>
      <c r="MCW274" s="365"/>
      <c r="MCX274" s="365"/>
      <c r="MCY274" s="365"/>
      <c r="MCZ274" s="365"/>
      <c r="MDA274" s="365"/>
      <c r="MDB274" s="365"/>
      <c r="MDC274" s="365"/>
      <c r="MDD274" s="365"/>
      <c r="MDE274" s="365"/>
      <c r="MDF274" s="365"/>
      <c r="MDG274" s="365"/>
      <c r="MDH274" s="365"/>
      <c r="MDI274" s="365"/>
      <c r="MDJ274" s="365"/>
      <c r="MDK274" s="365"/>
      <c r="MDL274" s="365"/>
      <c r="MDM274" s="365"/>
      <c r="MDN274" s="365"/>
      <c r="MDO274" s="365"/>
      <c r="MDP274" s="365"/>
      <c r="MDQ274" s="365"/>
      <c r="MDR274" s="365"/>
      <c r="MDS274" s="365"/>
      <c r="MDT274" s="365"/>
      <c r="MDU274" s="365"/>
      <c r="MDV274" s="365"/>
      <c r="MDW274" s="365"/>
      <c r="MDX274" s="365"/>
      <c r="MDY274" s="365"/>
      <c r="MDZ274" s="365"/>
      <c r="MEA274" s="365"/>
      <c r="MEB274" s="365"/>
      <c r="MEC274" s="365"/>
      <c r="MED274" s="365"/>
      <c r="MEE274" s="365"/>
      <c r="MEF274" s="365"/>
      <c r="MEG274" s="365"/>
      <c r="MEH274" s="365"/>
      <c r="MEI274" s="365"/>
      <c r="MEJ274" s="365"/>
      <c r="MEK274" s="365"/>
      <c r="MEL274" s="365"/>
      <c r="MEM274" s="365"/>
      <c r="MEN274" s="365"/>
      <c r="MEO274" s="365"/>
      <c r="MEP274" s="365"/>
      <c r="MEQ274" s="365"/>
      <c r="MER274" s="365"/>
      <c r="MES274" s="365"/>
      <c r="MET274" s="365"/>
      <c r="MEU274" s="365"/>
      <c r="MEV274" s="365"/>
      <c r="MEW274" s="365"/>
      <c r="MEX274" s="365"/>
      <c r="MEY274" s="365"/>
      <c r="MEZ274" s="365"/>
      <c r="MFA274" s="365"/>
      <c r="MFB274" s="365"/>
      <c r="MFC274" s="365"/>
      <c r="MFD274" s="365"/>
      <c r="MFE274" s="365"/>
      <c r="MFF274" s="365"/>
      <c r="MFG274" s="365"/>
      <c r="MFH274" s="365"/>
      <c r="MFI274" s="365"/>
      <c r="MFJ274" s="365"/>
      <c r="MFK274" s="365"/>
      <c r="MFL274" s="365"/>
      <c r="MFM274" s="365"/>
      <c r="MFN274" s="365"/>
      <c r="MFO274" s="365"/>
      <c r="MFP274" s="365"/>
      <c r="MFQ274" s="365"/>
      <c r="MFR274" s="365"/>
      <c r="MFS274" s="365"/>
      <c r="MFT274" s="365"/>
      <c r="MFU274" s="365"/>
      <c r="MFV274" s="365"/>
      <c r="MFW274" s="365"/>
      <c r="MFX274" s="365"/>
      <c r="MFY274" s="365"/>
      <c r="MFZ274" s="365"/>
      <c r="MGA274" s="365"/>
      <c r="MGB274" s="365"/>
      <c r="MGC274" s="365"/>
      <c r="MGD274" s="365"/>
      <c r="MGE274" s="365"/>
      <c r="MGF274" s="365"/>
      <c r="MGG274" s="365"/>
      <c r="MGH274" s="365"/>
      <c r="MGI274" s="365"/>
      <c r="MGJ274" s="365"/>
      <c r="MGK274" s="365"/>
      <c r="MGL274" s="365"/>
      <c r="MGM274" s="365"/>
      <c r="MGN274" s="365"/>
      <c r="MGO274" s="365"/>
      <c r="MGP274" s="365"/>
      <c r="MGQ274" s="365"/>
      <c r="MGR274" s="365"/>
      <c r="MGS274" s="365"/>
      <c r="MGT274" s="365"/>
      <c r="MGU274" s="365"/>
      <c r="MGV274" s="365"/>
      <c r="MGW274" s="365"/>
      <c r="MGX274" s="365"/>
      <c r="MGY274" s="365"/>
      <c r="MGZ274" s="365"/>
      <c r="MHA274" s="365"/>
      <c r="MHB274" s="365"/>
      <c r="MHC274" s="365"/>
      <c r="MHD274" s="365"/>
      <c r="MHE274" s="365"/>
      <c r="MHF274" s="365"/>
      <c r="MHG274" s="365"/>
      <c r="MHH274" s="365"/>
      <c r="MHI274" s="365"/>
      <c r="MHJ274" s="365"/>
      <c r="MHK274" s="365"/>
      <c r="MHL274" s="365"/>
      <c r="MHM274" s="365"/>
      <c r="MHN274" s="365"/>
      <c r="MHO274" s="365"/>
      <c r="MHP274" s="365"/>
      <c r="MHQ274" s="365"/>
      <c r="MHR274" s="365"/>
      <c r="MHS274" s="365"/>
      <c r="MHT274" s="365"/>
      <c r="MHU274" s="365"/>
      <c r="MHV274" s="365"/>
      <c r="MHW274" s="365"/>
      <c r="MHX274" s="365"/>
      <c r="MHY274" s="365"/>
      <c r="MHZ274" s="365"/>
      <c r="MIA274" s="365"/>
      <c r="MIB274" s="365"/>
      <c r="MIC274" s="365"/>
      <c r="MID274" s="365"/>
      <c r="MIE274" s="365"/>
      <c r="MIF274" s="365"/>
      <c r="MIG274" s="365"/>
      <c r="MIH274" s="365"/>
      <c r="MII274" s="365"/>
      <c r="MIJ274" s="365"/>
      <c r="MIK274" s="365"/>
      <c r="MIL274" s="365"/>
      <c r="MIM274" s="365"/>
      <c r="MIN274" s="365"/>
      <c r="MIO274" s="365"/>
      <c r="MIP274" s="365"/>
      <c r="MIQ274" s="365"/>
      <c r="MIR274" s="365"/>
      <c r="MIS274" s="365"/>
      <c r="MIT274" s="365"/>
      <c r="MIU274" s="365"/>
      <c r="MIV274" s="365"/>
      <c r="MIW274" s="365"/>
      <c r="MIX274" s="365"/>
      <c r="MIY274" s="365"/>
      <c r="MIZ274" s="365"/>
      <c r="MJA274" s="365"/>
      <c r="MJB274" s="365"/>
      <c r="MJC274" s="365"/>
      <c r="MJD274" s="365"/>
      <c r="MJE274" s="365"/>
      <c r="MJF274" s="365"/>
      <c r="MJG274" s="365"/>
      <c r="MJH274" s="365"/>
      <c r="MJI274" s="365"/>
      <c r="MJJ274" s="365"/>
      <c r="MJK274" s="365"/>
      <c r="MJL274" s="365"/>
      <c r="MJM274" s="365"/>
      <c r="MJN274" s="365"/>
      <c r="MJO274" s="365"/>
      <c r="MJP274" s="365"/>
      <c r="MJQ274" s="365"/>
      <c r="MJR274" s="365"/>
      <c r="MJS274" s="365"/>
      <c r="MJT274" s="365"/>
      <c r="MJU274" s="365"/>
      <c r="MJV274" s="365"/>
      <c r="MJW274" s="365"/>
      <c r="MJX274" s="365"/>
      <c r="MJY274" s="365"/>
      <c r="MJZ274" s="365"/>
      <c r="MKA274" s="365"/>
      <c r="MKB274" s="365"/>
      <c r="MKC274" s="365"/>
      <c r="MKD274" s="365"/>
      <c r="MKE274" s="365"/>
      <c r="MKF274" s="365"/>
      <c r="MKG274" s="365"/>
      <c r="MKH274" s="365"/>
      <c r="MKI274" s="365"/>
      <c r="MKJ274" s="365"/>
      <c r="MKK274" s="365"/>
      <c r="MKL274" s="365"/>
      <c r="MKM274" s="365"/>
      <c r="MKN274" s="365"/>
      <c r="MKO274" s="365"/>
      <c r="MKP274" s="365"/>
      <c r="MKQ274" s="365"/>
      <c r="MKR274" s="365"/>
      <c r="MKS274" s="365"/>
      <c r="MKT274" s="365"/>
      <c r="MKU274" s="365"/>
      <c r="MKV274" s="365"/>
      <c r="MKW274" s="365"/>
      <c r="MKX274" s="365"/>
      <c r="MKY274" s="365"/>
      <c r="MKZ274" s="365"/>
      <c r="MLA274" s="365"/>
      <c r="MLB274" s="365"/>
      <c r="MLC274" s="365"/>
      <c r="MLD274" s="365"/>
      <c r="MLE274" s="365"/>
      <c r="MLF274" s="365"/>
      <c r="MLG274" s="365"/>
      <c r="MLH274" s="365"/>
      <c r="MLI274" s="365"/>
      <c r="MLJ274" s="365"/>
      <c r="MLK274" s="365"/>
      <c r="MLL274" s="365"/>
      <c r="MLM274" s="365"/>
      <c r="MLN274" s="365"/>
      <c r="MLO274" s="365"/>
      <c r="MLP274" s="365"/>
      <c r="MLQ274" s="365"/>
      <c r="MLR274" s="365"/>
      <c r="MLS274" s="365"/>
      <c r="MLT274" s="365"/>
      <c r="MLU274" s="365"/>
      <c r="MLV274" s="365"/>
      <c r="MLW274" s="365"/>
      <c r="MLX274" s="365"/>
      <c r="MLY274" s="365"/>
      <c r="MLZ274" s="365"/>
      <c r="MMA274" s="365"/>
      <c r="MMB274" s="365"/>
      <c r="MMC274" s="365"/>
      <c r="MMD274" s="365"/>
      <c r="MME274" s="365"/>
      <c r="MMF274" s="365"/>
      <c r="MMG274" s="365"/>
      <c r="MMH274" s="365"/>
      <c r="MMI274" s="365"/>
      <c r="MMJ274" s="365"/>
      <c r="MMK274" s="365"/>
      <c r="MML274" s="365"/>
      <c r="MMM274" s="365"/>
      <c r="MMN274" s="365"/>
      <c r="MMO274" s="365"/>
      <c r="MMP274" s="365"/>
      <c r="MMQ274" s="365"/>
      <c r="MMR274" s="365"/>
      <c r="MMS274" s="365"/>
      <c r="MMT274" s="365"/>
      <c r="MMU274" s="365"/>
      <c r="MMV274" s="365"/>
      <c r="MMW274" s="365"/>
      <c r="MMX274" s="365"/>
      <c r="MMY274" s="365"/>
      <c r="MMZ274" s="365"/>
      <c r="MNA274" s="365"/>
      <c r="MNB274" s="365"/>
      <c r="MNC274" s="365"/>
      <c r="MND274" s="365"/>
      <c r="MNE274" s="365"/>
      <c r="MNF274" s="365"/>
      <c r="MNG274" s="365"/>
      <c r="MNH274" s="365"/>
      <c r="MNI274" s="365"/>
      <c r="MNJ274" s="365"/>
      <c r="MNK274" s="365"/>
      <c r="MNL274" s="365"/>
      <c r="MNM274" s="365"/>
      <c r="MNN274" s="365"/>
      <c r="MNO274" s="365"/>
      <c r="MNP274" s="365"/>
      <c r="MNQ274" s="365"/>
      <c r="MNR274" s="365"/>
      <c r="MNS274" s="365"/>
      <c r="MNT274" s="365"/>
      <c r="MNU274" s="365"/>
      <c r="MNV274" s="365"/>
      <c r="MNW274" s="365"/>
      <c r="MNX274" s="365"/>
      <c r="MNY274" s="365"/>
      <c r="MNZ274" s="365"/>
      <c r="MOA274" s="365"/>
      <c r="MOB274" s="365"/>
      <c r="MOC274" s="365"/>
      <c r="MOD274" s="365"/>
      <c r="MOE274" s="365"/>
      <c r="MOF274" s="365"/>
      <c r="MOG274" s="365"/>
      <c r="MOH274" s="365"/>
      <c r="MOI274" s="365"/>
      <c r="MOJ274" s="365"/>
      <c r="MOK274" s="365"/>
      <c r="MOL274" s="365"/>
      <c r="MOM274" s="365"/>
      <c r="MON274" s="365"/>
      <c r="MOO274" s="365"/>
      <c r="MOP274" s="365"/>
      <c r="MOQ274" s="365"/>
      <c r="MOR274" s="365"/>
      <c r="MOS274" s="365"/>
      <c r="MOT274" s="365"/>
      <c r="MOU274" s="365"/>
      <c r="MOV274" s="365"/>
      <c r="MOW274" s="365"/>
      <c r="MOX274" s="365"/>
      <c r="MOY274" s="365"/>
      <c r="MOZ274" s="365"/>
      <c r="MPA274" s="365"/>
      <c r="MPB274" s="365"/>
      <c r="MPC274" s="365"/>
      <c r="MPD274" s="365"/>
      <c r="MPE274" s="365"/>
      <c r="MPF274" s="365"/>
      <c r="MPG274" s="365"/>
      <c r="MPH274" s="365"/>
      <c r="MPI274" s="365"/>
      <c r="MPJ274" s="365"/>
      <c r="MPK274" s="365"/>
      <c r="MPL274" s="365"/>
      <c r="MPM274" s="365"/>
      <c r="MPN274" s="365"/>
      <c r="MPO274" s="365"/>
      <c r="MPP274" s="365"/>
      <c r="MPQ274" s="365"/>
      <c r="MPR274" s="365"/>
      <c r="MPS274" s="365"/>
      <c r="MPT274" s="365"/>
      <c r="MPU274" s="365"/>
      <c r="MPV274" s="365"/>
      <c r="MPW274" s="365"/>
      <c r="MPX274" s="365"/>
      <c r="MPY274" s="365"/>
      <c r="MPZ274" s="365"/>
      <c r="MQA274" s="365"/>
      <c r="MQB274" s="365"/>
      <c r="MQC274" s="365"/>
      <c r="MQD274" s="365"/>
      <c r="MQE274" s="365"/>
      <c r="MQF274" s="365"/>
      <c r="MQG274" s="365"/>
      <c r="MQH274" s="365"/>
      <c r="MQI274" s="365"/>
      <c r="MQJ274" s="365"/>
      <c r="MQK274" s="365"/>
      <c r="MQL274" s="365"/>
      <c r="MQM274" s="365"/>
      <c r="MQN274" s="365"/>
      <c r="MQO274" s="365"/>
      <c r="MQP274" s="365"/>
      <c r="MQQ274" s="365"/>
      <c r="MQR274" s="365"/>
      <c r="MQS274" s="365"/>
      <c r="MQT274" s="365"/>
      <c r="MQU274" s="365"/>
      <c r="MQV274" s="365"/>
      <c r="MQW274" s="365"/>
      <c r="MQX274" s="365"/>
      <c r="MQY274" s="365"/>
      <c r="MQZ274" s="365"/>
      <c r="MRA274" s="365"/>
      <c r="MRB274" s="365"/>
      <c r="MRC274" s="365"/>
      <c r="MRD274" s="365"/>
      <c r="MRE274" s="365"/>
      <c r="MRF274" s="365"/>
      <c r="MRG274" s="365"/>
      <c r="MRH274" s="365"/>
      <c r="MRI274" s="365"/>
      <c r="MRJ274" s="365"/>
      <c r="MRK274" s="365"/>
      <c r="MRL274" s="365"/>
      <c r="MRM274" s="365"/>
      <c r="MRN274" s="365"/>
      <c r="MRO274" s="365"/>
      <c r="MRP274" s="365"/>
      <c r="MRQ274" s="365"/>
      <c r="MRR274" s="365"/>
      <c r="MRS274" s="365"/>
      <c r="MRT274" s="365"/>
      <c r="MRU274" s="365"/>
      <c r="MRV274" s="365"/>
      <c r="MRW274" s="365"/>
      <c r="MRX274" s="365"/>
      <c r="MRY274" s="365"/>
      <c r="MRZ274" s="365"/>
      <c r="MSA274" s="365"/>
      <c r="MSB274" s="365"/>
      <c r="MSC274" s="365"/>
      <c r="MSD274" s="365"/>
      <c r="MSE274" s="365"/>
      <c r="MSF274" s="365"/>
      <c r="MSG274" s="365"/>
      <c r="MSH274" s="365"/>
      <c r="MSI274" s="365"/>
      <c r="MSJ274" s="365"/>
      <c r="MSK274" s="365"/>
      <c r="MSL274" s="365"/>
      <c r="MSM274" s="365"/>
      <c r="MSN274" s="365"/>
      <c r="MSO274" s="365"/>
      <c r="MSP274" s="365"/>
      <c r="MSQ274" s="365"/>
      <c r="MSR274" s="365"/>
      <c r="MSS274" s="365"/>
      <c r="MST274" s="365"/>
      <c r="MSU274" s="365"/>
      <c r="MSV274" s="365"/>
      <c r="MSW274" s="365"/>
      <c r="MSX274" s="365"/>
      <c r="MSY274" s="365"/>
      <c r="MSZ274" s="365"/>
      <c r="MTA274" s="365"/>
      <c r="MTB274" s="365"/>
      <c r="MTC274" s="365"/>
      <c r="MTD274" s="365"/>
      <c r="MTE274" s="365"/>
      <c r="MTF274" s="365"/>
      <c r="MTG274" s="365"/>
      <c r="MTH274" s="365"/>
      <c r="MTI274" s="365"/>
      <c r="MTJ274" s="365"/>
      <c r="MTK274" s="365"/>
      <c r="MTL274" s="365"/>
      <c r="MTM274" s="365"/>
      <c r="MTN274" s="365"/>
      <c r="MTO274" s="365"/>
      <c r="MTP274" s="365"/>
      <c r="MTQ274" s="365"/>
      <c r="MTR274" s="365"/>
      <c r="MTS274" s="365"/>
      <c r="MTT274" s="365"/>
      <c r="MTU274" s="365"/>
      <c r="MTV274" s="365"/>
      <c r="MTW274" s="365"/>
      <c r="MTX274" s="365"/>
      <c r="MTY274" s="365"/>
      <c r="MTZ274" s="365"/>
      <c r="MUA274" s="365"/>
      <c r="MUB274" s="365"/>
      <c r="MUC274" s="365"/>
      <c r="MUD274" s="365"/>
      <c r="MUE274" s="365"/>
      <c r="MUF274" s="365"/>
      <c r="MUG274" s="365"/>
      <c r="MUH274" s="365"/>
      <c r="MUI274" s="365"/>
      <c r="MUJ274" s="365"/>
      <c r="MUK274" s="365"/>
      <c r="MUL274" s="365"/>
      <c r="MUM274" s="365"/>
      <c r="MUN274" s="365"/>
      <c r="MUO274" s="365"/>
      <c r="MUP274" s="365"/>
      <c r="MUQ274" s="365"/>
      <c r="MUR274" s="365"/>
      <c r="MUS274" s="365"/>
      <c r="MUT274" s="365"/>
      <c r="MUU274" s="365"/>
      <c r="MUV274" s="365"/>
      <c r="MUW274" s="365"/>
      <c r="MUX274" s="365"/>
      <c r="MUY274" s="365"/>
      <c r="MUZ274" s="365"/>
      <c r="MVA274" s="365"/>
      <c r="MVB274" s="365"/>
      <c r="MVC274" s="365"/>
      <c r="MVD274" s="365"/>
      <c r="MVE274" s="365"/>
      <c r="MVF274" s="365"/>
      <c r="MVG274" s="365"/>
      <c r="MVH274" s="365"/>
      <c r="MVI274" s="365"/>
      <c r="MVJ274" s="365"/>
      <c r="MVK274" s="365"/>
      <c r="MVL274" s="365"/>
      <c r="MVM274" s="365"/>
      <c r="MVN274" s="365"/>
      <c r="MVO274" s="365"/>
      <c r="MVP274" s="365"/>
      <c r="MVQ274" s="365"/>
      <c r="MVR274" s="365"/>
      <c r="MVS274" s="365"/>
      <c r="MVT274" s="365"/>
      <c r="MVU274" s="365"/>
      <c r="MVV274" s="365"/>
      <c r="MVW274" s="365"/>
      <c r="MVX274" s="365"/>
      <c r="MVY274" s="365"/>
      <c r="MVZ274" s="365"/>
      <c r="MWA274" s="365"/>
      <c r="MWB274" s="365"/>
      <c r="MWC274" s="365"/>
      <c r="MWD274" s="365"/>
      <c r="MWE274" s="365"/>
      <c r="MWF274" s="365"/>
      <c r="MWG274" s="365"/>
      <c r="MWH274" s="365"/>
      <c r="MWI274" s="365"/>
      <c r="MWJ274" s="365"/>
      <c r="MWK274" s="365"/>
      <c r="MWL274" s="365"/>
      <c r="MWM274" s="365"/>
      <c r="MWN274" s="365"/>
      <c r="MWO274" s="365"/>
      <c r="MWP274" s="365"/>
      <c r="MWQ274" s="365"/>
      <c r="MWR274" s="365"/>
      <c r="MWS274" s="365"/>
      <c r="MWT274" s="365"/>
      <c r="MWU274" s="365"/>
      <c r="MWV274" s="365"/>
      <c r="MWW274" s="365"/>
      <c r="MWX274" s="365"/>
      <c r="MWY274" s="365"/>
      <c r="MWZ274" s="365"/>
      <c r="MXA274" s="365"/>
      <c r="MXB274" s="365"/>
      <c r="MXC274" s="365"/>
      <c r="MXD274" s="365"/>
      <c r="MXE274" s="365"/>
      <c r="MXF274" s="365"/>
      <c r="MXG274" s="365"/>
      <c r="MXH274" s="365"/>
      <c r="MXI274" s="365"/>
      <c r="MXJ274" s="365"/>
      <c r="MXK274" s="365"/>
      <c r="MXL274" s="365"/>
      <c r="MXM274" s="365"/>
      <c r="MXN274" s="365"/>
      <c r="MXO274" s="365"/>
      <c r="MXP274" s="365"/>
      <c r="MXQ274" s="365"/>
      <c r="MXR274" s="365"/>
      <c r="MXS274" s="365"/>
      <c r="MXT274" s="365"/>
      <c r="MXU274" s="365"/>
      <c r="MXV274" s="365"/>
      <c r="MXW274" s="365"/>
      <c r="MXX274" s="365"/>
      <c r="MXY274" s="365"/>
      <c r="MXZ274" s="365"/>
      <c r="MYA274" s="365"/>
      <c r="MYB274" s="365"/>
      <c r="MYC274" s="365"/>
      <c r="MYD274" s="365"/>
      <c r="MYE274" s="365"/>
      <c r="MYF274" s="365"/>
      <c r="MYG274" s="365"/>
      <c r="MYH274" s="365"/>
      <c r="MYI274" s="365"/>
      <c r="MYJ274" s="365"/>
      <c r="MYK274" s="365"/>
      <c r="MYL274" s="365"/>
      <c r="MYM274" s="365"/>
      <c r="MYN274" s="365"/>
      <c r="MYO274" s="365"/>
      <c r="MYP274" s="365"/>
      <c r="MYQ274" s="365"/>
      <c r="MYR274" s="365"/>
      <c r="MYS274" s="365"/>
      <c r="MYT274" s="365"/>
      <c r="MYU274" s="365"/>
      <c r="MYV274" s="365"/>
      <c r="MYW274" s="365"/>
      <c r="MYX274" s="365"/>
      <c r="MYY274" s="365"/>
      <c r="MYZ274" s="365"/>
      <c r="MZA274" s="365"/>
      <c r="MZB274" s="365"/>
      <c r="MZC274" s="365"/>
      <c r="MZD274" s="365"/>
      <c r="MZE274" s="365"/>
      <c r="MZF274" s="365"/>
      <c r="MZG274" s="365"/>
      <c r="MZH274" s="365"/>
      <c r="MZI274" s="365"/>
      <c r="MZJ274" s="365"/>
      <c r="MZK274" s="365"/>
      <c r="MZL274" s="365"/>
      <c r="MZM274" s="365"/>
      <c r="MZN274" s="365"/>
      <c r="MZO274" s="365"/>
      <c r="MZP274" s="365"/>
      <c r="MZQ274" s="365"/>
      <c r="MZR274" s="365"/>
      <c r="MZS274" s="365"/>
      <c r="MZT274" s="365"/>
      <c r="MZU274" s="365"/>
      <c r="MZV274" s="365"/>
      <c r="MZW274" s="365"/>
      <c r="MZX274" s="365"/>
      <c r="MZY274" s="365"/>
      <c r="MZZ274" s="365"/>
      <c r="NAA274" s="365"/>
      <c r="NAB274" s="365"/>
      <c r="NAC274" s="365"/>
      <c r="NAD274" s="365"/>
      <c r="NAE274" s="365"/>
      <c r="NAF274" s="365"/>
      <c r="NAG274" s="365"/>
      <c r="NAH274" s="365"/>
      <c r="NAI274" s="365"/>
      <c r="NAJ274" s="365"/>
      <c r="NAK274" s="365"/>
      <c r="NAL274" s="365"/>
      <c r="NAM274" s="365"/>
      <c r="NAN274" s="365"/>
      <c r="NAO274" s="365"/>
      <c r="NAP274" s="365"/>
      <c r="NAQ274" s="365"/>
      <c r="NAR274" s="365"/>
      <c r="NAS274" s="365"/>
      <c r="NAT274" s="365"/>
      <c r="NAU274" s="365"/>
      <c r="NAV274" s="365"/>
      <c r="NAW274" s="365"/>
      <c r="NAX274" s="365"/>
      <c r="NAY274" s="365"/>
      <c r="NAZ274" s="365"/>
      <c r="NBA274" s="365"/>
      <c r="NBB274" s="365"/>
      <c r="NBC274" s="365"/>
      <c r="NBD274" s="365"/>
      <c r="NBE274" s="365"/>
      <c r="NBF274" s="365"/>
      <c r="NBG274" s="365"/>
      <c r="NBH274" s="365"/>
      <c r="NBI274" s="365"/>
      <c r="NBJ274" s="365"/>
      <c r="NBK274" s="365"/>
      <c r="NBL274" s="365"/>
      <c r="NBM274" s="365"/>
      <c r="NBN274" s="365"/>
      <c r="NBO274" s="365"/>
      <c r="NBP274" s="365"/>
      <c r="NBQ274" s="365"/>
      <c r="NBR274" s="365"/>
      <c r="NBS274" s="365"/>
      <c r="NBT274" s="365"/>
      <c r="NBU274" s="365"/>
      <c r="NBV274" s="365"/>
      <c r="NBW274" s="365"/>
      <c r="NBX274" s="365"/>
      <c r="NBY274" s="365"/>
      <c r="NBZ274" s="365"/>
      <c r="NCA274" s="365"/>
      <c r="NCB274" s="365"/>
      <c r="NCC274" s="365"/>
      <c r="NCD274" s="365"/>
      <c r="NCE274" s="365"/>
      <c r="NCF274" s="365"/>
      <c r="NCG274" s="365"/>
      <c r="NCH274" s="365"/>
      <c r="NCI274" s="365"/>
      <c r="NCJ274" s="365"/>
      <c r="NCK274" s="365"/>
      <c r="NCL274" s="365"/>
      <c r="NCM274" s="365"/>
      <c r="NCN274" s="365"/>
      <c r="NCO274" s="365"/>
      <c r="NCP274" s="365"/>
      <c r="NCQ274" s="365"/>
      <c r="NCR274" s="365"/>
      <c r="NCS274" s="365"/>
      <c r="NCT274" s="365"/>
      <c r="NCU274" s="365"/>
      <c r="NCV274" s="365"/>
      <c r="NCW274" s="365"/>
      <c r="NCX274" s="365"/>
      <c r="NCY274" s="365"/>
      <c r="NCZ274" s="365"/>
      <c r="NDA274" s="365"/>
      <c r="NDB274" s="365"/>
      <c r="NDC274" s="365"/>
      <c r="NDD274" s="365"/>
      <c r="NDE274" s="365"/>
      <c r="NDF274" s="365"/>
      <c r="NDG274" s="365"/>
      <c r="NDH274" s="365"/>
      <c r="NDI274" s="365"/>
      <c r="NDJ274" s="365"/>
      <c r="NDK274" s="365"/>
      <c r="NDL274" s="365"/>
      <c r="NDM274" s="365"/>
      <c r="NDN274" s="365"/>
      <c r="NDO274" s="365"/>
      <c r="NDP274" s="365"/>
      <c r="NDQ274" s="365"/>
      <c r="NDR274" s="365"/>
      <c r="NDS274" s="365"/>
      <c r="NDT274" s="365"/>
      <c r="NDU274" s="365"/>
      <c r="NDV274" s="365"/>
      <c r="NDW274" s="365"/>
      <c r="NDX274" s="365"/>
      <c r="NDY274" s="365"/>
      <c r="NDZ274" s="365"/>
      <c r="NEA274" s="365"/>
      <c r="NEB274" s="365"/>
      <c r="NEC274" s="365"/>
      <c r="NED274" s="365"/>
      <c r="NEE274" s="365"/>
      <c r="NEF274" s="365"/>
      <c r="NEG274" s="365"/>
      <c r="NEH274" s="365"/>
      <c r="NEI274" s="365"/>
      <c r="NEJ274" s="365"/>
      <c r="NEK274" s="365"/>
      <c r="NEL274" s="365"/>
      <c r="NEM274" s="365"/>
      <c r="NEN274" s="365"/>
      <c r="NEO274" s="365"/>
      <c r="NEP274" s="365"/>
      <c r="NEQ274" s="365"/>
      <c r="NER274" s="365"/>
      <c r="NES274" s="365"/>
      <c r="NET274" s="365"/>
      <c r="NEU274" s="365"/>
      <c r="NEV274" s="365"/>
      <c r="NEW274" s="365"/>
      <c r="NEX274" s="365"/>
      <c r="NEY274" s="365"/>
      <c r="NEZ274" s="365"/>
      <c r="NFA274" s="365"/>
      <c r="NFB274" s="365"/>
      <c r="NFC274" s="365"/>
      <c r="NFD274" s="365"/>
      <c r="NFE274" s="365"/>
      <c r="NFF274" s="365"/>
      <c r="NFG274" s="365"/>
      <c r="NFH274" s="365"/>
      <c r="NFI274" s="365"/>
      <c r="NFJ274" s="365"/>
      <c r="NFK274" s="365"/>
      <c r="NFL274" s="365"/>
      <c r="NFM274" s="365"/>
      <c r="NFN274" s="365"/>
      <c r="NFO274" s="365"/>
      <c r="NFP274" s="365"/>
      <c r="NFQ274" s="365"/>
      <c r="NFR274" s="365"/>
      <c r="NFS274" s="365"/>
      <c r="NFT274" s="365"/>
      <c r="NFU274" s="365"/>
      <c r="NFV274" s="365"/>
      <c r="NFW274" s="365"/>
      <c r="NFX274" s="365"/>
      <c r="NFY274" s="365"/>
      <c r="NFZ274" s="365"/>
      <c r="NGA274" s="365"/>
      <c r="NGB274" s="365"/>
      <c r="NGC274" s="365"/>
      <c r="NGD274" s="365"/>
      <c r="NGE274" s="365"/>
      <c r="NGF274" s="365"/>
      <c r="NGG274" s="365"/>
      <c r="NGH274" s="365"/>
      <c r="NGI274" s="365"/>
      <c r="NGJ274" s="365"/>
      <c r="NGK274" s="365"/>
      <c r="NGL274" s="365"/>
      <c r="NGM274" s="365"/>
      <c r="NGN274" s="365"/>
      <c r="NGO274" s="365"/>
      <c r="NGP274" s="365"/>
      <c r="NGQ274" s="365"/>
      <c r="NGR274" s="365"/>
      <c r="NGS274" s="365"/>
      <c r="NGT274" s="365"/>
      <c r="NGU274" s="365"/>
      <c r="NGV274" s="365"/>
      <c r="NGW274" s="365"/>
      <c r="NGX274" s="365"/>
      <c r="NGY274" s="365"/>
      <c r="NGZ274" s="365"/>
      <c r="NHA274" s="365"/>
      <c r="NHB274" s="365"/>
      <c r="NHC274" s="365"/>
      <c r="NHD274" s="365"/>
      <c r="NHE274" s="365"/>
      <c r="NHF274" s="365"/>
      <c r="NHG274" s="365"/>
      <c r="NHH274" s="365"/>
      <c r="NHI274" s="365"/>
      <c r="NHJ274" s="365"/>
      <c r="NHK274" s="365"/>
      <c r="NHL274" s="365"/>
      <c r="NHM274" s="365"/>
      <c r="NHN274" s="365"/>
      <c r="NHO274" s="365"/>
      <c r="NHP274" s="365"/>
      <c r="NHQ274" s="365"/>
      <c r="NHR274" s="365"/>
      <c r="NHS274" s="365"/>
      <c r="NHT274" s="365"/>
      <c r="NHU274" s="365"/>
      <c r="NHV274" s="365"/>
      <c r="NHW274" s="365"/>
      <c r="NHX274" s="365"/>
      <c r="NHY274" s="365"/>
      <c r="NHZ274" s="365"/>
      <c r="NIA274" s="365"/>
      <c r="NIB274" s="365"/>
      <c r="NIC274" s="365"/>
      <c r="NID274" s="365"/>
      <c r="NIE274" s="365"/>
      <c r="NIF274" s="365"/>
      <c r="NIG274" s="365"/>
      <c r="NIH274" s="365"/>
      <c r="NII274" s="365"/>
      <c r="NIJ274" s="365"/>
      <c r="NIK274" s="365"/>
      <c r="NIL274" s="365"/>
      <c r="NIM274" s="365"/>
      <c r="NIN274" s="365"/>
      <c r="NIO274" s="365"/>
      <c r="NIP274" s="365"/>
      <c r="NIQ274" s="365"/>
      <c r="NIR274" s="365"/>
      <c r="NIS274" s="365"/>
      <c r="NIT274" s="365"/>
      <c r="NIU274" s="365"/>
      <c r="NIV274" s="365"/>
      <c r="NIW274" s="365"/>
      <c r="NIX274" s="365"/>
      <c r="NIY274" s="365"/>
      <c r="NIZ274" s="365"/>
      <c r="NJA274" s="365"/>
      <c r="NJB274" s="365"/>
      <c r="NJC274" s="365"/>
      <c r="NJD274" s="365"/>
      <c r="NJE274" s="365"/>
      <c r="NJF274" s="365"/>
      <c r="NJG274" s="365"/>
      <c r="NJH274" s="365"/>
      <c r="NJI274" s="365"/>
      <c r="NJJ274" s="365"/>
      <c r="NJK274" s="365"/>
      <c r="NJL274" s="365"/>
      <c r="NJM274" s="365"/>
      <c r="NJN274" s="365"/>
      <c r="NJO274" s="365"/>
      <c r="NJP274" s="365"/>
      <c r="NJQ274" s="365"/>
      <c r="NJR274" s="365"/>
      <c r="NJS274" s="365"/>
      <c r="NJT274" s="365"/>
      <c r="NJU274" s="365"/>
      <c r="NJV274" s="365"/>
      <c r="NJW274" s="365"/>
      <c r="NJX274" s="365"/>
      <c r="NJY274" s="365"/>
      <c r="NJZ274" s="365"/>
      <c r="NKA274" s="365"/>
      <c r="NKB274" s="365"/>
      <c r="NKC274" s="365"/>
      <c r="NKD274" s="365"/>
      <c r="NKE274" s="365"/>
      <c r="NKF274" s="365"/>
      <c r="NKG274" s="365"/>
      <c r="NKH274" s="365"/>
      <c r="NKI274" s="365"/>
      <c r="NKJ274" s="365"/>
      <c r="NKK274" s="365"/>
      <c r="NKL274" s="365"/>
      <c r="NKM274" s="365"/>
      <c r="NKN274" s="365"/>
      <c r="NKO274" s="365"/>
      <c r="NKP274" s="365"/>
      <c r="NKQ274" s="365"/>
      <c r="NKR274" s="365"/>
      <c r="NKS274" s="365"/>
      <c r="NKT274" s="365"/>
      <c r="NKU274" s="365"/>
      <c r="NKV274" s="365"/>
      <c r="NKW274" s="365"/>
      <c r="NKX274" s="365"/>
      <c r="NKY274" s="365"/>
      <c r="NKZ274" s="365"/>
      <c r="NLA274" s="365"/>
      <c r="NLB274" s="365"/>
      <c r="NLC274" s="365"/>
      <c r="NLD274" s="365"/>
      <c r="NLE274" s="365"/>
      <c r="NLF274" s="365"/>
      <c r="NLG274" s="365"/>
      <c r="NLH274" s="365"/>
      <c r="NLI274" s="365"/>
      <c r="NLJ274" s="365"/>
      <c r="NLK274" s="365"/>
      <c r="NLL274" s="365"/>
      <c r="NLM274" s="365"/>
      <c r="NLN274" s="365"/>
      <c r="NLO274" s="365"/>
      <c r="NLP274" s="365"/>
      <c r="NLQ274" s="365"/>
      <c r="NLR274" s="365"/>
      <c r="NLS274" s="365"/>
      <c r="NLT274" s="365"/>
      <c r="NLU274" s="365"/>
      <c r="NLV274" s="365"/>
      <c r="NLW274" s="365"/>
      <c r="NLX274" s="365"/>
      <c r="NLY274" s="365"/>
      <c r="NLZ274" s="365"/>
      <c r="NMA274" s="365"/>
      <c r="NMB274" s="365"/>
      <c r="NMC274" s="365"/>
      <c r="NMD274" s="365"/>
      <c r="NME274" s="365"/>
      <c r="NMF274" s="365"/>
      <c r="NMG274" s="365"/>
      <c r="NMH274" s="365"/>
      <c r="NMI274" s="365"/>
      <c r="NMJ274" s="365"/>
      <c r="NMK274" s="365"/>
      <c r="NML274" s="365"/>
      <c r="NMM274" s="365"/>
      <c r="NMN274" s="365"/>
      <c r="NMO274" s="365"/>
      <c r="NMP274" s="365"/>
      <c r="NMQ274" s="365"/>
      <c r="NMR274" s="365"/>
      <c r="NMS274" s="365"/>
      <c r="NMT274" s="365"/>
      <c r="NMU274" s="365"/>
      <c r="NMV274" s="365"/>
      <c r="NMW274" s="365"/>
      <c r="NMX274" s="365"/>
      <c r="NMY274" s="365"/>
      <c r="NMZ274" s="365"/>
      <c r="NNA274" s="365"/>
      <c r="NNB274" s="365"/>
      <c r="NNC274" s="365"/>
      <c r="NND274" s="365"/>
      <c r="NNE274" s="365"/>
      <c r="NNF274" s="365"/>
      <c r="NNG274" s="365"/>
      <c r="NNH274" s="365"/>
      <c r="NNI274" s="365"/>
      <c r="NNJ274" s="365"/>
      <c r="NNK274" s="365"/>
      <c r="NNL274" s="365"/>
      <c r="NNM274" s="365"/>
      <c r="NNN274" s="365"/>
      <c r="NNO274" s="365"/>
      <c r="NNP274" s="365"/>
      <c r="NNQ274" s="365"/>
      <c r="NNR274" s="365"/>
      <c r="NNS274" s="365"/>
      <c r="NNT274" s="365"/>
      <c r="NNU274" s="365"/>
      <c r="NNV274" s="365"/>
      <c r="NNW274" s="365"/>
      <c r="NNX274" s="365"/>
      <c r="NNY274" s="365"/>
      <c r="NNZ274" s="365"/>
      <c r="NOA274" s="365"/>
      <c r="NOB274" s="365"/>
      <c r="NOC274" s="365"/>
      <c r="NOD274" s="365"/>
      <c r="NOE274" s="365"/>
      <c r="NOF274" s="365"/>
      <c r="NOG274" s="365"/>
      <c r="NOH274" s="365"/>
      <c r="NOI274" s="365"/>
      <c r="NOJ274" s="365"/>
      <c r="NOK274" s="365"/>
      <c r="NOL274" s="365"/>
      <c r="NOM274" s="365"/>
      <c r="NON274" s="365"/>
      <c r="NOO274" s="365"/>
      <c r="NOP274" s="365"/>
      <c r="NOQ274" s="365"/>
      <c r="NOR274" s="365"/>
      <c r="NOS274" s="365"/>
      <c r="NOT274" s="365"/>
      <c r="NOU274" s="365"/>
      <c r="NOV274" s="365"/>
      <c r="NOW274" s="365"/>
      <c r="NOX274" s="365"/>
      <c r="NOY274" s="365"/>
      <c r="NOZ274" s="365"/>
      <c r="NPA274" s="365"/>
      <c r="NPB274" s="365"/>
      <c r="NPC274" s="365"/>
      <c r="NPD274" s="365"/>
      <c r="NPE274" s="365"/>
      <c r="NPF274" s="365"/>
      <c r="NPG274" s="365"/>
      <c r="NPH274" s="365"/>
      <c r="NPI274" s="365"/>
      <c r="NPJ274" s="365"/>
      <c r="NPK274" s="365"/>
      <c r="NPL274" s="365"/>
      <c r="NPM274" s="365"/>
      <c r="NPN274" s="365"/>
      <c r="NPO274" s="365"/>
      <c r="NPP274" s="365"/>
      <c r="NPQ274" s="365"/>
      <c r="NPR274" s="365"/>
      <c r="NPS274" s="365"/>
      <c r="NPT274" s="365"/>
      <c r="NPU274" s="365"/>
      <c r="NPV274" s="365"/>
      <c r="NPW274" s="365"/>
      <c r="NPX274" s="365"/>
      <c r="NPY274" s="365"/>
      <c r="NPZ274" s="365"/>
      <c r="NQA274" s="365"/>
      <c r="NQB274" s="365"/>
      <c r="NQC274" s="365"/>
      <c r="NQD274" s="365"/>
      <c r="NQE274" s="365"/>
      <c r="NQF274" s="365"/>
      <c r="NQG274" s="365"/>
      <c r="NQH274" s="365"/>
      <c r="NQI274" s="365"/>
      <c r="NQJ274" s="365"/>
      <c r="NQK274" s="365"/>
      <c r="NQL274" s="365"/>
      <c r="NQM274" s="365"/>
      <c r="NQN274" s="365"/>
      <c r="NQO274" s="365"/>
      <c r="NQP274" s="365"/>
      <c r="NQQ274" s="365"/>
      <c r="NQR274" s="365"/>
      <c r="NQS274" s="365"/>
      <c r="NQT274" s="365"/>
      <c r="NQU274" s="365"/>
      <c r="NQV274" s="365"/>
      <c r="NQW274" s="365"/>
      <c r="NQX274" s="365"/>
      <c r="NQY274" s="365"/>
      <c r="NQZ274" s="365"/>
      <c r="NRA274" s="365"/>
      <c r="NRB274" s="365"/>
      <c r="NRC274" s="365"/>
      <c r="NRD274" s="365"/>
      <c r="NRE274" s="365"/>
      <c r="NRF274" s="365"/>
      <c r="NRG274" s="365"/>
      <c r="NRH274" s="365"/>
      <c r="NRI274" s="365"/>
      <c r="NRJ274" s="365"/>
      <c r="NRK274" s="365"/>
      <c r="NRL274" s="365"/>
      <c r="NRM274" s="365"/>
      <c r="NRN274" s="365"/>
      <c r="NRO274" s="365"/>
      <c r="NRP274" s="365"/>
      <c r="NRQ274" s="365"/>
      <c r="NRR274" s="365"/>
      <c r="NRS274" s="365"/>
      <c r="NRT274" s="365"/>
      <c r="NRU274" s="365"/>
      <c r="NRV274" s="365"/>
      <c r="NRW274" s="365"/>
      <c r="NRX274" s="365"/>
      <c r="NRY274" s="365"/>
      <c r="NRZ274" s="365"/>
      <c r="NSA274" s="365"/>
      <c r="NSB274" s="365"/>
      <c r="NSC274" s="365"/>
      <c r="NSD274" s="365"/>
      <c r="NSE274" s="365"/>
      <c r="NSF274" s="365"/>
      <c r="NSG274" s="365"/>
      <c r="NSH274" s="365"/>
      <c r="NSI274" s="365"/>
      <c r="NSJ274" s="365"/>
      <c r="NSK274" s="365"/>
      <c r="NSL274" s="365"/>
      <c r="NSM274" s="365"/>
      <c r="NSN274" s="365"/>
      <c r="NSO274" s="365"/>
      <c r="NSP274" s="365"/>
      <c r="NSQ274" s="365"/>
      <c r="NSR274" s="365"/>
      <c r="NSS274" s="365"/>
      <c r="NST274" s="365"/>
      <c r="NSU274" s="365"/>
      <c r="NSV274" s="365"/>
      <c r="NSW274" s="365"/>
      <c r="NSX274" s="365"/>
      <c r="NSY274" s="365"/>
      <c r="NSZ274" s="365"/>
      <c r="NTA274" s="365"/>
      <c r="NTB274" s="365"/>
      <c r="NTC274" s="365"/>
      <c r="NTD274" s="365"/>
      <c r="NTE274" s="365"/>
      <c r="NTF274" s="365"/>
      <c r="NTG274" s="365"/>
      <c r="NTH274" s="365"/>
      <c r="NTI274" s="365"/>
      <c r="NTJ274" s="365"/>
      <c r="NTK274" s="365"/>
      <c r="NTL274" s="365"/>
      <c r="NTM274" s="365"/>
      <c r="NTN274" s="365"/>
      <c r="NTO274" s="365"/>
      <c r="NTP274" s="365"/>
      <c r="NTQ274" s="365"/>
      <c r="NTR274" s="365"/>
      <c r="NTS274" s="365"/>
      <c r="NTT274" s="365"/>
      <c r="NTU274" s="365"/>
      <c r="NTV274" s="365"/>
      <c r="NTW274" s="365"/>
      <c r="NTX274" s="365"/>
      <c r="NTY274" s="365"/>
      <c r="NTZ274" s="365"/>
      <c r="NUA274" s="365"/>
      <c r="NUB274" s="365"/>
      <c r="NUC274" s="365"/>
      <c r="NUD274" s="365"/>
      <c r="NUE274" s="365"/>
      <c r="NUF274" s="365"/>
      <c r="NUG274" s="365"/>
      <c r="NUH274" s="365"/>
      <c r="NUI274" s="365"/>
      <c r="NUJ274" s="365"/>
      <c r="NUK274" s="365"/>
      <c r="NUL274" s="365"/>
      <c r="NUM274" s="365"/>
      <c r="NUN274" s="365"/>
      <c r="NUO274" s="365"/>
      <c r="NUP274" s="365"/>
      <c r="NUQ274" s="365"/>
      <c r="NUR274" s="365"/>
      <c r="NUS274" s="365"/>
      <c r="NUT274" s="365"/>
      <c r="NUU274" s="365"/>
      <c r="NUV274" s="365"/>
      <c r="NUW274" s="365"/>
      <c r="NUX274" s="365"/>
      <c r="NUY274" s="365"/>
      <c r="NUZ274" s="365"/>
      <c r="NVA274" s="365"/>
      <c r="NVB274" s="365"/>
      <c r="NVC274" s="365"/>
      <c r="NVD274" s="365"/>
      <c r="NVE274" s="365"/>
      <c r="NVF274" s="365"/>
      <c r="NVG274" s="365"/>
      <c r="NVH274" s="365"/>
      <c r="NVI274" s="365"/>
      <c r="NVJ274" s="365"/>
      <c r="NVK274" s="365"/>
      <c r="NVL274" s="365"/>
      <c r="NVM274" s="365"/>
      <c r="NVN274" s="365"/>
      <c r="NVO274" s="365"/>
      <c r="NVP274" s="365"/>
      <c r="NVQ274" s="365"/>
      <c r="NVR274" s="365"/>
      <c r="NVS274" s="365"/>
      <c r="NVT274" s="365"/>
      <c r="NVU274" s="365"/>
      <c r="NVV274" s="365"/>
      <c r="NVW274" s="365"/>
      <c r="NVX274" s="365"/>
      <c r="NVY274" s="365"/>
      <c r="NVZ274" s="365"/>
      <c r="NWA274" s="365"/>
      <c r="NWB274" s="365"/>
      <c r="NWC274" s="365"/>
      <c r="NWD274" s="365"/>
      <c r="NWE274" s="365"/>
      <c r="NWF274" s="365"/>
      <c r="NWG274" s="365"/>
      <c r="NWH274" s="365"/>
      <c r="NWI274" s="365"/>
      <c r="NWJ274" s="365"/>
      <c r="NWK274" s="365"/>
      <c r="NWL274" s="365"/>
      <c r="NWM274" s="365"/>
      <c r="NWN274" s="365"/>
      <c r="NWO274" s="365"/>
      <c r="NWP274" s="365"/>
      <c r="NWQ274" s="365"/>
      <c r="NWR274" s="365"/>
      <c r="NWS274" s="365"/>
      <c r="NWT274" s="365"/>
      <c r="NWU274" s="365"/>
      <c r="NWV274" s="365"/>
      <c r="NWW274" s="365"/>
      <c r="NWX274" s="365"/>
      <c r="NWY274" s="365"/>
      <c r="NWZ274" s="365"/>
      <c r="NXA274" s="365"/>
      <c r="NXB274" s="365"/>
      <c r="NXC274" s="365"/>
      <c r="NXD274" s="365"/>
      <c r="NXE274" s="365"/>
      <c r="NXF274" s="365"/>
      <c r="NXG274" s="365"/>
      <c r="NXH274" s="365"/>
      <c r="NXI274" s="365"/>
      <c r="NXJ274" s="365"/>
      <c r="NXK274" s="365"/>
      <c r="NXL274" s="365"/>
      <c r="NXM274" s="365"/>
      <c r="NXN274" s="365"/>
      <c r="NXO274" s="365"/>
      <c r="NXP274" s="365"/>
      <c r="NXQ274" s="365"/>
      <c r="NXR274" s="365"/>
      <c r="NXS274" s="365"/>
      <c r="NXT274" s="365"/>
      <c r="NXU274" s="365"/>
      <c r="NXV274" s="365"/>
      <c r="NXW274" s="365"/>
      <c r="NXX274" s="365"/>
      <c r="NXY274" s="365"/>
      <c r="NXZ274" s="365"/>
      <c r="NYA274" s="365"/>
      <c r="NYB274" s="365"/>
      <c r="NYC274" s="365"/>
      <c r="NYD274" s="365"/>
      <c r="NYE274" s="365"/>
      <c r="NYF274" s="365"/>
      <c r="NYG274" s="365"/>
      <c r="NYH274" s="365"/>
      <c r="NYI274" s="365"/>
      <c r="NYJ274" s="365"/>
      <c r="NYK274" s="365"/>
      <c r="NYL274" s="365"/>
      <c r="NYM274" s="365"/>
      <c r="NYN274" s="365"/>
      <c r="NYO274" s="365"/>
      <c r="NYP274" s="365"/>
      <c r="NYQ274" s="365"/>
      <c r="NYR274" s="365"/>
      <c r="NYS274" s="365"/>
      <c r="NYT274" s="365"/>
      <c r="NYU274" s="365"/>
      <c r="NYV274" s="365"/>
      <c r="NYW274" s="365"/>
      <c r="NYX274" s="365"/>
      <c r="NYY274" s="365"/>
      <c r="NYZ274" s="365"/>
      <c r="NZA274" s="365"/>
      <c r="NZB274" s="365"/>
      <c r="NZC274" s="365"/>
      <c r="NZD274" s="365"/>
      <c r="NZE274" s="365"/>
      <c r="NZF274" s="365"/>
      <c r="NZG274" s="365"/>
      <c r="NZH274" s="365"/>
      <c r="NZI274" s="365"/>
      <c r="NZJ274" s="365"/>
      <c r="NZK274" s="365"/>
      <c r="NZL274" s="365"/>
      <c r="NZM274" s="365"/>
      <c r="NZN274" s="365"/>
      <c r="NZO274" s="365"/>
      <c r="NZP274" s="365"/>
      <c r="NZQ274" s="365"/>
      <c r="NZR274" s="365"/>
      <c r="NZS274" s="365"/>
      <c r="NZT274" s="365"/>
      <c r="NZU274" s="365"/>
      <c r="NZV274" s="365"/>
      <c r="NZW274" s="365"/>
      <c r="NZX274" s="365"/>
      <c r="NZY274" s="365"/>
      <c r="NZZ274" s="365"/>
      <c r="OAA274" s="365"/>
      <c r="OAB274" s="365"/>
      <c r="OAC274" s="365"/>
      <c r="OAD274" s="365"/>
      <c r="OAE274" s="365"/>
      <c r="OAF274" s="365"/>
      <c r="OAG274" s="365"/>
      <c r="OAH274" s="365"/>
      <c r="OAI274" s="365"/>
      <c r="OAJ274" s="365"/>
      <c r="OAK274" s="365"/>
      <c r="OAL274" s="365"/>
      <c r="OAM274" s="365"/>
      <c r="OAN274" s="365"/>
      <c r="OAO274" s="365"/>
      <c r="OAP274" s="365"/>
      <c r="OAQ274" s="365"/>
      <c r="OAR274" s="365"/>
      <c r="OAS274" s="365"/>
      <c r="OAT274" s="365"/>
      <c r="OAU274" s="365"/>
      <c r="OAV274" s="365"/>
      <c r="OAW274" s="365"/>
      <c r="OAX274" s="365"/>
      <c r="OAY274" s="365"/>
      <c r="OAZ274" s="365"/>
      <c r="OBA274" s="365"/>
      <c r="OBB274" s="365"/>
      <c r="OBC274" s="365"/>
      <c r="OBD274" s="365"/>
      <c r="OBE274" s="365"/>
      <c r="OBF274" s="365"/>
      <c r="OBG274" s="365"/>
      <c r="OBH274" s="365"/>
      <c r="OBI274" s="365"/>
      <c r="OBJ274" s="365"/>
      <c r="OBK274" s="365"/>
      <c r="OBL274" s="365"/>
      <c r="OBM274" s="365"/>
      <c r="OBN274" s="365"/>
      <c r="OBO274" s="365"/>
      <c r="OBP274" s="365"/>
      <c r="OBQ274" s="365"/>
      <c r="OBR274" s="365"/>
      <c r="OBS274" s="365"/>
      <c r="OBT274" s="365"/>
      <c r="OBU274" s="365"/>
      <c r="OBV274" s="365"/>
      <c r="OBW274" s="365"/>
      <c r="OBX274" s="365"/>
      <c r="OBY274" s="365"/>
      <c r="OBZ274" s="365"/>
      <c r="OCA274" s="365"/>
      <c r="OCB274" s="365"/>
      <c r="OCC274" s="365"/>
      <c r="OCD274" s="365"/>
      <c r="OCE274" s="365"/>
      <c r="OCF274" s="365"/>
      <c r="OCG274" s="365"/>
      <c r="OCH274" s="365"/>
      <c r="OCI274" s="365"/>
      <c r="OCJ274" s="365"/>
      <c r="OCK274" s="365"/>
      <c r="OCL274" s="365"/>
      <c r="OCM274" s="365"/>
      <c r="OCN274" s="365"/>
      <c r="OCO274" s="365"/>
      <c r="OCP274" s="365"/>
      <c r="OCQ274" s="365"/>
      <c r="OCR274" s="365"/>
      <c r="OCS274" s="365"/>
      <c r="OCT274" s="365"/>
      <c r="OCU274" s="365"/>
      <c r="OCV274" s="365"/>
      <c r="OCW274" s="365"/>
      <c r="OCX274" s="365"/>
      <c r="OCY274" s="365"/>
      <c r="OCZ274" s="365"/>
      <c r="ODA274" s="365"/>
      <c r="ODB274" s="365"/>
      <c r="ODC274" s="365"/>
      <c r="ODD274" s="365"/>
      <c r="ODE274" s="365"/>
      <c r="ODF274" s="365"/>
      <c r="ODG274" s="365"/>
      <c r="ODH274" s="365"/>
      <c r="ODI274" s="365"/>
      <c r="ODJ274" s="365"/>
      <c r="ODK274" s="365"/>
      <c r="ODL274" s="365"/>
      <c r="ODM274" s="365"/>
      <c r="ODN274" s="365"/>
      <c r="ODO274" s="365"/>
      <c r="ODP274" s="365"/>
      <c r="ODQ274" s="365"/>
      <c r="ODR274" s="365"/>
      <c r="ODS274" s="365"/>
      <c r="ODT274" s="365"/>
      <c r="ODU274" s="365"/>
      <c r="ODV274" s="365"/>
      <c r="ODW274" s="365"/>
      <c r="ODX274" s="365"/>
      <c r="ODY274" s="365"/>
      <c r="ODZ274" s="365"/>
      <c r="OEA274" s="365"/>
      <c r="OEB274" s="365"/>
      <c r="OEC274" s="365"/>
      <c r="OED274" s="365"/>
      <c r="OEE274" s="365"/>
      <c r="OEF274" s="365"/>
      <c r="OEG274" s="365"/>
      <c r="OEH274" s="365"/>
      <c r="OEI274" s="365"/>
      <c r="OEJ274" s="365"/>
      <c r="OEK274" s="365"/>
      <c r="OEL274" s="365"/>
      <c r="OEM274" s="365"/>
      <c r="OEN274" s="365"/>
      <c r="OEO274" s="365"/>
      <c r="OEP274" s="365"/>
      <c r="OEQ274" s="365"/>
      <c r="OER274" s="365"/>
      <c r="OES274" s="365"/>
      <c r="OET274" s="365"/>
      <c r="OEU274" s="365"/>
      <c r="OEV274" s="365"/>
      <c r="OEW274" s="365"/>
      <c r="OEX274" s="365"/>
      <c r="OEY274" s="365"/>
      <c r="OEZ274" s="365"/>
      <c r="OFA274" s="365"/>
      <c r="OFB274" s="365"/>
      <c r="OFC274" s="365"/>
      <c r="OFD274" s="365"/>
      <c r="OFE274" s="365"/>
      <c r="OFF274" s="365"/>
      <c r="OFG274" s="365"/>
      <c r="OFH274" s="365"/>
      <c r="OFI274" s="365"/>
      <c r="OFJ274" s="365"/>
      <c r="OFK274" s="365"/>
      <c r="OFL274" s="365"/>
      <c r="OFM274" s="365"/>
      <c r="OFN274" s="365"/>
      <c r="OFO274" s="365"/>
      <c r="OFP274" s="365"/>
      <c r="OFQ274" s="365"/>
      <c r="OFR274" s="365"/>
      <c r="OFS274" s="365"/>
      <c r="OFT274" s="365"/>
      <c r="OFU274" s="365"/>
      <c r="OFV274" s="365"/>
      <c r="OFW274" s="365"/>
      <c r="OFX274" s="365"/>
      <c r="OFY274" s="365"/>
      <c r="OFZ274" s="365"/>
      <c r="OGA274" s="365"/>
      <c r="OGB274" s="365"/>
      <c r="OGC274" s="365"/>
      <c r="OGD274" s="365"/>
      <c r="OGE274" s="365"/>
      <c r="OGF274" s="365"/>
      <c r="OGG274" s="365"/>
      <c r="OGH274" s="365"/>
      <c r="OGI274" s="365"/>
      <c r="OGJ274" s="365"/>
      <c r="OGK274" s="365"/>
      <c r="OGL274" s="365"/>
      <c r="OGM274" s="365"/>
      <c r="OGN274" s="365"/>
      <c r="OGO274" s="365"/>
      <c r="OGP274" s="365"/>
      <c r="OGQ274" s="365"/>
      <c r="OGR274" s="365"/>
      <c r="OGS274" s="365"/>
      <c r="OGT274" s="365"/>
      <c r="OGU274" s="365"/>
      <c r="OGV274" s="365"/>
      <c r="OGW274" s="365"/>
      <c r="OGX274" s="365"/>
      <c r="OGY274" s="365"/>
      <c r="OGZ274" s="365"/>
      <c r="OHA274" s="365"/>
      <c r="OHB274" s="365"/>
      <c r="OHC274" s="365"/>
      <c r="OHD274" s="365"/>
      <c r="OHE274" s="365"/>
      <c r="OHF274" s="365"/>
      <c r="OHG274" s="365"/>
      <c r="OHH274" s="365"/>
      <c r="OHI274" s="365"/>
      <c r="OHJ274" s="365"/>
      <c r="OHK274" s="365"/>
      <c r="OHL274" s="365"/>
      <c r="OHM274" s="365"/>
      <c r="OHN274" s="365"/>
      <c r="OHO274" s="365"/>
      <c r="OHP274" s="365"/>
      <c r="OHQ274" s="365"/>
      <c r="OHR274" s="365"/>
      <c r="OHS274" s="365"/>
      <c r="OHT274" s="365"/>
      <c r="OHU274" s="365"/>
      <c r="OHV274" s="365"/>
      <c r="OHW274" s="365"/>
      <c r="OHX274" s="365"/>
      <c r="OHY274" s="365"/>
      <c r="OHZ274" s="365"/>
      <c r="OIA274" s="365"/>
      <c r="OIB274" s="365"/>
      <c r="OIC274" s="365"/>
      <c r="OID274" s="365"/>
      <c r="OIE274" s="365"/>
      <c r="OIF274" s="365"/>
      <c r="OIG274" s="365"/>
      <c r="OIH274" s="365"/>
      <c r="OII274" s="365"/>
      <c r="OIJ274" s="365"/>
      <c r="OIK274" s="365"/>
      <c r="OIL274" s="365"/>
      <c r="OIM274" s="365"/>
      <c r="OIN274" s="365"/>
      <c r="OIO274" s="365"/>
      <c r="OIP274" s="365"/>
      <c r="OIQ274" s="365"/>
      <c r="OIR274" s="365"/>
      <c r="OIS274" s="365"/>
      <c r="OIT274" s="365"/>
      <c r="OIU274" s="365"/>
      <c r="OIV274" s="365"/>
      <c r="OIW274" s="365"/>
      <c r="OIX274" s="365"/>
      <c r="OIY274" s="365"/>
      <c r="OIZ274" s="365"/>
      <c r="OJA274" s="365"/>
      <c r="OJB274" s="365"/>
      <c r="OJC274" s="365"/>
      <c r="OJD274" s="365"/>
      <c r="OJE274" s="365"/>
      <c r="OJF274" s="365"/>
      <c r="OJG274" s="365"/>
      <c r="OJH274" s="365"/>
      <c r="OJI274" s="365"/>
      <c r="OJJ274" s="365"/>
      <c r="OJK274" s="365"/>
      <c r="OJL274" s="365"/>
      <c r="OJM274" s="365"/>
      <c r="OJN274" s="365"/>
      <c r="OJO274" s="365"/>
      <c r="OJP274" s="365"/>
      <c r="OJQ274" s="365"/>
      <c r="OJR274" s="365"/>
      <c r="OJS274" s="365"/>
      <c r="OJT274" s="365"/>
      <c r="OJU274" s="365"/>
      <c r="OJV274" s="365"/>
      <c r="OJW274" s="365"/>
      <c r="OJX274" s="365"/>
      <c r="OJY274" s="365"/>
      <c r="OJZ274" s="365"/>
      <c r="OKA274" s="365"/>
      <c r="OKB274" s="365"/>
      <c r="OKC274" s="365"/>
      <c r="OKD274" s="365"/>
      <c r="OKE274" s="365"/>
      <c r="OKF274" s="365"/>
      <c r="OKG274" s="365"/>
      <c r="OKH274" s="365"/>
      <c r="OKI274" s="365"/>
      <c r="OKJ274" s="365"/>
      <c r="OKK274" s="365"/>
      <c r="OKL274" s="365"/>
      <c r="OKM274" s="365"/>
      <c r="OKN274" s="365"/>
      <c r="OKO274" s="365"/>
      <c r="OKP274" s="365"/>
      <c r="OKQ274" s="365"/>
      <c r="OKR274" s="365"/>
      <c r="OKS274" s="365"/>
      <c r="OKT274" s="365"/>
      <c r="OKU274" s="365"/>
      <c r="OKV274" s="365"/>
      <c r="OKW274" s="365"/>
      <c r="OKX274" s="365"/>
      <c r="OKY274" s="365"/>
      <c r="OKZ274" s="365"/>
      <c r="OLA274" s="365"/>
      <c r="OLB274" s="365"/>
      <c r="OLC274" s="365"/>
      <c r="OLD274" s="365"/>
      <c r="OLE274" s="365"/>
      <c r="OLF274" s="365"/>
      <c r="OLG274" s="365"/>
      <c r="OLH274" s="365"/>
      <c r="OLI274" s="365"/>
      <c r="OLJ274" s="365"/>
      <c r="OLK274" s="365"/>
      <c r="OLL274" s="365"/>
      <c r="OLM274" s="365"/>
      <c r="OLN274" s="365"/>
      <c r="OLO274" s="365"/>
      <c r="OLP274" s="365"/>
      <c r="OLQ274" s="365"/>
      <c r="OLR274" s="365"/>
      <c r="OLS274" s="365"/>
      <c r="OLT274" s="365"/>
      <c r="OLU274" s="365"/>
      <c r="OLV274" s="365"/>
      <c r="OLW274" s="365"/>
      <c r="OLX274" s="365"/>
      <c r="OLY274" s="365"/>
      <c r="OLZ274" s="365"/>
      <c r="OMA274" s="365"/>
      <c r="OMB274" s="365"/>
      <c r="OMC274" s="365"/>
      <c r="OMD274" s="365"/>
      <c r="OME274" s="365"/>
      <c r="OMF274" s="365"/>
      <c r="OMG274" s="365"/>
      <c r="OMH274" s="365"/>
      <c r="OMI274" s="365"/>
      <c r="OMJ274" s="365"/>
      <c r="OMK274" s="365"/>
      <c r="OML274" s="365"/>
      <c r="OMM274" s="365"/>
      <c r="OMN274" s="365"/>
      <c r="OMO274" s="365"/>
      <c r="OMP274" s="365"/>
      <c r="OMQ274" s="365"/>
      <c r="OMR274" s="365"/>
      <c r="OMS274" s="365"/>
      <c r="OMT274" s="365"/>
      <c r="OMU274" s="365"/>
      <c r="OMV274" s="365"/>
      <c r="OMW274" s="365"/>
      <c r="OMX274" s="365"/>
      <c r="OMY274" s="365"/>
      <c r="OMZ274" s="365"/>
      <c r="ONA274" s="365"/>
      <c r="ONB274" s="365"/>
      <c r="ONC274" s="365"/>
      <c r="OND274" s="365"/>
      <c r="ONE274" s="365"/>
      <c r="ONF274" s="365"/>
      <c r="ONG274" s="365"/>
      <c r="ONH274" s="365"/>
      <c r="ONI274" s="365"/>
      <c r="ONJ274" s="365"/>
      <c r="ONK274" s="365"/>
      <c r="ONL274" s="365"/>
      <c r="ONM274" s="365"/>
      <c r="ONN274" s="365"/>
      <c r="ONO274" s="365"/>
      <c r="ONP274" s="365"/>
      <c r="ONQ274" s="365"/>
      <c r="ONR274" s="365"/>
      <c r="ONS274" s="365"/>
      <c r="ONT274" s="365"/>
      <c r="ONU274" s="365"/>
      <c r="ONV274" s="365"/>
      <c r="ONW274" s="365"/>
      <c r="ONX274" s="365"/>
      <c r="ONY274" s="365"/>
      <c r="ONZ274" s="365"/>
      <c r="OOA274" s="365"/>
      <c r="OOB274" s="365"/>
      <c r="OOC274" s="365"/>
      <c r="OOD274" s="365"/>
      <c r="OOE274" s="365"/>
      <c r="OOF274" s="365"/>
      <c r="OOG274" s="365"/>
      <c r="OOH274" s="365"/>
      <c r="OOI274" s="365"/>
      <c r="OOJ274" s="365"/>
      <c r="OOK274" s="365"/>
      <c r="OOL274" s="365"/>
      <c r="OOM274" s="365"/>
      <c r="OON274" s="365"/>
      <c r="OOO274" s="365"/>
      <c r="OOP274" s="365"/>
      <c r="OOQ274" s="365"/>
      <c r="OOR274" s="365"/>
      <c r="OOS274" s="365"/>
      <c r="OOT274" s="365"/>
      <c r="OOU274" s="365"/>
      <c r="OOV274" s="365"/>
      <c r="OOW274" s="365"/>
      <c r="OOX274" s="365"/>
      <c r="OOY274" s="365"/>
      <c r="OOZ274" s="365"/>
      <c r="OPA274" s="365"/>
      <c r="OPB274" s="365"/>
      <c r="OPC274" s="365"/>
      <c r="OPD274" s="365"/>
      <c r="OPE274" s="365"/>
      <c r="OPF274" s="365"/>
      <c r="OPG274" s="365"/>
      <c r="OPH274" s="365"/>
      <c r="OPI274" s="365"/>
      <c r="OPJ274" s="365"/>
      <c r="OPK274" s="365"/>
      <c r="OPL274" s="365"/>
      <c r="OPM274" s="365"/>
      <c r="OPN274" s="365"/>
      <c r="OPO274" s="365"/>
      <c r="OPP274" s="365"/>
      <c r="OPQ274" s="365"/>
      <c r="OPR274" s="365"/>
      <c r="OPS274" s="365"/>
      <c r="OPT274" s="365"/>
      <c r="OPU274" s="365"/>
      <c r="OPV274" s="365"/>
      <c r="OPW274" s="365"/>
      <c r="OPX274" s="365"/>
      <c r="OPY274" s="365"/>
      <c r="OPZ274" s="365"/>
      <c r="OQA274" s="365"/>
      <c r="OQB274" s="365"/>
      <c r="OQC274" s="365"/>
      <c r="OQD274" s="365"/>
      <c r="OQE274" s="365"/>
      <c r="OQF274" s="365"/>
      <c r="OQG274" s="365"/>
      <c r="OQH274" s="365"/>
      <c r="OQI274" s="365"/>
      <c r="OQJ274" s="365"/>
      <c r="OQK274" s="365"/>
      <c r="OQL274" s="365"/>
      <c r="OQM274" s="365"/>
      <c r="OQN274" s="365"/>
      <c r="OQO274" s="365"/>
      <c r="OQP274" s="365"/>
      <c r="OQQ274" s="365"/>
      <c r="OQR274" s="365"/>
      <c r="OQS274" s="365"/>
      <c r="OQT274" s="365"/>
      <c r="OQU274" s="365"/>
      <c r="OQV274" s="365"/>
      <c r="OQW274" s="365"/>
      <c r="OQX274" s="365"/>
      <c r="OQY274" s="365"/>
      <c r="OQZ274" s="365"/>
      <c r="ORA274" s="365"/>
      <c r="ORB274" s="365"/>
      <c r="ORC274" s="365"/>
      <c r="ORD274" s="365"/>
      <c r="ORE274" s="365"/>
      <c r="ORF274" s="365"/>
      <c r="ORG274" s="365"/>
      <c r="ORH274" s="365"/>
      <c r="ORI274" s="365"/>
      <c r="ORJ274" s="365"/>
      <c r="ORK274" s="365"/>
      <c r="ORL274" s="365"/>
      <c r="ORM274" s="365"/>
      <c r="ORN274" s="365"/>
      <c r="ORO274" s="365"/>
      <c r="ORP274" s="365"/>
      <c r="ORQ274" s="365"/>
      <c r="ORR274" s="365"/>
      <c r="ORS274" s="365"/>
      <c r="ORT274" s="365"/>
      <c r="ORU274" s="365"/>
      <c r="ORV274" s="365"/>
      <c r="ORW274" s="365"/>
      <c r="ORX274" s="365"/>
      <c r="ORY274" s="365"/>
      <c r="ORZ274" s="365"/>
      <c r="OSA274" s="365"/>
      <c r="OSB274" s="365"/>
      <c r="OSC274" s="365"/>
      <c r="OSD274" s="365"/>
      <c r="OSE274" s="365"/>
      <c r="OSF274" s="365"/>
      <c r="OSG274" s="365"/>
      <c r="OSH274" s="365"/>
      <c r="OSI274" s="365"/>
      <c r="OSJ274" s="365"/>
      <c r="OSK274" s="365"/>
      <c r="OSL274" s="365"/>
      <c r="OSM274" s="365"/>
      <c r="OSN274" s="365"/>
      <c r="OSO274" s="365"/>
      <c r="OSP274" s="365"/>
      <c r="OSQ274" s="365"/>
      <c r="OSR274" s="365"/>
      <c r="OSS274" s="365"/>
      <c r="OST274" s="365"/>
      <c r="OSU274" s="365"/>
      <c r="OSV274" s="365"/>
      <c r="OSW274" s="365"/>
      <c r="OSX274" s="365"/>
      <c r="OSY274" s="365"/>
      <c r="OSZ274" s="365"/>
      <c r="OTA274" s="365"/>
      <c r="OTB274" s="365"/>
      <c r="OTC274" s="365"/>
      <c r="OTD274" s="365"/>
      <c r="OTE274" s="365"/>
      <c r="OTF274" s="365"/>
      <c r="OTG274" s="365"/>
      <c r="OTH274" s="365"/>
      <c r="OTI274" s="365"/>
      <c r="OTJ274" s="365"/>
      <c r="OTK274" s="365"/>
      <c r="OTL274" s="365"/>
      <c r="OTM274" s="365"/>
      <c r="OTN274" s="365"/>
      <c r="OTO274" s="365"/>
      <c r="OTP274" s="365"/>
      <c r="OTQ274" s="365"/>
      <c r="OTR274" s="365"/>
      <c r="OTS274" s="365"/>
      <c r="OTT274" s="365"/>
      <c r="OTU274" s="365"/>
      <c r="OTV274" s="365"/>
      <c r="OTW274" s="365"/>
      <c r="OTX274" s="365"/>
      <c r="OTY274" s="365"/>
      <c r="OTZ274" s="365"/>
      <c r="OUA274" s="365"/>
      <c r="OUB274" s="365"/>
      <c r="OUC274" s="365"/>
      <c r="OUD274" s="365"/>
      <c r="OUE274" s="365"/>
      <c r="OUF274" s="365"/>
      <c r="OUG274" s="365"/>
      <c r="OUH274" s="365"/>
      <c r="OUI274" s="365"/>
      <c r="OUJ274" s="365"/>
      <c r="OUK274" s="365"/>
      <c r="OUL274" s="365"/>
      <c r="OUM274" s="365"/>
      <c r="OUN274" s="365"/>
      <c r="OUO274" s="365"/>
      <c r="OUP274" s="365"/>
      <c r="OUQ274" s="365"/>
      <c r="OUR274" s="365"/>
      <c r="OUS274" s="365"/>
      <c r="OUT274" s="365"/>
      <c r="OUU274" s="365"/>
      <c r="OUV274" s="365"/>
      <c r="OUW274" s="365"/>
      <c r="OUX274" s="365"/>
      <c r="OUY274" s="365"/>
      <c r="OUZ274" s="365"/>
      <c r="OVA274" s="365"/>
      <c r="OVB274" s="365"/>
      <c r="OVC274" s="365"/>
      <c r="OVD274" s="365"/>
      <c r="OVE274" s="365"/>
      <c r="OVF274" s="365"/>
      <c r="OVG274" s="365"/>
      <c r="OVH274" s="365"/>
      <c r="OVI274" s="365"/>
      <c r="OVJ274" s="365"/>
      <c r="OVK274" s="365"/>
      <c r="OVL274" s="365"/>
      <c r="OVM274" s="365"/>
      <c r="OVN274" s="365"/>
      <c r="OVO274" s="365"/>
      <c r="OVP274" s="365"/>
      <c r="OVQ274" s="365"/>
      <c r="OVR274" s="365"/>
      <c r="OVS274" s="365"/>
      <c r="OVT274" s="365"/>
      <c r="OVU274" s="365"/>
      <c r="OVV274" s="365"/>
      <c r="OVW274" s="365"/>
      <c r="OVX274" s="365"/>
      <c r="OVY274" s="365"/>
      <c r="OVZ274" s="365"/>
      <c r="OWA274" s="365"/>
      <c r="OWB274" s="365"/>
      <c r="OWC274" s="365"/>
      <c r="OWD274" s="365"/>
      <c r="OWE274" s="365"/>
      <c r="OWF274" s="365"/>
      <c r="OWG274" s="365"/>
      <c r="OWH274" s="365"/>
      <c r="OWI274" s="365"/>
      <c r="OWJ274" s="365"/>
      <c r="OWK274" s="365"/>
      <c r="OWL274" s="365"/>
      <c r="OWM274" s="365"/>
      <c r="OWN274" s="365"/>
      <c r="OWO274" s="365"/>
      <c r="OWP274" s="365"/>
      <c r="OWQ274" s="365"/>
      <c r="OWR274" s="365"/>
      <c r="OWS274" s="365"/>
      <c r="OWT274" s="365"/>
      <c r="OWU274" s="365"/>
      <c r="OWV274" s="365"/>
      <c r="OWW274" s="365"/>
      <c r="OWX274" s="365"/>
      <c r="OWY274" s="365"/>
      <c r="OWZ274" s="365"/>
      <c r="OXA274" s="365"/>
      <c r="OXB274" s="365"/>
      <c r="OXC274" s="365"/>
      <c r="OXD274" s="365"/>
      <c r="OXE274" s="365"/>
      <c r="OXF274" s="365"/>
      <c r="OXG274" s="365"/>
      <c r="OXH274" s="365"/>
      <c r="OXI274" s="365"/>
      <c r="OXJ274" s="365"/>
      <c r="OXK274" s="365"/>
      <c r="OXL274" s="365"/>
      <c r="OXM274" s="365"/>
      <c r="OXN274" s="365"/>
      <c r="OXO274" s="365"/>
      <c r="OXP274" s="365"/>
      <c r="OXQ274" s="365"/>
      <c r="OXR274" s="365"/>
      <c r="OXS274" s="365"/>
      <c r="OXT274" s="365"/>
      <c r="OXU274" s="365"/>
      <c r="OXV274" s="365"/>
      <c r="OXW274" s="365"/>
      <c r="OXX274" s="365"/>
      <c r="OXY274" s="365"/>
      <c r="OXZ274" s="365"/>
      <c r="OYA274" s="365"/>
      <c r="OYB274" s="365"/>
      <c r="OYC274" s="365"/>
      <c r="OYD274" s="365"/>
      <c r="OYE274" s="365"/>
      <c r="OYF274" s="365"/>
      <c r="OYG274" s="365"/>
      <c r="OYH274" s="365"/>
      <c r="OYI274" s="365"/>
      <c r="OYJ274" s="365"/>
      <c r="OYK274" s="365"/>
      <c r="OYL274" s="365"/>
      <c r="OYM274" s="365"/>
      <c r="OYN274" s="365"/>
      <c r="OYO274" s="365"/>
      <c r="OYP274" s="365"/>
      <c r="OYQ274" s="365"/>
      <c r="OYR274" s="365"/>
      <c r="OYS274" s="365"/>
      <c r="OYT274" s="365"/>
      <c r="OYU274" s="365"/>
      <c r="OYV274" s="365"/>
      <c r="OYW274" s="365"/>
      <c r="OYX274" s="365"/>
      <c r="OYY274" s="365"/>
      <c r="OYZ274" s="365"/>
      <c r="OZA274" s="365"/>
      <c r="OZB274" s="365"/>
      <c r="OZC274" s="365"/>
      <c r="OZD274" s="365"/>
      <c r="OZE274" s="365"/>
      <c r="OZF274" s="365"/>
      <c r="OZG274" s="365"/>
      <c r="OZH274" s="365"/>
      <c r="OZI274" s="365"/>
      <c r="OZJ274" s="365"/>
      <c r="OZK274" s="365"/>
      <c r="OZL274" s="365"/>
      <c r="OZM274" s="365"/>
      <c r="OZN274" s="365"/>
      <c r="OZO274" s="365"/>
      <c r="OZP274" s="365"/>
      <c r="OZQ274" s="365"/>
      <c r="OZR274" s="365"/>
      <c r="OZS274" s="365"/>
      <c r="OZT274" s="365"/>
      <c r="OZU274" s="365"/>
      <c r="OZV274" s="365"/>
      <c r="OZW274" s="365"/>
      <c r="OZX274" s="365"/>
      <c r="OZY274" s="365"/>
      <c r="OZZ274" s="365"/>
      <c r="PAA274" s="365"/>
      <c r="PAB274" s="365"/>
      <c r="PAC274" s="365"/>
      <c r="PAD274" s="365"/>
      <c r="PAE274" s="365"/>
      <c r="PAF274" s="365"/>
      <c r="PAG274" s="365"/>
      <c r="PAH274" s="365"/>
      <c r="PAI274" s="365"/>
      <c r="PAJ274" s="365"/>
      <c r="PAK274" s="365"/>
      <c r="PAL274" s="365"/>
      <c r="PAM274" s="365"/>
      <c r="PAN274" s="365"/>
      <c r="PAO274" s="365"/>
      <c r="PAP274" s="365"/>
      <c r="PAQ274" s="365"/>
      <c r="PAR274" s="365"/>
      <c r="PAS274" s="365"/>
      <c r="PAT274" s="365"/>
      <c r="PAU274" s="365"/>
      <c r="PAV274" s="365"/>
      <c r="PAW274" s="365"/>
      <c r="PAX274" s="365"/>
      <c r="PAY274" s="365"/>
      <c r="PAZ274" s="365"/>
      <c r="PBA274" s="365"/>
      <c r="PBB274" s="365"/>
      <c r="PBC274" s="365"/>
      <c r="PBD274" s="365"/>
      <c r="PBE274" s="365"/>
      <c r="PBF274" s="365"/>
      <c r="PBG274" s="365"/>
      <c r="PBH274" s="365"/>
      <c r="PBI274" s="365"/>
      <c r="PBJ274" s="365"/>
      <c r="PBK274" s="365"/>
      <c r="PBL274" s="365"/>
      <c r="PBM274" s="365"/>
      <c r="PBN274" s="365"/>
      <c r="PBO274" s="365"/>
      <c r="PBP274" s="365"/>
      <c r="PBQ274" s="365"/>
      <c r="PBR274" s="365"/>
      <c r="PBS274" s="365"/>
      <c r="PBT274" s="365"/>
      <c r="PBU274" s="365"/>
      <c r="PBV274" s="365"/>
      <c r="PBW274" s="365"/>
      <c r="PBX274" s="365"/>
      <c r="PBY274" s="365"/>
      <c r="PBZ274" s="365"/>
      <c r="PCA274" s="365"/>
      <c r="PCB274" s="365"/>
      <c r="PCC274" s="365"/>
      <c r="PCD274" s="365"/>
      <c r="PCE274" s="365"/>
      <c r="PCF274" s="365"/>
      <c r="PCG274" s="365"/>
      <c r="PCH274" s="365"/>
      <c r="PCI274" s="365"/>
      <c r="PCJ274" s="365"/>
      <c r="PCK274" s="365"/>
      <c r="PCL274" s="365"/>
      <c r="PCM274" s="365"/>
      <c r="PCN274" s="365"/>
      <c r="PCO274" s="365"/>
      <c r="PCP274" s="365"/>
      <c r="PCQ274" s="365"/>
      <c r="PCR274" s="365"/>
      <c r="PCS274" s="365"/>
      <c r="PCT274" s="365"/>
      <c r="PCU274" s="365"/>
      <c r="PCV274" s="365"/>
      <c r="PCW274" s="365"/>
      <c r="PCX274" s="365"/>
      <c r="PCY274" s="365"/>
      <c r="PCZ274" s="365"/>
      <c r="PDA274" s="365"/>
      <c r="PDB274" s="365"/>
      <c r="PDC274" s="365"/>
      <c r="PDD274" s="365"/>
      <c r="PDE274" s="365"/>
      <c r="PDF274" s="365"/>
      <c r="PDG274" s="365"/>
      <c r="PDH274" s="365"/>
      <c r="PDI274" s="365"/>
      <c r="PDJ274" s="365"/>
      <c r="PDK274" s="365"/>
      <c r="PDL274" s="365"/>
      <c r="PDM274" s="365"/>
      <c r="PDN274" s="365"/>
      <c r="PDO274" s="365"/>
      <c r="PDP274" s="365"/>
      <c r="PDQ274" s="365"/>
      <c r="PDR274" s="365"/>
      <c r="PDS274" s="365"/>
      <c r="PDT274" s="365"/>
      <c r="PDU274" s="365"/>
      <c r="PDV274" s="365"/>
      <c r="PDW274" s="365"/>
      <c r="PDX274" s="365"/>
      <c r="PDY274" s="365"/>
      <c r="PDZ274" s="365"/>
      <c r="PEA274" s="365"/>
      <c r="PEB274" s="365"/>
      <c r="PEC274" s="365"/>
      <c r="PED274" s="365"/>
      <c r="PEE274" s="365"/>
      <c r="PEF274" s="365"/>
      <c r="PEG274" s="365"/>
      <c r="PEH274" s="365"/>
      <c r="PEI274" s="365"/>
      <c r="PEJ274" s="365"/>
      <c r="PEK274" s="365"/>
      <c r="PEL274" s="365"/>
      <c r="PEM274" s="365"/>
      <c r="PEN274" s="365"/>
      <c r="PEO274" s="365"/>
      <c r="PEP274" s="365"/>
      <c r="PEQ274" s="365"/>
      <c r="PER274" s="365"/>
      <c r="PES274" s="365"/>
      <c r="PET274" s="365"/>
      <c r="PEU274" s="365"/>
      <c r="PEV274" s="365"/>
      <c r="PEW274" s="365"/>
      <c r="PEX274" s="365"/>
      <c r="PEY274" s="365"/>
      <c r="PEZ274" s="365"/>
      <c r="PFA274" s="365"/>
      <c r="PFB274" s="365"/>
      <c r="PFC274" s="365"/>
      <c r="PFD274" s="365"/>
      <c r="PFE274" s="365"/>
      <c r="PFF274" s="365"/>
      <c r="PFG274" s="365"/>
      <c r="PFH274" s="365"/>
      <c r="PFI274" s="365"/>
      <c r="PFJ274" s="365"/>
      <c r="PFK274" s="365"/>
      <c r="PFL274" s="365"/>
      <c r="PFM274" s="365"/>
      <c r="PFN274" s="365"/>
      <c r="PFO274" s="365"/>
      <c r="PFP274" s="365"/>
      <c r="PFQ274" s="365"/>
      <c r="PFR274" s="365"/>
      <c r="PFS274" s="365"/>
      <c r="PFT274" s="365"/>
      <c r="PFU274" s="365"/>
      <c r="PFV274" s="365"/>
      <c r="PFW274" s="365"/>
      <c r="PFX274" s="365"/>
      <c r="PFY274" s="365"/>
      <c r="PFZ274" s="365"/>
      <c r="PGA274" s="365"/>
      <c r="PGB274" s="365"/>
      <c r="PGC274" s="365"/>
      <c r="PGD274" s="365"/>
      <c r="PGE274" s="365"/>
      <c r="PGF274" s="365"/>
      <c r="PGG274" s="365"/>
      <c r="PGH274" s="365"/>
      <c r="PGI274" s="365"/>
      <c r="PGJ274" s="365"/>
      <c r="PGK274" s="365"/>
      <c r="PGL274" s="365"/>
      <c r="PGM274" s="365"/>
      <c r="PGN274" s="365"/>
      <c r="PGO274" s="365"/>
      <c r="PGP274" s="365"/>
      <c r="PGQ274" s="365"/>
      <c r="PGR274" s="365"/>
      <c r="PGS274" s="365"/>
      <c r="PGT274" s="365"/>
      <c r="PGU274" s="365"/>
      <c r="PGV274" s="365"/>
      <c r="PGW274" s="365"/>
      <c r="PGX274" s="365"/>
      <c r="PGY274" s="365"/>
      <c r="PGZ274" s="365"/>
      <c r="PHA274" s="365"/>
      <c r="PHB274" s="365"/>
      <c r="PHC274" s="365"/>
      <c r="PHD274" s="365"/>
      <c r="PHE274" s="365"/>
      <c r="PHF274" s="365"/>
      <c r="PHG274" s="365"/>
      <c r="PHH274" s="365"/>
      <c r="PHI274" s="365"/>
      <c r="PHJ274" s="365"/>
      <c r="PHK274" s="365"/>
      <c r="PHL274" s="365"/>
      <c r="PHM274" s="365"/>
      <c r="PHN274" s="365"/>
      <c r="PHO274" s="365"/>
      <c r="PHP274" s="365"/>
      <c r="PHQ274" s="365"/>
      <c r="PHR274" s="365"/>
      <c r="PHS274" s="365"/>
      <c r="PHT274" s="365"/>
      <c r="PHU274" s="365"/>
      <c r="PHV274" s="365"/>
      <c r="PHW274" s="365"/>
      <c r="PHX274" s="365"/>
      <c r="PHY274" s="365"/>
      <c r="PHZ274" s="365"/>
      <c r="PIA274" s="365"/>
      <c r="PIB274" s="365"/>
      <c r="PIC274" s="365"/>
      <c r="PID274" s="365"/>
      <c r="PIE274" s="365"/>
      <c r="PIF274" s="365"/>
      <c r="PIG274" s="365"/>
      <c r="PIH274" s="365"/>
      <c r="PII274" s="365"/>
      <c r="PIJ274" s="365"/>
      <c r="PIK274" s="365"/>
      <c r="PIL274" s="365"/>
      <c r="PIM274" s="365"/>
      <c r="PIN274" s="365"/>
      <c r="PIO274" s="365"/>
      <c r="PIP274" s="365"/>
      <c r="PIQ274" s="365"/>
      <c r="PIR274" s="365"/>
      <c r="PIS274" s="365"/>
      <c r="PIT274" s="365"/>
      <c r="PIU274" s="365"/>
      <c r="PIV274" s="365"/>
      <c r="PIW274" s="365"/>
      <c r="PIX274" s="365"/>
      <c r="PIY274" s="365"/>
      <c r="PIZ274" s="365"/>
      <c r="PJA274" s="365"/>
      <c r="PJB274" s="365"/>
      <c r="PJC274" s="365"/>
      <c r="PJD274" s="365"/>
      <c r="PJE274" s="365"/>
      <c r="PJF274" s="365"/>
      <c r="PJG274" s="365"/>
      <c r="PJH274" s="365"/>
      <c r="PJI274" s="365"/>
      <c r="PJJ274" s="365"/>
      <c r="PJK274" s="365"/>
      <c r="PJL274" s="365"/>
      <c r="PJM274" s="365"/>
      <c r="PJN274" s="365"/>
      <c r="PJO274" s="365"/>
      <c r="PJP274" s="365"/>
      <c r="PJQ274" s="365"/>
      <c r="PJR274" s="365"/>
      <c r="PJS274" s="365"/>
      <c r="PJT274" s="365"/>
      <c r="PJU274" s="365"/>
      <c r="PJV274" s="365"/>
      <c r="PJW274" s="365"/>
      <c r="PJX274" s="365"/>
      <c r="PJY274" s="365"/>
      <c r="PJZ274" s="365"/>
      <c r="PKA274" s="365"/>
      <c r="PKB274" s="365"/>
      <c r="PKC274" s="365"/>
      <c r="PKD274" s="365"/>
      <c r="PKE274" s="365"/>
      <c r="PKF274" s="365"/>
      <c r="PKG274" s="365"/>
      <c r="PKH274" s="365"/>
      <c r="PKI274" s="365"/>
      <c r="PKJ274" s="365"/>
      <c r="PKK274" s="365"/>
      <c r="PKL274" s="365"/>
      <c r="PKM274" s="365"/>
      <c r="PKN274" s="365"/>
      <c r="PKO274" s="365"/>
      <c r="PKP274" s="365"/>
      <c r="PKQ274" s="365"/>
      <c r="PKR274" s="365"/>
      <c r="PKS274" s="365"/>
      <c r="PKT274" s="365"/>
      <c r="PKU274" s="365"/>
      <c r="PKV274" s="365"/>
      <c r="PKW274" s="365"/>
      <c r="PKX274" s="365"/>
      <c r="PKY274" s="365"/>
      <c r="PKZ274" s="365"/>
      <c r="PLA274" s="365"/>
      <c r="PLB274" s="365"/>
      <c r="PLC274" s="365"/>
      <c r="PLD274" s="365"/>
      <c r="PLE274" s="365"/>
      <c r="PLF274" s="365"/>
      <c r="PLG274" s="365"/>
      <c r="PLH274" s="365"/>
      <c r="PLI274" s="365"/>
      <c r="PLJ274" s="365"/>
      <c r="PLK274" s="365"/>
      <c r="PLL274" s="365"/>
      <c r="PLM274" s="365"/>
      <c r="PLN274" s="365"/>
      <c r="PLO274" s="365"/>
      <c r="PLP274" s="365"/>
      <c r="PLQ274" s="365"/>
      <c r="PLR274" s="365"/>
      <c r="PLS274" s="365"/>
      <c r="PLT274" s="365"/>
      <c r="PLU274" s="365"/>
      <c r="PLV274" s="365"/>
      <c r="PLW274" s="365"/>
      <c r="PLX274" s="365"/>
      <c r="PLY274" s="365"/>
      <c r="PLZ274" s="365"/>
      <c r="PMA274" s="365"/>
      <c r="PMB274" s="365"/>
      <c r="PMC274" s="365"/>
      <c r="PMD274" s="365"/>
      <c r="PME274" s="365"/>
      <c r="PMF274" s="365"/>
      <c r="PMG274" s="365"/>
      <c r="PMH274" s="365"/>
      <c r="PMI274" s="365"/>
      <c r="PMJ274" s="365"/>
      <c r="PMK274" s="365"/>
      <c r="PML274" s="365"/>
      <c r="PMM274" s="365"/>
      <c r="PMN274" s="365"/>
      <c r="PMO274" s="365"/>
      <c r="PMP274" s="365"/>
      <c r="PMQ274" s="365"/>
      <c r="PMR274" s="365"/>
      <c r="PMS274" s="365"/>
      <c r="PMT274" s="365"/>
      <c r="PMU274" s="365"/>
      <c r="PMV274" s="365"/>
      <c r="PMW274" s="365"/>
      <c r="PMX274" s="365"/>
      <c r="PMY274" s="365"/>
      <c r="PMZ274" s="365"/>
      <c r="PNA274" s="365"/>
      <c r="PNB274" s="365"/>
      <c r="PNC274" s="365"/>
      <c r="PND274" s="365"/>
      <c r="PNE274" s="365"/>
      <c r="PNF274" s="365"/>
      <c r="PNG274" s="365"/>
      <c r="PNH274" s="365"/>
      <c r="PNI274" s="365"/>
      <c r="PNJ274" s="365"/>
      <c r="PNK274" s="365"/>
      <c r="PNL274" s="365"/>
      <c r="PNM274" s="365"/>
      <c r="PNN274" s="365"/>
      <c r="PNO274" s="365"/>
      <c r="PNP274" s="365"/>
      <c r="PNQ274" s="365"/>
      <c r="PNR274" s="365"/>
      <c r="PNS274" s="365"/>
      <c r="PNT274" s="365"/>
      <c r="PNU274" s="365"/>
      <c r="PNV274" s="365"/>
      <c r="PNW274" s="365"/>
      <c r="PNX274" s="365"/>
      <c r="PNY274" s="365"/>
      <c r="PNZ274" s="365"/>
      <c r="POA274" s="365"/>
      <c r="POB274" s="365"/>
      <c r="POC274" s="365"/>
      <c r="POD274" s="365"/>
      <c r="POE274" s="365"/>
      <c r="POF274" s="365"/>
      <c r="POG274" s="365"/>
      <c r="POH274" s="365"/>
      <c r="POI274" s="365"/>
      <c r="POJ274" s="365"/>
      <c r="POK274" s="365"/>
      <c r="POL274" s="365"/>
      <c r="POM274" s="365"/>
      <c r="PON274" s="365"/>
      <c r="POO274" s="365"/>
      <c r="POP274" s="365"/>
      <c r="POQ274" s="365"/>
      <c r="POR274" s="365"/>
      <c r="POS274" s="365"/>
      <c r="POT274" s="365"/>
      <c r="POU274" s="365"/>
      <c r="POV274" s="365"/>
      <c r="POW274" s="365"/>
      <c r="POX274" s="365"/>
      <c r="POY274" s="365"/>
      <c r="POZ274" s="365"/>
      <c r="PPA274" s="365"/>
      <c r="PPB274" s="365"/>
      <c r="PPC274" s="365"/>
      <c r="PPD274" s="365"/>
      <c r="PPE274" s="365"/>
      <c r="PPF274" s="365"/>
      <c r="PPG274" s="365"/>
      <c r="PPH274" s="365"/>
      <c r="PPI274" s="365"/>
      <c r="PPJ274" s="365"/>
      <c r="PPK274" s="365"/>
      <c r="PPL274" s="365"/>
      <c r="PPM274" s="365"/>
      <c r="PPN274" s="365"/>
      <c r="PPO274" s="365"/>
      <c r="PPP274" s="365"/>
      <c r="PPQ274" s="365"/>
      <c r="PPR274" s="365"/>
      <c r="PPS274" s="365"/>
      <c r="PPT274" s="365"/>
      <c r="PPU274" s="365"/>
      <c r="PPV274" s="365"/>
      <c r="PPW274" s="365"/>
      <c r="PPX274" s="365"/>
      <c r="PPY274" s="365"/>
      <c r="PPZ274" s="365"/>
      <c r="PQA274" s="365"/>
      <c r="PQB274" s="365"/>
      <c r="PQC274" s="365"/>
      <c r="PQD274" s="365"/>
      <c r="PQE274" s="365"/>
      <c r="PQF274" s="365"/>
      <c r="PQG274" s="365"/>
      <c r="PQH274" s="365"/>
      <c r="PQI274" s="365"/>
      <c r="PQJ274" s="365"/>
      <c r="PQK274" s="365"/>
      <c r="PQL274" s="365"/>
      <c r="PQM274" s="365"/>
      <c r="PQN274" s="365"/>
      <c r="PQO274" s="365"/>
      <c r="PQP274" s="365"/>
      <c r="PQQ274" s="365"/>
      <c r="PQR274" s="365"/>
      <c r="PQS274" s="365"/>
      <c r="PQT274" s="365"/>
      <c r="PQU274" s="365"/>
      <c r="PQV274" s="365"/>
      <c r="PQW274" s="365"/>
      <c r="PQX274" s="365"/>
      <c r="PQY274" s="365"/>
      <c r="PQZ274" s="365"/>
      <c r="PRA274" s="365"/>
      <c r="PRB274" s="365"/>
      <c r="PRC274" s="365"/>
      <c r="PRD274" s="365"/>
      <c r="PRE274" s="365"/>
      <c r="PRF274" s="365"/>
      <c r="PRG274" s="365"/>
      <c r="PRH274" s="365"/>
      <c r="PRI274" s="365"/>
      <c r="PRJ274" s="365"/>
      <c r="PRK274" s="365"/>
      <c r="PRL274" s="365"/>
      <c r="PRM274" s="365"/>
      <c r="PRN274" s="365"/>
      <c r="PRO274" s="365"/>
      <c r="PRP274" s="365"/>
      <c r="PRQ274" s="365"/>
      <c r="PRR274" s="365"/>
      <c r="PRS274" s="365"/>
      <c r="PRT274" s="365"/>
      <c r="PRU274" s="365"/>
      <c r="PRV274" s="365"/>
      <c r="PRW274" s="365"/>
      <c r="PRX274" s="365"/>
      <c r="PRY274" s="365"/>
      <c r="PRZ274" s="365"/>
      <c r="PSA274" s="365"/>
      <c r="PSB274" s="365"/>
      <c r="PSC274" s="365"/>
      <c r="PSD274" s="365"/>
      <c r="PSE274" s="365"/>
      <c r="PSF274" s="365"/>
      <c r="PSG274" s="365"/>
      <c r="PSH274" s="365"/>
      <c r="PSI274" s="365"/>
      <c r="PSJ274" s="365"/>
      <c r="PSK274" s="365"/>
      <c r="PSL274" s="365"/>
      <c r="PSM274" s="365"/>
      <c r="PSN274" s="365"/>
      <c r="PSO274" s="365"/>
      <c r="PSP274" s="365"/>
      <c r="PSQ274" s="365"/>
      <c r="PSR274" s="365"/>
      <c r="PSS274" s="365"/>
      <c r="PST274" s="365"/>
      <c r="PSU274" s="365"/>
      <c r="PSV274" s="365"/>
      <c r="PSW274" s="365"/>
      <c r="PSX274" s="365"/>
      <c r="PSY274" s="365"/>
      <c r="PSZ274" s="365"/>
      <c r="PTA274" s="365"/>
      <c r="PTB274" s="365"/>
      <c r="PTC274" s="365"/>
      <c r="PTD274" s="365"/>
      <c r="PTE274" s="365"/>
      <c r="PTF274" s="365"/>
      <c r="PTG274" s="365"/>
      <c r="PTH274" s="365"/>
      <c r="PTI274" s="365"/>
      <c r="PTJ274" s="365"/>
      <c r="PTK274" s="365"/>
      <c r="PTL274" s="365"/>
      <c r="PTM274" s="365"/>
      <c r="PTN274" s="365"/>
      <c r="PTO274" s="365"/>
      <c r="PTP274" s="365"/>
      <c r="PTQ274" s="365"/>
      <c r="PTR274" s="365"/>
      <c r="PTS274" s="365"/>
      <c r="PTT274" s="365"/>
      <c r="PTU274" s="365"/>
      <c r="PTV274" s="365"/>
      <c r="PTW274" s="365"/>
      <c r="PTX274" s="365"/>
      <c r="PTY274" s="365"/>
      <c r="PTZ274" s="365"/>
      <c r="PUA274" s="365"/>
      <c r="PUB274" s="365"/>
      <c r="PUC274" s="365"/>
      <c r="PUD274" s="365"/>
      <c r="PUE274" s="365"/>
      <c r="PUF274" s="365"/>
      <c r="PUG274" s="365"/>
      <c r="PUH274" s="365"/>
      <c r="PUI274" s="365"/>
      <c r="PUJ274" s="365"/>
      <c r="PUK274" s="365"/>
      <c r="PUL274" s="365"/>
      <c r="PUM274" s="365"/>
      <c r="PUN274" s="365"/>
      <c r="PUO274" s="365"/>
      <c r="PUP274" s="365"/>
      <c r="PUQ274" s="365"/>
      <c r="PUR274" s="365"/>
      <c r="PUS274" s="365"/>
      <c r="PUT274" s="365"/>
      <c r="PUU274" s="365"/>
      <c r="PUV274" s="365"/>
      <c r="PUW274" s="365"/>
      <c r="PUX274" s="365"/>
      <c r="PUY274" s="365"/>
      <c r="PUZ274" s="365"/>
      <c r="PVA274" s="365"/>
      <c r="PVB274" s="365"/>
      <c r="PVC274" s="365"/>
      <c r="PVD274" s="365"/>
      <c r="PVE274" s="365"/>
      <c r="PVF274" s="365"/>
      <c r="PVG274" s="365"/>
      <c r="PVH274" s="365"/>
      <c r="PVI274" s="365"/>
      <c r="PVJ274" s="365"/>
      <c r="PVK274" s="365"/>
      <c r="PVL274" s="365"/>
      <c r="PVM274" s="365"/>
      <c r="PVN274" s="365"/>
      <c r="PVO274" s="365"/>
      <c r="PVP274" s="365"/>
      <c r="PVQ274" s="365"/>
      <c r="PVR274" s="365"/>
      <c r="PVS274" s="365"/>
      <c r="PVT274" s="365"/>
      <c r="PVU274" s="365"/>
      <c r="PVV274" s="365"/>
      <c r="PVW274" s="365"/>
      <c r="PVX274" s="365"/>
      <c r="PVY274" s="365"/>
      <c r="PVZ274" s="365"/>
      <c r="PWA274" s="365"/>
      <c r="PWB274" s="365"/>
      <c r="PWC274" s="365"/>
      <c r="PWD274" s="365"/>
      <c r="PWE274" s="365"/>
      <c r="PWF274" s="365"/>
      <c r="PWG274" s="365"/>
      <c r="PWH274" s="365"/>
      <c r="PWI274" s="365"/>
      <c r="PWJ274" s="365"/>
      <c r="PWK274" s="365"/>
      <c r="PWL274" s="365"/>
      <c r="PWM274" s="365"/>
      <c r="PWN274" s="365"/>
      <c r="PWO274" s="365"/>
      <c r="PWP274" s="365"/>
      <c r="PWQ274" s="365"/>
      <c r="PWR274" s="365"/>
      <c r="PWS274" s="365"/>
      <c r="PWT274" s="365"/>
      <c r="PWU274" s="365"/>
      <c r="PWV274" s="365"/>
      <c r="PWW274" s="365"/>
      <c r="PWX274" s="365"/>
      <c r="PWY274" s="365"/>
      <c r="PWZ274" s="365"/>
      <c r="PXA274" s="365"/>
      <c r="PXB274" s="365"/>
      <c r="PXC274" s="365"/>
      <c r="PXD274" s="365"/>
      <c r="PXE274" s="365"/>
      <c r="PXF274" s="365"/>
      <c r="PXG274" s="365"/>
      <c r="PXH274" s="365"/>
      <c r="PXI274" s="365"/>
      <c r="PXJ274" s="365"/>
      <c r="PXK274" s="365"/>
      <c r="PXL274" s="365"/>
      <c r="PXM274" s="365"/>
      <c r="PXN274" s="365"/>
      <c r="PXO274" s="365"/>
      <c r="PXP274" s="365"/>
      <c r="PXQ274" s="365"/>
      <c r="PXR274" s="365"/>
      <c r="PXS274" s="365"/>
      <c r="PXT274" s="365"/>
      <c r="PXU274" s="365"/>
      <c r="PXV274" s="365"/>
      <c r="PXW274" s="365"/>
      <c r="PXX274" s="365"/>
      <c r="PXY274" s="365"/>
      <c r="PXZ274" s="365"/>
      <c r="PYA274" s="365"/>
      <c r="PYB274" s="365"/>
      <c r="PYC274" s="365"/>
      <c r="PYD274" s="365"/>
      <c r="PYE274" s="365"/>
      <c r="PYF274" s="365"/>
      <c r="PYG274" s="365"/>
      <c r="PYH274" s="365"/>
      <c r="PYI274" s="365"/>
      <c r="PYJ274" s="365"/>
      <c r="PYK274" s="365"/>
      <c r="PYL274" s="365"/>
      <c r="PYM274" s="365"/>
      <c r="PYN274" s="365"/>
      <c r="PYO274" s="365"/>
      <c r="PYP274" s="365"/>
      <c r="PYQ274" s="365"/>
      <c r="PYR274" s="365"/>
      <c r="PYS274" s="365"/>
      <c r="PYT274" s="365"/>
      <c r="PYU274" s="365"/>
      <c r="PYV274" s="365"/>
      <c r="PYW274" s="365"/>
      <c r="PYX274" s="365"/>
      <c r="PYY274" s="365"/>
      <c r="PYZ274" s="365"/>
      <c r="PZA274" s="365"/>
      <c r="PZB274" s="365"/>
      <c r="PZC274" s="365"/>
      <c r="PZD274" s="365"/>
      <c r="PZE274" s="365"/>
      <c r="PZF274" s="365"/>
      <c r="PZG274" s="365"/>
      <c r="PZH274" s="365"/>
      <c r="PZI274" s="365"/>
      <c r="PZJ274" s="365"/>
      <c r="PZK274" s="365"/>
      <c r="PZL274" s="365"/>
      <c r="PZM274" s="365"/>
      <c r="PZN274" s="365"/>
      <c r="PZO274" s="365"/>
      <c r="PZP274" s="365"/>
      <c r="PZQ274" s="365"/>
      <c r="PZR274" s="365"/>
      <c r="PZS274" s="365"/>
      <c r="PZT274" s="365"/>
      <c r="PZU274" s="365"/>
      <c r="PZV274" s="365"/>
      <c r="PZW274" s="365"/>
      <c r="PZX274" s="365"/>
      <c r="PZY274" s="365"/>
      <c r="PZZ274" s="365"/>
      <c r="QAA274" s="365"/>
      <c r="QAB274" s="365"/>
      <c r="QAC274" s="365"/>
      <c r="QAD274" s="365"/>
      <c r="QAE274" s="365"/>
      <c r="QAF274" s="365"/>
      <c r="QAG274" s="365"/>
      <c r="QAH274" s="365"/>
      <c r="QAI274" s="365"/>
      <c r="QAJ274" s="365"/>
      <c r="QAK274" s="365"/>
      <c r="QAL274" s="365"/>
      <c r="QAM274" s="365"/>
      <c r="QAN274" s="365"/>
      <c r="QAO274" s="365"/>
      <c r="QAP274" s="365"/>
      <c r="QAQ274" s="365"/>
      <c r="QAR274" s="365"/>
      <c r="QAS274" s="365"/>
      <c r="QAT274" s="365"/>
      <c r="QAU274" s="365"/>
      <c r="QAV274" s="365"/>
      <c r="QAW274" s="365"/>
      <c r="QAX274" s="365"/>
      <c r="QAY274" s="365"/>
      <c r="QAZ274" s="365"/>
      <c r="QBA274" s="365"/>
      <c r="QBB274" s="365"/>
      <c r="QBC274" s="365"/>
      <c r="QBD274" s="365"/>
      <c r="QBE274" s="365"/>
      <c r="QBF274" s="365"/>
      <c r="QBG274" s="365"/>
      <c r="QBH274" s="365"/>
      <c r="QBI274" s="365"/>
      <c r="QBJ274" s="365"/>
      <c r="QBK274" s="365"/>
      <c r="QBL274" s="365"/>
      <c r="QBM274" s="365"/>
      <c r="QBN274" s="365"/>
      <c r="QBO274" s="365"/>
      <c r="QBP274" s="365"/>
      <c r="QBQ274" s="365"/>
      <c r="QBR274" s="365"/>
      <c r="QBS274" s="365"/>
      <c r="QBT274" s="365"/>
      <c r="QBU274" s="365"/>
      <c r="QBV274" s="365"/>
      <c r="QBW274" s="365"/>
      <c r="QBX274" s="365"/>
      <c r="QBY274" s="365"/>
      <c r="QBZ274" s="365"/>
      <c r="QCA274" s="365"/>
      <c r="QCB274" s="365"/>
      <c r="QCC274" s="365"/>
      <c r="QCD274" s="365"/>
      <c r="QCE274" s="365"/>
      <c r="QCF274" s="365"/>
      <c r="QCG274" s="365"/>
      <c r="QCH274" s="365"/>
      <c r="QCI274" s="365"/>
      <c r="QCJ274" s="365"/>
      <c r="QCK274" s="365"/>
      <c r="QCL274" s="365"/>
      <c r="QCM274" s="365"/>
      <c r="QCN274" s="365"/>
      <c r="QCO274" s="365"/>
      <c r="QCP274" s="365"/>
      <c r="QCQ274" s="365"/>
      <c r="QCR274" s="365"/>
      <c r="QCS274" s="365"/>
      <c r="QCT274" s="365"/>
      <c r="QCU274" s="365"/>
      <c r="QCV274" s="365"/>
      <c r="QCW274" s="365"/>
      <c r="QCX274" s="365"/>
      <c r="QCY274" s="365"/>
      <c r="QCZ274" s="365"/>
      <c r="QDA274" s="365"/>
      <c r="QDB274" s="365"/>
      <c r="QDC274" s="365"/>
      <c r="QDD274" s="365"/>
      <c r="QDE274" s="365"/>
      <c r="QDF274" s="365"/>
      <c r="QDG274" s="365"/>
      <c r="QDH274" s="365"/>
      <c r="QDI274" s="365"/>
      <c r="QDJ274" s="365"/>
      <c r="QDK274" s="365"/>
      <c r="QDL274" s="365"/>
      <c r="QDM274" s="365"/>
      <c r="QDN274" s="365"/>
      <c r="QDO274" s="365"/>
      <c r="QDP274" s="365"/>
      <c r="QDQ274" s="365"/>
      <c r="QDR274" s="365"/>
      <c r="QDS274" s="365"/>
      <c r="QDT274" s="365"/>
      <c r="QDU274" s="365"/>
      <c r="QDV274" s="365"/>
      <c r="QDW274" s="365"/>
      <c r="QDX274" s="365"/>
      <c r="QDY274" s="365"/>
      <c r="QDZ274" s="365"/>
      <c r="QEA274" s="365"/>
      <c r="QEB274" s="365"/>
      <c r="QEC274" s="365"/>
      <c r="QED274" s="365"/>
      <c r="QEE274" s="365"/>
      <c r="QEF274" s="365"/>
      <c r="QEG274" s="365"/>
      <c r="QEH274" s="365"/>
      <c r="QEI274" s="365"/>
      <c r="QEJ274" s="365"/>
      <c r="QEK274" s="365"/>
      <c r="QEL274" s="365"/>
      <c r="QEM274" s="365"/>
      <c r="QEN274" s="365"/>
      <c r="QEO274" s="365"/>
      <c r="QEP274" s="365"/>
      <c r="QEQ274" s="365"/>
      <c r="QER274" s="365"/>
      <c r="QES274" s="365"/>
      <c r="QET274" s="365"/>
      <c r="QEU274" s="365"/>
      <c r="QEV274" s="365"/>
      <c r="QEW274" s="365"/>
      <c r="QEX274" s="365"/>
      <c r="QEY274" s="365"/>
      <c r="QEZ274" s="365"/>
      <c r="QFA274" s="365"/>
      <c r="QFB274" s="365"/>
      <c r="QFC274" s="365"/>
      <c r="QFD274" s="365"/>
      <c r="QFE274" s="365"/>
      <c r="QFF274" s="365"/>
      <c r="QFG274" s="365"/>
      <c r="QFH274" s="365"/>
      <c r="QFI274" s="365"/>
      <c r="QFJ274" s="365"/>
      <c r="QFK274" s="365"/>
      <c r="QFL274" s="365"/>
      <c r="QFM274" s="365"/>
      <c r="QFN274" s="365"/>
      <c r="QFO274" s="365"/>
      <c r="QFP274" s="365"/>
      <c r="QFQ274" s="365"/>
      <c r="QFR274" s="365"/>
      <c r="QFS274" s="365"/>
      <c r="QFT274" s="365"/>
      <c r="QFU274" s="365"/>
      <c r="QFV274" s="365"/>
      <c r="QFW274" s="365"/>
      <c r="QFX274" s="365"/>
      <c r="QFY274" s="365"/>
      <c r="QFZ274" s="365"/>
      <c r="QGA274" s="365"/>
      <c r="QGB274" s="365"/>
      <c r="QGC274" s="365"/>
      <c r="QGD274" s="365"/>
      <c r="QGE274" s="365"/>
      <c r="QGF274" s="365"/>
      <c r="QGG274" s="365"/>
      <c r="QGH274" s="365"/>
      <c r="QGI274" s="365"/>
      <c r="QGJ274" s="365"/>
      <c r="QGK274" s="365"/>
      <c r="QGL274" s="365"/>
      <c r="QGM274" s="365"/>
      <c r="QGN274" s="365"/>
      <c r="QGO274" s="365"/>
      <c r="QGP274" s="365"/>
      <c r="QGQ274" s="365"/>
      <c r="QGR274" s="365"/>
      <c r="QGS274" s="365"/>
      <c r="QGT274" s="365"/>
      <c r="QGU274" s="365"/>
      <c r="QGV274" s="365"/>
      <c r="QGW274" s="365"/>
      <c r="QGX274" s="365"/>
      <c r="QGY274" s="365"/>
      <c r="QGZ274" s="365"/>
      <c r="QHA274" s="365"/>
      <c r="QHB274" s="365"/>
      <c r="QHC274" s="365"/>
      <c r="QHD274" s="365"/>
      <c r="QHE274" s="365"/>
      <c r="QHF274" s="365"/>
      <c r="QHG274" s="365"/>
      <c r="QHH274" s="365"/>
      <c r="QHI274" s="365"/>
      <c r="QHJ274" s="365"/>
      <c r="QHK274" s="365"/>
      <c r="QHL274" s="365"/>
      <c r="QHM274" s="365"/>
      <c r="QHN274" s="365"/>
      <c r="QHO274" s="365"/>
      <c r="QHP274" s="365"/>
      <c r="QHQ274" s="365"/>
      <c r="QHR274" s="365"/>
      <c r="QHS274" s="365"/>
      <c r="QHT274" s="365"/>
      <c r="QHU274" s="365"/>
      <c r="QHV274" s="365"/>
      <c r="QHW274" s="365"/>
      <c r="QHX274" s="365"/>
      <c r="QHY274" s="365"/>
      <c r="QHZ274" s="365"/>
      <c r="QIA274" s="365"/>
      <c r="QIB274" s="365"/>
      <c r="QIC274" s="365"/>
      <c r="QID274" s="365"/>
      <c r="QIE274" s="365"/>
      <c r="QIF274" s="365"/>
      <c r="QIG274" s="365"/>
      <c r="QIH274" s="365"/>
      <c r="QII274" s="365"/>
      <c r="QIJ274" s="365"/>
      <c r="QIK274" s="365"/>
      <c r="QIL274" s="365"/>
      <c r="QIM274" s="365"/>
      <c r="QIN274" s="365"/>
      <c r="QIO274" s="365"/>
      <c r="QIP274" s="365"/>
      <c r="QIQ274" s="365"/>
      <c r="QIR274" s="365"/>
      <c r="QIS274" s="365"/>
      <c r="QIT274" s="365"/>
      <c r="QIU274" s="365"/>
      <c r="QIV274" s="365"/>
      <c r="QIW274" s="365"/>
      <c r="QIX274" s="365"/>
      <c r="QIY274" s="365"/>
      <c r="QIZ274" s="365"/>
      <c r="QJA274" s="365"/>
      <c r="QJB274" s="365"/>
      <c r="QJC274" s="365"/>
      <c r="QJD274" s="365"/>
      <c r="QJE274" s="365"/>
      <c r="QJF274" s="365"/>
      <c r="QJG274" s="365"/>
      <c r="QJH274" s="365"/>
      <c r="QJI274" s="365"/>
      <c r="QJJ274" s="365"/>
      <c r="QJK274" s="365"/>
      <c r="QJL274" s="365"/>
      <c r="QJM274" s="365"/>
      <c r="QJN274" s="365"/>
      <c r="QJO274" s="365"/>
      <c r="QJP274" s="365"/>
      <c r="QJQ274" s="365"/>
      <c r="QJR274" s="365"/>
      <c r="QJS274" s="365"/>
      <c r="QJT274" s="365"/>
      <c r="QJU274" s="365"/>
      <c r="QJV274" s="365"/>
      <c r="QJW274" s="365"/>
      <c r="QJX274" s="365"/>
      <c r="QJY274" s="365"/>
      <c r="QJZ274" s="365"/>
      <c r="QKA274" s="365"/>
      <c r="QKB274" s="365"/>
      <c r="QKC274" s="365"/>
      <c r="QKD274" s="365"/>
      <c r="QKE274" s="365"/>
      <c r="QKF274" s="365"/>
      <c r="QKG274" s="365"/>
      <c r="QKH274" s="365"/>
      <c r="QKI274" s="365"/>
      <c r="QKJ274" s="365"/>
      <c r="QKK274" s="365"/>
      <c r="QKL274" s="365"/>
      <c r="QKM274" s="365"/>
      <c r="QKN274" s="365"/>
      <c r="QKO274" s="365"/>
      <c r="QKP274" s="365"/>
      <c r="QKQ274" s="365"/>
      <c r="QKR274" s="365"/>
      <c r="QKS274" s="365"/>
      <c r="QKT274" s="365"/>
      <c r="QKU274" s="365"/>
      <c r="QKV274" s="365"/>
      <c r="QKW274" s="365"/>
      <c r="QKX274" s="365"/>
      <c r="QKY274" s="365"/>
      <c r="QKZ274" s="365"/>
      <c r="QLA274" s="365"/>
      <c r="QLB274" s="365"/>
      <c r="QLC274" s="365"/>
      <c r="QLD274" s="365"/>
      <c r="QLE274" s="365"/>
      <c r="QLF274" s="365"/>
      <c r="QLG274" s="365"/>
      <c r="QLH274" s="365"/>
      <c r="QLI274" s="365"/>
      <c r="QLJ274" s="365"/>
      <c r="QLK274" s="365"/>
      <c r="QLL274" s="365"/>
      <c r="QLM274" s="365"/>
      <c r="QLN274" s="365"/>
      <c r="QLO274" s="365"/>
      <c r="QLP274" s="365"/>
      <c r="QLQ274" s="365"/>
      <c r="QLR274" s="365"/>
      <c r="QLS274" s="365"/>
      <c r="QLT274" s="365"/>
      <c r="QLU274" s="365"/>
      <c r="QLV274" s="365"/>
      <c r="QLW274" s="365"/>
      <c r="QLX274" s="365"/>
      <c r="QLY274" s="365"/>
      <c r="QLZ274" s="365"/>
      <c r="QMA274" s="365"/>
      <c r="QMB274" s="365"/>
      <c r="QMC274" s="365"/>
      <c r="QMD274" s="365"/>
      <c r="QME274" s="365"/>
      <c r="QMF274" s="365"/>
      <c r="QMG274" s="365"/>
      <c r="QMH274" s="365"/>
      <c r="QMI274" s="365"/>
      <c r="QMJ274" s="365"/>
      <c r="QMK274" s="365"/>
      <c r="QML274" s="365"/>
      <c r="QMM274" s="365"/>
      <c r="QMN274" s="365"/>
      <c r="QMO274" s="365"/>
      <c r="QMP274" s="365"/>
      <c r="QMQ274" s="365"/>
      <c r="QMR274" s="365"/>
      <c r="QMS274" s="365"/>
      <c r="QMT274" s="365"/>
      <c r="QMU274" s="365"/>
      <c r="QMV274" s="365"/>
      <c r="QMW274" s="365"/>
      <c r="QMX274" s="365"/>
      <c r="QMY274" s="365"/>
      <c r="QMZ274" s="365"/>
      <c r="QNA274" s="365"/>
      <c r="QNB274" s="365"/>
      <c r="QNC274" s="365"/>
      <c r="QND274" s="365"/>
      <c r="QNE274" s="365"/>
      <c r="QNF274" s="365"/>
      <c r="QNG274" s="365"/>
      <c r="QNH274" s="365"/>
      <c r="QNI274" s="365"/>
      <c r="QNJ274" s="365"/>
      <c r="QNK274" s="365"/>
      <c r="QNL274" s="365"/>
      <c r="QNM274" s="365"/>
      <c r="QNN274" s="365"/>
      <c r="QNO274" s="365"/>
      <c r="QNP274" s="365"/>
      <c r="QNQ274" s="365"/>
      <c r="QNR274" s="365"/>
      <c r="QNS274" s="365"/>
      <c r="QNT274" s="365"/>
      <c r="QNU274" s="365"/>
      <c r="QNV274" s="365"/>
      <c r="QNW274" s="365"/>
      <c r="QNX274" s="365"/>
      <c r="QNY274" s="365"/>
      <c r="QNZ274" s="365"/>
      <c r="QOA274" s="365"/>
      <c r="QOB274" s="365"/>
      <c r="QOC274" s="365"/>
      <c r="QOD274" s="365"/>
      <c r="QOE274" s="365"/>
      <c r="QOF274" s="365"/>
      <c r="QOG274" s="365"/>
      <c r="QOH274" s="365"/>
      <c r="QOI274" s="365"/>
      <c r="QOJ274" s="365"/>
      <c r="QOK274" s="365"/>
      <c r="QOL274" s="365"/>
      <c r="QOM274" s="365"/>
      <c r="QON274" s="365"/>
      <c r="QOO274" s="365"/>
      <c r="QOP274" s="365"/>
      <c r="QOQ274" s="365"/>
      <c r="QOR274" s="365"/>
      <c r="QOS274" s="365"/>
      <c r="QOT274" s="365"/>
      <c r="QOU274" s="365"/>
      <c r="QOV274" s="365"/>
      <c r="QOW274" s="365"/>
      <c r="QOX274" s="365"/>
      <c r="QOY274" s="365"/>
      <c r="QOZ274" s="365"/>
      <c r="QPA274" s="365"/>
      <c r="QPB274" s="365"/>
      <c r="QPC274" s="365"/>
      <c r="QPD274" s="365"/>
      <c r="QPE274" s="365"/>
      <c r="QPF274" s="365"/>
      <c r="QPG274" s="365"/>
      <c r="QPH274" s="365"/>
      <c r="QPI274" s="365"/>
      <c r="QPJ274" s="365"/>
      <c r="QPK274" s="365"/>
      <c r="QPL274" s="365"/>
      <c r="QPM274" s="365"/>
      <c r="QPN274" s="365"/>
      <c r="QPO274" s="365"/>
      <c r="QPP274" s="365"/>
      <c r="QPQ274" s="365"/>
      <c r="QPR274" s="365"/>
      <c r="QPS274" s="365"/>
      <c r="QPT274" s="365"/>
      <c r="QPU274" s="365"/>
      <c r="QPV274" s="365"/>
      <c r="QPW274" s="365"/>
      <c r="QPX274" s="365"/>
      <c r="QPY274" s="365"/>
      <c r="QPZ274" s="365"/>
      <c r="QQA274" s="365"/>
      <c r="QQB274" s="365"/>
      <c r="QQC274" s="365"/>
      <c r="QQD274" s="365"/>
      <c r="QQE274" s="365"/>
      <c r="QQF274" s="365"/>
      <c r="QQG274" s="365"/>
      <c r="QQH274" s="365"/>
      <c r="QQI274" s="365"/>
      <c r="QQJ274" s="365"/>
      <c r="QQK274" s="365"/>
      <c r="QQL274" s="365"/>
      <c r="QQM274" s="365"/>
      <c r="QQN274" s="365"/>
      <c r="QQO274" s="365"/>
      <c r="QQP274" s="365"/>
      <c r="QQQ274" s="365"/>
      <c r="QQR274" s="365"/>
      <c r="QQS274" s="365"/>
      <c r="QQT274" s="365"/>
      <c r="QQU274" s="365"/>
      <c r="QQV274" s="365"/>
      <c r="QQW274" s="365"/>
      <c r="QQX274" s="365"/>
      <c r="QQY274" s="365"/>
      <c r="QQZ274" s="365"/>
      <c r="QRA274" s="365"/>
      <c r="QRB274" s="365"/>
      <c r="QRC274" s="365"/>
      <c r="QRD274" s="365"/>
      <c r="QRE274" s="365"/>
      <c r="QRF274" s="365"/>
      <c r="QRG274" s="365"/>
      <c r="QRH274" s="365"/>
      <c r="QRI274" s="365"/>
      <c r="QRJ274" s="365"/>
      <c r="QRK274" s="365"/>
      <c r="QRL274" s="365"/>
      <c r="QRM274" s="365"/>
      <c r="QRN274" s="365"/>
      <c r="QRO274" s="365"/>
      <c r="QRP274" s="365"/>
      <c r="QRQ274" s="365"/>
      <c r="QRR274" s="365"/>
      <c r="QRS274" s="365"/>
      <c r="QRT274" s="365"/>
      <c r="QRU274" s="365"/>
      <c r="QRV274" s="365"/>
      <c r="QRW274" s="365"/>
      <c r="QRX274" s="365"/>
      <c r="QRY274" s="365"/>
      <c r="QRZ274" s="365"/>
      <c r="QSA274" s="365"/>
      <c r="QSB274" s="365"/>
      <c r="QSC274" s="365"/>
      <c r="QSD274" s="365"/>
      <c r="QSE274" s="365"/>
      <c r="QSF274" s="365"/>
      <c r="QSG274" s="365"/>
      <c r="QSH274" s="365"/>
      <c r="QSI274" s="365"/>
      <c r="QSJ274" s="365"/>
      <c r="QSK274" s="365"/>
      <c r="QSL274" s="365"/>
      <c r="QSM274" s="365"/>
      <c r="QSN274" s="365"/>
      <c r="QSO274" s="365"/>
      <c r="QSP274" s="365"/>
      <c r="QSQ274" s="365"/>
      <c r="QSR274" s="365"/>
      <c r="QSS274" s="365"/>
      <c r="QST274" s="365"/>
      <c r="QSU274" s="365"/>
      <c r="QSV274" s="365"/>
      <c r="QSW274" s="365"/>
      <c r="QSX274" s="365"/>
      <c r="QSY274" s="365"/>
      <c r="QSZ274" s="365"/>
      <c r="QTA274" s="365"/>
      <c r="QTB274" s="365"/>
      <c r="QTC274" s="365"/>
      <c r="QTD274" s="365"/>
      <c r="QTE274" s="365"/>
      <c r="QTF274" s="365"/>
      <c r="QTG274" s="365"/>
      <c r="QTH274" s="365"/>
      <c r="QTI274" s="365"/>
      <c r="QTJ274" s="365"/>
      <c r="QTK274" s="365"/>
      <c r="QTL274" s="365"/>
      <c r="QTM274" s="365"/>
      <c r="QTN274" s="365"/>
      <c r="QTO274" s="365"/>
      <c r="QTP274" s="365"/>
      <c r="QTQ274" s="365"/>
      <c r="QTR274" s="365"/>
      <c r="QTS274" s="365"/>
      <c r="QTT274" s="365"/>
      <c r="QTU274" s="365"/>
      <c r="QTV274" s="365"/>
      <c r="QTW274" s="365"/>
      <c r="QTX274" s="365"/>
      <c r="QTY274" s="365"/>
      <c r="QTZ274" s="365"/>
      <c r="QUA274" s="365"/>
      <c r="QUB274" s="365"/>
      <c r="QUC274" s="365"/>
      <c r="QUD274" s="365"/>
      <c r="QUE274" s="365"/>
      <c r="QUF274" s="365"/>
      <c r="QUG274" s="365"/>
      <c r="QUH274" s="365"/>
      <c r="QUI274" s="365"/>
      <c r="QUJ274" s="365"/>
      <c r="QUK274" s="365"/>
      <c r="QUL274" s="365"/>
      <c r="QUM274" s="365"/>
      <c r="QUN274" s="365"/>
      <c r="QUO274" s="365"/>
      <c r="QUP274" s="365"/>
      <c r="QUQ274" s="365"/>
      <c r="QUR274" s="365"/>
      <c r="QUS274" s="365"/>
      <c r="QUT274" s="365"/>
      <c r="QUU274" s="365"/>
      <c r="QUV274" s="365"/>
      <c r="QUW274" s="365"/>
      <c r="QUX274" s="365"/>
      <c r="QUY274" s="365"/>
      <c r="QUZ274" s="365"/>
      <c r="QVA274" s="365"/>
      <c r="QVB274" s="365"/>
      <c r="QVC274" s="365"/>
      <c r="QVD274" s="365"/>
      <c r="QVE274" s="365"/>
      <c r="QVF274" s="365"/>
      <c r="QVG274" s="365"/>
      <c r="QVH274" s="365"/>
      <c r="QVI274" s="365"/>
      <c r="QVJ274" s="365"/>
      <c r="QVK274" s="365"/>
      <c r="QVL274" s="365"/>
      <c r="QVM274" s="365"/>
      <c r="QVN274" s="365"/>
      <c r="QVO274" s="365"/>
      <c r="QVP274" s="365"/>
      <c r="QVQ274" s="365"/>
      <c r="QVR274" s="365"/>
      <c r="QVS274" s="365"/>
      <c r="QVT274" s="365"/>
      <c r="QVU274" s="365"/>
      <c r="QVV274" s="365"/>
      <c r="QVW274" s="365"/>
      <c r="QVX274" s="365"/>
      <c r="QVY274" s="365"/>
      <c r="QVZ274" s="365"/>
      <c r="QWA274" s="365"/>
      <c r="QWB274" s="365"/>
      <c r="QWC274" s="365"/>
      <c r="QWD274" s="365"/>
      <c r="QWE274" s="365"/>
      <c r="QWF274" s="365"/>
      <c r="QWG274" s="365"/>
      <c r="QWH274" s="365"/>
      <c r="QWI274" s="365"/>
      <c r="QWJ274" s="365"/>
      <c r="QWK274" s="365"/>
      <c r="QWL274" s="365"/>
      <c r="QWM274" s="365"/>
      <c r="QWN274" s="365"/>
      <c r="QWO274" s="365"/>
      <c r="QWP274" s="365"/>
      <c r="QWQ274" s="365"/>
      <c r="QWR274" s="365"/>
      <c r="QWS274" s="365"/>
      <c r="QWT274" s="365"/>
      <c r="QWU274" s="365"/>
      <c r="QWV274" s="365"/>
      <c r="QWW274" s="365"/>
      <c r="QWX274" s="365"/>
      <c r="QWY274" s="365"/>
      <c r="QWZ274" s="365"/>
      <c r="QXA274" s="365"/>
      <c r="QXB274" s="365"/>
      <c r="QXC274" s="365"/>
      <c r="QXD274" s="365"/>
      <c r="QXE274" s="365"/>
      <c r="QXF274" s="365"/>
      <c r="QXG274" s="365"/>
      <c r="QXH274" s="365"/>
      <c r="QXI274" s="365"/>
      <c r="QXJ274" s="365"/>
      <c r="QXK274" s="365"/>
      <c r="QXL274" s="365"/>
      <c r="QXM274" s="365"/>
      <c r="QXN274" s="365"/>
      <c r="QXO274" s="365"/>
      <c r="QXP274" s="365"/>
      <c r="QXQ274" s="365"/>
      <c r="QXR274" s="365"/>
      <c r="QXS274" s="365"/>
      <c r="QXT274" s="365"/>
      <c r="QXU274" s="365"/>
      <c r="QXV274" s="365"/>
      <c r="QXW274" s="365"/>
      <c r="QXX274" s="365"/>
      <c r="QXY274" s="365"/>
      <c r="QXZ274" s="365"/>
      <c r="QYA274" s="365"/>
      <c r="QYB274" s="365"/>
      <c r="QYC274" s="365"/>
      <c r="QYD274" s="365"/>
      <c r="QYE274" s="365"/>
      <c r="QYF274" s="365"/>
      <c r="QYG274" s="365"/>
      <c r="QYH274" s="365"/>
      <c r="QYI274" s="365"/>
      <c r="QYJ274" s="365"/>
      <c r="QYK274" s="365"/>
      <c r="QYL274" s="365"/>
      <c r="QYM274" s="365"/>
      <c r="QYN274" s="365"/>
      <c r="QYO274" s="365"/>
      <c r="QYP274" s="365"/>
      <c r="QYQ274" s="365"/>
      <c r="QYR274" s="365"/>
      <c r="QYS274" s="365"/>
      <c r="QYT274" s="365"/>
      <c r="QYU274" s="365"/>
      <c r="QYV274" s="365"/>
      <c r="QYW274" s="365"/>
      <c r="QYX274" s="365"/>
      <c r="QYY274" s="365"/>
      <c r="QYZ274" s="365"/>
      <c r="QZA274" s="365"/>
      <c r="QZB274" s="365"/>
      <c r="QZC274" s="365"/>
      <c r="QZD274" s="365"/>
      <c r="QZE274" s="365"/>
      <c r="QZF274" s="365"/>
      <c r="QZG274" s="365"/>
      <c r="QZH274" s="365"/>
      <c r="QZI274" s="365"/>
      <c r="QZJ274" s="365"/>
      <c r="QZK274" s="365"/>
      <c r="QZL274" s="365"/>
      <c r="QZM274" s="365"/>
      <c r="QZN274" s="365"/>
      <c r="QZO274" s="365"/>
      <c r="QZP274" s="365"/>
      <c r="QZQ274" s="365"/>
      <c r="QZR274" s="365"/>
      <c r="QZS274" s="365"/>
      <c r="QZT274" s="365"/>
      <c r="QZU274" s="365"/>
      <c r="QZV274" s="365"/>
      <c r="QZW274" s="365"/>
      <c r="QZX274" s="365"/>
      <c r="QZY274" s="365"/>
      <c r="QZZ274" s="365"/>
      <c r="RAA274" s="365"/>
      <c r="RAB274" s="365"/>
      <c r="RAC274" s="365"/>
      <c r="RAD274" s="365"/>
      <c r="RAE274" s="365"/>
      <c r="RAF274" s="365"/>
      <c r="RAG274" s="365"/>
      <c r="RAH274" s="365"/>
      <c r="RAI274" s="365"/>
      <c r="RAJ274" s="365"/>
      <c r="RAK274" s="365"/>
      <c r="RAL274" s="365"/>
      <c r="RAM274" s="365"/>
      <c r="RAN274" s="365"/>
      <c r="RAO274" s="365"/>
      <c r="RAP274" s="365"/>
      <c r="RAQ274" s="365"/>
      <c r="RAR274" s="365"/>
      <c r="RAS274" s="365"/>
      <c r="RAT274" s="365"/>
      <c r="RAU274" s="365"/>
      <c r="RAV274" s="365"/>
      <c r="RAW274" s="365"/>
      <c r="RAX274" s="365"/>
      <c r="RAY274" s="365"/>
      <c r="RAZ274" s="365"/>
      <c r="RBA274" s="365"/>
      <c r="RBB274" s="365"/>
      <c r="RBC274" s="365"/>
      <c r="RBD274" s="365"/>
      <c r="RBE274" s="365"/>
      <c r="RBF274" s="365"/>
      <c r="RBG274" s="365"/>
      <c r="RBH274" s="365"/>
      <c r="RBI274" s="365"/>
      <c r="RBJ274" s="365"/>
      <c r="RBK274" s="365"/>
      <c r="RBL274" s="365"/>
      <c r="RBM274" s="365"/>
      <c r="RBN274" s="365"/>
      <c r="RBO274" s="365"/>
      <c r="RBP274" s="365"/>
      <c r="RBQ274" s="365"/>
      <c r="RBR274" s="365"/>
      <c r="RBS274" s="365"/>
      <c r="RBT274" s="365"/>
      <c r="RBU274" s="365"/>
      <c r="RBV274" s="365"/>
      <c r="RBW274" s="365"/>
      <c r="RBX274" s="365"/>
      <c r="RBY274" s="365"/>
      <c r="RBZ274" s="365"/>
      <c r="RCA274" s="365"/>
      <c r="RCB274" s="365"/>
      <c r="RCC274" s="365"/>
      <c r="RCD274" s="365"/>
      <c r="RCE274" s="365"/>
      <c r="RCF274" s="365"/>
      <c r="RCG274" s="365"/>
      <c r="RCH274" s="365"/>
      <c r="RCI274" s="365"/>
      <c r="RCJ274" s="365"/>
      <c r="RCK274" s="365"/>
      <c r="RCL274" s="365"/>
      <c r="RCM274" s="365"/>
      <c r="RCN274" s="365"/>
      <c r="RCO274" s="365"/>
      <c r="RCP274" s="365"/>
      <c r="RCQ274" s="365"/>
      <c r="RCR274" s="365"/>
      <c r="RCS274" s="365"/>
      <c r="RCT274" s="365"/>
      <c r="RCU274" s="365"/>
      <c r="RCV274" s="365"/>
      <c r="RCW274" s="365"/>
      <c r="RCX274" s="365"/>
      <c r="RCY274" s="365"/>
      <c r="RCZ274" s="365"/>
      <c r="RDA274" s="365"/>
      <c r="RDB274" s="365"/>
      <c r="RDC274" s="365"/>
      <c r="RDD274" s="365"/>
      <c r="RDE274" s="365"/>
      <c r="RDF274" s="365"/>
      <c r="RDG274" s="365"/>
      <c r="RDH274" s="365"/>
      <c r="RDI274" s="365"/>
      <c r="RDJ274" s="365"/>
      <c r="RDK274" s="365"/>
      <c r="RDL274" s="365"/>
      <c r="RDM274" s="365"/>
      <c r="RDN274" s="365"/>
      <c r="RDO274" s="365"/>
      <c r="RDP274" s="365"/>
      <c r="RDQ274" s="365"/>
      <c r="RDR274" s="365"/>
      <c r="RDS274" s="365"/>
      <c r="RDT274" s="365"/>
      <c r="RDU274" s="365"/>
      <c r="RDV274" s="365"/>
      <c r="RDW274" s="365"/>
      <c r="RDX274" s="365"/>
      <c r="RDY274" s="365"/>
      <c r="RDZ274" s="365"/>
      <c r="REA274" s="365"/>
      <c r="REB274" s="365"/>
      <c r="REC274" s="365"/>
      <c r="RED274" s="365"/>
      <c r="REE274" s="365"/>
      <c r="REF274" s="365"/>
      <c r="REG274" s="365"/>
      <c r="REH274" s="365"/>
      <c r="REI274" s="365"/>
      <c r="REJ274" s="365"/>
      <c r="REK274" s="365"/>
      <c r="REL274" s="365"/>
      <c r="REM274" s="365"/>
      <c r="REN274" s="365"/>
      <c r="REO274" s="365"/>
      <c r="REP274" s="365"/>
      <c r="REQ274" s="365"/>
      <c r="RER274" s="365"/>
      <c r="RES274" s="365"/>
      <c r="RET274" s="365"/>
      <c r="REU274" s="365"/>
      <c r="REV274" s="365"/>
      <c r="REW274" s="365"/>
      <c r="REX274" s="365"/>
      <c r="REY274" s="365"/>
      <c r="REZ274" s="365"/>
      <c r="RFA274" s="365"/>
      <c r="RFB274" s="365"/>
      <c r="RFC274" s="365"/>
      <c r="RFD274" s="365"/>
      <c r="RFE274" s="365"/>
      <c r="RFF274" s="365"/>
      <c r="RFG274" s="365"/>
      <c r="RFH274" s="365"/>
      <c r="RFI274" s="365"/>
      <c r="RFJ274" s="365"/>
      <c r="RFK274" s="365"/>
      <c r="RFL274" s="365"/>
      <c r="RFM274" s="365"/>
      <c r="RFN274" s="365"/>
      <c r="RFO274" s="365"/>
      <c r="RFP274" s="365"/>
      <c r="RFQ274" s="365"/>
      <c r="RFR274" s="365"/>
      <c r="RFS274" s="365"/>
      <c r="RFT274" s="365"/>
      <c r="RFU274" s="365"/>
      <c r="RFV274" s="365"/>
      <c r="RFW274" s="365"/>
      <c r="RFX274" s="365"/>
      <c r="RFY274" s="365"/>
      <c r="RFZ274" s="365"/>
      <c r="RGA274" s="365"/>
      <c r="RGB274" s="365"/>
      <c r="RGC274" s="365"/>
      <c r="RGD274" s="365"/>
      <c r="RGE274" s="365"/>
      <c r="RGF274" s="365"/>
      <c r="RGG274" s="365"/>
      <c r="RGH274" s="365"/>
      <c r="RGI274" s="365"/>
      <c r="RGJ274" s="365"/>
      <c r="RGK274" s="365"/>
      <c r="RGL274" s="365"/>
      <c r="RGM274" s="365"/>
      <c r="RGN274" s="365"/>
      <c r="RGO274" s="365"/>
      <c r="RGP274" s="365"/>
      <c r="RGQ274" s="365"/>
      <c r="RGR274" s="365"/>
      <c r="RGS274" s="365"/>
      <c r="RGT274" s="365"/>
      <c r="RGU274" s="365"/>
      <c r="RGV274" s="365"/>
      <c r="RGW274" s="365"/>
      <c r="RGX274" s="365"/>
      <c r="RGY274" s="365"/>
      <c r="RGZ274" s="365"/>
      <c r="RHA274" s="365"/>
      <c r="RHB274" s="365"/>
      <c r="RHC274" s="365"/>
      <c r="RHD274" s="365"/>
      <c r="RHE274" s="365"/>
      <c r="RHF274" s="365"/>
      <c r="RHG274" s="365"/>
      <c r="RHH274" s="365"/>
      <c r="RHI274" s="365"/>
      <c r="RHJ274" s="365"/>
      <c r="RHK274" s="365"/>
      <c r="RHL274" s="365"/>
      <c r="RHM274" s="365"/>
      <c r="RHN274" s="365"/>
      <c r="RHO274" s="365"/>
      <c r="RHP274" s="365"/>
      <c r="RHQ274" s="365"/>
      <c r="RHR274" s="365"/>
      <c r="RHS274" s="365"/>
      <c r="RHT274" s="365"/>
      <c r="RHU274" s="365"/>
      <c r="RHV274" s="365"/>
      <c r="RHW274" s="365"/>
      <c r="RHX274" s="365"/>
      <c r="RHY274" s="365"/>
      <c r="RHZ274" s="365"/>
      <c r="RIA274" s="365"/>
      <c r="RIB274" s="365"/>
      <c r="RIC274" s="365"/>
      <c r="RID274" s="365"/>
      <c r="RIE274" s="365"/>
      <c r="RIF274" s="365"/>
      <c r="RIG274" s="365"/>
      <c r="RIH274" s="365"/>
      <c r="RII274" s="365"/>
      <c r="RIJ274" s="365"/>
      <c r="RIK274" s="365"/>
      <c r="RIL274" s="365"/>
      <c r="RIM274" s="365"/>
      <c r="RIN274" s="365"/>
      <c r="RIO274" s="365"/>
      <c r="RIP274" s="365"/>
      <c r="RIQ274" s="365"/>
      <c r="RIR274" s="365"/>
      <c r="RIS274" s="365"/>
      <c r="RIT274" s="365"/>
      <c r="RIU274" s="365"/>
      <c r="RIV274" s="365"/>
      <c r="RIW274" s="365"/>
      <c r="RIX274" s="365"/>
      <c r="RIY274" s="365"/>
      <c r="RIZ274" s="365"/>
      <c r="RJA274" s="365"/>
      <c r="RJB274" s="365"/>
      <c r="RJC274" s="365"/>
      <c r="RJD274" s="365"/>
      <c r="RJE274" s="365"/>
      <c r="RJF274" s="365"/>
      <c r="RJG274" s="365"/>
      <c r="RJH274" s="365"/>
      <c r="RJI274" s="365"/>
      <c r="RJJ274" s="365"/>
      <c r="RJK274" s="365"/>
      <c r="RJL274" s="365"/>
      <c r="RJM274" s="365"/>
      <c r="RJN274" s="365"/>
      <c r="RJO274" s="365"/>
      <c r="RJP274" s="365"/>
      <c r="RJQ274" s="365"/>
      <c r="RJR274" s="365"/>
      <c r="RJS274" s="365"/>
      <c r="RJT274" s="365"/>
      <c r="RJU274" s="365"/>
      <c r="RJV274" s="365"/>
      <c r="RJW274" s="365"/>
      <c r="RJX274" s="365"/>
      <c r="RJY274" s="365"/>
      <c r="RJZ274" s="365"/>
      <c r="RKA274" s="365"/>
      <c r="RKB274" s="365"/>
      <c r="RKC274" s="365"/>
      <c r="RKD274" s="365"/>
      <c r="RKE274" s="365"/>
      <c r="RKF274" s="365"/>
      <c r="RKG274" s="365"/>
      <c r="RKH274" s="365"/>
      <c r="RKI274" s="365"/>
      <c r="RKJ274" s="365"/>
      <c r="RKK274" s="365"/>
      <c r="RKL274" s="365"/>
      <c r="RKM274" s="365"/>
      <c r="RKN274" s="365"/>
      <c r="RKO274" s="365"/>
      <c r="RKP274" s="365"/>
      <c r="RKQ274" s="365"/>
      <c r="RKR274" s="365"/>
      <c r="RKS274" s="365"/>
      <c r="RKT274" s="365"/>
      <c r="RKU274" s="365"/>
      <c r="RKV274" s="365"/>
      <c r="RKW274" s="365"/>
      <c r="RKX274" s="365"/>
      <c r="RKY274" s="365"/>
      <c r="RKZ274" s="365"/>
      <c r="RLA274" s="365"/>
      <c r="RLB274" s="365"/>
      <c r="RLC274" s="365"/>
      <c r="RLD274" s="365"/>
      <c r="RLE274" s="365"/>
      <c r="RLF274" s="365"/>
      <c r="RLG274" s="365"/>
      <c r="RLH274" s="365"/>
      <c r="RLI274" s="365"/>
      <c r="RLJ274" s="365"/>
      <c r="RLK274" s="365"/>
      <c r="RLL274" s="365"/>
      <c r="RLM274" s="365"/>
      <c r="RLN274" s="365"/>
      <c r="RLO274" s="365"/>
      <c r="RLP274" s="365"/>
      <c r="RLQ274" s="365"/>
      <c r="RLR274" s="365"/>
      <c r="RLS274" s="365"/>
      <c r="RLT274" s="365"/>
      <c r="RLU274" s="365"/>
      <c r="RLV274" s="365"/>
      <c r="RLW274" s="365"/>
      <c r="RLX274" s="365"/>
      <c r="RLY274" s="365"/>
      <c r="RLZ274" s="365"/>
      <c r="RMA274" s="365"/>
      <c r="RMB274" s="365"/>
      <c r="RMC274" s="365"/>
      <c r="RMD274" s="365"/>
      <c r="RME274" s="365"/>
      <c r="RMF274" s="365"/>
      <c r="RMG274" s="365"/>
      <c r="RMH274" s="365"/>
      <c r="RMI274" s="365"/>
      <c r="RMJ274" s="365"/>
      <c r="RMK274" s="365"/>
      <c r="RML274" s="365"/>
      <c r="RMM274" s="365"/>
      <c r="RMN274" s="365"/>
      <c r="RMO274" s="365"/>
      <c r="RMP274" s="365"/>
      <c r="RMQ274" s="365"/>
      <c r="RMR274" s="365"/>
      <c r="RMS274" s="365"/>
      <c r="RMT274" s="365"/>
      <c r="RMU274" s="365"/>
      <c r="RMV274" s="365"/>
      <c r="RMW274" s="365"/>
      <c r="RMX274" s="365"/>
      <c r="RMY274" s="365"/>
      <c r="RMZ274" s="365"/>
      <c r="RNA274" s="365"/>
      <c r="RNB274" s="365"/>
      <c r="RNC274" s="365"/>
      <c r="RND274" s="365"/>
      <c r="RNE274" s="365"/>
      <c r="RNF274" s="365"/>
      <c r="RNG274" s="365"/>
      <c r="RNH274" s="365"/>
      <c r="RNI274" s="365"/>
      <c r="RNJ274" s="365"/>
      <c r="RNK274" s="365"/>
      <c r="RNL274" s="365"/>
      <c r="RNM274" s="365"/>
      <c r="RNN274" s="365"/>
      <c r="RNO274" s="365"/>
      <c r="RNP274" s="365"/>
      <c r="RNQ274" s="365"/>
      <c r="RNR274" s="365"/>
      <c r="RNS274" s="365"/>
      <c r="RNT274" s="365"/>
      <c r="RNU274" s="365"/>
      <c r="RNV274" s="365"/>
      <c r="RNW274" s="365"/>
      <c r="RNX274" s="365"/>
      <c r="RNY274" s="365"/>
      <c r="RNZ274" s="365"/>
      <c r="ROA274" s="365"/>
      <c r="ROB274" s="365"/>
      <c r="ROC274" s="365"/>
      <c r="ROD274" s="365"/>
      <c r="ROE274" s="365"/>
      <c r="ROF274" s="365"/>
      <c r="ROG274" s="365"/>
      <c r="ROH274" s="365"/>
      <c r="ROI274" s="365"/>
      <c r="ROJ274" s="365"/>
      <c r="ROK274" s="365"/>
      <c r="ROL274" s="365"/>
      <c r="ROM274" s="365"/>
      <c r="RON274" s="365"/>
      <c r="ROO274" s="365"/>
      <c r="ROP274" s="365"/>
      <c r="ROQ274" s="365"/>
      <c r="ROR274" s="365"/>
      <c r="ROS274" s="365"/>
      <c r="ROT274" s="365"/>
      <c r="ROU274" s="365"/>
      <c r="ROV274" s="365"/>
      <c r="ROW274" s="365"/>
      <c r="ROX274" s="365"/>
      <c r="ROY274" s="365"/>
      <c r="ROZ274" s="365"/>
      <c r="RPA274" s="365"/>
      <c r="RPB274" s="365"/>
      <c r="RPC274" s="365"/>
      <c r="RPD274" s="365"/>
      <c r="RPE274" s="365"/>
      <c r="RPF274" s="365"/>
      <c r="RPG274" s="365"/>
      <c r="RPH274" s="365"/>
      <c r="RPI274" s="365"/>
      <c r="RPJ274" s="365"/>
      <c r="RPK274" s="365"/>
      <c r="RPL274" s="365"/>
      <c r="RPM274" s="365"/>
      <c r="RPN274" s="365"/>
      <c r="RPO274" s="365"/>
      <c r="RPP274" s="365"/>
      <c r="RPQ274" s="365"/>
      <c r="RPR274" s="365"/>
      <c r="RPS274" s="365"/>
      <c r="RPT274" s="365"/>
      <c r="RPU274" s="365"/>
      <c r="RPV274" s="365"/>
      <c r="RPW274" s="365"/>
      <c r="RPX274" s="365"/>
      <c r="RPY274" s="365"/>
      <c r="RPZ274" s="365"/>
      <c r="RQA274" s="365"/>
      <c r="RQB274" s="365"/>
      <c r="RQC274" s="365"/>
      <c r="RQD274" s="365"/>
      <c r="RQE274" s="365"/>
      <c r="RQF274" s="365"/>
      <c r="RQG274" s="365"/>
      <c r="RQH274" s="365"/>
      <c r="RQI274" s="365"/>
      <c r="RQJ274" s="365"/>
      <c r="RQK274" s="365"/>
      <c r="RQL274" s="365"/>
      <c r="RQM274" s="365"/>
      <c r="RQN274" s="365"/>
      <c r="RQO274" s="365"/>
      <c r="RQP274" s="365"/>
      <c r="RQQ274" s="365"/>
      <c r="RQR274" s="365"/>
      <c r="RQS274" s="365"/>
      <c r="RQT274" s="365"/>
      <c r="RQU274" s="365"/>
      <c r="RQV274" s="365"/>
      <c r="RQW274" s="365"/>
      <c r="RQX274" s="365"/>
      <c r="RQY274" s="365"/>
      <c r="RQZ274" s="365"/>
      <c r="RRA274" s="365"/>
      <c r="RRB274" s="365"/>
      <c r="RRC274" s="365"/>
      <c r="RRD274" s="365"/>
      <c r="RRE274" s="365"/>
      <c r="RRF274" s="365"/>
      <c r="RRG274" s="365"/>
      <c r="RRH274" s="365"/>
      <c r="RRI274" s="365"/>
      <c r="RRJ274" s="365"/>
      <c r="RRK274" s="365"/>
      <c r="RRL274" s="365"/>
      <c r="RRM274" s="365"/>
      <c r="RRN274" s="365"/>
      <c r="RRO274" s="365"/>
      <c r="RRP274" s="365"/>
      <c r="RRQ274" s="365"/>
      <c r="RRR274" s="365"/>
      <c r="RRS274" s="365"/>
      <c r="RRT274" s="365"/>
      <c r="RRU274" s="365"/>
      <c r="RRV274" s="365"/>
      <c r="RRW274" s="365"/>
      <c r="RRX274" s="365"/>
      <c r="RRY274" s="365"/>
      <c r="RRZ274" s="365"/>
      <c r="RSA274" s="365"/>
      <c r="RSB274" s="365"/>
      <c r="RSC274" s="365"/>
      <c r="RSD274" s="365"/>
      <c r="RSE274" s="365"/>
      <c r="RSF274" s="365"/>
      <c r="RSG274" s="365"/>
      <c r="RSH274" s="365"/>
      <c r="RSI274" s="365"/>
      <c r="RSJ274" s="365"/>
      <c r="RSK274" s="365"/>
      <c r="RSL274" s="365"/>
      <c r="RSM274" s="365"/>
      <c r="RSN274" s="365"/>
      <c r="RSO274" s="365"/>
      <c r="RSP274" s="365"/>
      <c r="RSQ274" s="365"/>
      <c r="RSR274" s="365"/>
      <c r="RSS274" s="365"/>
      <c r="RST274" s="365"/>
      <c r="RSU274" s="365"/>
      <c r="RSV274" s="365"/>
      <c r="RSW274" s="365"/>
      <c r="RSX274" s="365"/>
      <c r="RSY274" s="365"/>
      <c r="RSZ274" s="365"/>
      <c r="RTA274" s="365"/>
      <c r="RTB274" s="365"/>
      <c r="RTC274" s="365"/>
      <c r="RTD274" s="365"/>
      <c r="RTE274" s="365"/>
      <c r="RTF274" s="365"/>
      <c r="RTG274" s="365"/>
      <c r="RTH274" s="365"/>
      <c r="RTI274" s="365"/>
      <c r="RTJ274" s="365"/>
      <c r="RTK274" s="365"/>
      <c r="RTL274" s="365"/>
      <c r="RTM274" s="365"/>
      <c r="RTN274" s="365"/>
      <c r="RTO274" s="365"/>
      <c r="RTP274" s="365"/>
      <c r="RTQ274" s="365"/>
      <c r="RTR274" s="365"/>
      <c r="RTS274" s="365"/>
      <c r="RTT274" s="365"/>
      <c r="RTU274" s="365"/>
      <c r="RTV274" s="365"/>
      <c r="RTW274" s="365"/>
      <c r="RTX274" s="365"/>
      <c r="RTY274" s="365"/>
      <c r="RTZ274" s="365"/>
      <c r="RUA274" s="365"/>
      <c r="RUB274" s="365"/>
      <c r="RUC274" s="365"/>
      <c r="RUD274" s="365"/>
      <c r="RUE274" s="365"/>
      <c r="RUF274" s="365"/>
      <c r="RUG274" s="365"/>
      <c r="RUH274" s="365"/>
      <c r="RUI274" s="365"/>
      <c r="RUJ274" s="365"/>
      <c r="RUK274" s="365"/>
      <c r="RUL274" s="365"/>
      <c r="RUM274" s="365"/>
      <c r="RUN274" s="365"/>
      <c r="RUO274" s="365"/>
      <c r="RUP274" s="365"/>
      <c r="RUQ274" s="365"/>
      <c r="RUR274" s="365"/>
      <c r="RUS274" s="365"/>
      <c r="RUT274" s="365"/>
      <c r="RUU274" s="365"/>
      <c r="RUV274" s="365"/>
      <c r="RUW274" s="365"/>
      <c r="RUX274" s="365"/>
      <c r="RUY274" s="365"/>
      <c r="RUZ274" s="365"/>
      <c r="RVA274" s="365"/>
      <c r="RVB274" s="365"/>
      <c r="RVC274" s="365"/>
      <c r="RVD274" s="365"/>
      <c r="RVE274" s="365"/>
      <c r="RVF274" s="365"/>
      <c r="RVG274" s="365"/>
      <c r="RVH274" s="365"/>
      <c r="RVI274" s="365"/>
      <c r="RVJ274" s="365"/>
      <c r="RVK274" s="365"/>
      <c r="RVL274" s="365"/>
      <c r="RVM274" s="365"/>
      <c r="RVN274" s="365"/>
      <c r="RVO274" s="365"/>
      <c r="RVP274" s="365"/>
      <c r="RVQ274" s="365"/>
      <c r="RVR274" s="365"/>
      <c r="RVS274" s="365"/>
      <c r="RVT274" s="365"/>
      <c r="RVU274" s="365"/>
      <c r="RVV274" s="365"/>
      <c r="RVW274" s="365"/>
      <c r="RVX274" s="365"/>
      <c r="RVY274" s="365"/>
      <c r="RVZ274" s="365"/>
      <c r="RWA274" s="365"/>
      <c r="RWB274" s="365"/>
      <c r="RWC274" s="365"/>
      <c r="RWD274" s="365"/>
      <c r="RWE274" s="365"/>
      <c r="RWF274" s="365"/>
      <c r="RWG274" s="365"/>
      <c r="RWH274" s="365"/>
      <c r="RWI274" s="365"/>
      <c r="RWJ274" s="365"/>
      <c r="RWK274" s="365"/>
      <c r="RWL274" s="365"/>
      <c r="RWM274" s="365"/>
      <c r="RWN274" s="365"/>
      <c r="RWO274" s="365"/>
      <c r="RWP274" s="365"/>
      <c r="RWQ274" s="365"/>
      <c r="RWR274" s="365"/>
      <c r="RWS274" s="365"/>
      <c r="RWT274" s="365"/>
      <c r="RWU274" s="365"/>
      <c r="RWV274" s="365"/>
      <c r="RWW274" s="365"/>
      <c r="RWX274" s="365"/>
      <c r="RWY274" s="365"/>
      <c r="RWZ274" s="365"/>
      <c r="RXA274" s="365"/>
      <c r="RXB274" s="365"/>
      <c r="RXC274" s="365"/>
      <c r="RXD274" s="365"/>
      <c r="RXE274" s="365"/>
      <c r="RXF274" s="365"/>
      <c r="RXG274" s="365"/>
      <c r="RXH274" s="365"/>
      <c r="RXI274" s="365"/>
      <c r="RXJ274" s="365"/>
      <c r="RXK274" s="365"/>
      <c r="RXL274" s="365"/>
      <c r="RXM274" s="365"/>
      <c r="RXN274" s="365"/>
      <c r="RXO274" s="365"/>
      <c r="RXP274" s="365"/>
      <c r="RXQ274" s="365"/>
      <c r="RXR274" s="365"/>
      <c r="RXS274" s="365"/>
      <c r="RXT274" s="365"/>
      <c r="RXU274" s="365"/>
      <c r="RXV274" s="365"/>
      <c r="RXW274" s="365"/>
      <c r="RXX274" s="365"/>
      <c r="RXY274" s="365"/>
      <c r="RXZ274" s="365"/>
      <c r="RYA274" s="365"/>
      <c r="RYB274" s="365"/>
      <c r="RYC274" s="365"/>
      <c r="RYD274" s="365"/>
      <c r="RYE274" s="365"/>
      <c r="RYF274" s="365"/>
      <c r="RYG274" s="365"/>
      <c r="RYH274" s="365"/>
      <c r="RYI274" s="365"/>
      <c r="RYJ274" s="365"/>
      <c r="RYK274" s="365"/>
      <c r="RYL274" s="365"/>
      <c r="RYM274" s="365"/>
      <c r="RYN274" s="365"/>
      <c r="RYO274" s="365"/>
      <c r="RYP274" s="365"/>
      <c r="RYQ274" s="365"/>
      <c r="RYR274" s="365"/>
      <c r="RYS274" s="365"/>
      <c r="RYT274" s="365"/>
      <c r="RYU274" s="365"/>
      <c r="RYV274" s="365"/>
      <c r="RYW274" s="365"/>
      <c r="RYX274" s="365"/>
      <c r="RYY274" s="365"/>
      <c r="RYZ274" s="365"/>
      <c r="RZA274" s="365"/>
      <c r="RZB274" s="365"/>
      <c r="RZC274" s="365"/>
      <c r="RZD274" s="365"/>
      <c r="RZE274" s="365"/>
      <c r="RZF274" s="365"/>
      <c r="RZG274" s="365"/>
      <c r="RZH274" s="365"/>
      <c r="RZI274" s="365"/>
      <c r="RZJ274" s="365"/>
      <c r="RZK274" s="365"/>
      <c r="RZL274" s="365"/>
      <c r="RZM274" s="365"/>
      <c r="RZN274" s="365"/>
      <c r="RZO274" s="365"/>
      <c r="RZP274" s="365"/>
      <c r="RZQ274" s="365"/>
      <c r="RZR274" s="365"/>
      <c r="RZS274" s="365"/>
      <c r="RZT274" s="365"/>
      <c r="RZU274" s="365"/>
      <c r="RZV274" s="365"/>
      <c r="RZW274" s="365"/>
      <c r="RZX274" s="365"/>
      <c r="RZY274" s="365"/>
      <c r="RZZ274" s="365"/>
      <c r="SAA274" s="365"/>
      <c r="SAB274" s="365"/>
      <c r="SAC274" s="365"/>
      <c r="SAD274" s="365"/>
      <c r="SAE274" s="365"/>
      <c r="SAF274" s="365"/>
      <c r="SAG274" s="365"/>
      <c r="SAH274" s="365"/>
      <c r="SAI274" s="365"/>
      <c r="SAJ274" s="365"/>
      <c r="SAK274" s="365"/>
      <c r="SAL274" s="365"/>
      <c r="SAM274" s="365"/>
      <c r="SAN274" s="365"/>
      <c r="SAO274" s="365"/>
      <c r="SAP274" s="365"/>
      <c r="SAQ274" s="365"/>
      <c r="SAR274" s="365"/>
      <c r="SAS274" s="365"/>
      <c r="SAT274" s="365"/>
      <c r="SAU274" s="365"/>
      <c r="SAV274" s="365"/>
      <c r="SAW274" s="365"/>
      <c r="SAX274" s="365"/>
      <c r="SAY274" s="365"/>
      <c r="SAZ274" s="365"/>
      <c r="SBA274" s="365"/>
      <c r="SBB274" s="365"/>
      <c r="SBC274" s="365"/>
      <c r="SBD274" s="365"/>
      <c r="SBE274" s="365"/>
      <c r="SBF274" s="365"/>
      <c r="SBG274" s="365"/>
      <c r="SBH274" s="365"/>
      <c r="SBI274" s="365"/>
      <c r="SBJ274" s="365"/>
      <c r="SBK274" s="365"/>
      <c r="SBL274" s="365"/>
      <c r="SBM274" s="365"/>
      <c r="SBN274" s="365"/>
      <c r="SBO274" s="365"/>
      <c r="SBP274" s="365"/>
      <c r="SBQ274" s="365"/>
      <c r="SBR274" s="365"/>
      <c r="SBS274" s="365"/>
      <c r="SBT274" s="365"/>
      <c r="SBU274" s="365"/>
      <c r="SBV274" s="365"/>
      <c r="SBW274" s="365"/>
      <c r="SBX274" s="365"/>
      <c r="SBY274" s="365"/>
      <c r="SBZ274" s="365"/>
      <c r="SCA274" s="365"/>
      <c r="SCB274" s="365"/>
      <c r="SCC274" s="365"/>
      <c r="SCD274" s="365"/>
      <c r="SCE274" s="365"/>
      <c r="SCF274" s="365"/>
      <c r="SCG274" s="365"/>
      <c r="SCH274" s="365"/>
      <c r="SCI274" s="365"/>
      <c r="SCJ274" s="365"/>
      <c r="SCK274" s="365"/>
      <c r="SCL274" s="365"/>
      <c r="SCM274" s="365"/>
      <c r="SCN274" s="365"/>
      <c r="SCO274" s="365"/>
      <c r="SCP274" s="365"/>
      <c r="SCQ274" s="365"/>
      <c r="SCR274" s="365"/>
      <c r="SCS274" s="365"/>
      <c r="SCT274" s="365"/>
      <c r="SCU274" s="365"/>
      <c r="SCV274" s="365"/>
      <c r="SCW274" s="365"/>
      <c r="SCX274" s="365"/>
      <c r="SCY274" s="365"/>
      <c r="SCZ274" s="365"/>
      <c r="SDA274" s="365"/>
      <c r="SDB274" s="365"/>
      <c r="SDC274" s="365"/>
      <c r="SDD274" s="365"/>
      <c r="SDE274" s="365"/>
      <c r="SDF274" s="365"/>
      <c r="SDG274" s="365"/>
      <c r="SDH274" s="365"/>
      <c r="SDI274" s="365"/>
      <c r="SDJ274" s="365"/>
      <c r="SDK274" s="365"/>
      <c r="SDL274" s="365"/>
      <c r="SDM274" s="365"/>
      <c r="SDN274" s="365"/>
      <c r="SDO274" s="365"/>
      <c r="SDP274" s="365"/>
      <c r="SDQ274" s="365"/>
      <c r="SDR274" s="365"/>
      <c r="SDS274" s="365"/>
      <c r="SDT274" s="365"/>
      <c r="SDU274" s="365"/>
      <c r="SDV274" s="365"/>
      <c r="SDW274" s="365"/>
      <c r="SDX274" s="365"/>
      <c r="SDY274" s="365"/>
      <c r="SDZ274" s="365"/>
      <c r="SEA274" s="365"/>
      <c r="SEB274" s="365"/>
      <c r="SEC274" s="365"/>
      <c r="SED274" s="365"/>
      <c r="SEE274" s="365"/>
      <c r="SEF274" s="365"/>
      <c r="SEG274" s="365"/>
      <c r="SEH274" s="365"/>
      <c r="SEI274" s="365"/>
      <c r="SEJ274" s="365"/>
      <c r="SEK274" s="365"/>
      <c r="SEL274" s="365"/>
      <c r="SEM274" s="365"/>
      <c r="SEN274" s="365"/>
      <c r="SEO274" s="365"/>
      <c r="SEP274" s="365"/>
      <c r="SEQ274" s="365"/>
      <c r="SER274" s="365"/>
      <c r="SES274" s="365"/>
      <c r="SET274" s="365"/>
      <c r="SEU274" s="365"/>
      <c r="SEV274" s="365"/>
      <c r="SEW274" s="365"/>
      <c r="SEX274" s="365"/>
      <c r="SEY274" s="365"/>
      <c r="SEZ274" s="365"/>
      <c r="SFA274" s="365"/>
      <c r="SFB274" s="365"/>
      <c r="SFC274" s="365"/>
      <c r="SFD274" s="365"/>
      <c r="SFE274" s="365"/>
      <c r="SFF274" s="365"/>
      <c r="SFG274" s="365"/>
      <c r="SFH274" s="365"/>
      <c r="SFI274" s="365"/>
      <c r="SFJ274" s="365"/>
      <c r="SFK274" s="365"/>
      <c r="SFL274" s="365"/>
      <c r="SFM274" s="365"/>
      <c r="SFN274" s="365"/>
      <c r="SFO274" s="365"/>
      <c r="SFP274" s="365"/>
      <c r="SFQ274" s="365"/>
      <c r="SFR274" s="365"/>
      <c r="SFS274" s="365"/>
      <c r="SFT274" s="365"/>
      <c r="SFU274" s="365"/>
      <c r="SFV274" s="365"/>
      <c r="SFW274" s="365"/>
      <c r="SFX274" s="365"/>
      <c r="SFY274" s="365"/>
      <c r="SFZ274" s="365"/>
      <c r="SGA274" s="365"/>
      <c r="SGB274" s="365"/>
      <c r="SGC274" s="365"/>
      <c r="SGD274" s="365"/>
      <c r="SGE274" s="365"/>
      <c r="SGF274" s="365"/>
      <c r="SGG274" s="365"/>
      <c r="SGH274" s="365"/>
      <c r="SGI274" s="365"/>
      <c r="SGJ274" s="365"/>
      <c r="SGK274" s="365"/>
      <c r="SGL274" s="365"/>
      <c r="SGM274" s="365"/>
      <c r="SGN274" s="365"/>
      <c r="SGO274" s="365"/>
      <c r="SGP274" s="365"/>
      <c r="SGQ274" s="365"/>
      <c r="SGR274" s="365"/>
      <c r="SGS274" s="365"/>
      <c r="SGT274" s="365"/>
      <c r="SGU274" s="365"/>
      <c r="SGV274" s="365"/>
      <c r="SGW274" s="365"/>
      <c r="SGX274" s="365"/>
      <c r="SGY274" s="365"/>
      <c r="SGZ274" s="365"/>
      <c r="SHA274" s="365"/>
      <c r="SHB274" s="365"/>
      <c r="SHC274" s="365"/>
      <c r="SHD274" s="365"/>
      <c r="SHE274" s="365"/>
      <c r="SHF274" s="365"/>
      <c r="SHG274" s="365"/>
      <c r="SHH274" s="365"/>
      <c r="SHI274" s="365"/>
      <c r="SHJ274" s="365"/>
      <c r="SHK274" s="365"/>
      <c r="SHL274" s="365"/>
      <c r="SHM274" s="365"/>
      <c r="SHN274" s="365"/>
      <c r="SHO274" s="365"/>
      <c r="SHP274" s="365"/>
      <c r="SHQ274" s="365"/>
      <c r="SHR274" s="365"/>
      <c r="SHS274" s="365"/>
      <c r="SHT274" s="365"/>
      <c r="SHU274" s="365"/>
      <c r="SHV274" s="365"/>
      <c r="SHW274" s="365"/>
      <c r="SHX274" s="365"/>
      <c r="SHY274" s="365"/>
      <c r="SHZ274" s="365"/>
      <c r="SIA274" s="365"/>
      <c r="SIB274" s="365"/>
      <c r="SIC274" s="365"/>
      <c r="SID274" s="365"/>
      <c r="SIE274" s="365"/>
      <c r="SIF274" s="365"/>
      <c r="SIG274" s="365"/>
      <c r="SIH274" s="365"/>
      <c r="SII274" s="365"/>
      <c r="SIJ274" s="365"/>
      <c r="SIK274" s="365"/>
      <c r="SIL274" s="365"/>
      <c r="SIM274" s="365"/>
      <c r="SIN274" s="365"/>
      <c r="SIO274" s="365"/>
      <c r="SIP274" s="365"/>
      <c r="SIQ274" s="365"/>
      <c r="SIR274" s="365"/>
      <c r="SIS274" s="365"/>
      <c r="SIT274" s="365"/>
      <c r="SIU274" s="365"/>
      <c r="SIV274" s="365"/>
      <c r="SIW274" s="365"/>
      <c r="SIX274" s="365"/>
      <c r="SIY274" s="365"/>
      <c r="SIZ274" s="365"/>
      <c r="SJA274" s="365"/>
      <c r="SJB274" s="365"/>
      <c r="SJC274" s="365"/>
      <c r="SJD274" s="365"/>
      <c r="SJE274" s="365"/>
      <c r="SJF274" s="365"/>
      <c r="SJG274" s="365"/>
      <c r="SJH274" s="365"/>
      <c r="SJI274" s="365"/>
      <c r="SJJ274" s="365"/>
      <c r="SJK274" s="365"/>
      <c r="SJL274" s="365"/>
      <c r="SJM274" s="365"/>
      <c r="SJN274" s="365"/>
      <c r="SJO274" s="365"/>
      <c r="SJP274" s="365"/>
      <c r="SJQ274" s="365"/>
      <c r="SJR274" s="365"/>
      <c r="SJS274" s="365"/>
      <c r="SJT274" s="365"/>
      <c r="SJU274" s="365"/>
      <c r="SJV274" s="365"/>
      <c r="SJW274" s="365"/>
      <c r="SJX274" s="365"/>
      <c r="SJY274" s="365"/>
      <c r="SJZ274" s="365"/>
      <c r="SKA274" s="365"/>
      <c r="SKB274" s="365"/>
      <c r="SKC274" s="365"/>
      <c r="SKD274" s="365"/>
      <c r="SKE274" s="365"/>
      <c r="SKF274" s="365"/>
      <c r="SKG274" s="365"/>
      <c r="SKH274" s="365"/>
      <c r="SKI274" s="365"/>
      <c r="SKJ274" s="365"/>
      <c r="SKK274" s="365"/>
      <c r="SKL274" s="365"/>
      <c r="SKM274" s="365"/>
      <c r="SKN274" s="365"/>
      <c r="SKO274" s="365"/>
      <c r="SKP274" s="365"/>
      <c r="SKQ274" s="365"/>
      <c r="SKR274" s="365"/>
      <c r="SKS274" s="365"/>
      <c r="SKT274" s="365"/>
      <c r="SKU274" s="365"/>
      <c r="SKV274" s="365"/>
      <c r="SKW274" s="365"/>
      <c r="SKX274" s="365"/>
      <c r="SKY274" s="365"/>
      <c r="SKZ274" s="365"/>
      <c r="SLA274" s="365"/>
      <c r="SLB274" s="365"/>
      <c r="SLC274" s="365"/>
      <c r="SLD274" s="365"/>
      <c r="SLE274" s="365"/>
      <c r="SLF274" s="365"/>
      <c r="SLG274" s="365"/>
      <c r="SLH274" s="365"/>
      <c r="SLI274" s="365"/>
      <c r="SLJ274" s="365"/>
      <c r="SLK274" s="365"/>
      <c r="SLL274" s="365"/>
      <c r="SLM274" s="365"/>
      <c r="SLN274" s="365"/>
      <c r="SLO274" s="365"/>
      <c r="SLP274" s="365"/>
      <c r="SLQ274" s="365"/>
      <c r="SLR274" s="365"/>
      <c r="SLS274" s="365"/>
      <c r="SLT274" s="365"/>
      <c r="SLU274" s="365"/>
      <c r="SLV274" s="365"/>
      <c r="SLW274" s="365"/>
      <c r="SLX274" s="365"/>
      <c r="SLY274" s="365"/>
      <c r="SLZ274" s="365"/>
      <c r="SMA274" s="365"/>
      <c r="SMB274" s="365"/>
      <c r="SMC274" s="365"/>
      <c r="SMD274" s="365"/>
      <c r="SME274" s="365"/>
      <c r="SMF274" s="365"/>
      <c r="SMG274" s="365"/>
      <c r="SMH274" s="365"/>
      <c r="SMI274" s="365"/>
      <c r="SMJ274" s="365"/>
      <c r="SMK274" s="365"/>
      <c r="SML274" s="365"/>
      <c r="SMM274" s="365"/>
      <c r="SMN274" s="365"/>
      <c r="SMO274" s="365"/>
      <c r="SMP274" s="365"/>
      <c r="SMQ274" s="365"/>
      <c r="SMR274" s="365"/>
      <c r="SMS274" s="365"/>
      <c r="SMT274" s="365"/>
      <c r="SMU274" s="365"/>
      <c r="SMV274" s="365"/>
      <c r="SMW274" s="365"/>
      <c r="SMX274" s="365"/>
      <c r="SMY274" s="365"/>
      <c r="SMZ274" s="365"/>
      <c r="SNA274" s="365"/>
      <c r="SNB274" s="365"/>
      <c r="SNC274" s="365"/>
      <c r="SND274" s="365"/>
      <c r="SNE274" s="365"/>
      <c r="SNF274" s="365"/>
      <c r="SNG274" s="365"/>
      <c r="SNH274" s="365"/>
      <c r="SNI274" s="365"/>
      <c r="SNJ274" s="365"/>
      <c r="SNK274" s="365"/>
      <c r="SNL274" s="365"/>
      <c r="SNM274" s="365"/>
      <c r="SNN274" s="365"/>
      <c r="SNO274" s="365"/>
      <c r="SNP274" s="365"/>
      <c r="SNQ274" s="365"/>
      <c r="SNR274" s="365"/>
      <c r="SNS274" s="365"/>
      <c r="SNT274" s="365"/>
      <c r="SNU274" s="365"/>
      <c r="SNV274" s="365"/>
      <c r="SNW274" s="365"/>
      <c r="SNX274" s="365"/>
      <c r="SNY274" s="365"/>
      <c r="SNZ274" s="365"/>
      <c r="SOA274" s="365"/>
      <c r="SOB274" s="365"/>
      <c r="SOC274" s="365"/>
      <c r="SOD274" s="365"/>
      <c r="SOE274" s="365"/>
      <c r="SOF274" s="365"/>
      <c r="SOG274" s="365"/>
      <c r="SOH274" s="365"/>
      <c r="SOI274" s="365"/>
      <c r="SOJ274" s="365"/>
      <c r="SOK274" s="365"/>
      <c r="SOL274" s="365"/>
      <c r="SOM274" s="365"/>
      <c r="SON274" s="365"/>
      <c r="SOO274" s="365"/>
      <c r="SOP274" s="365"/>
      <c r="SOQ274" s="365"/>
      <c r="SOR274" s="365"/>
      <c r="SOS274" s="365"/>
      <c r="SOT274" s="365"/>
      <c r="SOU274" s="365"/>
      <c r="SOV274" s="365"/>
      <c r="SOW274" s="365"/>
      <c r="SOX274" s="365"/>
      <c r="SOY274" s="365"/>
      <c r="SOZ274" s="365"/>
      <c r="SPA274" s="365"/>
      <c r="SPB274" s="365"/>
      <c r="SPC274" s="365"/>
      <c r="SPD274" s="365"/>
      <c r="SPE274" s="365"/>
      <c r="SPF274" s="365"/>
      <c r="SPG274" s="365"/>
      <c r="SPH274" s="365"/>
      <c r="SPI274" s="365"/>
      <c r="SPJ274" s="365"/>
      <c r="SPK274" s="365"/>
      <c r="SPL274" s="365"/>
      <c r="SPM274" s="365"/>
      <c r="SPN274" s="365"/>
      <c r="SPO274" s="365"/>
      <c r="SPP274" s="365"/>
      <c r="SPQ274" s="365"/>
      <c r="SPR274" s="365"/>
      <c r="SPS274" s="365"/>
      <c r="SPT274" s="365"/>
      <c r="SPU274" s="365"/>
      <c r="SPV274" s="365"/>
      <c r="SPW274" s="365"/>
      <c r="SPX274" s="365"/>
      <c r="SPY274" s="365"/>
      <c r="SPZ274" s="365"/>
      <c r="SQA274" s="365"/>
      <c r="SQB274" s="365"/>
      <c r="SQC274" s="365"/>
      <c r="SQD274" s="365"/>
      <c r="SQE274" s="365"/>
      <c r="SQF274" s="365"/>
      <c r="SQG274" s="365"/>
      <c r="SQH274" s="365"/>
      <c r="SQI274" s="365"/>
      <c r="SQJ274" s="365"/>
      <c r="SQK274" s="365"/>
      <c r="SQL274" s="365"/>
      <c r="SQM274" s="365"/>
      <c r="SQN274" s="365"/>
      <c r="SQO274" s="365"/>
      <c r="SQP274" s="365"/>
      <c r="SQQ274" s="365"/>
      <c r="SQR274" s="365"/>
      <c r="SQS274" s="365"/>
      <c r="SQT274" s="365"/>
      <c r="SQU274" s="365"/>
      <c r="SQV274" s="365"/>
      <c r="SQW274" s="365"/>
      <c r="SQX274" s="365"/>
      <c r="SQY274" s="365"/>
      <c r="SQZ274" s="365"/>
      <c r="SRA274" s="365"/>
      <c r="SRB274" s="365"/>
      <c r="SRC274" s="365"/>
      <c r="SRD274" s="365"/>
      <c r="SRE274" s="365"/>
      <c r="SRF274" s="365"/>
      <c r="SRG274" s="365"/>
      <c r="SRH274" s="365"/>
      <c r="SRI274" s="365"/>
      <c r="SRJ274" s="365"/>
      <c r="SRK274" s="365"/>
      <c r="SRL274" s="365"/>
      <c r="SRM274" s="365"/>
      <c r="SRN274" s="365"/>
      <c r="SRO274" s="365"/>
      <c r="SRP274" s="365"/>
      <c r="SRQ274" s="365"/>
      <c r="SRR274" s="365"/>
      <c r="SRS274" s="365"/>
      <c r="SRT274" s="365"/>
      <c r="SRU274" s="365"/>
      <c r="SRV274" s="365"/>
      <c r="SRW274" s="365"/>
      <c r="SRX274" s="365"/>
      <c r="SRY274" s="365"/>
      <c r="SRZ274" s="365"/>
      <c r="SSA274" s="365"/>
      <c r="SSB274" s="365"/>
      <c r="SSC274" s="365"/>
      <c r="SSD274" s="365"/>
      <c r="SSE274" s="365"/>
      <c r="SSF274" s="365"/>
      <c r="SSG274" s="365"/>
      <c r="SSH274" s="365"/>
      <c r="SSI274" s="365"/>
      <c r="SSJ274" s="365"/>
      <c r="SSK274" s="365"/>
      <c r="SSL274" s="365"/>
      <c r="SSM274" s="365"/>
      <c r="SSN274" s="365"/>
      <c r="SSO274" s="365"/>
      <c r="SSP274" s="365"/>
      <c r="SSQ274" s="365"/>
      <c r="SSR274" s="365"/>
      <c r="SSS274" s="365"/>
      <c r="SST274" s="365"/>
      <c r="SSU274" s="365"/>
      <c r="SSV274" s="365"/>
      <c r="SSW274" s="365"/>
      <c r="SSX274" s="365"/>
      <c r="SSY274" s="365"/>
      <c r="SSZ274" s="365"/>
      <c r="STA274" s="365"/>
      <c r="STB274" s="365"/>
      <c r="STC274" s="365"/>
      <c r="STD274" s="365"/>
      <c r="STE274" s="365"/>
      <c r="STF274" s="365"/>
      <c r="STG274" s="365"/>
      <c r="STH274" s="365"/>
      <c r="STI274" s="365"/>
      <c r="STJ274" s="365"/>
      <c r="STK274" s="365"/>
      <c r="STL274" s="365"/>
      <c r="STM274" s="365"/>
      <c r="STN274" s="365"/>
      <c r="STO274" s="365"/>
      <c r="STP274" s="365"/>
      <c r="STQ274" s="365"/>
      <c r="STR274" s="365"/>
      <c r="STS274" s="365"/>
      <c r="STT274" s="365"/>
      <c r="STU274" s="365"/>
      <c r="STV274" s="365"/>
      <c r="STW274" s="365"/>
      <c r="STX274" s="365"/>
      <c r="STY274" s="365"/>
      <c r="STZ274" s="365"/>
      <c r="SUA274" s="365"/>
      <c r="SUB274" s="365"/>
      <c r="SUC274" s="365"/>
      <c r="SUD274" s="365"/>
      <c r="SUE274" s="365"/>
      <c r="SUF274" s="365"/>
      <c r="SUG274" s="365"/>
      <c r="SUH274" s="365"/>
      <c r="SUI274" s="365"/>
      <c r="SUJ274" s="365"/>
      <c r="SUK274" s="365"/>
      <c r="SUL274" s="365"/>
      <c r="SUM274" s="365"/>
      <c r="SUN274" s="365"/>
      <c r="SUO274" s="365"/>
      <c r="SUP274" s="365"/>
      <c r="SUQ274" s="365"/>
      <c r="SUR274" s="365"/>
      <c r="SUS274" s="365"/>
      <c r="SUT274" s="365"/>
      <c r="SUU274" s="365"/>
      <c r="SUV274" s="365"/>
      <c r="SUW274" s="365"/>
      <c r="SUX274" s="365"/>
      <c r="SUY274" s="365"/>
      <c r="SUZ274" s="365"/>
      <c r="SVA274" s="365"/>
      <c r="SVB274" s="365"/>
      <c r="SVC274" s="365"/>
      <c r="SVD274" s="365"/>
      <c r="SVE274" s="365"/>
      <c r="SVF274" s="365"/>
      <c r="SVG274" s="365"/>
      <c r="SVH274" s="365"/>
      <c r="SVI274" s="365"/>
      <c r="SVJ274" s="365"/>
      <c r="SVK274" s="365"/>
      <c r="SVL274" s="365"/>
      <c r="SVM274" s="365"/>
      <c r="SVN274" s="365"/>
      <c r="SVO274" s="365"/>
      <c r="SVP274" s="365"/>
      <c r="SVQ274" s="365"/>
      <c r="SVR274" s="365"/>
      <c r="SVS274" s="365"/>
      <c r="SVT274" s="365"/>
      <c r="SVU274" s="365"/>
      <c r="SVV274" s="365"/>
      <c r="SVW274" s="365"/>
      <c r="SVX274" s="365"/>
      <c r="SVY274" s="365"/>
      <c r="SVZ274" s="365"/>
      <c r="SWA274" s="365"/>
      <c r="SWB274" s="365"/>
      <c r="SWC274" s="365"/>
      <c r="SWD274" s="365"/>
      <c r="SWE274" s="365"/>
      <c r="SWF274" s="365"/>
      <c r="SWG274" s="365"/>
      <c r="SWH274" s="365"/>
      <c r="SWI274" s="365"/>
      <c r="SWJ274" s="365"/>
      <c r="SWK274" s="365"/>
      <c r="SWL274" s="365"/>
      <c r="SWM274" s="365"/>
      <c r="SWN274" s="365"/>
      <c r="SWO274" s="365"/>
      <c r="SWP274" s="365"/>
      <c r="SWQ274" s="365"/>
      <c r="SWR274" s="365"/>
      <c r="SWS274" s="365"/>
      <c r="SWT274" s="365"/>
      <c r="SWU274" s="365"/>
      <c r="SWV274" s="365"/>
      <c r="SWW274" s="365"/>
      <c r="SWX274" s="365"/>
      <c r="SWY274" s="365"/>
      <c r="SWZ274" s="365"/>
      <c r="SXA274" s="365"/>
      <c r="SXB274" s="365"/>
      <c r="SXC274" s="365"/>
      <c r="SXD274" s="365"/>
      <c r="SXE274" s="365"/>
      <c r="SXF274" s="365"/>
      <c r="SXG274" s="365"/>
      <c r="SXH274" s="365"/>
      <c r="SXI274" s="365"/>
      <c r="SXJ274" s="365"/>
      <c r="SXK274" s="365"/>
      <c r="SXL274" s="365"/>
      <c r="SXM274" s="365"/>
      <c r="SXN274" s="365"/>
      <c r="SXO274" s="365"/>
      <c r="SXP274" s="365"/>
      <c r="SXQ274" s="365"/>
      <c r="SXR274" s="365"/>
      <c r="SXS274" s="365"/>
      <c r="SXT274" s="365"/>
      <c r="SXU274" s="365"/>
      <c r="SXV274" s="365"/>
      <c r="SXW274" s="365"/>
      <c r="SXX274" s="365"/>
      <c r="SXY274" s="365"/>
      <c r="SXZ274" s="365"/>
      <c r="SYA274" s="365"/>
      <c r="SYB274" s="365"/>
      <c r="SYC274" s="365"/>
      <c r="SYD274" s="365"/>
      <c r="SYE274" s="365"/>
      <c r="SYF274" s="365"/>
      <c r="SYG274" s="365"/>
      <c r="SYH274" s="365"/>
      <c r="SYI274" s="365"/>
      <c r="SYJ274" s="365"/>
      <c r="SYK274" s="365"/>
      <c r="SYL274" s="365"/>
      <c r="SYM274" s="365"/>
      <c r="SYN274" s="365"/>
      <c r="SYO274" s="365"/>
      <c r="SYP274" s="365"/>
      <c r="SYQ274" s="365"/>
      <c r="SYR274" s="365"/>
      <c r="SYS274" s="365"/>
      <c r="SYT274" s="365"/>
      <c r="SYU274" s="365"/>
      <c r="SYV274" s="365"/>
      <c r="SYW274" s="365"/>
      <c r="SYX274" s="365"/>
      <c r="SYY274" s="365"/>
      <c r="SYZ274" s="365"/>
      <c r="SZA274" s="365"/>
      <c r="SZB274" s="365"/>
      <c r="SZC274" s="365"/>
      <c r="SZD274" s="365"/>
      <c r="SZE274" s="365"/>
      <c r="SZF274" s="365"/>
      <c r="SZG274" s="365"/>
      <c r="SZH274" s="365"/>
      <c r="SZI274" s="365"/>
      <c r="SZJ274" s="365"/>
      <c r="SZK274" s="365"/>
      <c r="SZL274" s="365"/>
      <c r="SZM274" s="365"/>
      <c r="SZN274" s="365"/>
      <c r="SZO274" s="365"/>
      <c r="SZP274" s="365"/>
      <c r="SZQ274" s="365"/>
      <c r="SZR274" s="365"/>
      <c r="SZS274" s="365"/>
      <c r="SZT274" s="365"/>
      <c r="SZU274" s="365"/>
      <c r="SZV274" s="365"/>
      <c r="SZW274" s="365"/>
      <c r="SZX274" s="365"/>
      <c r="SZY274" s="365"/>
      <c r="SZZ274" s="365"/>
      <c r="TAA274" s="365"/>
      <c r="TAB274" s="365"/>
      <c r="TAC274" s="365"/>
      <c r="TAD274" s="365"/>
      <c r="TAE274" s="365"/>
      <c r="TAF274" s="365"/>
      <c r="TAG274" s="365"/>
      <c r="TAH274" s="365"/>
      <c r="TAI274" s="365"/>
      <c r="TAJ274" s="365"/>
      <c r="TAK274" s="365"/>
      <c r="TAL274" s="365"/>
      <c r="TAM274" s="365"/>
      <c r="TAN274" s="365"/>
      <c r="TAO274" s="365"/>
      <c r="TAP274" s="365"/>
      <c r="TAQ274" s="365"/>
      <c r="TAR274" s="365"/>
      <c r="TAS274" s="365"/>
      <c r="TAT274" s="365"/>
      <c r="TAU274" s="365"/>
      <c r="TAV274" s="365"/>
      <c r="TAW274" s="365"/>
      <c r="TAX274" s="365"/>
      <c r="TAY274" s="365"/>
      <c r="TAZ274" s="365"/>
      <c r="TBA274" s="365"/>
      <c r="TBB274" s="365"/>
      <c r="TBC274" s="365"/>
      <c r="TBD274" s="365"/>
      <c r="TBE274" s="365"/>
      <c r="TBF274" s="365"/>
      <c r="TBG274" s="365"/>
      <c r="TBH274" s="365"/>
      <c r="TBI274" s="365"/>
      <c r="TBJ274" s="365"/>
      <c r="TBK274" s="365"/>
      <c r="TBL274" s="365"/>
      <c r="TBM274" s="365"/>
      <c r="TBN274" s="365"/>
      <c r="TBO274" s="365"/>
      <c r="TBP274" s="365"/>
      <c r="TBQ274" s="365"/>
      <c r="TBR274" s="365"/>
      <c r="TBS274" s="365"/>
      <c r="TBT274" s="365"/>
      <c r="TBU274" s="365"/>
      <c r="TBV274" s="365"/>
      <c r="TBW274" s="365"/>
      <c r="TBX274" s="365"/>
      <c r="TBY274" s="365"/>
      <c r="TBZ274" s="365"/>
      <c r="TCA274" s="365"/>
      <c r="TCB274" s="365"/>
      <c r="TCC274" s="365"/>
      <c r="TCD274" s="365"/>
      <c r="TCE274" s="365"/>
      <c r="TCF274" s="365"/>
      <c r="TCG274" s="365"/>
      <c r="TCH274" s="365"/>
      <c r="TCI274" s="365"/>
      <c r="TCJ274" s="365"/>
      <c r="TCK274" s="365"/>
      <c r="TCL274" s="365"/>
      <c r="TCM274" s="365"/>
      <c r="TCN274" s="365"/>
      <c r="TCO274" s="365"/>
      <c r="TCP274" s="365"/>
      <c r="TCQ274" s="365"/>
      <c r="TCR274" s="365"/>
      <c r="TCS274" s="365"/>
      <c r="TCT274" s="365"/>
      <c r="TCU274" s="365"/>
      <c r="TCV274" s="365"/>
      <c r="TCW274" s="365"/>
      <c r="TCX274" s="365"/>
      <c r="TCY274" s="365"/>
      <c r="TCZ274" s="365"/>
      <c r="TDA274" s="365"/>
      <c r="TDB274" s="365"/>
      <c r="TDC274" s="365"/>
      <c r="TDD274" s="365"/>
      <c r="TDE274" s="365"/>
      <c r="TDF274" s="365"/>
      <c r="TDG274" s="365"/>
      <c r="TDH274" s="365"/>
      <c r="TDI274" s="365"/>
      <c r="TDJ274" s="365"/>
      <c r="TDK274" s="365"/>
      <c r="TDL274" s="365"/>
      <c r="TDM274" s="365"/>
      <c r="TDN274" s="365"/>
      <c r="TDO274" s="365"/>
      <c r="TDP274" s="365"/>
      <c r="TDQ274" s="365"/>
      <c r="TDR274" s="365"/>
      <c r="TDS274" s="365"/>
      <c r="TDT274" s="365"/>
      <c r="TDU274" s="365"/>
      <c r="TDV274" s="365"/>
      <c r="TDW274" s="365"/>
      <c r="TDX274" s="365"/>
      <c r="TDY274" s="365"/>
      <c r="TDZ274" s="365"/>
      <c r="TEA274" s="365"/>
      <c r="TEB274" s="365"/>
      <c r="TEC274" s="365"/>
      <c r="TED274" s="365"/>
      <c r="TEE274" s="365"/>
      <c r="TEF274" s="365"/>
      <c r="TEG274" s="365"/>
      <c r="TEH274" s="365"/>
      <c r="TEI274" s="365"/>
      <c r="TEJ274" s="365"/>
      <c r="TEK274" s="365"/>
      <c r="TEL274" s="365"/>
      <c r="TEM274" s="365"/>
      <c r="TEN274" s="365"/>
      <c r="TEO274" s="365"/>
      <c r="TEP274" s="365"/>
      <c r="TEQ274" s="365"/>
      <c r="TER274" s="365"/>
      <c r="TES274" s="365"/>
      <c r="TET274" s="365"/>
      <c r="TEU274" s="365"/>
      <c r="TEV274" s="365"/>
      <c r="TEW274" s="365"/>
      <c r="TEX274" s="365"/>
      <c r="TEY274" s="365"/>
      <c r="TEZ274" s="365"/>
      <c r="TFA274" s="365"/>
      <c r="TFB274" s="365"/>
      <c r="TFC274" s="365"/>
      <c r="TFD274" s="365"/>
      <c r="TFE274" s="365"/>
      <c r="TFF274" s="365"/>
      <c r="TFG274" s="365"/>
      <c r="TFH274" s="365"/>
      <c r="TFI274" s="365"/>
      <c r="TFJ274" s="365"/>
      <c r="TFK274" s="365"/>
      <c r="TFL274" s="365"/>
      <c r="TFM274" s="365"/>
      <c r="TFN274" s="365"/>
      <c r="TFO274" s="365"/>
      <c r="TFP274" s="365"/>
      <c r="TFQ274" s="365"/>
      <c r="TFR274" s="365"/>
      <c r="TFS274" s="365"/>
      <c r="TFT274" s="365"/>
      <c r="TFU274" s="365"/>
      <c r="TFV274" s="365"/>
      <c r="TFW274" s="365"/>
      <c r="TFX274" s="365"/>
      <c r="TFY274" s="365"/>
      <c r="TFZ274" s="365"/>
      <c r="TGA274" s="365"/>
      <c r="TGB274" s="365"/>
      <c r="TGC274" s="365"/>
      <c r="TGD274" s="365"/>
      <c r="TGE274" s="365"/>
      <c r="TGF274" s="365"/>
      <c r="TGG274" s="365"/>
      <c r="TGH274" s="365"/>
      <c r="TGI274" s="365"/>
      <c r="TGJ274" s="365"/>
      <c r="TGK274" s="365"/>
      <c r="TGL274" s="365"/>
      <c r="TGM274" s="365"/>
      <c r="TGN274" s="365"/>
      <c r="TGO274" s="365"/>
      <c r="TGP274" s="365"/>
      <c r="TGQ274" s="365"/>
      <c r="TGR274" s="365"/>
      <c r="TGS274" s="365"/>
      <c r="TGT274" s="365"/>
      <c r="TGU274" s="365"/>
      <c r="TGV274" s="365"/>
      <c r="TGW274" s="365"/>
      <c r="TGX274" s="365"/>
      <c r="TGY274" s="365"/>
      <c r="TGZ274" s="365"/>
      <c r="THA274" s="365"/>
      <c r="THB274" s="365"/>
      <c r="THC274" s="365"/>
      <c r="THD274" s="365"/>
      <c r="THE274" s="365"/>
      <c r="THF274" s="365"/>
      <c r="THG274" s="365"/>
      <c r="THH274" s="365"/>
      <c r="THI274" s="365"/>
      <c r="THJ274" s="365"/>
      <c r="THK274" s="365"/>
      <c r="THL274" s="365"/>
      <c r="THM274" s="365"/>
      <c r="THN274" s="365"/>
      <c r="THO274" s="365"/>
      <c r="THP274" s="365"/>
      <c r="THQ274" s="365"/>
      <c r="THR274" s="365"/>
      <c r="THS274" s="365"/>
      <c r="THT274" s="365"/>
      <c r="THU274" s="365"/>
      <c r="THV274" s="365"/>
      <c r="THW274" s="365"/>
      <c r="THX274" s="365"/>
      <c r="THY274" s="365"/>
      <c r="THZ274" s="365"/>
      <c r="TIA274" s="365"/>
      <c r="TIB274" s="365"/>
      <c r="TIC274" s="365"/>
      <c r="TID274" s="365"/>
      <c r="TIE274" s="365"/>
      <c r="TIF274" s="365"/>
      <c r="TIG274" s="365"/>
      <c r="TIH274" s="365"/>
      <c r="TII274" s="365"/>
      <c r="TIJ274" s="365"/>
      <c r="TIK274" s="365"/>
      <c r="TIL274" s="365"/>
      <c r="TIM274" s="365"/>
      <c r="TIN274" s="365"/>
      <c r="TIO274" s="365"/>
      <c r="TIP274" s="365"/>
      <c r="TIQ274" s="365"/>
      <c r="TIR274" s="365"/>
      <c r="TIS274" s="365"/>
      <c r="TIT274" s="365"/>
      <c r="TIU274" s="365"/>
      <c r="TIV274" s="365"/>
      <c r="TIW274" s="365"/>
      <c r="TIX274" s="365"/>
      <c r="TIY274" s="365"/>
      <c r="TIZ274" s="365"/>
      <c r="TJA274" s="365"/>
      <c r="TJB274" s="365"/>
      <c r="TJC274" s="365"/>
      <c r="TJD274" s="365"/>
      <c r="TJE274" s="365"/>
      <c r="TJF274" s="365"/>
      <c r="TJG274" s="365"/>
      <c r="TJH274" s="365"/>
      <c r="TJI274" s="365"/>
      <c r="TJJ274" s="365"/>
      <c r="TJK274" s="365"/>
      <c r="TJL274" s="365"/>
      <c r="TJM274" s="365"/>
      <c r="TJN274" s="365"/>
      <c r="TJO274" s="365"/>
      <c r="TJP274" s="365"/>
      <c r="TJQ274" s="365"/>
      <c r="TJR274" s="365"/>
      <c r="TJS274" s="365"/>
      <c r="TJT274" s="365"/>
      <c r="TJU274" s="365"/>
      <c r="TJV274" s="365"/>
      <c r="TJW274" s="365"/>
      <c r="TJX274" s="365"/>
      <c r="TJY274" s="365"/>
      <c r="TJZ274" s="365"/>
      <c r="TKA274" s="365"/>
      <c r="TKB274" s="365"/>
      <c r="TKC274" s="365"/>
      <c r="TKD274" s="365"/>
      <c r="TKE274" s="365"/>
      <c r="TKF274" s="365"/>
      <c r="TKG274" s="365"/>
      <c r="TKH274" s="365"/>
      <c r="TKI274" s="365"/>
      <c r="TKJ274" s="365"/>
      <c r="TKK274" s="365"/>
      <c r="TKL274" s="365"/>
      <c r="TKM274" s="365"/>
      <c r="TKN274" s="365"/>
      <c r="TKO274" s="365"/>
      <c r="TKP274" s="365"/>
      <c r="TKQ274" s="365"/>
      <c r="TKR274" s="365"/>
      <c r="TKS274" s="365"/>
      <c r="TKT274" s="365"/>
      <c r="TKU274" s="365"/>
      <c r="TKV274" s="365"/>
      <c r="TKW274" s="365"/>
      <c r="TKX274" s="365"/>
      <c r="TKY274" s="365"/>
      <c r="TKZ274" s="365"/>
      <c r="TLA274" s="365"/>
      <c r="TLB274" s="365"/>
      <c r="TLC274" s="365"/>
      <c r="TLD274" s="365"/>
      <c r="TLE274" s="365"/>
      <c r="TLF274" s="365"/>
      <c r="TLG274" s="365"/>
      <c r="TLH274" s="365"/>
      <c r="TLI274" s="365"/>
      <c r="TLJ274" s="365"/>
      <c r="TLK274" s="365"/>
      <c r="TLL274" s="365"/>
      <c r="TLM274" s="365"/>
      <c r="TLN274" s="365"/>
      <c r="TLO274" s="365"/>
      <c r="TLP274" s="365"/>
      <c r="TLQ274" s="365"/>
      <c r="TLR274" s="365"/>
      <c r="TLS274" s="365"/>
      <c r="TLT274" s="365"/>
      <c r="TLU274" s="365"/>
      <c r="TLV274" s="365"/>
      <c r="TLW274" s="365"/>
      <c r="TLX274" s="365"/>
      <c r="TLY274" s="365"/>
      <c r="TLZ274" s="365"/>
      <c r="TMA274" s="365"/>
      <c r="TMB274" s="365"/>
      <c r="TMC274" s="365"/>
      <c r="TMD274" s="365"/>
      <c r="TME274" s="365"/>
      <c r="TMF274" s="365"/>
      <c r="TMG274" s="365"/>
      <c r="TMH274" s="365"/>
      <c r="TMI274" s="365"/>
      <c r="TMJ274" s="365"/>
      <c r="TMK274" s="365"/>
      <c r="TML274" s="365"/>
      <c r="TMM274" s="365"/>
      <c r="TMN274" s="365"/>
      <c r="TMO274" s="365"/>
      <c r="TMP274" s="365"/>
      <c r="TMQ274" s="365"/>
      <c r="TMR274" s="365"/>
      <c r="TMS274" s="365"/>
      <c r="TMT274" s="365"/>
      <c r="TMU274" s="365"/>
      <c r="TMV274" s="365"/>
      <c r="TMW274" s="365"/>
      <c r="TMX274" s="365"/>
      <c r="TMY274" s="365"/>
      <c r="TMZ274" s="365"/>
      <c r="TNA274" s="365"/>
      <c r="TNB274" s="365"/>
      <c r="TNC274" s="365"/>
      <c r="TND274" s="365"/>
      <c r="TNE274" s="365"/>
      <c r="TNF274" s="365"/>
      <c r="TNG274" s="365"/>
      <c r="TNH274" s="365"/>
      <c r="TNI274" s="365"/>
      <c r="TNJ274" s="365"/>
      <c r="TNK274" s="365"/>
      <c r="TNL274" s="365"/>
      <c r="TNM274" s="365"/>
      <c r="TNN274" s="365"/>
      <c r="TNO274" s="365"/>
      <c r="TNP274" s="365"/>
      <c r="TNQ274" s="365"/>
      <c r="TNR274" s="365"/>
      <c r="TNS274" s="365"/>
      <c r="TNT274" s="365"/>
      <c r="TNU274" s="365"/>
      <c r="TNV274" s="365"/>
      <c r="TNW274" s="365"/>
      <c r="TNX274" s="365"/>
      <c r="TNY274" s="365"/>
      <c r="TNZ274" s="365"/>
      <c r="TOA274" s="365"/>
      <c r="TOB274" s="365"/>
      <c r="TOC274" s="365"/>
      <c r="TOD274" s="365"/>
      <c r="TOE274" s="365"/>
      <c r="TOF274" s="365"/>
      <c r="TOG274" s="365"/>
      <c r="TOH274" s="365"/>
      <c r="TOI274" s="365"/>
      <c r="TOJ274" s="365"/>
      <c r="TOK274" s="365"/>
      <c r="TOL274" s="365"/>
      <c r="TOM274" s="365"/>
      <c r="TON274" s="365"/>
      <c r="TOO274" s="365"/>
      <c r="TOP274" s="365"/>
      <c r="TOQ274" s="365"/>
      <c r="TOR274" s="365"/>
      <c r="TOS274" s="365"/>
      <c r="TOT274" s="365"/>
      <c r="TOU274" s="365"/>
      <c r="TOV274" s="365"/>
      <c r="TOW274" s="365"/>
      <c r="TOX274" s="365"/>
      <c r="TOY274" s="365"/>
      <c r="TOZ274" s="365"/>
      <c r="TPA274" s="365"/>
      <c r="TPB274" s="365"/>
      <c r="TPC274" s="365"/>
      <c r="TPD274" s="365"/>
      <c r="TPE274" s="365"/>
      <c r="TPF274" s="365"/>
      <c r="TPG274" s="365"/>
      <c r="TPH274" s="365"/>
      <c r="TPI274" s="365"/>
      <c r="TPJ274" s="365"/>
      <c r="TPK274" s="365"/>
      <c r="TPL274" s="365"/>
      <c r="TPM274" s="365"/>
      <c r="TPN274" s="365"/>
      <c r="TPO274" s="365"/>
      <c r="TPP274" s="365"/>
      <c r="TPQ274" s="365"/>
      <c r="TPR274" s="365"/>
      <c r="TPS274" s="365"/>
      <c r="TPT274" s="365"/>
      <c r="TPU274" s="365"/>
      <c r="TPV274" s="365"/>
      <c r="TPW274" s="365"/>
      <c r="TPX274" s="365"/>
      <c r="TPY274" s="365"/>
      <c r="TPZ274" s="365"/>
      <c r="TQA274" s="365"/>
      <c r="TQB274" s="365"/>
      <c r="TQC274" s="365"/>
      <c r="TQD274" s="365"/>
      <c r="TQE274" s="365"/>
      <c r="TQF274" s="365"/>
      <c r="TQG274" s="365"/>
      <c r="TQH274" s="365"/>
      <c r="TQI274" s="365"/>
      <c r="TQJ274" s="365"/>
      <c r="TQK274" s="365"/>
      <c r="TQL274" s="365"/>
      <c r="TQM274" s="365"/>
      <c r="TQN274" s="365"/>
      <c r="TQO274" s="365"/>
      <c r="TQP274" s="365"/>
      <c r="TQQ274" s="365"/>
      <c r="TQR274" s="365"/>
      <c r="TQS274" s="365"/>
      <c r="TQT274" s="365"/>
      <c r="TQU274" s="365"/>
      <c r="TQV274" s="365"/>
      <c r="TQW274" s="365"/>
      <c r="TQX274" s="365"/>
      <c r="TQY274" s="365"/>
      <c r="TQZ274" s="365"/>
      <c r="TRA274" s="365"/>
      <c r="TRB274" s="365"/>
      <c r="TRC274" s="365"/>
      <c r="TRD274" s="365"/>
      <c r="TRE274" s="365"/>
      <c r="TRF274" s="365"/>
      <c r="TRG274" s="365"/>
      <c r="TRH274" s="365"/>
      <c r="TRI274" s="365"/>
      <c r="TRJ274" s="365"/>
      <c r="TRK274" s="365"/>
      <c r="TRL274" s="365"/>
      <c r="TRM274" s="365"/>
      <c r="TRN274" s="365"/>
      <c r="TRO274" s="365"/>
      <c r="TRP274" s="365"/>
      <c r="TRQ274" s="365"/>
      <c r="TRR274" s="365"/>
      <c r="TRS274" s="365"/>
      <c r="TRT274" s="365"/>
      <c r="TRU274" s="365"/>
      <c r="TRV274" s="365"/>
      <c r="TRW274" s="365"/>
      <c r="TRX274" s="365"/>
      <c r="TRY274" s="365"/>
      <c r="TRZ274" s="365"/>
      <c r="TSA274" s="365"/>
      <c r="TSB274" s="365"/>
      <c r="TSC274" s="365"/>
      <c r="TSD274" s="365"/>
      <c r="TSE274" s="365"/>
      <c r="TSF274" s="365"/>
      <c r="TSG274" s="365"/>
      <c r="TSH274" s="365"/>
      <c r="TSI274" s="365"/>
      <c r="TSJ274" s="365"/>
      <c r="TSK274" s="365"/>
      <c r="TSL274" s="365"/>
      <c r="TSM274" s="365"/>
      <c r="TSN274" s="365"/>
      <c r="TSO274" s="365"/>
      <c r="TSP274" s="365"/>
      <c r="TSQ274" s="365"/>
      <c r="TSR274" s="365"/>
      <c r="TSS274" s="365"/>
      <c r="TST274" s="365"/>
      <c r="TSU274" s="365"/>
      <c r="TSV274" s="365"/>
      <c r="TSW274" s="365"/>
      <c r="TSX274" s="365"/>
      <c r="TSY274" s="365"/>
      <c r="TSZ274" s="365"/>
      <c r="TTA274" s="365"/>
      <c r="TTB274" s="365"/>
      <c r="TTC274" s="365"/>
      <c r="TTD274" s="365"/>
      <c r="TTE274" s="365"/>
      <c r="TTF274" s="365"/>
      <c r="TTG274" s="365"/>
      <c r="TTH274" s="365"/>
      <c r="TTI274" s="365"/>
      <c r="TTJ274" s="365"/>
      <c r="TTK274" s="365"/>
      <c r="TTL274" s="365"/>
      <c r="TTM274" s="365"/>
      <c r="TTN274" s="365"/>
      <c r="TTO274" s="365"/>
      <c r="TTP274" s="365"/>
      <c r="TTQ274" s="365"/>
      <c r="TTR274" s="365"/>
      <c r="TTS274" s="365"/>
      <c r="TTT274" s="365"/>
      <c r="TTU274" s="365"/>
      <c r="TTV274" s="365"/>
      <c r="TTW274" s="365"/>
      <c r="TTX274" s="365"/>
      <c r="TTY274" s="365"/>
      <c r="TTZ274" s="365"/>
      <c r="TUA274" s="365"/>
      <c r="TUB274" s="365"/>
      <c r="TUC274" s="365"/>
      <c r="TUD274" s="365"/>
      <c r="TUE274" s="365"/>
      <c r="TUF274" s="365"/>
      <c r="TUG274" s="365"/>
      <c r="TUH274" s="365"/>
      <c r="TUI274" s="365"/>
      <c r="TUJ274" s="365"/>
      <c r="TUK274" s="365"/>
      <c r="TUL274" s="365"/>
      <c r="TUM274" s="365"/>
      <c r="TUN274" s="365"/>
      <c r="TUO274" s="365"/>
      <c r="TUP274" s="365"/>
      <c r="TUQ274" s="365"/>
      <c r="TUR274" s="365"/>
      <c r="TUS274" s="365"/>
      <c r="TUT274" s="365"/>
      <c r="TUU274" s="365"/>
      <c r="TUV274" s="365"/>
      <c r="TUW274" s="365"/>
      <c r="TUX274" s="365"/>
      <c r="TUY274" s="365"/>
      <c r="TUZ274" s="365"/>
      <c r="TVA274" s="365"/>
      <c r="TVB274" s="365"/>
      <c r="TVC274" s="365"/>
      <c r="TVD274" s="365"/>
      <c r="TVE274" s="365"/>
      <c r="TVF274" s="365"/>
      <c r="TVG274" s="365"/>
      <c r="TVH274" s="365"/>
      <c r="TVI274" s="365"/>
      <c r="TVJ274" s="365"/>
      <c r="TVK274" s="365"/>
      <c r="TVL274" s="365"/>
      <c r="TVM274" s="365"/>
      <c r="TVN274" s="365"/>
      <c r="TVO274" s="365"/>
      <c r="TVP274" s="365"/>
      <c r="TVQ274" s="365"/>
      <c r="TVR274" s="365"/>
      <c r="TVS274" s="365"/>
      <c r="TVT274" s="365"/>
      <c r="TVU274" s="365"/>
      <c r="TVV274" s="365"/>
      <c r="TVW274" s="365"/>
      <c r="TVX274" s="365"/>
      <c r="TVY274" s="365"/>
      <c r="TVZ274" s="365"/>
      <c r="TWA274" s="365"/>
      <c r="TWB274" s="365"/>
      <c r="TWC274" s="365"/>
      <c r="TWD274" s="365"/>
      <c r="TWE274" s="365"/>
      <c r="TWF274" s="365"/>
      <c r="TWG274" s="365"/>
      <c r="TWH274" s="365"/>
      <c r="TWI274" s="365"/>
      <c r="TWJ274" s="365"/>
      <c r="TWK274" s="365"/>
      <c r="TWL274" s="365"/>
      <c r="TWM274" s="365"/>
      <c r="TWN274" s="365"/>
      <c r="TWO274" s="365"/>
      <c r="TWP274" s="365"/>
      <c r="TWQ274" s="365"/>
      <c r="TWR274" s="365"/>
      <c r="TWS274" s="365"/>
      <c r="TWT274" s="365"/>
      <c r="TWU274" s="365"/>
      <c r="TWV274" s="365"/>
      <c r="TWW274" s="365"/>
      <c r="TWX274" s="365"/>
      <c r="TWY274" s="365"/>
      <c r="TWZ274" s="365"/>
      <c r="TXA274" s="365"/>
      <c r="TXB274" s="365"/>
      <c r="TXC274" s="365"/>
      <c r="TXD274" s="365"/>
      <c r="TXE274" s="365"/>
      <c r="TXF274" s="365"/>
      <c r="TXG274" s="365"/>
      <c r="TXH274" s="365"/>
      <c r="TXI274" s="365"/>
      <c r="TXJ274" s="365"/>
      <c r="TXK274" s="365"/>
      <c r="TXL274" s="365"/>
      <c r="TXM274" s="365"/>
      <c r="TXN274" s="365"/>
      <c r="TXO274" s="365"/>
      <c r="TXP274" s="365"/>
      <c r="TXQ274" s="365"/>
      <c r="TXR274" s="365"/>
      <c r="TXS274" s="365"/>
      <c r="TXT274" s="365"/>
      <c r="TXU274" s="365"/>
      <c r="TXV274" s="365"/>
      <c r="TXW274" s="365"/>
      <c r="TXX274" s="365"/>
      <c r="TXY274" s="365"/>
      <c r="TXZ274" s="365"/>
      <c r="TYA274" s="365"/>
      <c r="TYB274" s="365"/>
      <c r="TYC274" s="365"/>
      <c r="TYD274" s="365"/>
      <c r="TYE274" s="365"/>
      <c r="TYF274" s="365"/>
      <c r="TYG274" s="365"/>
      <c r="TYH274" s="365"/>
      <c r="TYI274" s="365"/>
      <c r="TYJ274" s="365"/>
      <c r="TYK274" s="365"/>
      <c r="TYL274" s="365"/>
      <c r="TYM274" s="365"/>
      <c r="TYN274" s="365"/>
      <c r="TYO274" s="365"/>
      <c r="TYP274" s="365"/>
      <c r="TYQ274" s="365"/>
      <c r="TYR274" s="365"/>
      <c r="TYS274" s="365"/>
      <c r="TYT274" s="365"/>
      <c r="TYU274" s="365"/>
      <c r="TYV274" s="365"/>
      <c r="TYW274" s="365"/>
      <c r="TYX274" s="365"/>
      <c r="TYY274" s="365"/>
      <c r="TYZ274" s="365"/>
      <c r="TZA274" s="365"/>
      <c r="TZB274" s="365"/>
      <c r="TZC274" s="365"/>
      <c r="TZD274" s="365"/>
      <c r="TZE274" s="365"/>
      <c r="TZF274" s="365"/>
      <c r="TZG274" s="365"/>
      <c r="TZH274" s="365"/>
      <c r="TZI274" s="365"/>
      <c r="TZJ274" s="365"/>
      <c r="TZK274" s="365"/>
      <c r="TZL274" s="365"/>
      <c r="TZM274" s="365"/>
      <c r="TZN274" s="365"/>
      <c r="TZO274" s="365"/>
      <c r="TZP274" s="365"/>
      <c r="TZQ274" s="365"/>
      <c r="TZR274" s="365"/>
      <c r="TZS274" s="365"/>
      <c r="TZT274" s="365"/>
      <c r="TZU274" s="365"/>
      <c r="TZV274" s="365"/>
      <c r="TZW274" s="365"/>
      <c r="TZX274" s="365"/>
      <c r="TZY274" s="365"/>
      <c r="TZZ274" s="365"/>
      <c r="UAA274" s="365"/>
      <c r="UAB274" s="365"/>
      <c r="UAC274" s="365"/>
      <c r="UAD274" s="365"/>
      <c r="UAE274" s="365"/>
      <c r="UAF274" s="365"/>
      <c r="UAG274" s="365"/>
      <c r="UAH274" s="365"/>
      <c r="UAI274" s="365"/>
      <c r="UAJ274" s="365"/>
      <c r="UAK274" s="365"/>
      <c r="UAL274" s="365"/>
      <c r="UAM274" s="365"/>
      <c r="UAN274" s="365"/>
      <c r="UAO274" s="365"/>
      <c r="UAP274" s="365"/>
      <c r="UAQ274" s="365"/>
      <c r="UAR274" s="365"/>
      <c r="UAS274" s="365"/>
      <c r="UAT274" s="365"/>
      <c r="UAU274" s="365"/>
      <c r="UAV274" s="365"/>
      <c r="UAW274" s="365"/>
      <c r="UAX274" s="365"/>
      <c r="UAY274" s="365"/>
      <c r="UAZ274" s="365"/>
      <c r="UBA274" s="365"/>
      <c r="UBB274" s="365"/>
      <c r="UBC274" s="365"/>
      <c r="UBD274" s="365"/>
      <c r="UBE274" s="365"/>
      <c r="UBF274" s="365"/>
      <c r="UBG274" s="365"/>
      <c r="UBH274" s="365"/>
      <c r="UBI274" s="365"/>
      <c r="UBJ274" s="365"/>
      <c r="UBK274" s="365"/>
      <c r="UBL274" s="365"/>
      <c r="UBM274" s="365"/>
      <c r="UBN274" s="365"/>
      <c r="UBO274" s="365"/>
      <c r="UBP274" s="365"/>
      <c r="UBQ274" s="365"/>
      <c r="UBR274" s="365"/>
      <c r="UBS274" s="365"/>
      <c r="UBT274" s="365"/>
      <c r="UBU274" s="365"/>
      <c r="UBV274" s="365"/>
      <c r="UBW274" s="365"/>
      <c r="UBX274" s="365"/>
      <c r="UBY274" s="365"/>
      <c r="UBZ274" s="365"/>
      <c r="UCA274" s="365"/>
      <c r="UCB274" s="365"/>
      <c r="UCC274" s="365"/>
      <c r="UCD274" s="365"/>
      <c r="UCE274" s="365"/>
      <c r="UCF274" s="365"/>
      <c r="UCG274" s="365"/>
      <c r="UCH274" s="365"/>
      <c r="UCI274" s="365"/>
      <c r="UCJ274" s="365"/>
      <c r="UCK274" s="365"/>
      <c r="UCL274" s="365"/>
      <c r="UCM274" s="365"/>
      <c r="UCN274" s="365"/>
      <c r="UCO274" s="365"/>
      <c r="UCP274" s="365"/>
      <c r="UCQ274" s="365"/>
      <c r="UCR274" s="365"/>
      <c r="UCS274" s="365"/>
      <c r="UCT274" s="365"/>
      <c r="UCU274" s="365"/>
      <c r="UCV274" s="365"/>
      <c r="UCW274" s="365"/>
      <c r="UCX274" s="365"/>
      <c r="UCY274" s="365"/>
      <c r="UCZ274" s="365"/>
      <c r="UDA274" s="365"/>
      <c r="UDB274" s="365"/>
      <c r="UDC274" s="365"/>
      <c r="UDD274" s="365"/>
      <c r="UDE274" s="365"/>
      <c r="UDF274" s="365"/>
      <c r="UDG274" s="365"/>
      <c r="UDH274" s="365"/>
      <c r="UDI274" s="365"/>
      <c r="UDJ274" s="365"/>
      <c r="UDK274" s="365"/>
      <c r="UDL274" s="365"/>
      <c r="UDM274" s="365"/>
      <c r="UDN274" s="365"/>
      <c r="UDO274" s="365"/>
      <c r="UDP274" s="365"/>
      <c r="UDQ274" s="365"/>
      <c r="UDR274" s="365"/>
      <c r="UDS274" s="365"/>
      <c r="UDT274" s="365"/>
      <c r="UDU274" s="365"/>
      <c r="UDV274" s="365"/>
      <c r="UDW274" s="365"/>
      <c r="UDX274" s="365"/>
      <c r="UDY274" s="365"/>
      <c r="UDZ274" s="365"/>
      <c r="UEA274" s="365"/>
      <c r="UEB274" s="365"/>
      <c r="UEC274" s="365"/>
      <c r="UED274" s="365"/>
      <c r="UEE274" s="365"/>
      <c r="UEF274" s="365"/>
      <c r="UEG274" s="365"/>
      <c r="UEH274" s="365"/>
      <c r="UEI274" s="365"/>
      <c r="UEJ274" s="365"/>
      <c r="UEK274" s="365"/>
      <c r="UEL274" s="365"/>
      <c r="UEM274" s="365"/>
      <c r="UEN274" s="365"/>
      <c r="UEO274" s="365"/>
      <c r="UEP274" s="365"/>
      <c r="UEQ274" s="365"/>
      <c r="UER274" s="365"/>
      <c r="UES274" s="365"/>
      <c r="UET274" s="365"/>
      <c r="UEU274" s="365"/>
      <c r="UEV274" s="365"/>
      <c r="UEW274" s="365"/>
      <c r="UEX274" s="365"/>
      <c r="UEY274" s="365"/>
      <c r="UEZ274" s="365"/>
      <c r="UFA274" s="365"/>
      <c r="UFB274" s="365"/>
      <c r="UFC274" s="365"/>
      <c r="UFD274" s="365"/>
      <c r="UFE274" s="365"/>
      <c r="UFF274" s="365"/>
      <c r="UFG274" s="365"/>
      <c r="UFH274" s="365"/>
      <c r="UFI274" s="365"/>
      <c r="UFJ274" s="365"/>
      <c r="UFK274" s="365"/>
      <c r="UFL274" s="365"/>
      <c r="UFM274" s="365"/>
      <c r="UFN274" s="365"/>
      <c r="UFO274" s="365"/>
      <c r="UFP274" s="365"/>
      <c r="UFQ274" s="365"/>
      <c r="UFR274" s="365"/>
      <c r="UFS274" s="365"/>
      <c r="UFT274" s="365"/>
      <c r="UFU274" s="365"/>
      <c r="UFV274" s="365"/>
      <c r="UFW274" s="365"/>
      <c r="UFX274" s="365"/>
      <c r="UFY274" s="365"/>
      <c r="UFZ274" s="365"/>
      <c r="UGA274" s="365"/>
      <c r="UGB274" s="365"/>
      <c r="UGC274" s="365"/>
      <c r="UGD274" s="365"/>
      <c r="UGE274" s="365"/>
      <c r="UGF274" s="365"/>
      <c r="UGG274" s="365"/>
      <c r="UGH274" s="365"/>
      <c r="UGI274" s="365"/>
      <c r="UGJ274" s="365"/>
      <c r="UGK274" s="365"/>
      <c r="UGL274" s="365"/>
      <c r="UGM274" s="365"/>
      <c r="UGN274" s="365"/>
      <c r="UGO274" s="365"/>
      <c r="UGP274" s="365"/>
      <c r="UGQ274" s="365"/>
      <c r="UGR274" s="365"/>
      <c r="UGS274" s="365"/>
      <c r="UGT274" s="365"/>
      <c r="UGU274" s="365"/>
      <c r="UGV274" s="365"/>
      <c r="UGW274" s="365"/>
      <c r="UGX274" s="365"/>
      <c r="UGY274" s="365"/>
      <c r="UGZ274" s="365"/>
      <c r="UHA274" s="365"/>
      <c r="UHB274" s="365"/>
      <c r="UHC274" s="365"/>
      <c r="UHD274" s="365"/>
      <c r="UHE274" s="365"/>
      <c r="UHF274" s="365"/>
      <c r="UHG274" s="365"/>
      <c r="UHH274" s="365"/>
      <c r="UHI274" s="365"/>
      <c r="UHJ274" s="365"/>
      <c r="UHK274" s="365"/>
      <c r="UHL274" s="365"/>
      <c r="UHM274" s="365"/>
      <c r="UHN274" s="365"/>
      <c r="UHO274" s="365"/>
      <c r="UHP274" s="365"/>
      <c r="UHQ274" s="365"/>
      <c r="UHR274" s="365"/>
      <c r="UHS274" s="365"/>
      <c r="UHT274" s="365"/>
      <c r="UHU274" s="365"/>
      <c r="UHV274" s="365"/>
      <c r="UHW274" s="365"/>
      <c r="UHX274" s="365"/>
      <c r="UHY274" s="365"/>
      <c r="UHZ274" s="365"/>
      <c r="UIA274" s="365"/>
      <c r="UIB274" s="365"/>
      <c r="UIC274" s="365"/>
      <c r="UID274" s="365"/>
      <c r="UIE274" s="365"/>
      <c r="UIF274" s="365"/>
      <c r="UIG274" s="365"/>
      <c r="UIH274" s="365"/>
      <c r="UII274" s="365"/>
      <c r="UIJ274" s="365"/>
      <c r="UIK274" s="365"/>
      <c r="UIL274" s="365"/>
      <c r="UIM274" s="365"/>
      <c r="UIN274" s="365"/>
      <c r="UIO274" s="365"/>
      <c r="UIP274" s="365"/>
      <c r="UIQ274" s="365"/>
      <c r="UIR274" s="365"/>
      <c r="UIS274" s="365"/>
      <c r="UIT274" s="365"/>
      <c r="UIU274" s="365"/>
      <c r="UIV274" s="365"/>
      <c r="UIW274" s="365"/>
      <c r="UIX274" s="365"/>
      <c r="UIY274" s="365"/>
      <c r="UIZ274" s="365"/>
      <c r="UJA274" s="365"/>
      <c r="UJB274" s="365"/>
      <c r="UJC274" s="365"/>
      <c r="UJD274" s="365"/>
      <c r="UJE274" s="365"/>
      <c r="UJF274" s="365"/>
      <c r="UJG274" s="365"/>
      <c r="UJH274" s="365"/>
      <c r="UJI274" s="365"/>
      <c r="UJJ274" s="365"/>
      <c r="UJK274" s="365"/>
      <c r="UJL274" s="365"/>
      <c r="UJM274" s="365"/>
      <c r="UJN274" s="365"/>
      <c r="UJO274" s="365"/>
      <c r="UJP274" s="365"/>
      <c r="UJQ274" s="365"/>
      <c r="UJR274" s="365"/>
      <c r="UJS274" s="365"/>
      <c r="UJT274" s="365"/>
      <c r="UJU274" s="365"/>
      <c r="UJV274" s="365"/>
      <c r="UJW274" s="365"/>
      <c r="UJX274" s="365"/>
      <c r="UJY274" s="365"/>
      <c r="UJZ274" s="365"/>
      <c r="UKA274" s="365"/>
      <c r="UKB274" s="365"/>
      <c r="UKC274" s="365"/>
      <c r="UKD274" s="365"/>
      <c r="UKE274" s="365"/>
      <c r="UKF274" s="365"/>
      <c r="UKG274" s="365"/>
      <c r="UKH274" s="365"/>
      <c r="UKI274" s="365"/>
      <c r="UKJ274" s="365"/>
      <c r="UKK274" s="365"/>
      <c r="UKL274" s="365"/>
      <c r="UKM274" s="365"/>
      <c r="UKN274" s="365"/>
      <c r="UKO274" s="365"/>
      <c r="UKP274" s="365"/>
      <c r="UKQ274" s="365"/>
      <c r="UKR274" s="365"/>
      <c r="UKS274" s="365"/>
      <c r="UKT274" s="365"/>
      <c r="UKU274" s="365"/>
      <c r="UKV274" s="365"/>
      <c r="UKW274" s="365"/>
      <c r="UKX274" s="365"/>
      <c r="UKY274" s="365"/>
      <c r="UKZ274" s="365"/>
      <c r="ULA274" s="365"/>
      <c r="ULB274" s="365"/>
      <c r="ULC274" s="365"/>
      <c r="ULD274" s="365"/>
      <c r="ULE274" s="365"/>
      <c r="ULF274" s="365"/>
      <c r="ULG274" s="365"/>
      <c r="ULH274" s="365"/>
      <c r="ULI274" s="365"/>
      <c r="ULJ274" s="365"/>
      <c r="ULK274" s="365"/>
      <c r="ULL274" s="365"/>
      <c r="ULM274" s="365"/>
      <c r="ULN274" s="365"/>
      <c r="ULO274" s="365"/>
      <c r="ULP274" s="365"/>
      <c r="ULQ274" s="365"/>
      <c r="ULR274" s="365"/>
      <c r="ULS274" s="365"/>
      <c r="ULT274" s="365"/>
      <c r="ULU274" s="365"/>
      <c r="ULV274" s="365"/>
      <c r="ULW274" s="365"/>
      <c r="ULX274" s="365"/>
      <c r="ULY274" s="365"/>
      <c r="ULZ274" s="365"/>
      <c r="UMA274" s="365"/>
      <c r="UMB274" s="365"/>
      <c r="UMC274" s="365"/>
      <c r="UMD274" s="365"/>
      <c r="UME274" s="365"/>
      <c r="UMF274" s="365"/>
      <c r="UMG274" s="365"/>
      <c r="UMH274" s="365"/>
      <c r="UMI274" s="365"/>
      <c r="UMJ274" s="365"/>
      <c r="UMK274" s="365"/>
      <c r="UML274" s="365"/>
      <c r="UMM274" s="365"/>
      <c r="UMN274" s="365"/>
      <c r="UMO274" s="365"/>
      <c r="UMP274" s="365"/>
      <c r="UMQ274" s="365"/>
      <c r="UMR274" s="365"/>
      <c r="UMS274" s="365"/>
      <c r="UMT274" s="365"/>
      <c r="UMU274" s="365"/>
      <c r="UMV274" s="365"/>
      <c r="UMW274" s="365"/>
      <c r="UMX274" s="365"/>
      <c r="UMY274" s="365"/>
      <c r="UMZ274" s="365"/>
      <c r="UNA274" s="365"/>
      <c r="UNB274" s="365"/>
      <c r="UNC274" s="365"/>
      <c r="UND274" s="365"/>
      <c r="UNE274" s="365"/>
      <c r="UNF274" s="365"/>
      <c r="UNG274" s="365"/>
      <c r="UNH274" s="365"/>
      <c r="UNI274" s="365"/>
      <c r="UNJ274" s="365"/>
      <c r="UNK274" s="365"/>
      <c r="UNL274" s="365"/>
      <c r="UNM274" s="365"/>
      <c r="UNN274" s="365"/>
      <c r="UNO274" s="365"/>
      <c r="UNP274" s="365"/>
      <c r="UNQ274" s="365"/>
      <c r="UNR274" s="365"/>
      <c r="UNS274" s="365"/>
      <c r="UNT274" s="365"/>
      <c r="UNU274" s="365"/>
      <c r="UNV274" s="365"/>
      <c r="UNW274" s="365"/>
      <c r="UNX274" s="365"/>
      <c r="UNY274" s="365"/>
      <c r="UNZ274" s="365"/>
      <c r="UOA274" s="365"/>
      <c r="UOB274" s="365"/>
      <c r="UOC274" s="365"/>
      <c r="UOD274" s="365"/>
      <c r="UOE274" s="365"/>
      <c r="UOF274" s="365"/>
      <c r="UOG274" s="365"/>
      <c r="UOH274" s="365"/>
      <c r="UOI274" s="365"/>
      <c r="UOJ274" s="365"/>
      <c r="UOK274" s="365"/>
      <c r="UOL274" s="365"/>
      <c r="UOM274" s="365"/>
      <c r="UON274" s="365"/>
      <c r="UOO274" s="365"/>
      <c r="UOP274" s="365"/>
      <c r="UOQ274" s="365"/>
      <c r="UOR274" s="365"/>
      <c r="UOS274" s="365"/>
      <c r="UOT274" s="365"/>
      <c r="UOU274" s="365"/>
      <c r="UOV274" s="365"/>
      <c r="UOW274" s="365"/>
      <c r="UOX274" s="365"/>
      <c r="UOY274" s="365"/>
      <c r="UOZ274" s="365"/>
      <c r="UPA274" s="365"/>
      <c r="UPB274" s="365"/>
      <c r="UPC274" s="365"/>
      <c r="UPD274" s="365"/>
      <c r="UPE274" s="365"/>
      <c r="UPF274" s="365"/>
      <c r="UPG274" s="365"/>
      <c r="UPH274" s="365"/>
      <c r="UPI274" s="365"/>
      <c r="UPJ274" s="365"/>
      <c r="UPK274" s="365"/>
      <c r="UPL274" s="365"/>
      <c r="UPM274" s="365"/>
      <c r="UPN274" s="365"/>
      <c r="UPO274" s="365"/>
      <c r="UPP274" s="365"/>
      <c r="UPQ274" s="365"/>
      <c r="UPR274" s="365"/>
      <c r="UPS274" s="365"/>
      <c r="UPT274" s="365"/>
      <c r="UPU274" s="365"/>
      <c r="UPV274" s="365"/>
      <c r="UPW274" s="365"/>
      <c r="UPX274" s="365"/>
      <c r="UPY274" s="365"/>
      <c r="UPZ274" s="365"/>
      <c r="UQA274" s="365"/>
      <c r="UQB274" s="365"/>
      <c r="UQC274" s="365"/>
      <c r="UQD274" s="365"/>
      <c r="UQE274" s="365"/>
      <c r="UQF274" s="365"/>
      <c r="UQG274" s="365"/>
      <c r="UQH274" s="365"/>
      <c r="UQI274" s="365"/>
      <c r="UQJ274" s="365"/>
      <c r="UQK274" s="365"/>
      <c r="UQL274" s="365"/>
      <c r="UQM274" s="365"/>
      <c r="UQN274" s="365"/>
      <c r="UQO274" s="365"/>
      <c r="UQP274" s="365"/>
      <c r="UQQ274" s="365"/>
      <c r="UQR274" s="365"/>
      <c r="UQS274" s="365"/>
      <c r="UQT274" s="365"/>
      <c r="UQU274" s="365"/>
      <c r="UQV274" s="365"/>
      <c r="UQW274" s="365"/>
      <c r="UQX274" s="365"/>
      <c r="UQY274" s="365"/>
      <c r="UQZ274" s="365"/>
      <c r="URA274" s="365"/>
      <c r="URB274" s="365"/>
      <c r="URC274" s="365"/>
      <c r="URD274" s="365"/>
      <c r="URE274" s="365"/>
      <c r="URF274" s="365"/>
      <c r="URG274" s="365"/>
      <c r="URH274" s="365"/>
      <c r="URI274" s="365"/>
      <c r="URJ274" s="365"/>
      <c r="URK274" s="365"/>
      <c r="URL274" s="365"/>
      <c r="URM274" s="365"/>
      <c r="URN274" s="365"/>
      <c r="URO274" s="365"/>
      <c r="URP274" s="365"/>
      <c r="URQ274" s="365"/>
      <c r="URR274" s="365"/>
      <c r="URS274" s="365"/>
      <c r="URT274" s="365"/>
      <c r="URU274" s="365"/>
      <c r="URV274" s="365"/>
      <c r="URW274" s="365"/>
      <c r="URX274" s="365"/>
      <c r="URY274" s="365"/>
      <c r="URZ274" s="365"/>
      <c r="USA274" s="365"/>
      <c r="USB274" s="365"/>
      <c r="USC274" s="365"/>
      <c r="USD274" s="365"/>
      <c r="USE274" s="365"/>
      <c r="USF274" s="365"/>
      <c r="USG274" s="365"/>
      <c r="USH274" s="365"/>
      <c r="USI274" s="365"/>
      <c r="USJ274" s="365"/>
      <c r="USK274" s="365"/>
      <c r="USL274" s="365"/>
      <c r="USM274" s="365"/>
      <c r="USN274" s="365"/>
      <c r="USO274" s="365"/>
      <c r="USP274" s="365"/>
      <c r="USQ274" s="365"/>
      <c r="USR274" s="365"/>
      <c r="USS274" s="365"/>
      <c r="UST274" s="365"/>
      <c r="USU274" s="365"/>
      <c r="USV274" s="365"/>
      <c r="USW274" s="365"/>
      <c r="USX274" s="365"/>
      <c r="USY274" s="365"/>
      <c r="USZ274" s="365"/>
      <c r="UTA274" s="365"/>
      <c r="UTB274" s="365"/>
      <c r="UTC274" s="365"/>
      <c r="UTD274" s="365"/>
      <c r="UTE274" s="365"/>
      <c r="UTF274" s="365"/>
      <c r="UTG274" s="365"/>
      <c r="UTH274" s="365"/>
      <c r="UTI274" s="365"/>
      <c r="UTJ274" s="365"/>
      <c r="UTK274" s="365"/>
      <c r="UTL274" s="365"/>
      <c r="UTM274" s="365"/>
      <c r="UTN274" s="365"/>
      <c r="UTO274" s="365"/>
      <c r="UTP274" s="365"/>
      <c r="UTQ274" s="365"/>
      <c r="UTR274" s="365"/>
      <c r="UTS274" s="365"/>
      <c r="UTT274" s="365"/>
      <c r="UTU274" s="365"/>
      <c r="UTV274" s="365"/>
      <c r="UTW274" s="365"/>
      <c r="UTX274" s="365"/>
      <c r="UTY274" s="365"/>
      <c r="UTZ274" s="365"/>
      <c r="UUA274" s="365"/>
      <c r="UUB274" s="365"/>
      <c r="UUC274" s="365"/>
      <c r="UUD274" s="365"/>
      <c r="UUE274" s="365"/>
      <c r="UUF274" s="365"/>
      <c r="UUG274" s="365"/>
      <c r="UUH274" s="365"/>
      <c r="UUI274" s="365"/>
      <c r="UUJ274" s="365"/>
      <c r="UUK274" s="365"/>
      <c r="UUL274" s="365"/>
      <c r="UUM274" s="365"/>
      <c r="UUN274" s="365"/>
      <c r="UUO274" s="365"/>
      <c r="UUP274" s="365"/>
      <c r="UUQ274" s="365"/>
      <c r="UUR274" s="365"/>
      <c r="UUS274" s="365"/>
      <c r="UUT274" s="365"/>
      <c r="UUU274" s="365"/>
      <c r="UUV274" s="365"/>
      <c r="UUW274" s="365"/>
      <c r="UUX274" s="365"/>
      <c r="UUY274" s="365"/>
      <c r="UUZ274" s="365"/>
      <c r="UVA274" s="365"/>
      <c r="UVB274" s="365"/>
      <c r="UVC274" s="365"/>
      <c r="UVD274" s="365"/>
      <c r="UVE274" s="365"/>
      <c r="UVF274" s="365"/>
      <c r="UVG274" s="365"/>
      <c r="UVH274" s="365"/>
      <c r="UVI274" s="365"/>
      <c r="UVJ274" s="365"/>
      <c r="UVK274" s="365"/>
      <c r="UVL274" s="365"/>
      <c r="UVM274" s="365"/>
      <c r="UVN274" s="365"/>
      <c r="UVO274" s="365"/>
      <c r="UVP274" s="365"/>
      <c r="UVQ274" s="365"/>
      <c r="UVR274" s="365"/>
      <c r="UVS274" s="365"/>
      <c r="UVT274" s="365"/>
      <c r="UVU274" s="365"/>
      <c r="UVV274" s="365"/>
      <c r="UVW274" s="365"/>
      <c r="UVX274" s="365"/>
      <c r="UVY274" s="365"/>
      <c r="UVZ274" s="365"/>
      <c r="UWA274" s="365"/>
      <c r="UWB274" s="365"/>
      <c r="UWC274" s="365"/>
      <c r="UWD274" s="365"/>
      <c r="UWE274" s="365"/>
      <c r="UWF274" s="365"/>
      <c r="UWG274" s="365"/>
      <c r="UWH274" s="365"/>
      <c r="UWI274" s="365"/>
      <c r="UWJ274" s="365"/>
      <c r="UWK274" s="365"/>
      <c r="UWL274" s="365"/>
      <c r="UWM274" s="365"/>
      <c r="UWN274" s="365"/>
      <c r="UWO274" s="365"/>
      <c r="UWP274" s="365"/>
      <c r="UWQ274" s="365"/>
      <c r="UWR274" s="365"/>
      <c r="UWS274" s="365"/>
      <c r="UWT274" s="365"/>
      <c r="UWU274" s="365"/>
      <c r="UWV274" s="365"/>
      <c r="UWW274" s="365"/>
      <c r="UWX274" s="365"/>
      <c r="UWY274" s="365"/>
      <c r="UWZ274" s="365"/>
      <c r="UXA274" s="365"/>
      <c r="UXB274" s="365"/>
      <c r="UXC274" s="365"/>
      <c r="UXD274" s="365"/>
      <c r="UXE274" s="365"/>
      <c r="UXF274" s="365"/>
      <c r="UXG274" s="365"/>
      <c r="UXH274" s="365"/>
      <c r="UXI274" s="365"/>
      <c r="UXJ274" s="365"/>
      <c r="UXK274" s="365"/>
      <c r="UXL274" s="365"/>
      <c r="UXM274" s="365"/>
      <c r="UXN274" s="365"/>
      <c r="UXO274" s="365"/>
      <c r="UXP274" s="365"/>
      <c r="UXQ274" s="365"/>
      <c r="UXR274" s="365"/>
      <c r="UXS274" s="365"/>
      <c r="UXT274" s="365"/>
      <c r="UXU274" s="365"/>
      <c r="UXV274" s="365"/>
      <c r="UXW274" s="365"/>
      <c r="UXX274" s="365"/>
      <c r="UXY274" s="365"/>
      <c r="UXZ274" s="365"/>
      <c r="UYA274" s="365"/>
      <c r="UYB274" s="365"/>
      <c r="UYC274" s="365"/>
      <c r="UYD274" s="365"/>
      <c r="UYE274" s="365"/>
      <c r="UYF274" s="365"/>
      <c r="UYG274" s="365"/>
      <c r="UYH274" s="365"/>
      <c r="UYI274" s="365"/>
      <c r="UYJ274" s="365"/>
      <c r="UYK274" s="365"/>
      <c r="UYL274" s="365"/>
      <c r="UYM274" s="365"/>
      <c r="UYN274" s="365"/>
      <c r="UYO274" s="365"/>
      <c r="UYP274" s="365"/>
      <c r="UYQ274" s="365"/>
      <c r="UYR274" s="365"/>
      <c r="UYS274" s="365"/>
      <c r="UYT274" s="365"/>
      <c r="UYU274" s="365"/>
      <c r="UYV274" s="365"/>
      <c r="UYW274" s="365"/>
      <c r="UYX274" s="365"/>
      <c r="UYY274" s="365"/>
      <c r="UYZ274" s="365"/>
      <c r="UZA274" s="365"/>
      <c r="UZB274" s="365"/>
      <c r="UZC274" s="365"/>
      <c r="UZD274" s="365"/>
      <c r="UZE274" s="365"/>
      <c r="UZF274" s="365"/>
      <c r="UZG274" s="365"/>
      <c r="UZH274" s="365"/>
      <c r="UZI274" s="365"/>
      <c r="UZJ274" s="365"/>
      <c r="UZK274" s="365"/>
      <c r="UZL274" s="365"/>
      <c r="UZM274" s="365"/>
      <c r="UZN274" s="365"/>
      <c r="UZO274" s="365"/>
      <c r="UZP274" s="365"/>
      <c r="UZQ274" s="365"/>
      <c r="UZR274" s="365"/>
      <c r="UZS274" s="365"/>
      <c r="UZT274" s="365"/>
      <c r="UZU274" s="365"/>
      <c r="UZV274" s="365"/>
      <c r="UZW274" s="365"/>
      <c r="UZX274" s="365"/>
      <c r="UZY274" s="365"/>
      <c r="UZZ274" s="365"/>
      <c r="VAA274" s="365"/>
      <c r="VAB274" s="365"/>
      <c r="VAC274" s="365"/>
      <c r="VAD274" s="365"/>
      <c r="VAE274" s="365"/>
      <c r="VAF274" s="365"/>
      <c r="VAG274" s="365"/>
      <c r="VAH274" s="365"/>
      <c r="VAI274" s="365"/>
      <c r="VAJ274" s="365"/>
      <c r="VAK274" s="365"/>
      <c r="VAL274" s="365"/>
      <c r="VAM274" s="365"/>
      <c r="VAN274" s="365"/>
      <c r="VAO274" s="365"/>
      <c r="VAP274" s="365"/>
      <c r="VAQ274" s="365"/>
      <c r="VAR274" s="365"/>
      <c r="VAS274" s="365"/>
      <c r="VAT274" s="365"/>
      <c r="VAU274" s="365"/>
      <c r="VAV274" s="365"/>
      <c r="VAW274" s="365"/>
      <c r="VAX274" s="365"/>
      <c r="VAY274" s="365"/>
      <c r="VAZ274" s="365"/>
      <c r="VBA274" s="365"/>
      <c r="VBB274" s="365"/>
      <c r="VBC274" s="365"/>
      <c r="VBD274" s="365"/>
      <c r="VBE274" s="365"/>
      <c r="VBF274" s="365"/>
      <c r="VBG274" s="365"/>
      <c r="VBH274" s="365"/>
      <c r="VBI274" s="365"/>
      <c r="VBJ274" s="365"/>
      <c r="VBK274" s="365"/>
      <c r="VBL274" s="365"/>
      <c r="VBM274" s="365"/>
      <c r="VBN274" s="365"/>
      <c r="VBO274" s="365"/>
      <c r="VBP274" s="365"/>
      <c r="VBQ274" s="365"/>
      <c r="VBR274" s="365"/>
      <c r="VBS274" s="365"/>
      <c r="VBT274" s="365"/>
      <c r="VBU274" s="365"/>
      <c r="VBV274" s="365"/>
      <c r="VBW274" s="365"/>
      <c r="VBX274" s="365"/>
      <c r="VBY274" s="365"/>
      <c r="VBZ274" s="365"/>
      <c r="VCA274" s="365"/>
      <c r="VCB274" s="365"/>
      <c r="VCC274" s="365"/>
      <c r="VCD274" s="365"/>
      <c r="VCE274" s="365"/>
      <c r="VCF274" s="365"/>
      <c r="VCG274" s="365"/>
      <c r="VCH274" s="365"/>
      <c r="VCI274" s="365"/>
      <c r="VCJ274" s="365"/>
      <c r="VCK274" s="365"/>
      <c r="VCL274" s="365"/>
      <c r="VCM274" s="365"/>
      <c r="VCN274" s="365"/>
      <c r="VCO274" s="365"/>
      <c r="VCP274" s="365"/>
      <c r="VCQ274" s="365"/>
      <c r="VCR274" s="365"/>
      <c r="VCS274" s="365"/>
      <c r="VCT274" s="365"/>
      <c r="VCU274" s="365"/>
      <c r="VCV274" s="365"/>
      <c r="VCW274" s="365"/>
      <c r="VCX274" s="365"/>
      <c r="VCY274" s="365"/>
      <c r="VCZ274" s="365"/>
      <c r="VDA274" s="365"/>
      <c r="VDB274" s="365"/>
      <c r="VDC274" s="365"/>
      <c r="VDD274" s="365"/>
      <c r="VDE274" s="365"/>
      <c r="VDF274" s="365"/>
      <c r="VDG274" s="365"/>
      <c r="VDH274" s="365"/>
      <c r="VDI274" s="365"/>
      <c r="VDJ274" s="365"/>
      <c r="VDK274" s="365"/>
      <c r="VDL274" s="365"/>
      <c r="VDM274" s="365"/>
      <c r="VDN274" s="365"/>
      <c r="VDO274" s="365"/>
      <c r="VDP274" s="365"/>
      <c r="VDQ274" s="365"/>
      <c r="VDR274" s="365"/>
      <c r="VDS274" s="365"/>
      <c r="VDT274" s="365"/>
      <c r="VDU274" s="365"/>
      <c r="VDV274" s="365"/>
      <c r="VDW274" s="365"/>
      <c r="VDX274" s="365"/>
      <c r="VDY274" s="365"/>
      <c r="VDZ274" s="365"/>
      <c r="VEA274" s="365"/>
      <c r="VEB274" s="365"/>
      <c r="VEC274" s="365"/>
      <c r="VED274" s="365"/>
      <c r="VEE274" s="365"/>
      <c r="VEF274" s="365"/>
      <c r="VEG274" s="365"/>
      <c r="VEH274" s="365"/>
      <c r="VEI274" s="365"/>
      <c r="VEJ274" s="365"/>
      <c r="VEK274" s="365"/>
      <c r="VEL274" s="365"/>
      <c r="VEM274" s="365"/>
      <c r="VEN274" s="365"/>
      <c r="VEO274" s="365"/>
      <c r="VEP274" s="365"/>
      <c r="VEQ274" s="365"/>
      <c r="VER274" s="365"/>
      <c r="VES274" s="365"/>
      <c r="VET274" s="365"/>
      <c r="VEU274" s="365"/>
      <c r="VEV274" s="365"/>
      <c r="VEW274" s="365"/>
      <c r="VEX274" s="365"/>
      <c r="VEY274" s="365"/>
      <c r="VEZ274" s="365"/>
      <c r="VFA274" s="365"/>
      <c r="VFB274" s="365"/>
      <c r="VFC274" s="365"/>
      <c r="VFD274" s="365"/>
      <c r="VFE274" s="365"/>
      <c r="VFF274" s="365"/>
      <c r="VFG274" s="365"/>
      <c r="VFH274" s="365"/>
      <c r="VFI274" s="365"/>
      <c r="VFJ274" s="365"/>
      <c r="VFK274" s="365"/>
      <c r="VFL274" s="365"/>
      <c r="VFM274" s="365"/>
      <c r="VFN274" s="365"/>
      <c r="VFO274" s="365"/>
      <c r="VFP274" s="365"/>
      <c r="VFQ274" s="365"/>
      <c r="VFR274" s="365"/>
      <c r="VFS274" s="365"/>
      <c r="VFT274" s="365"/>
      <c r="VFU274" s="365"/>
      <c r="VFV274" s="365"/>
      <c r="VFW274" s="365"/>
      <c r="VFX274" s="365"/>
      <c r="VFY274" s="365"/>
      <c r="VFZ274" s="365"/>
      <c r="VGA274" s="365"/>
      <c r="VGB274" s="365"/>
      <c r="VGC274" s="365"/>
      <c r="VGD274" s="365"/>
      <c r="VGE274" s="365"/>
      <c r="VGF274" s="365"/>
      <c r="VGG274" s="365"/>
      <c r="VGH274" s="365"/>
      <c r="VGI274" s="365"/>
      <c r="VGJ274" s="365"/>
      <c r="VGK274" s="365"/>
      <c r="VGL274" s="365"/>
      <c r="VGM274" s="365"/>
      <c r="VGN274" s="365"/>
      <c r="VGO274" s="365"/>
      <c r="VGP274" s="365"/>
      <c r="VGQ274" s="365"/>
      <c r="VGR274" s="365"/>
      <c r="VGS274" s="365"/>
      <c r="VGT274" s="365"/>
      <c r="VGU274" s="365"/>
      <c r="VGV274" s="365"/>
      <c r="VGW274" s="365"/>
      <c r="VGX274" s="365"/>
      <c r="VGY274" s="365"/>
      <c r="VGZ274" s="365"/>
      <c r="VHA274" s="365"/>
      <c r="VHB274" s="365"/>
      <c r="VHC274" s="365"/>
      <c r="VHD274" s="365"/>
      <c r="VHE274" s="365"/>
      <c r="VHF274" s="365"/>
      <c r="VHG274" s="365"/>
      <c r="VHH274" s="365"/>
      <c r="VHI274" s="365"/>
      <c r="VHJ274" s="365"/>
      <c r="VHK274" s="365"/>
      <c r="VHL274" s="365"/>
      <c r="VHM274" s="365"/>
      <c r="VHN274" s="365"/>
      <c r="VHO274" s="365"/>
      <c r="VHP274" s="365"/>
      <c r="VHQ274" s="365"/>
      <c r="VHR274" s="365"/>
      <c r="VHS274" s="365"/>
      <c r="VHT274" s="365"/>
      <c r="VHU274" s="365"/>
      <c r="VHV274" s="365"/>
      <c r="VHW274" s="365"/>
      <c r="VHX274" s="365"/>
      <c r="VHY274" s="365"/>
      <c r="VHZ274" s="365"/>
      <c r="VIA274" s="365"/>
      <c r="VIB274" s="365"/>
      <c r="VIC274" s="365"/>
      <c r="VID274" s="365"/>
      <c r="VIE274" s="365"/>
      <c r="VIF274" s="365"/>
      <c r="VIG274" s="365"/>
      <c r="VIH274" s="365"/>
      <c r="VII274" s="365"/>
      <c r="VIJ274" s="365"/>
      <c r="VIK274" s="365"/>
      <c r="VIL274" s="365"/>
      <c r="VIM274" s="365"/>
      <c r="VIN274" s="365"/>
      <c r="VIO274" s="365"/>
      <c r="VIP274" s="365"/>
      <c r="VIQ274" s="365"/>
      <c r="VIR274" s="365"/>
      <c r="VIS274" s="365"/>
      <c r="VIT274" s="365"/>
      <c r="VIU274" s="365"/>
      <c r="VIV274" s="365"/>
      <c r="VIW274" s="365"/>
      <c r="VIX274" s="365"/>
      <c r="VIY274" s="365"/>
      <c r="VIZ274" s="365"/>
      <c r="VJA274" s="365"/>
      <c r="VJB274" s="365"/>
      <c r="VJC274" s="365"/>
      <c r="VJD274" s="365"/>
      <c r="VJE274" s="365"/>
      <c r="VJF274" s="365"/>
      <c r="VJG274" s="365"/>
      <c r="VJH274" s="365"/>
      <c r="VJI274" s="365"/>
      <c r="VJJ274" s="365"/>
      <c r="VJK274" s="365"/>
      <c r="VJL274" s="365"/>
      <c r="VJM274" s="365"/>
      <c r="VJN274" s="365"/>
      <c r="VJO274" s="365"/>
      <c r="VJP274" s="365"/>
      <c r="VJQ274" s="365"/>
      <c r="VJR274" s="365"/>
      <c r="VJS274" s="365"/>
      <c r="VJT274" s="365"/>
      <c r="VJU274" s="365"/>
      <c r="VJV274" s="365"/>
      <c r="VJW274" s="365"/>
      <c r="VJX274" s="365"/>
      <c r="VJY274" s="365"/>
      <c r="VJZ274" s="365"/>
      <c r="VKA274" s="365"/>
      <c r="VKB274" s="365"/>
      <c r="VKC274" s="365"/>
      <c r="VKD274" s="365"/>
      <c r="VKE274" s="365"/>
      <c r="VKF274" s="365"/>
      <c r="VKG274" s="365"/>
      <c r="VKH274" s="365"/>
      <c r="VKI274" s="365"/>
      <c r="VKJ274" s="365"/>
      <c r="VKK274" s="365"/>
      <c r="VKL274" s="365"/>
      <c r="VKM274" s="365"/>
      <c r="VKN274" s="365"/>
      <c r="VKO274" s="365"/>
      <c r="VKP274" s="365"/>
      <c r="VKQ274" s="365"/>
      <c r="VKR274" s="365"/>
      <c r="VKS274" s="365"/>
      <c r="VKT274" s="365"/>
      <c r="VKU274" s="365"/>
      <c r="VKV274" s="365"/>
      <c r="VKW274" s="365"/>
      <c r="VKX274" s="365"/>
      <c r="VKY274" s="365"/>
      <c r="VKZ274" s="365"/>
      <c r="VLA274" s="365"/>
      <c r="VLB274" s="365"/>
      <c r="VLC274" s="365"/>
      <c r="VLD274" s="365"/>
      <c r="VLE274" s="365"/>
      <c r="VLF274" s="365"/>
      <c r="VLG274" s="365"/>
      <c r="VLH274" s="365"/>
      <c r="VLI274" s="365"/>
      <c r="VLJ274" s="365"/>
      <c r="VLK274" s="365"/>
      <c r="VLL274" s="365"/>
      <c r="VLM274" s="365"/>
      <c r="VLN274" s="365"/>
      <c r="VLO274" s="365"/>
      <c r="VLP274" s="365"/>
      <c r="VLQ274" s="365"/>
      <c r="VLR274" s="365"/>
      <c r="VLS274" s="365"/>
      <c r="VLT274" s="365"/>
      <c r="VLU274" s="365"/>
      <c r="VLV274" s="365"/>
      <c r="VLW274" s="365"/>
      <c r="VLX274" s="365"/>
      <c r="VLY274" s="365"/>
      <c r="VLZ274" s="365"/>
      <c r="VMA274" s="365"/>
      <c r="VMB274" s="365"/>
      <c r="VMC274" s="365"/>
      <c r="VMD274" s="365"/>
      <c r="VME274" s="365"/>
      <c r="VMF274" s="365"/>
      <c r="VMG274" s="365"/>
      <c r="VMH274" s="365"/>
      <c r="VMI274" s="365"/>
      <c r="VMJ274" s="365"/>
      <c r="VMK274" s="365"/>
      <c r="VML274" s="365"/>
      <c r="VMM274" s="365"/>
      <c r="VMN274" s="365"/>
      <c r="VMO274" s="365"/>
      <c r="VMP274" s="365"/>
      <c r="VMQ274" s="365"/>
      <c r="VMR274" s="365"/>
      <c r="VMS274" s="365"/>
      <c r="VMT274" s="365"/>
      <c r="VMU274" s="365"/>
      <c r="VMV274" s="365"/>
      <c r="VMW274" s="365"/>
      <c r="VMX274" s="365"/>
      <c r="VMY274" s="365"/>
      <c r="VMZ274" s="365"/>
      <c r="VNA274" s="365"/>
      <c r="VNB274" s="365"/>
      <c r="VNC274" s="365"/>
      <c r="VND274" s="365"/>
      <c r="VNE274" s="365"/>
      <c r="VNF274" s="365"/>
      <c r="VNG274" s="365"/>
      <c r="VNH274" s="365"/>
      <c r="VNI274" s="365"/>
      <c r="VNJ274" s="365"/>
      <c r="VNK274" s="365"/>
      <c r="VNL274" s="365"/>
      <c r="VNM274" s="365"/>
      <c r="VNN274" s="365"/>
      <c r="VNO274" s="365"/>
      <c r="VNP274" s="365"/>
      <c r="VNQ274" s="365"/>
      <c r="VNR274" s="365"/>
      <c r="VNS274" s="365"/>
      <c r="VNT274" s="365"/>
      <c r="VNU274" s="365"/>
      <c r="VNV274" s="365"/>
      <c r="VNW274" s="365"/>
      <c r="VNX274" s="365"/>
      <c r="VNY274" s="365"/>
      <c r="VNZ274" s="365"/>
      <c r="VOA274" s="365"/>
      <c r="VOB274" s="365"/>
      <c r="VOC274" s="365"/>
      <c r="VOD274" s="365"/>
      <c r="VOE274" s="365"/>
      <c r="VOF274" s="365"/>
      <c r="VOG274" s="365"/>
      <c r="VOH274" s="365"/>
      <c r="VOI274" s="365"/>
      <c r="VOJ274" s="365"/>
      <c r="VOK274" s="365"/>
      <c r="VOL274" s="365"/>
      <c r="VOM274" s="365"/>
      <c r="VON274" s="365"/>
      <c r="VOO274" s="365"/>
      <c r="VOP274" s="365"/>
      <c r="VOQ274" s="365"/>
      <c r="VOR274" s="365"/>
      <c r="VOS274" s="365"/>
      <c r="VOT274" s="365"/>
      <c r="VOU274" s="365"/>
      <c r="VOV274" s="365"/>
      <c r="VOW274" s="365"/>
      <c r="VOX274" s="365"/>
      <c r="VOY274" s="365"/>
      <c r="VOZ274" s="365"/>
      <c r="VPA274" s="365"/>
      <c r="VPB274" s="365"/>
      <c r="VPC274" s="365"/>
      <c r="VPD274" s="365"/>
      <c r="VPE274" s="365"/>
      <c r="VPF274" s="365"/>
      <c r="VPG274" s="365"/>
      <c r="VPH274" s="365"/>
      <c r="VPI274" s="365"/>
      <c r="VPJ274" s="365"/>
      <c r="VPK274" s="365"/>
      <c r="VPL274" s="365"/>
      <c r="VPM274" s="365"/>
      <c r="VPN274" s="365"/>
      <c r="VPO274" s="365"/>
      <c r="VPP274" s="365"/>
      <c r="VPQ274" s="365"/>
      <c r="VPR274" s="365"/>
      <c r="VPS274" s="365"/>
      <c r="VPT274" s="365"/>
      <c r="VPU274" s="365"/>
      <c r="VPV274" s="365"/>
      <c r="VPW274" s="365"/>
      <c r="VPX274" s="365"/>
      <c r="VPY274" s="365"/>
      <c r="VPZ274" s="365"/>
      <c r="VQA274" s="365"/>
      <c r="VQB274" s="365"/>
      <c r="VQC274" s="365"/>
      <c r="VQD274" s="365"/>
      <c r="VQE274" s="365"/>
      <c r="VQF274" s="365"/>
      <c r="VQG274" s="365"/>
      <c r="VQH274" s="365"/>
      <c r="VQI274" s="365"/>
      <c r="VQJ274" s="365"/>
      <c r="VQK274" s="365"/>
      <c r="VQL274" s="365"/>
      <c r="VQM274" s="365"/>
      <c r="VQN274" s="365"/>
      <c r="VQO274" s="365"/>
      <c r="VQP274" s="365"/>
      <c r="VQQ274" s="365"/>
      <c r="VQR274" s="365"/>
      <c r="VQS274" s="365"/>
      <c r="VQT274" s="365"/>
      <c r="VQU274" s="365"/>
      <c r="VQV274" s="365"/>
      <c r="VQW274" s="365"/>
      <c r="VQX274" s="365"/>
      <c r="VQY274" s="365"/>
      <c r="VQZ274" s="365"/>
      <c r="VRA274" s="365"/>
      <c r="VRB274" s="365"/>
      <c r="VRC274" s="365"/>
      <c r="VRD274" s="365"/>
      <c r="VRE274" s="365"/>
      <c r="VRF274" s="365"/>
      <c r="VRG274" s="365"/>
      <c r="VRH274" s="365"/>
      <c r="VRI274" s="365"/>
      <c r="VRJ274" s="365"/>
      <c r="VRK274" s="365"/>
      <c r="VRL274" s="365"/>
      <c r="VRM274" s="365"/>
      <c r="VRN274" s="365"/>
      <c r="VRO274" s="365"/>
      <c r="VRP274" s="365"/>
      <c r="VRQ274" s="365"/>
      <c r="VRR274" s="365"/>
      <c r="VRS274" s="365"/>
      <c r="VRT274" s="365"/>
      <c r="VRU274" s="365"/>
      <c r="VRV274" s="365"/>
      <c r="VRW274" s="365"/>
      <c r="VRX274" s="365"/>
      <c r="VRY274" s="365"/>
      <c r="VRZ274" s="365"/>
      <c r="VSA274" s="365"/>
      <c r="VSB274" s="365"/>
      <c r="VSC274" s="365"/>
      <c r="VSD274" s="365"/>
      <c r="VSE274" s="365"/>
      <c r="VSF274" s="365"/>
      <c r="VSG274" s="365"/>
      <c r="VSH274" s="365"/>
      <c r="VSI274" s="365"/>
      <c r="VSJ274" s="365"/>
      <c r="VSK274" s="365"/>
      <c r="VSL274" s="365"/>
      <c r="VSM274" s="365"/>
      <c r="VSN274" s="365"/>
      <c r="VSO274" s="365"/>
      <c r="VSP274" s="365"/>
      <c r="VSQ274" s="365"/>
      <c r="VSR274" s="365"/>
      <c r="VSS274" s="365"/>
      <c r="VST274" s="365"/>
      <c r="VSU274" s="365"/>
      <c r="VSV274" s="365"/>
      <c r="VSW274" s="365"/>
      <c r="VSX274" s="365"/>
      <c r="VSY274" s="365"/>
      <c r="VSZ274" s="365"/>
      <c r="VTA274" s="365"/>
      <c r="VTB274" s="365"/>
      <c r="VTC274" s="365"/>
      <c r="VTD274" s="365"/>
      <c r="VTE274" s="365"/>
      <c r="VTF274" s="365"/>
      <c r="VTG274" s="365"/>
      <c r="VTH274" s="365"/>
      <c r="VTI274" s="365"/>
      <c r="VTJ274" s="365"/>
      <c r="VTK274" s="365"/>
      <c r="VTL274" s="365"/>
      <c r="VTM274" s="365"/>
      <c r="VTN274" s="365"/>
      <c r="VTO274" s="365"/>
      <c r="VTP274" s="365"/>
      <c r="VTQ274" s="365"/>
      <c r="VTR274" s="365"/>
      <c r="VTS274" s="365"/>
      <c r="VTT274" s="365"/>
      <c r="VTU274" s="365"/>
      <c r="VTV274" s="365"/>
      <c r="VTW274" s="365"/>
      <c r="VTX274" s="365"/>
      <c r="VTY274" s="365"/>
      <c r="VTZ274" s="365"/>
      <c r="VUA274" s="365"/>
      <c r="VUB274" s="365"/>
      <c r="VUC274" s="365"/>
      <c r="VUD274" s="365"/>
      <c r="VUE274" s="365"/>
      <c r="VUF274" s="365"/>
      <c r="VUG274" s="365"/>
      <c r="VUH274" s="365"/>
      <c r="VUI274" s="365"/>
      <c r="VUJ274" s="365"/>
      <c r="VUK274" s="365"/>
      <c r="VUL274" s="365"/>
      <c r="VUM274" s="365"/>
      <c r="VUN274" s="365"/>
      <c r="VUO274" s="365"/>
      <c r="VUP274" s="365"/>
      <c r="VUQ274" s="365"/>
      <c r="VUR274" s="365"/>
      <c r="VUS274" s="365"/>
      <c r="VUT274" s="365"/>
      <c r="VUU274" s="365"/>
      <c r="VUV274" s="365"/>
      <c r="VUW274" s="365"/>
      <c r="VUX274" s="365"/>
      <c r="VUY274" s="365"/>
      <c r="VUZ274" s="365"/>
      <c r="VVA274" s="365"/>
      <c r="VVB274" s="365"/>
      <c r="VVC274" s="365"/>
      <c r="VVD274" s="365"/>
      <c r="VVE274" s="365"/>
      <c r="VVF274" s="365"/>
      <c r="VVG274" s="365"/>
      <c r="VVH274" s="365"/>
      <c r="VVI274" s="365"/>
      <c r="VVJ274" s="365"/>
      <c r="VVK274" s="365"/>
      <c r="VVL274" s="365"/>
      <c r="VVM274" s="365"/>
      <c r="VVN274" s="365"/>
      <c r="VVO274" s="365"/>
      <c r="VVP274" s="365"/>
      <c r="VVQ274" s="365"/>
      <c r="VVR274" s="365"/>
      <c r="VVS274" s="365"/>
      <c r="VVT274" s="365"/>
      <c r="VVU274" s="365"/>
      <c r="VVV274" s="365"/>
      <c r="VVW274" s="365"/>
      <c r="VVX274" s="365"/>
      <c r="VVY274" s="365"/>
      <c r="VVZ274" s="365"/>
      <c r="VWA274" s="365"/>
      <c r="VWB274" s="365"/>
      <c r="VWC274" s="365"/>
      <c r="VWD274" s="365"/>
      <c r="VWE274" s="365"/>
      <c r="VWF274" s="365"/>
      <c r="VWG274" s="365"/>
      <c r="VWH274" s="365"/>
      <c r="VWI274" s="365"/>
      <c r="VWJ274" s="365"/>
      <c r="VWK274" s="365"/>
      <c r="VWL274" s="365"/>
      <c r="VWM274" s="365"/>
      <c r="VWN274" s="365"/>
      <c r="VWO274" s="365"/>
      <c r="VWP274" s="365"/>
      <c r="VWQ274" s="365"/>
      <c r="VWR274" s="365"/>
      <c r="VWS274" s="365"/>
      <c r="VWT274" s="365"/>
      <c r="VWU274" s="365"/>
      <c r="VWV274" s="365"/>
      <c r="VWW274" s="365"/>
      <c r="VWX274" s="365"/>
      <c r="VWY274" s="365"/>
      <c r="VWZ274" s="365"/>
      <c r="VXA274" s="365"/>
      <c r="VXB274" s="365"/>
      <c r="VXC274" s="365"/>
      <c r="VXD274" s="365"/>
      <c r="VXE274" s="365"/>
      <c r="VXF274" s="365"/>
      <c r="VXG274" s="365"/>
      <c r="VXH274" s="365"/>
      <c r="VXI274" s="365"/>
      <c r="VXJ274" s="365"/>
      <c r="VXK274" s="365"/>
      <c r="VXL274" s="365"/>
      <c r="VXM274" s="365"/>
      <c r="VXN274" s="365"/>
      <c r="VXO274" s="365"/>
      <c r="VXP274" s="365"/>
      <c r="VXQ274" s="365"/>
      <c r="VXR274" s="365"/>
      <c r="VXS274" s="365"/>
      <c r="VXT274" s="365"/>
      <c r="VXU274" s="365"/>
      <c r="VXV274" s="365"/>
      <c r="VXW274" s="365"/>
      <c r="VXX274" s="365"/>
      <c r="VXY274" s="365"/>
      <c r="VXZ274" s="365"/>
      <c r="VYA274" s="365"/>
      <c r="VYB274" s="365"/>
      <c r="VYC274" s="365"/>
      <c r="VYD274" s="365"/>
      <c r="VYE274" s="365"/>
      <c r="VYF274" s="365"/>
      <c r="VYG274" s="365"/>
      <c r="VYH274" s="365"/>
      <c r="VYI274" s="365"/>
      <c r="VYJ274" s="365"/>
      <c r="VYK274" s="365"/>
      <c r="VYL274" s="365"/>
      <c r="VYM274" s="365"/>
      <c r="VYN274" s="365"/>
      <c r="VYO274" s="365"/>
      <c r="VYP274" s="365"/>
      <c r="VYQ274" s="365"/>
      <c r="VYR274" s="365"/>
      <c r="VYS274" s="365"/>
      <c r="VYT274" s="365"/>
      <c r="VYU274" s="365"/>
      <c r="VYV274" s="365"/>
      <c r="VYW274" s="365"/>
      <c r="VYX274" s="365"/>
      <c r="VYY274" s="365"/>
      <c r="VYZ274" s="365"/>
      <c r="VZA274" s="365"/>
      <c r="VZB274" s="365"/>
      <c r="VZC274" s="365"/>
      <c r="VZD274" s="365"/>
      <c r="VZE274" s="365"/>
      <c r="VZF274" s="365"/>
      <c r="VZG274" s="365"/>
      <c r="VZH274" s="365"/>
      <c r="VZI274" s="365"/>
      <c r="VZJ274" s="365"/>
      <c r="VZK274" s="365"/>
      <c r="VZL274" s="365"/>
      <c r="VZM274" s="365"/>
      <c r="VZN274" s="365"/>
      <c r="VZO274" s="365"/>
      <c r="VZP274" s="365"/>
      <c r="VZQ274" s="365"/>
      <c r="VZR274" s="365"/>
      <c r="VZS274" s="365"/>
      <c r="VZT274" s="365"/>
      <c r="VZU274" s="365"/>
      <c r="VZV274" s="365"/>
      <c r="VZW274" s="365"/>
      <c r="VZX274" s="365"/>
      <c r="VZY274" s="365"/>
      <c r="VZZ274" s="365"/>
      <c r="WAA274" s="365"/>
      <c r="WAB274" s="365"/>
      <c r="WAC274" s="365"/>
      <c r="WAD274" s="365"/>
      <c r="WAE274" s="365"/>
      <c r="WAF274" s="365"/>
      <c r="WAG274" s="365"/>
      <c r="WAH274" s="365"/>
      <c r="WAI274" s="365"/>
      <c r="WAJ274" s="365"/>
      <c r="WAK274" s="365"/>
      <c r="WAL274" s="365"/>
      <c r="WAM274" s="365"/>
      <c r="WAN274" s="365"/>
      <c r="WAO274" s="365"/>
      <c r="WAP274" s="365"/>
      <c r="WAQ274" s="365"/>
      <c r="WAR274" s="365"/>
      <c r="WAS274" s="365"/>
      <c r="WAT274" s="365"/>
      <c r="WAU274" s="365"/>
      <c r="WAV274" s="365"/>
      <c r="WAW274" s="365"/>
      <c r="WAX274" s="365"/>
      <c r="WAY274" s="365"/>
      <c r="WAZ274" s="365"/>
      <c r="WBA274" s="365"/>
      <c r="WBB274" s="365"/>
      <c r="WBC274" s="365"/>
      <c r="WBD274" s="365"/>
      <c r="WBE274" s="365"/>
      <c r="WBF274" s="365"/>
      <c r="WBG274" s="365"/>
      <c r="WBH274" s="365"/>
      <c r="WBI274" s="365"/>
      <c r="WBJ274" s="365"/>
      <c r="WBK274" s="365"/>
      <c r="WBL274" s="365"/>
      <c r="WBM274" s="365"/>
      <c r="WBN274" s="365"/>
      <c r="WBO274" s="365"/>
      <c r="WBP274" s="365"/>
      <c r="WBQ274" s="365"/>
      <c r="WBR274" s="365"/>
      <c r="WBS274" s="365"/>
      <c r="WBT274" s="365"/>
      <c r="WBU274" s="365"/>
      <c r="WBV274" s="365"/>
      <c r="WBW274" s="365"/>
      <c r="WBX274" s="365"/>
      <c r="WBY274" s="365"/>
      <c r="WBZ274" s="365"/>
      <c r="WCA274" s="365"/>
      <c r="WCB274" s="365"/>
      <c r="WCC274" s="365"/>
      <c r="WCD274" s="365"/>
      <c r="WCE274" s="365"/>
      <c r="WCF274" s="365"/>
      <c r="WCG274" s="365"/>
      <c r="WCH274" s="365"/>
      <c r="WCI274" s="365"/>
      <c r="WCJ274" s="365"/>
      <c r="WCK274" s="365"/>
      <c r="WCL274" s="365"/>
      <c r="WCM274" s="365"/>
      <c r="WCN274" s="365"/>
      <c r="WCO274" s="365"/>
      <c r="WCP274" s="365"/>
      <c r="WCQ274" s="365"/>
      <c r="WCR274" s="365"/>
      <c r="WCS274" s="365"/>
      <c r="WCT274" s="365"/>
      <c r="WCU274" s="365"/>
      <c r="WCV274" s="365"/>
      <c r="WCW274" s="365"/>
      <c r="WCX274" s="365"/>
      <c r="WCY274" s="365"/>
      <c r="WCZ274" s="365"/>
      <c r="WDA274" s="365"/>
      <c r="WDB274" s="365"/>
      <c r="WDC274" s="365"/>
      <c r="WDD274" s="365"/>
      <c r="WDE274" s="365"/>
      <c r="WDF274" s="365"/>
      <c r="WDG274" s="365"/>
      <c r="WDH274" s="365"/>
      <c r="WDI274" s="365"/>
      <c r="WDJ274" s="365"/>
      <c r="WDK274" s="365"/>
      <c r="WDL274" s="365"/>
      <c r="WDM274" s="365"/>
      <c r="WDN274" s="365"/>
      <c r="WDO274" s="365"/>
      <c r="WDP274" s="365"/>
      <c r="WDQ274" s="365"/>
      <c r="WDR274" s="365"/>
      <c r="WDS274" s="365"/>
      <c r="WDT274" s="365"/>
      <c r="WDU274" s="365"/>
      <c r="WDV274" s="365"/>
      <c r="WDW274" s="365"/>
      <c r="WDX274" s="365"/>
      <c r="WDY274" s="365"/>
      <c r="WDZ274" s="365"/>
      <c r="WEA274" s="365"/>
      <c r="WEB274" s="365"/>
      <c r="WEC274" s="365"/>
      <c r="WED274" s="365"/>
      <c r="WEE274" s="365"/>
      <c r="WEF274" s="365"/>
      <c r="WEG274" s="365"/>
      <c r="WEH274" s="365"/>
      <c r="WEI274" s="365"/>
      <c r="WEJ274" s="365"/>
      <c r="WEK274" s="365"/>
      <c r="WEL274" s="365"/>
      <c r="WEM274" s="365"/>
      <c r="WEN274" s="365"/>
      <c r="WEO274" s="365"/>
      <c r="WEP274" s="365"/>
      <c r="WEQ274" s="365"/>
      <c r="WER274" s="365"/>
      <c r="WES274" s="365"/>
      <c r="WET274" s="365"/>
      <c r="WEU274" s="365"/>
      <c r="WEV274" s="365"/>
      <c r="WEW274" s="365"/>
      <c r="WEX274" s="365"/>
      <c r="WEY274" s="365"/>
      <c r="WEZ274" s="365"/>
      <c r="WFA274" s="365"/>
      <c r="WFB274" s="365"/>
      <c r="WFC274" s="365"/>
      <c r="WFD274" s="365"/>
      <c r="WFE274" s="365"/>
      <c r="WFF274" s="365"/>
      <c r="WFG274" s="365"/>
      <c r="WFH274" s="365"/>
      <c r="WFI274" s="365"/>
      <c r="WFJ274" s="365"/>
      <c r="WFK274" s="365"/>
      <c r="WFL274" s="365"/>
      <c r="WFM274" s="365"/>
      <c r="WFN274" s="365"/>
      <c r="WFO274" s="365"/>
      <c r="WFP274" s="365"/>
      <c r="WFQ274" s="365"/>
      <c r="WFR274" s="365"/>
      <c r="WFS274" s="365"/>
      <c r="WFT274" s="365"/>
      <c r="WFU274" s="365"/>
      <c r="WFV274" s="365"/>
      <c r="WFW274" s="365"/>
      <c r="WFX274" s="365"/>
      <c r="WFY274" s="365"/>
      <c r="WFZ274" s="365"/>
      <c r="WGA274" s="365"/>
      <c r="WGB274" s="365"/>
      <c r="WGC274" s="365"/>
      <c r="WGD274" s="365"/>
      <c r="WGE274" s="365"/>
      <c r="WGF274" s="365"/>
      <c r="WGG274" s="365"/>
      <c r="WGH274" s="365"/>
      <c r="WGI274" s="365"/>
      <c r="WGJ274" s="365"/>
      <c r="WGK274" s="365"/>
      <c r="WGL274" s="365"/>
      <c r="WGM274" s="365"/>
      <c r="WGN274" s="365"/>
      <c r="WGO274" s="365"/>
      <c r="WGP274" s="365"/>
      <c r="WGQ274" s="365"/>
      <c r="WGR274" s="365"/>
      <c r="WGS274" s="365"/>
      <c r="WGT274" s="365"/>
      <c r="WGU274" s="365"/>
      <c r="WGV274" s="365"/>
      <c r="WGW274" s="365"/>
      <c r="WGX274" s="365"/>
      <c r="WGY274" s="365"/>
      <c r="WGZ274" s="365"/>
      <c r="WHA274" s="365"/>
      <c r="WHB274" s="365"/>
      <c r="WHC274" s="365"/>
      <c r="WHD274" s="365"/>
      <c r="WHE274" s="365"/>
      <c r="WHF274" s="365"/>
      <c r="WHG274" s="365"/>
      <c r="WHH274" s="365"/>
      <c r="WHI274" s="365"/>
      <c r="WHJ274" s="365"/>
      <c r="WHK274" s="365"/>
      <c r="WHL274" s="365"/>
      <c r="WHM274" s="365"/>
      <c r="WHN274" s="365"/>
      <c r="WHO274" s="365"/>
      <c r="WHP274" s="365"/>
      <c r="WHQ274" s="365"/>
      <c r="WHR274" s="365"/>
      <c r="WHS274" s="365"/>
      <c r="WHT274" s="365"/>
      <c r="WHU274" s="365"/>
      <c r="WHV274" s="365"/>
      <c r="WHW274" s="365"/>
      <c r="WHX274" s="365"/>
      <c r="WHY274" s="365"/>
      <c r="WHZ274" s="365"/>
      <c r="WIA274" s="365"/>
      <c r="WIB274" s="365"/>
      <c r="WIC274" s="365"/>
      <c r="WID274" s="365"/>
      <c r="WIE274" s="365"/>
      <c r="WIF274" s="365"/>
      <c r="WIG274" s="365"/>
      <c r="WIH274" s="365"/>
      <c r="WII274" s="365"/>
      <c r="WIJ274" s="365"/>
      <c r="WIK274" s="365"/>
      <c r="WIL274" s="365"/>
      <c r="WIM274" s="365"/>
      <c r="WIN274" s="365"/>
      <c r="WIO274" s="365"/>
      <c r="WIP274" s="365"/>
      <c r="WIQ274" s="365"/>
      <c r="WIR274" s="365"/>
      <c r="WIS274" s="365"/>
      <c r="WIT274" s="365"/>
      <c r="WIU274" s="365"/>
      <c r="WIV274" s="365"/>
      <c r="WIW274" s="365"/>
      <c r="WIX274" s="365"/>
      <c r="WIY274" s="365"/>
      <c r="WIZ274" s="365"/>
      <c r="WJA274" s="365"/>
      <c r="WJB274" s="365"/>
      <c r="WJC274" s="365"/>
      <c r="WJD274" s="365"/>
      <c r="WJE274" s="365"/>
      <c r="WJF274" s="365"/>
      <c r="WJG274" s="365"/>
      <c r="WJH274" s="365"/>
      <c r="WJI274" s="365"/>
      <c r="WJJ274" s="365"/>
      <c r="WJK274" s="365"/>
      <c r="WJL274" s="365"/>
      <c r="WJM274" s="365"/>
      <c r="WJN274" s="365"/>
      <c r="WJO274" s="365"/>
      <c r="WJP274" s="365"/>
      <c r="WJQ274" s="365"/>
      <c r="WJR274" s="365"/>
      <c r="WJS274" s="365"/>
      <c r="WJT274" s="365"/>
      <c r="WJU274" s="365"/>
      <c r="WJV274" s="365"/>
      <c r="WJW274" s="365"/>
      <c r="WJX274" s="365"/>
      <c r="WJY274" s="365"/>
      <c r="WJZ274" s="365"/>
      <c r="WKA274" s="365"/>
      <c r="WKB274" s="365"/>
      <c r="WKC274" s="365"/>
      <c r="WKD274" s="365"/>
      <c r="WKE274" s="365"/>
      <c r="WKF274" s="365"/>
      <c r="WKG274" s="365"/>
      <c r="WKH274" s="365"/>
      <c r="WKI274" s="365"/>
      <c r="WKJ274" s="365"/>
      <c r="WKK274" s="365"/>
      <c r="WKL274" s="365"/>
      <c r="WKM274" s="365"/>
      <c r="WKN274" s="365"/>
      <c r="WKO274" s="365"/>
      <c r="WKP274" s="365"/>
      <c r="WKQ274" s="365"/>
      <c r="WKR274" s="365"/>
      <c r="WKS274" s="365"/>
      <c r="WKT274" s="365"/>
      <c r="WKU274" s="365"/>
      <c r="WKV274" s="365"/>
      <c r="WKW274" s="365"/>
      <c r="WKX274" s="365"/>
      <c r="WKY274" s="365"/>
      <c r="WKZ274" s="365"/>
      <c r="WLA274" s="365"/>
      <c r="WLB274" s="365"/>
      <c r="WLC274" s="365"/>
      <c r="WLD274" s="365"/>
      <c r="WLE274" s="365"/>
      <c r="WLF274" s="365"/>
      <c r="WLG274" s="365"/>
      <c r="WLH274" s="365"/>
      <c r="WLI274" s="365"/>
      <c r="WLJ274" s="365"/>
      <c r="WLK274" s="365"/>
      <c r="WLL274" s="365"/>
      <c r="WLM274" s="365"/>
      <c r="WLN274" s="365"/>
      <c r="WLO274" s="365"/>
      <c r="WLP274" s="365"/>
      <c r="WLQ274" s="365"/>
      <c r="WLR274" s="365"/>
      <c r="WLS274" s="365"/>
      <c r="WLT274" s="365"/>
      <c r="WLU274" s="365"/>
      <c r="WLV274" s="365"/>
      <c r="WLW274" s="365"/>
      <c r="WLX274" s="365"/>
      <c r="WLY274" s="365"/>
      <c r="WLZ274" s="365"/>
      <c r="WMA274" s="365"/>
      <c r="WMB274" s="365"/>
      <c r="WMC274" s="365"/>
      <c r="WMD274" s="365"/>
      <c r="WME274" s="365"/>
      <c r="WMF274" s="365"/>
      <c r="WMG274" s="365"/>
      <c r="WMH274" s="365"/>
      <c r="WMI274" s="365"/>
      <c r="WMJ274" s="365"/>
      <c r="WMK274" s="365"/>
      <c r="WML274" s="365"/>
      <c r="WMM274" s="365"/>
      <c r="WMN274" s="365"/>
      <c r="WMO274" s="365"/>
      <c r="WMP274" s="365"/>
      <c r="WMQ274" s="365"/>
      <c r="WMR274" s="365"/>
      <c r="WMS274" s="365"/>
      <c r="WMT274" s="365"/>
      <c r="WMU274" s="365"/>
      <c r="WMV274" s="365"/>
      <c r="WMW274" s="365"/>
      <c r="WMX274" s="365"/>
      <c r="WMY274" s="365"/>
      <c r="WMZ274" s="365"/>
      <c r="WNA274" s="365"/>
      <c r="WNB274" s="365"/>
      <c r="WNC274" s="365"/>
      <c r="WND274" s="365"/>
      <c r="WNE274" s="365"/>
      <c r="WNF274" s="365"/>
      <c r="WNG274" s="365"/>
      <c r="WNH274" s="365"/>
      <c r="WNI274" s="365"/>
      <c r="WNJ274" s="365"/>
      <c r="WNK274" s="365"/>
      <c r="WNL274" s="365"/>
      <c r="WNM274" s="365"/>
      <c r="WNN274" s="365"/>
      <c r="WNO274" s="365"/>
      <c r="WNP274" s="365"/>
      <c r="WNQ274" s="365"/>
      <c r="WNR274" s="365"/>
      <c r="WNS274" s="365"/>
      <c r="WNT274" s="365"/>
      <c r="WNU274" s="365"/>
      <c r="WNV274" s="365"/>
      <c r="WNW274" s="365"/>
      <c r="WNX274" s="365"/>
      <c r="WNY274" s="365"/>
      <c r="WNZ274" s="365"/>
      <c r="WOA274" s="365"/>
      <c r="WOB274" s="365"/>
      <c r="WOC274" s="365"/>
      <c r="WOD274" s="365"/>
      <c r="WOE274" s="365"/>
      <c r="WOF274" s="365"/>
      <c r="WOG274" s="365"/>
      <c r="WOH274" s="365"/>
      <c r="WOI274" s="365"/>
      <c r="WOJ274" s="365"/>
      <c r="WOK274" s="365"/>
      <c r="WOL274" s="365"/>
      <c r="WOM274" s="365"/>
      <c r="WON274" s="365"/>
      <c r="WOO274" s="365"/>
      <c r="WOP274" s="365"/>
      <c r="WOQ274" s="365"/>
      <c r="WOR274" s="365"/>
      <c r="WOS274" s="365"/>
      <c r="WOT274" s="365"/>
      <c r="WOU274" s="365"/>
      <c r="WOV274" s="365"/>
      <c r="WOW274" s="365"/>
      <c r="WOX274" s="365"/>
      <c r="WOY274" s="365"/>
      <c r="WOZ274" s="365"/>
      <c r="WPA274" s="365"/>
      <c r="WPB274" s="365"/>
      <c r="WPC274" s="365"/>
      <c r="WPD274" s="365"/>
      <c r="WPE274" s="365"/>
      <c r="WPF274" s="365"/>
      <c r="WPG274" s="365"/>
      <c r="WPH274" s="365"/>
      <c r="WPI274" s="365"/>
      <c r="WPJ274" s="365"/>
      <c r="WPK274" s="365"/>
      <c r="WPL274" s="365"/>
      <c r="WPM274" s="365"/>
      <c r="WPN274" s="365"/>
      <c r="WPO274" s="365"/>
      <c r="WPP274" s="365"/>
      <c r="WPQ274" s="365"/>
      <c r="WPR274" s="365"/>
      <c r="WPS274" s="365"/>
      <c r="WPT274" s="365"/>
      <c r="WPU274" s="365"/>
      <c r="WPV274" s="365"/>
      <c r="WPW274" s="365"/>
      <c r="WPX274" s="365"/>
      <c r="WPY274" s="365"/>
      <c r="WPZ274" s="365"/>
      <c r="WQA274" s="365"/>
      <c r="WQB274" s="365"/>
      <c r="WQC274" s="365"/>
      <c r="WQD274" s="365"/>
      <c r="WQE274" s="365"/>
      <c r="WQF274" s="365"/>
      <c r="WQG274" s="365"/>
      <c r="WQH274" s="365"/>
      <c r="WQI274" s="365"/>
      <c r="WQJ274" s="365"/>
      <c r="WQK274" s="365"/>
      <c r="WQL274" s="365"/>
      <c r="WQM274" s="365"/>
      <c r="WQN274" s="365"/>
      <c r="WQO274" s="365"/>
      <c r="WQP274" s="365"/>
      <c r="WQQ274" s="365"/>
      <c r="WQR274" s="365"/>
      <c r="WQS274" s="365"/>
      <c r="WQT274" s="365"/>
      <c r="WQU274" s="365"/>
      <c r="WQV274" s="365"/>
      <c r="WQW274" s="365"/>
      <c r="WQX274" s="365"/>
      <c r="WQY274" s="365"/>
      <c r="WQZ274" s="365"/>
      <c r="WRA274" s="365"/>
      <c r="WRB274" s="365"/>
      <c r="WRC274" s="365"/>
      <c r="WRD274" s="365"/>
      <c r="WRE274" s="365"/>
      <c r="WRF274" s="365"/>
      <c r="WRG274" s="365"/>
      <c r="WRH274" s="365"/>
      <c r="WRI274" s="365"/>
      <c r="WRJ274" s="365"/>
      <c r="WRK274" s="365"/>
      <c r="WRL274" s="365"/>
      <c r="WRM274" s="365"/>
      <c r="WRN274" s="365"/>
      <c r="WRO274" s="365"/>
      <c r="WRP274" s="365"/>
      <c r="WRQ274" s="365"/>
      <c r="WRR274" s="365"/>
      <c r="WRS274" s="365"/>
      <c r="WRT274" s="365"/>
      <c r="WRU274" s="365"/>
      <c r="WRV274" s="365"/>
      <c r="WRW274" s="365"/>
      <c r="WRX274" s="365"/>
      <c r="WRY274" s="365"/>
      <c r="WRZ274" s="365"/>
      <c r="WSA274" s="365"/>
      <c r="WSB274" s="365"/>
      <c r="WSC274" s="365"/>
      <c r="WSD274" s="365"/>
      <c r="WSE274" s="365"/>
      <c r="WSF274" s="365"/>
      <c r="WSG274" s="365"/>
      <c r="WSH274" s="365"/>
      <c r="WSI274" s="365"/>
      <c r="WSJ274" s="365"/>
      <c r="WSK274" s="365"/>
      <c r="WSL274" s="365"/>
      <c r="WSM274" s="365"/>
      <c r="WSN274" s="365"/>
      <c r="WSO274" s="365"/>
      <c r="WSP274" s="365"/>
      <c r="WSQ274" s="365"/>
      <c r="WSR274" s="365"/>
      <c r="WSS274" s="365"/>
      <c r="WST274" s="365"/>
      <c r="WSU274" s="365"/>
      <c r="WSV274" s="365"/>
      <c r="WSW274" s="365"/>
      <c r="WSX274" s="365"/>
      <c r="WSY274" s="365"/>
      <c r="WSZ274" s="365"/>
      <c r="WTA274" s="365"/>
      <c r="WTB274" s="365"/>
      <c r="WTC274" s="365"/>
      <c r="WTD274" s="365"/>
      <c r="WTE274" s="365"/>
      <c r="WTF274" s="365"/>
      <c r="WTG274" s="365"/>
      <c r="WTH274" s="365"/>
      <c r="WTI274" s="365"/>
      <c r="WTJ274" s="365"/>
      <c r="WTK274" s="365"/>
      <c r="WTL274" s="365"/>
      <c r="WTM274" s="365"/>
      <c r="WTN274" s="365"/>
      <c r="WTO274" s="365"/>
      <c r="WTP274" s="365"/>
      <c r="WTQ274" s="365"/>
      <c r="WTR274" s="365"/>
      <c r="WTS274" s="365"/>
      <c r="WTT274" s="365"/>
      <c r="WTU274" s="365"/>
      <c r="WTV274" s="365"/>
      <c r="WTW274" s="365"/>
      <c r="WTX274" s="365"/>
      <c r="WTY274" s="365"/>
      <c r="WTZ274" s="365"/>
      <c r="WUA274" s="365"/>
      <c r="WUB274" s="365"/>
      <c r="WUC274" s="365"/>
      <c r="WUD274" s="365"/>
      <c r="WUE274" s="365"/>
      <c r="WUF274" s="365"/>
      <c r="WUG274" s="365"/>
      <c r="WUH274" s="365"/>
      <c r="WUI274" s="365"/>
      <c r="WUJ274" s="365"/>
      <c r="WUK274" s="365"/>
      <c r="WUL274" s="365"/>
      <c r="WUM274" s="365"/>
      <c r="WUN274" s="365"/>
      <c r="WUO274" s="365"/>
      <c r="WUP274" s="365"/>
      <c r="WUQ274" s="365"/>
      <c r="WUR274" s="365"/>
      <c r="WUS274" s="365"/>
      <c r="WUT274" s="365"/>
      <c r="WUU274" s="365"/>
      <c r="WUV274" s="365"/>
      <c r="WUW274" s="365"/>
      <c r="WUX274" s="365"/>
      <c r="WUY274" s="365"/>
      <c r="WUZ274" s="365"/>
      <c r="WVA274" s="365"/>
      <c r="WVB274" s="365"/>
      <c r="WVC274" s="365"/>
      <c r="WVD274" s="365"/>
      <c r="WVE274" s="365"/>
      <c r="WVF274" s="365"/>
      <c r="WVG274" s="365"/>
      <c r="WVH274" s="365"/>
      <c r="WVI274" s="365"/>
      <c r="WVJ274" s="365"/>
      <c r="WVK274" s="365"/>
      <c r="WVL274" s="365"/>
      <c r="WVM274" s="365"/>
      <c r="WVN274" s="365"/>
      <c r="WVO274" s="365"/>
      <c r="WVP274" s="365"/>
      <c r="WVQ274" s="365"/>
      <c r="WVR274" s="365"/>
      <c r="WVS274" s="365"/>
      <c r="WVT274" s="365"/>
      <c r="WVU274" s="365"/>
      <c r="WVV274" s="365"/>
      <c r="WVW274" s="365"/>
      <c r="WVX274" s="365"/>
      <c r="WVY274" s="365"/>
      <c r="WVZ274" s="365"/>
      <c r="WWA274" s="365"/>
      <c r="WWB274" s="365"/>
      <c r="WWC274" s="365"/>
      <c r="WWD274" s="365"/>
      <c r="WWE274" s="365"/>
      <c r="WWF274" s="365"/>
      <c r="WWG274" s="365"/>
      <c r="WWH274" s="365"/>
      <c r="WWI274" s="365"/>
      <c r="WWJ274" s="365"/>
      <c r="WWK274" s="365"/>
      <c r="WWL274" s="365"/>
      <c r="WWM274" s="365"/>
      <c r="WWN274" s="365"/>
      <c r="WWO274" s="365"/>
      <c r="WWP274" s="365"/>
      <c r="WWQ274" s="365"/>
      <c r="WWR274" s="365"/>
      <c r="WWS274" s="365"/>
      <c r="WWT274" s="365"/>
      <c r="WWU274" s="365"/>
      <c r="WWV274" s="365"/>
      <c r="WWW274" s="365"/>
      <c r="WWX274" s="365"/>
      <c r="WWY274" s="365"/>
      <c r="WWZ274" s="365"/>
      <c r="WXA274" s="365"/>
      <c r="WXB274" s="365"/>
      <c r="WXC274" s="365"/>
      <c r="WXD274" s="365"/>
      <c r="WXE274" s="365"/>
      <c r="WXF274" s="365"/>
      <c r="WXG274" s="365"/>
      <c r="WXH274" s="365"/>
      <c r="WXI274" s="365"/>
      <c r="WXJ274" s="365"/>
      <c r="WXK274" s="365"/>
      <c r="WXL274" s="365"/>
      <c r="WXM274" s="365"/>
      <c r="WXN274" s="365"/>
      <c r="WXO274" s="365"/>
      <c r="WXP274" s="365"/>
      <c r="WXQ274" s="365"/>
      <c r="WXR274" s="365"/>
      <c r="WXS274" s="365"/>
      <c r="WXT274" s="365"/>
      <c r="WXU274" s="365"/>
      <c r="WXV274" s="365"/>
      <c r="WXW274" s="365"/>
      <c r="WXX274" s="365"/>
      <c r="WXY274" s="365"/>
      <c r="WXZ274" s="365"/>
      <c r="WYA274" s="365"/>
      <c r="WYB274" s="365"/>
      <c r="WYC274" s="365"/>
      <c r="WYD274" s="365"/>
      <c r="WYE274" s="365"/>
      <c r="WYF274" s="365"/>
      <c r="WYG274" s="365"/>
      <c r="WYH274" s="365"/>
      <c r="WYI274" s="365"/>
      <c r="WYJ274" s="365"/>
      <c r="WYK274" s="365"/>
      <c r="WYL274" s="365"/>
      <c r="WYM274" s="365"/>
      <c r="WYN274" s="365"/>
      <c r="WYO274" s="365"/>
      <c r="WYP274" s="365"/>
      <c r="WYQ274" s="365"/>
      <c r="WYR274" s="365"/>
      <c r="WYS274" s="365"/>
      <c r="WYT274" s="365"/>
      <c r="WYU274" s="365"/>
      <c r="WYV274" s="365"/>
      <c r="WYW274" s="365"/>
      <c r="WYX274" s="365"/>
      <c r="WYY274" s="365"/>
      <c r="WYZ274" s="365"/>
      <c r="WZA274" s="365"/>
      <c r="WZB274" s="365"/>
      <c r="WZC274" s="365"/>
      <c r="WZD274" s="365"/>
      <c r="WZE274" s="365"/>
      <c r="WZF274" s="365"/>
      <c r="WZG274" s="365"/>
      <c r="WZH274" s="365"/>
      <c r="WZI274" s="365"/>
      <c r="WZJ274" s="365"/>
      <c r="WZK274" s="365"/>
      <c r="WZL274" s="365"/>
      <c r="WZM274" s="365"/>
      <c r="WZN274" s="365"/>
      <c r="WZO274" s="365"/>
      <c r="WZP274" s="365"/>
      <c r="WZQ274" s="365"/>
      <c r="WZR274" s="365"/>
      <c r="WZS274" s="365"/>
      <c r="WZT274" s="365"/>
      <c r="WZU274" s="365"/>
      <c r="WZV274" s="365"/>
      <c r="WZW274" s="365"/>
      <c r="WZX274" s="365"/>
      <c r="WZY274" s="365"/>
      <c r="WZZ274" s="365"/>
      <c r="XAA274" s="365"/>
      <c r="XAB274" s="365"/>
      <c r="XAC274" s="365"/>
      <c r="XAD274" s="365"/>
      <c r="XAE274" s="365"/>
      <c r="XAF274" s="365"/>
      <c r="XAG274" s="365"/>
      <c r="XAH274" s="365"/>
      <c r="XAI274" s="365"/>
      <c r="XAJ274" s="365"/>
      <c r="XAK274" s="365"/>
      <c r="XAL274" s="365"/>
      <c r="XAM274" s="365"/>
      <c r="XAN274" s="365"/>
      <c r="XAO274" s="365"/>
      <c r="XAP274" s="365"/>
      <c r="XAQ274" s="365"/>
      <c r="XAR274" s="365"/>
      <c r="XAS274" s="365"/>
      <c r="XAT274" s="365"/>
      <c r="XAU274" s="365"/>
      <c r="XAV274" s="365"/>
      <c r="XAW274" s="365"/>
      <c r="XAX274" s="365"/>
      <c r="XAY274" s="365"/>
      <c r="XAZ274" s="365"/>
      <c r="XBA274" s="365"/>
      <c r="XBB274" s="365"/>
      <c r="XBC274" s="365"/>
      <c r="XBD274" s="365"/>
      <c r="XBE274" s="365"/>
      <c r="XBF274" s="365"/>
      <c r="XBG274" s="365"/>
      <c r="XBH274" s="365"/>
      <c r="XBI274" s="365"/>
      <c r="XBJ274" s="365"/>
      <c r="XBK274" s="365"/>
      <c r="XBL274" s="365"/>
      <c r="XBM274" s="365"/>
      <c r="XBN274" s="365"/>
      <c r="XBO274" s="365"/>
      <c r="XBP274" s="365"/>
      <c r="XBQ274" s="365"/>
      <c r="XBR274" s="365"/>
      <c r="XBS274" s="365"/>
      <c r="XBT274" s="365"/>
      <c r="XBU274" s="365"/>
      <c r="XBV274" s="365"/>
      <c r="XBW274" s="365"/>
      <c r="XBX274" s="365"/>
      <c r="XBY274" s="365"/>
      <c r="XBZ274" s="365"/>
      <c r="XCA274" s="365"/>
      <c r="XCB274" s="365"/>
      <c r="XCC274" s="365"/>
      <c r="XCD274" s="365"/>
      <c r="XCE274" s="365"/>
      <c r="XCF274" s="365"/>
      <c r="XCG274" s="365"/>
      <c r="XCH274" s="365"/>
      <c r="XCI274" s="365"/>
      <c r="XCJ274" s="365"/>
      <c r="XCK274" s="365"/>
      <c r="XCL274" s="365"/>
      <c r="XCM274" s="365"/>
      <c r="XCN274" s="365"/>
      <c r="XCO274" s="365"/>
      <c r="XCP274" s="365"/>
      <c r="XCQ274" s="365"/>
      <c r="XCR274" s="365"/>
      <c r="XCS274" s="365"/>
      <c r="XCT274" s="365"/>
      <c r="XCU274" s="365"/>
      <c r="XCV274" s="365"/>
      <c r="XCW274" s="365"/>
      <c r="XCX274" s="365"/>
      <c r="XCY274" s="365"/>
      <c r="XCZ274" s="365"/>
      <c r="XDA274" s="365"/>
      <c r="XDB274" s="365"/>
      <c r="XDC274" s="365"/>
      <c r="XDD274" s="365"/>
      <c r="XDE274" s="365"/>
      <c r="XDF274" s="365"/>
      <c r="XDG274" s="365"/>
      <c r="XDH274" s="365"/>
      <c r="XDI274" s="365"/>
      <c r="XDJ274" s="365"/>
      <c r="XDK274" s="365"/>
      <c r="XDL274" s="365"/>
      <c r="XDM274" s="365"/>
      <c r="XDN274" s="365"/>
      <c r="XDO274" s="365"/>
      <c r="XDP274" s="365"/>
      <c r="XDQ274" s="365"/>
      <c r="XDR274" s="365"/>
      <c r="XDS274" s="365"/>
      <c r="XDT274" s="365"/>
      <c r="XDU274" s="365"/>
      <c r="XDV274" s="365"/>
      <c r="XDW274" s="365"/>
      <c r="XDX274" s="365"/>
      <c r="XDY274" s="365"/>
      <c r="XDZ274" s="365"/>
      <c r="XEA274" s="365"/>
      <c r="XEB274" s="365"/>
      <c r="XEC274" s="365"/>
    </row>
    <row r="275" spans="1:16357">
      <c r="C275" s="377">
        <v>0</v>
      </c>
      <c r="F275" s="377">
        <v>0</v>
      </c>
      <c r="I275" s="377">
        <v>0</v>
      </c>
    </row>
    <row r="284" spans="1:16357">
      <c r="P284" s="377">
        <v>0</v>
      </c>
    </row>
  </sheetData>
  <sortState ref="A10:XFD11">
    <sortCondition ref="A10"/>
  </sortState>
  <mergeCells count="8">
    <mergeCell ref="S6:T6"/>
    <mergeCell ref="P2:Q2"/>
    <mergeCell ref="C2:D2"/>
    <mergeCell ref="I2:J2"/>
    <mergeCell ref="A1:F1"/>
    <mergeCell ref="B3:F3"/>
    <mergeCell ref="A4:F4"/>
    <mergeCell ref="F2:G2"/>
  </mergeCells>
  <printOptions horizontalCentered="1"/>
  <pageMargins left="0" right="0" top="0.25" bottom="0.25" header="0.3" footer="0.3"/>
  <pageSetup scale="60"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H271"/>
  <sheetViews>
    <sheetView topLeftCell="A11" workbookViewId="0">
      <selection activeCell="E23" sqref="E23"/>
    </sheetView>
  </sheetViews>
  <sheetFormatPr defaultRowHeight="12.75"/>
  <cols>
    <col min="1" max="1" width="32.7109375" style="365" customWidth="1"/>
    <col min="2" max="2" width="9" style="365" customWidth="1"/>
    <col min="3" max="3" width="2.28515625" style="365" bestFit="1" customWidth="1"/>
    <col min="4" max="6" width="17.7109375" style="377" customWidth="1"/>
    <col min="7" max="7" width="13.7109375" style="143" bestFit="1" customWidth="1"/>
    <col min="8" max="8" width="19.42578125" bestFit="1" customWidth="1"/>
    <col min="10" max="10" width="11.7109375" bestFit="1" customWidth="1"/>
  </cols>
  <sheetData>
    <row r="1" spans="1:7">
      <c r="A1"/>
      <c r="B1"/>
      <c r="C1"/>
      <c r="D1"/>
      <c r="E1"/>
      <c r="F1"/>
    </row>
    <row r="2" spans="1:7" ht="16.5" thickBot="1">
      <c r="A2" s="360" t="s">
        <v>58</v>
      </c>
      <c r="B2" s="361"/>
      <c r="C2" s="577"/>
      <c r="D2" s="362" t="s">
        <v>571</v>
      </c>
      <c r="E2" s="362" t="s">
        <v>691</v>
      </c>
      <c r="F2" s="362"/>
    </row>
    <row r="3" spans="1:7" ht="43.5" thickTop="1" thickBot="1">
      <c r="A3" s="484"/>
      <c r="B3" s="485"/>
      <c r="C3" s="486"/>
      <c r="D3" s="578" t="s">
        <v>573</v>
      </c>
      <c r="E3" s="578" t="s">
        <v>573</v>
      </c>
      <c r="F3" s="578" t="s">
        <v>686</v>
      </c>
    </row>
    <row r="4" spans="1:7" ht="16.5" thickTop="1">
      <c r="A4" s="356"/>
      <c r="B4" s="356"/>
      <c r="C4" s="357"/>
      <c r="D4" s="369"/>
      <c r="E4" s="369"/>
      <c r="F4" s="369"/>
    </row>
    <row r="5" spans="1:7" ht="18.75">
      <c r="A5" s="417" t="s">
        <v>423</v>
      </c>
      <c r="B5" s="417"/>
      <c r="C5" s="449"/>
      <c r="D5" s="450"/>
      <c r="E5" s="450"/>
      <c r="F5" s="450"/>
    </row>
    <row r="6" spans="1:7" ht="18.75">
      <c r="A6" s="417" t="s">
        <v>27</v>
      </c>
      <c r="B6" s="417"/>
      <c r="C6" s="417" t="s">
        <v>424</v>
      </c>
      <c r="D6" s="458">
        <v>46320861.950000003</v>
      </c>
      <c r="E6" s="458">
        <f>'001 General Fund'!K23</f>
        <v>50418790</v>
      </c>
      <c r="F6" s="458">
        <f>E6-D6</f>
        <v>4097928.049999997</v>
      </c>
    </row>
    <row r="7" spans="1:7" ht="18.75">
      <c r="A7" s="417" t="s">
        <v>690</v>
      </c>
      <c r="B7" s="417"/>
      <c r="C7" s="417"/>
      <c r="D7" s="458">
        <v>0</v>
      </c>
      <c r="E7" s="458">
        <v>3000000</v>
      </c>
      <c r="F7" s="458">
        <f>E7-D7</f>
        <v>3000000</v>
      </c>
      <c r="G7" s="143" t="s">
        <v>692</v>
      </c>
    </row>
    <row r="8" spans="1:7" ht="18.75">
      <c r="A8" s="417" t="s">
        <v>688</v>
      </c>
      <c r="B8" s="417"/>
      <c r="C8" s="417" t="s">
        <v>424</v>
      </c>
      <c r="D8" s="462">
        <f>D6+D7</f>
        <v>46320861.950000003</v>
      </c>
      <c r="E8" s="462">
        <f>SUM(E6:E7)</f>
        <v>53418790</v>
      </c>
      <c r="F8" s="462">
        <f>E8-D8</f>
        <v>7097928.049999997</v>
      </c>
    </row>
    <row r="9" spans="1:7" ht="18.75">
      <c r="A9" s="417"/>
      <c r="B9" s="417"/>
      <c r="C9" s="417"/>
      <c r="D9" s="466"/>
      <c r="E9" s="466"/>
      <c r="F9" s="466"/>
    </row>
    <row r="10" spans="1:7" ht="18.75">
      <c r="A10" s="454" t="s">
        <v>426</v>
      </c>
      <c r="B10" s="454"/>
      <c r="C10" s="454"/>
      <c r="D10" s="460"/>
      <c r="E10" s="460"/>
      <c r="F10" s="460"/>
    </row>
    <row r="11" spans="1:7" ht="18.75">
      <c r="A11" s="454" t="s">
        <v>584</v>
      </c>
      <c r="B11" s="700" t="s">
        <v>585</v>
      </c>
      <c r="C11" s="454"/>
      <c r="D11" s="460"/>
      <c r="E11" s="458"/>
      <c r="F11" s="458"/>
    </row>
    <row r="12" spans="1:7" ht="18.75">
      <c r="A12" s="454" t="s">
        <v>582</v>
      </c>
      <c r="B12" s="468">
        <v>4.1193</v>
      </c>
      <c r="C12" s="454"/>
      <c r="D12" s="458">
        <v>93930068</v>
      </c>
      <c r="E12" s="460">
        <f>'[1]GF Resources'!$G$7</f>
        <v>1107945</v>
      </c>
      <c r="F12" s="460">
        <f t="shared" ref="F12:F22" si="0">E12-D12</f>
        <v>-92822123</v>
      </c>
    </row>
    <row r="13" spans="1:7" ht="18.75">
      <c r="A13" s="454" t="s">
        <v>580</v>
      </c>
      <c r="B13" s="684"/>
      <c r="C13" s="454"/>
      <c r="D13" s="461">
        <v>4882276</v>
      </c>
      <c r="E13" s="460">
        <f>'[1]GF Resources'!$G$14</f>
        <v>4882276</v>
      </c>
      <c r="F13" s="460">
        <f t="shared" si="0"/>
        <v>0</v>
      </c>
    </row>
    <row r="14" spans="1:7" ht="18.75">
      <c r="A14" s="454" t="s">
        <v>579</v>
      </c>
      <c r="B14" s="454"/>
      <c r="C14" s="454"/>
      <c r="D14" s="460">
        <v>16900000</v>
      </c>
      <c r="E14" s="460">
        <f>'[1]GF Resources'!$G$15</f>
        <v>-1600000</v>
      </c>
      <c r="F14" s="460">
        <f t="shared" si="0"/>
        <v>-18500000</v>
      </c>
    </row>
    <row r="15" spans="1:7" ht="18.75">
      <c r="A15" s="454" t="s">
        <v>578</v>
      </c>
      <c r="B15" s="454"/>
      <c r="C15" s="454"/>
      <c r="D15" s="460">
        <v>35718663</v>
      </c>
      <c r="E15" s="460">
        <f>'[1]GF Resources'!$G$16</f>
        <v>551832</v>
      </c>
      <c r="F15" s="460">
        <f t="shared" si="0"/>
        <v>-35166831</v>
      </c>
      <c r="G15" s="143" t="s">
        <v>693</v>
      </c>
    </row>
    <row r="16" spans="1:7" ht="18.75">
      <c r="A16" s="454" t="s">
        <v>435</v>
      </c>
      <c r="B16" s="454"/>
      <c r="C16" s="454"/>
      <c r="D16" s="460">
        <v>3250670</v>
      </c>
      <c r="E16" s="460">
        <f>'[1]GF Resources'!$G$22</f>
        <v>0</v>
      </c>
      <c r="F16" s="460">
        <f t="shared" si="0"/>
        <v>-3250670</v>
      </c>
      <c r="G16" s="143" t="s">
        <v>694</v>
      </c>
    </row>
    <row r="17" spans="1:8" ht="18.75">
      <c r="A17" s="454" t="s">
        <v>408</v>
      </c>
      <c r="B17" s="454"/>
      <c r="C17" s="454"/>
      <c r="D17" s="460">
        <v>17322975</v>
      </c>
      <c r="E17" s="460">
        <f>'[1]GF Resources'!$G$28</f>
        <v>481915</v>
      </c>
      <c r="F17" s="460">
        <f t="shared" si="0"/>
        <v>-16841060</v>
      </c>
      <c r="G17" s="143" t="s">
        <v>695</v>
      </c>
    </row>
    <row r="18" spans="1:8" ht="18.75">
      <c r="A18" s="454" t="s">
        <v>114</v>
      </c>
      <c r="B18" s="454"/>
      <c r="C18" s="454"/>
      <c r="D18" s="460">
        <v>21436296</v>
      </c>
      <c r="E18" s="460">
        <f>'[1]GF Resources'!$G$40</f>
        <v>0</v>
      </c>
      <c r="F18" s="460">
        <f t="shared" si="0"/>
        <v>-21436296</v>
      </c>
    </row>
    <row r="19" spans="1:8" ht="18.75">
      <c r="A19" s="454" t="s">
        <v>436</v>
      </c>
      <c r="B19" s="454"/>
      <c r="C19" s="454"/>
      <c r="D19" s="460">
        <v>2133961</v>
      </c>
      <c r="E19" s="460">
        <f>'[1]GF Resources'!$G$45</f>
        <v>0</v>
      </c>
      <c r="F19" s="460">
        <f t="shared" si="0"/>
        <v>-2133961</v>
      </c>
    </row>
    <row r="20" spans="1:8" ht="18.75">
      <c r="A20" s="454" t="s">
        <v>437</v>
      </c>
      <c r="B20" s="454"/>
      <c r="C20" s="454"/>
      <c r="D20" s="460">
        <v>68483098</v>
      </c>
      <c r="E20" s="460">
        <f>'[1]GF Resources'!$G$54</f>
        <v>0</v>
      </c>
      <c r="F20" s="460">
        <f t="shared" si="0"/>
        <v>-68483098</v>
      </c>
      <c r="G20" s="143" t="s">
        <v>696</v>
      </c>
    </row>
    <row r="21" spans="1:8" ht="18.75">
      <c r="A21" s="454" t="s">
        <v>319</v>
      </c>
      <c r="B21" s="454"/>
      <c r="C21" s="454"/>
      <c r="D21" s="460">
        <v>4815323.05</v>
      </c>
      <c r="E21" s="460"/>
      <c r="F21" s="460">
        <f t="shared" si="0"/>
        <v>-4815323.05</v>
      </c>
      <c r="G21" s="143" t="s">
        <v>58</v>
      </c>
      <c r="H21" s="766" t="s">
        <v>58</v>
      </c>
    </row>
    <row r="22" spans="1:8" ht="18.75">
      <c r="A22" s="685" t="s">
        <v>438</v>
      </c>
      <c r="B22" s="454"/>
      <c r="C22" s="454" t="s">
        <v>424</v>
      </c>
      <c r="D22" s="463">
        <v>268873330.05000001</v>
      </c>
      <c r="E22" s="463">
        <f>SUM(E11:E21)</f>
        <v>5423968</v>
      </c>
      <c r="F22" s="463">
        <f t="shared" si="0"/>
        <v>-263449362.05000001</v>
      </c>
    </row>
    <row r="23" spans="1:8" ht="18.75">
      <c r="A23" s="454"/>
      <c r="B23" s="454"/>
      <c r="C23" s="454"/>
      <c r="D23" s="458"/>
      <c r="E23" s="458"/>
      <c r="F23" s="458"/>
    </row>
    <row r="24" spans="1:8" ht="18.75">
      <c r="A24" s="454" t="s">
        <v>439</v>
      </c>
      <c r="B24" s="454"/>
      <c r="C24" s="454" t="s">
        <v>424</v>
      </c>
      <c r="D24" s="470">
        <v>648254</v>
      </c>
      <c r="E24" s="470">
        <f>'[1]GF Resources'!$G$59</f>
        <v>0</v>
      </c>
      <c r="F24" s="470">
        <f>E24-D24</f>
        <v>-648254</v>
      </c>
    </row>
    <row r="25" spans="1:8" ht="18.75">
      <c r="A25" s="454"/>
      <c r="B25" s="454"/>
      <c r="C25" s="454"/>
      <c r="D25" s="458"/>
      <c r="E25" s="458"/>
      <c r="F25" s="458"/>
    </row>
    <row r="26" spans="1:8" ht="19.5" thickBot="1">
      <c r="A26" s="713" t="s">
        <v>21</v>
      </c>
      <c r="B26" s="714"/>
      <c r="C26" s="454" t="s">
        <v>424</v>
      </c>
      <c r="D26" s="477">
        <v>315842446</v>
      </c>
      <c r="E26" s="477">
        <f>E8+E22+E24</f>
        <v>58842758</v>
      </c>
      <c r="F26" s="477">
        <f>E26-D26</f>
        <v>-256999688</v>
      </c>
    </row>
    <row r="27" spans="1:8" ht="19.5" thickTop="1">
      <c r="A27" s="454"/>
      <c r="B27" s="454"/>
      <c r="C27" s="454"/>
      <c r="D27" s="458"/>
      <c r="E27" s="458"/>
      <c r="F27" s="458"/>
    </row>
    <row r="28" spans="1:8" ht="18.75">
      <c r="A28" s="685"/>
      <c r="B28" s="454"/>
      <c r="C28" s="454"/>
      <c r="D28" s="460"/>
      <c r="E28" s="460"/>
      <c r="F28" s="460"/>
    </row>
    <row r="29" spans="1:8" ht="18.75">
      <c r="A29" s="454"/>
      <c r="B29" s="454"/>
      <c r="C29" s="454"/>
      <c r="D29" s="460"/>
      <c r="E29" s="458"/>
      <c r="F29" s="458"/>
    </row>
    <row r="30" spans="1:8" ht="18.75">
      <c r="A30" s="454" t="s">
        <v>577</v>
      </c>
      <c r="B30" s="454"/>
      <c r="C30" s="454"/>
      <c r="D30" s="458"/>
      <c r="E30" s="458"/>
      <c r="F30" s="458"/>
      <c r="G30" s="143">
        <v>-423000</v>
      </c>
      <c r="H30" t="s">
        <v>698</v>
      </c>
    </row>
    <row r="31" spans="1:8" ht="18.75">
      <c r="A31" s="454" t="s">
        <v>442</v>
      </c>
      <c r="B31" s="454"/>
      <c r="C31" s="454" t="s">
        <v>424</v>
      </c>
      <c r="D31" s="458">
        <v>3553726.88</v>
      </c>
      <c r="E31" s="458" t="e">
        <f>VLOOKUP(A31,#REF!,3,FALSE)</f>
        <v>#REF!</v>
      </c>
      <c r="F31" s="458" t="e">
        <f t="shared" ref="F31:F45" si="1">E31-D31</f>
        <v>#REF!</v>
      </c>
      <c r="G31" s="143">
        <v>-460000</v>
      </c>
      <c r="H31" t="s">
        <v>699</v>
      </c>
    </row>
    <row r="32" spans="1:8" ht="18.75">
      <c r="A32" s="417" t="s">
        <v>443</v>
      </c>
      <c r="B32" s="417"/>
      <c r="C32" s="417"/>
      <c r="D32" s="458">
        <v>873900.74</v>
      </c>
      <c r="E32" s="458" t="e">
        <f>VLOOKUP(A32,#REF!,3,FALSE)</f>
        <v>#REF!</v>
      </c>
      <c r="F32" s="458" t="e">
        <f t="shared" si="1"/>
        <v>#REF!</v>
      </c>
      <c r="G32" s="143">
        <v>-268172</v>
      </c>
      <c r="H32" t="s">
        <v>700</v>
      </c>
    </row>
    <row r="33" spans="1:8" ht="18.75">
      <c r="A33" s="417" t="s">
        <v>444</v>
      </c>
      <c r="B33" s="417"/>
      <c r="C33" s="417"/>
      <c r="D33" s="458">
        <v>1168675</v>
      </c>
      <c r="E33" s="458" t="e">
        <f>VLOOKUP(A33,#REF!,3,FALSE)</f>
        <v>#REF!</v>
      </c>
      <c r="F33" s="458" t="e">
        <f t="shared" si="1"/>
        <v>#REF!</v>
      </c>
      <c r="G33" s="143">
        <v>-253646</v>
      </c>
      <c r="H33" t="s">
        <v>701</v>
      </c>
    </row>
    <row r="34" spans="1:8" ht="18.75">
      <c r="A34" s="417" t="s">
        <v>445</v>
      </c>
      <c r="B34" s="417"/>
      <c r="C34" s="417"/>
      <c r="D34" s="458">
        <v>1120446.98</v>
      </c>
      <c r="E34" s="458" t="e">
        <f>VLOOKUP(A34,#REF!,3,FALSE)</f>
        <v>#REF!</v>
      </c>
      <c r="F34" s="458" t="e">
        <f t="shared" si="1"/>
        <v>#REF!</v>
      </c>
      <c r="G34" s="143">
        <v>-300000</v>
      </c>
      <c r="H34" t="s">
        <v>702</v>
      </c>
    </row>
    <row r="35" spans="1:8" ht="18.75">
      <c r="A35" s="417" t="s">
        <v>446</v>
      </c>
      <c r="B35" s="417"/>
      <c r="C35" s="417"/>
      <c r="D35" s="458">
        <v>4558483.5599999996</v>
      </c>
      <c r="E35" s="458" t="e">
        <f>VLOOKUP(A35,#REF!,3,FALSE)</f>
        <v>#REF!</v>
      </c>
      <c r="F35" s="458" t="e">
        <f t="shared" si="1"/>
        <v>#REF!</v>
      </c>
      <c r="G35" s="143">
        <v>-150000</v>
      </c>
      <c r="H35" t="s">
        <v>707</v>
      </c>
    </row>
    <row r="36" spans="1:8" ht="18.75">
      <c r="A36" s="417" t="s">
        <v>448</v>
      </c>
      <c r="B36" s="417"/>
      <c r="C36" s="417"/>
      <c r="D36" s="458">
        <v>7321918.6900000004</v>
      </c>
      <c r="E36" s="458" t="e">
        <f>VLOOKUP(A36,#REF!,3,FALSE)</f>
        <v>#REF!</v>
      </c>
      <c r="F36" s="458" t="e">
        <f t="shared" si="1"/>
        <v>#REF!</v>
      </c>
      <c r="G36" s="143">
        <v>-75000</v>
      </c>
      <c r="H36" t="s">
        <v>708</v>
      </c>
    </row>
    <row r="37" spans="1:8" ht="18.75">
      <c r="A37" s="417" t="s">
        <v>683</v>
      </c>
      <c r="B37" s="417"/>
      <c r="C37" s="417"/>
      <c r="D37" s="458">
        <v>71763696.049999997</v>
      </c>
      <c r="E37" s="458" t="e">
        <f>VLOOKUP(A37,#REF!,3,FALSE)</f>
        <v>#REF!</v>
      </c>
      <c r="F37" s="458" t="e">
        <f t="shared" si="1"/>
        <v>#REF!</v>
      </c>
      <c r="G37" s="143">
        <v>-21950</v>
      </c>
      <c r="H37" t="s">
        <v>709</v>
      </c>
    </row>
    <row r="38" spans="1:8" ht="18.75">
      <c r="A38" s="417" t="s">
        <v>450</v>
      </c>
      <c r="B38" s="417"/>
      <c r="C38" s="417"/>
      <c r="D38" s="458">
        <v>2395733.7999999998</v>
      </c>
      <c r="E38" s="458" t="e">
        <f>VLOOKUP(A38,#REF!,3,FALSE)</f>
        <v>#REF!</v>
      </c>
      <c r="F38" s="458" t="e">
        <f t="shared" si="1"/>
        <v>#REF!</v>
      </c>
      <c r="G38" s="143">
        <v>-21000</v>
      </c>
      <c r="H38" t="s">
        <v>710</v>
      </c>
    </row>
    <row r="39" spans="1:8" ht="18.75">
      <c r="A39" s="417" t="s">
        <v>454</v>
      </c>
      <c r="B39" s="417"/>
      <c r="C39" s="417"/>
      <c r="D39" s="458">
        <v>41446319.479999997</v>
      </c>
      <c r="E39" s="458" t="e">
        <f>VLOOKUP(A39,#REF!,3,FALSE)</f>
        <v>#REF!</v>
      </c>
      <c r="F39" s="458" t="e">
        <f t="shared" si="1"/>
        <v>#REF!</v>
      </c>
      <c r="G39" s="143">
        <v>-18000</v>
      </c>
      <c r="H39" t="s">
        <v>711</v>
      </c>
    </row>
    <row r="40" spans="1:8" ht="18.75">
      <c r="A40" s="417" t="s">
        <v>456</v>
      </c>
      <c r="B40" s="417"/>
      <c r="C40" s="417"/>
      <c r="D40" s="458">
        <v>99188903.129999995</v>
      </c>
      <c r="E40" s="458" t="e">
        <f>VLOOKUP(A40,#REF!,3,FALSE)</f>
        <v>#REF!</v>
      </c>
      <c r="F40" s="458" t="e">
        <f t="shared" si="1"/>
        <v>#REF!</v>
      </c>
      <c r="G40" s="143">
        <v>-680000</v>
      </c>
      <c r="H40" t="s">
        <v>712</v>
      </c>
    </row>
    <row r="41" spans="1:8" ht="18.75">
      <c r="A41" s="417" t="s">
        <v>459</v>
      </c>
      <c r="B41" s="417"/>
      <c r="C41" s="417"/>
      <c r="D41" s="458">
        <v>6358485</v>
      </c>
      <c r="E41" s="458" t="e">
        <f>VLOOKUP(A41,#REF!,3,FALSE)</f>
        <v>#REF!</v>
      </c>
      <c r="F41" s="458" t="e">
        <f t="shared" si="1"/>
        <v>#REF!</v>
      </c>
      <c r="G41" s="143">
        <v>-150000</v>
      </c>
      <c r="H41" s="766" t="s">
        <v>713</v>
      </c>
    </row>
    <row r="42" spans="1:8" ht="18.75">
      <c r="A42" s="417" t="s">
        <v>570</v>
      </c>
      <c r="B42" s="417"/>
      <c r="C42" s="417"/>
      <c r="D42" s="458">
        <v>7428813</v>
      </c>
      <c r="E42" s="458" t="e">
        <f>VLOOKUP(A42,#REF!,3,FALSE)</f>
        <v>#REF!</v>
      </c>
      <c r="F42" s="458" t="e">
        <f t="shared" si="1"/>
        <v>#REF!</v>
      </c>
      <c r="G42" s="769">
        <f>-634102+598001</f>
        <v>-36101</v>
      </c>
      <c r="H42" s="763" t="s">
        <v>697</v>
      </c>
    </row>
    <row r="43" spans="1:8" ht="18.75">
      <c r="A43" s="417" t="s">
        <v>476</v>
      </c>
      <c r="B43" s="417"/>
      <c r="C43" s="417"/>
      <c r="D43" s="458">
        <v>1518438.05</v>
      </c>
      <c r="E43" s="458" t="e">
        <f>VLOOKUP(A43,#REF!,3,FALSE)</f>
        <v>#REF!</v>
      </c>
      <c r="F43" s="458" t="e">
        <f t="shared" si="1"/>
        <v>#REF!</v>
      </c>
      <c r="G43" s="769">
        <v>-90694</v>
      </c>
      <c r="H43" s="767" t="s">
        <v>714</v>
      </c>
    </row>
    <row r="44" spans="1:8" ht="18.75">
      <c r="A44" s="417" t="s">
        <v>460</v>
      </c>
      <c r="B44" s="417"/>
      <c r="C44" s="417"/>
      <c r="D44" s="458">
        <v>9606276</v>
      </c>
      <c r="E44" s="458" t="e">
        <f>VLOOKUP(A44,#REF!,3,FALSE)</f>
        <v>#REF!</v>
      </c>
      <c r="F44" s="458" t="e">
        <f t="shared" si="1"/>
        <v>#REF!</v>
      </c>
      <c r="G44" s="770">
        <v>-98813</v>
      </c>
      <c r="H44" s="767" t="s">
        <v>715</v>
      </c>
    </row>
    <row r="45" spans="1:8" ht="18.75">
      <c r="A45" s="417" t="s">
        <v>574</v>
      </c>
      <c r="B45" s="417"/>
      <c r="C45" s="417" t="s">
        <v>424</v>
      </c>
      <c r="D45" s="463">
        <v>258303818.36000001</v>
      </c>
      <c r="E45" s="463" t="e">
        <f>SUM(E31:E44)</f>
        <v>#REF!</v>
      </c>
      <c r="F45" s="463" t="e">
        <f t="shared" si="1"/>
        <v>#REF!</v>
      </c>
      <c r="G45" s="771">
        <f>SUM(G30:G44)</f>
        <v>-3046376</v>
      </c>
    </row>
    <row r="46" spans="1:8" ht="18.75">
      <c r="A46" s="417"/>
      <c r="B46" s="417"/>
      <c r="C46" s="417"/>
      <c r="D46" s="459"/>
      <c r="E46" s="459"/>
      <c r="F46" s="459"/>
    </row>
    <row r="47" spans="1:8" ht="18.75">
      <c r="A47" s="417" t="s">
        <v>462</v>
      </c>
      <c r="B47" s="417"/>
      <c r="C47" s="417"/>
      <c r="D47" s="459"/>
      <c r="E47" s="459"/>
      <c r="F47" s="459"/>
      <c r="G47" s="143">
        <v>-350000</v>
      </c>
      <c r="H47" t="s">
        <v>703</v>
      </c>
    </row>
    <row r="48" spans="1:8" ht="18.75">
      <c r="A48" s="417" t="s">
        <v>463</v>
      </c>
      <c r="B48" s="417"/>
      <c r="C48" s="417"/>
      <c r="D48" s="459">
        <v>7688910</v>
      </c>
      <c r="E48" s="458">
        <f>'[1]GF Expend'!$G$54</f>
        <v>2661304</v>
      </c>
      <c r="F48" s="458">
        <f>E48-D48</f>
        <v>-5027606</v>
      </c>
      <c r="G48" s="143">
        <v>-142000</v>
      </c>
      <c r="H48" t="s">
        <v>704</v>
      </c>
    </row>
    <row r="49" spans="1:8" ht="18.75">
      <c r="A49" s="417" t="s">
        <v>464</v>
      </c>
      <c r="B49" s="417"/>
      <c r="C49" s="417"/>
      <c r="D49" s="458">
        <v>455656</v>
      </c>
      <c r="E49" s="458">
        <f>'[1]GF Expend'!$G$55</f>
        <v>0</v>
      </c>
      <c r="F49" s="458">
        <f>E49-D49</f>
        <v>-455656</v>
      </c>
      <c r="G49" s="143">
        <v>-87200</v>
      </c>
      <c r="H49" t="s">
        <v>705</v>
      </c>
    </row>
    <row r="50" spans="1:8" ht="18.75">
      <c r="A50" s="417" t="s">
        <v>465</v>
      </c>
      <c r="B50" s="417"/>
      <c r="C50" s="417"/>
      <c r="D50" s="472">
        <v>2073200</v>
      </c>
      <c r="E50" s="472">
        <f>'[1]GF Expend'!$G$56</f>
        <v>0</v>
      </c>
      <c r="F50" s="458">
        <f>E50-D50</f>
        <v>-2073200</v>
      </c>
      <c r="G50" s="772">
        <v>-450000</v>
      </c>
      <c r="H50" t="s">
        <v>706</v>
      </c>
    </row>
    <row r="51" spans="1:8" ht="18.75">
      <c r="A51" s="417" t="s">
        <v>587</v>
      </c>
      <c r="B51" s="417"/>
      <c r="C51" s="417" t="s">
        <v>424</v>
      </c>
      <c r="D51" s="462">
        <v>10217766</v>
      </c>
      <c r="E51" s="462">
        <f>SUM(E48:E50)</f>
        <v>2661304</v>
      </c>
      <c r="F51" s="462">
        <f>E51-D51</f>
        <v>-7556462</v>
      </c>
      <c r="G51" s="771">
        <f>SUM(G47:G50)</f>
        <v>-1029200</v>
      </c>
    </row>
    <row r="52" spans="1:8" ht="18.75">
      <c r="A52" s="417"/>
      <c r="B52" s="417"/>
      <c r="C52" s="417"/>
      <c r="D52" s="459"/>
      <c r="E52" s="459"/>
      <c r="F52" s="459"/>
    </row>
    <row r="53" spans="1:8" ht="18.75">
      <c r="A53" s="417" t="s">
        <v>466</v>
      </c>
      <c r="B53" s="417"/>
      <c r="C53" s="417"/>
      <c r="D53" s="459"/>
      <c r="E53" s="459"/>
      <c r="F53" s="459"/>
    </row>
    <row r="54" spans="1:8" ht="18.75">
      <c r="A54" s="417" t="s">
        <v>36</v>
      </c>
      <c r="B54" s="417"/>
      <c r="C54" s="417"/>
      <c r="D54" s="458">
        <v>46320862.280000001</v>
      </c>
      <c r="E54" s="458">
        <f>'001 General Fund'!K53</f>
        <v>54350613</v>
      </c>
      <c r="F54" s="458">
        <f t="shared" ref="F54:F59" si="2">E54-D54</f>
        <v>8029750.7199999988</v>
      </c>
    </row>
    <row r="55" spans="1:8" ht="18.75">
      <c r="A55" s="417" t="s">
        <v>37</v>
      </c>
      <c r="B55" s="417"/>
      <c r="C55" s="417"/>
      <c r="D55" s="458">
        <v>0</v>
      </c>
      <c r="E55" s="458">
        <v>0</v>
      </c>
      <c r="F55" s="458">
        <f t="shared" si="2"/>
        <v>0</v>
      </c>
    </row>
    <row r="56" spans="1:8" ht="18.75">
      <c r="A56" s="417" t="s">
        <v>690</v>
      </c>
      <c r="B56" s="417"/>
      <c r="C56" s="417"/>
      <c r="D56" s="470">
        <v>1000000</v>
      </c>
      <c r="E56" s="470">
        <f>'001 General Fund'!K52</f>
        <v>888679</v>
      </c>
      <c r="F56" s="470">
        <f t="shared" si="2"/>
        <v>-111321</v>
      </c>
      <c r="G56" s="143" t="s">
        <v>692</v>
      </c>
    </row>
    <row r="57" spans="1:8" ht="18.75">
      <c r="A57" s="417" t="s">
        <v>468</v>
      </c>
      <c r="B57" s="417"/>
      <c r="C57" s="417" t="s">
        <v>424</v>
      </c>
      <c r="D57" s="462">
        <v>47320862.280000001</v>
      </c>
      <c r="E57" s="462">
        <f>SUM(E54:E56)</f>
        <v>55239292</v>
      </c>
      <c r="F57" s="462">
        <f t="shared" si="2"/>
        <v>7918429.7199999988</v>
      </c>
      <c r="G57" s="772"/>
    </row>
    <row r="58" spans="1:8" ht="18.75">
      <c r="A58" s="417"/>
      <c r="B58" s="417"/>
      <c r="C58" s="417"/>
      <c r="D58" s="469"/>
      <c r="E58" s="469"/>
      <c r="F58" s="469">
        <f t="shared" si="2"/>
        <v>0</v>
      </c>
      <c r="G58" s="772"/>
    </row>
    <row r="59" spans="1:8" ht="19.5" thickBot="1">
      <c r="A59" s="476" t="s">
        <v>25</v>
      </c>
      <c r="B59" s="449"/>
      <c r="C59" s="417" t="s">
        <v>424</v>
      </c>
      <c r="D59" s="480">
        <v>315842445.63999999</v>
      </c>
      <c r="E59" s="480" t="e">
        <f>E45+E51+E57</f>
        <v>#REF!</v>
      </c>
      <c r="F59" s="480" t="e">
        <f t="shared" si="2"/>
        <v>#REF!</v>
      </c>
      <c r="G59" s="467" t="s">
        <v>58</v>
      </c>
    </row>
    <row r="60" spans="1:8" ht="16.5" thickTop="1">
      <c r="A60" s="356"/>
      <c r="B60" s="356"/>
      <c r="C60" s="356"/>
      <c r="D60" s="380"/>
      <c r="E60" s="768" t="e">
        <f>E59-'001 General Fund'!K56</f>
        <v>#REF!</v>
      </c>
      <c r="F60" s="380"/>
    </row>
    <row r="61" spans="1:8" ht="15.75">
      <c r="A61" s="356"/>
      <c r="B61" s="356"/>
      <c r="C61" s="356"/>
      <c r="D61" s="380"/>
      <c r="E61" s="380"/>
      <c r="F61" s="380"/>
    </row>
    <row r="62" spans="1:8">
      <c r="A62" s="381" t="s">
        <v>469</v>
      </c>
      <c r="B62" s="381"/>
      <c r="C62" s="381"/>
      <c r="D62" s="566">
        <v>0.36000001430511475</v>
      </c>
      <c r="E62" s="566" t="e">
        <f>E26-E59</f>
        <v>#REF!</v>
      </c>
      <c r="F62" s="566" t="e">
        <f>F26-F59</f>
        <v>#REF!</v>
      </c>
    </row>
    <row r="63" spans="1:8">
      <c r="D63" s="571">
        <v>0.17932705205093893</v>
      </c>
      <c r="E63" s="571" t="e">
        <f>E54/E45</f>
        <v>#REF!</v>
      </c>
      <c r="F63" s="571" t="e">
        <f>F54/F45</f>
        <v>#REF!</v>
      </c>
    </row>
    <row r="64" spans="1:8">
      <c r="D64" s="567" t="s">
        <v>58</v>
      </c>
      <c r="E64" s="567" t="s">
        <v>58</v>
      </c>
      <c r="F64" s="567"/>
    </row>
    <row r="66" spans="4:6">
      <c r="D66" s="377" t="s">
        <v>58</v>
      </c>
      <c r="E66" s="567" t="s">
        <v>58</v>
      </c>
      <c r="F66" s="567"/>
    </row>
    <row r="67" spans="4:6">
      <c r="D67" s="567"/>
      <c r="E67" s="377" t="s">
        <v>58</v>
      </c>
    </row>
    <row r="68" spans="4:6">
      <c r="D68" s="377" t="s">
        <v>58</v>
      </c>
      <c r="E68" s="377" t="s">
        <v>58</v>
      </c>
    </row>
    <row r="70" spans="4:6" ht="23.25">
      <c r="D70" s="377" t="s">
        <v>58</v>
      </c>
      <c r="E70" s="568" t="s">
        <v>58</v>
      </c>
      <c r="F70" s="568"/>
    </row>
    <row r="71" spans="4:6" ht="23.25">
      <c r="D71" s="568" t="s">
        <v>58</v>
      </c>
      <c r="E71" s="377" t="s">
        <v>58</v>
      </c>
    </row>
    <row r="81" spans="1:6" ht="18.75">
      <c r="A81" s="393"/>
      <c r="B81" s="393"/>
      <c r="C81" s="393"/>
      <c r="E81" s="569"/>
      <c r="F81" s="569"/>
    </row>
    <row r="82" spans="1:6" ht="18.75">
      <c r="A82" s="398"/>
      <c r="B82" s="398"/>
      <c r="C82" s="398"/>
      <c r="D82" s="569"/>
      <c r="E82" s="570"/>
      <c r="F82" s="570"/>
    </row>
    <row r="83" spans="1:6" ht="18.75">
      <c r="A83" s="398"/>
      <c r="B83" s="398"/>
      <c r="C83" s="398"/>
      <c r="D83" s="569"/>
      <c r="E83" s="570"/>
      <c r="F83" s="570"/>
    </row>
    <row r="84" spans="1:6" ht="18.75">
      <c r="D84" s="570"/>
    </row>
    <row r="271" spans="5:5">
      <c r="E271" s="377">
        <v>0</v>
      </c>
    </row>
  </sheetData>
  <printOptions horizontalCentered="1"/>
  <pageMargins left="0" right="0" top="0.25" bottom="0.25" header="0.05" footer="0.05"/>
  <pageSetup scale="72"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92D050"/>
  </sheetPr>
  <dimension ref="A1:AL281"/>
  <sheetViews>
    <sheetView showGridLines="0" topLeftCell="A2" zoomScale="75" zoomScaleNormal="75" workbookViewId="0">
      <pane xSplit="3" ySplit="7" topLeftCell="L43" activePane="bottomRight" state="frozen"/>
      <selection activeCell="D71" sqref="D71"/>
      <selection pane="topRight" activeCell="D71" sqref="D71"/>
      <selection pane="bottomLeft" activeCell="D71" sqref="D71"/>
      <selection pane="bottomRight" activeCell="D71" sqref="D71"/>
    </sheetView>
  </sheetViews>
  <sheetFormatPr defaultRowHeight="12.75"/>
  <cols>
    <col min="1" max="1" width="36.85546875" style="365" customWidth="1"/>
    <col min="2" max="2" width="9" style="365" customWidth="1"/>
    <col min="3" max="3" width="2.28515625" style="365" bestFit="1" customWidth="1"/>
    <col min="4" max="4" width="25.5703125" style="922" hidden="1" customWidth="1"/>
    <col min="5" max="5" width="22" style="912" hidden="1" customWidth="1"/>
    <col min="6" max="6" width="16.140625" style="912" hidden="1" customWidth="1"/>
    <col min="7" max="7" width="21.28515625" style="912" hidden="1" customWidth="1"/>
    <col min="8" max="9" width="19.42578125" style="912" hidden="1" customWidth="1"/>
    <col min="10" max="10" width="20.5703125" style="912" hidden="1" customWidth="1"/>
    <col min="11" max="11" width="18.7109375" style="912" hidden="1" customWidth="1"/>
    <col min="12" max="12" width="18.5703125" style="389" bestFit="1" customWidth="1"/>
    <col min="13" max="13" width="19.42578125" style="389" customWidth="1"/>
    <col min="14" max="14" width="19.7109375" style="389" bestFit="1" customWidth="1"/>
    <col min="15" max="15" width="6" style="363" hidden="1" customWidth="1"/>
    <col min="16" max="16" width="18.140625" style="376" bestFit="1" customWidth="1"/>
    <col min="17" max="17" width="6" style="363" hidden="1" customWidth="1"/>
    <col min="18" max="18" width="18.28515625" style="376" customWidth="1"/>
    <col min="19" max="19" width="6" style="363" hidden="1" customWidth="1"/>
    <col min="20" max="20" width="19.42578125" style="389" customWidth="1"/>
    <col min="21" max="21" width="6" style="363" hidden="1" customWidth="1"/>
    <col min="22" max="22" width="18.140625" style="912" bestFit="1" customWidth="1"/>
    <col min="23" max="23" width="9.140625" style="363" hidden="1" customWidth="1"/>
    <col min="24" max="24" width="18.140625" style="912" bestFit="1" customWidth="1"/>
    <col min="25" max="25" width="6" style="363" hidden="1" customWidth="1"/>
    <col min="26" max="26" width="20.28515625" style="389" customWidth="1"/>
    <col min="27" max="27" width="19.42578125" style="364" bestFit="1" customWidth="1"/>
    <col min="28" max="28" width="20.28515625" style="364" bestFit="1" customWidth="1"/>
    <col min="29" max="31" width="24.28515625" style="363" customWidth="1"/>
    <col min="32" max="32" width="19.7109375" style="363" customWidth="1"/>
    <col min="33" max="38" width="9.140625" style="363" customWidth="1"/>
    <col min="39" max="233" width="8.85546875" style="365"/>
    <col min="234" max="234" width="44.5703125" style="365" customWidth="1"/>
    <col min="235" max="235" width="14.28515625" style="365" bestFit="1" customWidth="1"/>
    <col min="236" max="236" width="1.7109375" style="365" customWidth="1"/>
    <col min="237" max="237" width="14.85546875" style="365" customWidth="1"/>
    <col min="238" max="238" width="0" style="365" hidden="1" customWidth="1"/>
    <col min="239" max="239" width="17.42578125" style="365" customWidth="1"/>
    <col min="240" max="240" width="0" style="365" hidden="1" customWidth="1"/>
    <col min="241" max="241" width="12.85546875" style="365" customWidth="1"/>
    <col min="242" max="242" width="0" style="365" hidden="1" customWidth="1"/>
    <col min="243" max="243" width="14.42578125" style="365" customWidth="1"/>
    <col min="244" max="244" width="0" style="365" hidden="1" customWidth="1"/>
    <col min="245" max="245" width="17.42578125" style="365" customWidth="1"/>
    <col min="246" max="246" width="0" style="365" hidden="1" customWidth="1"/>
    <col min="247" max="247" width="14" style="365" customWidth="1"/>
    <col min="248" max="248" width="14.28515625" style="365" bestFit="1" customWidth="1"/>
    <col min="249" max="249" width="0" style="365" hidden="1" customWidth="1"/>
    <col min="250" max="250" width="15.5703125" style="365" customWidth="1"/>
    <col min="251" max="251" width="44.5703125" style="365" customWidth="1"/>
    <col min="252" max="252" width="14.28515625" style="365" bestFit="1" customWidth="1"/>
    <col min="253" max="253" width="0" style="365" hidden="1" customWidth="1"/>
    <col min="254" max="254" width="18.140625" style="365" customWidth="1"/>
    <col min="255" max="255" width="0" style="365" hidden="1" customWidth="1"/>
    <col min="256" max="256" width="14" style="365" customWidth="1"/>
    <col min="257" max="257" width="0" style="365" hidden="1" customWidth="1"/>
    <col min="258" max="258" width="20.85546875" style="365" customWidth="1"/>
    <col min="259" max="259" width="0" style="365" hidden="1" customWidth="1"/>
    <col min="260" max="260" width="13.28515625" style="365" customWidth="1"/>
    <col min="261" max="261" width="0" style="365" hidden="1" customWidth="1"/>
    <col min="262" max="262" width="15" style="365" customWidth="1"/>
    <col min="263" max="263" width="0" style="365" hidden="1" customWidth="1"/>
    <col min="264" max="264" width="13.28515625" style="365" customWidth="1"/>
    <col min="265" max="265" width="0" style="365" hidden="1" customWidth="1"/>
    <col min="266" max="266" width="20.140625" style="365" customWidth="1"/>
    <col min="267" max="267" width="14.42578125" style="365" bestFit="1" customWidth="1"/>
    <col min="268" max="268" width="14" style="365" bestFit="1" customWidth="1"/>
    <col min="269" max="269" width="12.28515625" style="365" bestFit="1" customWidth="1"/>
    <col min="270" max="294" width="9.140625" style="365" customWidth="1"/>
    <col min="295" max="489" width="8.85546875" style="365"/>
    <col min="490" max="490" width="44.5703125" style="365" customWidth="1"/>
    <col min="491" max="491" width="14.28515625" style="365" bestFit="1" customWidth="1"/>
    <col min="492" max="492" width="1.7109375" style="365" customWidth="1"/>
    <col min="493" max="493" width="14.85546875" style="365" customWidth="1"/>
    <col min="494" max="494" width="0" style="365" hidden="1" customWidth="1"/>
    <col min="495" max="495" width="17.42578125" style="365" customWidth="1"/>
    <col min="496" max="496" width="0" style="365" hidden="1" customWidth="1"/>
    <col min="497" max="497" width="12.85546875" style="365" customWidth="1"/>
    <col min="498" max="498" width="0" style="365" hidden="1" customWidth="1"/>
    <col min="499" max="499" width="14.42578125" style="365" customWidth="1"/>
    <col min="500" max="500" width="0" style="365" hidden="1" customWidth="1"/>
    <col min="501" max="501" width="17.42578125" style="365" customWidth="1"/>
    <col min="502" max="502" width="0" style="365" hidden="1" customWidth="1"/>
    <col min="503" max="503" width="14" style="365" customWidth="1"/>
    <col min="504" max="504" width="14.28515625" style="365" bestFit="1" customWidth="1"/>
    <col min="505" max="505" width="0" style="365" hidden="1" customWidth="1"/>
    <col min="506" max="506" width="15.5703125" style="365" customWidth="1"/>
    <col min="507" max="507" width="44.5703125" style="365" customWidth="1"/>
    <col min="508" max="508" width="14.28515625" style="365" bestFit="1" customWidth="1"/>
    <col min="509" max="509" width="0" style="365" hidden="1" customWidth="1"/>
    <col min="510" max="510" width="18.140625" style="365" customWidth="1"/>
    <col min="511" max="511" width="0" style="365" hidden="1" customWidth="1"/>
    <col min="512" max="512" width="14" style="365" customWidth="1"/>
    <col min="513" max="513" width="0" style="365" hidden="1" customWidth="1"/>
    <col min="514" max="514" width="20.85546875" style="365" customWidth="1"/>
    <col min="515" max="515" width="0" style="365" hidden="1" customWidth="1"/>
    <col min="516" max="516" width="13.28515625" style="365" customWidth="1"/>
    <col min="517" max="517" width="0" style="365" hidden="1" customWidth="1"/>
    <col min="518" max="518" width="15" style="365" customWidth="1"/>
    <col min="519" max="519" width="0" style="365" hidden="1" customWidth="1"/>
    <col min="520" max="520" width="13.28515625" style="365" customWidth="1"/>
    <col min="521" max="521" width="0" style="365" hidden="1" customWidth="1"/>
    <col min="522" max="522" width="20.140625" style="365" customWidth="1"/>
    <col min="523" max="523" width="14.42578125" style="365" bestFit="1" customWidth="1"/>
    <col min="524" max="524" width="14" style="365" bestFit="1" customWidth="1"/>
    <col min="525" max="525" width="12.28515625" style="365" bestFit="1" customWidth="1"/>
    <col min="526" max="550" width="9.140625" style="365" customWidth="1"/>
    <col min="551" max="745" width="8.85546875" style="365"/>
    <col min="746" max="746" width="44.5703125" style="365" customWidth="1"/>
    <col min="747" max="747" width="14.28515625" style="365" bestFit="1" customWidth="1"/>
    <col min="748" max="748" width="1.7109375" style="365" customWidth="1"/>
    <col min="749" max="749" width="14.85546875" style="365" customWidth="1"/>
    <col min="750" max="750" width="0" style="365" hidden="1" customWidth="1"/>
    <col min="751" max="751" width="17.42578125" style="365" customWidth="1"/>
    <col min="752" max="752" width="0" style="365" hidden="1" customWidth="1"/>
    <col min="753" max="753" width="12.85546875" style="365" customWidth="1"/>
    <col min="754" max="754" width="0" style="365" hidden="1" customWidth="1"/>
    <col min="755" max="755" width="14.42578125" style="365" customWidth="1"/>
    <col min="756" max="756" width="0" style="365" hidden="1" customWidth="1"/>
    <col min="757" max="757" width="17.42578125" style="365" customWidth="1"/>
    <col min="758" max="758" width="0" style="365" hidden="1" customWidth="1"/>
    <col min="759" max="759" width="14" style="365" customWidth="1"/>
    <col min="760" max="760" width="14.28515625" style="365" bestFit="1" customWidth="1"/>
    <col min="761" max="761" width="0" style="365" hidden="1" customWidth="1"/>
    <col min="762" max="762" width="15.5703125" style="365" customWidth="1"/>
    <col min="763" max="763" width="44.5703125" style="365" customWidth="1"/>
    <col min="764" max="764" width="14.28515625" style="365" bestFit="1" customWidth="1"/>
    <col min="765" max="765" width="0" style="365" hidden="1" customWidth="1"/>
    <col min="766" max="766" width="18.140625" style="365" customWidth="1"/>
    <col min="767" max="767" width="0" style="365" hidden="1" customWidth="1"/>
    <col min="768" max="768" width="14" style="365" customWidth="1"/>
    <col min="769" max="769" width="0" style="365" hidden="1" customWidth="1"/>
    <col min="770" max="770" width="20.85546875" style="365" customWidth="1"/>
    <col min="771" max="771" width="0" style="365" hidden="1" customWidth="1"/>
    <col min="772" max="772" width="13.28515625" style="365" customWidth="1"/>
    <col min="773" max="773" width="0" style="365" hidden="1" customWidth="1"/>
    <col min="774" max="774" width="15" style="365" customWidth="1"/>
    <col min="775" max="775" width="0" style="365" hidden="1" customWidth="1"/>
    <col min="776" max="776" width="13.28515625" style="365" customWidth="1"/>
    <col min="777" max="777" width="0" style="365" hidden="1" customWidth="1"/>
    <col min="778" max="778" width="20.140625" style="365" customWidth="1"/>
    <col min="779" max="779" width="14.42578125" style="365" bestFit="1" customWidth="1"/>
    <col min="780" max="780" width="14" style="365" bestFit="1" customWidth="1"/>
    <col min="781" max="781" width="12.28515625" style="365" bestFit="1" customWidth="1"/>
    <col min="782" max="806" width="9.140625" style="365" customWidth="1"/>
    <col min="807" max="1001" width="8.85546875" style="365"/>
    <col min="1002" max="1002" width="44.5703125" style="365" customWidth="1"/>
    <col min="1003" max="1003" width="14.28515625" style="365" bestFit="1" customWidth="1"/>
    <col min="1004" max="1004" width="1.7109375" style="365" customWidth="1"/>
    <col min="1005" max="1005" width="14.85546875" style="365" customWidth="1"/>
    <col min="1006" max="1006" width="0" style="365" hidden="1" customWidth="1"/>
    <col min="1007" max="1007" width="17.42578125" style="365" customWidth="1"/>
    <col min="1008" max="1008" width="0" style="365" hidden="1" customWidth="1"/>
    <col min="1009" max="1009" width="12.85546875" style="365" customWidth="1"/>
    <col min="1010" max="1010" width="0" style="365" hidden="1" customWidth="1"/>
    <col min="1011" max="1011" width="14.42578125" style="365" customWidth="1"/>
    <col min="1012" max="1012" width="0" style="365" hidden="1" customWidth="1"/>
    <col min="1013" max="1013" width="17.42578125" style="365" customWidth="1"/>
    <col min="1014" max="1014" width="0" style="365" hidden="1" customWidth="1"/>
    <col min="1015" max="1015" width="14" style="365" customWidth="1"/>
    <col min="1016" max="1016" width="14.28515625" style="365" bestFit="1" customWidth="1"/>
    <col min="1017" max="1017" width="0" style="365" hidden="1" customWidth="1"/>
    <col min="1018" max="1018" width="15.5703125" style="365" customWidth="1"/>
    <col min="1019" max="1019" width="44.5703125" style="365" customWidth="1"/>
    <col min="1020" max="1020" width="14.28515625" style="365" bestFit="1" customWidth="1"/>
    <col min="1021" max="1021" width="0" style="365" hidden="1" customWidth="1"/>
    <col min="1022" max="1022" width="18.140625" style="365" customWidth="1"/>
    <col min="1023" max="1023" width="0" style="365" hidden="1" customWidth="1"/>
    <col min="1024" max="1024" width="14" style="365" customWidth="1"/>
    <col min="1025" max="1025" width="0" style="365" hidden="1" customWidth="1"/>
    <col min="1026" max="1026" width="20.85546875" style="365" customWidth="1"/>
    <col min="1027" max="1027" width="0" style="365" hidden="1" customWidth="1"/>
    <col min="1028" max="1028" width="13.28515625" style="365" customWidth="1"/>
    <col min="1029" max="1029" width="0" style="365" hidden="1" customWidth="1"/>
    <col min="1030" max="1030" width="15" style="365" customWidth="1"/>
    <col min="1031" max="1031" width="0" style="365" hidden="1" customWidth="1"/>
    <col min="1032" max="1032" width="13.28515625" style="365" customWidth="1"/>
    <col min="1033" max="1033" width="0" style="365" hidden="1" customWidth="1"/>
    <col min="1034" max="1034" width="20.140625" style="365" customWidth="1"/>
    <col min="1035" max="1035" width="14.42578125" style="365" bestFit="1" customWidth="1"/>
    <col min="1036" max="1036" width="14" style="365" bestFit="1" customWidth="1"/>
    <col min="1037" max="1037" width="12.28515625" style="365" bestFit="1" customWidth="1"/>
    <col min="1038" max="1062" width="9.140625" style="365" customWidth="1"/>
    <col min="1063" max="1257" width="8.85546875" style="365"/>
    <col min="1258" max="1258" width="44.5703125" style="365" customWidth="1"/>
    <col min="1259" max="1259" width="14.28515625" style="365" bestFit="1" customWidth="1"/>
    <col min="1260" max="1260" width="1.7109375" style="365" customWidth="1"/>
    <col min="1261" max="1261" width="14.85546875" style="365" customWidth="1"/>
    <col min="1262" max="1262" width="0" style="365" hidden="1" customWidth="1"/>
    <col min="1263" max="1263" width="17.42578125" style="365" customWidth="1"/>
    <col min="1264" max="1264" width="0" style="365" hidden="1" customWidth="1"/>
    <col min="1265" max="1265" width="12.85546875" style="365" customWidth="1"/>
    <col min="1266" max="1266" width="0" style="365" hidden="1" customWidth="1"/>
    <col min="1267" max="1267" width="14.42578125" style="365" customWidth="1"/>
    <col min="1268" max="1268" width="0" style="365" hidden="1" customWidth="1"/>
    <col min="1269" max="1269" width="17.42578125" style="365" customWidth="1"/>
    <col min="1270" max="1270" width="0" style="365" hidden="1" customWidth="1"/>
    <col min="1271" max="1271" width="14" style="365" customWidth="1"/>
    <col min="1272" max="1272" width="14.28515625" style="365" bestFit="1" customWidth="1"/>
    <col min="1273" max="1273" width="0" style="365" hidden="1" customWidth="1"/>
    <col min="1274" max="1274" width="15.5703125" style="365" customWidth="1"/>
    <col min="1275" max="1275" width="44.5703125" style="365" customWidth="1"/>
    <col min="1276" max="1276" width="14.28515625" style="365" bestFit="1" customWidth="1"/>
    <col min="1277" max="1277" width="0" style="365" hidden="1" customWidth="1"/>
    <col min="1278" max="1278" width="18.140625" style="365" customWidth="1"/>
    <col min="1279" max="1279" width="0" style="365" hidden="1" customWidth="1"/>
    <col min="1280" max="1280" width="14" style="365" customWidth="1"/>
    <col min="1281" max="1281" width="0" style="365" hidden="1" customWidth="1"/>
    <col min="1282" max="1282" width="20.85546875" style="365" customWidth="1"/>
    <col min="1283" max="1283" width="0" style="365" hidden="1" customWidth="1"/>
    <col min="1284" max="1284" width="13.28515625" style="365" customWidth="1"/>
    <col min="1285" max="1285" width="0" style="365" hidden="1" customWidth="1"/>
    <col min="1286" max="1286" width="15" style="365" customWidth="1"/>
    <col min="1287" max="1287" width="0" style="365" hidden="1" customWidth="1"/>
    <col min="1288" max="1288" width="13.28515625" style="365" customWidth="1"/>
    <col min="1289" max="1289" width="0" style="365" hidden="1" customWidth="1"/>
    <col min="1290" max="1290" width="20.140625" style="365" customWidth="1"/>
    <col min="1291" max="1291" width="14.42578125" style="365" bestFit="1" customWidth="1"/>
    <col min="1292" max="1292" width="14" style="365" bestFit="1" customWidth="1"/>
    <col min="1293" max="1293" width="12.28515625" style="365" bestFit="1" customWidth="1"/>
    <col min="1294" max="1318" width="9.140625" style="365" customWidth="1"/>
    <col min="1319" max="1513" width="8.85546875" style="365"/>
    <col min="1514" max="1514" width="44.5703125" style="365" customWidth="1"/>
    <col min="1515" max="1515" width="14.28515625" style="365" bestFit="1" customWidth="1"/>
    <col min="1516" max="1516" width="1.7109375" style="365" customWidth="1"/>
    <col min="1517" max="1517" width="14.85546875" style="365" customWidth="1"/>
    <col min="1518" max="1518" width="0" style="365" hidden="1" customWidth="1"/>
    <col min="1519" max="1519" width="17.42578125" style="365" customWidth="1"/>
    <col min="1520" max="1520" width="0" style="365" hidden="1" customWidth="1"/>
    <col min="1521" max="1521" width="12.85546875" style="365" customWidth="1"/>
    <col min="1522" max="1522" width="0" style="365" hidden="1" customWidth="1"/>
    <col min="1523" max="1523" width="14.42578125" style="365" customWidth="1"/>
    <col min="1524" max="1524" width="0" style="365" hidden="1" customWidth="1"/>
    <col min="1525" max="1525" width="17.42578125" style="365" customWidth="1"/>
    <col min="1526" max="1526" width="0" style="365" hidden="1" customWidth="1"/>
    <col min="1527" max="1527" width="14" style="365" customWidth="1"/>
    <col min="1528" max="1528" width="14.28515625" style="365" bestFit="1" customWidth="1"/>
    <col min="1529" max="1529" width="0" style="365" hidden="1" customWidth="1"/>
    <col min="1530" max="1530" width="15.5703125" style="365" customWidth="1"/>
    <col min="1531" max="1531" width="44.5703125" style="365" customWidth="1"/>
    <col min="1532" max="1532" width="14.28515625" style="365" bestFit="1" customWidth="1"/>
    <col min="1533" max="1533" width="0" style="365" hidden="1" customWidth="1"/>
    <col min="1534" max="1534" width="18.140625" style="365" customWidth="1"/>
    <col min="1535" max="1535" width="0" style="365" hidden="1" customWidth="1"/>
    <col min="1536" max="1536" width="14" style="365" customWidth="1"/>
    <col min="1537" max="1537" width="0" style="365" hidden="1" customWidth="1"/>
    <col min="1538" max="1538" width="20.85546875" style="365" customWidth="1"/>
    <col min="1539" max="1539" width="0" style="365" hidden="1" customWidth="1"/>
    <col min="1540" max="1540" width="13.28515625" style="365" customWidth="1"/>
    <col min="1541" max="1541" width="0" style="365" hidden="1" customWidth="1"/>
    <col min="1542" max="1542" width="15" style="365" customWidth="1"/>
    <col min="1543" max="1543" width="0" style="365" hidden="1" customWidth="1"/>
    <col min="1544" max="1544" width="13.28515625" style="365" customWidth="1"/>
    <col min="1545" max="1545" width="0" style="365" hidden="1" customWidth="1"/>
    <col min="1546" max="1546" width="20.140625" style="365" customWidth="1"/>
    <col min="1547" max="1547" width="14.42578125" style="365" bestFit="1" customWidth="1"/>
    <col min="1548" max="1548" width="14" style="365" bestFit="1" customWidth="1"/>
    <col min="1549" max="1549" width="12.28515625" style="365" bestFit="1" customWidth="1"/>
    <col min="1550" max="1574" width="9.140625" style="365" customWidth="1"/>
    <col min="1575" max="1769" width="8.85546875" style="365"/>
    <col min="1770" max="1770" width="44.5703125" style="365" customWidth="1"/>
    <col min="1771" max="1771" width="14.28515625" style="365" bestFit="1" customWidth="1"/>
    <col min="1772" max="1772" width="1.7109375" style="365" customWidth="1"/>
    <col min="1773" max="1773" width="14.85546875" style="365" customWidth="1"/>
    <col min="1774" max="1774" width="0" style="365" hidden="1" customWidth="1"/>
    <col min="1775" max="1775" width="17.42578125" style="365" customWidth="1"/>
    <col min="1776" max="1776" width="0" style="365" hidden="1" customWidth="1"/>
    <col min="1777" max="1777" width="12.85546875" style="365" customWidth="1"/>
    <col min="1778" max="1778" width="0" style="365" hidden="1" customWidth="1"/>
    <col min="1779" max="1779" width="14.42578125" style="365" customWidth="1"/>
    <col min="1780" max="1780" width="0" style="365" hidden="1" customWidth="1"/>
    <col min="1781" max="1781" width="17.42578125" style="365" customWidth="1"/>
    <col min="1782" max="1782" width="0" style="365" hidden="1" customWidth="1"/>
    <col min="1783" max="1783" width="14" style="365" customWidth="1"/>
    <col min="1784" max="1784" width="14.28515625" style="365" bestFit="1" customWidth="1"/>
    <col min="1785" max="1785" width="0" style="365" hidden="1" customWidth="1"/>
    <col min="1786" max="1786" width="15.5703125" style="365" customWidth="1"/>
    <col min="1787" max="1787" width="44.5703125" style="365" customWidth="1"/>
    <col min="1788" max="1788" width="14.28515625" style="365" bestFit="1" customWidth="1"/>
    <col min="1789" max="1789" width="0" style="365" hidden="1" customWidth="1"/>
    <col min="1790" max="1790" width="18.140625" style="365" customWidth="1"/>
    <col min="1791" max="1791" width="0" style="365" hidden="1" customWidth="1"/>
    <col min="1792" max="1792" width="14" style="365" customWidth="1"/>
    <col min="1793" max="1793" width="0" style="365" hidden="1" customWidth="1"/>
    <col min="1794" max="1794" width="20.85546875" style="365" customWidth="1"/>
    <col min="1795" max="1795" width="0" style="365" hidden="1" customWidth="1"/>
    <col min="1796" max="1796" width="13.28515625" style="365" customWidth="1"/>
    <col min="1797" max="1797" width="0" style="365" hidden="1" customWidth="1"/>
    <col min="1798" max="1798" width="15" style="365" customWidth="1"/>
    <col min="1799" max="1799" width="0" style="365" hidden="1" customWidth="1"/>
    <col min="1800" max="1800" width="13.28515625" style="365" customWidth="1"/>
    <col min="1801" max="1801" width="0" style="365" hidden="1" customWidth="1"/>
    <col min="1802" max="1802" width="20.140625" style="365" customWidth="1"/>
    <col min="1803" max="1803" width="14.42578125" style="365" bestFit="1" customWidth="1"/>
    <col min="1804" max="1804" width="14" style="365" bestFit="1" customWidth="1"/>
    <col min="1805" max="1805" width="12.28515625" style="365" bestFit="1" customWidth="1"/>
    <col min="1806" max="1830" width="9.140625" style="365" customWidth="1"/>
    <col min="1831" max="2025" width="8.85546875" style="365"/>
    <col min="2026" max="2026" width="44.5703125" style="365" customWidth="1"/>
    <col min="2027" max="2027" width="14.28515625" style="365" bestFit="1" customWidth="1"/>
    <col min="2028" max="2028" width="1.7109375" style="365" customWidth="1"/>
    <col min="2029" max="2029" width="14.85546875" style="365" customWidth="1"/>
    <col min="2030" max="2030" width="0" style="365" hidden="1" customWidth="1"/>
    <col min="2031" max="2031" width="17.42578125" style="365" customWidth="1"/>
    <col min="2032" max="2032" width="0" style="365" hidden="1" customWidth="1"/>
    <col min="2033" max="2033" width="12.85546875" style="365" customWidth="1"/>
    <col min="2034" max="2034" width="0" style="365" hidden="1" customWidth="1"/>
    <col min="2035" max="2035" width="14.42578125" style="365" customWidth="1"/>
    <col min="2036" max="2036" width="0" style="365" hidden="1" customWidth="1"/>
    <col min="2037" max="2037" width="17.42578125" style="365" customWidth="1"/>
    <col min="2038" max="2038" width="0" style="365" hidden="1" customWidth="1"/>
    <col min="2039" max="2039" width="14" style="365" customWidth="1"/>
    <col min="2040" max="2040" width="14.28515625" style="365" bestFit="1" customWidth="1"/>
    <col min="2041" max="2041" width="0" style="365" hidden="1" customWidth="1"/>
    <col min="2042" max="2042" width="15.5703125" style="365" customWidth="1"/>
    <col min="2043" max="2043" width="44.5703125" style="365" customWidth="1"/>
    <col min="2044" max="2044" width="14.28515625" style="365" bestFit="1" customWidth="1"/>
    <col min="2045" max="2045" width="0" style="365" hidden="1" customWidth="1"/>
    <col min="2046" max="2046" width="18.140625" style="365" customWidth="1"/>
    <col min="2047" max="2047" width="0" style="365" hidden="1" customWidth="1"/>
    <col min="2048" max="2048" width="14" style="365" customWidth="1"/>
    <col min="2049" max="2049" width="0" style="365" hidden="1" customWidth="1"/>
    <col min="2050" max="2050" width="20.85546875" style="365" customWidth="1"/>
    <col min="2051" max="2051" width="0" style="365" hidden="1" customWidth="1"/>
    <col min="2052" max="2052" width="13.28515625" style="365" customWidth="1"/>
    <col min="2053" max="2053" width="0" style="365" hidden="1" customWidth="1"/>
    <col min="2054" max="2054" width="15" style="365" customWidth="1"/>
    <col min="2055" max="2055" width="0" style="365" hidden="1" customWidth="1"/>
    <col min="2056" max="2056" width="13.28515625" style="365" customWidth="1"/>
    <col min="2057" max="2057" width="0" style="365" hidden="1" customWidth="1"/>
    <col min="2058" max="2058" width="20.140625" style="365" customWidth="1"/>
    <col min="2059" max="2059" width="14.42578125" style="365" bestFit="1" customWidth="1"/>
    <col min="2060" max="2060" width="14" style="365" bestFit="1" customWidth="1"/>
    <col min="2061" max="2061" width="12.28515625" style="365" bestFit="1" customWidth="1"/>
    <col min="2062" max="2086" width="9.140625" style="365" customWidth="1"/>
    <col min="2087" max="2281" width="8.85546875" style="365"/>
    <col min="2282" max="2282" width="44.5703125" style="365" customWidth="1"/>
    <col min="2283" max="2283" width="14.28515625" style="365" bestFit="1" customWidth="1"/>
    <col min="2284" max="2284" width="1.7109375" style="365" customWidth="1"/>
    <col min="2285" max="2285" width="14.85546875" style="365" customWidth="1"/>
    <col min="2286" max="2286" width="0" style="365" hidden="1" customWidth="1"/>
    <col min="2287" max="2287" width="17.42578125" style="365" customWidth="1"/>
    <col min="2288" max="2288" width="0" style="365" hidden="1" customWidth="1"/>
    <col min="2289" max="2289" width="12.85546875" style="365" customWidth="1"/>
    <col min="2290" max="2290" width="0" style="365" hidden="1" customWidth="1"/>
    <col min="2291" max="2291" width="14.42578125" style="365" customWidth="1"/>
    <col min="2292" max="2292" width="0" style="365" hidden="1" customWidth="1"/>
    <col min="2293" max="2293" width="17.42578125" style="365" customWidth="1"/>
    <col min="2294" max="2294" width="0" style="365" hidden="1" customWidth="1"/>
    <col min="2295" max="2295" width="14" style="365" customWidth="1"/>
    <col min="2296" max="2296" width="14.28515625" style="365" bestFit="1" customWidth="1"/>
    <col min="2297" max="2297" width="0" style="365" hidden="1" customWidth="1"/>
    <col min="2298" max="2298" width="15.5703125" style="365" customWidth="1"/>
    <col min="2299" max="2299" width="44.5703125" style="365" customWidth="1"/>
    <col min="2300" max="2300" width="14.28515625" style="365" bestFit="1" customWidth="1"/>
    <col min="2301" max="2301" width="0" style="365" hidden="1" customWidth="1"/>
    <col min="2302" max="2302" width="18.140625" style="365" customWidth="1"/>
    <col min="2303" max="2303" width="0" style="365" hidden="1" customWidth="1"/>
    <col min="2304" max="2304" width="14" style="365" customWidth="1"/>
    <col min="2305" max="2305" width="0" style="365" hidden="1" customWidth="1"/>
    <col min="2306" max="2306" width="20.85546875" style="365" customWidth="1"/>
    <col min="2307" max="2307" width="0" style="365" hidden="1" customWidth="1"/>
    <col min="2308" max="2308" width="13.28515625" style="365" customWidth="1"/>
    <col min="2309" max="2309" width="0" style="365" hidden="1" customWidth="1"/>
    <col min="2310" max="2310" width="15" style="365" customWidth="1"/>
    <col min="2311" max="2311" width="0" style="365" hidden="1" customWidth="1"/>
    <col min="2312" max="2312" width="13.28515625" style="365" customWidth="1"/>
    <col min="2313" max="2313" width="0" style="365" hidden="1" customWidth="1"/>
    <col min="2314" max="2314" width="20.140625" style="365" customWidth="1"/>
    <col min="2315" max="2315" width="14.42578125" style="365" bestFit="1" customWidth="1"/>
    <col min="2316" max="2316" width="14" style="365" bestFit="1" customWidth="1"/>
    <col min="2317" max="2317" width="12.28515625" style="365" bestFit="1" customWidth="1"/>
    <col min="2318" max="2342" width="9.140625" style="365" customWidth="1"/>
    <col min="2343" max="2537" width="8.85546875" style="365"/>
    <col min="2538" max="2538" width="44.5703125" style="365" customWidth="1"/>
    <col min="2539" max="2539" width="14.28515625" style="365" bestFit="1" customWidth="1"/>
    <col min="2540" max="2540" width="1.7109375" style="365" customWidth="1"/>
    <col min="2541" max="2541" width="14.85546875" style="365" customWidth="1"/>
    <col min="2542" max="2542" width="0" style="365" hidden="1" customWidth="1"/>
    <col min="2543" max="2543" width="17.42578125" style="365" customWidth="1"/>
    <col min="2544" max="2544" width="0" style="365" hidden="1" customWidth="1"/>
    <col min="2545" max="2545" width="12.85546875" style="365" customWidth="1"/>
    <col min="2546" max="2546" width="0" style="365" hidden="1" customWidth="1"/>
    <col min="2547" max="2547" width="14.42578125" style="365" customWidth="1"/>
    <col min="2548" max="2548" width="0" style="365" hidden="1" customWidth="1"/>
    <col min="2549" max="2549" width="17.42578125" style="365" customWidth="1"/>
    <col min="2550" max="2550" width="0" style="365" hidden="1" customWidth="1"/>
    <col min="2551" max="2551" width="14" style="365" customWidth="1"/>
    <col min="2552" max="2552" width="14.28515625" style="365" bestFit="1" customWidth="1"/>
    <col min="2553" max="2553" width="0" style="365" hidden="1" customWidth="1"/>
    <col min="2554" max="2554" width="15.5703125" style="365" customWidth="1"/>
    <col min="2555" max="2555" width="44.5703125" style="365" customWidth="1"/>
    <col min="2556" max="2556" width="14.28515625" style="365" bestFit="1" customWidth="1"/>
    <col min="2557" max="2557" width="0" style="365" hidden="1" customWidth="1"/>
    <col min="2558" max="2558" width="18.140625" style="365" customWidth="1"/>
    <col min="2559" max="2559" width="0" style="365" hidden="1" customWidth="1"/>
    <col min="2560" max="2560" width="14" style="365" customWidth="1"/>
    <col min="2561" max="2561" width="0" style="365" hidden="1" customWidth="1"/>
    <col min="2562" max="2562" width="20.85546875" style="365" customWidth="1"/>
    <col min="2563" max="2563" width="0" style="365" hidden="1" customWidth="1"/>
    <col min="2564" max="2564" width="13.28515625" style="365" customWidth="1"/>
    <col min="2565" max="2565" width="0" style="365" hidden="1" customWidth="1"/>
    <col min="2566" max="2566" width="15" style="365" customWidth="1"/>
    <col min="2567" max="2567" width="0" style="365" hidden="1" customWidth="1"/>
    <col min="2568" max="2568" width="13.28515625" style="365" customWidth="1"/>
    <col min="2569" max="2569" width="0" style="365" hidden="1" customWidth="1"/>
    <col min="2570" max="2570" width="20.140625" style="365" customWidth="1"/>
    <col min="2571" max="2571" width="14.42578125" style="365" bestFit="1" customWidth="1"/>
    <col min="2572" max="2572" width="14" style="365" bestFit="1" customWidth="1"/>
    <col min="2573" max="2573" width="12.28515625" style="365" bestFit="1" customWidth="1"/>
    <col min="2574" max="2598" width="9.140625" style="365" customWidth="1"/>
    <col min="2599" max="2793" width="8.85546875" style="365"/>
    <col min="2794" max="2794" width="44.5703125" style="365" customWidth="1"/>
    <col min="2795" max="2795" width="14.28515625" style="365" bestFit="1" customWidth="1"/>
    <col min="2796" max="2796" width="1.7109375" style="365" customWidth="1"/>
    <col min="2797" max="2797" width="14.85546875" style="365" customWidth="1"/>
    <col min="2798" max="2798" width="0" style="365" hidden="1" customWidth="1"/>
    <col min="2799" max="2799" width="17.42578125" style="365" customWidth="1"/>
    <col min="2800" max="2800" width="0" style="365" hidden="1" customWidth="1"/>
    <col min="2801" max="2801" width="12.85546875" style="365" customWidth="1"/>
    <col min="2802" max="2802" width="0" style="365" hidden="1" customWidth="1"/>
    <col min="2803" max="2803" width="14.42578125" style="365" customWidth="1"/>
    <col min="2804" max="2804" width="0" style="365" hidden="1" customWidth="1"/>
    <col min="2805" max="2805" width="17.42578125" style="365" customWidth="1"/>
    <col min="2806" max="2806" width="0" style="365" hidden="1" customWidth="1"/>
    <col min="2807" max="2807" width="14" style="365" customWidth="1"/>
    <col min="2808" max="2808" width="14.28515625" style="365" bestFit="1" customWidth="1"/>
    <col min="2809" max="2809" width="0" style="365" hidden="1" customWidth="1"/>
    <col min="2810" max="2810" width="15.5703125" style="365" customWidth="1"/>
    <col min="2811" max="2811" width="44.5703125" style="365" customWidth="1"/>
    <col min="2812" max="2812" width="14.28515625" style="365" bestFit="1" customWidth="1"/>
    <col min="2813" max="2813" width="0" style="365" hidden="1" customWidth="1"/>
    <col min="2814" max="2814" width="18.140625" style="365" customWidth="1"/>
    <col min="2815" max="2815" width="0" style="365" hidden="1" customWidth="1"/>
    <col min="2816" max="2816" width="14" style="365" customWidth="1"/>
    <col min="2817" max="2817" width="0" style="365" hidden="1" customWidth="1"/>
    <col min="2818" max="2818" width="20.85546875" style="365" customWidth="1"/>
    <col min="2819" max="2819" width="0" style="365" hidden="1" customWidth="1"/>
    <col min="2820" max="2820" width="13.28515625" style="365" customWidth="1"/>
    <col min="2821" max="2821" width="0" style="365" hidden="1" customWidth="1"/>
    <col min="2822" max="2822" width="15" style="365" customWidth="1"/>
    <col min="2823" max="2823" width="0" style="365" hidden="1" customWidth="1"/>
    <col min="2824" max="2824" width="13.28515625" style="365" customWidth="1"/>
    <col min="2825" max="2825" width="0" style="365" hidden="1" customWidth="1"/>
    <col min="2826" max="2826" width="20.140625" style="365" customWidth="1"/>
    <col min="2827" max="2827" width="14.42578125" style="365" bestFit="1" customWidth="1"/>
    <col min="2828" max="2828" width="14" style="365" bestFit="1" customWidth="1"/>
    <col min="2829" max="2829" width="12.28515625" style="365" bestFit="1" customWidth="1"/>
    <col min="2830" max="2854" width="9.140625" style="365" customWidth="1"/>
    <col min="2855" max="3049" width="8.85546875" style="365"/>
    <col min="3050" max="3050" width="44.5703125" style="365" customWidth="1"/>
    <col min="3051" max="3051" width="14.28515625" style="365" bestFit="1" customWidth="1"/>
    <col min="3052" max="3052" width="1.7109375" style="365" customWidth="1"/>
    <col min="3053" max="3053" width="14.85546875" style="365" customWidth="1"/>
    <col min="3054" max="3054" width="0" style="365" hidden="1" customWidth="1"/>
    <col min="3055" max="3055" width="17.42578125" style="365" customWidth="1"/>
    <col min="3056" max="3056" width="0" style="365" hidden="1" customWidth="1"/>
    <col min="3057" max="3057" width="12.85546875" style="365" customWidth="1"/>
    <col min="3058" max="3058" width="0" style="365" hidden="1" customWidth="1"/>
    <col min="3059" max="3059" width="14.42578125" style="365" customWidth="1"/>
    <col min="3060" max="3060" width="0" style="365" hidden="1" customWidth="1"/>
    <col min="3061" max="3061" width="17.42578125" style="365" customWidth="1"/>
    <col min="3062" max="3062" width="0" style="365" hidden="1" customWidth="1"/>
    <col min="3063" max="3063" width="14" style="365" customWidth="1"/>
    <col min="3064" max="3064" width="14.28515625" style="365" bestFit="1" customWidth="1"/>
    <col min="3065" max="3065" width="0" style="365" hidden="1" customWidth="1"/>
    <col min="3066" max="3066" width="15.5703125" style="365" customWidth="1"/>
    <col min="3067" max="3067" width="44.5703125" style="365" customWidth="1"/>
    <col min="3068" max="3068" width="14.28515625" style="365" bestFit="1" customWidth="1"/>
    <col min="3069" max="3069" width="0" style="365" hidden="1" customWidth="1"/>
    <col min="3070" max="3070" width="18.140625" style="365" customWidth="1"/>
    <col min="3071" max="3071" width="0" style="365" hidden="1" customWidth="1"/>
    <col min="3072" max="3072" width="14" style="365" customWidth="1"/>
    <col min="3073" max="3073" width="0" style="365" hidden="1" customWidth="1"/>
    <col min="3074" max="3074" width="20.85546875" style="365" customWidth="1"/>
    <col min="3075" max="3075" width="0" style="365" hidden="1" customWidth="1"/>
    <col min="3076" max="3076" width="13.28515625" style="365" customWidth="1"/>
    <col min="3077" max="3077" width="0" style="365" hidden="1" customWidth="1"/>
    <col min="3078" max="3078" width="15" style="365" customWidth="1"/>
    <col min="3079" max="3079" width="0" style="365" hidden="1" customWidth="1"/>
    <col min="3080" max="3080" width="13.28515625" style="365" customWidth="1"/>
    <col min="3081" max="3081" width="0" style="365" hidden="1" customWidth="1"/>
    <col min="3082" max="3082" width="20.140625" style="365" customWidth="1"/>
    <col min="3083" max="3083" width="14.42578125" style="365" bestFit="1" customWidth="1"/>
    <col min="3084" max="3084" width="14" style="365" bestFit="1" customWidth="1"/>
    <col min="3085" max="3085" width="12.28515625" style="365" bestFit="1" customWidth="1"/>
    <col min="3086" max="3110" width="9.140625" style="365" customWidth="1"/>
    <col min="3111" max="3305" width="8.85546875" style="365"/>
    <col min="3306" max="3306" width="44.5703125" style="365" customWidth="1"/>
    <col min="3307" max="3307" width="14.28515625" style="365" bestFit="1" customWidth="1"/>
    <col min="3308" max="3308" width="1.7109375" style="365" customWidth="1"/>
    <col min="3309" max="3309" width="14.85546875" style="365" customWidth="1"/>
    <col min="3310" max="3310" width="0" style="365" hidden="1" customWidth="1"/>
    <col min="3311" max="3311" width="17.42578125" style="365" customWidth="1"/>
    <col min="3312" max="3312" width="0" style="365" hidden="1" customWidth="1"/>
    <col min="3313" max="3313" width="12.85546875" style="365" customWidth="1"/>
    <col min="3314" max="3314" width="0" style="365" hidden="1" customWidth="1"/>
    <col min="3315" max="3315" width="14.42578125" style="365" customWidth="1"/>
    <col min="3316" max="3316" width="0" style="365" hidden="1" customWidth="1"/>
    <col min="3317" max="3317" width="17.42578125" style="365" customWidth="1"/>
    <col min="3318" max="3318" width="0" style="365" hidden="1" customWidth="1"/>
    <col min="3319" max="3319" width="14" style="365" customWidth="1"/>
    <col min="3320" max="3320" width="14.28515625" style="365" bestFit="1" customWidth="1"/>
    <col min="3321" max="3321" width="0" style="365" hidden="1" customWidth="1"/>
    <col min="3322" max="3322" width="15.5703125" style="365" customWidth="1"/>
    <col min="3323" max="3323" width="44.5703125" style="365" customWidth="1"/>
    <col min="3324" max="3324" width="14.28515625" style="365" bestFit="1" customWidth="1"/>
    <col min="3325" max="3325" width="0" style="365" hidden="1" customWidth="1"/>
    <col min="3326" max="3326" width="18.140625" style="365" customWidth="1"/>
    <col min="3327" max="3327" width="0" style="365" hidden="1" customWidth="1"/>
    <col min="3328" max="3328" width="14" style="365" customWidth="1"/>
    <col min="3329" max="3329" width="0" style="365" hidden="1" customWidth="1"/>
    <col min="3330" max="3330" width="20.85546875" style="365" customWidth="1"/>
    <col min="3331" max="3331" width="0" style="365" hidden="1" customWidth="1"/>
    <col min="3332" max="3332" width="13.28515625" style="365" customWidth="1"/>
    <col min="3333" max="3333" width="0" style="365" hidden="1" customWidth="1"/>
    <col min="3334" max="3334" width="15" style="365" customWidth="1"/>
    <col min="3335" max="3335" width="0" style="365" hidden="1" customWidth="1"/>
    <col min="3336" max="3336" width="13.28515625" style="365" customWidth="1"/>
    <col min="3337" max="3337" width="0" style="365" hidden="1" customWidth="1"/>
    <col min="3338" max="3338" width="20.140625" style="365" customWidth="1"/>
    <col min="3339" max="3339" width="14.42578125" style="365" bestFit="1" customWidth="1"/>
    <col min="3340" max="3340" width="14" style="365" bestFit="1" customWidth="1"/>
    <col min="3341" max="3341" width="12.28515625" style="365" bestFit="1" customWidth="1"/>
    <col min="3342" max="3366" width="9.140625" style="365" customWidth="1"/>
    <col min="3367" max="3561" width="8.85546875" style="365"/>
    <col min="3562" max="3562" width="44.5703125" style="365" customWidth="1"/>
    <col min="3563" max="3563" width="14.28515625" style="365" bestFit="1" customWidth="1"/>
    <col min="3564" max="3564" width="1.7109375" style="365" customWidth="1"/>
    <col min="3565" max="3565" width="14.85546875" style="365" customWidth="1"/>
    <col min="3566" max="3566" width="0" style="365" hidden="1" customWidth="1"/>
    <col min="3567" max="3567" width="17.42578125" style="365" customWidth="1"/>
    <col min="3568" max="3568" width="0" style="365" hidden="1" customWidth="1"/>
    <col min="3569" max="3569" width="12.85546875" style="365" customWidth="1"/>
    <col min="3570" max="3570" width="0" style="365" hidden="1" customWidth="1"/>
    <col min="3571" max="3571" width="14.42578125" style="365" customWidth="1"/>
    <col min="3572" max="3572" width="0" style="365" hidden="1" customWidth="1"/>
    <col min="3573" max="3573" width="17.42578125" style="365" customWidth="1"/>
    <col min="3574" max="3574" width="0" style="365" hidden="1" customWidth="1"/>
    <col min="3575" max="3575" width="14" style="365" customWidth="1"/>
    <col min="3576" max="3576" width="14.28515625" style="365" bestFit="1" customWidth="1"/>
    <col min="3577" max="3577" width="0" style="365" hidden="1" customWidth="1"/>
    <col min="3578" max="3578" width="15.5703125" style="365" customWidth="1"/>
    <col min="3579" max="3579" width="44.5703125" style="365" customWidth="1"/>
    <col min="3580" max="3580" width="14.28515625" style="365" bestFit="1" customWidth="1"/>
    <col min="3581" max="3581" width="0" style="365" hidden="1" customWidth="1"/>
    <col min="3582" max="3582" width="18.140625" style="365" customWidth="1"/>
    <col min="3583" max="3583" width="0" style="365" hidden="1" customWidth="1"/>
    <col min="3584" max="3584" width="14" style="365" customWidth="1"/>
    <col min="3585" max="3585" width="0" style="365" hidden="1" customWidth="1"/>
    <col min="3586" max="3586" width="20.85546875" style="365" customWidth="1"/>
    <col min="3587" max="3587" width="0" style="365" hidden="1" customWidth="1"/>
    <col min="3588" max="3588" width="13.28515625" style="365" customWidth="1"/>
    <col min="3589" max="3589" width="0" style="365" hidden="1" customWidth="1"/>
    <col min="3590" max="3590" width="15" style="365" customWidth="1"/>
    <col min="3591" max="3591" width="0" style="365" hidden="1" customWidth="1"/>
    <col min="3592" max="3592" width="13.28515625" style="365" customWidth="1"/>
    <col min="3593" max="3593" width="0" style="365" hidden="1" customWidth="1"/>
    <col min="3594" max="3594" width="20.140625" style="365" customWidth="1"/>
    <col min="3595" max="3595" width="14.42578125" style="365" bestFit="1" customWidth="1"/>
    <col min="3596" max="3596" width="14" style="365" bestFit="1" customWidth="1"/>
    <col min="3597" max="3597" width="12.28515625" style="365" bestFit="1" customWidth="1"/>
    <col min="3598" max="3622" width="9.140625" style="365" customWidth="1"/>
    <col min="3623" max="3817" width="8.85546875" style="365"/>
    <col min="3818" max="3818" width="44.5703125" style="365" customWidth="1"/>
    <col min="3819" max="3819" width="14.28515625" style="365" bestFit="1" customWidth="1"/>
    <col min="3820" max="3820" width="1.7109375" style="365" customWidth="1"/>
    <col min="3821" max="3821" width="14.85546875" style="365" customWidth="1"/>
    <col min="3822" max="3822" width="0" style="365" hidden="1" customWidth="1"/>
    <col min="3823" max="3823" width="17.42578125" style="365" customWidth="1"/>
    <col min="3824" max="3824" width="0" style="365" hidden="1" customWidth="1"/>
    <col min="3825" max="3825" width="12.85546875" style="365" customWidth="1"/>
    <col min="3826" max="3826" width="0" style="365" hidden="1" customWidth="1"/>
    <col min="3827" max="3827" width="14.42578125" style="365" customWidth="1"/>
    <col min="3828" max="3828" width="0" style="365" hidden="1" customWidth="1"/>
    <col min="3829" max="3829" width="17.42578125" style="365" customWidth="1"/>
    <col min="3830" max="3830" width="0" style="365" hidden="1" customWidth="1"/>
    <col min="3831" max="3831" width="14" style="365" customWidth="1"/>
    <col min="3832" max="3832" width="14.28515625" style="365" bestFit="1" customWidth="1"/>
    <col min="3833" max="3833" width="0" style="365" hidden="1" customWidth="1"/>
    <col min="3834" max="3834" width="15.5703125" style="365" customWidth="1"/>
    <col min="3835" max="3835" width="44.5703125" style="365" customWidth="1"/>
    <col min="3836" max="3836" width="14.28515625" style="365" bestFit="1" customWidth="1"/>
    <col min="3837" max="3837" width="0" style="365" hidden="1" customWidth="1"/>
    <col min="3838" max="3838" width="18.140625" style="365" customWidth="1"/>
    <col min="3839" max="3839" width="0" style="365" hidden="1" customWidth="1"/>
    <col min="3840" max="3840" width="14" style="365" customWidth="1"/>
    <col min="3841" max="3841" width="0" style="365" hidden="1" customWidth="1"/>
    <col min="3842" max="3842" width="20.85546875" style="365" customWidth="1"/>
    <col min="3843" max="3843" width="0" style="365" hidden="1" customWidth="1"/>
    <col min="3844" max="3844" width="13.28515625" style="365" customWidth="1"/>
    <col min="3845" max="3845" width="0" style="365" hidden="1" customWidth="1"/>
    <col min="3846" max="3846" width="15" style="365" customWidth="1"/>
    <col min="3847" max="3847" width="0" style="365" hidden="1" customWidth="1"/>
    <col min="3848" max="3848" width="13.28515625" style="365" customWidth="1"/>
    <col min="3849" max="3849" width="0" style="365" hidden="1" customWidth="1"/>
    <col min="3850" max="3850" width="20.140625" style="365" customWidth="1"/>
    <col min="3851" max="3851" width="14.42578125" style="365" bestFit="1" customWidth="1"/>
    <col min="3852" max="3852" width="14" style="365" bestFit="1" customWidth="1"/>
    <col min="3853" max="3853" width="12.28515625" style="365" bestFit="1" customWidth="1"/>
    <col min="3854" max="3878" width="9.140625" style="365" customWidth="1"/>
    <col min="3879" max="4073" width="8.85546875" style="365"/>
    <col min="4074" max="4074" width="44.5703125" style="365" customWidth="1"/>
    <col min="4075" max="4075" width="14.28515625" style="365" bestFit="1" customWidth="1"/>
    <col min="4076" max="4076" width="1.7109375" style="365" customWidth="1"/>
    <col min="4077" max="4077" width="14.85546875" style="365" customWidth="1"/>
    <col min="4078" max="4078" width="0" style="365" hidden="1" customWidth="1"/>
    <col min="4079" max="4079" width="17.42578125" style="365" customWidth="1"/>
    <col min="4080" max="4080" width="0" style="365" hidden="1" customWidth="1"/>
    <col min="4081" max="4081" width="12.85546875" style="365" customWidth="1"/>
    <col min="4082" max="4082" width="0" style="365" hidden="1" customWidth="1"/>
    <col min="4083" max="4083" width="14.42578125" style="365" customWidth="1"/>
    <col min="4084" max="4084" width="0" style="365" hidden="1" customWidth="1"/>
    <col min="4085" max="4085" width="17.42578125" style="365" customWidth="1"/>
    <col min="4086" max="4086" width="0" style="365" hidden="1" customWidth="1"/>
    <col min="4087" max="4087" width="14" style="365" customWidth="1"/>
    <col min="4088" max="4088" width="14.28515625" style="365" bestFit="1" customWidth="1"/>
    <col min="4089" max="4089" width="0" style="365" hidden="1" customWidth="1"/>
    <col min="4090" max="4090" width="15.5703125" style="365" customWidth="1"/>
    <col min="4091" max="4091" width="44.5703125" style="365" customWidth="1"/>
    <col min="4092" max="4092" width="14.28515625" style="365" bestFit="1" customWidth="1"/>
    <col min="4093" max="4093" width="0" style="365" hidden="1" customWidth="1"/>
    <col min="4094" max="4094" width="18.140625" style="365" customWidth="1"/>
    <col min="4095" max="4095" width="0" style="365" hidden="1" customWidth="1"/>
    <col min="4096" max="4096" width="14" style="365" customWidth="1"/>
    <col min="4097" max="4097" width="0" style="365" hidden="1" customWidth="1"/>
    <col min="4098" max="4098" width="20.85546875" style="365" customWidth="1"/>
    <col min="4099" max="4099" width="0" style="365" hidden="1" customWidth="1"/>
    <col min="4100" max="4100" width="13.28515625" style="365" customWidth="1"/>
    <col min="4101" max="4101" width="0" style="365" hidden="1" customWidth="1"/>
    <col min="4102" max="4102" width="15" style="365" customWidth="1"/>
    <col min="4103" max="4103" width="0" style="365" hidden="1" customWidth="1"/>
    <col min="4104" max="4104" width="13.28515625" style="365" customWidth="1"/>
    <col min="4105" max="4105" width="0" style="365" hidden="1" customWidth="1"/>
    <col min="4106" max="4106" width="20.140625" style="365" customWidth="1"/>
    <col min="4107" max="4107" width="14.42578125" style="365" bestFit="1" customWidth="1"/>
    <col min="4108" max="4108" width="14" style="365" bestFit="1" customWidth="1"/>
    <col min="4109" max="4109" width="12.28515625" style="365" bestFit="1" customWidth="1"/>
    <col min="4110" max="4134" width="9.140625" style="365" customWidth="1"/>
    <col min="4135" max="4329" width="8.85546875" style="365"/>
    <col min="4330" max="4330" width="44.5703125" style="365" customWidth="1"/>
    <col min="4331" max="4331" width="14.28515625" style="365" bestFit="1" customWidth="1"/>
    <col min="4332" max="4332" width="1.7109375" style="365" customWidth="1"/>
    <col min="4333" max="4333" width="14.85546875" style="365" customWidth="1"/>
    <col min="4334" max="4334" width="0" style="365" hidden="1" customWidth="1"/>
    <col min="4335" max="4335" width="17.42578125" style="365" customWidth="1"/>
    <col min="4336" max="4336" width="0" style="365" hidden="1" customWidth="1"/>
    <col min="4337" max="4337" width="12.85546875" style="365" customWidth="1"/>
    <col min="4338" max="4338" width="0" style="365" hidden="1" customWidth="1"/>
    <col min="4339" max="4339" width="14.42578125" style="365" customWidth="1"/>
    <col min="4340" max="4340" width="0" style="365" hidden="1" customWidth="1"/>
    <col min="4341" max="4341" width="17.42578125" style="365" customWidth="1"/>
    <col min="4342" max="4342" width="0" style="365" hidden="1" customWidth="1"/>
    <col min="4343" max="4343" width="14" style="365" customWidth="1"/>
    <col min="4344" max="4344" width="14.28515625" style="365" bestFit="1" customWidth="1"/>
    <col min="4345" max="4345" width="0" style="365" hidden="1" customWidth="1"/>
    <col min="4346" max="4346" width="15.5703125" style="365" customWidth="1"/>
    <col min="4347" max="4347" width="44.5703125" style="365" customWidth="1"/>
    <col min="4348" max="4348" width="14.28515625" style="365" bestFit="1" customWidth="1"/>
    <col min="4349" max="4349" width="0" style="365" hidden="1" customWidth="1"/>
    <col min="4350" max="4350" width="18.140625" style="365" customWidth="1"/>
    <col min="4351" max="4351" width="0" style="365" hidden="1" customWidth="1"/>
    <col min="4352" max="4352" width="14" style="365" customWidth="1"/>
    <col min="4353" max="4353" width="0" style="365" hidden="1" customWidth="1"/>
    <col min="4354" max="4354" width="20.85546875" style="365" customWidth="1"/>
    <col min="4355" max="4355" width="0" style="365" hidden="1" customWidth="1"/>
    <col min="4356" max="4356" width="13.28515625" style="365" customWidth="1"/>
    <col min="4357" max="4357" width="0" style="365" hidden="1" customWidth="1"/>
    <col min="4358" max="4358" width="15" style="365" customWidth="1"/>
    <col min="4359" max="4359" width="0" style="365" hidden="1" customWidth="1"/>
    <col min="4360" max="4360" width="13.28515625" style="365" customWidth="1"/>
    <col min="4361" max="4361" width="0" style="365" hidden="1" customWidth="1"/>
    <col min="4362" max="4362" width="20.140625" style="365" customWidth="1"/>
    <col min="4363" max="4363" width="14.42578125" style="365" bestFit="1" customWidth="1"/>
    <col min="4364" max="4364" width="14" style="365" bestFit="1" customWidth="1"/>
    <col min="4365" max="4365" width="12.28515625" style="365" bestFit="1" customWidth="1"/>
    <col min="4366" max="4390" width="9.140625" style="365" customWidth="1"/>
    <col min="4391" max="4585" width="8.85546875" style="365"/>
    <col min="4586" max="4586" width="44.5703125" style="365" customWidth="1"/>
    <col min="4587" max="4587" width="14.28515625" style="365" bestFit="1" customWidth="1"/>
    <col min="4588" max="4588" width="1.7109375" style="365" customWidth="1"/>
    <col min="4589" max="4589" width="14.85546875" style="365" customWidth="1"/>
    <col min="4590" max="4590" width="0" style="365" hidden="1" customWidth="1"/>
    <col min="4591" max="4591" width="17.42578125" style="365" customWidth="1"/>
    <col min="4592" max="4592" width="0" style="365" hidden="1" customWidth="1"/>
    <col min="4593" max="4593" width="12.85546875" style="365" customWidth="1"/>
    <col min="4594" max="4594" width="0" style="365" hidden="1" customWidth="1"/>
    <col min="4595" max="4595" width="14.42578125" style="365" customWidth="1"/>
    <col min="4596" max="4596" width="0" style="365" hidden="1" customWidth="1"/>
    <col min="4597" max="4597" width="17.42578125" style="365" customWidth="1"/>
    <col min="4598" max="4598" width="0" style="365" hidden="1" customWidth="1"/>
    <col min="4599" max="4599" width="14" style="365" customWidth="1"/>
    <col min="4600" max="4600" width="14.28515625" style="365" bestFit="1" customWidth="1"/>
    <col min="4601" max="4601" width="0" style="365" hidden="1" customWidth="1"/>
    <col min="4602" max="4602" width="15.5703125" style="365" customWidth="1"/>
    <col min="4603" max="4603" width="44.5703125" style="365" customWidth="1"/>
    <col min="4604" max="4604" width="14.28515625" style="365" bestFit="1" customWidth="1"/>
    <col min="4605" max="4605" width="0" style="365" hidden="1" customWidth="1"/>
    <col min="4606" max="4606" width="18.140625" style="365" customWidth="1"/>
    <col min="4607" max="4607" width="0" style="365" hidden="1" customWidth="1"/>
    <col min="4608" max="4608" width="14" style="365" customWidth="1"/>
    <col min="4609" max="4609" width="0" style="365" hidden="1" customWidth="1"/>
    <col min="4610" max="4610" width="20.85546875" style="365" customWidth="1"/>
    <col min="4611" max="4611" width="0" style="365" hidden="1" customWidth="1"/>
    <col min="4612" max="4612" width="13.28515625" style="365" customWidth="1"/>
    <col min="4613" max="4613" width="0" style="365" hidden="1" customWidth="1"/>
    <col min="4614" max="4614" width="15" style="365" customWidth="1"/>
    <col min="4615" max="4615" width="0" style="365" hidden="1" customWidth="1"/>
    <col min="4616" max="4616" width="13.28515625" style="365" customWidth="1"/>
    <col min="4617" max="4617" width="0" style="365" hidden="1" customWidth="1"/>
    <col min="4618" max="4618" width="20.140625" style="365" customWidth="1"/>
    <col min="4619" max="4619" width="14.42578125" style="365" bestFit="1" customWidth="1"/>
    <col min="4620" max="4620" width="14" style="365" bestFit="1" customWidth="1"/>
    <col min="4621" max="4621" width="12.28515625" style="365" bestFit="1" customWidth="1"/>
    <col min="4622" max="4646" width="9.140625" style="365" customWidth="1"/>
    <col min="4647" max="4841" width="8.85546875" style="365"/>
    <col min="4842" max="4842" width="44.5703125" style="365" customWidth="1"/>
    <col min="4843" max="4843" width="14.28515625" style="365" bestFit="1" customWidth="1"/>
    <col min="4844" max="4844" width="1.7109375" style="365" customWidth="1"/>
    <col min="4845" max="4845" width="14.85546875" style="365" customWidth="1"/>
    <col min="4846" max="4846" width="0" style="365" hidden="1" customWidth="1"/>
    <col min="4847" max="4847" width="17.42578125" style="365" customWidth="1"/>
    <col min="4848" max="4848" width="0" style="365" hidden="1" customWidth="1"/>
    <col min="4849" max="4849" width="12.85546875" style="365" customWidth="1"/>
    <col min="4850" max="4850" width="0" style="365" hidden="1" customWidth="1"/>
    <col min="4851" max="4851" width="14.42578125" style="365" customWidth="1"/>
    <col min="4852" max="4852" width="0" style="365" hidden="1" customWidth="1"/>
    <col min="4853" max="4853" width="17.42578125" style="365" customWidth="1"/>
    <col min="4854" max="4854" width="0" style="365" hidden="1" customWidth="1"/>
    <col min="4855" max="4855" width="14" style="365" customWidth="1"/>
    <col min="4856" max="4856" width="14.28515625" style="365" bestFit="1" customWidth="1"/>
    <col min="4857" max="4857" width="0" style="365" hidden="1" customWidth="1"/>
    <col min="4858" max="4858" width="15.5703125" style="365" customWidth="1"/>
    <col min="4859" max="4859" width="44.5703125" style="365" customWidth="1"/>
    <col min="4860" max="4860" width="14.28515625" style="365" bestFit="1" customWidth="1"/>
    <col min="4861" max="4861" width="0" style="365" hidden="1" customWidth="1"/>
    <col min="4862" max="4862" width="18.140625" style="365" customWidth="1"/>
    <col min="4863" max="4863" width="0" style="365" hidden="1" customWidth="1"/>
    <col min="4864" max="4864" width="14" style="365" customWidth="1"/>
    <col min="4865" max="4865" width="0" style="365" hidden="1" customWidth="1"/>
    <col min="4866" max="4866" width="20.85546875" style="365" customWidth="1"/>
    <col min="4867" max="4867" width="0" style="365" hidden="1" customWidth="1"/>
    <col min="4868" max="4868" width="13.28515625" style="365" customWidth="1"/>
    <col min="4869" max="4869" width="0" style="365" hidden="1" customWidth="1"/>
    <col min="4870" max="4870" width="15" style="365" customWidth="1"/>
    <col min="4871" max="4871" width="0" style="365" hidden="1" customWidth="1"/>
    <col min="4872" max="4872" width="13.28515625" style="365" customWidth="1"/>
    <col min="4873" max="4873" width="0" style="365" hidden="1" customWidth="1"/>
    <col min="4874" max="4874" width="20.140625" style="365" customWidth="1"/>
    <col min="4875" max="4875" width="14.42578125" style="365" bestFit="1" customWidth="1"/>
    <col min="4876" max="4876" width="14" style="365" bestFit="1" customWidth="1"/>
    <col min="4877" max="4877" width="12.28515625" style="365" bestFit="1" customWidth="1"/>
    <col min="4878" max="4902" width="9.140625" style="365" customWidth="1"/>
    <col min="4903" max="5097" width="8.85546875" style="365"/>
    <col min="5098" max="5098" width="44.5703125" style="365" customWidth="1"/>
    <col min="5099" max="5099" width="14.28515625" style="365" bestFit="1" customWidth="1"/>
    <col min="5100" max="5100" width="1.7109375" style="365" customWidth="1"/>
    <col min="5101" max="5101" width="14.85546875" style="365" customWidth="1"/>
    <col min="5102" max="5102" width="0" style="365" hidden="1" customWidth="1"/>
    <col min="5103" max="5103" width="17.42578125" style="365" customWidth="1"/>
    <col min="5104" max="5104" width="0" style="365" hidden="1" customWidth="1"/>
    <col min="5105" max="5105" width="12.85546875" style="365" customWidth="1"/>
    <col min="5106" max="5106" width="0" style="365" hidden="1" customWidth="1"/>
    <col min="5107" max="5107" width="14.42578125" style="365" customWidth="1"/>
    <col min="5108" max="5108" width="0" style="365" hidden="1" customWidth="1"/>
    <col min="5109" max="5109" width="17.42578125" style="365" customWidth="1"/>
    <col min="5110" max="5110" width="0" style="365" hidden="1" customWidth="1"/>
    <col min="5111" max="5111" width="14" style="365" customWidth="1"/>
    <col min="5112" max="5112" width="14.28515625" style="365" bestFit="1" customWidth="1"/>
    <col min="5113" max="5113" width="0" style="365" hidden="1" customWidth="1"/>
    <col min="5114" max="5114" width="15.5703125" style="365" customWidth="1"/>
    <col min="5115" max="5115" width="44.5703125" style="365" customWidth="1"/>
    <col min="5116" max="5116" width="14.28515625" style="365" bestFit="1" customWidth="1"/>
    <col min="5117" max="5117" width="0" style="365" hidden="1" customWidth="1"/>
    <col min="5118" max="5118" width="18.140625" style="365" customWidth="1"/>
    <col min="5119" max="5119" width="0" style="365" hidden="1" customWidth="1"/>
    <col min="5120" max="5120" width="14" style="365" customWidth="1"/>
    <col min="5121" max="5121" width="0" style="365" hidden="1" customWidth="1"/>
    <col min="5122" max="5122" width="20.85546875" style="365" customWidth="1"/>
    <col min="5123" max="5123" width="0" style="365" hidden="1" customWidth="1"/>
    <col min="5124" max="5124" width="13.28515625" style="365" customWidth="1"/>
    <col min="5125" max="5125" width="0" style="365" hidden="1" customWidth="1"/>
    <col min="5126" max="5126" width="15" style="365" customWidth="1"/>
    <col min="5127" max="5127" width="0" style="365" hidden="1" customWidth="1"/>
    <col min="5128" max="5128" width="13.28515625" style="365" customWidth="1"/>
    <col min="5129" max="5129" width="0" style="365" hidden="1" customWidth="1"/>
    <col min="5130" max="5130" width="20.140625" style="365" customWidth="1"/>
    <col min="5131" max="5131" width="14.42578125" style="365" bestFit="1" customWidth="1"/>
    <col min="5132" max="5132" width="14" style="365" bestFit="1" customWidth="1"/>
    <col min="5133" max="5133" width="12.28515625" style="365" bestFit="1" customWidth="1"/>
    <col min="5134" max="5158" width="9.140625" style="365" customWidth="1"/>
    <col min="5159" max="5353" width="8.85546875" style="365"/>
    <col min="5354" max="5354" width="44.5703125" style="365" customWidth="1"/>
    <col min="5355" max="5355" width="14.28515625" style="365" bestFit="1" customWidth="1"/>
    <col min="5356" max="5356" width="1.7109375" style="365" customWidth="1"/>
    <col min="5357" max="5357" width="14.85546875" style="365" customWidth="1"/>
    <col min="5358" max="5358" width="0" style="365" hidden="1" customWidth="1"/>
    <col min="5359" max="5359" width="17.42578125" style="365" customWidth="1"/>
    <col min="5360" max="5360" width="0" style="365" hidden="1" customWidth="1"/>
    <col min="5361" max="5361" width="12.85546875" style="365" customWidth="1"/>
    <col min="5362" max="5362" width="0" style="365" hidden="1" customWidth="1"/>
    <col min="5363" max="5363" width="14.42578125" style="365" customWidth="1"/>
    <col min="5364" max="5364" width="0" style="365" hidden="1" customWidth="1"/>
    <col min="5365" max="5365" width="17.42578125" style="365" customWidth="1"/>
    <col min="5366" max="5366" width="0" style="365" hidden="1" customWidth="1"/>
    <col min="5367" max="5367" width="14" style="365" customWidth="1"/>
    <col min="5368" max="5368" width="14.28515625" style="365" bestFit="1" customWidth="1"/>
    <col min="5369" max="5369" width="0" style="365" hidden="1" customWidth="1"/>
    <col min="5370" max="5370" width="15.5703125" style="365" customWidth="1"/>
    <col min="5371" max="5371" width="44.5703125" style="365" customWidth="1"/>
    <col min="5372" max="5372" width="14.28515625" style="365" bestFit="1" customWidth="1"/>
    <col min="5373" max="5373" width="0" style="365" hidden="1" customWidth="1"/>
    <col min="5374" max="5374" width="18.140625" style="365" customWidth="1"/>
    <col min="5375" max="5375" width="0" style="365" hidden="1" customWidth="1"/>
    <col min="5376" max="5376" width="14" style="365" customWidth="1"/>
    <col min="5377" max="5377" width="0" style="365" hidden="1" customWidth="1"/>
    <col min="5378" max="5378" width="20.85546875" style="365" customWidth="1"/>
    <col min="5379" max="5379" width="0" style="365" hidden="1" customWidth="1"/>
    <col min="5380" max="5380" width="13.28515625" style="365" customWidth="1"/>
    <col min="5381" max="5381" width="0" style="365" hidden="1" customWidth="1"/>
    <col min="5382" max="5382" width="15" style="365" customWidth="1"/>
    <col min="5383" max="5383" width="0" style="365" hidden="1" customWidth="1"/>
    <col min="5384" max="5384" width="13.28515625" style="365" customWidth="1"/>
    <col min="5385" max="5385" width="0" style="365" hidden="1" customWidth="1"/>
    <col min="5386" max="5386" width="20.140625" style="365" customWidth="1"/>
    <col min="5387" max="5387" width="14.42578125" style="365" bestFit="1" customWidth="1"/>
    <col min="5388" max="5388" width="14" style="365" bestFit="1" customWidth="1"/>
    <col min="5389" max="5389" width="12.28515625" style="365" bestFit="1" customWidth="1"/>
    <col min="5390" max="5414" width="9.140625" style="365" customWidth="1"/>
    <col min="5415" max="5609" width="8.85546875" style="365"/>
    <col min="5610" max="5610" width="44.5703125" style="365" customWidth="1"/>
    <col min="5611" max="5611" width="14.28515625" style="365" bestFit="1" customWidth="1"/>
    <col min="5612" max="5612" width="1.7109375" style="365" customWidth="1"/>
    <col min="5613" max="5613" width="14.85546875" style="365" customWidth="1"/>
    <col min="5614" max="5614" width="0" style="365" hidden="1" customWidth="1"/>
    <col min="5615" max="5615" width="17.42578125" style="365" customWidth="1"/>
    <col min="5616" max="5616" width="0" style="365" hidden="1" customWidth="1"/>
    <col min="5617" max="5617" width="12.85546875" style="365" customWidth="1"/>
    <col min="5618" max="5618" width="0" style="365" hidden="1" customWidth="1"/>
    <col min="5619" max="5619" width="14.42578125" style="365" customWidth="1"/>
    <col min="5620" max="5620" width="0" style="365" hidden="1" customWidth="1"/>
    <col min="5621" max="5621" width="17.42578125" style="365" customWidth="1"/>
    <col min="5622" max="5622" width="0" style="365" hidden="1" customWidth="1"/>
    <col min="5623" max="5623" width="14" style="365" customWidth="1"/>
    <col min="5624" max="5624" width="14.28515625" style="365" bestFit="1" customWidth="1"/>
    <col min="5625" max="5625" width="0" style="365" hidden="1" customWidth="1"/>
    <col min="5626" max="5626" width="15.5703125" style="365" customWidth="1"/>
    <col min="5627" max="5627" width="44.5703125" style="365" customWidth="1"/>
    <col min="5628" max="5628" width="14.28515625" style="365" bestFit="1" customWidth="1"/>
    <col min="5629" max="5629" width="0" style="365" hidden="1" customWidth="1"/>
    <col min="5630" max="5630" width="18.140625" style="365" customWidth="1"/>
    <col min="5631" max="5631" width="0" style="365" hidden="1" customWidth="1"/>
    <col min="5632" max="5632" width="14" style="365" customWidth="1"/>
    <col min="5633" max="5633" width="0" style="365" hidden="1" customWidth="1"/>
    <col min="5634" max="5634" width="20.85546875" style="365" customWidth="1"/>
    <col min="5635" max="5635" width="0" style="365" hidden="1" customWidth="1"/>
    <col min="5636" max="5636" width="13.28515625" style="365" customWidth="1"/>
    <col min="5637" max="5637" width="0" style="365" hidden="1" customWidth="1"/>
    <col min="5638" max="5638" width="15" style="365" customWidth="1"/>
    <col min="5639" max="5639" width="0" style="365" hidden="1" customWidth="1"/>
    <col min="5640" max="5640" width="13.28515625" style="365" customWidth="1"/>
    <col min="5641" max="5641" width="0" style="365" hidden="1" customWidth="1"/>
    <col min="5642" max="5642" width="20.140625" style="365" customWidth="1"/>
    <col min="5643" max="5643" width="14.42578125" style="365" bestFit="1" customWidth="1"/>
    <col min="5644" max="5644" width="14" style="365" bestFit="1" customWidth="1"/>
    <col min="5645" max="5645" width="12.28515625" style="365" bestFit="1" customWidth="1"/>
    <col min="5646" max="5670" width="9.140625" style="365" customWidth="1"/>
    <col min="5671" max="5865" width="8.85546875" style="365"/>
    <col min="5866" max="5866" width="44.5703125" style="365" customWidth="1"/>
    <col min="5867" max="5867" width="14.28515625" style="365" bestFit="1" customWidth="1"/>
    <col min="5868" max="5868" width="1.7109375" style="365" customWidth="1"/>
    <col min="5869" max="5869" width="14.85546875" style="365" customWidth="1"/>
    <col min="5870" max="5870" width="0" style="365" hidden="1" customWidth="1"/>
    <col min="5871" max="5871" width="17.42578125" style="365" customWidth="1"/>
    <col min="5872" max="5872" width="0" style="365" hidden="1" customWidth="1"/>
    <col min="5873" max="5873" width="12.85546875" style="365" customWidth="1"/>
    <col min="5874" max="5874" width="0" style="365" hidden="1" customWidth="1"/>
    <col min="5875" max="5875" width="14.42578125" style="365" customWidth="1"/>
    <col min="5876" max="5876" width="0" style="365" hidden="1" customWidth="1"/>
    <col min="5877" max="5877" width="17.42578125" style="365" customWidth="1"/>
    <col min="5878" max="5878" width="0" style="365" hidden="1" customWidth="1"/>
    <col min="5879" max="5879" width="14" style="365" customWidth="1"/>
    <col min="5880" max="5880" width="14.28515625" style="365" bestFit="1" customWidth="1"/>
    <col min="5881" max="5881" width="0" style="365" hidden="1" customWidth="1"/>
    <col min="5882" max="5882" width="15.5703125" style="365" customWidth="1"/>
    <col min="5883" max="5883" width="44.5703125" style="365" customWidth="1"/>
    <col min="5884" max="5884" width="14.28515625" style="365" bestFit="1" customWidth="1"/>
    <col min="5885" max="5885" width="0" style="365" hidden="1" customWidth="1"/>
    <col min="5886" max="5886" width="18.140625" style="365" customWidth="1"/>
    <col min="5887" max="5887" width="0" style="365" hidden="1" customWidth="1"/>
    <col min="5888" max="5888" width="14" style="365" customWidth="1"/>
    <col min="5889" max="5889" width="0" style="365" hidden="1" customWidth="1"/>
    <col min="5890" max="5890" width="20.85546875" style="365" customWidth="1"/>
    <col min="5891" max="5891" width="0" style="365" hidden="1" customWidth="1"/>
    <col min="5892" max="5892" width="13.28515625" style="365" customWidth="1"/>
    <col min="5893" max="5893" width="0" style="365" hidden="1" customWidth="1"/>
    <col min="5894" max="5894" width="15" style="365" customWidth="1"/>
    <col min="5895" max="5895" width="0" style="365" hidden="1" customWidth="1"/>
    <col min="5896" max="5896" width="13.28515625" style="365" customWidth="1"/>
    <col min="5897" max="5897" width="0" style="365" hidden="1" customWidth="1"/>
    <col min="5898" max="5898" width="20.140625" style="365" customWidth="1"/>
    <col min="5899" max="5899" width="14.42578125" style="365" bestFit="1" customWidth="1"/>
    <col min="5900" max="5900" width="14" style="365" bestFit="1" customWidth="1"/>
    <col min="5901" max="5901" width="12.28515625" style="365" bestFit="1" customWidth="1"/>
    <col min="5902" max="5926" width="9.140625" style="365" customWidth="1"/>
    <col min="5927" max="6121" width="8.85546875" style="365"/>
    <col min="6122" max="6122" width="44.5703125" style="365" customWidth="1"/>
    <col min="6123" max="6123" width="14.28515625" style="365" bestFit="1" customWidth="1"/>
    <col min="6124" max="6124" width="1.7109375" style="365" customWidth="1"/>
    <col min="6125" max="6125" width="14.85546875" style="365" customWidth="1"/>
    <col min="6126" max="6126" width="0" style="365" hidden="1" customWidth="1"/>
    <col min="6127" max="6127" width="17.42578125" style="365" customWidth="1"/>
    <col min="6128" max="6128" width="0" style="365" hidden="1" customWidth="1"/>
    <col min="6129" max="6129" width="12.85546875" style="365" customWidth="1"/>
    <col min="6130" max="6130" width="0" style="365" hidden="1" customWidth="1"/>
    <col min="6131" max="6131" width="14.42578125" style="365" customWidth="1"/>
    <col min="6132" max="6132" width="0" style="365" hidden="1" customWidth="1"/>
    <col min="6133" max="6133" width="17.42578125" style="365" customWidth="1"/>
    <col min="6134" max="6134" width="0" style="365" hidden="1" customWidth="1"/>
    <col min="6135" max="6135" width="14" style="365" customWidth="1"/>
    <col min="6136" max="6136" width="14.28515625" style="365" bestFit="1" customWidth="1"/>
    <col min="6137" max="6137" width="0" style="365" hidden="1" customWidth="1"/>
    <col min="6138" max="6138" width="15.5703125" style="365" customWidth="1"/>
    <col min="6139" max="6139" width="44.5703125" style="365" customWidth="1"/>
    <col min="6140" max="6140" width="14.28515625" style="365" bestFit="1" customWidth="1"/>
    <col min="6141" max="6141" width="0" style="365" hidden="1" customWidth="1"/>
    <col min="6142" max="6142" width="18.140625" style="365" customWidth="1"/>
    <col min="6143" max="6143" width="0" style="365" hidden="1" customWidth="1"/>
    <col min="6144" max="6144" width="14" style="365" customWidth="1"/>
    <col min="6145" max="6145" width="0" style="365" hidden="1" customWidth="1"/>
    <col min="6146" max="6146" width="20.85546875" style="365" customWidth="1"/>
    <col min="6147" max="6147" width="0" style="365" hidden="1" customWidth="1"/>
    <col min="6148" max="6148" width="13.28515625" style="365" customWidth="1"/>
    <col min="6149" max="6149" width="0" style="365" hidden="1" customWidth="1"/>
    <col min="6150" max="6150" width="15" style="365" customWidth="1"/>
    <col min="6151" max="6151" width="0" style="365" hidden="1" customWidth="1"/>
    <col min="6152" max="6152" width="13.28515625" style="365" customWidth="1"/>
    <col min="6153" max="6153" width="0" style="365" hidden="1" customWidth="1"/>
    <col min="6154" max="6154" width="20.140625" style="365" customWidth="1"/>
    <col min="6155" max="6155" width="14.42578125" style="365" bestFit="1" customWidth="1"/>
    <col min="6156" max="6156" width="14" style="365" bestFit="1" customWidth="1"/>
    <col min="6157" max="6157" width="12.28515625" style="365" bestFit="1" customWidth="1"/>
    <col min="6158" max="6182" width="9.140625" style="365" customWidth="1"/>
    <col min="6183" max="6377" width="8.85546875" style="365"/>
    <col min="6378" max="6378" width="44.5703125" style="365" customWidth="1"/>
    <col min="6379" max="6379" width="14.28515625" style="365" bestFit="1" customWidth="1"/>
    <col min="6380" max="6380" width="1.7109375" style="365" customWidth="1"/>
    <col min="6381" max="6381" width="14.85546875" style="365" customWidth="1"/>
    <col min="6382" max="6382" width="0" style="365" hidden="1" customWidth="1"/>
    <col min="6383" max="6383" width="17.42578125" style="365" customWidth="1"/>
    <col min="6384" max="6384" width="0" style="365" hidden="1" customWidth="1"/>
    <col min="6385" max="6385" width="12.85546875" style="365" customWidth="1"/>
    <col min="6386" max="6386" width="0" style="365" hidden="1" customWidth="1"/>
    <col min="6387" max="6387" width="14.42578125" style="365" customWidth="1"/>
    <col min="6388" max="6388" width="0" style="365" hidden="1" customWidth="1"/>
    <col min="6389" max="6389" width="17.42578125" style="365" customWidth="1"/>
    <col min="6390" max="6390" width="0" style="365" hidden="1" customWidth="1"/>
    <col min="6391" max="6391" width="14" style="365" customWidth="1"/>
    <col min="6392" max="6392" width="14.28515625" style="365" bestFit="1" customWidth="1"/>
    <col min="6393" max="6393" width="0" style="365" hidden="1" customWidth="1"/>
    <col min="6394" max="6394" width="15.5703125" style="365" customWidth="1"/>
    <col min="6395" max="6395" width="44.5703125" style="365" customWidth="1"/>
    <col min="6396" max="6396" width="14.28515625" style="365" bestFit="1" customWidth="1"/>
    <col min="6397" max="6397" width="0" style="365" hidden="1" customWidth="1"/>
    <col min="6398" max="6398" width="18.140625" style="365" customWidth="1"/>
    <col min="6399" max="6399" width="0" style="365" hidden="1" customWidth="1"/>
    <col min="6400" max="6400" width="14" style="365" customWidth="1"/>
    <col min="6401" max="6401" width="0" style="365" hidden="1" customWidth="1"/>
    <col min="6402" max="6402" width="20.85546875" style="365" customWidth="1"/>
    <col min="6403" max="6403" width="0" style="365" hidden="1" customWidth="1"/>
    <col min="6404" max="6404" width="13.28515625" style="365" customWidth="1"/>
    <col min="6405" max="6405" width="0" style="365" hidden="1" customWidth="1"/>
    <col min="6406" max="6406" width="15" style="365" customWidth="1"/>
    <col min="6407" max="6407" width="0" style="365" hidden="1" customWidth="1"/>
    <col min="6408" max="6408" width="13.28515625" style="365" customWidth="1"/>
    <col min="6409" max="6409" width="0" style="365" hidden="1" customWidth="1"/>
    <col min="6410" max="6410" width="20.140625" style="365" customWidth="1"/>
    <col min="6411" max="6411" width="14.42578125" style="365" bestFit="1" customWidth="1"/>
    <col min="6412" max="6412" width="14" style="365" bestFit="1" customWidth="1"/>
    <col min="6413" max="6413" width="12.28515625" style="365" bestFit="1" customWidth="1"/>
    <col min="6414" max="6438" width="9.140625" style="365" customWidth="1"/>
    <col min="6439" max="6633" width="8.85546875" style="365"/>
    <col min="6634" max="6634" width="44.5703125" style="365" customWidth="1"/>
    <col min="6635" max="6635" width="14.28515625" style="365" bestFit="1" customWidth="1"/>
    <col min="6636" max="6636" width="1.7109375" style="365" customWidth="1"/>
    <col min="6637" max="6637" width="14.85546875" style="365" customWidth="1"/>
    <col min="6638" max="6638" width="0" style="365" hidden="1" customWidth="1"/>
    <col min="6639" max="6639" width="17.42578125" style="365" customWidth="1"/>
    <col min="6640" max="6640" width="0" style="365" hidden="1" customWidth="1"/>
    <col min="6641" max="6641" width="12.85546875" style="365" customWidth="1"/>
    <col min="6642" max="6642" width="0" style="365" hidden="1" customWidth="1"/>
    <col min="6643" max="6643" width="14.42578125" style="365" customWidth="1"/>
    <col min="6644" max="6644" width="0" style="365" hidden="1" customWidth="1"/>
    <col min="6645" max="6645" width="17.42578125" style="365" customWidth="1"/>
    <col min="6646" max="6646" width="0" style="365" hidden="1" customWidth="1"/>
    <col min="6647" max="6647" width="14" style="365" customWidth="1"/>
    <col min="6648" max="6648" width="14.28515625" style="365" bestFit="1" customWidth="1"/>
    <col min="6649" max="6649" width="0" style="365" hidden="1" customWidth="1"/>
    <col min="6650" max="6650" width="15.5703125" style="365" customWidth="1"/>
    <col min="6651" max="6651" width="44.5703125" style="365" customWidth="1"/>
    <col min="6652" max="6652" width="14.28515625" style="365" bestFit="1" customWidth="1"/>
    <col min="6653" max="6653" width="0" style="365" hidden="1" customWidth="1"/>
    <col min="6654" max="6654" width="18.140625" style="365" customWidth="1"/>
    <col min="6655" max="6655" width="0" style="365" hidden="1" customWidth="1"/>
    <col min="6656" max="6656" width="14" style="365" customWidth="1"/>
    <col min="6657" max="6657" width="0" style="365" hidden="1" customWidth="1"/>
    <col min="6658" max="6658" width="20.85546875" style="365" customWidth="1"/>
    <col min="6659" max="6659" width="0" style="365" hidden="1" customWidth="1"/>
    <col min="6660" max="6660" width="13.28515625" style="365" customWidth="1"/>
    <col min="6661" max="6661" width="0" style="365" hidden="1" customWidth="1"/>
    <col min="6662" max="6662" width="15" style="365" customWidth="1"/>
    <col min="6663" max="6663" width="0" style="365" hidden="1" customWidth="1"/>
    <col min="6664" max="6664" width="13.28515625" style="365" customWidth="1"/>
    <col min="6665" max="6665" width="0" style="365" hidden="1" customWidth="1"/>
    <col min="6666" max="6666" width="20.140625" style="365" customWidth="1"/>
    <col min="6667" max="6667" width="14.42578125" style="365" bestFit="1" customWidth="1"/>
    <col min="6668" max="6668" width="14" style="365" bestFit="1" customWidth="1"/>
    <col min="6669" max="6669" width="12.28515625" style="365" bestFit="1" customWidth="1"/>
    <col min="6670" max="6694" width="9.140625" style="365" customWidth="1"/>
    <col min="6695" max="6889" width="8.85546875" style="365"/>
    <col min="6890" max="6890" width="44.5703125" style="365" customWidth="1"/>
    <col min="6891" max="6891" width="14.28515625" style="365" bestFit="1" customWidth="1"/>
    <col min="6892" max="6892" width="1.7109375" style="365" customWidth="1"/>
    <col min="6893" max="6893" width="14.85546875" style="365" customWidth="1"/>
    <col min="6894" max="6894" width="0" style="365" hidden="1" customWidth="1"/>
    <col min="6895" max="6895" width="17.42578125" style="365" customWidth="1"/>
    <col min="6896" max="6896" width="0" style="365" hidden="1" customWidth="1"/>
    <col min="6897" max="6897" width="12.85546875" style="365" customWidth="1"/>
    <col min="6898" max="6898" width="0" style="365" hidden="1" customWidth="1"/>
    <col min="6899" max="6899" width="14.42578125" style="365" customWidth="1"/>
    <col min="6900" max="6900" width="0" style="365" hidden="1" customWidth="1"/>
    <col min="6901" max="6901" width="17.42578125" style="365" customWidth="1"/>
    <col min="6902" max="6902" width="0" style="365" hidden="1" customWidth="1"/>
    <col min="6903" max="6903" width="14" style="365" customWidth="1"/>
    <col min="6904" max="6904" width="14.28515625" style="365" bestFit="1" customWidth="1"/>
    <col min="6905" max="6905" width="0" style="365" hidden="1" customWidth="1"/>
    <col min="6906" max="6906" width="15.5703125" style="365" customWidth="1"/>
    <col min="6907" max="6907" width="44.5703125" style="365" customWidth="1"/>
    <col min="6908" max="6908" width="14.28515625" style="365" bestFit="1" customWidth="1"/>
    <col min="6909" max="6909" width="0" style="365" hidden="1" customWidth="1"/>
    <col min="6910" max="6910" width="18.140625" style="365" customWidth="1"/>
    <col min="6911" max="6911" width="0" style="365" hidden="1" customWidth="1"/>
    <col min="6912" max="6912" width="14" style="365" customWidth="1"/>
    <col min="6913" max="6913" width="0" style="365" hidden="1" customWidth="1"/>
    <col min="6914" max="6914" width="20.85546875" style="365" customWidth="1"/>
    <col min="6915" max="6915" width="0" style="365" hidden="1" customWidth="1"/>
    <col min="6916" max="6916" width="13.28515625" style="365" customWidth="1"/>
    <col min="6917" max="6917" width="0" style="365" hidden="1" customWidth="1"/>
    <col min="6918" max="6918" width="15" style="365" customWidth="1"/>
    <col min="6919" max="6919" width="0" style="365" hidden="1" customWidth="1"/>
    <col min="6920" max="6920" width="13.28515625" style="365" customWidth="1"/>
    <col min="6921" max="6921" width="0" style="365" hidden="1" customWidth="1"/>
    <col min="6922" max="6922" width="20.140625" style="365" customWidth="1"/>
    <col min="6923" max="6923" width="14.42578125" style="365" bestFit="1" customWidth="1"/>
    <col min="6924" max="6924" width="14" style="365" bestFit="1" customWidth="1"/>
    <col min="6925" max="6925" width="12.28515625" style="365" bestFit="1" customWidth="1"/>
    <col min="6926" max="6950" width="9.140625" style="365" customWidth="1"/>
    <col min="6951" max="7145" width="8.85546875" style="365"/>
    <col min="7146" max="7146" width="44.5703125" style="365" customWidth="1"/>
    <col min="7147" max="7147" width="14.28515625" style="365" bestFit="1" customWidth="1"/>
    <col min="7148" max="7148" width="1.7109375" style="365" customWidth="1"/>
    <col min="7149" max="7149" width="14.85546875" style="365" customWidth="1"/>
    <col min="7150" max="7150" width="0" style="365" hidden="1" customWidth="1"/>
    <col min="7151" max="7151" width="17.42578125" style="365" customWidth="1"/>
    <col min="7152" max="7152" width="0" style="365" hidden="1" customWidth="1"/>
    <col min="7153" max="7153" width="12.85546875" style="365" customWidth="1"/>
    <col min="7154" max="7154" width="0" style="365" hidden="1" customWidth="1"/>
    <col min="7155" max="7155" width="14.42578125" style="365" customWidth="1"/>
    <col min="7156" max="7156" width="0" style="365" hidden="1" customWidth="1"/>
    <col min="7157" max="7157" width="17.42578125" style="365" customWidth="1"/>
    <col min="7158" max="7158" width="0" style="365" hidden="1" customWidth="1"/>
    <col min="7159" max="7159" width="14" style="365" customWidth="1"/>
    <col min="7160" max="7160" width="14.28515625" style="365" bestFit="1" customWidth="1"/>
    <col min="7161" max="7161" width="0" style="365" hidden="1" customWidth="1"/>
    <col min="7162" max="7162" width="15.5703125" style="365" customWidth="1"/>
    <col min="7163" max="7163" width="44.5703125" style="365" customWidth="1"/>
    <col min="7164" max="7164" width="14.28515625" style="365" bestFit="1" customWidth="1"/>
    <col min="7165" max="7165" width="0" style="365" hidden="1" customWidth="1"/>
    <col min="7166" max="7166" width="18.140625" style="365" customWidth="1"/>
    <col min="7167" max="7167" width="0" style="365" hidden="1" customWidth="1"/>
    <col min="7168" max="7168" width="14" style="365" customWidth="1"/>
    <col min="7169" max="7169" width="0" style="365" hidden="1" customWidth="1"/>
    <col min="7170" max="7170" width="20.85546875" style="365" customWidth="1"/>
    <col min="7171" max="7171" width="0" style="365" hidden="1" customWidth="1"/>
    <col min="7172" max="7172" width="13.28515625" style="365" customWidth="1"/>
    <col min="7173" max="7173" width="0" style="365" hidden="1" customWidth="1"/>
    <col min="7174" max="7174" width="15" style="365" customWidth="1"/>
    <col min="7175" max="7175" width="0" style="365" hidden="1" customWidth="1"/>
    <col min="7176" max="7176" width="13.28515625" style="365" customWidth="1"/>
    <col min="7177" max="7177" width="0" style="365" hidden="1" customWidth="1"/>
    <col min="7178" max="7178" width="20.140625" style="365" customWidth="1"/>
    <col min="7179" max="7179" width="14.42578125" style="365" bestFit="1" customWidth="1"/>
    <col min="7180" max="7180" width="14" style="365" bestFit="1" customWidth="1"/>
    <col min="7181" max="7181" width="12.28515625" style="365" bestFit="1" customWidth="1"/>
    <col min="7182" max="7206" width="9.140625" style="365" customWidth="1"/>
    <col min="7207" max="7401" width="8.85546875" style="365"/>
    <col min="7402" max="7402" width="44.5703125" style="365" customWidth="1"/>
    <col min="7403" max="7403" width="14.28515625" style="365" bestFit="1" customWidth="1"/>
    <col min="7404" max="7404" width="1.7109375" style="365" customWidth="1"/>
    <col min="7405" max="7405" width="14.85546875" style="365" customWidth="1"/>
    <col min="7406" max="7406" width="0" style="365" hidden="1" customWidth="1"/>
    <col min="7407" max="7407" width="17.42578125" style="365" customWidth="1"/>
    <col min="7408" max="7408" width="0" style="365" hidden="1" customWidth="1"/>
    <col min="7409" max="7409" width="12.85546875" style="365" customWidth="1"/>
    <col min="7410" max="7410" width="0" style="365" hidden="1" customWidth="1"/>
    <col min="7411" max="7411" width="14.42578125" style="365" customWidth="1"/>
    <col min="7412" max="7412" width="0" style="365" hidden="1" customWidth="1"/>
    <col min="7413" max="7413" width="17.42578125" style="365" customWidth="1"/>
    <col min="7414" max="7414" width="0" style="365" hidden="1" customWidth="1"/>
    <col min="7415" max="7415" width="14" style="365" customWidth="1"/>
    <col min="7416" max="7416" width="14.28515625" style="365" bestFit="1" customWidth="1"/>
    <col min="7417" max="7417" width="0" style="365" hidden="1" customWidth="1"/>
    <col min="7418" max="7418" width="15.5703125" style="365" customWidth="1"/>
    <col min="7419" max="7419" width="44.5703125" style="365" customWidth="1"/>
    <col min="7420" max="7420" width="14.28515625" style="365" bestFit="1" customWidth="1"/>
    <col min="7421" max="7421" width="0" style="365" hidden="1" customWidth="1"/>
    <col min="7422" max="7422" width="18.140625" style="365" customWidth="1"/>
    <col min="7423" max="7423" width="0" style="365" hidden="1" customWidth="1"/>
    <col min="7424" max="7424" width="14" style="365" customWidth="1"/>
    <col min="7425" max="7425" width="0" style="365" hidden="1" customWidth="1"/>
    <col min="7426" max="7426" width="20.85546875" style="365" customWidth="1"/>
    <col min="7427" max="7427" width="0" style="365" hidden="1" customWidth="1"/>
    <col min="7428" max="7428" width="13.28515625" style="365" customWidth="1"/>
    <col min="7429" max="7429" width="0" style="365" hidden="1" customWidth="1"/>
    <col min="7430" max="7430" width="15" style="365" customWidth="1"/>
    <col min="7431" max="7431" width="0" style="365" hidden="1" customWidth="1"/>
    <col min="7432" max="7432" width="13.28515625" style="365" customWidth="1"/>
    <col min="7433" max="7433" width="0" style="365" hidden="1" customWidth="1"/>
    <col min="7434" max="7434" width="20.140625" style="365" customWidth="1"/>
    <col min="7435" max="7435" width="14.42578125" style="365" bestFit="1" customWidth="1"/>
    <col min="7436" max="7436" width="14" style="365" bestFit="1" customWidth="1"/>
    <col min="7437" max="7437" width="12.28515625" style="365" bestFit="1" customWidth="1"/>
    <col min="7438" max="7462" width="9.140625" style="365" customWidth="1"/>
    <col min="7463" max="7657" width="8.85546875" style="365"/>
    <col min="7658" max="7658" width="44.5703125" style="365" customWidth="1"/>
    <col min="7659" max="7659" width="14.28515625" style="365" bestFit="1" customWidth="1"/>
    <col min="7660" max="7660" width="1.7109375" style="365" customWidth="1"/>
    <col min="7661" max="7661" width="14.85546875" style="365" customWidth="1"/>
    <col min="7662" max="7662" width="0" style="365" hidden="1" customWidth="1"/>
    <col min="7663" max="7663" width="17.42578125" style="365" customWidth="1"/>
    <col min="7664" max="7664" width="0" style="365" hidden="1" customWidth="1"/>
    <col min="7665" max="7665" width="12.85546875" style="365" customWidth="1"/>
    <col min="7666" max="7666" width="0" style="365" hidden="1" customWidth="1"/>
    <col min="7667" max="7667" width="14.42578125" style="365" customWidth="1"/>
    <col min="7668" max="7668" width="0" style="365" hidden="1" customWidth="1"/>
    <col min="7669" max="7669" width="17.42578125" style="365" customWidth="1"/>
    <col min="7670" max="7670" width="0" style="365" hidden="1" customWidth="1"/>
    <col min="7671" max="7671" width="14" style="365" customWidth="1"/>
    <col min="7672" max="7672" width="14.28515625" style="365" bestFit="1" customWidth="1"/>
    <col min="7673" max="7673" width="0" style="365" hidden="1" customWidth="1"/>
    <col min="7674" max="7674" width="15.5703125" style="365" customWidth="1"/>
    <col min="7675" max="7675" width="44.5703125" style="365" customWidth="1"/>
    <col min="7676" max="7676" width="14.28515625" style="365" bestFit="1" customWidth="1"/>
    <col min="7677" max="7677" width="0" style="365" hidden="1" customWidth="1"/>
    <col min="7678" max="7678" width="18.140625" style="365" customWidth="1"/>
    <col min="7679" max="7679" width="0" style="365" hidden="1" customWidth="1"/>
    <col min="7680" max="7680" width="14" style="365" customWidth="1"/>
    <col min="7681" max="7681" width="0" style="365" hidden="1" customWidth="1"/>
    <col min="7682" max="7682" width="20.85546875" style="365" customWidth="1"/>
    <col min="7683" max="7683" width="0" style="365" hidden="1" customWidth="1"/>
    <col min="7684" max="7684" width="13.28515625" style="365" customWidth="1"/>
    <col min="7685" max="7685" width="0" style="365" hidden="1" customWidth="1"/>
    <col min="7686" max="7686" width="15" style="365" customWidth="1"/>
    <col min="7687" max="7687" width="0" style="365" hidden="1" customWidth="1"/>
    <col min="7688" max="7688" width="13.28515625" style="365" customWidth="1"/>
    <col min="7689" max="7689" width="0" style="365" hidden="1" customWidth="1"/>
    <col min="7690" max="7690" width="20.140625" style="365" customWidth="1"/>
    <col min="7691" max="7691" width="14.42578125" style="365" bestFit="1" customWidth="1"/>
    <col min="7692" max="7692" width="14" style="365" bestFit="1" customWidth="1"/>
    <col min="7693" max="7693" width="12.28515625" style="365" bestFit="1" customWidth="1"/>
    <col min="7694" max="7718" width="9.140625" style="365" customWidth="1"/>
    <col min="7719" max="7913" width="8.85546875" style="365"/>
    <col min="7914" max="7914" width="44.5703125" style="365" customWidth="1"/>
    <col min="7915" max="7915" width="14.28515625" style="365" bestFit="1" customWidth="1"/>
    <col min="7916" max="7916" width="1.7109375" style="365" customWidth="1"/>
    <col min="7917" max="7917" width="14.85546875" style="365" customWidth="1"/>
    <col min="7918" max="7918" width="0" style="365" hidden="1" customWidth="1"/>
    <col min="7919" max="7919" width="17.42578125" style="365" customWidth="1"/>
    <col min="7920" max="7920" width="0" style="365" hidden="1" customWidth="1"/>
    <col min="7921" max="7921" width="12.85546875" style="365" customWidth="1"/>
    <col min="7922" max="7922" width="0" style="365" hidden="1" customWidth="1"/>
    <col min="7923" max="7923" width="14.42578125" style="365" customWidth="1"/>
    <col min="7924" max="7924" width="0" style="365" hidden="1" customWidth="1"/>
    <col min="7925" max="7925" width="17.42578125" style="365" customWidth="1"/>
    <col min="7926" max="7926" width="0" style="365" hidden="1" customWidth="1"/>
    <col min="7927" max="7927" width="14" style="365" customWidth="1"/>
    <col min="7928" max="7928" width="14.28515625" style="365" bestFit="1" customWidth="1"/>
    <col min="7929" max="7929" width="0" style="365" hidden="1" customWidth="1"/>
    <col min="7930" max="7930" width="15.5703125" style="365" customWidth="1"/>
    <col min="7931" max="7931" width="44.5703125" style="365" customWidth="1"/>
    <col min="7932" max="7932" width="14.28515625" style="365" bestFit="1" customWidth="1"/>
    <col min="7933" max="7933" width="0" style="365" hidden="1" customWidth="1"/>
    <col min="7934" max="7934" width="18.140625" style="365" customWidth="1"/>
    <col min="7935" max="7935" width="0" style="365" hidden="1" customWidth="1"/>
    <col min="7936" max="7936" width="14" style="365" customWidth="1"/>
    <col min="7937" max="7937" width="0" style="365" hidden="1" customWidth="1"/>
    <col min="7938" max="7938" width="20.85546875" style="365" customWidth="1"/>
    <col min="7939" max="7939" width="0" style="365" hidden="1" customWidth="1"/>
    <col min="7940" max="7940" width="13.28515625" style="365" customWidth="1"/>
    <col min="7941" max="7941" width="0" style="365" hidden="1" customWidth="1"/>
    <col min="7942" max="7942" width="15" style="365" customWidth="1"/>
    <col min="7943" max="7943" width="0" style="365" hidden="1" customWidth="1"/>
    <col min="7944" max="7944" width="13.28515625" style="365" customWidth="1"/>
    <col min="7945" max="7945" width="0" style="365" hidden="1" customWidth="1"/>
    <col min="7946" max="7946" width="20.140625" style="365" customWidth="1"/>
    <col min="7947" max="7947" width="14.42578125" style="365" bestFit="1" customWidth="1"/>
    <col min="7948" max="7948" width="14" style="365" bestFit="1" customWidth="1"/>
    <col min="7949" max="7949" width="12.28515625" style="365" bestFit="1" customWidth="1"/>
    <col min="7950" max="7974" width="9.140625" style="365" customWidth="1"/>
    <col min="7975" max="8169" width="8.85546875" style="365"/>
    <col min="8170" max="8170" width="44.5703125" style="365" customWidth="1"/>
    <col min="8171" max="8171" width="14.28515625" style="365" bestFit="1" customWidth="1"/>
    <col min="8172" max="8172" width="1.7109375" style="365" customWidth="1"/>
    <col min="8173" max="8173" width="14.85546875" style="365" customWidth="1"/>
    <col min="8174" max="8174" width="0" style="365" hidden="1" customWidth="1"/>
    <col min="8175" max="8175" width="17.42578125" style="365" customWidth="1"/>
    <col min="8176" max="8176" width="0" style="365" hidden="1" customWidth="1"/>
    <col min="8177" max="8177" width="12.85546875" style="365" customWidth="1"/>
    <col min="8178" max="8178" width="0" style="365" hidden="1" customWidth="1"/>
    <col min="8179" max="8179" width="14.42578125" style="365" customWidth="1"/>
    <col min="8180" max="8180" width="0" style="365" hidden="1" customWidth="1"/>
    <col min="8181" max="8181" width="17.42578125" style="365" customWidth="1"/>
    <col min="8182" max="8182" width="0" style="365" hidden="1" customWidth="1"/>
    <col min="8183" max="8183" width="14" style="365" customWidth="1"/>
    <col min="8184" max="8184" width="14.28515625" style="365" bestFit="1" customWidth="1"/>
    <col min="8185" max="8185" width="0" style="365" hidden="1" customWidth="1"/>
    <col min="8186" max="8186" width="15.5703125" style="365" customWidth="1"/>
    <col min="8187" max="8187" width="44.5703125" style="365" customWidth="1"/>
    <col min="8188" max="8188" width="14.28515625" style="365" bestFit="1" customWidth="1"/>
    <col min="8189" max="8189" width="0" style="365" hidden="1" customWidth="1"/>
    <col min="8190" max="8190" width="18.140625" style="365" customWidth="1"/>
    <col min="8191" max="8191" width="0" style="365" hidden="1" customWidth="1"/>
    <col min="8192" max="8192" width="14" style="365" customWidth="1"/>
    <col min="8193" max="8193" width="0" style="365" hidden="1" customWidth="1"/>
    <col min="8194" max="8194" width="20.85546875" style="365" customWidth="1"/>
    <col min="8195" max="8195" width="0" style="365" hidden="1" customWidth="1"/>
    <col min="8196" max="8196" width="13.28515625" style="365" customWidth="1"/>
    <col min="8197" max="8197" width="0" style="365" hidden="1" customWidth="1"/>
    <col min="8198" max="8198" width="15" style="365" customWidth="1"/>
    <col min="8199" max="8199" width="0" style="365" hidden="1" customWidth="1"/>
    <col min="8200" max="8200" width="13.28515625" style="365" customWidth="1"/>
    <col min="8201" max="8201" width="0" style="365" hidden="1" customWidth="1"/>
    <col min="8202" max="8202" width="20.140625" style="365" customWidth="1"/>
    <col min="8203" max="8203" width="14.42578125" style="365" bestFit="1" customWidth="1"/>
    <col min="8204" max="8204" width="14" style="365" bestFit="1" customWidth="1"/>
    <col min="8205" max="8205" width="12.28515625" style="365" bestFit="1" customWidth="1"/>
    <col min="8206" max="8230" width="9.140625" style="365" customWidth="1"/>
    <col min="8231" max="8425" width="8.85546875" style="365"/>
    <col min="8426" max="8426" width="44.5703125" style="365" customWidth="1"/>
    <col min="8427" max="8427" width="14.28515625" style="365" bestFit="1" customWidth="1"/>
    <col min="8428" max="8428" width="1.7109375" style="365" customWidth="1"/>
    <col min="8429" max="8429" width="14.85546875" style="365" customWidth="1"/>
    <col min="8430" max="8430" width="0" style="365" hidden="1" customWidth="1"/>
    <col min="8431" max="8431" width="17.42578125" style="365" customWidth="1"/>
    <col min="8432" max="8432" width="0" style="365" hidden="1" customWidth="1"/>
    <col min="8433" max="8433" width="12.85546875" style="365" customWidth="1"/>
    <col min="8434" max="8434" width="0" style="365" hidden="1" customWidth="1"/>
    <col min="8435" max="8435" width="14.42578125" style="365" customWidth="1"/>
    <col min="8436" max="8436" width="0" style="365" hidden="1" customWidth="1"/>
    <col min="8437" max="8437" width="17.42578125" style="365" customWidth="1"/>
    <col min="8438" max="8438" width="0" style="365" hidden="1" customWidth="1"/>
    <col min="8439" max="8439" width="14" style="365" customWidth="1"/>
    <col min="8440" max="8440" width="14.28515625" style="365" bestFit="1" customWidth="1"/>
    <col min="8441" max="8441" width="0" style="365" hidden="1" customWidth="1"/>
    <col min="8442" max="8442" width="15.5703125" style="365" customWidth="1"/>
    <col min="8443" max="8443" width="44.5703125" style="365" customWidth="1"/>
    <col min="8444" max="8444" width="14.28515625" style="365" bestFit="1" customWidth="1"/>
    <col min="8445" max="8445" width="0" style="365" hidden="1" customWidth="1"/>
    <col min="8446" max="8446" width="18.140625" style="365" customWidth="1"/>
    <col min="8447" max="8447" width="0" style="365" hidden="1" customWidth="1"/>
    <col min="8448" max="8448" width="14" style="365" customWidth="1"/>
    <col min="8449" max="8449" width="0" style="365" hidden="1" customWidth="1"/>
    <col min="8450" max="8450" width="20.85546875" style="365" customWidth="1"/>
    <col min="8451" max="8451" width="0" style="365" hidden="1" customWidth="1"/>
    <col min="8452" max="8452" width="13.28515625" style="365" customWidth="1"/>
    <col min="8453" max="8453" width="0" style="365" hidden="1" customWidth="1"/>
    <col min="8454" max="8454" width="15" style="365" customWidth="1"/>
    <col min="8455" max="8455" width="0" style="365" hidden="1" customWidth="1"/>
    <col min="8456" max="8456" width="13.28515625" style="365" customWidth="1"/>
    <col min="8457" max="8457" width="0" style="365" hidden="1" customWidth="1"/>
    <col min="8458" max="8458" width="20.140625" style="365" customWidth="1"/>
    <col min="8459" max="8459" width="14.42578125" style="365" bestFit="1" customWidth="1"/>
    <col min="8460" max="8460" width="14" style="365" bestFit="1" customWidth="1"/>
    <col min="8461" max="8461" width="12.28515625" style="365" bestFit="1" customWidth="1"/>
    <col min="8462" max="8486" width="9.140625" style="365" customWidth="1"/>
    <col min="8487" max="8681" width="8.85546875" style="365"/>
    <col min="8682" max="8682" width="44.5703125" style="365" customWidth="1"/>
    <col min="8683" max="8683" width="14.28515625" style="365" bestFit="1" customWidth="1"/>
    <col min="8684" max="8684" width="1.7109375" style="365" customWidth="1"/>
    <col min="8685" max="8685" width="14.85546875" style="365" customWidth="1"/>
    <col min="8686" max="8686" width="0" style="365" hidden="1" customWidth="1"/>
    <col min="8687" max="8687" width="17.42578125" style="365" customWidth="1"/>
    <col min="8688" max="8688" width="0" style="365" hidden="1" customWidth="1"/>
    <col min="8689" max="8689" width="12.85546875" style="365" customWidth="1"/>
    <col min="8690" max="8690" width="0" style="365" hidden="1" customWidth="1"/>
    <col min="8691" max="8691" width="14.42578125" style="365" customWidth="1"/>
    <col min="8692" max="8692" width="0" style="365" hidden="1" customWidth="1"/>
    <col min="8693" max="8693" width="17.42578125" style="365" customWidth="1"/>
    <col min="8694" max="8694" width="0" style="365" hidden="1" customWidth="1"/>
    <col min="8695" max="8695" width="14" style="365" customWidth="1"/>
    <col min="8696" max="8696" width="14.28515625" style="365" bestFit="1" customWidth="1"/>
    <col min="8697" max="8697" width="0" style="365" hidden="1" customWidth="1"/>
    <col min="8698" max="8698" width="15.5703125" style="365" customWidth="1"/>
    <col min="8699" max="8699" width="44.5703125" style="365" customWidth="1"/>
    <col min="8700" max="8700" width="14.28515625" style="365" bestFit="1" customWidth="1"/>
    <col min="8701" max="8701" width="0" style="365" hidden="1" customWidth="1"/>
    <col min="8702" max="8702" width="18.140625" style="365" customWidth="1"/>
    <col min="8703" max="8703" width="0" style="365" hidden="1" customWidth="1"/>
    <col min="8704" max="8704" width="14" style="365" customWidth="1"/>
    <col min="8705" max="8705" width="0" style="365" hidden="1" customWidth="1"/>
    <col min="8706" max="8706" width="20.85546875" style="365" customWidth="1"/>
    <col min="8707" max="8707" width="0" style="365" hidden="1" customWidth="1"/>
    <col min="8708" max="8708" width="13.28515625" style="365" customWidth="1"/>
    <col min="8709" max="8709" width="0" style="365" hidden="1" customWidth="1"/>
    <col min="8710" max="8710" width="15" style="365" customWidth="1"/>
    <col min="8711" max="8711" width="0" style="365" hidden="1" customWidth="1"/>
    <col min="8712" max="8712" width="13.28515625" style="365" customWidth="1"/>
    <col min="8713" max="8713" width="0" style="365" hidden="1" customWidth="1"/>
    <col min="8714" max="8714" width="20.140625" style="365" customWidth="1"/>
    <col min="8715" max="8715" width="14.42578125" style="365" bestFit="1" customWidth="1"/>
    <col min="8716" max="8716" width="14" style="365" bestFit="1" customWidth="1"/>
    <col min="8717" max="8717" width="12.28515625" style="365" bestFit="1" customWidth="1"/>
    <col min="8718" max="8742" width="9.140625" style="365" customWidth="1"/>
    <col min="8743" max="8937" width="8.85546875" style="365"/>
    <col min="8938" max="8938" width="44.5703125" style="365" customWidth="1"/>
    <col min="8939" max="8939" width="14.28515625" style="365" bestFit="1" customWidth="1"/>
    <col min="8940" max="8940" width="1.7109375" style="365" customWidth="1"/>
    <col min="8941" max="8941" width="14.85546875" style="365" customWidth="1"/>
    <col min="8942" max="8942" width="0" style="365" hidden="1" customWidth="1"/>
    <col min="8943" max="8943" width="17.42578125" style="365" customWidth="1"/>
    <col min="8944" max="8944" width="0" style="365" hidden="1" customWidth="1"/>
    <col min="8945" max="8945" width="12.85546875" style="365" customWidth="1"/>
    <col min="8946" max="8946" width="0" style="365" hidden="1" customWidth="1"/>
    <col min="8947" max="8947" width="14.42578125" style="365" customWidth="1"/>
    <col min="8948" max="8948" width="0" style="365" hidden="1" customWidth="1"/>
    <col min="8949" max="8949" width="17.42578125" style="365" customWidth="1"/>
    <col min="8950" max="8950" width="0" style="365" hidden="1" customWidth="1"/>
    <col min="8951" max="8951" width="14" style="365" customWidth="1"/>
    <col min="8952" max="8952" width="14.28515625" style="365" bestFit="1" customWidth="1"/>
    <col min="8953" max="8953" width="0" style="365" hidden="1" customWidth="1"/>
    <col min="8954" max="8954" width="15.5703125" style="365" customWidth="1"/>
    <col min="8955" max="8955" width="44.5703125" style="365" customWidth="1"/>
    <col min="8956" max="8956" width="14.28515625" style="365" bestFit="1" customWidth="1"/>
    <col min="8957" max="8957" width="0" style="365" hidden="1" customWidth="1"/>
    <col min="8958" max="8958" width="18.140625" style="365" customWidth="1"/>
    <col min="8959" max="8959" width="0" style="365" hidden="1" customWidth="1"/>
    <col min="8960" max="8960" width="14" style="365" customWidth="1"/>
    <col min="8961" max="8961" width="0" style="365" hidden="1" customWidth="1"/>
    <col min="8962" max="8962" width="20.85546875" style="365" customWidth="1"/>
    <col min="8963" max="8963" width="0" style="365" hidden="1" customWidth="1"/>
    <col min="8964" max="8964" width="13.28515625" style="365" customWidth="1"/>
    <col min="8965" max="8965" width="0" style="365" hidden="1" customWidth="1"/>
    <col min="8966" max="8966" width="15" style="365" customWidth="1"/>
    <col min="8967" max="8967" width="0" style="365" hidden="1" customWidth="1"/>
    <col min="8968" max="8968" width="13.28515625" style="365" customWidth="1"/>
    <col min="8969" max="8969" width="0" style="365" hidden="1" customWidth="1"/>
    <col min="8970" max="8970" width="20.140625" style="365" customWidth="1"/>
    <col min="8971" max="8971" width="14.42578125" style="365" bestFit="1" customWidth="1"/>
    <col min="8972" max="8972" width="14" style="365" bestFit="1" customWidth="1"/>
    <col min="8973" max="8973" width="12.28515625" style="365" bestFit="1" customWidth="1"/>
    <col min="8974" max="8998" width="9.140625" style="365" customWidth="1"/>
    <col min="8999" max="9193" width="8.85546875" style="365"/>
    <col min="9194" max="9194" width="44.5703125" style="365" customWidth="1"/>
    <col min="9195" max="9195" width="14.28515625" style="365" bestFit="1" customWidth="1"/>
    <col min="9196" max="9196" width="1.7109375" style="365" customWidth="1"/>
    <col min="9197" max="9197" width="14.85546875" style="365" customWidth="1"/>
    <col min="9198" max="9198" width="0" style="365" hidden="1" customWidth="1"/>
    <col min="9199" max="9199" width="17.42578125" style="365" customWidth="1"/>
    <col min="9200" max="9200" width="0" style="365" hidden="1" customWidth="1"/>
    <col min="9201" max="9201" width="12.85546875" style="365" customWidth="1"/>
    <col min="9202" max="9202" width="0" style="365" hidden="1" customWidth="1"/>
    <col min="9203" max="9203" width="14.42578125" style="365" customWidth="1"/>
    <col min="9204" max="9204" width="0" style="365" hidden="1" customWidth="1"/>
    <col min="9205" max="9205" width="17.42578125" style="365" customWidth="1"/>
    <col min="9206" max="9206" width="0" style="365" hidden="1" customWidth="1"/>
    <col min="9207" max="9207" width="14" style="365" customWidth="1"/>
    <col min="9208" max="9208" width="14.28515625" style="365" bestFit="1" customWidth="1"/>
    <col min="9209" max="9209" width="0" style="365" hidden="1" customWidth="1"/>
    <col min="9210" max="9210" width="15.5703125" style="365" customWidth="1"/>
    <col min="9211" max="9211" width="44.5703125" style="365" customWidth="1"/>
    <col min="9212" max="9212" width="14.28515625" style="365" bestFit="1" customWidth="1"/>
    <col min="9213" max="9213" width="0" style="365" hidden="1" customWidth="1"/>
    <col min="9214" max="9214" width="18.140625" style="365" customWidth="1"/>
    <col min="9215" max="9215" width="0" style="365" hidden="1" customWidth="1"/>
    <col min="9216" max="9216" width="14" style="365" customWidth="1"/>
    <col min="9217" max="9217" width="0" style="365" hidden="1" customWidth="1"/>
    <col min="9218" max="9218" width="20.85546875" style="365" customWidth="1"/>
    <col min="9219" max="9219" width="0" style="365" hidden="1" customWidth="1"/>
    <col min="9220" max="9220" width="13.28515625" style="365" customWidth="1"/>
    <col min="9221" max="9221" width="0" style="365" hidden="1" customWidth="1"/>
    <col min="9222" max="9222" width="15" style="365" customWidth="1"/>
    <col min="9223" max="9223" width="0" style="365" hidden="1" customWidth="1"/>
    <col min="9224" max="9224" width="13.28515625" style="365" customWidth="1"/>
    <col min="9225" max="9225" width="0" style="365" hidden="1" customWidth="1"/>
    <col min="9226" max="9226" width="20.140625" style="365" customWidth="1"/>
    <col min="9227" max="9227" width="14.42578125" style="365" bestFit="1" customWidth="1"/>
    <col min="9228" max="9228" width="14" style="365" bestFit="1" customWidth="1"/>
    <col min="9229" max="9229" width="12.28515625" style="365" bestFit="1" customWidth="1"/>
    <col min="9230" max="9254" width="9.140625" style="365" customWidth="1"/>
    <col min="9255" max="9449" width="8.85546875" style="365"/>
    <col min="9450" max="9450" width="44.5703125" style="365" customWidth="1"/>
    <col min="9451" max="9451" width="14.28515625" style="365" bestFit="1" customWidth="1"/>
    <col min="9452" max="9452" width="1.7109375" style="365" customWidth="1"/>
    <col min="9453" max="9453" width="14.85546875" style="365" customWidth="1"/>
    <col min="9454" max="9454" width="0" style="365" hidden="1" customWidth="1"/>
    <col min="9455" max="9455" width="17.42578125" style="365" customWidth="1"/>
    <col min="9456" max="9456" width="0" style="365" hidden="1" customWidth="1"/>
    <col min="9457" max="9457" width="12.85546875" style="365" customWidth="1"/>
    <col min="9458" max="9458" width="0" style="365" hidden="1" customWidth="1"/>
    <col min="9459" max="9459" width="14.42578125" style="365" customWidth="1"/>
    <col min="9460" max="9460" width="0" style="365" hidden="1" customWidth="1"/>
    <col min="9461" max="9461" width="17.42578125" style="365" customWidth="1"/>
    <col min="9462" max="9462" width="0" style="365" hidden="1" customWidth="1"/>
    <col min="9463" max="9463" width="14" style="365" customWidth="1"/>
    <col min="9464" max="9464" width="14.28515625" style="365" bestFit="1" customWidth="1"/>
    <col min="9465" max="9465" width="0" style="365" hidden="1" customWidth="1"/>
    <col min="9466" max="9466" width="15.5703125" style="365" customWidth="1"/>
    <col min="9467" max="9467" width="44.5703125" style="365" customWidth="1"/>
    <col min="9468" max="9468" width="14.28515625" style="365" bestFit="1" customWidth="1"/>
    <col min="9469" max="9469" width="0" style="365" hidden="1" customWidth="1"/>
    <col min="9470" max="9470" width="18.140625" style="365" customWidth="1"/>
    <col min="9471" max="9471" width="0" style="365" hidden="1" customWidth="1"/>
    <col min="9472" max="9472" width="14" style="365" customWidth="1"/>
    <col min="9473" max="9473" width="0" style="365" hidden="1" customWidth="1"/>
    <col min="9474" max="9474" width="20.85546875" style="365" customWidth="1"/>
    <col min="9475" max="9475" width="0" style="365" hidden="1" customWidth="1"/>
    <col min="9476" max="9476" width="13.28515625" style="365" customWidth="1"/>
    <col min="9477" max="9477" width="0" style="365" hidden="1" customWidth="1"/>
    <col min="9478" max="9478" width="15" style="365" customWidth="1"/>
    <col min="9479" max="9479" width="0" style="365" hidden="1" customWidth="1"/>
    <col min="9480" max="9480" width="13.28515625" style="365" customWidth="1"/>
    <col min="9481" max="9481" width="0" style="365" hidden="1" customWidth="1"/>
    <col min="9482" max="9482" width="20.140625" style="365" customWidth="1"/>
    <col min="9483" max="9483" width="14.42578125" style="365" bestFit="1" customWidth="1"/>
    <col min="9484" max="9484" width="14" style="365" bestFit="1" customWidth="1"/>
    <col min="9485" max="9485" width="12.28515625" style="365" bestFit="1" customWidth="1"/>
    <col min="9486" max="9510" width="9.140625" style="365" customWidth="1"/>
    <col min="9511" max="9705" width="8.85546875" style="365"/>
    <col min="9706" max="9706" width="44.5703125" style="365" customWidth="1"/>
    <col min="9707" max="9707" width="14.28515625" style="365" bestFit="1" customWidth="1"/>
    <col min="9708" max="9708" width="1.7109375" style="365" customWidth="1"/>
    <col min="9709" max="9709" width="14.85546875" style="365" customWidth="1"/>
    <col min="9710" max="9710" width="0" style="365" hidden="1" customWidth="1"/>
    <col min="9711" max="9711" width="17.42578125" style="365" customWidth="1"/>
    <col min="9712" max="9712" width="0" style="365" hidden="1" customWidth="1"/>
    <col min="9713" max="9713" width="12.85546875" style="365" customWidth="1"/>
    <col min="9714" max="9714" width="0" style="365" hidden="1" customWidth="1"/>
    <col min="9715" max="9715" width="14.42578125" style="365" customWidth="1"/>
    <col min="9716" max="9716" width="0" style="365" hidden="1" customWidth="1"/>
    <col min="9717" max="9717" width="17.42578125" style="365" customWidth="1"/>
    <col min="9718" max="9718" width="0" style="365" hidden="1" customWidth="1"/>
    <col min="9719" max="9719" width="14" style="365" customWidth="1"/>
    <col min="9720" max="9720" width="14.28515625" style="365" bestFit="1" customWidth="1"/>
    <col min="9721" max="9721" width="0" style="365" hidden="1" customWidth="1"/>
    <col min="9722" max="9722" width="15.5703125" style="365" customWidth="1"/>
    <col min="9723" max="9723" width="44.5703125" style="365" customWidth="1"/>
    <col min="9724" max="9724" width="14.28515625" style="365" bestFit="1" customWidth="1"/>
    <col min="9725" max="9725" width="0" style="365" hidden="1" customWidth="1"/>
    <col min="9726" max="9726" width="18.140625" style="365" customWidth="1"/>
    <col min="9727" max="9727" width="0" style="365" hidden="1" customWidth="1"/>
    <col min="9728" max="9728" width="14" style="365" customWidth="1"/>
    <col min="9729" max="9729" width="0" style="365" hidden="1" customWidth="1"/>
    <col min="9730" max="9730" width="20.85546875" style="365" customWidth="1"/>
    <col min="9731" max="9731" width="0" style="365" hidden="1" customWidth="1"/>
    <col min="9732" max="9732" width="13.28515625" style="365" customWidth="1"/>
    <col min="9733" max="9733" width="0" style="365" hidden="1" customWidth="1"/>
    <col min="9734" max="9734" width="15" style="365" customWidth="1"/>
    <col min="9735" max="9735" width="0" style="365" hidden="1" customWidth="1"/>
    <col min="9736" max="9736" width="13.28515625" style="365" customWidth="1"/>
    <col min="9737" max="9737" width="0" style="365" hidden="1" customWidth="1"/>
    <col min="9738" max="9738" width="20.140625" style="365" customWidth="1"/>
    <col min="9739" max="9739" width="14.42578125" style="365" bestFit="1" customWidth="1"/>
    <col min="9740" max="9740" width="14" style="365" bestFit="1" customWidth="1"/>
    <col min="9741" max="9741" width="12.28515625" style="365" bestFit="1" customWidth="1"/>
    <col min="9742" max="9766" width="9.140625" style="365" customWidth="1"/>
    <col min="9767" max="9961" width="8.85546875" style="365"/>
    <col min="9962" max="9962" width="44.5703125" style="365" customWidth="1"/>
    <col min="9963" max="9963" width="14.28515625" style="365" bestFit="1" customWidth="1"/>
    <col min="9964" max="9964" width="1.7109375" style="365" customWidth="1"/>
    <col min="9965" max="9965" width="14.85546875" style="365" customWidth="1"/>
    <col min="9966" max="9966" width="0" style="365" hidden="1" customWidth="1"/>
    <col min="9967" max="9967" width="17.42578125" style="365" customWidth="1"/>
    <col min="9968" max="9968" width="0" style="365" hidden="1" customWidth="1"/>
    <col min="9969" max="9969" width="12.85546875" style="365" customWidth="1"/>
    <col min="9970" max="9970" width="0" style="365" hidden="1" customWidth="1"/>
    <col min="9971" max="9971" width="14.42578125" style="365" customWidth="1"/>
    <col min="9972" max="9972" width="0" style="365" hidden="1" customWidth="1"/>
    <col min="9973" max="9973" width="17.42578125" style="365" customWidth="1"/>
    <col min="9974" max="9974" width="0" style="365" hidden="1" customWidth="1"/>
    <col min="9975" max="9975" width="14" style="365" customWidth="1"/>
    <col min="9976" max="9976" width="14.28515625" style="365" bestFit="1" customWidth="1"/>
    <col min="9977" max="9977" width="0" style="365" hidden="1" customWidth="1"/>
    <col min="9978" max="9978" width="15.5703125" style="365" customWidth="1"/>
    <col min="9979" max="9979" width="44.5703125" style="365" customWidth="1"/>
    <col min="9980" max="9980" width="14.28515625" style="365" bestFit="1" customWidth="1"/>
    <col min="9981" max="9981" width="0" style="365" hidden="1" customWidth="1"/>
    <col min="9982" max="9982" width="18.140625" style="365" customWidth="1"/>
    <col min="9983" max="9983" width="0" style="365" hidden="1" customWidth="1"/>
    <col min="9984" max="9984" width="14" style="365" customWidth="1"/>
    <col min="9985" max="9985" width="0" style="365" hidden="1" customWidth="1"/>
    <col min="9986" max="9986" width="20.85546875" style="365" customWidth="1"/>
    <col min="9987" max="9987" width="0" style="365" hidden="1" customWidth="1"/>
    <col min="9988" max="9988" width="13.28515625" style="365" customWidth="1"/>
    <col min="9989" max="9989" width="0" style="365" hidden="1" customWidth="1"/>
    <col min="9990" max="9990" width="15" style="365" customWidth="1"/>
    <col min="9991" max="9991" width="0" style="365" hidden="1" customWidth="1"/>
    <col min="9992" max="9992" width="13.28515625" style="365" customWidth="1"/>
    <col min="9993" max="9993" width="0" style="365" hidden="1" customWidth="1"/>
    <col min="9994" max="9994" width="20.140625" style="365" customWidth="1"/>
    <col min="9995" max="9995" width="14.42578125" style="365" bestFit="1" customWidth="1"/>
    <col min="9996" max="9996" width="14" style="365" bestFit="1" customWidth="1"/>
    <col min="9997" max="9997" width="12.28515625" style="365" bestFit="1" customWidth="1"/>
    <col min="9998" max="10022" width="9.140625" style="365" customWidth="1"/>
    <col min="10023" max="10217" width="8.85546875" style="365"/>
    <col min="10218" max="10218" width="44.5703125" style="365" customWidth="1"/>
    <col min="10219" max="10219" width="14.28515625" style="365" bestFit="1" customWidth="1"/>
    <col min="10220" max="10220" width="1.7109375" style="365" customWidth="1"/>
    <col min="10221" max="10221" width="14.85546875" style="365" customWidth="1"/>
    <col min="10222" max="10222" width="0" style="365" hidden="1" customWidth="1"/>
    <col min="10223" max="10223" width="17.42578125" style="365" customWidth="1"/>
    <col min="10224" max="10224" width="0" style="365" hidden="1" customWidth="1"/>
    <col min="10225" max="10225" width="12.85546875" style="365" customWidth="1"/>
    <col min="10226" max="10226" width="0" style="365" hidden="1" customWidth="1"/>
    <col min="10227" max="10227" width="14.42578125" style="365" customWidth="1"/>
    <col min="10228" max="10228" width="0" style="365" hidden="1" customWidth="1"/>
    <col min="10229" max="10229" width="17.42578125" style="365" customWidth="1"/>
    <col min="10230" max="10230" width="0" style="365" hidden="1" customWidth="1"/>
    <col min="10231" max="10231" width="14" style="365" customWidth="1"/>
    <col min="10232" max="10232" width="14.28515625" style="365" bestFit="1" customWidth="1"/>
    <col min="10233" max="10233" width="0" style="365" hidden="1" customWidth="1"/>
    <col min="10234" max="10234" width="15.5703125" style="365" customWidth="1"/>
    <col min="10235" max="10235" width="44.5703125" style="365" customWidth="1"/>
    <col min="10236" max="10236" width="14.28515625" style="365" bestFit="1" customWidth="1"/>
    <col min="10237" max="10237" width="0" style="365" hidden="1" customWidth="1"/>
    <col min="10238" max="10238" width="18.140625" style="365" customWidth="1"/>
    <col min="10239" max="10239" width="0" style="365" hidden="1" customWidth="1"/>
    <col min="10240" max="10240" width="14" style="365" customWidth="1"/>
    <col min="10241" max="10241" width="0" style="365" hidden="1" customWidth="1"/>
    <col min="10242" max="10242" width="20.85546875" style="365" customWidth="1"/>
    <col min="10243" max="10243" width="0" style="365" hidden="1" customWidth="1"/>
    <col min="10244" max="10244" width="13.28515625" style="365" customWidth="1"/>
    <col min="10245" max="10245" width="0" style="365" hidden="1" customWidth="1"/>
    <col min="10246" max="10246" width="15" style="365" customWidth="1"/>
    <col min="10247" max="10247" width="0" style="365" hidden="1" customWidth="1"/>
    <col min="10248" max="10248" width="13.28515625" style="365" customWidth="1"/>
    <col min="10249" max="10249" width="0" style="365" hidden="1" customWidth="1"/>
    <col min="10250" max="10250" width="20.140625" style="365" customWidth="1"/>
    <col min="10251" max="10251" width="14.42578125" style="365" bestFit="1" customWidth="1"/>
    <col min="10252" max="10252" width="14" style="365" bestFit="1" customWidth="1"/>
    <col min="10253" max="10253" width="12.28515625" style="365" bestFit="1" customWidth="1"/>
    <col min="10254" max="10278" width="9.140625" style="365" customWidth="1"/>
    <col min="10279" max="10473" width="8.85546875" style="365"/>
    <col min="10474" max="10474" width="44.5703125" style="365" customWidth="1"/>
    <col min="10475" max="10475" width="14.28515625" style="365" bestFit="1" customWidth="1"/>
    <col min="10476" max="10476" width="1.7109375" style="365" customWidth="1"/>
    <col min="10477" max="10477" width="14.85546875" style="365" customWidth="1"/>
    <col min="10478" max="10478" width="0" style="365" hidden="1" customWidth="1"/>
    <col min="10479" max="10479" width="17.42578125" style="365" customWidth="1"/>
    <col min="10480" max="10480" width="0" style="365" hidden="1" customWidth="1"/>
    <col min="10481" max="10481" width="12.85546875" style="365" customWidth="1"/>
    <col min="10482" max="10482" width="0" style="365" hidden="1" customWidth="1"/>
    <col min="10483" max="10483" width="14.42578125" style="365" customWidth="1"/>
    <col min="10484" max="10484" width="0" style="365" hidden="1" customWidth="1"/>
    <col min="10485" max="10485" width="17.42578125" style="365" customWidth="1"/>
    <col min="10486" max="10486" width="0" style="365" hidden="1" customWidth="1"/>
    <col min="10487" max="10487" width="14" style="365" customWidth="1"/>
    <col min="10488" max="10488" width="14.28515625" style="365" bestFit="1" customWidth="1"/>
    <col min="10489" max="10489" width="0" style="365" hidden="1" customWidth="1"/>
    <col min="10490" max="10490" width="15.5703125" style="365" customWidth="1"/>
    <col min="10491" max="10491" width="44.5703125" style="365" customWidth="1"/>
    <col min="10492" max="10492" width="14.28515625" style="365" bestFit="1" customWidth="1"/>
    <col min="10493" max="10493" width="0" style="365" hidden="1" customWidth="1"/>
    <col min="10494" max="10494" width="18.140625" style="365" customWidth="1"/>
    <col min="10495" max="10495" width="0" style="365" hidden="1" customWidth="1"/>
    <col min="10496" max="10496" width="14" style="365" customWidth="1"/>
    <col min="10497" max="10497" width="0" style="365" hidden="1" customWidth="1"/>
    <col min="10498" max="10498" width="20.85546875" style="365" customWidth="1"/>
    <col min="10499" max="10499" width="0" style="365" hidden="1" customWidth="1"/>
    <col min="10500" max="10500" width="13.28515625" style="365" customWidth="1"/>
    <col min="10501" max="10501" width="0" style="365" hidden="1" customWidth="1"/>
    <col min="10502" max="10502" width="15" style="365" customWidth="1"/>
    <col min="10503" max="10503" width="0" style="365" hidden="1" customWidth="1"/>
    <col min="10504" max="10504" width="13.28515625" style="365" customWidth="1"/>
    <col min="10505" max="10505" width="0" style="365" hidden="1" customWidth="1"/>
    <col min="10506" max="10506" width="20.140625" style="365" customWidth="1"/>
    <col min="10507" max="10507" width="14.42578125" style="365" bestFit="1" customWidth="1"/>
    <col min="10508" max="10508" width="14" style="365" bestFit="1" customWidth="1"/>
    <col min="10509" max="10509" width="12.28515625" style="365" bestFit="1" customWidth="1"/>
    <col min="10510" max="10534" width="9.140625" style="365" customWidth="1"/>
    <col min="10535" max="10729" width="8.85546875" style="365"/>
    <col min="10730" max="10730" width="44.5703125" style="365" customWidth="1"/>
    <col min="10731" max="10731" width="14.28515625" style="365" bestFit="1" customWidth="1"/>
    <col min="10732" max="10732" width="1.7109375" style="365" customWidth="1"/>
    <col min="10733" max="10733" width="14.85546875" style="365" customWidth="1"/>
    <col min="10734" max="10734" width="0" style="365" hidden="1" customWidth="1"/>
    <col min="10735" max="10735" width="17.42578125" style="365" customWidth="1"/>
    <col min="10736" max="10736" width="0" style="365" hidden="1" customWidth="1"/>
    <col min="10737" max="10737" width="12.85546875" style="365" customWidth="1"/>
    <col min="10738" max="10738" width="0" style="365" hidden="1" customWidth="1"/>
    <col min="10739" max="10739" width="14.42578125" style="365" customWidth="1"/>
    <col min="10740" max="10740" width="0" style="365" hidden="1" customWidth="1"/>
    <col min="10741" max="10741" width="17.42578125" style="365" customWidth="1"/>
    <col min="10742" max="10742" width="0" style="365" hidden="1" customWidth="1"/>
    <col min="10743" max="10743" width="14" style="365" customWidth="1"/>
    <col min="10744" max="10744" width="14.28515625" style="365" bestFit="1" customWidth="1"/>
    <col min="10745" max="10745" width="0" style="365" hidden="1" customWidth="1"/>
    <col min="10746" max="10746" width="15.5703125" style="365" customWidth="1"/>
    <col min="10747" max="10747" width="44.5703125" style="365" customWidth="1"/>
    <col min="10748" max="10748" width="14.28515625" style="365" bestFit="1" customWidth="1"/>
    <col min="10749" max="10749" width="0" style="365" hidden="1" customWidth="1"/>
    <col min="10750" max="10750" width="18.140625" style="365" customWidth="1"/>
    <col min="10751" max="10751" width="0" style="365" hidden="1" customWidth="1"/>
    <col min="10752" max="10752" width="14" style="365" customWidth="1"/>
    <col min="10753" max="10753" width="0" style="365" hidden="1" customWidth="1"/>
    <col min="10754" max="10754" width="20.85546875" style="365" customWidth="1"/>
    <col min="10755" max="10755" width="0" style="365" hidden="1" customWidth="1"/>
    <col min="10756" max="10756" width="13.28515625" style="365" customWidth="1"/>
    <col min="10757" max="10757" width="0" style="365" hidden="1" customWidth="1"/>
    <col min="10758" max="10758" width="15" style="365" customWidth="1"/>
    <col min="10759" max="10759" width="0" style="365" hidden="1" customWidth="1"/>
    <col min="10760" max="10760" width="13.28515625" style="365" customWidth="1"/>
    <col min="10761" max="10761" width="0" style="365" hidden="1" customWidth="1"/>
    <col min="10762" max="10762" width="20.140625" style="365" customWidth="1"/>
    <col min="10763" max="10763" width="14.42578125" style="365" bestFit="1" customWidth="1"/>
    <col min="10764" max="10764" width="14" style="365" bestFit="1" customWidth="1"/>
    <col min="10765" max="10765" width="12.28515625" style="365" bestFit="1" customWidth="1"/>
    <col min="10766" max="10790" width="9.140625" style="365" customWidth="1"/>
    <col min="10791" max="10985" width="8.85546875" style="365"/>
    <col min="10986" max="10986" width="44.5703125" style="365" customWidth="1"/>
    <col min="10987" max="10987" width="14.28515625" style="365" bestFit="1" customWidth="1"/>
    <col min="10988" max="10988" width="1.7109375" style="365" customWidth="1"/>
    <col min="10989" max="10989" width="14.85546875" style="365" customWidth="1"/>
    <col min="10990" max="10990" width="0" style="365" hidden="1" customWidth="1"/>
    <col min="10991" max="10991" width="17.42578125" style="365" customWidth="1"/>
    <col min="10992" max="10992" width="0" style="365" hidden="1" customWidth="1"/>
    <col min="10993" max="10993" width="12.85546875" style="365" customWidth="1"/>
    <col min="10994" max="10994" width="0" style="365" hidden="1" customWidth="1"/>
    <col min="10995" max="10995" width="14.42578125" style="365" customWidth="1"/>
    <col min="10996" max="10996" width="0" style="365" hidden="1" customWidth="1"/>
    <col min="10997" max="10997" width="17.42578125" style="365" customWidth="1"/>
    <col min="10998" max="10998" width="0" style="365" hidden="1" customWidth="1"/>
    <col min="10999" max="10999" width="14" style="365" customWidth="1"/>
    <col min="11000" max="11000" width="14.28515625" style="365" bestFit="1" customWidth="1"/>
    <col min="11001" max="11001" width="0" style="365" hidden="1" customWidth="1"/>
    <col min="11002" max="11002" width="15.5703125" style="365" customWidth="1"/>
    <col min="11003" max="11003" width="44.5703125" style="365" customWidth="1"/>
    <col min="11004" max="11004" width="14.28515625" style="365" bestFit="1" customWidth="1"/>
    <col min="11005" max="11005" width="0" style="365" hidden="1" customWidth="1"/>
    <col min="11006" max="11006" width="18.140625" style="365" customWidth="1"/>
    <col min="11007" max="11007" width="0" style="365" hidden="1" customWidth="1"/>
    <col min="11008" max="11008" width="14" style="365" customWidth="1"/>
    <col min="11009" max="11009" width="0" style="365" hidden="1" customWidth="1"/>
    <col min="11010" max="11010" width="20.85546875" style="365" customWidth="1"/>
    <col min="11011" max="11011" width="0" style="365" hidden="1" customWidth="1"/>
    <col min="11012" max="11012" width="13.28515625" style="365" customWidth="1"/>
    <col min="11013" max="11013" width="0" style="365" hidden="1" customWidth="1"/>
    <col min="11014" max="11014" width="15" style="365" customWidth="1"/>
    <col min="11015" max="11015" width="0" style="365" hidden="1" customWidth="1"/>
    <col min="11016" max="11016" width="13.28515625" style="365" customWidth="1"/>
    <col min="11017" max="11017" width="0" style="365" hidden="1" customWidth="1"/>
    <col min="11018" max="11018" width="20.140625" style="365" customWidth="1"/>
    <col min="11019" max="11019" width="14.42578125" style="365" bestFit="1" customWidth="1"/>
    <col min="11020" max="11020" width="14" style="365" bestFit="1" customWidth="1"/>
    <col min="11021" max="11021" width="12.28515625" style="365" bestFit="1" customWidth="1"/>
    <col min="11022" max="11046" width="9.140625" style="365" customWidth="1"/>
    <col min="11047" max="11241" width="8.85546875" style="365"/>
    <col min="11242" max="11242" width="44.5703125" style="365" customWidth="1"/>
    <col min="11243" max="11243" width="14.28515625" style="365" bestFit="1" customWidth="1"/>
    <col min="11244" max="11244" width="1.7109375" style="365" customWidth="1"/>
    <col min="11245" max="11245" width="14.85546875" style="365" customWidth="1"/>
    <col min="11246" max="11246" width="0" style="365" hidden="1" customWidth="1"/>
    <col min="11247" max="11247" width="17.42578125" style="365" customWidth="1"/>
    <col min="11248" max="11248" width="0" style="365" hidden="1" customWidth="1"/>
    <col min="11249" max="11249" width="12.85546875" style="365" customWidth="1"/>
    <col min="11250" max="11250" width="0" style="365" hidden="1" customWidth="1"/>
    <col min="11251" max="11251" width="14.42578125" style="365" customWidth="1"/>
    <col min="11252" max="11252" width="0" style="365" hidden="1" customWidth="1"/>
    <col min="11253" max="11253" width="17.42578125" style="365" customWidth="1"/>
    <col min="11254" max="11254" width="0" style="365" hidden="1" customWidth="1"/>
    <col min="11255" max="11255" width="14" style="365" customWidth="1"/>
    <col min="11256" max="11256" width="14.28515625" style="365" bestFit="1" customWidth="1"/>
    <col min="11257" max="11257" width="0" style="365" hidden="1" customWidth="1"/>
    <col min="11258" max="11258" width="15.5703125" style="365" customWidth="1"/>
    <col min="11259" max="11259" width="44.5703125" style="365" customWidth="1"/>
    <col min="11260" max="11260" width="14.28515625" style="365" bestFit="1" customWidth="1"/>
    <col min="11261" max="11261" width="0" style="365" hidden="1" customWidth="1"/>
    <col min="11262" max="11262" width="18.140625" style="365" customWidth="1"/>
    <col min="11263" max="11263" width="0" style="365" hidden="1" customWidth="1"/>
    <col min="11264" max="11264" width="14" style="365" customWidth="1"/>
    <col min="11265" max="11265" width="0" style="365" hidden="1" customWidth="1"/>
    <col min="11266" max="11266" width="20.85546875" style="365" customWidth="1"/>
    <col min="11267" max="11267" width="0" style="365" hidden="1" customWidth="1"/>
    <col min="11268" max="11268" width="13.28515625" style="365" customWidth="1"/>
    <col min="11269" max="11269" width="0" style="365" hidden="1" customWidth="1"/>
    <col min="11270" max="11270" width="15" style="365" customWidth="1"/>
    <col min="11271" max="11271" width="0" style="365" hidden="1" customWidth="1"/>
    <col min="11272" max="11272" width="13.28515625" style="365" customWidth="1"/>
    <col min="11273" max="11273" width="0" style="365" hidden="1" customWidth="1"/>
    <col min="11274" max="11274" width="20.140625" style="365" customWidth="1"/>
    <col min="11275" max="11275" width="14.42578125" style="365" bestFit="1" customWidth="1"/>
    <col min="11276" max="11276" width="14" style="365" bestFit="1" customWidth="1"/>
    <col min="11277" max="11277" width="12.28515625" style="365" bestFit="1" customWidth="1"/>
    <col min="11278" max="11302" width="9.140625" style="365" customWidth="1"/>
    <col min="11303" max="11497" width="8.85546875" style="365"/>
    <col min="11498" max="11498" width="44.5703125" style="365" customWidth="1"/>
    <col min="11499" max="11499" width="14.28515625" style="365" bestFit="1" customWidth="1"/>
    <col min="11500" max="11500" width="1.7109375" style="365" customWidth="1"/>
    <col min="11501" max="11501" width="14.85546875" style="365" customWidth="1"/>
    <col min="11502" max="11502" width="0" style="365" hidden="1" customWidth="1"/>
    <col min="11503" max="11503" width="17.42578125" style="365" customWidth="1"/>
    <col min="11504" max="11504" width="0" style="365" hidden="1" customWidth="1"/>
    <col min="11505" max="11505" width="12.85546875" style="365" customWidth="1"/>
    <col min="11506" max="11506" width="0" style="365" hidden="1" customWidth="1"/>
    <col min="11507" max="11507" width="14.42578125" style="365" customWidth="1"/>
    <col min="11508" max="11508" width="0" style="365" hidden="1" customWidth="1"/>
    <col min="11509" max="11509" width="17.42578125" style="365" customWidth="1"/>
    <col min="11510" max="11510" width="0" style="365" hidden="1" customWidth="1"/>
    <col min="11511" max="11511" width="14" style="365" customWidth="1"/>
    <col min="11512" max="11512" width="14.28515625" style="365" bestFit="1" customWidth="1"/>
    <col min="11513" max="11513" width="0" style="365" hidden="1" customWidth="1"/>
    <col min="11514" max="11514" width="15.5703125" style="365" customWidth="1"/>
    <col min="11515" max="11515" width="44.5703125" style="365" customWidth="1"/>
    <col min="11516" max="11516" width="14.28515625" style="365" bestFit="1" customWidth="1"/>
    <col min="11517" max="11517" width="0" style="365" hidden="1" customWidth="1"/>
    <col min="11518" max="11518" width="18.140625" style="365" customWidth="1"/>
    <col min="11519" max="11519" width="0" style="365" hidden="1" customWidth="1"/>
    <col min="11520" max="11520" width="14" style="365" customWidth="1"/>
    <col min="11521" max="11521" width="0" style="365" hidden="1" customWidth="1"/>
    <col min="11522" max="11522" width="20.85546875" style="365" customWidth="1"/>
    <col min="11523" max="11523" width="0" style="365" hidden="1" customWidth="1"/>
    <col min="11524" max="11524" width="13.28515625" style="365" customWidth="1"/>
    <col min="11525" max="11525" width="0" style="365" hidden="1" customWidth="1"/>
    <col min="11526" max="11526" width="15" style="365" customWidth="1"/>
    <col min="11527" max="11527" width="0" style="365" hidden="1" customWidth="1"/>
    <col min="11528" max="11528" width="13.28515625" style="365" customWidth="1"/>
    <col min="11529" max="11529" width="0" style="365" hidden="1" customWidth="1"/>
    <col min="11530" max="11530" width="20.140625" style="365" customWidth="1"/>
    <col min="11531" max="11531" width="14.42578125" style="365" bestFit="1" customWidth="1"/>
    <col min="11532" max="11532" width="14" style="365" bestFit="1" customWidth="1"/>
    <col min="11533" max="11533" width="12.28515625" style="365" bestFit="1" customWidth="1"/>
    <col min="11534" max="11558" width="9.140625" style="365" customWidth="1"/>
    <col min="11559" max="11753" width="8.85546875" style="365"/>
    <col min="11754" max="11754" width="44.5703125" style="365" customWidth="1"/>
    <col min="11755" max="11755" width="14.28515625" style="365" bestFit="1" customWidth="1"/>
    <col min="11756" max="11756" width="1.7109375" style="365" customWidth="1"/>
    <col min="11757" max="11757" width="14.85546875" style="365" customWidth="1"/>
    <col min="11758" max="11758" width="0" style="365" hidden="1" customWidth="1"/>
    <col min="11759" max="11759" width="17.42578125" style="365" customWidth="1"/>
    <col min="11760" max="11760" width="0" style="365" hidden="1" customWidth="1"/>
    <col min="11761" max="11761" width="12.85546875" style="365" customWidth="1"/>
    <col min="11762" max="11762" width="0" style="365" hidden="1" customWidth="1"/>
    <col min="11763" max="11763" width="14.42578125" style="365" customWidth="1"/>
    <col min="11764" max="11764" width="0" style="365" hidden="1" customWidth="1"/>
    <col min="11765" max="11765" width="17.42578125" style="365" customWidth="1"/>
    <col min="11766" max="11766" width="0" style="365" hidden="1" customWidth="1"/>
    <col min="11767" max="11767" width="14" style="365" customWidth="1"/>
    <col min="11768" max="11768" width="14.28515625" style="365" bestFit="1" customWidth="1"/>
    <col min="11769" max="11769" width="0" style="365" hidden="1" customWidth="1"/>
    <col min="11770" max="11770" width="15.5703125" style="365" customWidth="1"/>
    <col min="11771" max="11771" width="44.5703125" style="365" customWidth="1"/>
    <col min="11772" max="11772" width="14.28515625" style="365" bestFit="1" customWidth="1"/>
    <col min="11773" max="11773" width="0" style="365" hidden="1" customWidth="1"/>
    <col min="11774" max="11774" width="18.140625" style="365" customWidth="1"/>
    <col min="11775" max="11775" width="0" style="365" hidden="1" customWidth="1"/>
    <col min="11776" max="11776" width="14" style="365" customWidth="1"/>
    <col min="11777" max="11777" width="0" style="365" hidden="1" customWidth="1"/>
    <col min="11778" max="11778" width="20.85546875" style="365" customWidth="1"/>
    <col min="11779" max="11779" width="0" style="365" hidden="1" customWidth="1"/>
    <col min="11780" max="11780" width="13.28515625" style="365" customWidth="1"/>
    <col min="11781" max="11781" width="0" style="365" hidden="1" customWidth="1"/>
    <col min="11782" max="11782" width="15" style="365" customWidth="1"/>
    <col min="11783" max="11783" width="0" style="365" hidden="1" customWidth="1"/>
    <col min="11784" max="11784" width="13.28515625" style="365" customWidth="1"/>
    <col min="11785" max="11785" width="0" style="365" hidden="1" customWidth="1"/>
    <col min="11786" max="11786" width="20.140625" style="365" customWidth="1"/>
    <col min="11787" max="11787" width="14.42578125" style="365" bestFit="1" customWidth="1"/>
    <col min="11788" max="11788" width="14" style="365" bestFit="1" customWidth="1"/>
    <col min="11789" max="11789" width="12.28515625" style="365" bestFit="1" customWidth="1"/>
    <col min="11790" max="11814" width="9.140625" style="365" customWidth="1"/>
    <col min="11815" max="12009" width="8.85546875" style="365"/>
    <col min="12010" max="12010" width="44.5703125" style="365" customWidth="1"/>
    <col min="12011" max="12011" width="14.28515625" style="365" bestFit="1" customWidth="1"/>
    <col min="12012" max="12012" width="1.7109375" style="365" customWidth="1"/>
    <col min="12013" max="12013" width="14.85546875" style="365" customWidth="1"/>
    <col min="12014" max="12014" width="0" style="365" hidden="1" customWidth="1"/>
    <col min="12015" max="12015" width="17.42578125" style="365" customWidth="1"/>
    <col min="12016" max="12016" width="0" style="365" hidden="1" customWidth="1"/>
    <col min="12017" max="12017" width="12.85546875" style="365" customWidth="1"/>
    <col min="12018" max="12018" width="0" style="365" hidden="1" customWidth="1"/>
    <col min="12019" max="12019" width="14.42578125" style="365" customWidth="1"/>
    <col min="12020" max="12020" width="0" style="365" hidden="1" customWidth="1"/>
    <col min="12021" max="12021" width="17.42578125" style="365" customWidth="1"/>
    <col min="12022" max="12022" width="0" style="365" hidden="1" customWidth="1"/>
    <col min="12023" max="12023" width="14" style="365" customWidth="1"/>
    <col min="12024" max="12024" width="14.28515625" style="365" bestFit="1" customWidth="1"/>
    <col min="12025" max="12025" width="0" style="365" hidden="1" customWidth="1"/>
    <col min="12026" max="12026" width="15.5703125" style="365" customWidth="1"/>
    <col min="12027" max="12027" width="44.5703125" style="365" customWidth="1"/>
    <col min="12028" max="12028" width="14.28515625" style="365" bestFit="1" customWidth="1"/>
    <col min="12029" max="12029" width="0" style="365" hidden="1" customWidth="1"/>
    <col min="12030" max="12030" width="18.140625" style="365" customWidth="1"/>
    <col min="12031" max="12031" width="0" style="365" hidden="1" customWidth="1"/>
    <col min="12032" max="12032" width="14" style="365" customWidth="1"/>
    <col min="12033" max="12033" width="0" style="365" hidden="1" customWidth="1"/>
    <col min="12034" max="12034" width="20.85546875" style="365" customWidth="1"/>
    <col min="12035" max="12035" width="0" style="365" hidden="1" customWidth="1"/>
    <col min="12036" max="12036" width="13.28515625" style="365" customWidth="1"/>
    <col min="12037" max="12037" width="0" style="365" hidden="1" customWidth="1"/>
    <col min="12038" max="12038" width="15" style="365" customWidth="1"/>
    <col min="12039" max="12039" width="0" style="365" hidden="1" customWidth="1"/>
    <col min="12040" max="12040" width="13.28515625" style="365" customWidth="1"/>
    <col min="12041" max="12041" width="0" style="365" hidden="1" customWidth="1"/>
    <col min="12042" max="12042" width="20.140625" style="365" customWidth="1"/>
    <col min="12043" max="12043" width="14.42578125" style="365" bestFit="1" customWidth="1"/>
    <col min="12044" max="12044" width="14" style="365" bestFit="1" customWidth="1"/>
    <col min="12045" max="12045" width="12.28515625" style="365" bestFit="1" customWidth="1"/>
    <col min="12046" max="12070" width="9.140625" style="365" customWidth="1"/>
    <col min="12071" max="12265" width="8.85546875" style="365"/>
    <col min="12266" max="12266" width="44.5703125" style="365" customWidth="1"/>
    <col min="12267" max="12267" width="14.28515625" style="365" bestFit="1" customWidth="1"/>
    <col min="12268" max="12268" width="1.7109375" style="365" customWidth="1"/>
    <col min="12269" max="12269" width="14.85546875" style="365" customWidth="1"/>
    <col min="12270" max="12270" width="0" style="365" hidden="1" customWidth="1"/>
    <col min="12271" max="12271" width="17.42578125" style="365" customWidth="1"/>
    <col min="12272" max="12272" width="0" style="365" hidden="1" customWidth="1"/>
    <col min="12273" max="12273" width="12.85546875" style="365" customWidth="1"/>
    <col min="12274" max="12274" width="0" style="365" hidden="1" customWidth="1"/>
    <col min="12275" max="12275" width="14.42578125" style="365" customWidth="1"/>
    <col min="12276" max="12276" width="0" style="365" hidden="1" customWidth="1"/>
    <col min="12277" max="12277" width="17.42578125" style="365" customWidth="1"/>
    <col min="12278" max="12278" width="0" style="365" hidden="1" customWidth="1"/>
    <col min="12279" max="12279" width="14" style="365" customWidth="1"/>
    <col min="12280" max="12280" width="14.28515625" style="365" bestFit="1" customWidth="1"/>
    <col min="12281" max="12281" width="0" style="365" hidden="1" customWidth="1"/>
    <col min="12282" max="12282" width="15.5703125" style="365" customWidth="1"/>
    <col min="12283" max="12283" width="44.5703125" style="365" customWidth="1"/>
    <col min="12284" max="12284" width="14.28515625" style="365" bestFit="1" customWidth="1"/>
    <col min="12285" max="12285" width="0" style="365" hidden="1" customWidth="1"/>
    <col min="12286" max="12286" width="18.140625" style="365" customWidth="1"/>
    <col min="12287" max="12287" width="0" style="365" hidden="1" customWidth="1"/>
    <col min="12288" max="12288" width="14" style="365" customWidth="1"/>
    <col min="12289" max="12289" width="0" style="365" hidden="1" customWidth="1"/>
    <col min="12290" max="12290" width="20.85546875" style="365" customWidth="1"/>
    <col min="12291" max="12291" width="0" style="365" hidden="1" customWidth="1"/>
    <col min="12292" max="12292" width="13.28515625" style="365" customWidth="1"/>
    <col min="12293" max="12293" width="0" style="365" hidden="1" customWidth="1"/>
    <col min="12294" max="12294" width="15" style="365" customWidth="1"/>
    <col min="12295" max="12295" width="0" style="365" hidden="1" customWidth="1"/>
    <col min="12296" max="12296" width="13.28515625" style="365" customWidth="1"/>
    <col min="12297" max="12297" width="0" style="365" hidden="1" customWidth="1"/>
    <col min="12298" max="12298" width="20.140625" style="365" customWidth="1"/>
    <col min="12299" max="12299" width="14.42578125" style="365" bestFit="1" customWidth="1"/>
    <col min="12300" max="12300" width="14" style="365" bestFit="1" customWidth="1"/>
    <col min="12301" max="12301" width="12.28515625" style="365" bestFit="1" customWidth="1"/>
    <col min="12302" max="12326" width="9.140625" style="365" customWidth="1"/>
    <col min="12327" max="12521" width="8.85546875" style="365"/>
    <col min="12522" max="12522" width="44.5703125" style="365" customWidth="1"/>
    <col min="12523" max="12523" width="14.28515625" style="365" bestFit="1" customWidth="1"/>
    <col min="12524" max="12524" width="1.7109375" style="365" customWidth="1"/>
    <col min="12525" max="12525" width="14.85546875" style="365" customWidth="1"/>
    <col min="12526" max="12526" width="0" style="365" hidden="1" customWidth="1"/>
    <col min="12527" max="12527" width="17.42578125" style="365" customWidth="1"/>
    <col min="12528" max="12528" width="0" style="365" hidden="1" customWidth="1"/>
    <col min="12529" max="12529" width="12.85546875" style="365" customWidth="1"/>
    <col min="12530" max="12530" width="0" style="365" hidden="1" customWidth="1"/>
    <col min="12531" max="12531" width="14.42578125" style="365" customWidth="1"/>
    <col min="12532" max="12532" width="0" style="365" hidden="1" customWidth="1"/>
    <col min="12533" max="12533" width="17.42578125" style="365" customWidth="1"/>
    <col min="12534" max="12534" width="0" style="365" hidden="1" customWidth="1"/>
    <col min="12535" max="12535" width="14" style="365" customWidth="1"/>
    <col min="12536" max="12536" width="14.28515625" style="365" bestFit="1" customWidth="1"/>
    <col min="12537" max="12537" width="0" style="365" hidden="1" customWidth="1"/>
    <col min="12538" max="12538" width="15.5703125" style="365" customWidth="1"/>
    <col min="12539" max="12539" width="44.5703125" style="365" customWidth="1"/>
    <col min="12540" max="12540" width="14.28515625" style="365" bestFit="1" customWidth="1"/>
    <col min="12541" max="12541" width="0" style="365" hidden="1" customWidth="1"/>
    <col min="12542" max="12542" width="18.140625" style="365" customWidth="1"/>
    <col min="12543" max="12543" width="0" style="365" hidden="1" customWidth="1"/>
    <col min="12544" max="12544" width="14" style="365" customWidth="1"/>
    <col min="12545" max="12545" width="0" style="365" hidden="1" customWidth="1"/>
    <col min="12546" max="12546" width="20.85546875" style="365" customWidth="1"/>
    <col min="12547" max="12547" width="0" style="365" hidden="1" customWidth="1"/>
    <col min="12548" max="12548" width="13.28515625" style="365" customWidth="1"/>
    <col min="12549" max="12549" width="0" style="365" hidden="1" customWidth="1"/>
    <col min="12550" max="12550" width="15" style="365" customWidth="1"/>
    <col min="12551" max="12551" width="0" style="365" hidden="1" customWidth="1"/>
    <col min="12552" max="12552" width="13.28515625" style="365" customWidth="1"/>
    <col min="12553" max="12553" width="0" style="365" hidden="1" customWidth="1"/>
    <col min="12554" max="12554" width="20.140625" style="365" customWidth="1"/>
    <col min="12555" max="12555" width="14.42578125" style="365" bestFit="1" customWidth="1"/>
    <col min="12556" max="12556" width="14" style="365" bestFit="1" customWidth="1"/>
    <col min="12557" max="12557" width="12.28515625" style="365" bestFit="1" customWidth="1"/>
    <col min="12558" max="12582" width="9.140625" style="365" customWidth="1"/>
    <col min="12583" max="12777" width="8.85546875" style="365"/>
    <col min="12778" max="12778" width="44.5703125" style="365" customWidth="1"/>
    <col min="12779" max="12779" width="14.28515625" style="365" bestFit="1" customWidth="1"/>
    <col min="12780" max="12780" width="1.7109375" style="365" customWidth="1"/>
    <col min="12781" max="12781" width="14.85546875" style="365" customWidth="1"/>
    <col min="12782" max="12782" width="0" style="365" hidden="1" customWidth="1"/>
    <col min="12783" max="12783" width="17.42578125" style="365" customWidth="1"/>
    <col min="12784" max="12784" width="0" style="365" hidden="1" customWidth="1"/>
    <col min="12785" max="12785" width="12.85546875" style="365" customWidth="1"/>
    <col min="12786" max="12786" width="0" style="365" hidden="1" customWidth="1"/>
    <col min="12787" max="12787" width="14.42578125" style="365" customWidth="1"/>
    <col min="12788" max="12788" width="0" style="365" hidden="1" customWidth="1"/>
    <col min="12789" max="12789" width="17.42578125" style="365" customWidth="1"/>
    <col min="12790" max="12790" width="0" style="365" hidden="1" customWidth="1"/>
    <col min="12791" max="12791" width="14" style="365" customWidth="1"/>
    <col min="12792" max="12792" width="14.28515625" style="365" bestFit="1" customWidth="1"/>
    <col min="12793" max="12793" width="0" style="365" hidden="1" customWidth="1"/>
    <col min="12794" max="12794" width="15.5703125" style="365" customWidth="1"/>
    <col min="12795" max="12795" width="44.5703125" style="365" customWidth="1"/>
    <col min="12796" max="12796" width="14.28515625" style="365" bestFit="1" customWidth="1"/>
    <col min="12797" max="12797" width="0" style="365" hidden="1" customWidth="1"/>
    <col min="12798" max="12798" width="18.140625" style="365" customWidth="1"/>
    <col min="12799" max="12799" width="0" style="365" hidden="1" customWidth="1"/>
    <col min="12800" max="12800" width="14" style="365" customWidth="1"/>
    <col min="12801" max="12801" width="0" style="365" hidden="1" customWidth="1"/>
    <col min="12802" max="12802" width="20.85546875" style="365" customWidth="1"/>
    <col min="12803" max="12803" width="0" style="365" hidden="1" customWidth="1"/>
    <col min="12804" max="12804" width="13.28515625" style="365" customWidth="1"/>
    <col min="12805" max="12805" width="0" style="365" hidden="1" customWidth="1"/>
    <col min="12806" max="12806" width="15" style="365" customWidth="1"/>
    <col min="12807" max="12807" width="0" style="365" hidden="1" customWidth="1"/>
    <col min="12808" max="12808" width="13.28515625" style="365" customWidth="1"/>
    <col min="12809" max="12809" width="0" style="365" hidden="1" customWidth="1"/>
    <col min="12810" max="12810" width="20.140625" style="365" customWidth="1"/>
    <col min="12811" max="12811" width="14.42578125" style="365" bestFit="1" customWidth="1"/>
    <col min="12812" max="12812" width="14" style="365" bestFit="1" customWidth="1"/>
    <col min="12813" max="12813" width="12.28515625" style="365" bestFit="1" customWidth="1"/>
    <col min="12814" max="12838" width="9.140625" style="365" customWidth="1"/>
    <col min="12839" max="13033" width="8.85546875" style="365"/>
    <col min="13034" max="13034" width="44.5703125" style="365" customWidth="1"/>
    <col min="13035" max="13035" width="14.28515625" style="365" bestFit="1" customWidth="1"/>
    <col min="13036" max="13036" width="1.7109375" style="365" customWidth="1"/>
    <col min="13037" max="13037" width="14.85546875" style="365" customWidth="1"/>
    <col min="13038" max="13038" width="0" style="365" hidden="1" customWidth="1"/>
    <col min="13039" max="13039" width="17.42578125" style="365" customWidth="1"/>
    <col min="13040" max="13040" width="0" style="365" hidden="1" customWidth="1"/>
    <col min="13041" max="13041" width="12.85546875" style="365" customWidth="1"/>
    <col min="13042" max="13042" width="0" style="365" hidden="1" customWidth="1"/>
    <col min="13043" max="13043" width="14.42578125" style="365" customWidth="1"/>
    <col min="13044" max="13044" width="0" style="365" hidden="1" customWidth="1"/>
    <col min="13045" max="13045" width="17.42578125" style="365" customWidth="1"/>
    <col min="13046" max="13046" width="0" style="365" hidden="1" customWidth="1"/>
    <col min="13047" max="13047" width="14" style="365" customWidth="1"/>
    <col min="13048" max="13048" width="14.28515625" style="365" bestFit="1" customWidth="1"/>
    <col min="13049" max="13049" width="0" style="365" hidden="1" customWidth="1"/>
    <col min="13050" max="13050" width="15.5703125" style="365" customWidth="1"/>
    <col min="13051" max="13051" width="44.5703125" style="365" customWidth="1"/>
    <col min="13052" max="13052" width="14.28515625" style="365" bestFit="1" customWidth="1"/>
    <col min="13053" max="13053" width="0" style="365" hidden="1" customWidth="1"/>
    <col min="13054" max="13054" width="18.140625" style="365" customWidth="1"/>
    <col min="13055" max="13055" width="0" style="365" hidden="1" customWidth="1"/>
    <col min="13056" max="13056" width="14" style="365" customWidth="1"/>
    <col min="13057" max="13057" width="0" style="365" hidden="1" customWidth="1"/>
    <col min="13058" max="13058" width="20.85546875" style="365" customWidth="1"/>
    <col min="13059" max="13059" width="0" style="365" hidden="1" customWidth="1"/>
    <col min="13060" max="13060" width="13.28515625" style="365" customWidth="1"/>
    <col min="13061" max="13061" width="0" style="365" hidden="1" customWidth="1"/>
    <col min="13062" max="13062" width="15" style="365" customWidth="1"/>
    <col min="13063" max="13063" width="0" style="365" hidden="1" customWidth="1"/>
    <col min="13064" max="13064" width="13.28515625" style="365" customWidth="1"/>
    <col min="13065" max="13065" width="0" style="365" hidden="1" customWidth="1"/>
    <col min="13066" max="13066" width="20.140625" style="365" customWidth="1"/>
    <col min="13067" max="13067" width="14.42578125" style="365" bestFit="1" customWidth="1"/>
    <col min="13068" max="13068" width="14" style="365" bestFit="1" customWidth="1"/>
    <col min="13069" max="13069" width="12.28515625" style="365" bestFit="1" customWidth="1"/>
    <col min="13070" max="13094" width="9.140625" style="365" customWidth="1"/>
    <col min="13095" max="13289" width="8.85546875" style="365"/>
    <col min="13290" max="13290" width="44.5703125" style="365" customWidth="1"/>
    <col min="13291" max="13291" width="14.28515625" style="365" bestFit="1" customWidth="1"/>
    <col min="13292" max="13292" width="1.7109375" style="365" customWidth="1"/>
    <col min="13293" max="13293" width="14.85546875" style="365" customWidth="1"/>
    <col min="13294" max="13294" width="0" style="365" hidden="1" customWidth="1"/>
    <col min="13295" max="13295" width="17.42578125" style="365" customWidth="1"/>
    <col min="13296" max="13296" width="0" style="365" hidden="1" customWidth="1"/>
    <col min="13297" max="13297" width="12.85546875" style="365" customWidth="1"/>
    <col min="13298" max="13298" width="0" style="365" hidden="1" customWidth="1"/>
    <col min="13299" max="13299" width="14.42578125" style="365" customWidth="1"/>
    <col min="13300" max="13300" width="0" style="365" hidden="1" customWidth="1"/>
    <col min="13301" max="13301" width="17.42578125" style="365" customWidth="1"/>
    <col min="13302" max="13302" width="0" style="365" hidden="1" customWidth="1"/>
    <col min="13303" max="13303" width="14" style="365" customWidth="1"/>
    <col min="13304" max="13304" width="14.28515625" style="365" bestFit="1" customWidth="1"/>
    <col min="13305" max="13305" width="0" style="365" hidden="1" customWidth="1"/>
    <col min="13306" max="13306" width="15.5703125" style="365" customWidth="1"/>
    <col min="13307" max="13307" width="44.5703125" style="365" customWidth="1"/>
    <col min="13308" max="13308" width="14.28515625" style="365" bestFit="1" customWidth="1"/>
    <col min="13309" max="13309" width="0" style="365" hidden="1" customWidth="1"/>
    <col min="13310" max="13310" width="18.140625" style="365" customWidth="1"/>
    <col min="13311" max="13311" width="0" style="365" hidden="1" customWidth="1"/>
    <col min="13312" max="13312" width="14" style="365" customWidth="1"/>
    <col min="13313" max="13313" width="0" style="365" hidden="1" customWidth="1"/>
    <col min="13314" max="13314" width="20.85546875" style="365" customWidth="1"/>
    <col min="13315" max="13315" width="0" style="365" hidden="1" customWidth="1"/>
    <col min="13316" max="13316" width="13.28515625" style="365" customWidth="1"/>
    <col min="13317" max="13317" width="0" style="365" hidden="1" customWidth="1"/>
    <col min="13318" max="13318" width="15" style="365" customWidth="1"/>
    <col min="13319" max="13319" width="0" style="365" hidden="1" customWidth="1"/>
    <col min="13320" max="13320" width="13.28515625" style="365" customWidth="1"/>
    <col min="13321" max="13321" width="0" style="365" hidden="1" customWidth="1"/>
    <col min="13322" max="13322" width="20.140625" style="365" customWidth="1"/>
    <col min="13323" max="13323" width="14.42578125" style="365" bestFit="1" customWidth="1"/>
    <col min="13324" max="13324" width="14" style="365" bestFit="1" customWidth="1"/>
    <col min="13325" max="13325" width="12.28515625" style="365" bestFit="1" customWidth="1"/>
    <col min="13326" max="13350" width="9.140625" style="365" customWidth="1"/>
    <col min="13351" max="13545" width="8.85546875" style="365"/>
    <col min="13546" max="13546" width="44.5703125" style="365" customWidth="1"/>
    <col min="13547" max="13547" width="14.28515625" style="365" bestFit="1" customWidth="1"/>
    <col min="13548" max="13548" width="1.7109375" style="365" customWidth="1"/>
    <col min="13549" max="13549" width="14.85546875" style="365" customWidth="1"/>
    <col min="13550" max="13550" width="0" style="365" hidden="1" customWidth="1"/>
    <col min="13551" max="13551" width="17.42578125" style="365" customWidth="1"/>
    <col min="13552" max="13552" width="0" style="365" hidden="1" customWidth="1"/>
    <col min="13553" max="13553" width="12.85546875" style="365" customWidth="1"/>
    <col min="13554" max="13554" width="0" style="365" hidden="1" customWidth="1"/>
    <col min="13555" max="13555" width="14.42578125" style="365" customWidth="1"/>
    <col min="13556" max="13556" width="0" style="365" hidden="1" customWidth="1"/>
    <col min="13557" max="13557" width="17.42578125" style="365" customWidth="1"/>
    <col min="13558" max="13558" width="0" style="365" hidden="1" customWidth="1"/>
    <col min="13559" max="13559" width="14" style="365" customWidth="1"/>
    <col min="13560" max="13560" width="14.28515625" style="365" bestFit="1" customWidth="1"/>
    <col min="13561" max="13561" width="0" style="365" hidden="1" customWidth="1"/>
    <col min="13562" max="13562" width="15.5703125" style="365" customWidth="1"/>
    <col min="13563" max="13563" width="44.5703125" style="365" customWidth="1"/>
    <col min="13564" max="13564" width="14.28515625" style="365" bestFit="1" customWidth="1"/>
    <col min="13565" max="13565" width="0" style="365" hidden="1" customWidth="1"/>
    <col min="13566" max="13566" width="18.140625" style="365" customWidth="1"/>
    <col min="13567" max="13567" width="0" style="365" hidden="1" customWidth="1"/>
    <col min="13568" max="13568" width="14" style="365" customWidth="1"/>
    <col min="13569" max="13569" width="0" style="365" hidden="1" customWidth="1"/>
    <col min="13570" max="13570" width="20.85546875" style="365" customWidth="1"/>
    <col min="13571" max="13571" width="0" style="365" hidden="1" customWidth="1"/>
    <col min="13572" max="13572" width="13.28515625" style="365" customWidth="1"/>
    <col min="13573" max="13573" width="0" style="365" hidden="1" customWidth="1"/>
    <col min="13574" max="13574" width="15" style="365" customWidth="1"/>
    <col min="13575" max="13575" width="0" style="365" hidden="1" customWidth="1"/>
    <col min="13576" max="13576" width="13.28515625" style="365" customWidth="1"/>
    <col min="13577" max="13577" width="0" style="365" hidden="1" customWidth="1"/>
    <col min="13578" max="13578" width="20.140625" style="365" customWidth="1"/>
    <col min="13579" max="13579" width="14.42578125" style="365" bestFit="1" customWidth="1"/>
    <col min="13580" max="13580" width="14" style="365" bestFit="1" customWidth="1"/>
    <col min="13581" max="13581" width="12.28515625" style="365" bestFit="1" customWidth="1"/>
    <col min="13582" max="13606" width="9.140625" style="365" customWidth="1"/>
    <col min="13607" max="13801" width="8.85546875" style="365"/>
    <col min="13802" max="13802" width="44.5703125" style="365" customWidth="1"/>
    <col min="13803" max="13803" width="14.28515625" style="365" bestFit="1" customWidth="1"/>
    <col min="13804" max="13804" width="1.7109375" style="365" customWidth="1"/>
    <col min="13805" max="13805" width="14.85546875" style="365" customWidth="1"/>
    <col min="13806" max="13806" width="0" style="365" hidden="1" customWidth="1"/>
    <col min="13807" max="13807" width="17.42578125" style="365" customWidth="1"/>
    <col min="13808" max="13808" width="0" style="365" hidden="1" customWidth="1"/>
    <col min="13809" max="13809" width="12.85546875" style="365" customWidth="1"/>
    <col min="13810" max="13810" width="0" style="365" hidden="1" customWidth="1"/>
    <col min="13811" max="13811" width="14.42578125" style="365" customWidth="1"/>
    <col min="13812" max="13812" width="0" style="365" hidden="1" customWidth="1"/>
    <col min="13813" max="13813" width="17.42578125" style="365" customWidth="1"/>
    <col min="13814" max="13814" width="0" style="365" hidden="1" customWidth="1"/>
    <col min="13815" max="13815" width="14" style="365" customWidth="1"/>
    <col min="13816" max="13816" width="14.28515625" style="365" bestFit="1" customWidth="1"/>
    <col min="13817" max="13817" width="0" style="365" hidden="1" customWidth="1"/>
    <col min="13818" max="13818" width="15.5703125" style="365" customWidth="1"/>
    <col min="13819" max="13819" width="44.5703125" style="365" customWidth="1"/>
    <col min="13820" max="13820" width="14.28515625" style="365" bestFit="1" customWidth="1"/>
    <col min="13821" max="13821" width="0" style="365" hidden="1" customWidth="1"/>
    <col min="13822" max="13822" width="18.140625" style="365" customWidth="1"/>
    <col min="13823" max="13823" width="0" style="365" hidden="1" customWidth="1"/>
    <col min="13824" max="13824" width="14" style="365" customWidth="1"/>
    <col min="13825" max="13825" width="0" style="365" hidden="1" customWidth="1"/>
    <col min="13826" max="13826" width="20.85546875" style="365" customWidth="1"/>
    <col min="13827" max="13827" width="0" style="365" hidden="1" customWidth="1"/>
    <col min="13828" max="13828" width="13.28515625" style="365" customWidth="1"/>
    <col min="13829" max="13829" width="0" style="365" hidden="1" customWidth="1"/>
    <col min="13830" max="13830" width="15" style="365" customWidth="1"/>
    <col min="13831" max="13831" width="0" style="365" hidden="1" customWidth="1"/>
    <col min="13832" max="13832" width="13.28515625" style="365" customWidth="1"/>
    <col min="13833" max="13833" width="0" style="365" hidden="1" customWidth="1"/>
    <col min="13834" max="13834" width="20.140625" style="365" customWidth="1"/>
    <col min="13835" max="13835" width="14.42578125" style="365" bestFit="1" customWidth="1"/>
    <col min="13836" max="13836" width="14" style="365" bestFit="1" customWidth="1"/>
    <col min="13837" max="13837" width="12.28515625" style="365" bestFit="1" customWidth="1"/>
    <col min="13838" max="13862" width="9.140625" style="365" customWidth="1"/>
    <col min="13863" max="14057" width="8.85546875" style="365"/>
    <col min="14058" max="14058" width="44.5703125" style="365" customWidth="1"/>
    <col min="14059" max="14059" width="14.28515625" style="365" bestFit="1" customWidth="1"/>
    <col min="14060" max="14060" width="1.7109375" style="365" customWidth="1"/>
    <col min="14061" max="14061" width="14.85546875" style="365" customWidth="1"/>
    <col min="14062" max="14062" width="0" style="365" hidden="1" customWidth="1"/>
    <col min="14063" max="14063" width="17.42578125" style="365" customWidth="1"/>
    <col min="14064" max="14064" width="0" style="365" hidden="1" customWidth="1"/>
    <col min="14065" max="14065" width="12.85546875" style="365" customWidth="1"/>
    <col min="14066" max="14066" width="0" style="365" hidden="1" customWidth="1"/>
    <col min="14067" max="14067" width="14.42578125" style="365" customWidth="1"/>
    <col min="14068" max="14068" width="0" style="365" hidden="1" customWidth="1"/>
    <col min="14069" max="14069" width="17.42578125" style="365" customWidth="1"/>
    <col min="14070" max="14070" width="0" style="365" hidden="1" customWidth="1"/>
    <col min="14071" max="14071" width="14" style="365" customWidth="1"/>
    <col min="14072" max="14072" width="14.28515625" style="365" bestFit="1" customWidth="1"/>
    <col min="14073" max="14073" width="0" style="365" hidden="1" customWidth="1"/>
    <col min="14074" max="14074" width="15.5703125" style="365" customWidth="1"/>
    <col min="14075" max="14075" width="44.5703125" style="365" customWidth="1"/>
    <col min="14076" max="14076" width="14.28515625" style="365" bestFit="1" customWidth="1"/>
    <col min="14077" max="14077" width="0" style="365" hidden="1" customWidth="1"/>
    <col min="14078" max="14078" width="18.140625" style="365" customWidth="1"/>
    <col min="14079" max="14079" width="0" style="365" hidden="1" customWidth="1"/>
    <col min="14080" max="14080" width="14" style="365" customWidth="1"/>
    <col min="14081" max="14081" width="0" style="365" hidden="1" customWidth="1"/>
    <col min="14082" max="14082" width="20.85546875" style="365" customWidth="1"/>
    <col min="14083" max="14083" width="0" style="365" hidden="1" customWidth="1"/>
    <col min="14084" max="14084" width="13.28515625" style="365" customWidth="1"/>
    <col min="14085" max="14085" width="0" style="365" hidden="1" customWidth="1"/>
    <col min="14086" max="14086" width="15" style="365" customWidth="1"/>
    <col min="14087" max="14087" width="0" style="365" hidden="1" customWidth="1"/>
    <col min="14088" max="14088" width="13.28515625" style="365" customWidth="1"/>
    <col min="14089" max="14089" width="0" style="365" hidden="1" customWidth="1"/>
    <col min="14090" max="14090" width="20.140625" style="365" customWidth="1"/>
    <col min="14091" max="14091" width="14.42578125" style="365" bestFit="1" customWidth="1"/>
    <col min="14092" max="14092" width="14" style="365" bestFit="1" customWidth="1"/>
    <col min="14093" max="14093" width="12.28515625" style="365" bestFit="1" customWidth="1"/>
    <col min="14094" max="14118" width="9.140625" style="365" customWidth="1"/>
    <col min="14119" max="14313" width="8.85546875" style="365"/>
    <col min="14314" max="14314" width="44.5703125" style="365" customWidth="1"/>
    <col min="14315" max="14315" width="14.28515625" style="365" bestFit="1" customWidth="1"/>
    <col min="14316" max="14316" width="1.7109375" style="365" customWidth="1"/>
    <col min="14317" max="14317" width="14.85546875" style="365" customWidth="1"/>
    <col min="14318" max="14318" width="0" style="365" hidden="1" customWidth="1"/>
    <col min="14319" max="14319" width="17.42578125" style="365" customWidth="1"/>
    <col min="14320" max="14320" width="0" style="365" hidden="1" customWidth="1"/>
    <col min="14321" max="14321" width="12.85546875" style="365" customWidth="1"/>
    <col min="14322" max="14322" width="0" style="365" hidden="1" customWidth="1"/>
    <col min="14323" max="14323" width="14.42578125" style="365" customWidth="1"/>
    <col min="14324" max="14324" width="0" style="365" hidden="1" customWidth="1"/>
    <col min="14325" max="14325" width="17.42578125" style="365" customWidth="1"/>
    <col min="14326" max="14326" width="0" style="365" hidden="1" customWidth="1"/>
    <col min="14327" max="14327" width="14" style="365" customWidth="1"/>
    <col min="14328" max="14328" width="14.28515625" style="365" bestFit="1" customWidth="1"/>
    <col min="14329" max="14329" width="0" style="365" hidden="1" customWidth="1"/>
    <col min="14330" max="14330" width="15.5703125" style="365" customWidth="1"/>
    <col min="14331" max="14331" width="44.5703125" style="365" customWidth="1"/>
    <col min="14332" max="14332" width="14.28515625" style="365" bestFit="1" customWidth="1"/>
    <col min="14333" max="14333" width="0" style="365" hidden="1" customWidth="1"/>
    <col min="14334" max="14334" width="18.140625" style="365" customWidth="1"/>
    <col min="14335" max="14335" width="0" style="365" hidden="1" customWidth="1"/>
    <col min="14336" max="14336" width="14" style="365" customWidth="1"/>
    <col min="14337" max="14337" width="0" style="365" hidden="1" customWidth="1"/>
    <col min="14338" max="14338" width="20.85546875" style="365" customWidth="1"/>
    <col min="14339" max="14339" width="0" style="365" hidden="1" customWidth="1"/>
    <col min="14340" max="14340" width="13.28515625" style="365" customWidth="1"/>
    <col min="14341" max="14341" width="0" style="365" hidden="1" customWidth="1"/>
    <col min="14342" max="14342" width="15" style="365" customWidth="1"/>
    <col min="14343" max="14343" width="0" style="365" hidden="1" customWidth="1"/>
    <col min="14344" max="14344" width="13.28515625" style="365" customWidth="1"/>
    <col min="14345" max="14345" width="0" style="365" hidden="1" customWidth="1"/>
    <col min="14346" max="14346" width="20.140625" style="365" customWidth="1"/>
    <col min="14347" max="14347" width="14.42578125" style="365" bestFit="1" customWidth="1"/>
    <col min="14348" max="14348" width="14" style="365" bestFit="1" customWidth="1"/>
    <col min="14349" max="14349" width="12.28515625" style="365" bestFit="1" customWidth="1"/>
    <col min="14350" max="14374" width="9.140625" style="365" customWidth="1"/>
    <col min="14375" max="14569" width="8.85546875" style="365"/>
    <col min="14570" max="14570" width="44.5703125" style="365" customWidth="1"/>
    <col min="14571" max="14571" width="14.28515625" style="365" bestFit="1" customWidth="1"/>
    <col min="14572" max="14572" width="1.7109375" style="365" customWidth="1"/>
    <col min="14573" max="14573" width="14.85546875" style="365" customWidth="1"/>
    <col min="14574" max="14574" width="0" style="365" hidden="1" customWidth="1"/>
    <col min="14575" max="14575" width="17.42578125" style="365" customWidth="1"/>
    <col min="14576" max="14576" width="0" style="365" hidden="1" customWidth="1"/>
    <col min="14577" max="14577" width="12.85546875" style="365" customWidth="1"/>
    <col min="14578" max="14578" width="0" style="365" hidden="1" customWidth="1"/>
    <col min="14579" max="14579" width="14.42578125" style="365" customWidth="1"/>
    <col min="14580" max="14580" width="0" style="365" hidden="1" customWidth="1"/>
    <col min="14581" max="14581" width="17.42578125" style="365" customWidth="1"/>
    <col min="14582" max="14582" width="0" style="365" hidden="1" customWidth="1"/>
    <col min="14583" max="14583" width="14" style="365" customWidth="1"/>
    <col min="14584" max="14584" width="14.28515625" style="365" bestFit="1" customWidth="1"/>
    <col min="14585" max="14585" width="0" style="365" hidden="1" customWidth="1"/>
    <col min="14586" max="14586" width="15.5703125" style="365" customWidth="1"/>
    <col min="14587" max="14587" width="44.5703125" style="365" customWidth="1"/>
    <col min="14588" max="14588" width="14.28515625" style="365" bestFit="1" customWidth="1"/>
    <col min="14589" max="14589" width="0" style="365" hidden="1" customWidth="1"/>
    <col min="14590" max="14590" width="18.140625" style="365" customWidth="1"/>
    <col min="14591" max="14591" width="0" style="365" hidden="1" customWidth="1"/>
    <col min="14592" max="14592" width="14" style="365" customWidth="1"/>
    <col min="14593" max="14593" width="0" style="365" hidden="1" customWidth="1"/>
    <col min="14594" max="14594" width="20.85546875" style="365" customWidth="1"/>
    <col min="14595" max="14595" width="0" style="365" hidden="1" customWidth="1"/>
    <col min="14596" max="14596" width="13.28515625" style="365" customWidth="1"/>
    <col min="14597" max="14597" width="0" style="365" hidden="1" customWidth="1"/>
    <col min="14598" max="14598" width="15" style="365" customWidth="1"/>
    <col min="14599" max="14599" width="0" style="365" hidden="1" customWidth="1"/>
    <col min="14600" max="14600" width="13.28515625" style="365" customWidth="1"/>
    <col min="14601" max="14601" width="0" style="365" hidden="1" customWidth="1"/>
    <col min="14602" max="14602" width="20.140625" style="365" customWidth="1"/>
    <col min="14603" max="14603" width="14.42578125" style="365" bestFit="1" customWidth="1"/>
    <col min="14604" max="14604" width="14" style="365" bestFit="1" customWidth="1"/>
    <col min="14605" max="14605" width="12.28515625" style="365" bestFit="1" customWidth="1"/>
    <col min="14606" max="14630" width="9.140625" style="365" customWidth="1"/>
    <col min="14631" max="14825" width="8.85546875" style="365"/>
    <col min="14826" max="14826" width="44.5703125" style="365" customWidth="1"/>
    <col min="14827" max="14827" width="14.28515625" style="365" bestFit="1" customWidth="1"/>
    <col min="14828" max="14828" width="1.7109375" style="365" customWidth="1"/>
    <col min="14829" max="14829" width="14.85546875" style="365" customWidth="1"/>
    <col min="14830" max="14830" width="0" style="365" hidden="1" customWidth="1"/>
    <col min="14831" max="14831" width="17.42578125" style="365" customWidth="1"/>
    <col min="14832" max="14832" width="0" style="365" hidden="1" customWidth="1"/>
    <col min="14833" max="14833" width="12.85546875" style="365" customWidth="1"/>
    <col min="14834" max="14834" width="0" style="365" hidden="1" customWidth="1"/>
    <col min="14835" max="14835" width="14.42578125" style="365" customWidth="1"/>
    <col min="14836" max="14836" width="0" style="365" hidden="1" customWidth="1"/>
    <col min="14837" max="14837" width="17.42578125" style="365" customWidth="1"/>
    <col min="14838" max="14838" width="0" style="365" hidden="1" customWidth="1"/>
    <col min="14839" max="14839" width="14" style="365" customWidth="1"/>
    <col min="14840" max="14840" width="14.28515625" style="365" bestFit="1" customWidth="1"/>
    <col min="14841" max="14841" width="0" style="365" hidden="1" customWidth="1"/>
    <col min="14842" max="14842" width="15.5703125" style="365" customWidth="1"/>
    <col min="14843" max="14843" width="44.5703125" style="365" customWidth="1"/>
    <col min="14844" max="14844" width="14.28515625" style="365" bestFit="1" customWidth="1"/>
    <col min="14845" max="14845" width="0" style="365" hidden="1" customWidth="1"/>
    <col min="14846" max="14846" width="18.140625" style="365" customWidth="1"/>
    <col min="14847" max="14847" width="0" style="365" hidden="1" customWidth="1"/>
    <col min="14848" max="14848" width="14" style="365" customWidth="1"/>
    <col min="14849" max="14849" width="0" style="365" hidden="1" customWidth="1"/>
    <col min="14850" max="14850" width="20.85546875" style="365" customWidth="1"/>
    <col min="14851" max="14851" width="0" style="365" hidden="1" customWidth="1"/>
    <col min="14852" max="14852" width="13.28515625" style="365" customWidth="1"/>
    <col min="14853" max="14853" width="0" style="365" hidden="1" customWidth="1"/>
    <col min="14854" max="14854" width="15" style="365" customWidth="1"/>
    <col min="14855" max="14855" width="0" style="365" hidden="1" customWidth="1"/>
    <col min="14856" max="14856" width="13.28515625" style="365" customWidth="1"/>
    <col min="14857" max="14857" width="0" style="365" hidden="1" customWidth="1"/>
    <col min="14858" max="14858" width="20.140625" style="365" customWidth="1"/>
    <col min="14859" max="14859" width="14.42578125" style="365" bestFit="1" customWidth="1"/>
    <col min="14860" max="14860" width="14" style="365" bestFit="1" customWidth="1"/>
    <col min="14861" max="14861" width="12.28515625" style="365" bestFit="1" customWidth="1"/>
    <col min="14862" max="14886" width="9.140625" style="365" customWidth="1"/>
    <col min="14887" max="15081" width="8.85546875" style="365"/>
    <col min="15082" max="15082" width="44.5703125" style="365" customWidth="1"/>
    <col min="15083" max="15083" width="14.28515625" style="365" bestFit="1" customWidth="1"/>
    <col min="15084" max="15084" width="1.7109375" style="365" customWidth="1"/>
    <col min="15085" max="15085" width="14.85546875" style="365" customWidth="1"/>
    <col min="15086" max="15086" width="0" style="365" hidden="1" customWidth="1"/>
    <col min="15087" max="15087" width="17.42578125" style="365" customWidth="1"/>
    <col min="15088" max="15088" width="0" style="365" hidden="1" customWidth="1"/>
    <col min="15089" max="15089" width="12.85546875" style="365" customWidth="1"/>
    <col min="15090" max="15090" width="0" style="365" hidden="1" customWidth="1"/>
    <col min="15091" max="15091" width="14.42578125" style="365" customWidth="1"/>
    <col min="15092" max="15092" width="0" style="365" hidden="1" customWidth="1"/>
    <col min="15093" max="15093" width="17.42578125" style="365" customWidth="1"/>
    <col min="15094" max="15094" width="0" style="365" hidden="1" customWidth="1"/>
    <col min="15095" max="15095" width="14" style="365" customWidth="1"/>
    <col min="15096" max="15096" width="14.28515625" style="365" bestFit="1" customWidth="1"/>
    <col min="15097" max="15097" width="0" style="365" hidden="1" customWidth="1"/>
    <col min="15098" max="15098" width="15.5703125" style="365" customWidth="1"/>
    <col min="15099" max="15099" width="44.5703125" style="365" customWidth="1"/>
    <col min="15100" max="15100" width="14.28515625" style="365" bestFit="1" customWidth="1"/>
    <col min="15101" max="15101" width="0" style="365" hidden="1" customWidth="1"/>
    <col min="15102" max="15102" width="18.140625" style="365" customWidth="1"/>
    <col min="15103" max="15103" width="0" style="365" hidden="1" customWidth="1"/>
    <col min="15104" max="15104" width="14" style="365" customWidth="1"/>
    <col min="15105" max="15105" width="0" style="365" hidden="1" customWidth="1"/>
    <col min="15106" max="15106" width="20.85546875" style="365" customWidth="1"/>
    <col min="15107" max="15107" width="0" style="365" hidden="1" customWidth="1"/>
    <col min="15108" max="15108" width="13.28515625" style="365" customWidth="1"/>
    <col min="15109" max="15109" width="0" style="365" hidden="1" customWidth="1"/>
    <col min="15110" max="15110" width="15" style="365" customWidth="1"/>
    <col min="15111" max="15111" width="0" style="365" hidden="1" customWidth="1"/>
    <col min="15112" max="15112" width="13.28515625" style="365" customWidth="1"/>
    <col min="15113" max="15113" width="0" style="365" hidden="1" customWidth="1"/>
    <col min="15114" max="15114" width="20.140625" style="365" customWidth="1"/>
    <col min="15115" max="15115" width="14.42578125" style="365" bestFit="1" customWidth="1"/>
    <col min="15116" max="15116" width="14" style="365" bestFit="1" customWidth="1"/>
    <col min="15117" max="15117" width="12.28515625" style="365" bestFit="1" customWidth="1"/>
    <col min="15118" max="15142" width="9.140625" style="365" customWidth="1"/>
    <col min="15143" max="15337" width="8.85546875" style="365"/>
    <col min="15338" max="15338" width="44.5703125" style="365" customWidth="1"/>
    <col min="15339" max="15339" width="14.28515625" style="365" bestFit="1" customWidth="1"/>
    <col min="15340" max="15340" width="1.7109375" style="365" customWidth="1"/>
    <col min="15341" max="15341" width="14.85546875" style="365" customWidth="1"/>
    <col min="15342" max="15342" width="0" style="365" hidden="1" customWidth="1"/>
    <col min="15343" max="15343" width="17.42578125" style="365" customWidth="1"/>
    <col min="15344" max="15344" width="0" style="365" hidden="1" customWidth="1"/>
    <col min="15345" max="15345" width="12.85546875" style="365" customWidth="1"/>
    <col min="15346" max="15346" width="0" style="365" hidden="1" customWidth="1"/>
    <col min="15347" max="15347" width="14.42578125" style="365" customWidth="1"/>
    <col min="15348" max="15348" width="0" style="365" hidden="1" customWidth="1"/>
    <col min="15349" max="15349" width="17.42578125" style="365" customWidth="1"/>
    <col min="15350" max="15350" width="0" style="365" hidden="1" customWidth="1"/>
    <col min="15351" max="15351" width="14" style="365" customWidth="1"/>
    <col min="15352" max="15352" width="14.28515625" style="365" bestFit="1" customWidth="1"/>
    <col min="15353" max="15353" width="0" style="365" hidden="1" customWidth="1"/>
    <col min="15354" max="15354" width="15.5703125" style="365" customWidth="1"/>
    <col min="15355" max="15355" width="44.5703125" style="365" customWidth="1"/>
    <col min="15356" max="15356" width="14.28515625" style="365" bestFit="1" customWidth="1"/>
    <col min="15357" max="15357" width="0" style="365" hidden="1" customWidth="1"/>
    <col min="15358" max="15358" width="18.140625" style="365" customWidth="1"/>
    <col min="15359" max="15359" width="0" style="365" hidden="1" customWidth="1"/>
    <col min="15360" max="15360" width="14" style="365" customWidth="1"/>
    <col min="15361" max="15361" width="0" style="365" hidden="1" customWidth="1"/>
    <col min="15362" max="15362" width="20.85546875" style="365" customWidth="1"/>
    <col min="15363" max="15363" width="0" style="365" hidden="1" customWidth="1"/>
    <col min="15364" max="15364" width="13.28515625" style="365" customWidth="1"/>
    <col min="15365" max="15365" width="0" style="365" hidden="1" customWidth="1"/>
    <col min="15366" max="15366" width="15" style="365" customWidth="1"/>
    <col min="15367" max="15367" width="0" style="365" hidden="1" customWidth="1"/>
    <col min="15368" max="15368" width="13.28515625" style="365" customWidth="1"/>
    <col min="15369" max="15369" width="0" style="365" hidden="1" customWidth="1"/>
    <col min="15370" max="15370" width="20.140625" style="365" customWidth="1"/>
    <col min="15371" max="15371" width="14.42578125" style="365" bestFit="1" customWidth="1"/>
    <col min="15372" max="15372" width="14" style="365" bestFit="1" customWidth="1"/>
    <col min="15373" max="15373" width="12.28515625" style="365" bestFit="1" customWidth="1"/>
    <col min="15374" max="15398" width="9.140625" style="365" customWidth="1"/>
    <col min="15399" max="15593" width="8.85546875" style="365"/>
    <col min="15594" max="15594" width="44.5703125" style="365" customWidth="1"/>
    <col min="15595" max="15595" width="14.28515625" style="365" bestFit="1" customWidth="1"/>
    <col min="15596" max="15596" width="1.7109375" style="365" customWidth="1"/>
    <col min="15597" max="15597" width="14.85546875" style="365" customWidth="1"/>
    <col min="15598" max="15598" width="0" style="365" hidden="1" customWidth="1"/>
    <col min="15599" max="15599" width="17.42578125" style="365" customWidth="1"/>
    <col min="15600" max="15600" width="0" style="365" hidden="1" customWidth="1"/>
    <col min="15601" max="15601" width="12.85546875" style="365" customWidth="1"/>
    <col min="15602" max="15602" width="0" style="365" hidden="1" customWidth="1"/>
    <col min="15603" max="15603" width="14.42578125" style="365" customWidth="1"/>
    <col min="15604" max="15604" width="0" style="365" hidden="1" customWidth="1"/>
    <col min="15605" max="15605" width="17.42578125" style="365" customWidth="1"/>
    <col min="15606" max="15606" width="0" style="365" hidden="1" customWidth="1"/>
    <col min="15607" max="15607" width="14" style="365" customWidth="1"/>
    <col min="15608" max="15608" width="14.28515625" style="365" bestFit="1" customWidth="1"/>
    <col min="15609" max="15609" width="0" style="365" hidden="1" customWidth="1"/>
    <col min="15610" max="15610" width="15.5703125" style="365" customWidth="1"/>
    <col min="15611" max="15611" width="44.5703125" style="365" customWidth="1"/>
    <col min="15612" max="15612" width="14.28515625" style="365" bestFit="1" customWidth="1"/>
    <col min="15613" max="15613" width="0" style="365" hidden="1" customWidth="1"/>
    <col min="15614" max="15614" width="18.140625" style="365" customWidth="1"/>
    <col min="15615" max="15615" width="0" style="365" hidden="1" customWidth="1"/>
    <col min="15616" max="15616" width="14" style="365" customWidth="1"/>
    <col min="15617" max="15617" width="0" style="365" hidden="1" customWidth="1"/>
    <col min="15618" max="15618" width="20.85546875" style="365" customWidth="1"/>
    <col min="15619" max="15619" width="0" style="365" hidden="1" customWidth="1"/>
    <col min="15620" max="15620" width="13.28515625" style="365" customWidth="1"/>
    <col min="15621" max="15621" width="0" style="365" hidden="1" customWidth="1"/>
    <col min="15622" max="15622" width="15" style="365" customWidth="1"/>
    <col min="15623" max="15623" width="0" style="365" hidden="1" customWidth="1"/>
    <col min="15624" max="15624" width="13.28515625" style="365" customWidth="1"/>
    <col min="15625" max="15625" width="0" style="365" hidden="1" customWidth="1"/>
    <col min="15626" max="15626" width="20.140625" style="365" customWidth="1"/>
    <col min="15627" max="15627" width="14.42578125" style="365" bestFit="1" customWidth="1"/>
    <col min="15628" max="15628" width="14" style="365" bestFit="1" customWidth="1"/>
    <col min="15629" max="15629" width="12.28515625" style="365" bestFit="1" customWidth="1"/>
    <col min="15630" max="15654" width="9.140625" style="365" customWidth="1"/>
    <col min="15655" max="15849" width="8.85546875" style="365"/>
    <col min="15850" max="15850" width="44.5703125" style="365" customWidth="1"/>
    <col min="15851" max="15851" width="14.28515625" style="365" bestFit="1" customWidth="1"/>
    <col min="15852" max="15852" width="1.7109375" style="365" customWidth="1"/>
    <col min="15853" max="15853" width="14.85546875" style="365" customWidth="1"/>
    <col min="15854" max="15854" width="0" style="365" hidden="1" customWidth="1"/>
    <col min="15855" max="15855" width="17.42578125" style="365" customWidth="1"/>
    <col min="15856" max="15856" width="0" style="365" hidden="1" customWidth="1"/>
    <col min="15857" max="15857" width="12.85546875" style="365" customWidth="1"/>
    <col min="15858" max="15858" width="0" style="365" hidden="1" customWidth="1"/>
    <col min="15859" max="15859" width="14.42578125" style="365" customWidth="1"/>
    <col min="15860" max="15860" width="0" style="365" hidden="1" customWidth="1"/>
    <col min="15861" max="15861" width="17.42578125" style="365" customWidth="1"/>
    <col min="15862" max="15862" width="0" style="365" hidden="1" customWidth="1"/>
    <col min="15863" max="15863" width="14" style="365" customWidth="1"/>
    <col min="15864" max="15864" width="14.28515625" style="365" bestFit="1" customWidth="1"/>
    <col min="15865" max="15865" width="0" style="365" hidden="1" customWidth="1"/>
    <col min="15866" max="15866" width="15.5703125" style="365" customWidth="1"/>
    <col min="15867" max="15867" width="44.5703125" style="365" customWidth="1"/>
    <col min="15868" max="15868" width="14.28515625" style="365" bestFit="1" customWidth="1"/>
    <col min="15869" max="15869" width="0" style="365" hidden="1" customWidth="1"/>
    <col min="15870" max="15870" width="18.140625" style="365" customWidth="1"/>
    <col min="15871" max="15871" width="0" style="365" hidden="1" customWidth="1"/>
    <col min="15872" max="15872" width="14" style="365" customWidth="1"/>
    <col min="15873" max="15873" width="0" style="365" hidden="1" customWidth="1"/>
    <col min="15874" max="15874" width="20.85546875" style="365" customWidth="1"/>
    <col min="15875" max="15875" width="0" style="365" hidden="1" customWidth="1"/>
    <col min="15876" max="15876" width="13.28515625" style="365" customWidth="1"/>
    <col min="15877" max="15877" width="0" style="365" hidden="1" customWidth="1"/>
    <col min="15878" max="15878" width="15" style="365" customWidth="1"/>
    <col min="15879" max="15879" width="0" style="365" hidden="1" customWidth="1"/>
    <col min="15880" max="15880" width="13.28515625" style="365" customWidth="1"/>
    <col min="15881" max="15881" width="0" style="365" hidden="1" customWidth="1"/>
    <col min="15882" max="15882" width="20.140625" style="365" customWidth="1"/>
    <col min="15883" max="15883" width="14.42578125" style="365" bestFit="1" customWidth="1"/>
    <col min="15884" max="15884" width="14" style="365" bestFit="1" customWidth="1"/>
    <col min="15885" max="15885" width="12.28515625" style="365" bestFit="1" customWidth="1"/>
    <col min="15886" max="15910" width="9.140625" style="365" customWidth="1"/>
    <col min="15911" max="16105" width="8.85546875" style="365"/>
    <col min="16106" max="16106" width="44.5703125" style="365" customWidth="1"/>
    <col min="16107" max="16107" width="14.28515625" style="365" bestFit="1" customWidth="1"/>
    <col min="16108" max="16108" width="1.7109375" style="365" customWidth="1"/>
    <col min="16109" max="16109" width="14.85546875" style="365" customWidth="1"/>
    <col min="16110" max="16110" width="0" style="365" hidden="1" customWidth="1"/>
    <col min="16111" max="16111" width="17.42578125" style="365" customWidth="1"/>
    <col min="16112" max="16112" width="0" style="365" hidden="1" customWidth="1"/>
    <col min="16113" max="16113" width="12.85546875" style="365" customWidth="1"/>
    <col min="16114" max="16114" width="0" style="365" hidden="1" customWidth="1"/>
    <col min="16115" max="16115" width="14.42578125" style="365" customWidth="1"/>
    <col min="16116" max="16116" width="0" style="365" hidden="1" customWidth="1"/>
    <col min="16117" max="16117" width="17.42578125" style="365" customWidth="1"/>
    <col min="16118" max="16118" width="0" style="365" hidden="1" customWidth="1"/>
    <col min="16119" max="16119" width="14" style="365" customWidth="1"/>
    <col min="16120" max="16120" width="14.28515625" style="365" bestFit="1" customWidth="1"/>
    <col min="16121" max="16121" width="0" style="365" hidden="1" customWidth="1"/>
    <col min="16122" max="16122" width="15.5703125" style="365" customWidth="1"/>
    <col min="16123" max="16123" width="44.5703125" style="365" customWidth="1"/>
    <col min="16124" max="16124" width="14.28515625" style="365" bestFit="1" customWidth="1"/>
    <col min="16125" max="16125" width="0" style="365" hidden="1" customWidth="1"/>
    <col min="16126" max="16126" width="18.140625" style="365" customWidth="1"/>
    <col min="16127" max="16127" width="0" style="365" hidden="1" customWidth="1"/>
    <col min="16128" max="16128" width="14" style="365" customWidth="1"/>
    <col min="16129" max="16129" width="0" style="365" hidden="1" customWidth="1"/>
    <col min="16130" max="16130" width="20.85546875" style="365" customWidth="1"/>
    <col min="16131" max="16131" width="0" style="365" hidden="1" customWidth="1"/>
    <col min="16132" max="16132" width="13.28515625" style="365" customWidth="1"/>
    <col min="16133" max="16133" width="0" style="365" hidden="1" customWidth="1"/>
    <col min="16134" max="16134" width="15" style="365" customWidth="1"/>
    <col min="16135" max="16135" width="0" style="365" hidden="1" customWidth="1"/>
    <col min="16136" max="16136" width="13.28515625" style="365" customWidth="1"/>
    <col min="16137" max="16137" width="0" style="365" hidden="1" customWidth="1"/>
    <col min="16138" max="16138" width="20.140625" style="365" customWidth="1"/>
    <col min="16139" max="16139" width="14.42578125" style="365" bestFit="1" customWidth="1"/>
    <col min="16140" max="16140" width="14" style="365" bestFit="1" customWidth="1"/>
    <col min="16141" max="16141" width="12.28515625" style="365" bestFit="1" customWidth="1"/>
    <col min="16142" max="16166" width="9.140625" style="365" customWidth="1"/>
    <col min="16167" max="16379" width="8.85546875" style="365"/>
    <col min="16380" max="16384" width="8.85546875" style="365" customWidth="1"/>
  </cols>
  <sheetData>
    <row r="1" spans="1:38" s="354" customFormat="1" ht="19.899999999999999" hidden="1" customHeight="1">
      <c r="A1" s="1632"/>
      <c r="B1" s="1632"/>
      <c r="C1" s="1632"/>
      <c r="D1" s="1632"/>
      <c r="E1" s="1632"/>
      <c r="F1" s="1632"/>
      <c r="G1" s="1632"/>
      <c r="H1" s="1632"/>
      <c r="I1" s="1633"/>
      <c r="J1" s="1633"/>
      <c r="K1" s="1633"/>
      <c r="L1" s="1632"/>
      <c r="M1" s="1187"/>
      <c r="N1" s="1187"/>
      <c r="O1" s="351"/>
      <c r="P1" s="1188"/>
      <c r="Q1" s="351"/>
      <c r="R1" s="1188"/>
      <c r="S1" s="353"/>
      <c r="T1" s="1183"/>
      <c r="U1" s="353"/>
      <c r="V1" s="911"/>
      <c r="W1" s="353"/>
      <c r="X1" s="911"/>
      <c r="Y1" s="353"/>
      <c r="Z1" s="1183"/>
      <c r="AA1" s="355"/>
      <c r="AB1" s="355"/>
      <c r="AC1" s="353"/>
      <c r="AD1" s="353"/>
      <c r="AE1" s="353"/>
      <c r="AF1" s="353"/>
      <c r="AG1" s="353"/>
      <c r="AH1" s="353"/>
      <c r="AI1" s="353"/>
      <c r="AJ1" s="353"/>
      <c r="AK1" s="353"/>
      <c r="AL1" s="353"/>
    </row>
    <row r="2" spans="1:38" s="354" customFormat="1" ht="88.9" customHeight="1">
      <c r="A2" s="1688" t="s">
        <v>905</v>
      </c>
      <c r="B2" s="1688"/>
      <c r="C2" s="1688"/>
      <c r="D2" s="1688"/>
      <c r="E2" s="1688"/>
      <c r="F2" s="1688"/>
      <c r="G2" s="1688"/>
      <c r="H2" s="1688"/>
      <c r="I2" s="1688"/>
      <c r="J2" s="1688"/>
      <c r="K2" s="1688"/>
      <c r="L2" s="1688"/>
      <c r="M2" s="1688"/>
      <c r="N2" s="1688"/>
      <c r="O2" s="1688"/>
      <c r="P2" s="1688"/>
      <c r="Q2" s="1688"/>
      <c r="R2" s="1688"/>
      <c r="S2" s="1688"/>
      <c r="T2" s="1688"/>
      <c r="U2" s="1688"/>
      <c r="V2" s="1688"/>
      <c r="W2" s="1688"/>
      <c r="X2" s="1688"/>
      <c r="Y2" s="1688"/>
      <c r="Z2" s="1688"/>
      <c r="AA2" s="355"/>
      <c r="AB2" s="355"/>
      <c r="AC2" s="353"/>
      <c r="AD2" s="353"/>
      <c r="AE2" s="353"/>
      <c r="AF2" s="353"/>
      <c r="AG2" s="353"/>
      <c r="AH2" s="353"/>
      <c r="AI2" s="353"/>
      <c r="AJ2" s="353"/>
      <c r="AK2" s="353"/>
      <c r="AL2" s="353"/>
    </row>
    <row r="3" spans="1:38" s="354" customFormat="1" ht="48" hidden="1">
      <c r="A3" s="957"/>
      <c r="B3" s="1636" t="str">
        <f>PROPER(B1)</f>
        <v/>
      </c>
      <c r="C3" s="1636"/>
      <c r="D3" s="1636"/>
      <c r="E3" s="1636"/>
      <c r="F3" s="1636"/>
      <c r="G3" s="1636"/>
      <c r="H3" s="1636"/>
      <c r="I3" s="1636"/>
      <c r="J3" s="940"/>
      <c r="K3" s="940"/>
      <c r="L3" s="1184"/>
      <c r="M3" s="1183"/>
      <c r="N3" s="1183"/>
      <c r="O3" s="353"/>
      <c r="P3" s="1189"/>
      <c r="Q3" s="353"/>
      <c r="R3" s="1189"/>
      <c r="S3" s="353"/>
      <c r="T3" s="1183"/>
      <c r="U3" s="353"/>
      <c r="V3" s="911"/>
      <c r="W3" s="353"/>
      <c r="X3" s="911"/>
      <c r="Y3" s="353"/>
      <c r="Z3" s="1183"/>
      <c r="AA3" s="355"/>
      <c r="AB3" s="355"/>
      <c r="AC3" s="353"/>
      <c r="AD3" s="353"/>
      <c r="AE3" s="353"/>
      <c r="AF3" s="353"/>
      <c r="AG3" s="353"/>
      <c r="AH3" s="353"/>
      <c r="AI3" s="353"/>
      <c r="AJ3" s="353"/>
      <c r="AK3" s="353"/>
      <c r="AL3" s="353"/>
    </row>
    <row r="4" spans="1:38" s="354" customFormat="1" ht="15.6" hidden="1" customHeight="1">
      <c r="A4" s="1635"/>
      <c r="B4" s="1635"/>
      <c r="C4" s="1635"/>
      <c r="D4" s="1635"/>
      <c r="E4" s="1635"/>
      <c r="F4" s="1635"/>
      <c r="G4" s="1635"/>
      <c r="H4" s="1635"/>
      <c r="I4" s="1635"/>
      <c r="J4" s="1635"/>
      <c r="K4" s="1635"/>
      <c r="L4" s="1635"/>
      <c r="M4" s="1183"/>
      <c r="N4" s="1183"/>
      <c r="O4" s="353"/>
      <c r="P4" s="1189"/>
      <c r="Q4" s="353"/>
      <c r="R4" s="1189"/>
      <c r="S4" s="353"/>
      <c r="T4" s="1183"/>
      <c r="U4" s="353"/>
      <c r="V4" s="911"/>
      <c r="W4" s="353"/>
      <c r="X4" s="911"/>
      <c r="Y4" s="353"/>
      <c r="Z4" s="1183"/>
      <c r="AA4" s="355"/>
      <c r="AB4" s="355"/>
      <c r="AC4" s="353"/>
      <c r="AD4" s="353"/>
      <c r="AE4" s="353"/>
      <c r="AF4" s="353"/>
      <c r="AG4" s="353"/>
      <c r="AH4" s="353"/>
      <c r="AI4" s="353"/>
      <c r="AJ4" s="353"/>
      <c r="AK4" s="353"/>
      <c r="AL4" s="353"/>
    </row>
    <row r="5" spans="1:38" s="363" customFormat="1" ht="9.6" customHeight="1" thickBot="1">
      <c r="A5" s="360" t="s">
        <v>58</v>
      </c>
      <c r="B5" s="361"/>
      <c r="C5" s="577"/>
      <c r="D5" s="945"/>
      <c r="E5" s="936"/>
      <c r="F5" s="936"/>
      <c r="G5" s="936"/>
      <c r="H5" s="936"/>
      <c r="I5" s="936"/>
      <c r="J5" s="936"/>
      <c r="K5" s="936"/>
      <c r="L5" s="362"/>
      <c r="M5" s="389"/>
      <c r="N5" s="389"/>
      <c r="P5" s="376"/>
      <c r="R5" s="376"/>
      <c r="T5" s="389"/>
      <c r="V5" s="912"/>
      <c r="X5" s="912"/>
      <c r="Z5" s="389"/>
      <c r="AA5" s="364"/>
      <c r="AB5" s="364"/>
    </row>
    <row r="6" spans="1:38" s="1020" customFormat="1" ht="112.15" customHeight="1" thickTop="1" thickBot="1">
      <c r="A6" s="1016"/>
      <c r="B6" s="1017"/>
      <c r="C6" s="1018"/>
      <c r="D6" s="988" t="s">
        <v>573</v>
      </c>
      <c r="E6" s="989" t="s">
        <v>718</v>
      </c>
      <c r="F6" s="989" t="s">
        <v>154</v>
      </c>
      <c r="G6" s="989" t="s">
        <v>411</v>
      </c>
      <c r="H6" s="989" t="s">
        <v>412</v>
      </c>
      <c r="I6" s="989" t="s">
        <v>413</v>
      </c>
      <c r="J6" s="989" t="s">
        <v>772</v>
      </c>
      <c r="K6" s="989" t="s">
        <v>781</v>
      </c>
      <c r="L6" s="1179" t="s">
        <v>414</v>
      </c>
      <c r="M6" s="1179" t="s">
        <v>805</v>
      </c>
      <c r="N6" s="1179" t="s">
        <v>416</v>
      </c>
      <c r="O6" s="990"/>
      <c r="P6" s="1190" t="s">
        <v>417</v>
      </c>
      <c r="Q6" s="990"/>
      <c r="R6" s="1190" t="s">
        <v>575</v>
      </c>
      <c r="S6" s="990"/>
      <c r="T6" s="1179" t="s">
        <v>419</v>
      </c>
      <c r="U6" s="990"/>
      <c r="V6" s="989" t="s">
        <v>420</v>
      </c>
      <c r="W6" s="990"/>
      <c r="X6" s="989" t="s">
        <v>421</v>
      </c>
      <c r="Y6" s="990"/>
      <c r="Z6" s="1179" t="s">
        <v>422</v>
      </c>
      <c r="AA6" s="1176"/>
      <c r="AB6" s="1176"/>
      <c r="AC6" s="1019"/>
      <c r="AD6" s="1019"/>
      <c r="AE6" s="1019"/>
      <c r="AF6" s="1019"/>
      <c r="AG6" s="1019"/>
      <c r="AH6" s="1019"/>
      <c r="AI6" s="1019"/>
      <c r="AJ6" s="1019"/>
      <c r="AK6" s="1019"/>
      <c r="AL6" s="1019"/>
    </row>
    <row r="7" spans="1:38" ht="13.9" customHeight="1" thickTop="1">
      <c r="A7" s="356"/>
      <c r="B7" s="356"/>
      <c r="C7" s="357"/>
      <c r="D7" s="947"/>
      <c r="E7" s="924"/>
      <c r="F7" s="924"/>
      <c r="G7" s="924"/>
      <c r="H7" s="924"/>
      <c r="I7" s="924"/>
      <c r="J7" s="924"/>
      <c r="K7" s="924"/>
      <c r="L7" s="1185"/>
      <c r="M7" s="1185"/>
      <c r="N7" s="374"/>
      <c r="O7" s="372"/>
      <c r="P7" s="1191"/>
      <c r="Q7" s="372"/>
      <c r="R7" s="1191"/>
      <c r="S7" s="372"/>
      <c r="T7" s="374"/>
      <c r="U7" s="372"/>
      <c r="V7" s="924"/>
      <c r="W7" s="372"/>
      <c r="X7" s="924"/>
      <c r="Y7" s="372"/>
      <c r="Z7" s="374"/>
    </row>
    <row r="8" spans="1:38" s="417" customFormat="1" ht="15.95" customHeight="1">
      <c r="A8" s="417" t="s">
        <v>423</v>
      </c>
      <c r="C8" s="449"/>
      <c r="D8" s="948"/>
      <c r="E8" s="929"/>
      <c r="F8" s="929"/>
      <c r="G8" s="929"/>
      <c r="H8" s="929"/>
      <c r="I8" s="929"/>
      <c r="J8" s="929"/>
      <c r="K8" s="929"/>
      <c r="L8" s="1186"/>
      <c r="M8" s="1186"/>
      <c r="N8" s="456"/>
      <c r="O8" s="453"/>
      <c r="P8" s="969"/>
      <c r="Q8" s="453"/>
      <c r="R8" s="456" t="s">
        <v>58</v>
      </c>
      <c r="S8" s="453"/>
      <c r="T8" s="456" t="s">
        <v>58</v>
      </c>
      <c r="U8" s="453"/>
      <c r="V8" s="915" t="s">
        <v>58</v>
      </c>
      <c r="W8" s="453"/>
      <c r="X8" s="915" t="s">
        <v>58</v>
      </c>
      <c r="Y8" s="453"/>
      <c r="Z8" s="456"/>
      <c r="AA8" s="457"/>
      <c r="AB8" s="457"/>
      <c r="AC8" s="454"/>
      <c r="AD8" s="454"/>
      <c r="AE8" s="454"/>
      <c r="AF8" s="454"/>
      <c r="AG8" s="454"/>
      <c r="AH8" s="454"/>
      <c r="AI8" s="454"/>
      <c r="AJ8" s="454"/>
      <c r="AK8" s="454"/>
      <c r="AL8" s="454"/>
    </row>
    <row r="9" spans="1:38" s="417" customFormat="1" ht="20.100000000000001" customHeight="1">
      <c r="A9" s="417" t="s">
        <v>27</v>
      </c>
      <c r="C9" s="417" t="s">
        <v>424</v>
      </c>
      <c r="D9" s="565">
        <f>ROUND('001 General Fund'!K23+'001 General Fund'!K15,0)</f>
        <v>50418790</v>
      </c>
      <c r="E9" s="565">
        <f>ROUND('CRA-Beach'!L15+'CRA-NW Progresso'!L16+'CRA-Central City'!L14,0)</f>
        <v>-24714</v>
      </c>
      <c r="F9" s="565">
        <f>ROUND('Sunrise Key'!L14+'Sunrise Key'!L10,0)</f>
        <v>99940</v>
      </c>
      <c r="G9" s="565">
        <f>ROUND('Beach Bus Improv District'!L13+'Beach Bus Improv District'!L9,0)</f>
        <v>399899</v>
      </c>
      <c r="H9" s="565">
        <f>ROUND('Housing and Community Dev'!L15+'Housing and Community Dev'!L11,0)</f>
        <v>38123</v>
      </c>
      <c r="I9" s="458" t="e">
        <f>ROUND(#REF!+#REF!+#REF!+#REF!+#REF!+#REF!,0)</f>
        <v>#REF!</v>
      </c>
      <c r="J9" s="458">
        <v>0</v>
      </c>
      <c r="K9" s="458">
        <f>ROUND(Police!L11+'Drug Enforcement Agency'!L11+Police!L16+'Drug Enforcement Agency'!L16,0)</f>
        <v>1679720</v>
      </c>
      <c r="L9" s="458" t="e">
        <f>ROUND(#REF!+#REF!+#REF!+#REF!+#REF!+#REF!+#REF!+#REF!+#REF!+#REF!+#REF!+#REF!+#REF!,0)</f>
        <v>#REF!</v>
      </c>
      <c r="M9" s="458">
        <f>ROUND(Cemtery!L13+Cemtery!L9,0)</f>
        <v>23929746</v>
      </c>
      <c r="N9" s="458">
        <f>ROUND('Arts Science District Garage'!L14+Cemtery!L9,0)</f>
        <v>0</v>
      </c>
      <c r="O9" s="458"/>
      <c r="P9" s="458">
        <f>ROUND(Sanitation!L16+Sanitation!L12,0)</f>
        <v>7903598</v>
      </c>
      <c r="Q9" s="458"/>
      <c r="R9" s="458">
        <f>ROUND('Water and Sewer'!L15+'Central Region'!L15+'Water and Sewer'!L11+'Central Region'!L11,0)</f>
        <v>56639343</v>
      </c>
      <c r="S9" s="458"/>
      <c r="T9" s="458">
        <f>ROUND(Stormwater!L16+Stormwater!L12,0)</f>
        <v>12213219</v>
      </c>
      <c r="U9" s="458"/>
      <c r="V9" s="458">
        <f>ROUND('Parking System'!L16+'Parking System'!L12,0)</f>
        <v>13737004</v>
      </c>
      <c r="W9" s="458"/>
      <c r="X9" s="458">
        <f>ROUND(Airport!L16+Airport!L12,0)</f>
        <v>13880782</v>
      </c>
      <c r="Y9" s="461"/>
      <c r="Z9" s="461" t="e">
        <f>ROUND(SUM('All Funds Sch A 2014 Page (1)'!D9:K9)+SUM('All Funds Sch A 2014 Page (2)'!L9:X9),0)</f>
        <v>#REF!</v>
      </c>
      <c r="AA9" s="457" t="e">
        <f>Z9</f>
        <v>#REF!</v>
      </c>
      <c r="AB9" s="457" t="e">
        <f>SUM('All Funds Sch A 2014 Page (1)'!D9:K9)</f>
        <v>#REF!</v>
      </c>
      <c r="AC9" s="457" t="e">
        <f>SUM(AA9:AB9)-Z9</f>
        <v>#REF!</v>
      </c>
      <c r="AD9" s="465" t="e">
        <f>AC9-L9</f>
        <v>#REF!</v>
      </c>
      <c r="AE9" s="454"/>
      <c r="AF9" s="454"/>
      <c r="AG9" s="454"/>
      <c r="AH9" s="454"/>
      <c r="AI9" s="454"/>
      <c r="AJ9" s="454"/>
      <c r="AK9" s="454"/>
      <c r="AL9" s="454"/>
    </row>
    <row r="10" spans="1:38" s="417" customFormat="1" ht="20.100000000000001" customHeight="1">
      <c r="A10" s="417" t="s">
        <v>782</v>
      </c>
      <c r="D10" s="565"/>
      <c r="E10" s="565"/>
      <c r="F10" s="565"/>
      <c r="G10" s="565"/>
      <c r="H10" s="565"/>
      <c r="I10" s="458"/>
      <c r="J10" s="458"/>
      <c r="K10" s="458"/>
      <c r="L10" s="458"/>
      <c r="M10" s="458"/>
      <c r="N10" s="458"/>
      <c r="O10" s="458"/>
      <c r="P10" s="458"/>
      <c r="Q10" s="458"/>
      <c r="R10" s="458"/>
      <c r="S10" s="458"/>
      <c r="T10" s="458"/>
      <c r="U10" s="458"/>
      <c r="V10" s="458"/>
      <c r="W10" s="458"/>
      <c r="X10" s="458"/>
      <c r="Y10" s="461"/>
      <c r="Z10" s="461">
        <f>ROUND(SUM('All Funds Sch A 2014 Page (1)'!D10:K10)+SUM('All Funds Sch A 2014 Page (2)'!L10:X10),0)</f>
        <v>4457240</v>
      </c>
      <c r="AA10" s="457">
        <f>Z10</f>
        <v>4457240</v>
      </c>
      <c r="AB10" s="457">
        <f>SUM('All Funds Sch A 2014 Page (1)'!D10:K10)</f>
        <v>4457240</v>
      </c>
      <c r="AC10" s="457">
        <f t="shared" ref="AC10:AC14" si="0">SUM(AA10:AB10)-Z10</f>
        <v>4457240</v>
      </c>
      <c r="AD10" s="465"/>
      <c r="AE10" s="454"/>
      <c r="AF10" s="454"/>
      <c r="AG10" s="454"/>
      <c r="AH10" s="454"/>
      <c r="AI10" s="454"/>
      <c r="AJ10" s="454"/>
      <c r="AK10" s="454"/>
      <c r="AL10" s="454"/>
    </row>
    <row r="11" spans="1:38" s="417" customFormat="1" ht="20.100000000000001" customHeight="1">
      <c r="A11" s="417" t="s">
        <v>690</v>
      </c>
      <c r="D11" s="565">
        <f>ROUND('001 General Fund'!K22,0)</f>
        <v>833479</v>
      </c>
      <c r="E11" s="565">
        <v>0</v>
      </c>
      <c r="F11" s="565">
        <v>0</v>
      </c>
      <c r="G11" s="565">
        <v>0</v>
      </c>
      <c r="H11" s="565">
        <v>0</v>
      </c>
      <c r="I11" s="458">
        <v>0</v>
      </c>
      <c r="J11" s="458">
        <v>0</v>
      </c>
      <c r="K11" s="458">
        <v>0</v>
      </c>
      <c r="L11" s="458">
        <v>0</v>
      </c>
      <c r="M11" s="458">
        <v>0</v>
      </c>
      <c r="N11" s="458">
        <v>0</v>
      </c>
      <c r="O11" s="458"/>
      <c r="P11" s="458">
        <v>0</v>
      </c>
      <c r="Q11" s="458"/>
      <c r="R11" s="458">
        <v>0</v>
      </c>
      <c r="S11" s="458"/>
      <c r="T11" s="458">
        <v>0</v>
      </c>
      <c r="U11" s="458"/>
      <c r="V11" s="458">
        <v>0</v>
      </c>
      <c r="W11" s="458"/>
      <c r="X11" s="458">
        <v>0</v>
      </c>
      <c r="Y11" s="461"/>
      <c r="Z11" s="461">
        <f>ROUND(SUM('All Funds Sch A 2014 Page (1)'!D11:K11)+SUM('All Funds Sch A 2014 Page (2)'!L11:X11),0)</f>
        <v>5000000</v>
      </c>
      <c r="AA11" s="457">
        <f>Z11</f>
        <v>5000000</v>
      </c>
      <c r="AB11" s="457">
        <f>SUM('All Funds Sch A 2014 Page (1)'!D11:K11)</f>
        <v>5000000</v>
      </c>
      <c r="AC11" s="457">
        <f t="shared" si="0"/>
        <v>5000000</v>
      </c>
      <c r="AD11" s="454"/>
      <c r="AE11" s="454"/>
      <c r="AF11" s="454"/>
      <c r="AG11" s="454"/>
      <c r="AH11" s="454"/>
      <c r="AI11" s="454"/>
      <c r="AJ11" s="454"/>
      <c r="AK11" s="454"/>
      <c r="AL11" s="454"/>
    </row>
    <row r="12" spans="1:38" s="417" customFormat="1" ht="20.100000000000001" customHeight="1">
      <c r="A12" s="417" t="s">
        <v>830</v>
      </c>
      <c r="D12" s="565"/>
      <c r="E12" s="565"/>
      <c r="F12" s="565"/>
      <c r="G12" s="565"/>
      <c r="H12" s="565"/>
      <c r="I12" s="458"/>
      <c r="J12" s="458"/>
      <c r="K12" s="458"/>
      <c r="L12" s="458"/>
      <c r="M12" s="458"/>
      <c r="N12" s="458"/>
      <c r="O12" s="458"/>
      <c r="P12" s="458"/>
      <c r="Q12" s="458"/>
      <c r="R12" s="458"/>
      <c r="S12" s="458"/>
      <c r="T12" s="458"/>
      <c r="U12" s="458"/>
      <c r="V12" s="458"/>
      <c r="W12" s="458"/>
      <c r="X12" s="458"/>
      <c r="Y12" s="461"/>
      <c r="Z12" s="461">
        <f>ROUND(SUM('All Funds Sch A 2014 Page (1)'!D12:K12)+SUM('All Funds Sch A 2014 Page (2)'!L12:X12),0)</f>
        <v>4273912</v>
      </c>
      <c r="AA12" s="457">
        <f>Z12</f>
        <v>4273912</v>
      </c>
      <c r="AB12" s="457">
        <f>SUM('All Funds Sch A 2014 Page (1)'!D12:K12)</f>
        <v>4273912</v>
      </c>
      <c r="AC12" s="457">
        <f t="shared" si="0"/>
        <v>4273912</v>
      </c>
      <c r="AD12" s="454"/>
      <c r="AE12" s="454"/>
      <c r="AF12" s="454"/>
      <c r="AG12" s="454"/>
      <c r="AH12" s="454"/>
      <c r="AI12" s="454"/>
      <c r="AJ12" s="454"/>
      <c r="AK12" s="454"/>
      <c r="AL12" s="454"/>
    </row>
    <row r="13" spans="1:38" s="417" customFormat="1" ht="20.100000000000001" customHeight="1">
      <c r="A13" s="417" t="s">
        <v>841</v>
      </c>
      <c r="D13" s="565"/>
      <c r="E13" s="565"/>
      <c r="F13" s="565"/>
      <c r="G13" s="565"/>
      <c r="H13" s="565"/>
      <c r="I13" s="458"/>
      <c r="J13" s="458"/>
      <c r="K13" s="458"/>
      <c r="L13" s="458"/>
      <c r="M13" s="458"/>
      <c r="N13" s="458"/>
      <c r="O13" s="458"/>
      <c r="P13" s="458"/>
      <c r="Q13" s="458"/>
      <c r="R13" s="458"/>
      <c r="S13" s="458"/>
      <c r="T13" s="458"/>
      <c r="U13" s="458"/>
      <c r="V13" s="458"/>
      <c r="W13" s="458"/>
      <c r="X13" s="458"/>
      <c r="Y13" s="461"/>
      <c r="Z13" s="461" t="e">
        <f>ROUND(SUM('All Funds Sch A 2014 Page (1)'!D13:K13)+SUM('All Funds Sch A 2014 Page (2)'!L13:X13),0)</f>
        <v>#REF!</v>
      </c>
      <c r="AA13" s="457" t="e">
        <f>Z13</f>
        <v>#REF!</v>
      </c>
      <c r="AB13" s="457" t="e">
        <f>SUM('All Funds Sch A 2014 Page (1)'!D13:K13)</f>
        <v>#REF!</v>
      </c>
      <c r="AC13" s="457" t="e">
        <f t="shared" si="0"/>
        <v>#REF!</v>
      </c>
      <c r="AD13" s="454"/>
      <c r="AE13" s="454"/>
      <c r="AF13" s="454"/>
      <c r="AG13" s="454"/>
      <c r="AH13" s="454"/>
      <c r="AI13" s="454"/>
      <c r="AJ13" s="454"/>
      <c r="AK13" s="454"/>
      <c r="AL13" s="454"/>
    </row>
    <row r="14" spans="1:38" s="417" customFormat="1" ht="18.75">
      <c r="A14" s="417" t="s">
        <v>688</v>
      </c>
      <c r="C14" s="417" t="s">
        <v>424</v>
      </c>
      <c r="D14" s="949">
        <f>SUM(D9:D11)</f>
        <v>51252269</v>
      </c>
      <c r="E14" s="917">
        <f t="shared" ref="E14:L14" si="1">SUM(E9:E9)</f>
        <v>-24714</v>
      </c>
      <c r="F14" s="917">
        <f t="shared" si="1"/>
        <v>99940</v>
      </c>
      <c r="G14" s="917">
        <f t="shared" si="1"/>
        <v>399899</v>
      </c>
      <c r="H14" s="917">
        <f t="shared" si="1"/>
        <v>38123</v>
      </c>
      <c r="I14" s="463" t="e">
        <f t="shared" si="1"/>
        <v>#REF!</v>
      </c>
      <c r="J14" s="463">
        <f t="shared" si="1"/>
        <v>0</v>
      </c>
      <c r="K14" s="463">
        <f t="shared" si="1"/>
        <v>1679720</v>
      </c>
      <c r="L14" s="463" t="e">
        <f t="shared" si="1"/>
        <v>#REF!</v>
      </c>
      <c r="M14" s="463">
        <f t="shared" ref="M14:Y14" si="2">SUM(M9:M11)</f>
        <v>23929746</v>
      </c>
      <c r="N14" s="463">
        <f t="shared" si="2"/>
        <v>0</v>
      </c>
      <c r="O14" s="463">
        <f t="shared" si="2"/>
        <v>0</v>
      </c>
      <c r="P14" s="463">
        <f t="shared" si="2"/>
        <v>7903598</v>
      </c>
      <c r="Q14" s="463">
        <f t="shared" si="2"/>
        <v>0</v>
      </c>
      <c r="R14" s="463">
        <f t="shared" si="2"/>
        <v>56639343</v>
      </c>
      <c r="S14" s="463">
        <f t="shared" si="2"/>
        <v>0</v>
      </c>
      <c r="T14" s="463">
        <f t="shared" si="2"/>
        <v>12213219</v>
      </c>
      <c r="U14" s="463">
        <f t="shared" si="2"/>
        <v>0</v>
      </c>
      <c r="V14" s="463">
        <f t="shared" si="2"/>
        <v>13737004</v>
      </c>
      <c r="W14" s="463">
        <f t="shared" si="2"/>
        <v>0</v>
      </c>
      <c r="X14" s="463">
        <f t="shared" si="2"/>
        <v>13880782</v>
      </c>
      <c r="Y14" s="463">
        <f t="shared" si="2"/>
        <v>0</v>
      </c>
      <c r="Z14" s="463" t="e">
        <f>SUM(Z9:Z13)</f>
        <v>#REF!</v>
      </c>
      <c r="AA14" s="457"/>
      <c r="AB14" s="457" t="e">
        <f>SUM('All Funds Sch A 2014 Page (1)'!D14:K14)</f>
        <v>#REF!</v>
      </c>
      <c r="AC14" s="457" t="e">
        <f t="shared" si="0"/>
        <v>#REF!</v>
      </c>
      <c r="AD14" s="454"/>
      <c r="AE14" s="454"/>
      <c r="AF14" s="454"/>
      <c r="AG14" s="454"/>
      <c r="AH14" s="454"/>
      <c r="AI14" s="454"/>
      <c r="AJ14" s="454"/>
      <c r="AK14" s="454"/>
      <c r="AL14" s="454"/>
    </row>
    <row r="15" spans="1:38" s="417" customFormat="1" ht="12" customHeight="1">
      <c r="D15" s="950"/>
      <c r="E15" s="925"/>
      <c r="F15" s="925"/>
      <c r="G15" s="925"/>
      <c r="H15" s="925"/>
      <c r="I15" s="460"/>
      <c r="J15" s="460"/>
      <c r="K15" s="460"/>
      <c r="L15" s="458"/>
      <c r="M15" s="458"/>
      <c r="N15" s="460"/>
      <c r="O15" s="461"/>
      <c r="P15" s="460"/>
      <c r="Q15" s="458"/>
      <c r="R15" s="460"/>
      <c r="S15" s="458"/>
      <c r="T15" s="460"/>
      <c r="U15" s="458"/>
      <c r="V15" s="460"/>
      <c r="W15" s="458"/>
      <c r="X15" s="460"/>
      <c r="Y15" s="461"/>
      <c r="Z15" s="467"/>
      <c r="AA15" s="457"/>
      <c r="AB15" s="457"/>
      <c r="AC15" s="457" t="s">
        <v>58</v>
      </c>
      <c r="AD15" s="454"/>
      <c r="AE15" s="454"/>
      <c r="AF15" s="454"/>
      <c r="AG15" s="454"/>
      <c r="AH15" s="454"/>
      <c r="AI15" s="454"/>
      <c r="AJ15" s="454"/>
      <c r="AK15" s="454"/>
      <c r="AL15" s="454"/>
    </row>
    <row r="16" spans="1:38" s="454" customFormat="1" ht="15.75" customHeight="1">
      <c r="A16" s="454" t="s">
        <v>426</v>
      </c>
      <c r="D16" s="925"/>
      <c r="E16" s="925"/>
      <c r="F16" s="925"/>
      <c r="G16" s="925"/>
      <c r="H16" s="925"/>
      <c r="I16" s="460"/>
      <c r="J16" s="460"/>
      <c r="K16" s="460"/>
      <c r="L16" s="458"/>
      <c r="M16" s="458"/>
      <c r="N16" s="460"/>
      <c r="O16" s="461"/>
      <c r="P16" s="460"/>
      <c r="Q16" s="458"/>
      <c r="R16" s="460"/>
      <c r="S16" s="458"/>
      <c r="T16" s="460"/>
      <c r="U16" s="458"/>
      <c r="V16" s="460"/>
      <c r="W16" s="458"/>
      <c r="X16" s="460"/>
      <c r="Y16" s="461"/>
      <c r="Z16" s="467"/>
      <c r="AA16" s="457"/>
      <c r="AB16" s="457"/>
      <c r="AC16" s="457" t="s">
        <v>58</v>
      </c>
    </row>
    <row r="17" spans="1:29" s="454" customFormat="1" ht="16.5" customHeight="1">
      <c r="A17" s="454" t="s">
        <v>584</v>
      </c>
      <c r="B17" s="700" t="s">
        <v>585</v>
      </c>
      <c r="D17" s="565"/>
      <c r="E17" s="565"/>
      <c r="F17" s="565"/>
      <c r="G17" s="565"/>
      <c r="H17" s="565"/>
      <c r="I17" s="458"/>
      <c r="J17" s="458"/>
      <c r="K17" s="458"/>
      <c r="L17" s="458"/>
      <c r="M17" s="458"/>
      <c r="N17" s="458"/>
      <c r="O17" s="461"/>
      <c r="P17" s="458"/>
      <c r="Q17" s="458"/>
      <c r="R17" s="458"/>
      <c r="S17" s="458"/>
      <c r="T17" s="458"/>
      <c r="U17" s="458"/>
      <c r="V17" s="458"/>
      <c r="W17" s="458"/>
      <c r="X17" s="458"/>
      <c r="Y17" s="461"/>
      <c r="Z17" s="461"/>
      <c r="AA17" s="457"/>
      <c r="AB17" s="457"/>
      <c r="AC17" s="457" t="s">
        <v>58</v>
      </c>
    </row>
    <row r="18" spans="1:29" s="454" customFormat="1" ht="16.5" customHeight="1">
      <c r="A18" s="454" t="s">
        <v>582</v>
      </c>
      <c r="B18" s="468">
        <v>4.1193</v>
      </c>
      <c r="D18" s="1219"/>
      <c r="E18" s="1219"/>
      <c r="F18" s="1219"/>
      <c r="G18" s="1219"/>
      <c r="H18" s="1219"/>
      <c r="I18" s="1227"/>
      <c r="J18" s="1227"/>
      <c r="K18" s="1227"/>
      <c r="L18" s="1227"/>
      <c r="M18" s="1228">
        <v>0</v>
      </c>
      <c r="N18" s="1228">
        <v>0</v>
      </c>
      <c r="O18" s="1229"/>
      <c r="P18" s="1228">
        <v>0</v>
      </c>
      <c r="Q18" s="1227"/>
      <c r="R18" s="1227">
        <v>0</v>
      </c>
      <c r="S18" s="1227"/>
      <c r="T18" s="1227">
        <v>0</v>
      </c>
      <c r="U18" s="1227"/>
      <c r="V18" s="1227">
        <v>0</v>
      </c>
      <c r="W18" s="1227"/>
      <c r="X18" s="1227">
        <v>0</v>
      </c>
      <c r="Y18" s="1229"/>
      <c r="Z18" s="1229">
        <f>ROUND(SUM('All Funds Sch A 2014 Page (1)'!D18:K18)+SUM('All Funds Sch A 2014 Page (2)'!L18:X18),0)</f>
        <v>97569296</v>
      </c>
      <c r="AA18" s="457"/>
      <c r="AB18" s="457"/>
      <c r="AC18" s="457"/>
    </row>
    <row r="19" spans="1:29" s="454" customFormat="1" ht="20.100000000000001" customHeight="1">
      <c r="A19" s="454" t="s">
        <v>873</v>
      </c>
      <c r="B19" s="468">
        <v>0.20710000000000001</v>
      </c>
      <c r="D19" s="925">
        <f>ROUND('[1]GF Resources'!$G$7,0)</f>
        <v>1107945</v>
      </c>
      <c r="E19" s="925">
        <v>0</v>
      </c>
      <c r="F19" s="925">
        <v>0</v>
      </c>
      <c r="G19" s="925">
        <v>0</v>
      </c>
      <c r="H19" s="925">
        <v>0</v>
      </c>
      <c r="I19" s="460">
        <v>0</v>
      </c>
      <c r="J19" s="460">
        <v>0</v>
      </c>
      <c r="K19" s="460">
        <v>0</v>
      </c>
      <c r="L19" s="460" t="e">
        <f>ROUND(#REF!+#REF!+#REF!,0)</f>
        <v>#REF!</v>
      </c>
      <c r="M19" s="460">
        <v>0</v>
      </c>
      <c r="N19" s="460">
        <v>0</v>
      </c>
      <c r="O19" s="461"/>
      <c r="P19" s="460">
        <v>0</v>
      </c>
      <c r="Q19" s="458"/>
      <c r="R19" s="458">
        <v>0</v>
      </c>
      <c r="S19" s="458"/>
      <c r="T19" s="458">
        <v>0</v>
      </c>
      <c r="U19" s="458"/>
      <c r="V19" s="458">
        <v>0</v>
      </c>
      <c r="W19" s="458"/>
      <c r="X19" s="458">
        <v>0</v>
      </c>
      <c r="Y19" s="461"/>
      <c r="Z19" s="461" t="e">
        <f>ROUND(SUM('All Funds Sch A 2014 Page (1)'!D19:K19)+SUM('All Funds Sch A 2014 Page (2)'!L19:X19),0)</f>
        <v>#REF!</v>
      </c>
      <c r="AA19" s="457"/>
      <c r="AB19" s="457">
        <f>SUM('All Funds Sch A 2014 Page (1)'!D18:K18)</f>
        <v>97569296</v>
      </c>
      <c r="AC19" s="457" t="e">
        <f t="shared" ref="AC19:AC29" si="3">SUM(AA19:AB19)-Z19</f>
        <v>#REF!</v>
      </c>
    </row>
    <row r="20" spans="1:29" s="454" customFormat="1" ht="20.100000000000001" customHeight="1">
      <c r="A20" s="454" t="s">
        <v>581</v>
      </c>
      <c r="B20" s="576">
        <v>1</v>
      </c>
      <c r="D20" s="916">
        <v>0</v>
      </c>
      <c r="E20" s="925">
        <v>0</v>
      </c>
      <c r="F20" s="565">
        <f>ROUND('Sunrise Key'!L8,0)</f>
        <v>80098</v>
      </c>
      <c r="G20" s="925">
        <v>0</v>
      </c>
      <c r="H20" s="925">
        <v>0</v>
      </c>
      <c r="I20" s="460">
        <v>0</v>
      </c>
      <c r="J20" s="460">
        <v>0</v>
      </c>
      <c r="K20" s="460">
        <v>0</v>
      </c>
      <c r="L20" s="460">
        <v>0</v>
      </c>
      <c r="M20" s="460">
        <v>0</v>
      </c>
      <c r="N20" s="460">
        <v>0</v>
      </c>
      <c r="O20" s="461"/>
      <c r="P20" s="460">
        <v>0</v>
      </c>
      <c r="Q20" s="458"/>
      <c r="R20" s="460">
        <v>0</v>
      </c>
      <c r="S20" s="458"/>
      <c r="T20" s="460">
        <v>0</v>
      </c>
      <c r="U20" s="458"/>
      <c r="V20" s="460">
        <v>0</v>
      </c>
      <c r="W20" s="458"/>
      <c r="X20" s="460">
        <v>0</v>
      </c>
      <c r="Y20" s="461"/>
      <c r="Z20" s="461">
        <f>ROUND(SUM('All Funds Sch A 2014 Page (1)'!D20:K20)+SUM('All Funds Sch A 2014 Page (2)'!L20:X20),0)</f>
        <v>80098</v>
      </c>
      <c r="AA20" s="457"/>
      <c r="AB20" s="457">
        <f>SUM('All Funds Sch A 2014 Page (1)'!D20:K20)</f>
        <v>80098</v>
      </c>
      <c r="AC20" s="457">
        <f t="shared" si="3"/>
        <v>0</v>
      </c>
    </row>
    <row r="21" spans="1:29" s="454" customFormat="1" ht="20.100000000000001" customHeight="1">
      <c r="A21" s="454" t="s">
        <v>580</v>
      </c>
      <c r="B21" s="684"/>
      <c r="D21" s="925">
        <f>ROUND('[1]GF Resources'!$G$14,0)</f>
        <v>4882276</v>
      </c>
      <c r="E21" s="925">
        <v>0</v>
      </c>
      <c r="F21" s="925">
        <v>0</v>
      </c>
      <c r="G21" s="925">
        <v>0</v>
      </c>
      <c r="H21" s="925">
        <v>0</v>
      </c>
      <c r="I21" s="460">
        <v>0</v>
      </c>
      <c r="J21" s="460">
        <v>0</v>
      </c>
      <c r="K21" s="460">
        <v>0</v>
      </c>
      <c r="L21" s="460">
        <v>0</v>
      </c>
      <c r="M21" s="460">
        <v>0</v>
      </c>
      <c r="N21" s="460">
        <v>0</v>
      </c>
      <c r="O21" s="461"/>
      <c r="P21" s="460">
        <v>0</v>
      </c>
      <c r="Q21" s="458"/>
      <c r="R21" s="460">
        <v>0</v>
      </c>
      <c r="S21" s="458"/>
      <c r="T21" s="460">
        <v>0</v>
      </c>
      <c r="U21" s="458"/>
      <c r="V21" s="460">
        <v>0</v>
      </c>
      <c r="W21" s="458"/>
      <c r="X21" s="460">
        <v>0</v>
      </c>
      <c r="Y21" s="461"/>
      <c r="Z21" s="461">
        <f>ROUND(SUM('All Funds Sch A 2014 Page (1)'!D21:K21)+SUM('All Funds Sch A 2014 Page (2)'!L21:X21),0)</f>
        <v>4882276</v>
      </c>
      <c r="AA21" s="457"/>
      <c r="AB21" s="457">
        <f>SUM('All Funds Sch A 2014 Page (1)'!D21:K21)</f>
        <v>4882276</v>
      </c>
      <c r="AC21" s="457">
        <f t="shared" si="3"/>
        <v>0</v>
      </c>
    </row>
    <row r="22" spans="1:29" s="454" customFormat="1" ht="20.100000000000001" customHeight="1">
      <c r="A22" s="454" t="s">
        <v>579</v>
      </c>
      <c r="D22" s="925">
        <f>ROUND('[1]GF Resources'!$G$15,0)</f>
        <v>-1600000</v>
      </c>
      <c r="E22" s="925">
        <v>0</v>
      </c>
      <c r="F22" s="925">
        <v>0</v>
      </c>
      <c r="G22" s="925">
        <v>0</v>
      </c>
      <c r="H22" s="925">
        <v>0</v>
      </c>
      <c r="I22" s="460">
        <v>0</v>
      </c>
      <c r="J22" s="460">
        <v>0</v>
      </c>
      <c r="K22" s="460">
        <v>0</v>
      </c>
      <c r="L22" s="460">
        <v>0</v>
      </c>
      <c r="M22" s="460">
        <v>0</v>
      </c>
      <c r="N22" s="460">
        <v>0</v>
      </c>
      <c r="O22" s="461"/>
      <c r="P22" s="460">
        <v>0</v>
      </c>
      <c r="Q22" s="458"/>
      <c r="R22" s="458">
        <v>0</v>
      </c>
      <c r="S22" s="458"/>
      <c r="T22" s="458">
        <v>0</v>
      </c>
      <c r="U22" s="458"/>
      <c r="V22" s="458">
        <v>0</v>
      </c>
      <c r="W22" s="458"/>
      <c r="X22" s="458">
        <v>0</v>
      </c>
      <c r="Y22" s="461"/>
      <c r="Z22" s="461">
        <f>ROUND(SUM('All Funds Sch A 2014 Page (1)'!D22:K22)+SUM('All Funds Sch A 2014 Page (2)'!L22:X22),0)</f>
        <v>15228206</v>
      </c>
      <c r="AA22" s="457"/>
      <c r="AB22" s="457">
        <f>SUM('All Funds Sch A 2014 Page (1)'!D22:K22)</f>
        <v>15228206</v>
      </c>
      <c r="AC22" s="457">
        <f t="shared" si="3"/>
        <v>0</v>
      </c>
    </row>
    <row r="23" spans="1:29" s="454" customFormat="1" ht="20.100000000000001" customHeight="1">
      <c r="A23" s="454" t="s">
        <v>578</v>
      </c>
      <c r="D23" s="925">
        <f>ROUND('[1]GF Resources'!$G$16,2)</f>
        <v>551832</v>
      </c>
      <c r="E23" s="925">
        <v>0</v>
      </c>
      <c r="F23" s="925">
        <v>0</v>
      </c>
      <c r="G23" s="925">
        <v>0</v>
      </c>
      <c r="H23" s="925">
        <v>0</v>
      </c>
      <c r="I23" s="460">
        <v>0</v>
      </c>
      <c r="J23" s="460">
        <v>0</v>
      </c>
      <c r="K23" s="460">
        <v>0</v>
      </c>
      <c r="L23" s="460">
        <v>0</v>
      </c>
      <c r="M23" s="460">
        <v>0</v>
      </c>
      <c r="N23" s="460">
        <v>0</v>
      </c>
      <c r="O23" s="461"/>
      <c r="P23" s="460">
        <v>0</v>
      </c>
      <c r="Q23" s="458"/>
      <c r="R23" s="458">
        <v>0</v>
      </c>
      <c r="S23" s="458"/>
      <c r="T23" s="458">
        <v>0</v>
      </c>
      <c r="U23" s="458"/>
      <c r="V23" s="458">
        <v>0</v>
      </c>
      <c r="W23" s="458"/>
      <c r="X23" s="458">
        <v>0</v>
      </c>
      <c r="Y23" s="461"/>
      <c r="Z23" s="461">
        <f>ROUND(SUM('All Funds Sch A 2014 Page (1)'!D23:K23)+SUM('All Funds Sch A 2014 Page (2)'!L23:X23),0)</f>
        <v>36592965</v>
      </c>
      <c r="AA23" s="457" t="e">
        <f>SUM(Z19:Z23)</f>
        <v>#REF!</v>
      </c>
      <c r="AB23" s="457">
        <f>SUM('All Funds Sch A 2014 Page (1)'!D23:K23)</f>
        <v>36592965</v>
      </c>
      <c r="AC23" s="457" t="e">
        <f t="shared" si="3"/>
        <v>#REF!</v>
      </c>
    </row>
    <row r="24" spans="1:29" s="454" customFormat="1" ht="20.100000000000001" customHeight="1">
      <c r="A24" s="454" t="s">
        <v>435</v>
      </c>
      <c r="D24" s="925">
        <f>ROUND('[1]GF Resources'!$G$22,2)</f>
        <v>0</v>
      </c>
      <c r="E24" s="925">
        <v>0</v>
      </c>
      <c r="F24" s="925">
        <v>0</v>
      </c>
      <c r="G24" s="925">
        <v>0</v>
      </c>
      <c r="H24" s="925">
        <v>0</v>
      </c>
      <c r="I24" s="460" t="e">
        <f>ROUND(#REF!+#REF!+#REF!,2)</f>
        <v>#REF!</v>
      </c>
      <c r="J24" s="460">
        <v>0</v>
      </c>
      <c r="K24" s="460">
        <v>0</v>
      </c>
      <c r="L24" s="460">
        <v>0</v>
      </c>
      <c r="M24" s="460">
        <v>0</v>
      </c>
      <c r="N24" s="460">
        <v>0</v>
      </c>
      <c r="O24" s="461"/>
      <c r="P24" s="460">
        <v>0</v>
      </c>
      <c r="Q24" s="458"/>
      <c r="R24" s="458">
        <v>0</v>
      </c>
      <c r="S24" s="458"/>
      <c r="T24" s="458">
        <v>0</v>
      </c>
      <c r="U24" s="458"/>
      <c r="V24" s="458">
        <v>0</v>
      </c>
      <c r="W24" s="458"/>
      <c r="X24" s="458">
        <v>0</v>
      </c>
      <c r="Y24" s="461"/>
      <c r="Z24" s="461" t="e">
        <f>ROUND(SUM('All Funds Sch A 2014 Page (1)'!D24:K24)+SUM('All Funds Sch A 2014 Page (2)'!L24:X24),0)</f>
        <v>#REF!</v>
      </c>
      <c r="AA24" s="457" t="e">
        <f>Z24</f>
        <v>#REF!</v>
      </c>
      <c r="AB24" s="457" t="e">
        <f>SUM('All Funds Sch A 2014 Page (1)'!D24:K24)</f>
        <v>#REF!</v>
      </c>
      <c r="AC24" s="457" t="e">
        <f t="shared" si="3"/>
        <v>#REF!</v>
      </c>
    </row>
    <row r="25" spans="1:29" s="454" customFormat="1" ht="20.100000000000001" customHeight="1">
      <c r="A25" s="454" t="s">
        <v>408</v>
      </c>
      <c r="D25" s="925">
        <f>ROUND('[1]GF Resources'!$G$28,2)</f>
        <v>481915</v>
      </c>
      <c r="E25" s="565">
        <f>ROUND('CRA-Beach'!L8+'CRA-NW Progresso'!L8,2)</f>
        <v>8187921</v>
      </c>
      <c r="F25" s="925">
        <v>0</v>
      </c>
      <c r="G25" s="925">
        <v>0</v>
      </c>
      <c r="H25" s="565">
        <f>ROUND('Housing and Community Dev'!L8,2)</f>
        <v>9371773</v>
      </c>
      <c r="I25" s="458">
        <v>0</v>
      </c>
      <c r="J25" s="458">
        <v>0</v>
      </c>
      <c r="K25" s="458">
        <v>0</v>
      </c>
      <c r="L25" s="460">
        <v>0</v>
      </c>
      <c r="M25" s="460">
        <v>0</v>
      </c>
      <c r="N25" s="460">
        <v>0</v>
      </c>
      <c r="O25" s="461"/>
      <c r="P25" s="460">
        <v>0</v>
      </c>
      <c r="Q25" s="458"/>
      <c r="R25" s="458">
        <v>0</v>
      </c>
      <c r="S25" s="458"/>
      <c r="T25" s="458">
        <v>0</v>
      </c>
      <c r="U25" s="458"/>
      <c r="V25" s="458">
        <v>0</v>
      </c>
      <c r="W25" s="458"/>
      <c r="X25" s="458">
        <v>0</v>
      </c>
      <c r="Y25" s="461"/>
      <c r="Z25" s="461">
        <f>ROUND(SUM('All Funds Sch A 2014 Page (1)'!D25:K25)+SUM('All Funds Sch A 2014 Page (2)'!L25:X25),0)</f>
        <v>35309385</v>
      </c>
      <c r="AA25" s="457">
        <f>Z25</f>
        <v>35309385</v>
      </c>
      <c r="AB25" s="457">
        <f>SUM('All Funds Sch A 2014 Page (1)'!D25:K25)</f>
        <v>35309385</v>
      </c>
      <c r="AC25" s="457">
        <f t="shared" si="3"/>
        <v>35309385</v>
      </c>
    </row>
    <row r="26" spans="1:29" s="454" customFormat="1" ht="20.100000000000001" customHeight="1">
      <c r="A26" s="454" t="s">
        <v>114</v>
      </c>
      <c r="D26" s="925">
        <f>ROUND('[1]GF Resources'!$G$40,2)</f>
        <v>0</v>
      </c>
      <c r="E26" s="925">
        <v>0</v>
      </c>
      <c r="F26" s="925">
        <v>0</v>
      </c>
      <c r="G26" s="925">
        <v>0</v>
      </c>
      <c r="H26" s="925">
        <v>0</v>
      </c>
      <c r="I26" s="460" t="e">
        <f>ROUND(#REF!,2)</f>
        <v>#REF!</v>
      </c>
      <c r="J26" s="460">
        <v>0</v>
      </c>
      <c r="K26" s="460">
        <v>0</v>
      </c>
      <c r="L26" s="460">
        <v>0</v>
      </c>
      <c r="M26" s="460">
        <v>0</v>
      </c>
      <c r="N26" s="458">
        <f>ROUND('Arts Science District Garage'!L8,0)</f>
        <v>1155995</v>
      </c>
      <c r="O26" s="461"/>
      <c r="P26" s="458">
        <f>ROUND(Sanitation!L9,0)</f>
        <v>15162899</v>
      </c>
      <c r="Q26" s="458"/>
      <c r="R26" s="458">
        <f>ROUND('Water and Sewer'!L8+'Central Region'!L8,0)</f>
        <v>122220191</v>
      </c>
      <c r="S26" s="458"/>
      <c r="T26" s="458">
        <f>ROUND(Stormwater!L8,0)</f>
        <v>0</v>
      </c>
      <c r="U26" s="458"/>
      <c r="V26" s="458">
        <f>ROUND('Parking System'!L8,0)</f>
        <v>11903785</v>
      </c>
      <c r="W26" s="458"/>
      <c r="X26" s="458">
        <f>ROUND(Airport!L9,0)</f>
        <v>3796402</v>
      </c>
      <c r="Y26" s="461"/>
      <c r="Z26" s="461" t="e">
        <f>ROUND(SUM('All Funds Sch A 2014 Page (1)'!D26:K26)+SUM('All Funds Sch A 2014 Page (2)'!L26:X26),0)</f>
        <v>#REF!</v>
      </c>
      <c r="AA26" s="457" t="e">
        <f>Z26</f>
        <v>#REF!</v>
      </c>
      <c r="AB26" s="457" t="e">
        <f>SUM('All Funds Sch A 2014 Page (1)'!D26:K26)</f>
        <v>#REF!</v>
      </c>
      <c r="AC26" s="457" t="e">
        <f t="shared" si="3"/>
        <v>#REF!</v>
      </c>
    </row>
    <row r="27" spans="1:29" s="454" customFormat="1" ht="20.100000000000001" customHeight="1">
      <c r="A27" s="454" t="s">
        <v>436</v>
      </c>
      <c r="D27" s="925">
        <f>ROUND('[1]GF Resources'!$G$45,2)</f>
        <v>0</v>
      </c>
      <c r="E27" s="925">
        <v>0</v>
      </c>
      <c r="F27" s="925">
        <v>0</v>
      </c>
      <c r="G27" s="925">
        <v>0</v>
      </c>
      <c r="H27" s="925">
        <v>0</v>
      </c>
      <c r="I27" s="460">
        <v>0</v>
      </c>
      <c r="J27" s="460">
        <f>ROUND('School Crossing Guard'!L8,2)</f>
        <v>872600</v>
      </c>
      <c r="K27" s="460">
        <v>0</v>
      </c>
      <c r="L27" s="460">
        <v>0</v>
      </c>
      <c r="M27" s="460">
        <v>0</v>
      </c>
      <c r="N27" s="460">
        <v>0</v>
      </c>
      <c r="O27" s="461"/>
      <c r="P27" s="458">
        <f>ROUND(Sanitation!L11,0)</f>
        <v>3000000</v>
      </c>
      <c r="Q27" s="458"/>
      <c r="R27" s="458">
        <v>0</v>
      </c>
      <c r="S27" s="458"/>
      <c r="T27" s="458">
        <v>0</v>
      </c>
      <c r="U27" s="458"/>
      <c r="V27" s="458">
        <f>ROUND('Parking System'!L9,0)</f>
        <v>3038435</v>
      </c>
      <c r="W27" s="458"/>
      <c r="X27" s="458">
        <v>0</v>
      </c>
      <c r="Y27" s="461"/>
      <c r="Z27" s="461">
        <f>ROUND(SUM('All Funds Sch A 2014 Page (1)'!D27:K27)+SUM('All Funds Sch A 2014 Page (2)'!L27:X27),0)</f>
        <v>11965953</v>
      </c>
      <c r="AA27" s="457">
        <f>Z27</f>
        <v>11965953</v>
      </c>
      <c r="AB27" s="457">
        <f>SUM('All Funds Sch A 2014 Page (1)'!D27:K27)</f>
        <v>5927518</v>
      </c>
      <c r="AC27" s="457">
        <f t="shared" si="3"/>
        <v>5927518</v>
      </c>
    </row>
    <row r="28" spans="1:29" s="454" customFormat="1" ht="20.100000000000001" customHeight="1">
      <c r="A28" s="454" t="s">
        <v>437</v>
      </c>
      <c r="D28" s="925">
        <f>ROUND('[1]GF Resources'!$G$54,2)</f>
        <v>0</v>
      </c>
      <c r="E28" s="565">
        <f>ROUND('CRA-Beach'!L9+'CRA-NW Progresso'!L10,2)</f>
        <v>191468</v>
      </c>
      <c r="F28" s="565">
        <f>ROUND('Sunrise Key'!L9,2)</f>
        <v>210</v>
      </c>
      <c r="G28" s="565">
        <f>ROUND('Beach Bus Improv District'!L8,2)</f>
        <v>704082</v>
      </c>
      <c r="H28" s="925">
        <v>0</v>
      </c>
      <c r="I28" s="460" t="e">
        <f>ROUND(#REF!+#REF!+#REF!,2)</f>
        <v>#REF!</v>
      </c>
      <c r="J28" s="460">
        <v>0</v>
      </c>
      <c r="K28" s="460">
        <v>0</v>
      </c>
      <c r="L28" s="460">
        <v>0</v>
      </c>
      <c r="M28" s="458">
        <f>ROUND(Cemtery!L8,0)</f>
        <v>2200000</v>
      </c>
      <c r="N28" s="458">
        <v>0</v>
      </c>
      <c r="O28" s="461"/>
      <c r="P28" s="460">
        <f>Sanitation!L10</f>
        <v>103553</v>
      </c>
      <c r="Q28" s="458"/>
      <c r="R28" s="458">
        <f>ROUND('Water and Sewer'!L9+'Central Region'!L9,0)</f>
        <v>6500315</v>
      </c>
      <c r="S28" s="458"/>
      <c r="T28" s="458">
        <f>ROUND(Stormwater!L10,0)</f>
        <v>170400</v>
      </c>
      <c r="U28" s="458"/>
      <c r="V28" s="458">
        <f>ROUND('Parking System'!L10,0)</f>
        <v>382892</v>
      </c>
      <c r="W28" s="458"/>
      <c r="X28" s="458">
        <f>ROUND(Airport!L10,0)</f>
        <v>3899193</v>
      </c>
      <c r="Y28" s="461"/>
      <c r="Z28" s="461" t="e">
        <f>ROUND(SUM('All Funds Sch A 2014 Page (1)'!D28:K28)+SUM('All Funds Sch A 2014 Page (2)'!L28:X28),0)</f>
        <v>#REF!</v>
      </c>
      <c r="AA28" s="457" t="e">
        <f>Z28</f>
        <v>#REF!</v>
      </c>
      <c r="AB28" s="457" t="e">
        <f>SUM('All Funds Sch A 2014 Page (1)'!D28:K28)</f>
        <v>#REF!</v>
      </c>
      <c r="AC28" s="457" t="e">
        <f t="shared" si="3"/>
        <v>#REF!</v>
      </c>
    </row>
    <row r="29" spans="1:29" s="454" customFormat="1" ht="20.100000000000001" customHeight="1">
      <c r="A29" s="454" t="s">
        <v>438</v>
      </c>
      <c r="C29" s="454" t="s">
        <v>424</v>
      </c>
      <c r="D29" s="917">
        <f>SUM(D17:D28)</f>
        <v>5423968</v>
      </c>
      <c r="E29" s="917">
        <f t="shared" ref="E29:K29" si="4">SUM(E19:E28)</f>
        <v>8379389</v>
      </c>
      <c r="F29" s="917">
        <f t="shared" si="4"/>
        <v>80308</v>
      </c>
      <c r="G29" s="917">
        <f t="shared" si="4"/>
        <v>704082</v>
      </c>
      <c r="H29" s="917">
        <f t="shared" si="4"/>
        <v>9371773</v>
      </c>
      <c r="I29" s="463" t="e">
        <f t="shared" si="4"/>
        <v>#REF!</v>
      </c>
      <c r="J29" s="463">
        <f t="shared" si="4"/>
        <v>872600</v>
      </c>
      <c r="K29" s="463">
        <f t="shared" si="4"/>
        <v>0</v>
      </c>
      <c r="L29" s="1231" t="e">
        <f t="shared" ref="L29:Y29" si="5">SUM(L18:L28)</f>
        <v>#REF!</v>
      </c>
      <c r="M29" s="1231">
        <f t="shared" si="5"/>
        <v>2200000</v>
      </c>
      <c r="N29" s="1231">
        <f t="shared" si="5"/>
        <v>1155995</v>
      </c>
      <c r="O29" s="1231">
        <f t="shared" si="5"/>
        <v>0</v>
      </c>
      <c r="P29" s="1231">
        <f t="shared" si="5"/>
        <v>18266452</v>
      </c>
      <c r="Q29" s="1231">
        <f t="shared" si="5"/>
        <v>0</v>
      </c>
      <c r="R29" s="1231">
        <f t="shared" si="5"/>
        <v>128720506</v>
      </c>
      <c r="S29" s="1231">
        <f t="shared" si="5"/>
        <v>0</v>
      </c>
      <c r="T29" s="1231">
        <f t="shared" si="5"/>
        <v>170400</v>
      </c>
      <c r="U29" s="1231">
        <f t="shared" si="5"/>
        <v>0</v>
      </c>
      <c r="V29" s="1231">
        <f t="shared" si="5"/>
        <v>15325112</v>
      </c>
      <c r="W29" s="1231">
        <f t="shared" si="5"/>
        <v>0</v>
      </c>
      <c r="X29" s="1231">
        <f t="shared" si="5"/>
        <v>7695595</v>
      </c>
      <c r="Y29" s="1231">
        <f t="shared" si="5"/>
        <v>0</v>
      </c>
      <c r="Z29" s="464" t="e">
        <f>SUM(Z18:Z28)</f>
        <v>#REF!</v>
      </c>
      <c r="AA29" s="457" t="e">
        <f>SUM(AA23:AA28)</f>
        <v>#REF!</v>
      </c>
      <c r="AB29" s="457" t="e">
        <f>SUM('All Funds Sch A 2014 Page (1)'!D29:K29)</f>
        <v>#REF!</v>
      </c>
      <c r="AC29" s="457" t="e">
        <f t="shared" si="3"/>
        <v>#REF!</v>
      </c>
    </row>
    <row r="30" spans="1:29" s="454" customFormat="1" ht="15.95" customHeight="1">
      <c r="D30" s="565"/>
      <c r="E30" s="565"/>
      <c r="F30" s="565"/>
      <c r="G30" s="565"/>
      <c r="H30" s="565"/>
      <c r="I30" s="458"/>
      <c r="J30" s="458"/>
      <c r="K30" s="458"/>
      <c r="L30" s="458"/>
      <c r="M30" s="458"/>
      <c r="N30" s="458"/>
      <c r="O30" s="458"/>
      <c r="P30" s="458"/>
      <c r="Q30" s="458"/>
      <c r="R30" s="458"/>
      <c r="S30" s="458"/>
      <c r="T30" s="458"/>
      <c r="U30" s="458"/>
      <c r="V30" s="458"/>
      <c r="W30" s="458"/>
      <c r="X30" s="458"/>
      <c r="Y30" s="458"/>
      <c r="Z30" s="458"/>
      <c r="AA30" s="457"/>
      <c r="AB30" s="457"/>
    </row>
    <row r="31" spans="1:29" s="454" customFormat="1" ht="20.100000000000001" customHeight="1">
      <c r="A31" s="454" t="s">
        <v>439</v>
      </c>
      <c r="C31" s="454" t="s">
        <v>424</v>
      </c>
      <c r="D31" s="926">
        <f>ROUND('[1]GF Resources'!$G$59,2)</f>
        <v>0</v>
      </c>
      <c r="E31" s="926">
        <f>'CRA-Beach'!L10+'CRA-NW Progresso'!L11</f>
        <v>4496529</v>
      </c>
      <c r="F31" s="926">
        <v>0</v>
      </c>
      <c r="G31" s="926">
        <v>0</v>
      </c>
      <c r="H31" s="926">
        <v>0</v>
      </c>
      <c r="I31" s="470">
        <v>0</v>
      </c>
      <c r="J31" s="470">
        <v>0</v>
      </c>
      <c r="K31" s="470"/>
      <c r="L31" s="470" t="e">
        <f>ROUND(#REF!+#REF!+#REF!+#REF!+#REF!+#REF!,0)</f>
        <v>#REF!</v>
      </c>
      <c r="M31" s="470">
        <v>0</v>
      </c>
      <c r="N31" s="470">
        <v>0</v>
      </c>
      <c r="O31" s="461"/>
      <c r="P31" s="470">
        <v>0</v>
      </c>
      <c r="Q31" s="458"/>
      <c r="R31" s="470">
        <f>'Water and Sewer'!L10</f>
        <v>0</v>
      </c>
      <c r="S31" s="458"/>
      <c r="T31" s="470">
        <v>0</v>
      </c>
      <c r="U31" s="458"/>
      <c r="V31" s="470">
        <v>0</v>
      </c>
      <c r="W31" s="458"/>
      <c r="X31" s="470">
        <v>0</v>
      </c>
      <c r="Y31" s="958"/>
      <c r="Z31" s="475" t="e">
        <f>ROUND(SUM('All Funds Sch A 2014 Page (1)'!D31:K31)+SUM('All Funds Sch A 2014 Page (2)'!L31:X31),0)</f>
        <v>#REF!</v>
      </c>
      <c r="AA31" s="457" t="e">
        <f>Z31</f>
        <v>#REF!</v>
      </c>
      <c r="AB31" s="457">
        <f>SUM('All Funds Sch A 2014 Page (1)'!D31:K31)</f>
        <v>5479413</v>
      </c>
      <c r="AC31" s="457" t="e">
        <f t="shared" ref="AC31" si="6">SUM(AA31:AB31)-Z31</f>
        <v>#REF!</v>
      </c>
    </row>
    <row r="32" spans="1:29" s="454" customFormat="1" ht="10.5" customHeight="1">
      <c r="D32" s="565"/>
      <c r="E32" s="565"/>
      <c r="F32" s="565"/>
      <c r="G32" s="565"/>
      <c r="H32" s="565"/>
      <c r="I32" s="458"/>
      <c r="J32" s="458"/>
      <c r="K32" s="458"/>
      <c r="L32" s="458"/>
      <c r="M32" s="458"/>
      <c r="N32" s="458"/>
      <c r="O32" s="461"/>
      <c r="P32" s="458"/>
      <c r="Q32" s="458"/>
      <c r="R32" s="458"/>
      <c r="S32" s="458"/>
      <c r="T32" s="458"/>
      <c r="U32" s="458"/>
      <c r="V32" s="458"/>
      <c r="W32" s="458"/>
      <c r="X32" s="458"/>
      <c r="Y32" s="461"/>
      <c r="Z32" s="461"/>
      <c r="AA32" s="457"/>
      <c r="AB32" s="457"/>
    </row>
    <row r="33" spans="1:38" s="454" customFormat="1" ht="21.95" customHeight="1" thickBot="1">
      <c r="A33" s="713" t="s">
        <v>21</v>
      </c>
      <c r="B33" s="714"/>
      <c r="C33" s="454" t="s">
        <v>424</v>
      </c>
      <c r="D33" s="919">
        <f t="shared" ref="D33:Z33" si="7">D14+D29+D31</f>
        <v>56676237</v>
      </c>
      <c r="E33" s="919">
        <f t="shared" si="7"/>
        <v>12851204</v>
      </c>
      <c r="F33" s="919">
        <f t="shared" si="7"/>
        <v>180248</v>
      </c>
      <c r="G33" s="919">
        <f t="shared" si="7"/>
        <v>1103981</v>
      </c>
      <c r="H33" s="919">
        <f t="shared" si="7"/>
        <v>9409896</v>
      </c>
      <c r="I33" s="477" t="e">
        <f t="shared" si="7"/>
        <v>#REF!</v>
      </c>
      <c r="J33" s="477">
        <f t="shared" si="7"/>
        <v>872600</v>
      </c>
      <c r="K33" s="477">
        <f t="shared" si="7"/>
        <v>1679720</v>
      </c>
      <c r="L33" s="477" t="e">
        <f t="shared" si="7"/>
        <v>#REF!</v>
      </c>
      <c r="M33" s="477">
        <f t="shared" si="7"/>
        <v>26129746</v>
      </c>
      <c r="N33" s="477">
        <f t="shared" si="7"/>
        <v>1155995</v>
      </c>
      <c r="O33" s="477">
        <f t="shared" si="7"/>
        <v>0</v>
      </c>
      <c r="P33" s="477">
        <f t="shared" si="7"/>
        <v>26170050</v>
      </c>
      <c r="Q33" s="477">
        <f t="shared" si="7"/>
        <v>0</v>
      </c>
      <c r="R33" s="477">
        <f t="shared" si="7"/>
        <v>185359849</v>
      </c>
      <c r="S33" s="477">
        <f t="shared" si="7"/>
        <v>0</v>
      </c>
      <c r="T33" s="477">
        <f t="shared" si="7"/>
        <v>12383619</v>
      </c>
      <c r="U33" s="477">
        <f t="shared" si="7"/>
        <v>0</v>
      </c>
      <c r="V33" s="477">
        <f t="shared" si="7"/>
        <v>29062116</v>
      </c>
      <c r="W33" s="477">
        <f t="shared" si="7"/>
        <v>0</v>
      </c>
      <c r="X33" s="477">
        <f t="shared" si="7"/>
        <v>21576377</v>
      </c>
      <c r="Y33" s="477">
        <f t="shared" si="7"/>
        <v>0</v>
      </c>
      <c r="Z33" s="477" t="e">
        <f t="shared" si="7"/>
        <v>#REF!</v>
      </c>
      <c r="AA33" s="457"/>
      <c r="AB33" s="457" t="e">
        <f>SUM('All Funds Sch A 2014 Page (1)'!D33:K33)</f>
        <v>#REF!</v>
      </c>
      <c r="AC33" s="457" t="e">
        <f t="shared" ref="AC33" si="8">SUM(AA33:AB33)-Z33</f>
        <v>#REF!</v>
      </c>
    </row>
    <row r="34" spans="1:38" s="454" customFormat="1" ht="10.5" customHeight="1" thickTop="1">
      <c r="D34" s="565"/>
      <c r="E34" s="565"/>
      <c r="F34" s="565"/>
      <c r="G34" s="565"/>
      <c r="H34" s="565"/>
      <c r="I34" s="458"/>
      <c r="J34" s="458"/>
      <c r="K34" s="458"/>
      <c r="L34" s="458"/>
      <c r="M34" s="458"/>
      <c r="N34" s="458"/>
      <c r="O34" s="467"/>
      <c r="P34" s="458"/>
      <c r="Q34" s="458"/>
      <c r="R34" s="458"/>
      <c r="S34" s="458"/>
      <c r="T34" s="458"/>
      <c r="U34" s="458"/>
      <c r="V34" s="458"/>
      <c r="W34" s="458"/>
      <c r="X34" s="458"/>
      <c r="Y34" s="461"/>
      <c r="Z34" s="461"/>
      <c r="AA34" s="457"/>
      <c r="AB34" s="457"/>
    </row>
    <row r="35" spans="1:38" s="454" customFormat="1" ht="14.1" customHeight="1">
      <c r="A35" s="685"/>
      <c r="D35" s="925" t="s">
        <v>58</v>
      </c>
      <c r="E35" s="565"/>
      <c r="F35" s="565"/>
      <c r="G35" s="565"/>
      <c r="H35" s="565"/>
      <c r="I35" s="458"/>
      <c r="J35" s="458"/>
      <c r="K35" s="458"/>
      <c r="L35" s="458"/>
      <c r="M35" s="458"/>
      <c r="N35" s="458"/>
      <c r="O35" s="461"/>
      <c r="P35" s="458"/>
      <c r="Q35" s="458"/>
      <c r="R35" s="458"/>
      <c r="S35" s="458"/>
      <c r="T35" s="458"/>
      <c r="U35" s="458"/>
      <c r="V35" s="458"/>
      <c r="W35" s="458"/>
      <c r="X35" s="458"/>
      <c r="Y35" s="461"/>
      <c r="Z35" s="461"/>
      <c r="AA35" s="457"/>
      <c r="AB35" s="457"/>
    </row>
    <row r="36" spans="1:38" s="454" customFormat="1" ht="6.95" customHeight="1">
      <c r="D36" s="565"/>
      <c r="E36" s="565"/>
      <c r="F36" s="565"/>
      <c r="G36" s="565"/>
      <c r="H36" s="565"/>
      <c r="I36" s="458"/>
      <c r="J36" s="458"/>
      <c r="K36" s="458"/>
      <c r="L36" s="458"/>
      <c r="M36" s="458"/>
      <c r="N36" s="458"/>
      <c r="O36" s="461"/>
      <c r="P36" s="458"/>
      <c r="Q36" s="458"/>
      <c r="R36" s="458"/>
      <c r="S36" s="458"/>
      <c r="T36" s="458"/>
      <c r="U36" s="458"/>
      <c r="V36" s="458"/>
      <c r="W36" s="458"/>
      <c r="X36" s="458"/>
      <c r="Y36" s="461"/>
      <c r="Z36" s="461"/>
      <c r="AA36" s="457"/>
      <c r="AB36" s="457"/>
    </row>
    <row r="37" spans="1:38" s="454" customFormat="1" ht="17.25" customHeight="1">
      <c r="A37" s="454" t="s">
        <v>811</v>
      </c>
      <c r="D37" s="565"/>
      <c r="E37" s="565"/>
      <c r="F37" s="565"/>
      <c r="G37" s="565"/>
      <c r="H37" s="565"/>
      <c r="I37" s="458"/>
      <c r="J37" s="458"/>
      <c r="K37" s="458"/>
      <c r="L37" s="458"/>
      <c r="M37" s="458"/>
      <c r="N37" s="458"/>
      <c r="O37" s="461"/>
      <c r="P37" s="458"/>
      <c r="Q37" s="458"/>
      <c r="R37" s="458"/>
      <c r="S37" s="458"/>
      <c r="T37" s="458"/>
      <c r="U37" s="458"/>
      <c r="V37" s="458"/>
      <c r="W37" s="458"/>
      <c r="X37" s="458"/>
      <c r="Y37" s="461"/>
      <c r="Z37" s="461"/>
      <c r="AA37" s="457"/>
      <c r="AB37" s="457"/>
    </row>
    <row r="38" spans="1:38" s="454" customFormat="1" ht="20.100000000000001" customHeight="1">
      <c r="A38" s="454" t="s">
        <v>442</v>
      </c>
      <c r="C38" s="454" t="s">
        <v>424</v>
      </c>
      <c r="D38" s="565" t="e">
        <f>ROUND(VLOOKUP(A38,#REF!,3,FALSE),2)</f>
        <v>#REF!</v>
      </c>
      <c r="E38" s="565">
        <v>0</v>
      </c>
      <c r="F38" s="565">
        <v>0</v>
      </c>
      <c r="G38" s="565">
        <v>0</v>
      </c>
      <c r="H38" s="565">
        <v>0</v>
      </c>
      <c r="I38" s="458">
        <v>0</v>
      </c>
      <c r="J38" s="458">
        <v>0</v>
      </c>
      <c r="K38" s="458">
        <v>0</v>
      </c>
      <c r="L38" s="458">
        <v>0</v>
      </c>
      <c r="M38" s="458">
        <v>0</v>
      </c>
      <c r="N38" s="458">
        <v>0</v>
      </c>
      <c r="O38" s="461"/>
      <c r="P38" s="458">
        <v>0</v>
      </c>
      <c r="Q38" s="458"/>
      <c r="R38" s="458">
        <v>0</v>
      </c>
      <c r="S38" s="458"/>
      <c r="T38" s="458">
        <v>0</v>
      </c>
      <c r="U38" s="458"/>
      <c r="V38" s="458">
        <v>0</v>
      </c>
      <c r="W38" s="458"/>
      <c r="X38" s="458">
        <v>0</v>
      </c>
      <c r="Y38" s="461"/>
      <c r="Z38" s="461" t="e">
        <f>ROUND(SUM('All Funds Sch A 2014 Page (1)'!D38:K38)+SUM('All Funds Sch A 2014 Page (2)'!L38:X38),0)</f>
        <v>#REF!</v>
      </c>
      <c r="AA38" s="457"/>
      <c r="AB38" s="457" t="e">
        <f>SUM('All Funds Sch A 2014 Page (1)'!D38:K38)</f>
        <v>#REF!</v>
      </c>
      <c r="AC38" s="457" t="e">
        <f t="shared" ref="AC38:AC53" si="9">SUM(AA38:AB38)-Z38</f>
        <v>#REF!</v>
      </c>
    </row>
    <row r="39" spans="1:38" s="417" customFormat="1" ht="20.100000000000001" customHeight="1">
      <c r="A39" s="417" t="s">
        <v>443</v>
      </c>
      <c r="D39" s="565" t="e">
        <f>ROUND(VLOOKUP(A39,#REF!,3,FALSE),2)</f>
        <v>#REF!</v>
      </c>
      <c r="E39" s="565">
        <v>0</v>
      </c>
      <c r="F39" s="565">
        <v>0</v>
      </c>
      <c r="G39" s="565">
        <v>0</v>
      </c>
      <c r="H39" s="565">
        <v>0</v>
      </c>
      <c r="I39" s="458">
        <v>0</v>
      </c>
      <c r="J39" s="458">
        <v>0</v>
      </c>
      <c r="K39" s="458">
        <v>0</v>
      </c>
      <c r="L39" s="458">
        <v>0</v>
      </c>
      <c r="M39" s="458">
        <v>0</v>
      </c>
      <c r="N39" s="458">
        <v>0</v>
      </c>
      <c r="O39" s="461"/>
      <c r="P39" s="458">
        <v>0</v>
      </c>
      <c r="Q39" s="458"/>
      <c r="R39" s="458">
        <v>0</v>
      </c>
      <c r="S39" s="458"/>
      <c r="T39" s="458">
        <v>0</v>
      </c>
      <c r="U39" s="458"/>
      <c r="V39" s="458">
        <v>0</v>
      </c>
      <c r="W39" s="458"/>
      <c r="X39" s="458">
        <v>0</v>
      </c>
      <c r="Y39" s="461"/>
      <c r="Z39" s="461" t="e">
        <f>ROUND(SUM('All Funds Sch A 2014 Page (1)'!D39:K39)+SUM('All Funds Sch A 2014 Page (2)'!L39:X39),0)</f>
        <v>#REF!</v>
      </c>
      <c r="AA39" s="457"/>
      <c r="AB39" s="457" t="e">
        <f>SUM('All Funds Sch A 2014 Page (1)'!D39:K39)</f>
        <v>#REF!</v>
      </c>
      <c r="AC39" s="457" t="e">
        <f t="shared" si="9"/>
        <v>#REF!</v>
      </c>
      <c r="AD39" s="454"/>
      <c r="AE39" s="454"/>
      <c r="AF39" s="454"/>
      <c r="AG39" s="454"/>
      <c r="AH39" s="454"/>
      <c r="AI39" s="454"/>
      <c r="AJ39" s="454"/>
      <c r="AK39" s="454"/>
      <c r="AL39" s="454"/>
    </row>
    <row r="40" spans="1:38" s="417" customFormat="1" ht="20.100000000000001" customHeight="1">
      <c r="A40" s="417" t="s">
        <v>444</v>
      </c>
      <c r="D40" s="565" t="e">
        <f>ROUND(VLOOKUP(A40,#REF!,3,FALSE),2)</f>
        <v>#REF!</v>
      </c>
      <c r="E40" s="565">
        <v>0</v>
      </c>
      <c r="F40" s="565">
        <v>0</v>
      </c>
      <c r="G40" s="565">
        <v>0</v>
      </c>
      <c r="H40" s="565">
        <v>0</v>
      </c>
      <c r="I40" s="458">
        <v>0</v>
      </c>
      <c r="J40" s="458">
        <v>0</v>
      </c>
      <c r="K40" s="458">
        <v>0</v>
      </c>
      <c r="L40" s="458">
        <v>0</v>
      </c>
      <c r="M40" s="458">
        <v>0</v>
      </c>
      <c r="N40" s="458">
        <v>0</v>
      </c>
      <c r="O40" s="461"/>
      <c r="P40" s="458">
        <v>0</v>
      </c>
      <c r="Q40" s="458"/>
      <c r="R40" s="458">
        <v>0</v>
      </c>
      <c r="S40" s="458"/>
      <c r="T40" s="458">
        <v>0</v>
      </c>
      <c r="U40" s="458"/>
      <c r="V40" s="458">
        <v>0</v>
      </c>
      <c r="W40" s="458"/>
      <c r="X40" s="458">
        <v>0</v>
      </c>
      <c r="Y40" s="461"/>
      <c r="Z40" s="461" t="e">
        <f>ROUND(SUM('All Funds Sch A 2014 Page (1)'!D40:K40)+SUM('All Funds Sch A 2014 Page (2)'!L40:X40),0)</f>
        <v>#REF!</v>
      </c>
      <c r="AA40" s="457"/>
      <c r="AB40" s="457" t="e">
        <f>SUM('All Funds Sch A 2014 Page (1)'!D40:K40)</f>
        <v>#REF!</v>
      </c>
      <c r="AC40" s="457" t="e">
        <f t="shared" si="9"/>
        <v>#REF!</v>
      </c>
      <c r="AD40" s="454"/>
      <c r="AE40" s="454"/>
      <c r="AF40" s="454"/>
      <c r="AG40" s="454"/>
      <c r="AH40" s="454"/>
      <c r="AI40" s="454"/>
      <c r="AJ40" s="454"/>
      <c r="AK40" s="454"/>
      <c r="AL40" s="454"/>
    </row>
    <row r="41" spans="1:38" s="417" customFormat="1" ht="20.100000000000001" customHeight="1">
      <c r="A41" s="417" t="s">
        <v>445</v>
      </c>
      <c r="D41" s="565" t="e">
        <f>ROUND(VLOOKUP(A41,#REF!,3,FALSE),2)</f>
        <v>#REF!</v>
      </c>
      <c r="E41" s="565">
        <v>0</v>
      </c>
      <c r="F41" s="565">
        <v>0</v>
      </c>
      <c r="G41" s="565">
        <v>0</v>
      </c>
      <c r="H41" s="565">
        <v>0</v>
      </c>
      <c r="I41" s="458">
        <v>0</v>
      </c>
      <c r="J41" s="458">
        <v>0</v>
      </c>
      <c r="K41" s="458">
        <v>0</v>
      </c>
      <c r="L41" s="458">
        <v>0</v>
      </c>
      <c r="M41" s="458">
        <v>0</v>
      </c>
      <c r="N41" s="458">
        <v>0</v>
      </c>
      <c r="O41" s="461"/>
      <c r="P41" s="458">
        <v>0</v>
      </c>
      <c r="Q41" s="458"/>
      <c r="R41" s="458">
        <v>0</v>
      </c>
      <c r="S41" s="458"/>
      <c r="T41" s="458">
        <v>0</v>
      </c>
      <c r="U41" s="458"/>
      <c r="V41" s="458">
        <v>0</v>
      </c>
      <c r="W41" s="458"/>
      <c r="X41" s="458">
        <v>0</v>
      </c>
      <c r="Y41" s="461"/>
      <c r="Z41" s="461" t="e">
        <f>ROUND(SUM('All Funds Sch A 2014 Page (1)'!D41:K41)+SUM('All Funds Sch A 2014 Page (2)'!L41:X41),0)</f>
        <v>#REF!</v>
      </c>
      <c r="AA41" s="457"/>
      <c r="AB41" s="457" t="e">
        <f>SUM('All Funds Sch A 2014 Page (1)'!D41:K41)</f>
        <v>#REF!</v>
      </c>
      <c r="AC41" s="457" t="e">
        <f t="shared" si="9"/>
        <v>#REF!</v>
      </c>
      <c r="AD41" s="454"/>
      <c r="AE41" s="454"/>
      <c r="AF41" s="454"/>
      <c r="AG41" s="454"/>
      <c r="AH41" s="454"/>
      <c r="AI41" s="454"/>
      <c r="AJ41" s="454"/>
      <c r="AK41" s="454"/>
      <c r="AL41" s="454"/>
    </row>
    <row r="42" spans="1:38" s="417" customFormat="1" ht="20.100000000000001" customHeight="1">
      <c r="A42" s="417" t="s">
        <v>446</v>
      </c>
      <c r="D42" s="565" t="e">
        <f>ROUND(VLOOKUP(A42,#REF!,3,FALSE),2)</f>
        <v>#REF!</v>
      </c>
      <c r="E42" s="565">
        <v>0</v>
      </c>
      <c r="F42" s="565">
        <v>0</v>
      </c>
      <c r="G42" s="565">
        <v>0</v>
      </c>
      <c r="H42" s="565">
        <v>0</v>
      </c>
      <c r="I42" s="458">
        <v>0</v>
      </c>
      <c r="J42" s="458">
        <v>0</v>
      </c>
      <c r="K42" s="458">
        <v>0</v>
      </c>
      <c r="L42" s="458">
        <v>0</v>
      </c>
      <c r="M42" s="458">
        <v>0</v>
      </c>
      <c r="N42" s="458">
        <v>0</v>
      </c>
      <c r="O42" s="461"/>
      <c r="P42" s="458">
        <v>0</v>
      </c>
      <c r="Q42" s="458"/>
      <c r="R42" s="458">
        <v>0</v>
      </c>
      <c r="S42" s="458"/>
      <c r="T42" s="458">
        <v>0</v>
      </c>
      <c r="U42" s="458"/>
      <c r="V42" s="458">
        <v>0</v>
      </c>
      <c r="W42" s="458"/>
      <c r="X42" s="458">
        <v>0</v>
      </c>
      <c r="Y42" s="461"/>
      <c r="Z42" s="461" t="e">
        <f>ROUND(SUM('All Funds Sch A 2014 Page (1)'!D42:K42)+SUM('All Funds Sch A 2014 Page (2)'!L42:X42),0)</f>
        <v>#REF!</v>
      </c>
      <c r="AA42" s="457"/>
      <c r="AB42" s="457" t="e">
        <f>SUM('All Funds Sch A 2014 Page (1)'!D42:K42)</f>
        <v>#REF!</v>
      </c>
      <c r="AC42" s="457" t="e">
        <f t="shared" si="9"/>
        <v>#REF!</v>
      </c>
      <c r="AD42" s="454"/>
      <c r="AE42" s="454"/>
      <c r="AF42" s="454"/>
      <c r="AG42" s="454"/>
      <c r="AH42" s="454"/>
      <c r="AI42" s="454"/>
      <c r="AJ42" s="454"/>
      <c r="AK42" s="454"/>
      <c r="AL42" s="454"/>
    </row>
    <row r="43" spans="1:38" s="417" customFormat="1" ht="20.100000000000001" customHeight="1">
      <c r="A43" s="417" t="s">
        <v>448</v>
      </c>
      <c r="D43" s="565" t="e">
        <f>ROUND(VLOOKUP(A43,#REF!,3,FALSE),2)</f>
        <v>#REF!</v>
      </c>
      <c r="E43" s="565">
        <v>0</v>
      </c>
      <c r="F43" s="565">
        <v>0</v>
      </c>
      <c r="G43" s="565">
        <v>0</v>
      </c>
      <c r="H43" s="565">
        <v>0</v>
      </c>
      <c r="I43" s="458">
        <v>0</v>
      </c>
      <c r="J43" s="458">
        <v>0</v>
      </c>
      <c r="K43" s="458">
        <v>0</v>
      </c>
      <c r="L43" s="458">
        <v>0</v>
      </c>
      <c r="M43" s="458">
        <v>0</v>
      </c>
      <c r="N43" s="458">
        <v>0</v>
      </c>
      <c r="O43" s="461"/>
      <c r="P43" s="458">
        <v>0</v>
      </c>
      <c r="Q43" s="458"/>
      <c r="R43" s="458">
        <v>0</v>
      </c>
      <c r="S43" s="458"/>
      <c r="T43" s="458">
        <v>0</v>
      </c>
      <c r="U43" s="458"/>
      <c r="V43" s="458">
        <v>0</v>
      </c>
      <c r="W43" s="458"/>
      <c r="X43" s="458">
        <v>0</v>
      </c>
      <c r="Y43" s="461"/>
      <c r="Z43" s="461" t="e">
        <f>ROUND(SUM('All Funds Sch A 2014 Page (1)'!D43:K43)+SUM('All Funds Sch A 2014 Page (2)'!L43:X43),0)</f>
        <v>#REF!</v>
      </c>
      <c r="AA43" s="457"/>
      <c r="AB43" s="457" t="e">
        <f>SUM('All Funds Sch A 2014 Page (1)'!D43:K43)</f>
        <v>#REF!</v>
      </c>
      <c r="AC43" s="457" t="e">
        <f t="shared" si="9"/>
        <v>#REF!</v>
      </c>
      <c r="AD43" s="454"/>
      <c r="AE43" s="454"/>
      <c r="AF43" s="454"/>
      <c r="AG43" s="454"/>
      <c r="AH43" s="454"/>
      <c r="AI43" s="454"/>
      <c r="AJ43" s="454"/>
      <c r="AK43" s="454"/>
      <c r="AL43" s="454"/>
    </row>
    <row r="44" spans="1:38" s="417" customFormat="1" ht="20.100000000000001" customHeight="1">
      <c r="A44" s="417" t="s">
        <v>683</v>
      </c>
      <c r="D44" s="565" t="e">
        <f>ROUND(VLOOKUP(A44,#REF!,3,FALSE),2)</f>
        <v>#REF!</v>
      </c>
      <c r="E44" s="565">
        <v>0</v>
      </c>
      <c r="F44" s="565">
        <v>0</v>
      </c>
      <c r="G44" s="565">
        <v>0</v>
      </c>
      <c r="H44" s="565">
        <v>0</v>
      </c>
      <c r="I44" s="458">
        <v>0</v>
      </c>
      <c r="J44" s="458">
        <v>0</v>
      </c>
      <c r="K44" s="458">
        <v>0</v>
      </c>
      <c r="L44" s="741">
        <v>0</v>
      </c>
      <c r="M44" s="458">
        <v>0</v>
      </c>
      <c r="N44" s="458">
        <v>0</v>
      </c>
      <c r="O44" s="461"/>
      <c r="P44" s="458">
        <v>0</v>
      </c>
      <c r="Q44" s="458"/>
      <c r="R44" s="458">
        <v>0</v>
      </c>
      <c r="S44" s="458"/>
      <c r="T44" s="458">
        <v>0</v>
      </c>
      <c r="U44" s="458"/>
      <c r="V44" s="458">
        <v>0</v>
      </c>
      <c r="W44" s="458"/>
      <c r="X44" s="458">
        <v>0</v>
      </c>
      <c r="Y44" s="461"/>
      <c r="Z44" s="461" t="e">
        <f>ROUND(SUM('All Funds Sch A 2014 Page (1)'!D44:K44)+SUM('All Funds Sch A 2014 Page (2)'!L44:X44),0)</f>
        <v>#REF!</v>
      </c>
      <c r="AA44" s="457"/>
      <c r="AB44" s="457" t="e">
        <f>SUM('All Funds Sch A 2014 Page (1)'!D44:K44)</f>
        <v>#REF!</v>
      </c>
      <c r="AC44" s="457" t="e">
        <f t="shared" si="9"/>
        <v>#REF!</v>
      </c>
      <c r="AD44" s="454"/>
      <c r="AE44" s="454"/>
      <c r="AF44" s="454"/>
      <c r="AG44" s="454"/>
      <c r="AH44" s="454"/>
      <c r="AI44" s="454"/>
      <c r="AJ44" s="454"/>
      <c r="AK44" s="454"/>
      <c r="AL44" s="454"/>
    </row>
    <row r="45" spans="1:38" s="417" customFormat="1" ht="20.100000000000001" customHeight="1">
      <c r="A45" s="417" t="s">
        <v>450</v>
      </c>
      <c r="D45" s="565" t="e">
        <f>ROUND(VLOOKUP(A45,#REF!,3,FALSE),2)</f>
        <v>#REF!</v>
      </c>
      <c r="E45" s="565">
        <v>0</v>
      </c>
      <c r="F45" s="565">
        <v>0</v>
      </c>
      <c r="G45" s="565">
        <v>0</v>
      </c>
      <c r="H45" s="565">
        <v>0</v>
      </c>
      <c r="I45" s="458">
        <v>0</v>
      </c>
      <c r="J45" s="458">
        <v>0</v>
      </c>
      <c r="K45" s="458">
        <v>0</v>
      </c>
      <c r="L45" s="458">
        <v>0</v>
      </c>
      <c r="M45" s="458">
        <v>0</v>
      </c>
      <c r="N45" s="458">
        <v>0</v>
      </c>
      <c r="O45" s="461"/>
      <c r="P45" s="458">
        <v>0</v>
      </c>
      <c r="Q45" s="458"/>
      <c r="R45" s="458">
        <v>0</v>
      </c>
      <c r="S45" s="458"/>
      <c r="T45" s="458">
        <v>0</v>
      </c>
      <c r="U45" s="458"/>
      <c r="V45" s="458">
        <v>0</v>
      </c>
      <c r="W45" s="458"/>
      <c r="X45" s="458">
        <v>0</v>
      </c>
      <c r="Y45" s="461"/>
      <c r="Z45" s="461" t="e">
        <f>ROUND(SUM('All Funds Sch A 2014 Page (1)'!D45:K45)+SUM('All Funds Sch A 2014 Page (2)'!L45:X45),0)</f>
        <v>#REF!</v>
      </c>
      <c r="AA45" s="457"/>
      <c r="AB45" s="457" t="e">
        <f>SUM('All Funds Sch A 2014 Page (1)'!D45:K45)</f>
        <v>#REF!</v>
      </c>
      <c r="AC45" s="457" t="e">
        <f t="shared" si="9"/>
        <v>#REF!</v>
      </c>
      <c r="AD45" s="454"/>
      <c r="AE45" s="454"/>
      <c r="AF45" s="454"/>
      <c r="AG45" s="454"/>
      <c r="AH45" s="454"/>
      <c r="AI45" s="454"/>
      <c r="AJ45" s="454"/>
      <c r="AK45" s="454"/>
      <c r="AL45" s="454"/>
    </row>
    <row r="46" spans="1:38" s="417" customFormat="1" ht="20.100000000000001" customHeight="1">
      <c r="A46" s="417" t="s">
        <v>454</v>
      </c>
      <c r="D46" s="565" t="e">
        <f>ROUND(VLOOKUP(A46,#REF!,3,FALSE),2)</f>
        <v>#REF!</v>
      </c>
      <c r="E46" s="565">
        <v>0</v>
      </c>
      <c r="F46" s="565">
        <v>0</v>
      </c>
      <c r="G46" s="565">
        <v>0</v>
      </c>
      <c r="H46" s="565">
        <v>0</v>
      </c>
      <c r="I46" s="458">
        <v>0</v>
      </c>
      <c r="J46" s="458">
        <v>0</v>
      </c>
      <c r="K46" s="458">
        <v>0</v>
      </c>
      <c r="L46" s="458">
        <v>0</v>
      </c>
      <c r="M46" s="460">
        <f>ROUND(Cemtery!L22,0)</f>
        <v>1250259</v>
      </c>
      <c r="N46" s="458">
        <v>0</v>
      </c>
      <c r="O46" s="461"/>
      <c r="P46" s="458" t="e">
        <f>ROUND(#REF!,0)</f>
        <v>#REF!</v>
      </c>
      <c r="Q46" s="458"/>
      <c r="R46" s="458">
        <v>0</v>
      </c>
      <c r="S46" s="458"/>
      <c r="T46" s="458">
        <v>0</v>
      </c>
      <c r="U46" s="458"/>
      <c r="V46" s="458">
        <v>0</v>
      </c>
      <c r="W46" s="458"/>
      <c r="X46" s="458">
        <v>0</v>
      </c>
      <c r="Y46" s="461"/>
      <c r="Z46" s="461" t="e">
        <f>ROUND(SUM('All Funds Sch A 2014 Page (1)'!D46:K46)+SUM('All Funds Sch A 2014 Page (2)'!L46:X46),0)+1</f>
        <v>#REF!</v>
      </c>
      <c r="AA46" s="457" t="s">
        <v>61</v>
      </c>
      <c r="AB46" s="457" t="e">
        <f>SUM('All Funds Sch A 2014 Page (1)'!D46:K46)</f>
        <v>#REF!</v>
      </c>
      <c r="AC46" s="457" t="e">
        <f t="shared" si="9"/>
        <v>#REF!</v>
      </c>
      <c r="AD46" s="454"/>
      <c r="AE46" s="454"/>
      <c r="AF46" s="454">
        <f>('Water and Sewer'!L29)</f>
        <v>114188392.84999999</v>
      </c>
      <c r="AG46" s="454"/>
      <c r="AH46" s="454"/>
      <c r="AI46" s="454"/>
      <c r="AJ46" s="454"/>
      <c r="AK46" s="454"/>
      <c r="AL46" s="454"/>
    </row>
    <row r="47" spans="1:38" s="417" customFormat="1" ht="20.100000000000001" customHeight="1">
      <c r="A47" s="417" t="s">
        <v>456</v>
      </c>
      <c r="D47" s="565" t="e">
        <f>ROUND(VLOOKUP(A47,#REF!,3,FALSE),2)</f>
        <v>#REF!</v>
      </c>
      <c r="E47" s="565">
        <v>0</v>
      </c>
      <c r="F47" s="565">
        <v>0</v>
      </c>
      <c r="G47" s="565">
        <v>0</v>
      </c>
      <c r="H47" s="565">
        <v>0</v>
      </c>
      <c r="I47" s="458">
        <v>0</v>
      </c>
      <c r="J47" s="458">
        <f>ROUND('School Crossing Guard'!L19,2)</f>
        <v>893012</v>
      </c>
      <c r="K47" s="458">
        <f>ROUND(Police!L27+'Drug Enforcement Agency'!L26-K56,2)</f>
        <v>1359256</v>
      </c>
      <c r="L47" s="458">
        <v>0</v>
      </c>
      <c r="M47" s="458">
        <v>0</v>
      </c>
      <c r="N47" s="458">
        <v>0</v>
      </c>
      <c r="O47" s="461"/>
      <c r="P47" s="458">
        <v>0</v>
      </c>
      <c r="Q47" s="458"/>
      <c r="R47" s="458">
        <v>0</v>
      </c>
      <c r="S47" s="458"/>
      <c r="T47" s="458">
        <v>0</v>
      </c>
      <c r="U47" s="458"/>
      <c r="V47" s="458">
        <v>0</v>
      </c>
      <c r="W47" s="458"/>
      <c r="X47" s="458">
        <v>0</v>
      </c>
      <c r="Y47" s="461"/>
      <c r="Z47" s="461" t="e">
        <f>ROUND(SUM('All Funds Sch A 2014 Page (1)'!D47:K47)+SUM('All Funds Sch A 2014 Page (2)'!L47:X47),0)</f>
        <v>#REF!</v>
      </c>
      <c r="AA47" s="457"/>
      <c r="AB47" s="457" t="e">
        <f>SUM('All Funds Sch A 2014 Page (1)'!D47:K47)</f>
        <v>#REF!</v>
      </c>
      <c r="AC47" s="457" t="e">
        <f t="shared" si="9"/>
        <v>#REF!</v>
      </c>
      <c r="AD47" s="454"/>
      <c r="AE47" s="454"/>
      <c r="AF47" s="1285">
        <f>+'Central Region'!L28</f>
        <v>23797018</v>
      </c>
      <c r="AG47" s="454"/>
      <c r="AH47" s="454"/>
      <c r="AI47" s="454"/>
      <c r="AJ47" s="454"/>
      <c r="AK47" s="454"/>
      <c r="AL47" s="454"/>
    </row>
    <row r="48" spans="1:38" s="417" customFormat="1" ht="20.100000000000001" customHeight="1">
      <c r="A48" s="417" t="s">
        <v>459</v>
      </c>
      <c r="D48" s="565" t="e">
        <f>ROUND(VLOOKUP(A48,#REF!,3,FALSE),2)</f>
        <v>#REF!</v>
      </c>
      <c r="E48" s="565">
        <v>0</v>
      </c>
      <c r="F48" s="565">
        <v>0</v>
      </c>
      <c r="G48" s="565">
        <v>0</v>
      </c>
      <c r="H48" s="565">
        <v>0</v>
      </c>
      <c r="I48" s="458">
        <v>0</v>
      </c>
      <c r="J48" s="458">
        <v>0</v>
      </c>
      <c r="K48" s="458">
        <v>0</v>
      </c>
      <c r="L48" s="458">
        <v>0</v>
      </c>
      <c r="M48" s="458">
        <v>0</v>
      </c>
      <c r="N48" s="458">
        <v>0</v>
      </c>
      <c r="O48" s="461"/>
      <c r="P48" s="458" t="e">
        <f>ROUND(#REF!,0)</f>
        <v>#REF!</v>
      </c>
      <c r="Q48" s="458"/>
      <c r="R48" s="458">
        <f>ROUNDDOWN('Water and Sewer'!L29+'Central Region'!L28-'Water and Sewer'!L27-'Central Region'!L26-'Water and Sewer'!L25-'Central Region'!L25,0)</f>
        <v>98641940</v>
      </c>
      <c r="S48" s="458"/>
      <c r="T48" s="458">
        <f>ROUND(Stormwater!L28-Stormwater!L26,0)</f>
        <v>6029886</v>
      </c>
      <c r="U48" s="458"/>
      <c r="V48" s="458">
        <v>0</v>
      </c>
      <c r="W48" s="458"/>
      <c r="X48" s="458">
        <v>0</v>
      </c>
      <c r="Y48" s="461"/>
      <c r="Z48" s="461" t="e">
        <f>ROUND(SUM('All Funds Sch A 2014 Page (1)'!D48:K48)+SUM('All Funds Sch A 2014 Page (2)'!L48:X48),0)</f>
        <v>#REF!</v>
      </c>
      <c r="AA48" s="457"/>
      <c r="AB48" s="457" t="e">
        <f>SUM('All Funds Sch A 2014 Page (1)'!D48:K48)</f>
        <v>#REF!</v>
      </c>
      <c r="AC48" s="457" t="e">
        <f t="shared" si="9"/>
        <v>#REF!</v>
      </c>
      <c r="AD48" s="454"/>
      <c r="AE48" s="454"/>
      <c r="AF48" s="454">
        <f>-'Water and Sewer'!L27</f>
        <v>0</v>
      </c>
      <c r="AG48" s="454"/>
      <c r="AH48" s="454"/>
      <c r="AI48" s="454"/>
      <c r="AJ48" s="454"/>
      <c r="AK48" s="454"/>
      <c r="AL48" s="454"/>
    </row>
    <row r="49" spans="1:38" s="417" customFormat="1" ht="20.100000000000001" customHeight="1">
      <c r="A49" s="417" t="s">
        <v>570</v>
      </c>
      <c r="D49" s="565" t="e">
        <f>ROUND(VLOOKUP(A49,#REF!,3,FALSE),2)</f>
        <v>#REF!</v>
      </c>
      <c r="E49" s="565">
        <f>ROUND('CRA-Beach'!L28+'CRA-NW Progresso'!L29-'CRA-Beach'!L27-'CRA-NW Progresso'!L25,2)</f>
        <v>12213467</v>
      </c>
      <c r="F49" s="925">
        <v>0</v>
      </c>
      <c r="G49" s="565">
        <f>ROUND('Beach Bus Improv District'!L21,2)</f>
        <v>699107</v>
      </c>
      <c r="H49" s="925">
        <f>ROUND('Housing and Community Dev'!L27-'Housing and Community Dev'!L26,2)</f>
        <v>9371773</v>
      </c>
      <c r="I49" s="460" t="e">
        <f>ROUND(#REF!+#REF!+#REF!-#REF!,2)</f>
        <v>#REF!</v>
      </c>
      <c r="J49" s="460">
        <v>0</v>
      </c>
      <c r="K49" s="460">
        <v>0</v>
      </c>
      <c r="L49" s="460">
        <v>0</v>
      </c>
      <c r="M49" s="460">
        <v>0</v>
      </c>
      <c r="N49" s="458">
        <v>0</v>
      </c>
      <c r="O49" s="461"/>
      <c r="P49" s="458">
        <v>0</v>
      </c>
      <c r="Q49" s="458"/>
      <c r="R49" s="458">
        <v>0</v>
      </c>
      <c r="S49" s="458"/>
      <c r="T49" s="458">
        <v>0</v>
      </c>
      <c r="U49" s="458"/>
      <c r="V49" s="458">
        <v>0</v>
      </c>
      <c r="W49" s="458"/>
      <c r="X49" s="458">
        <v>0</v>
      </c>
      <c r="Y49" s="461"/>
      <c r="Z49" s="461" t="e">
        <f>ROUND(SUM('All Funds Sch A 2014 Page (1)'!D49:K49)+SUM('All Funds Sch A 2014 Page (2)'!L49:X49),0)</f>
        <v>#REF!</v>
      </c>
      <c r="AA49" s="457"/>
      <c r="AB49" s="457" t="e">
        <f>SUM('All Funds Sch A 2014 Page (1)'!D49:K49)</f>
        <v>#REF!</v>
      </c>
      <c r="AC49" s="457" t="e">
        <f t="shared" si="9"/>
        <v>#REF!</v>
      </c>
      <c r="AD49" s="454"/>
      <c r="AE49" s="454"/>
      <c r="AF49" s="454">
        <f>-'Central Region'!L26</f>
        <v>-6227268</v>
      </c>
      <c r="AG49" s="454"/>
      <c r="AH49" s="454"/>
      <c r="AI49" s="454"/>
      <c r="AJ49" s="454"/>
      <c r="AK49" s="454"/>
      <c r="AL49" s="454"/>
    </row>
    <row r="50" spans="1:38" s="417" customFormat="1" ht="20.100000000000001" customHeight="1">
      <c r="A50" s="417" t="s">
        <v>476</v>
      </c>
      <c r="D50" s="565" t="e">
        <f>ROUND(VLOOKUP(A50,#REF!,3,FALSE),2)</f>
        <v>#REF!</v>
      </c>
      <c r="E50" s="565">
        <v>0</v>
      </c>
      <c r="F50" s="565">
        <v>0</v>
      </c>
      <c r="G50" s="565">
        <v>0</v>
      </c>
      <c r="H50" s="565">
        <v>0</v>
      </c>
      <c r="I50" s="458">
        <v>0</v>
      </c>
      <c r="J50" s="458">
        <v>0</v>
      </c>
      <c r="K50" s="458">
        <v>0</v>
      </c>
      <c r="L50" s="458">
        <v>0</v>
      </c>
      <c r="M50" s="458">
        <v>0</v>
      </c>
      <c r="N50" s="458">
        <f>ROUND('Arts Science District Garage'!L25,0)</f>
        <v>1160555</v>
      </c>
      <c r="O50" s="461"/>
      <c r="P50" s="458">
        <v>0</v>
      </c>
      <c r="Q50" s="458"/>
      <c r="R50" s="458">
        <v>0</v>
      </c>
      <c r="S50" s="458"/>
      <c r="T50" s="458">
        <v>0</v>
      </c>
      <c r="U50" s="458"/>
      <c r="V50" s="458">
        <f>ROUND('Parking System'!L29-'Parking System'!L27,0)</f>
        <v>21750118</v>
      </c>
      <c r="W50" s="458"/>
      <c r="X50" s="458">
        <f>ROUND(Airport!L28-Airport!L26,0)</f>
        <v>7966111</v>
      </c>
      <c r="Y50" s="461"/>
      <c r="Z50" s="461" t="e">
        <f>ROUND(SUM('All Funds Sch A 2014 Page (1)'!D50:K50)+SUM('All Funds Sch A 2014 Page (2)'!L50:X50),0)</f>
        <v>#REF!</v>
      </c>
      <c r="AA50" s="457"/>
      <c r="AB50" s="457" t="e">
        <f>SUM('All Funds Sch A 2014 Page (1)'!D50:K50)</f>
        <v>#REF!</v>
      </c>
      <c r="AC50" s="457" t="e">
        <f t="shared" si="9"/>
        <v>#REF!</v>
      </c>
      <c r="AD50" s="454"/>
      <c r="AE50" s="454"/>
      <c r="AF50" s="1285">
        <f>-'Water and Sewer'!L25</f>
        <v>-31194236</v>
      </c>
      <c r="AG50" s="454"/>
      <c r="AH50" s="454"/>
      <c r="AI50" s="454"/>
      <c r="AJ50" s="454"/>
      <c r="AK50" s="454"/>
      <c r="AL50" s="454"/>
    </row>
    <row r="51" spans="1:38" s="363" customFormat="1" ht="18.75">
      <c r="A51" s="454" t="s">
        <v>16</v>
      </c>
      <c r="D51" s="565" t="e">
        <f>ROUND(VLOOKUP(A51,#REF!,3,FALSE),2)</f>
        <v>#REF!</v>
      </c>
      <c r="E51" s="565">
        <v>0</v>
      </c>
      <c r="F51" s="565">
        <v>0</v>
      </c>
      <c r="G51" s="565">
        <v>0</v>
      </c>
      <c r="H51" s="565">
        <v>0</v>
      </c>
      <c r="I51" s="458">
        <v>0</v>
      </c>
      <c r="J51" s="458">
        <v>0</v>
      </c>
      <c r="K51" s="458">
        <v>0</v>
      </c>
      <c r="L51" s="458" t="e">
        <f>ROUND(#REF!+#REF!+#REF!+#REF!+#REF!+#REF!+#REF!,0)</f>
        <v>#REF!</v>
      </c>
      <c r="M51" s="458">
        <v>0</v>
      </c>
      <c r="N51" s="458">
        <v>0</v>
      </c>
      <c r="O51" s="461"/>
      <c r="P51" s="458">
        <v>0</v>
      </c>
      <c r="Q51" s="458"/>
      <c r="R51" s="458">
        <f>ROUND('Water and Sewer'!L25+'Central Region'!L25,0)</f>
        <v>33116202</v>
      </c>
      <c r="S51" s="458"/>
      <c r="T51" s="458">
        <v>0</v>
      </c>
      <c r="U51" s="458"/>
      <c r="V51" s="458">
        <v>0</v>
      </c>
      <c r="W51" s="458"/>
      <c r="X51" s="458">
        <v>0</v>
      </c>
      <c r="Y51" s="389"/>
      <c r="Z51" s="461" t="e">
        <f>ROUND(SUM('All Funds Sch A 2014 Page (1)'!D51:K51)+SUM('All Funds Sch A 2014 Page (2)'!L51:X51),0)</f>
        <v>#REF!</v>
      </c>
      <c r="AA51" s="457"/>
      <c r="AB51" s="457" t="e">
        <f>SUM('All Funds Sch A 2014 Page (1)'!D51:K51)</f>
        <v>#REF!</v>
      </c>
      <c r="AC51" s="457" t="e">
        <f t="shared" si="9"/>
        <v>#REF!</v>
      </c>
      <c r="AF51" s="1286">
        <f>SUM(AF46:AF50)</f>
        <v>100563906.84999999</v>
      </c>
    </row>
    <row r="52" spans="1:38" s="417" customFormat="1" ht="20.100000000000001" customHeight="1">
      <c r="A52" s="417" t="s">
        <v>460</v>
      </c>
      <c r="D52" s="565" t="e">
        <f>ROUND(VLOOKUP(A52,#REF!,3,FALSE),2)</f>
        <v>#REF!</v>
      </c>
      <c r="E52" s="925">
        <v>0</v>
      </c>
      <c r="F52" s="565">
        <f>'Sunrise Key'!L21</f>
        <v>80308.3</v>
      </c>
      <c r="G52" s="565">
        <v>0</v>
      </c>
      <c r="H52" s="565">
        <v>0</v>
      </c>
      <c r="I52" s="458">
        <v>0</v>
      </c>
      <c r="J52" s="458">
        <v>0</v>
      </c>
      <c r="K52" s="458">
        <v>0</v>
      </c>
      <c r="L52" s="458">
        <v>0</v>
      </c>
      <c r="M52" s="460">
        <v>0</v>
      </c>
      <c r="N52" s="458">
        <v>0</v>
      </c>
      <c r="O52" s="461"/>
      <c r="P52" s="458">
        <v>0</v>
      </c>
      <c r="Q52" s="458"/>
      <c r="R52" s="458">
        <v>0</v>
      </c>
      <c r="S52" s="458"/>
      <c r="T52" s="458">
        <v>0</v>
      </c>
      <c r="U52" s="458"/>
      <c r="V52" s="458">
        <v>0</v>
      </c>
      <c r="W52" s="458"/>
      <c r="X52" s="458">
        <v>0</v>
      </c>
      <c r="Y52" s="461"/>
      <c r="Z52" s="461" t="e">
        <f>ROUND(SUM('All Funds Sch A 2014 Page (1)'!D52:K52)+SUM('All Funds Sch A 2014 Page (2)'!L52:X52),0)</f>
        <v>#REF!</v>
      </c>
      <c r="AA52" s="457"/>
      <c r="AB52" s="457" t="e">
        <f>SUM('All Funds Sch A 2014 Page (1)'!D52:K52)</f>
        <v>#REF!</v>
      </c>
      <c r="AC52" s="457" t="e">
        <f t="shared" si="9"/>
        <v>#REF!</v>
      </c>
      <c r="AD52" s="454"/>
      <c r="AE52" s="454"/>
      <c r="AF52" s="454"/>
      <c r="AG52" s="454"/>
      <c r="AH52" s="454"/>
      <c r="AI52" s="454"/>
      <c r="AJ52" s="454"/>
      <c r="AK52" s="454"/>
      <c r="AL52" s="454"/>
    </row>
    <row r="53" spans="1:38" s="417" customFormat="1" ht="20.100000000000001" customHeight="1">
      <c r="A53" s="417" t="s">
        <v>574</v>
      </c>
      <c r="C53" s="417" t="s">
        <v>424</v>
      </c>
      <c r="D53" s="917" t="e">
        <f t="shared" ref="D53:Z53" si="10">SUM(D38:D52)</f>
        <v>#REF!</v>
      </c>
      <c r="E53" s="917">
        <f t="shared" si="10"/>
        <v>12213467</v>
      </c>
      <c r="F53" s="917">
        <f t="shared" si="10"/>
        <v>80308.3</v>
      </c>
      <c r="G53" s="917">
        <f t="shared" si="10"/>
        <v>699107</v>
      </c>
      <c r="H53" s="917">
        <f t="shared" si="10"/>
        <v>9371773</v>
      </c>
      <c r="I53" s="463" t="e">
        <f t="shared" si="10"/>
        <v>#REF!</v>
      </c>
      <c r="J53" s="463">
        <f t="shared" si="10"/>
        <v>893012</v>
      </c>
      <c r="K53" s="463">
        <f t="shared" si="10"/>
        <v>1359256</v>
      </c>
      <c r="L53" s="463" t="e">
        <f t="shared" si="10"/>
        <v>#REF!</v>
      </c>
      <c r="M53" s="463">
        <f t="shared" si="10"/>
        <v>1250259</v>
      </c>
      <c r="N53" s="463">
        <f t="shared" si="10"/>
        <v>1160555</v>
      </c>
      <c r="O53" s="463">
        <f t="shared" si="10"/>
        <v>0</v>
      </c>
      <c r="P53" s="463" t="e">
        <f t="shared" si="10"/>
        <v>#REF!</v>
      </c>
      <c r="Q53" s="463">
        <f t="shared" si="10"/>
        <v>0</v>
      </c>
      <c r="R53" s="463">
        <f t="shared" si="10"/>
        <v>131758142</v>
      </c>
      <c r="S53" s="463">
        <f t="shared" si="10"/>
        <v>0</v>
      </c>
      <c r="T53" s="463">
        <f t="shared" si="10"/>
        <v>6029886</v>
      </c>
      <c r="U53" s="463">
        <f t="shared" si="10"/>
        <v>0</v>
      </c>
      <c r="V53" s="463">
        <f t="shared" si="10"/>
        <v>21750118</v>
      </c>
      <c r="W53" s="463">
        <f t="shared" si="10"/>
        <v>0</v>
      </c>
      <c r="X53" s="463">
        <f t="shared" si="10"/>
        <v>7966111</v>
      </c>
      <c r="Y53" s="463">
        <f t="shared" si="10"/>
        <v>0</v>
      </c>
      <c r="Z53" s="463" t="e">
        <f t="shared" si="10"/>
        <v>#REF!</v>
      </c>
      <c r="AA53" s="457"/>
      <c r="AB53" s="457" t="e">
        <f>SUM('All Funds Sch A 2014 Page (1)'!D53:K53)</f>
        <v>#REF!</v>
      </c>
      <c r="AC53" s="457" t="e">
        <f t="shared" si="9"/>
        <v>#REF!</v>
      </c>
      <c r="AD53" s="454"/>
      <c r="AE53" s="454"/>
      <c r="AF53" s="454"/>
      <c r="AG53" s="454"/>
      <c r="AH53" s="454"/>
      <c r="AI53" s="454"/>
      <c r="AJ53" s="454"/>
      <c r="AK53" s="454"/>
      <c r="AL53" s="454"/>
    </row>
    <row r="54" spans="1:38" s="417" customFormat="1" ht="12.75" customHeight="1">
      <c r="D54" s="951"/>
      <c r="E54" s="565"/>
      <c r="F54" s="565"/>
      <c r="G54" s="565"/>
      <c r="H54" s="565"/>
      <c r="I54" s="458"/>
      <c r="J54" s="458"/>
      <c r="K54" s="458"/>
      <c r="L54" s="458"/>
      <c r="M54" s="458"/>
      <c r="N54" s="458"/>
      <c r="O54" s="461"/>
      <c r="P54" s="458"/>
      <c r="Q54" s="458"/>
      <c r="R54" s="458"/>
      <c r="S54" s="458"/>
      <c r="T54" s="458"/>
      <c r="U54" s="458"/>
      <c r="V54" s="458"/>
      <c r="W54" s="458"/>
      <c r="X54" s="458"/>
      <c r="Y54" s="461"/>
      <c r="Z54" s="461"/>
      <c r="AA54" s="457"/>
      <c r="AB54" s="457"/>
      <c r="AC54" s="454"/>
      <c r="AD54" s="454"/>
      <c r="AE54" s="454"/>
      <c r="AF54" s="454"/>
      <c r="AG54" s="454"/>
      <c r="AH54" s="454"/>
      <c r="AI54" s="454"/>
      <c r="AJ54" s="454"/>
      <c r="AK54" s="454"/>
      <c r="AL54" s="454"/>
    </row>
    <row r="55" spans="1:38" s="417" customFormat="1" ht="14.25" customHeight="1">
      <c r="A55" s="417" t="s">
        <v>462</v>
      </c>
      <c r="D55" s="951"/>
      <c r="E55" s="565"/>
      <c r="F55" s="565"/>
      <c r="G55" s="565"/>
      <c r="H55" s="565"/>
      <c r="I55" s="458"/>
      <c r="J55" s="458"/>
      <c r="K55" s="458"/>
      <c r="L55" s="458"/>
      <c r="M55" s="458"/>
      <c r="N55" s="458"/>
      <c r="O55" s="461"/>
      <c r="P55" s="458"/>
      <c r="Q55" s="458"/>
      <c r="R55" s="458"/>
      <c r="S55" s="458"/>
      <c r="T55" s="458"/>
      <c r="U55" s="458"/>
      <c r="V55" s="458"/>
      <c r="W55" s="458"/>
      <c r="X55" s="458"/>
      <c r="Y55" s="461"/>
      <c r="Z55" s="461"/>
      <c r="AA55" s="457"/>
      <c r="AB55" s="457"/>
      <c r="AC55" s="454"/>
      <c r="AD55" s="454"/>
      <c r="AE55" s="454"/>
      <c r="AF55" s="454"/>
      <c r="AG55" s="454"/>
      <c r="AH55" s="454"/>
      <c r="AI55" s="454"/>
      <c r="AJ55" s="454"/>
      <c r="AK55" s="454"/>
      <c r="AL55" s="454"/>
    </row>
    <row r="56" spans="1:38" s="417" customFormat="1" ht="18" customHeight="1">
      <c r="A56" s="417" t="s">
        <v>463</v>
      </c>
      <c r="D56" s="565">
        <f>ROUND('Budget Balancing I&amp;O'!J34-'Budget Balancing I&amp;O'!J31-'Budget Balancing I&amp;O'!J26,2)</f>
        <v>26954467.829999998</v>
      </c>
      <c r="E56" s="565" t="e">
        <f>ROUND(#REF!+#REF!+#REF!,2)</f>
        <v>#REF!</v>
      </c>
      <c r="F56" s="565">
        <v>0</v>
      </c>
      <c r="G56" s="565">
        <v>0</v>
      </c>
      <c r="H56" s="565">
        <v>0</v>
      </c>
      <c r="I56" s="458" t="e">
        <f>ROUND(#REF!,2)</f>
        <v>#REF!</v>
      </c>
      <c r="J56" s="458">
        <v>0</v>
      </c>
      <c r="K56" s="458">
        <f>ROUND(Police!L26,2)</f>
        <v>30229</v>
      </c>
      <c r="L56" s="458" t="e">
        <f>ROUND(#REF!,0)</f>
        <v>#REF!</v>
      </c>
      <c r="M56" s="458">
        <v>0</v>
      </c>
      <c r="N56" s="458">
        <v>0</v>
      </c>
      <c r="O56" s="461"/>
      <c r="P56" s="458">
        <f>ROUND(Sanitation!L26,0)</f>
        <v>534730</v>
      </c>
      <c r="Q56" s="458">
        <v>0</v>
      </c>
      <c r="R56" s="458">
        <f>174241+2211552</f>
        <v>2385793</v>
      </c>
      <c r="S56" s="458">
        <v>0</v>
      </c>
      <c r="T56" s="458">
        <v>170178</v>
      </c>
      <c r="U56" s="458">
        <v>0</v>
      </c>
      <c r="V56" s="458">
        <v>362672</v>
      </c>
      <c r="W56" s="458">
        <v>0</v>
      </c>
      <c r="X56" s="458">
        <v>103663.46</v>
      </c>
      <c r="Y56" s="458">
        <v>0</v>
      </c>
      <c r="Z56" s="461" t="e">
        <f>ROUNDDOWN(SUM('All Funds Sch A 2014 Page (1)'!D56:K56)+SUM('All Funds Sch A 2014 Page (2)'!L56:X56),0)</f>
        <v>#REF!</v>
      </c>
      <c r="AA56" s="457"/>
      <c r="AB56" s="457" t="e">
        <f>SUM('All Funds Sch A 2014 Page (1)'!D56:K56)</f>
        <v>#REF!</v>
      </c>
      <c r="AC56" s="457" t="e">
        <f t="shared" ref="AC56:AC60" si="11">SUM(AA56:AB56)-Z56</f>
        <v>#REF!</v>
      </c>
      <c r="AD56" s="454"/>
      <c r="AE56" s="454"/>
      <c r="AF56" s="454"/>
      <c r="AG56" s="454"/>
      <c r="AH56" s="454"/>
      <c r="AI56" s="454"/>
      <c r="AJ56" s="454"/>
      <c r="AK56" s="454"/>
      <c r="AL56" s="454"/>
    </row>
    <row r="57" spans="1:38" s="417" customFormat="1" ht="18" customHeight="1">
      <c r="A57" s="417" t="s">
        <v>464</v>
      </c>
      <c r="D57" s="565">
        <f>ROUND('[1]GF Expend'!$G$55,2)</f>
        <v>0</v>
      </c>
      <c r="E57" s="565">
        <v>0</v>
      </c>
      <c r="F57" s="565">
        <v>0</v>
      </c>
      <c r="G57" s="565">
        <v>0</v>
      </c>
      <c r="H57" s="565">
        <v>0</v>
      </c>
      <c r="I57" s="458">
        <v>0</v>
      </c>
      <c r="J57" s="458">
        <v>0</v>
      </c>
      <c r="K57" s="458">
        <v>0</v>
      </c>
      <c r="L57" s="458">
        <v>0</v>
      </c>
      <c r="M57" s="458">
        <v>0</v>
      </c>
      <c r="N57" s="458">
        <v>0</v>
      </c>
      <c r="O57" s="461"/>
      <c r="P57" s="458">
        <v>0</v>
      </c>
      <c r="Q57" s="458"/>
      <c r="R57" s="458">
        <v>0</v>
      </c>
      <c r="S57" s="458"/>
      <c r="T57" s="458">
        <v>0</v>
      </c>
      <c r="U57" s="458"/>
      <c r="V57" s="458">
        <v>0</v>
      </c>
      <c r="W57" s="458"/>
      <c r="X57" s="458">
        <v>0</v>
      </c>
      <c r="Y57" s="461"/>
      <c r="Z57" s="461">
        <f>ROUND(SUM('All Funds Sch A 2014 Page (1)'!D57:K57)+SUM('All Funds Sch A 2014 Page (2)'!L57:X57),0)</f>
        <v>450000</v>
      </c>
      <c r="AA57" s="457"/>
      <c r="AB57" s="457">
        <f>SUM('All Funds Sch A 2014 Page (1)'!D57:K57)</f>
        <v>450000</v>
      </c>
      <c r="AC57" s="457">
        <f t="shared" si="11"/>
        <v>0</v>
      </c>
      <c r="AD57" s="454"/>
      <c r="AE57" s="454"/>
      <c r="AF57" s="454"/>
      <c r="AG57" s="454"/>
      <c r="AH57" s="454"/>
      <c r="AI57" s="454"/>
      <c r="AJ57" s="454"/>
      <c r="AK57" s="454"/>
      <c r="AL57" s="454"/>
    </row>
    <row r="58" spans="1:38" s="417" customFormat="1" ht="18" customHeight="1">
      <c r="A58" s="417" t="s">
        <v>906</v>
      </c>
      <c r="D58" s="1219"/>
      <c r="E58" s="1219"/>
      <c r="F58" s="1219"/>
      <c r="G58" s="1219"/>
      <c r="H58" s="1219"/>
      <c r="I58" s="1227"/>
      <c r="J58" s="1227"/>
      <c r="K58" s="1227"/>
      <c r="L58" s="1227"/>
      <c r="M58" s="1227"/>
      <c r="N58" s="1227"/>
      <c r="O58" s="1229"/>
      <c r="P58" s="1227"/>
      <c r="Q58" s="1227"/>
      <c r="R58" s="1227"/>
      <c r="S58" s="1227"/>
      <c r="T58" s="1227"/>
      <c r="U58" s="1227"/>
      <c r="V58" s="1227"/>
      <c r="W58" s="1227"/>
      <c r="X58" s="1227"/>
      <c r="Y58" s="1229"/>
      <c r="Z58" s="1229">
        <f>ROUND(SUM('All Funds Sch A 2014 Page (1)'!D58:K58)+SUM('All Funds Sch A 2014 Page (2)'!L58:X58),0)</f>
        <v>2095875</v>
      </c>
      <c r="AA58" s="457"/>
      <c r="AB58" s="457"/>
      <c r="AC58" s="457"/>
      <c r="AD58" s="454"/>
      <c r="AE58" s="454"/>
      <c r="AF58" s="454"/>
      <c r="AG58" s="454"/>
      <c r="AH58" s="454"/>
      <c r="AI58" s="454"/>
      <c r="AJ58" s="454"/>
      <c r="AK58" s="454"/>
      <c r="AL58" s="454"/>
    </row>
    <row r="59" spans="1:38" s="417" customFormat="1" ht="18" customHeight="1">
      <c r="A59" s="417" t="s">
        <v>465</v>
      </c>
      <c r="D59" s="952">
        <f>ROUND('[1]GF Expend'!$G$56,2)</f>
        <v>0</v>
      </c>
      <c r="E59" s="565" t="e">
        <f>ROUND('CRA-Beach'!L27+'CRA-NW Progresso'!L25-E56,2)</f>
        <v>#REF!</v>
      </c>
      <c r="F59" s="565">
        <v>0</v>
      </c>
      <c r="G59" s="565">
        <v>0</v>
      </c>
      <c r="H59" s="565">
        <f>ROUND('Housing and Community Dev'!L26,2)</f>
        <v>0</v>
      </c>
      <c r="I59" s="458">
        <v>0</v>
      </c>
      <c r="J59" s="458">
        <v>0</v>
      </c>
      <c r="K59" s="458">
        <v>0</v>
      </c>
      <c r="L59" s="458">
        <v>0</v>
      </c>
      <c r="M59" s="458">
        <v>0</v>
      </c>
      <c r="N59" s="470">
        <v>0</v>
      </c>
      <c r="O59" s="461"/>
      <c r="P59" s="470">
        <v>0</v>
      </c>
      <c r="Q59" s="458"/>
      <c r="R59" s="470">
        <f>ROUND('Water and Sewer'!L27+'Central Region'!L26-R56,0)</f>
        <v>3841475</v>
      </c>
      <c r="S59" s="458"/>
      <c r="T59" s="470">
        <f>Stormwater!L26-T56</f>
        <v>-170178</v>
      </c>
      <c r="U59" s="458"/>
      <c r="V59" s="470">
        <f>ROUND('Parking System'!L27,0)-V56</f>
        <v>-362672</v>
      </c>
      <c r="W59" s="458"/>
      <c r="X59" s="470">
        <f>ROUND(Airport!L26-X56,0)</f>
        <v>482205</v>
      </c>
      <c r="Y59" s="461"/>
      <c r="Z59" s="461">
        <f>ROUNDDOWN(SUM('All Funds Sch A 2014 Page (1)'!D59:K59)+SUM('All Funds Sch A 2014 Page (2)'!L59:X59),0)</f>
        <v>11867864</v>
      </c>
      <c r="AA59" s="457"/>
      <c r="AB59" s="457">
        <f>SUM('All Funds Sch A 2014 Page (1)'!D59:K59)</f>
        <v>8077034</v>
      </c>
      <c r="AC59" s="457">
        <f t="shared" si="11"/>
        <v>-3790830</v>
      </c>
      <c r="AD59" s="454"/>
      <c r="AE59" s="454"/>
      <c r="AF59" s="454"/>
      <c r="AG59" s="454"/>
      <c r="AH59" s="454"/>
      <c r="AI59" s="454"/>
      <c r="AJ59" s="454"/>
      <c r="AK59" s="454"/>
      <c r="AL59" s="454"/>
    </row>
    <row r="60" spans="1:38" s="417" customFormat="1" ht="18" customHeight="1">
      <c r="A60" s="417" t="s">
        <v>587</v>
      </c>
      <c r="C60" s="417" t="s">
        <v>424</v>
      </c>
      <c r="D60" s="949">
        <f t="shared" ref="D60:K60" si="12">SUM(D56:D59)</f>
        <v>26954467.829999998</v>
      </c>
      <c r="E60" s="917" t="e">
        <f t="shared" si="12"/>
        <v>#REF!</v>
      </c>
      <c r="F60" s="917">
        <f t="shared" si="12"/>
        <v>0</v>
      </c>
      <c r="G60" s="917">
        <f t="shared" si="12"/>
        <v>0</v>
      </c>
      <c r="H60" s="917">
        <f t="shared" si="12"/>
        <v>0</v>
      </c>
      <c r="I60" s="463" t="e">
        <f t="shared" si="12"/>
        <v>#REF!</v>
      </c>
      <c r="J60" s="463">
        <f t="shared" si="12"/>
        <v>0</v>
      </c>
      <c r="K60" s="463">
        <f t="shared" si="12"/>
        <v>30229</v>
      </c>
      <c r="L60" s="463" t="e">
        <f>SUM(L53:L59)</f>
        <v>#REF!</v>
      </c>
      <c r="M60" s="1230">
        <f t="shared" ref="M60:Y60" si="13">SUM(M53:M59)</f>
        <v>1250259</v>
      </c>
      <c r="N60" s="1230">
        <f t="shared" si="13"/>
        <v>1160555</v>
      </c>
      <c r="O60" s="1230">
        <f t="shared" si="13"/>
        <v>0</v>
      </c>
      <c r="P60" s="1230" t="e">
        <f t="shared" si="13"/>
        <v>#REF!</v>
      </c>
      <c r="Q60" s="1230">
        <f t="shared" si="13"/>
        <v>0</v>
      </c>
      <c r="R60" s="1230">
        <f t="shared" si="13"/>
        <v>137985410</v>
      </c>
      <c r="S60" s="1230">
        <f t="shared" si="13"/>
        <v>0</v>
      </c>
      <c r="T60" s="1230">
        <f t="shared" si="13"/>
        <v>6029886</v>
      </c>
      <c r="U60" s="1230">
        <f t="shared" si="13"/>
        <v>0</v>
      </c>
      <c r="V60" s="1230">
        <f t="shared" si="13"/>
        <v>21750118</v>
      </c>
      <c r="W60" s="1230">
        <f t="shared" si="13"/>
        <v>0</v>
      </c>
      <c r="X60" s="1230">
        <f t="shared" si="13"/>
        <v>8551979.4600000009</v>
      </c>
      <c r="Y60" s="1230">
        <f t="shared" si="13"/>
        <v>0</v>
      </c>
      <c r="Z60" s="1230" t="e">
        <f>SUM(Z53:Z59)-1</f>
        <v>#REF!</v>
      </c>
      <c r="AA60" s="457"/>
      <c r="AB60" s="457" t="e">
        <f>SUM('All Funds Sch A 2014 Page (1)'!D60:K60)</f>
        <v>#REF!</v>
      </c>
      <c r="AC60" s="457" t="e">
        <f t="shared" si="11"/>
        <v>#REF!</v>
      </c>
      <c r="AD60" s="454"/>
      <c r="AE60" s="454"/>
      <c r="AF60" s="454"/>
      <c r="AG60" s="454"/>
      <c r="AH60" s="454"/>
      <c r="AI60" s="454"/>
      <c r="AJ60" s="454"/>
      <c r="AK60" s="454"/>
      <c r="AL60" s="454"/>
    </row>
    <row r="61" spans="1:38" s="417" customFormat="1" ht="18.75">
      <c r="D61" s="951"/>
      <c r="E61" s="565"/>
      <c r="F61" s="565"/>
      <c r="G61" s="565"/>
      <c r="H61" s="565"/>
      <c r="I61" s="458"/>
      <c r="J61" s="458"/>
      <c r="K61" s="458"/>
      <c r="L61" s="458"/>
      <c r="M61" s="458"/>
      <c r="N61" s="458"/>
      <c r="O61" s="461"/>
      <c r="P61" s="458"/>
      <c r="Q61" s="458"/>
      <c r="R61" s="458"/>
      <c r="S61" s="458"/>
      <c r="T61" s="458"/>
      <c r="U61" s="458"/>
      <c r="V61" s="458"/>
      <c r="W61" s="458"/>
      <c r="X61" s="458"/>
      <c r="Y61" s="461"/>
      <c r="Z61" s="461"/>
      <c r="AA61" s="457"/>
      <c r="AB61" s="457"/>
      <c r="AC61" s="454"/>
      <c r="AD61" s="454"/>
      <c r="AE61" s="454"/>
      <c r="AF61" s="454"/>
      <c r="AG61" s="454"/>
      <c r="AH61" s="454"/>
      <c r="AI61" s="454"/>
      <c r="AJ61" s="454"/>
      <c r="AK61" s="454"/>
      <c r="AL61" s="454"/>
    </row>
    <row r="62" spans="1:38" s="417" customFormat="1" ht="17.25" customHeight="1">
      <c r="A62" s="417" t="s">
        <v>466</v>
      </c>
      <c r="D62" s="951"/>
      <c r="E62" s="565"/>
      <c r="F62" s="565"/>
      <c r="G62" s="565"/>
      <c r="H62" s="565"/>
      <c r="I62" s="458"/>
      <c r="J62" s="458"/>
      <c r="K62" s="458"/>
      <c r="L62" s="458"/>
      <c r="M62" s="458"/>
      <c r="N62" s="458"/>
      <c r="O62" s="461"/>
      <c r="P62" s="458"/>
      <c r="Q62" s="458"/>
      <c r="R62" s="458"/>
      <c r="S62" s="458"/>
      <c r="T62" s="458"/>
      <c r="U62" s="458"/>
      <c r="V62" s="458"/>
      <c r="W62" s="458"/>
      <c r="X62" s="458"/>
      <c r="Y62" s="461"/>
      <c r="Z62" s="461"/>
      <c r="AA62" s="457"/>
      <c r="AB62" s="457"/>
      <c r="AC62" s="454"/>
      <c r="AD62" s="454"/>
      <c r="AE62" s="454"/>
      <c r="AF62" s="454"/>
      <c r="AG62" s="454"/>
      <c r="AH62" s="454"/>
      <c r="AI62" s="454"/>
      <c r="AJ62" s="454"/>
      <c r="AK62" s="454"/>
      <c r="AL62" s="454"/>
    </row>
    <row r="63" spans="1:38" s="417" customFormat="1" ht="18" customHeight="1">
      <c r="A63" s="417" t="s">
        <v>36</v>
      </c>
      <c r="D63" s="565">
        <f>ROUND('001 General Fund'!K53,2)</f>
        <v>54350613</v>
      </c>
      <c r="E63" s="565">
        <f>ROUND('CRA-NW Progresso'!L32,2)</f>
        <v>0</v>
      </c>
      <c r="F63" s="565">
        <f>ROUND('Sunrise Key'!L24,2)</f>
        <v>99940.17</v>
      </c>
      <c r="G63" s="565">
        <f>ROUND('Beach Bus Improv District'!L25,2)</f>
        <v>404874</v>
      </c>
      <c r="H63" s="565">
        <v>0</v>
      </c>
      <c r="I63" s="458" t="e">
        <f>ROUND(#REF!+#REF!+#REF!,2)</f>
        <v>#REF!</v>
      </c>
      <c r="J63" s="458">
        <v>0</v>
      </c>
      <c r="K63" s="458">
        <f>ROUND(Police!L31+'Drug Enforcement Agency'!L30,2)</f>
        <v>610487</v>
      </c>
      <c r="L63" s="458">
        <v>0</v>
      </c>
      <c r="M63" s="458">
        <v>0</v>
      </c>
      <c r="N63" s="458">
        <v>0</v>
      </c>
      <c r="O63" s="461"/>
      <c r="P63" s="458">
        <f>ROUND(Sanitation!L31,0)</f>
        <v>0</v>
      </c>
      <c r="Q63" s="458"/>
      <c r="R63" s="458">
        <f>ROUND('Water and Sewer'!L33+'Central Region'!L32,0)</f>
        <v>0</v>
      </c>
      <c r="S63" s="458"/>
      <c r="T63" s="458">
        <f>ROUND(Stormwater!L32,0)</f>
        <v>13107307</v>
      </c>
      <c r="U63" s="458"/>
      <c r="V63" s="458">
        <f>ROUND('Parking System'!L33,0)</f>
        <v>3533102</v>
      </c>
      <c r="W63" s="458"/>
      <c r="X63" s="460">
        <v>0</v>
      </c>
      <c r="Y63" s="461"/>
      <c r="Z63" s="461" t="e">
        <f>ROUND(SUM('All Funds Sch A 2014 Page (1)'!D63:K63)+SUM('All Funds Sch A 2014 Page (2)'!L63:X63),0)</f>
        <v>#REF!</v>
      </c>
      <c r="AA63" s="457">
        <f>'All Funds Summary1'!K51</f>
        <v>99563821</v>
      </c>
      <c r="AB63" s="457" t="e">
        <f>SUM('All Funds Sch A 2014 Page (1)'!D63:K63)</f>
        <v>#REF!</v>
      </c>
      <c r="AC63" s="457" t="e">
        <f t="shared" ref="AC63:AC67" si="14">SUM(AA63:AB63)-Z63</f>
        <v>#REF!</v>
      </c>
      <c r="AD63" s="454"/>
      <c r="AE63" s="454"/>
      <c r="AF63" s="454"/>
      <c r="AG63" s="454"/>
      <c r="AH63" s="454"/>
      <c r="AI63" s="454"/>
      <c r="AJ63" s="454"/>
      <c r="AK63" s="454"/>
      <c r="AL63" s="454"/>
    </row>
    <row r="64" spans="1:38" s="417" customFormat="1" ht="18" customHeight="1">
      <c r="A64" s="417" t="s">
        <v>782</v>
      </c>
      <c r="D64" s="565">
        <f>ROUND('001 General Fund'!K52-D65,2)</f>
        <v>-3111321</v>
      </c>
      <c r="E64" s="565">
        <v>0</v>
      </c>
      <c r="F64" s="565">
        <v>0</v>
      </c>
      <c r="G64" s="565">
        <v>0</v>
      </c>
      <c r="H64" s="565">
        <v>0</v>
      </c>
      <c r="I64" s="458">
        <v>0</v>
      </c>
      <c r="J64" s="458">
        <v>0</v>
      </c>
      <c r="K64" s="458">
        <v>0</v>
      </c>
      <c r="L64" s="458">
        <v>0</v>
      </c>
      <c r="M64" s="458">
        <v>0</v>
      </c>
      <c r="N64" s="458">
        <f>0</f>
        <v>0</v>
      </c>
      <c r="O64" s="458">
        <f>0</f>
        <v>0</v>
      </c>
      <c r="P64" s="458">
        <f>0</f>
        <v>0</v>
      </c>
      <c r="Q64" s="458">
        <f>0</f>
        <v>0</v>
      </c>
      <c r="R64" s="458">
        <f>0</f>
        <v>0</v>
      </c>
      <c r="S64" s="458">
        <f>0</f>
        <v>0</v>
      </c>
      <c r="T64" s="458">
        <f>0</f>
        <v>0</v>
      </c>
      <c r="U64" s="458">
        <f>0</f>
        <v>0</v>
      </c>
      <c r="V64" s="458">
        <f>0</f>
        <v>0</v>
      </c>
      <c r="W64" s="458">
        <f>0</f>
        <v>0</v>
      </c>
      <c r="X64" s="458">
        <f>0</f>
        <v>0</v>
      </c>
      <c r="Y64" s="458">
        <f>0</f>
        <v>0</v>
      </c>
      <c r="Z64" s="461">
        <f>ROUND(SUM('All Funds Sch A 2014 Page (1)'!D64:K64)+SUM('All Funds Sch A 2014 Page (2)'!L64:X64),0)</f>
        <v>4457240</v>
      </c>
      <c r="AA64" s="457">
        <f>'All Funds Summary1'!K53</f>
        <v>4457240</v>
      </c>
      <c r="AB64" s="457">
        <f>SUM('All Funds Sch A 2014 Page (1)'!D64:K64)</f>
        <v>4457240</v>
      </c>
      <c r="AC64" s="457">
        <f>SUM(AA64:AB64)-Z64</f>
        <v>4457240</v>
      </c>
      <c r="AD64" s="454"/>
      <c r="AE64" s="454"/>
      <c r="AF64" s="454"/>
      <c r="AG64" s="454"/>
      <c r="AH64" s="454"/>
      <c r="AI64" s="454"/>
      <c r="AJ64" s="454"/>
      <c r="AK64" s="454"/>
      <c r="AL64" s="454"/>
    </row>
    <row r="65" spans="1:38" s="417" customFormat="1" ht="18" customHeight="1">
      <c r="A65" s="417" t="s">
        <v>690</v>
      </c>
      <c r="D65" s="565">
        <f>ROUND('Budget Balancing I&amp;O'!J36,2)</f>
        <v>4000000</v>
      </c>
      <c r="E65" s="565">
        <v>0</v>
      </c>
      <c r="F65" s="565">
        <v>0</v>
      </c>
      <c r="G65" s="565">
        <v>0</v>
      </c>
      <c r="H65" s="565">
        <v>0</v>
      </c>
      <c r="I65" s="458">
        <v>0</v>
      </c>
      <c r="J65" s="458">
        <v>0</v>
      </c>
      <c r="K65" s="458">
        <v>0</v>
      </c>
      <c r="L65" s="458">
        <v>0</v>
      </c>
      <c r="M65" s="458">
        <v>0</v>
      </c>
      <c r="N65" s="458">
        <v>0</v>
      </c>
      <c r="O65" s="458"/>
      <c r="P65" s="458">
        <v>0</v>
      </c>
      <c r="Q65" s="458"/>
      <c r="R65" s="458">
        <v>0</v>
      </c>
      <c r="S65" s="458"/>
      <c r="T65" s="458">
        <v>0</v>
      </c>
      <c r="U65" s="458"/>
      <c r="V65" s="458">
        <v>0</v>
      </c>
      <c r="W65" s="458"/>
      <c r="X65" s="458">
        <v>0</v>
      </c>
      <c r="Y65" s="458"/>
      <c r="Z65" s="461">
        <f>ROUND(SUM('All Funds Sch A 2014 Page (1)'!D65:K65)+SUM('All Funds Sch A 2014 Page (2)'!L65:X65),0)</f>
        <v>6000000</v>
      </c>
      <c r="AA65" s="457">
        <f>'All Funds Summary1'!K54</f>
        <v>6000000</v>
      </c>
      <c r="AB65" s="457">
        <f>SUM('All Funds Sch A 2014 Page (1)'!D65:K65)</f>
        <v>6000000</v>
      </c>
      <c r="AC65" s="457">
        <f>SUM(AA65:AB65)-Z65</f>
        <v>6000000</v>
      </c>
      <c r="AD65" s="454"/>
      <c r="AE65" s="454"/>
      <c r="AF65" s="454"/>
      <c r="AG65" s="454"/>
      <c r="AH65" s="454"/>
      <c r="AI65" s="454"/>
      <c r="AJ65" s="454"/>
      <c r="AK65" s="454"/>
      <c r="AL65" s="454"/>
    </row>
    <row r="66" spans="1:38" s="417" customFormat="1" ht="18" customHeight="1">
      <c r="A66" s="417" t="s">
        <v>29</v>
      </c>
      <c r="D66" s="926">
        <v>0</v>
      </c>
      <c r="E66" s="926">
        <v>0</v>
      </c>
      <c r="F66" s="565">
        <v>0</v>
      </c>
      <c r="G66" s="565">
        <v>0</v>
      </c>
      <c r="H66" s="565">
        <v>0</v>
      </c>
      <c r="I66" s="458" t="e">
        <f>ROUND(#REF!+#REF!+#REF!,2)</f>
        <v>#REF!</v>
      </c>
      <c r="J66" s="458">
        <v>0</v>
      </c>
      <c r="K66" s="458">
        <v>0</v>
      </c>
      <c r="L66" s="470" t="e">
        <f>ROUND(#REF!+#REF!+#REF!+#REF!+#REF!+#REF!+#REF!+#REF!+#REF!,0)</f>
        <v>#REF!</v>
      </c>
      <c r="M66" s="458">
        <f>ROUND(Cemtery!L25,0)</f>
        <v>24879487</v>
      </c>
      <c r="N66" s="470">
        <v>0</v>
      </c>
      <c r="O66" s="461"/>
      <c r="P66" s="458">
        <f>ROUND(Sanitation!L30,0)</f>
        <v>2310762</v>
      </c>
      <c r="Q66" s="458"/>
      <c r="R66" s="470">
        <f>ROUND('Water and Sewer'!L32+'Central Region'!L31,0)</f>
        <v>47374438</v>
      </c>
      <c r="S66" s="458"/>
      <c r="T66" s="470">
        <f>ROUND(Stormwater!L31,0)</f>
        <v>1015642</v>
      </c>
      <c r="U66" s="458"/>
      <c r="V66" s="458">
        <f>ROUND('Parking System'!L32,0)</f>
        <v>3778896</v>
      </c>
      <c r="W66" s="458"/>
      <c r="X66" s="470">
        <f>Airport!L31</f>
        <v>13024398</v>
      </c>
      <c r="Y66" s="461"/>
      <c r="Z66" s="461" t="e">
        <f>ROUND(SUM('All Funds Sch A 2014 Page (1)'!D66:K66)+SUM('All Funds Sch A 2014 Page (2)'!L66:X66),0)</f>
        <v>#REF!</v>
      </c>
      <c r="AA66" s="457">
        <f>'All Funds Summary1'!K56</f>
        <v>117264334</v>
      </c>
      <c r="AB66" s="457" t="e">
        <f>SUM('All Funds Sch A 2014 Page (1)'!D66:K66)</f>
        <v>#REF!</v>
      </c>
      <c r="AC66" s="457" t="e">
        <f t="shared" si="14"/>
        <v>#REF!</v>
      </c>
      <c r="AD66" s="454"/>
      <c r="AE66" s="454"/>
      <c r="AF66" s="454"/>
      <c r="AG66" s="454"/>
      <c r="AH66" s="454"/>
      <c r="AI66" s="454"/>
      <c r="AJ66" s="454"/>
      <c r="AK66" s="454"/>
      <c r="AL66" s="454"/>
    </row>
    <row r="67" spans="1:38" s="417" customFormat="1" ht="18" customHeight="1">
      <c r="A67" s="417" t="s">
        <v>468</v>
      </c>
      <c r="C67" s="417" t="s">
        <v>424</v>
      </c>
      <c r="D67" s="949">
        <f>SUM(D63:D66)</f>
        <v>55239292</v>
      </c>
      <c r="E67" s="917">
        <f t="shared" ref="E67:L67" si="15">SUM(E63:E66)</f>
        <v>0</v>
      </c>
      <c r="F67" s="917">
        <f t="shared" si="15"/>
        <v>99940.17</v>
      </c>
      <c r="G67" s="917">
        <f t="shared" si="15"/>
        <v>404874</v>
      </c>
      <c r="H67" s="917">
        <f t="shared" si="15"/>
        <v>0</v>
      </c>
      <c r="I67" s="463" t="e">
        <f t="shared" si="15"/>
        <v>#REF!</v>
      </c>
      <c r="J67" s="463">
        <f t="shared" si="15"/>
        <v>0</v>
      </c>
      <c r="K67" s="463">
        <f t="shared" si="15"/>
        <v>610487</v>
      </c>
      <c r="L67" s="463" t="e">
        <f t="shared" si="15"/>
        <v>#REF!</v>
      </c>
      <c r="M67" s="463">
        <f>SUM(M63:M66)</f>
        <v>24879487</v>
      </c>
      <c r="N67" s="463">
        <f>SUM(N63:N66)</f>
        <v>0</v>
      </c>
      <c r="O67" s="461"/>
      <c r="P67" s="463">
        <f>SUM(P63:P66)</f>
        <v>2310762</v>
      </c>
      <c r="Q67" s="458"/>
      <c r="R67" s="463">
        <f>SUM(R63:R66)</f>
        <v>47374438</v>
      </c>
      <c r="S67" s="458"/>
      <c r="T67" s="463">
        <f>SUM(T63:T66)</f>
        <v>14122949</v>
      </c>
      <c r="U67" s="458"/>
      <c r="V67" s="463">
        <f>SUM(V63:V66)</f>
        <v>7311998</v>
      </c>
      <c r="W67" s="458"/>
      <c r="X67" s="463">
        <f>SUM(X63:X66)</f>
        <v>13024398</v>
      </c>
      <c r="Y67" s="461"/>
      <c r="Z67" s="464" t="e">
        <f>SUM(Z63:Z66)</f>
        <v>#REF!</v>
      </c>
      <c r="AA67" s="457">
        <f>SUM(AA63:AA66)</f>
        <v>227285395</v>
      </c>
      <c r="AB67" s="457" t="e">
        <f>SUM('All Funds Sch A 2014 Page (1)'!D67:K67)</f>
        <v>#REF!</v>
      </c>
      <c r="AC67" s="457" t="e">
        <f t="shared" si="14"/>
        <v>#REF!</v>
      </c>
      <c r="AD67" s="454"/>
      <c r="AE67" s="454"/>
      <c r="AF67" s="454"/>
      <c r="AG67" s="454"/>
      <c r="AH67" s="454"/>
      <c r="AI67" s="454"/>
      <c r="AJ67" s="454"/>
      <c r="AK67" s="454"/>
      <c r="AL67" s="454"/>
    </row>
    <row r="68" spans="1:38" s="417" customFormat="1" ht="8.25" customHeight="1">
      <c r="D68" s="953"/>
      <c r="E68" s="927"/>
      <c r="F68" s="927"/>
      <c r="G68" s="927"/>
      <c r="H68" s="927"/>
      <c r="I68" s="461"/>
      <c r="J68" s="461"/>
      <c r="K68" s="461"/>
      <c r="L68" s="461"/>
      <c r="M68" s="461"/>
      <c r="N68" s="461"/>
      <c r="O68" s="461"/>
      <c r="P68" s="461"/>
      <c r="Q68" s="461"/>
      <c r="R68" s="461"/>
      <c r="S68" s="461"/>
      <c r="T68" s="461"/>
      <c r="U68" s="461"/>
      <c r="V68" s="461"/>
      <c r="W68" s="461"/>
      <c r="X68" s="461"/>
      <c r="Y68" s="461"/>
      <c r="Z68" s="467"/>
      <c r="AA68" s="457"/>
      <c r="AB68" s="457"/>
      <c r="AC68" s="454"/>
      <c r="AD68" s="454"/>
      <c r="AE68" s="454"/>
      <c r="AF68" s="454"/>
      <c r="AG68" s="454"/>
      <c r="AH68" s="454"/>
      <c r="AI68" s="454"/>
      <c r="AJ68" s="454"/>
      <c r="AK68" s="454"/>
      <c r="AL68" s="454"/>
    </row>
    <row r="69" spans="1:38" s="417" customFormat="1" ht="21.95" customHeight="1" thickBot="1">
      <c r="A69" s="476" t="s">
        <v>25</v>
      </c>
      <c r="B69" s="449"/>
      <c r="C69" s="417" t="s">
        <v>424</v>
      </c>
      <c r="D69" s="920" t="e">
        <f>D53+D60+D67</f>
        <v>#REF!</v>
      </c>
      <c r="E69" s="920" t="e">
        <f>E53+E60+E67</f>
        <v>#REF!</v>
      </c>
      <c r="F69" s="920">
        <f t="shared" ref="F69:J69" si="16">F53+F60+F67</f>
        <v>180248.47</v>
      </c>
      <c r="G69" s="920">
        <f t="shared" si="16"/>
        <v>1103981</v>
      </c>
      <c r="H69" s="920">
        <f t="shared" si="16"/>
        <v>9371773</v>
      </c>
      <c r="I69" s="480" t="e">
        <f t="shared" si="16"/>
        <v>#REF!</v>
      </c>
      <c r="J69" s="480">
        <f t="shared" si="16"/>
        <v>893012</v>
      </c>
      <c r="K69" s="480">
        <f>K53+K60+K67</f>
        <v>1999972</v>
      </c>
      <c r="L69" s="482" t="e">
        <f>+L60+L67</f>
        <v>#REF!</v>
      </c>
      <c r="M69" s="1238">
        <f t="shared" ref="M69:Z69" si="17">+M60+M67</f>
        <v>26129746</v>
      </c>
      <c r="N69" s="1238">
        <f t="shared" si="17"/>
        <v>1160555</v>
      </c>
      <c r="O69" s="1238">
        <f t="shared" si="17"/>
        <v>0</v>
      </c>
      <c r="P69" s="1238" t="e">
        <f t="shared" si="17"/>
        <v>#REF!</v>
      </c>
      <c r="Q69" s="1238">
        <f t="shared" si="17"/>
        <v>0</v>
      </c>
      <c r="R69" s="1238">
        <f t="shared" si="17"/>
        <v>185359848</v>
      </c>
      <c r="S69" s="1238">
        <f t="shared" si="17"/>
        <v>0</v>
      </c>
      <c r="T69" s="1238">
        <f t="shared" si="17"/>
        <v>20152835</v>
      </c>
      <c r="U69" s="1238">
        <f t="shared" si="17"/>
        <v>0</v>
      </c>
      <c r="V69" s="1238">
        <f t="shared" si="17"/>
        <v>29062116</v>
      </c>
      <c r="W69" s="1238">
        <f t="shared" si="17"/>
        <v>0</v>
      </c>
      <c r="X69" s="1238">
        <f t="shared" si="17"/>
        <v>21576377.460000001</v>
      </c>
      <c r="Y69" s="1238">
        <f t="shared" si="17"/>
        <v>0</v>
      </c>
      <c r="Z69" s="1238" t="e">
        <f t="shared" si="17"/>
        <v>#REF!</v>
      </c>
      <c r="AA69" s="457"/>
      <c r="AB69" s="457" t="e">
        <f>SUM('All Funds Sch A 2014 Page (1)'!D69:K69)</f>
        <v>#REF!</v>
      </c>
      <c r="AC69" s="457" t="e">
        <f t="shared" ref="AC69" si="18">SUM(AA69:AB69)-Z69</f>
        <v>#REF!</v>
      </c>
      <c r="AD69" s="454"/>
      <c r="AE69" s="454"/>
      <c r="AF69" s="454"/>
      <c r="AG69" s="454"/>
      <c r="AH69" s="454"/>
      <c r="AI69" s="454"/>
      <c r="AJ69" s="454"/>
      <c r="AK69" s="454"/>
      <c r="AL69" s="454"/>
    </row>
    <row r="70" spans="1:38" s="417" customFormat="1" ht="21.95" customHeight="1" thickTop="1">
      <c r="A70" s="476"/>
      <c r="B70" s="449"/>
      <c r="D70" s="918"/>
      <c r="E70" s="918"/>
      <c r="F70" s="918"/>
      <c r="G70" s="918"/>
      <c r="H70" s="918"/>
      <c r="I70" s="467"/>
      <c r="J70" s="467"/>
      <c r="K70" s="467"/>
      <c r="L70" s="483"/>
      <c r="M70" s="483"/>
      <c r="N70" s="483"/>
      <c r="O70" s="483"/>
      <c r="P70" s="483"/>
      <c r="Q70" s="483"/>
      <c r="R70" s="483"/>
      <c r="S70" s="483"/>
      <c r="T70" s="483"/>
      <c r="U70" s="483"/>
      <c r="V70" s="483"/>
      <c r="W70" s="483"/>
      <c r="X70" s="483"/>
      <c r="Y70" s="483"/>
      <c r="Z70" s="483"/>
      <c r="AA70" s="364"/>
      <c r="AB70" s="457" t="e">
        <f>Z69-'All Funds Sch A 2013 Page -1'!X85</f>
        <v>#REF!</v>
      </c>
      <c r="AC70" s="454"/>
      <c r="AD70" s="454"/>
      <c r="AE70" s="454"/>
      <c r="AF70" s="454"/>
      <c r="AG70" s="454"/>
      <c r="AH70" s="454"/>
      <c r="AI70" s="454"/>
      <c r="AJ70" s="454"/>
      <c r="AK70" s="454"/>
      <c r="AL70" s="454"/>
    </row>
    <row r="71" spans="1:38" ht="21" customHeight="1">
      <c r="A71" s="356"/>
      <c r="B71" s="356"/>
      <c r="C71" s="356"/>
      <c r="D71" s="954" t="e">
        <f>ROUND(D69-'001 General Fund'!K56,2)</f>
        <v>#REF!</v>
      </c>
      <c r="E71" s="937"/>
      <c r="F71" s="937"/>
      <c r="G71" s="937"/>
      <c r="H71" s="937"/>
      <c r="I71" s="375"/>
      <c r="J71" s="375"/>
      <c r="K71" s="375"/>
      <c r="L71" s="375"/>
      <c r="M71" s="375"/>
      <c r="N71" s="375"/>
      <c r="O71" s="375"/>
      <c r="P71" s="375"/>
      <c r="Q71" s="375"/>
      <c r="R71" s="375"/>
      <c r="S71" s="375"/>
      <c r="T71" s="375"/>
      <c r="U71" s="375"/>
      <c r="V71" s="375"/>
      <c r="W71" s="375"/>
      <c r="X71" s="375"/>
      <c r="Y71" s="375"/>
      <c r="Z71" s="375"/>
    </row>
    <row r="72" spans="1:38" ht="9.9499999999999993" customHeight="1">
      <c r="A72" s="356"/>
      <c r="B72" s="356"/>
      <c r="C72" s="356"/>
      <c r="D72" s="954"/>
      <c r="E72" s="937"/>
      <c r="F72" s="937"/>
      <c r="G72" s="937"/>
      <c r="H72" s="937"/>
      <c r="I72" s="375"/>
      <c r="J72" s="375"/>
      <c r="K72" s="375"/>
      <c r="L72" s="375"/>
      <c r="M72" s="375"/>
      <c r="N72" s="375"/>
      <c r="O72" s="375"/>
      <c r="P72" s="375"/>
      <c r="Q72" s="375"/>
      <c r="R72" s="375"/>
      <c r="S72" s="375"/>
      <c r="T72" s="375"/>
      <c r="U72" s="375"/>
      <c r="V72" s="375"/>
      <c r="W72" s="375"/>
      <c r="X72" s="375"/>
      <c r="Y72" s="375"/>
      <c r="Z72" s="375"/>
    </row>
    <row r="73" spans="1:38" s="903" customFormat="1" ht="15.75">
      <c r="A73" s="1110" t="s">
        <v>469</v>
      </c>
      <c r="B73" s="1110"/>
      <c r="C73" s="1110"/>
      <c r="D73" s="1111" t="e">
        <f t="shared" ref="D73:Z73" si="19">D33-D69</f>
        <v>#REF!</v>
      </c>
      <c r="E73" s="1112" t="e">
        <f t="shared" si="19"/>
        <v>#REF!</v>
      </c>
      <c r="F73" s="1112">
        <f t="shared" si="19"/>
        <v>-0.47000000000116415</v>
      </c>
      <c r="G73" s="1112">
        <f t="shared" si="19"/>
        <v>0</v>
      </c>
      <c r="H73" s="1112">
        <f t="shared" si="19"/>
        <v>38123</v>
      </c>
      <c r="I73" s="1113" t="e">
        <f t="shared" si="19"/>
        <v>#REF!</v>
      </c>
      <c r="J73" s="1113">
        <f t="shared" si="19"/>
        <v>-20412</v>
      </c>
      <c r="K73" s="1113">
        <f t="shared" si="19"/>
        <v>-320252</v>
      </c>
      <c r="L73" s="1113" t="e">
        <f t="shared" si="19"/>
        <v>#REF!</v>
      </c>
      <c r="M73" s="1113">
        <f t="shared" si="19"/>
        <v>0</v>
      </c>
      <c r="N73" s="1113">
        <f t="shared" si="19"/>
        <v>-4560</v>
      </c>
      <c r="O73" s="1113">
        <f t="shared" si="19"/>
        <v>0</v>
      </c>
      <c r="P73" s="1172" t="e">
        <f t="shared" si="19"/>
        <v>#REF!</v>
      </c>
      <c r="Q73" s="1113">
        <f t="shared" si="19"/>
        <v>0</v>
      </c>
      <c r="R73" s="1113">
        <f t="shared" si="19"/>
        <v>1</v>
      </c>
      <c r="S73" s="1114">
        <f t="shared" si="19"/>
        <v>0</v>
      </c>
      <c r="T73" s="1113">
        <f t="shared" si="19"/>
        <v>-7769216</v>
      </c>
      <c r="U73" s="1114">
        <f t="shared" si="19"/>
        <v>0</v>
      </c>
      <c r="V73" s="1114">
        <f t="shared" si="19"/>
        <v>0</v>
      </c>
      <c r="W73" s="1114">
        <f t="shared" si="19"/>
        <v>0</v>
      </c>
      <c r="X73" s="1114">
        <f t="shared" si="19"/>
        <v>-0.46000000089406967</v>
      </c>
      <c r="Y73" s="1114">
        <f t="shared" si="19"/>
        <v>0</v>
      </c>
      <c r="Z73" s="1113" t="e">
        <f t="shared" si="19"/>
        <v>#REF!</v>
      </c>
      <c r="AA73" s="1177"/>
      <c r="AB73" s="1178"/>
      <c r="AC73" s="904"/>
      <c r="AD73" s="904"/>
      <c r="AE73" s="904"/>
      <c r="AF73" s="904"/>
      <c r="AG73" s="904"/>
      <c r="AH73" s="904"/>
      <c r="AI73" s="904"/>
      <c r="AJ73" s="904"/>
      <c r="AK73" s="904"/>
      <c r="AL73" s="904"/>
    </row>
    <row r="74" spans="1:38">
      <c r="D74" s="905" t="e">
        <f>D63/D53</f>
        <v>#REF!</v>
      </c>
      <c r="E74" s="912" t="s">
        <v>58</v>
      </c>
      <c r="F74" s="943" t="s">
        <v>58</v>
      </c>
      <c r="I74" s="389" t="s">
        <v>58</v>
      </c>
      <c r="J74" s="389"/>
      <c r="K74" s="389"/>
      <c r="L74" s="389" t="s">
        <v>58</v>
      </c>
      <c r="O74" s="389"/>
      <c r="P74" s="1173" t="s">
        <v>814</v>
      </c>
      <c r="Q74" s="389"/>
      <c r="R74" s="389"/>
      <c r="S74" s="389"/>
      <c r="U74" s="389"/>
      <c r="V74" s="389"/>
      <c r="W74" s="389"/>
      <c r="X74" s="389"/>
      <c r="Y74" s="389"/>
    </row>
    <row r="75" spans="1:38">
      <c r="D75" s="956" t="s">
        <v>58</v>
      </c>
      <c r="I75" s="389"/>
      <c r="J75" s="389"/>
      <c r="K75" s="389"/>
      <c r="O75" s="389"/>
      <c r="P75" s="1173" t="s">
        <v>815</v>
      </c>
      <c r="Q75" s="389"/>
      <c r="R75" s="389"/>
      <c r="S75" s="389"/>
      <c r="U75" s="389"/>
      <c r="V75" s="389"/>
      <c r="W75" s="389"/>
      <c r="X75" s="389"/>
      <c r="Y75" s="389"/>
    </row>
    <row r="76" spans="1:38">
      <c r="I76" s="389"/>
      <c r="J76" s="389"/>
      <c r="K76" s="389"/>
      <c r="O76" s="389"/>
      <c r="P76" s="971">
        <v>28029</v>
      </c>
      <c r="Q76" s="389"/>
      <c r="R76" s="389"/>
      <c r="S76" s="389"/>
      <c r="U76" s="389"/>
      <c r="V76" s="389"/>
      <c r="W76" s="389"/>
      <c r="X76" s="389"/>
      <c r="Y76" s="389"/>
    </row>
    <row r="77" spans="1:38">
      <c r="D77" s="956" t="s">
        <v>58</v>
      </c>
      <c r="E77" s="912" t="s">
        <v>58</v>
      </c>
      <c r="I77" s="389"/>
      <c r="J77" s="389"/>
      <c r="K77" s="389"/>
      <c r="O77" s="389"/>
      <c r="P77" s="971">
        <v>5188</v>
      </c>
      <c r="Q77" s="389"/>
      <c r="R77" s="389"/>
      <c r="S77" s="389"/>
      <c r="U77" s="389"/>
      <c r="V77" s="389"/>
      <c r="W77" s="389"/>
      <c r="X77" s="389"/>
      <c r="Y77" s="389"/>
    </row>
    <row r="78" spans="1:38">
      <c r="D78" s="922" t="s">
        <v>58</v>
      </c>
      <c r="I78" s="389"/>
      <c r="J78" s="389"/>
      <c r="K78" s="389"/>
      <c r="O78" s="389"/>
      <c r="P78" s="389"/>
      <c r="Q78" s="389"/>
      <c r="R78" s="389"/>
      <c r="S78" s="389"/>
      <c r="U78" s="389"/>
      <c r="V78" s="389"/>
      <c r="W78" s="389"/>
      <c r="X78" s="389"/>
      <c r="Y78" s="389"/>
    </row>
    <row r="79" spans="1:38">
      <c r="D79" s="922" t="s">
        <v>58</v>
      </c>
      <c r="I79" s="389"/>
      <c r="J79" s="389"/>
      <c r="K79" s="389"/>
      <c r="O79" s="389"/>
      <c r="P79" s="389"/>
      <c r="Q79" s="389"/>
      <c r="R79" s="389"/>
      <c r="S79" s="389"/>
      <c r="U79" s="389"/>
      <c r="V79" s="389"/>
      <c r="W79" s="389"/>
      <c r="X79" s="389"/>
      <c r="Y79" s="389"/>
    </row>
    <row r="80" spans="1:38">
      <c r="E80" s="912" t="s">
        <v>58</v>
      </c>
      <c r="I80" s="389"/>
      <c r="J80" s="389"/>
      <c r="K80" s="389"/>
      <c r="O80" s="389"/>
      <c r="P80" s="389"/>
      <c r="Q80" s="389"/>
      <c r="R80" s="389"/>
      <c r="S80" s="389"/>
      <c r="U80" s="389"/>
      <c r="V80" s="389"/>
      <c r="W80" s="389"/>
      <c r="X80" s="389"/>
      <c r="Y80" s="389"/>
    </row>
    <row r="81" spans="1:38" s="417" customFormat="1" ht="21.95" customHeight="1" thickBot="1">
      <c r="A81" s="476" t="s">
        <v>783</v>
      </c>
      <c r="B81" s="449"/>
      <c r="C81" s="417" t="s">
        <v>424</v>
      </c>
      <c r="D81" s="920">
        <v>315782855.67000002</v>
      </c>
      <c r="E81" s="920">
        <v>10992300</v>
      </c>
      <c r="F81" s="920">
        <v>151173</v>
      </c>
      <c r="G81" s="920">
        <v>706126</v>
      </c>
      <c r="H81" s="920">
        <v>11732668</v>
      </c>
      <c r="I81" s="480">
        <v>19111205</v>
      </c>
      <c r="J81" s="480"/>
      <c r="K81" s="480"/>
      <c r="L81" s="482">
        <v>23730421.23</v>
      </c>
      <c r="M81" s="482">
        <v>21517625</v>
      </c>
      <c r="N81" s="480">
        <v>1451345</v>
      </c>
      <c r="O81" s="461"/>
      <c r="P81" s="480">
        <v>22591218.84</v>
      </c>
      <c r="Q81" s="481"/>
      <c r="R81" s="480">
        <v>205174442.10000002</v>
      </c>
      <c r="S81" s="481"/>
      <c r="T81" s="480">
        <v>17825915.34</v>
      </c>
      <c r="U81" s="481"/>
      <c r="V81" s="480">
        <v>25092661.59</v>
      </c>
      <c r="W81" s="481"/>
      <c r="X81" s="480">
        <v>19374455.009999998</v>
      </c>
      <c r="Y81" s="481"/>
      <c r="Z81" s="480">
        <v>695234411.77999997</v>
      </c>
      <c r="AA81" s="457"/>
      <c r="AB81" s="457"/>
      <c r="AC81" s="454"/>
      <c r="AD81" s="454"/>
      <c r="AE81" s="454"/>
      <c r="AF81" s="454"/>
      <c r="AG81" s="454"/>
      <c r="AH81" s="454"/>
      <c r="AI81" s="454"/>
      <c r="AJ81" s="454"/>
      <c r="AK81" s="454"/>
      <c r="AL81" s="454"/>
    </row>
    <row r="82" spans="1:38" ht="13.5" thickTop="1">
      <c r="D82" s="922" t="e">
        <f>D69-D81</f>
        <v>#REF!</v>
      </c>
      <c r="E82" s="922" t="e">
        <f t="shared" ref="E82:Z82" si="20">E69-E81</f>
        <v>#REF!</v>
      </c>
      <c r="F82" s="922">
        <f t="shared" si="20"/>
        <v>29075.47</v>
      </c>
      <c r="G82" s="922">
        <f t="shared" si="20"/>
        <v>397855</v>
      </c>
      <c r="H82" s="922">
        <f t="shared" si="20"/>
        <v>-2360895</v>
      </c>
      <c r="I82" s="377" t="e">
        <f t="shared" si="20"/>
        <v>#REF!</v>
      </c>
      <c r="J82" s="377">
        <f t="shared" si="20"/>
        <v>893012</v>
      </c>
      <c r="K82" s="377">
        <f t="shared" si="20"/>
        <v>1999972</v>
      </c>
      <c r="L82" s="377" t="e">
        <f t="shared" si="20"/>
        <v>#REF!</v>
      </c>
      <c r="M82" s="377">
        <f t="shared" si="20"/>
        <v>4612121</v>
      </c>
      <c r="N82" s="377">
        <f t="shared" si="20"/>
        <v>-290790</v>
      </c>
      <c r="O82" s="377">
        <f t="shared" si="20"/>
        <v>0</v>
      </c>
      <c r="P82" s="377" t="e">
        <f t="shared" si="20"/>
        <v>#REF!</v>
      </c>
      <c r="Q82" s="377">
        <f t="shared" si="20"/>
        <v>0</v>
      </c>
      <c r="R82" s="377">
        <f t="shared" si="20"/>
        <v>-19814594.100000024</v>
      </c>
      <c r="S82" s="377">
        <f t="shared" si="20"/>
        <v>0</v>
      </c>
      <c r="T82" s="377">
        <f t="shared" si="20"/>
        <v>2326919.66</v>
      </c>
      <c r="U82" s="377">
        <f t="shared" si="20"/>
        <v>0</v>
      </c>
      <c r="V82" s="377">
        <f t="shared" si="20"/>
        <v>3969454.41</v>
      </c>
      <c r="W82" s="377">
        <f t="shared" si="20"/>
        <v>0</v>
      </c>
      <c r="X82" s="377">
        <f t="shared" si="20"/>
        <v>2201922.450000003</v>
      </c>
      <c r="Y82" s="377">
        <f t="shared" si="20"/>
        <v>0</v>
      </c>
      <c r="Z82" s="377" t="e">
        <f t="shared" si="20"/>
        <v>#REF!</v>
      </c>
    </row>
    <row r="83" spans="1:38">
      <c r="D83" s="922" t="e">
        <f>18594420-D82</f>
        <v>#REF!</v>
      </c>
      <c r="I83" s="389"/>
      <c r="J83" s="389"/>
      <c r="K83" s="389"/>
      <c r="O83" s="389"/>
      <c r="P83" s="389"/>
      <c r="Q83" s="389"/>
      <c r="R83" s="389"/>
      <c r="S83" s="389"/>
      <c r="U83" s="389"/>
      <c r="V83" s="389"/>
      <c r="W83" s="389"/>
      <c r="X83" s="389"/>
      <c r="Y83" s="389"/>
    </row>
    <row r="84" spans="1:38">
      <c r="I84" s="389"/>
      <c r="J84" s="389"/>
      <c r="K84" s="389"/>
      <c r="O84" s="389"/>
      <c r="P84" s="389"/>
      <c r="Q84" s="389"/>
      <c r="R84" s="389"/>
      <c r="S84" s="389"/>
      <c r="U84" s="389"/>
      <c r="V84" s="389"/>
      <c r="W84" s="389"/>
      <c r="X84" s="389"/>
      <c r="Y84" s="389"/>
    </row>
    <row r="85" spans="1:38">
      <c r="I85" s="389"/>
      <c r="J85" s="389"/>
      <c r="K85" s="389"/>
      <c r="O85" s="389"/>
      <c r="P85" s="389"/>
      <c r="Q85" s="389"/>
      <c r="R85" s="389"/>
      <c r="S85" s="389"/>
      <c r="U85" s="389"/>
      <c r="V85" s="389"/>
      <c r="W85" s="389"/>
      <c r="X85" s="389"/>
      <c r="Y85" s="389"/>
    </row>
    <row r="86" spans="1:38">
      <c r="I86" s="389"/>
      <c r="J86" s="389"/>
      <c r="K86" s="389"/>
      <c r="O86" s="389"/>
      <c r="P86" s="389"/>
      <c r="Q86" s="389"/>
      <c r="R86" s="389"/>
      <c r="S86" s="389"/>
      <c r="U86" s="389"/>
      <c r="V86" s="389"/>
      <c r="W86" s="389"/>
      <c r="X86" s="389"/>
      <c r="Y86" s="389"/>
    </row>
    <row r="87" spans="1:38" ht="21">
      <c r="E87" s="944" t="s">
        <v>58</v>
      </c>
      <c r="I87" s="389"/>
      <c r="J87" s="389"/>
      <c r="K87" s="389"/>
      <c r="O87" s="389"/>
      <c r="P87" s="389"/>
      <c r="Q87" s="389"/>
      <c r="R87" s="389"/>
      <c r="S87" s="389"/>
      <c r="U87" s="389"/>
      <c r="V87" s="389"/>
      <c r="W87" s="389"/>
      <c r="X87" s="389"/>
      <c r="Y87" s="389"/>
    </row>
    <row r="88" spans="1:38">
      <c r="I88" s="389"/>
      <c r="J88" s="389"/>
      <c r="K88" s="389"/>
      <c r="O88" s="389"/>
      <c r="P88" s="389"/>
      <c r="Q88" s="389"/>
      <c r="R88" s="389"/>
      <c r="S88" s="389"/>
      <c r="U88" s="389"/>
      <c r="V88" s="389"/>
      <c r="W88" s="389"/>
      <c r="X88" s="389"/>
      <c r="Y88" s="389"/>
    </row>
    <row r="89" spans="1:38">
      <c r="I89" s="389"/>
      <c r="J89" s="389"/>
      <c r="K89" s="389"/>
      <c r="M89" s="960"/>
      <c r="N89" s="960"/>
      <c r="O89" s="960"/>
      <c r="P89" s="960"/>
      <c r="Q89" s="960"/>
      <c r="R89" s="960"/>
      <c r="S89" s="960"/>
      <c r="T89" s="960"/>
      <c r="U89" s="960"/>
      <c r="V89" s="960"/>
      <c r="W89" s="960"/>
      <c r="X89" s="960"/>
      <c r="Y89" s="960"/>
      <c r="Z89" s="960"/>
    </row>
    <row r="90" spans="1:38">
      <c r="I90" s="389"/>
      <c r="J90" s="389"/>
      <c r="K90" s="389"/>
      <c r="M90" s="960"/>
      <c r="N90" s="960"/>
      <c r="O90" s="960"/>
      <c r="P90" s="960"/>
      <c r="Q90" s="960"/>
      <c r="R90" s="960"/>
      <c r="S90" s="960"/>
      <c r="T90" s="960"/>
      <c r="U90" s="960"/>
      <c r="V90" s="960"/>
      <c r="W90" s="960"/>
      <c r="X90" s="960"/>
      <c r="Y90" s="960"/>
      <c r="Z90" s="960"/>
    </row>
    <row r="91" spans="1:38">
      <c r="I91" s="389"/>
      <c r="J91" s="389"/>
      <c r="K91" s="389"/>
      <c r="O91" s="389"/>
      <c r="P91" s="389"/>
      <c r="Q91" s="389"/>
      <c r="R91" s="389"/>
      <c r="S91" s="389"/>
      <c r="U91" s="389"/>
      <c r="V91" s="389"/>
      <c r="W91" s="389"/>
      <c r="X91" s="389"/>
      <c r="Y91" s="389"/>
    </row>
    <row r="92" spans="1:38" s="394" customFormat="1" ht="18.75">
      <c r="A92" s="393"/>
      <c r="B92" s="393"/>
      <c r="C92" s="393"/>
      <c r="D92" s="941"/>
      <c r="E92" s="941"/>
      <c r="F92" s="941"/>
      <c r="G92" s="941"/>
      <c r="H92" s="938"/>
      <c r="I92" s="961"/>
      <c r="J92" s="961"/>
      <c r="K92" s="961"/>
      <c r="L92" s="961"/>
      <c r="M92" s="389"/>
      <c r="N92" s="389"/>
      <c r="O92" s="389"/>
      <c r="P92" s="389"/>
      <c r="Q92" s="389"/>
      <c r="R92" s="389"/>
      <c r="S92" s="389"/>
      <c r="T92" s="389"/>
      <c r="U92" s="389"/>
      <c r="V92" s="389"/>
      <c r="W92" s="389"/>
      <c r="X92" s="389"/>
      <c r="Y92" s="389"/>
      <c r="Z92" s="389"/>
      <c r="AA92" s="364"/>
      <c r="AB92" s="397"/>
      <c r="AC92" s="396"/>
      <c r="AD92" s="396"/>
      <c r="AE92" s="396"/>
      <c r="AF92" s="396"/>
      <c r="AG92" s="396"/>
      <c r="AH92" s="396"/>
      <c r="AI92" s="396"/>
      <c r="AJ92" s="396"/>
      <c r="AK92" s="396"/>
      <c r="AL92" s="396"/>
    </row>
    <row r="93" spans="1:38" s="394" customFormat="1" ht="18.75">
      <c r="A93" s="398"/>
      <c r="B93" s="398"/>
      <c r="C93" s="398"/>
      <c r="D93" s="942"/>
      <c r="E93" s="942"/>
      <c r="F93" s="942"/>
      <c r="G93" s="942"/>
      <c r="H93" s="939"/>
      <c r="I93" s="962"/>
      <c r="J93" s="962"/>
      <c r="K93" s="962"/>
      <c r="L93" s="962"/>
      <c r="M93" s="389"/>
      <c r="N93" s="389"/>
      <c r="O93" s="389"/>
      <c r="P93" s="389"/>
      <c r="Q93" s="389"/>
      <c r="R93" s="389"/>
      <c r="S93" s="389"/>
      <c r="T93" s="389"/>
      <c r="U93" s="389"/>
      <c r="V93" s="389"/>
      <c r="W93" s="389"/>
      <c r="X93" s="389"/>
      <c r="Y93" s="389"/>
      <c r="Z93" s="389"/>
      <c r="AA93" s="364"/>
      <c r="AB93" s="397"/>
      <c r="AC93" s="396"/>
      <c r="AD93" s="396"/>
      <c r="AE93" s="396"/>
      <c r="AF93" s="396"/>
      <c r="AG93" s="396"/>
      <c r="AH93" s="396"/>
      <c r="AI93" s="396"/>
      <c r="AJ93" s="396"/>
      <c r="AK93" s="396"/>
      <c r="AL93" s="396"/>
    </row>
    <row r="94" spans="1:38">
      <c r="I94" s="389"/>
      <c r="J94" s="389"/>
      <c r="K94" s="389"/>
      <c r="O94" s="389"/>
      <c r="P94" s="389"/>
      <c r="Q94" s="389"/>
      <c r="R94" s="389"/>
      <c r="S94" s="389"/>
      <c r="U94" s="389"/>
      <c r="V94" s="389"/>
      <c r="W94" s="389"/>
      <c r="X94" s="389"/>
      <c r="Y94" s="389"/>
    </row>
    <row r="95" spans="1:38">
      <c r="I95" s="389"/>
      <c r="J95" s="389"/>
      <c r="K95" s="389"/>
      <c r="O95" s="389"/>
      <c r="P95" s="389"/>
      <c r="Q95" s="389"/>
      <c r="R95" s="389"/>
      <c r="S95" s="389"/>
      <c r="U95" s="389"/>
      <c r="V95" s="389"/>
      <c r="W95" s="389"/>
      <c r="X95" s="389"/>
      <c r="Y95" s="389"/>
    </row>
    <row r="96" spans="1:38">
      <c r="I96" s="389"/>
      <c r="J96" s="389"/>
      <c r="K96" s="389"/>
      <c r="O96" s="389"/>
      <c r="P96" s="389"/>
      <c r="Q96" s="389"/>
      <c r="R96" s="389"/>
      <c r="S96" s="389"/>
      <c r="U96" s="389"/>
      <c r="V96" s="389"/>
      <c r="W96" s="389"/>
      <c r="X96" s="389"/>
      <c r="Y96" s="389"/>
    </row>
    <row r="97" spans="9:25">
      <c r="I97" s="389"/>
      <c r="J97" s="389"/>
      <c r="K97" s="389"/>
      <c r="O97" s="389"/>
      <c r="P97" s="389"/>
      <c r="Q97" s="389"/>
      <c r="R97" s="389"/>
      <c r="S97" s="389"/>
      <c r="U97" s="389"/>
      <c r="V97" s="389"/>
      <c r="W97" s="389"/>
      <c r="X97" s="389"/>
      <c r="Y97" s="389"/>
    </row>
    <row r="98" spans="9:25">
      <c r="I98" s="389"/>
      <c r="J98" s="389"/>
      <c r="K98" s="389"/>
      <c r="O98" s="389"/>
      <c r="P98" s="389"/>
      <c r="Q98" s="389"/>
      <c r="R98" s="389"/>
      <c r="S98" s="389"/>
      <c r="U98" s="389"/>
      <c r="V98" s="389"/>
      <c r="W98" s="389"/>
      <c r="X98" s="389"/>
      <c r="Y98" s="389"/>
    </row>
    <row r="99" spans="9:25">
      <c r="I99" s="389"/>
      <c r="J99" s="389"/>
      <c r="K99" s="389"/>
      <c r="O99" s="389"/>
      <c r="P99" s="389"/>
      <c r="Q99" s="389"/>
      <c r="R99" s="389"/>
      <c r="S99" s="389"/>
      <c r="U99" s="389"/>
      <c r="V99" s="389"/>
      <c r="W99" s="389"/>
      <c r="X99" s="389"/>
      <c r="Y99" s="389"/>
    </row>
    <row r="100" spans="9:25">
      <c r="I100" s="389"/>
      <c r="J100" s="389"/>
      <c r="K100" s="389"/>
      <c r="O100" s="389"/>
      <c r="P100" s="389"/>
      <c r="Q100" s="389"/>
      <c r="R100" s="389"/>
      <c r="S100" s="389"/>
      <c r="U100" s="389"/>
      <c r="V100" s="389"/>
      <c r="W100" s="389"/>
      <c r="X100" s="389"/>
      <c r="Y100" s="389"/>
    </row>
    <row r="101" spans="9:25">
      <c r="I101" s="389"/>
      <c r="J101" s="389"/>
      <c r="K101" s="389"/>
      <c r="O101" s="389"/>
      <c r="P101" s="389"/>
      <c r="Q101" s="389"/>
      <c r="R101" s="389"/>
      <c r="S101" s="389"/>
      <c r="U101" s="389"/>
      <c r="V101" s="389"/>
      <c r="W101" s="389"/>
      <c r="X101" s="389"/>
      <c r="Y101" s="389"/>
    </row>
    <row r="102" spans="9:25">
      <c r="I102" s="389"/>
      <c r="J102" s="389"/>
      <c r="K102" s="389"/>
      <c r="O102" s="389"/>
      <c r="P102" s="389"/>
      <c r="Q102" s="389"/>
      <c r="R102" s="389"/>
      <c r="S102" s="389"/>
      <c r="U102" s="389"/>
      <c r="V102" s="389"/>
      <c r="W102" s="389"/>
      <c r="X102" s="389"/>
      <c r="Y102" s="389"/>
    </row>
    <row r="103" spans="9:25">
      <c r="I103" s="389"/>
      <c r="J103" s="389"/>
      <c r="K103" s="389"/>
      <c r="O103" s="389"/>
      <c r="P103" s="389"/>
      <c r="Q103" s="389"/>
      <c r="R103" s="389"/>
      <c r="S103" s="389"/>
      <c r="U103" s="389"/>
      <c r="V103" s="389"/>
      <c r="W103" s="389"/>
      <c r="X103" s="389"/>
      <c r="Y103" s="389"/>
    </row>
    <row r="104" spans="9:25">
      <c r="I104" s="389"/>
      <c r="J104" s="389"/>
      <c r="K104" s="389"/>
      <c r="O104" s="389"/>
      <c r="P104" s="389"/>
      <c r="Q104" s="389"/>
      <c r="R104" s="389"/>
      <c r="S104" s="389"/>
      <c r="U104" s="389"/>
      <c r="V104" s="389"/>
      <c r="W104" s="389"/>
      <c r="X104" s="389"/>
      <c r="Y104" s="389"/>
    </row>
    <row r="105" spans="9:25">
      <c r="I105" s="389"/>
      <c r="J105" s="389"/>
      <c r="K105" s="389"/>
      <c r="O105" s="389"/>
      <c r="P105" s="389"/>
      <c r="Q105" s="389"/>
      <c r="R105" s="389"/>
      <c r="S105" s="389"/>
      <c r="U105" s="389"/>
      <c r="V105" s="389"/>
      <c r="W105" s="389"/>
      <c r="X105" s="389"/>
      <c r="Y105" s="389"/>
    </row>
    <row r="106" spans="9:25">
      <c r="I106" s="389"/>
      <c r="J106" s="389"/>
      <c r="K106" s="389"/>
      <c r="O106" s="389"/>
      <c r="P106" s="389"/>
      <c r="Q106" s="389"/>
      <c r="R106" s="389"/>
      <c r="S106" s="389"/>
      <c r="U106" s="389"/>
      <c r="V106" s="389"/>
      <c r="W106" s="389"/>
      <c r="X106" s="389"/>
      <c r="Y106" s="389"/>
    </row>
    <row r="107" spans="9:25">
      <c r="I107" s="389"/>
      <c r="J107" s="389"/>
      <c r="K107" s="389"/>
      <c r="O107" s="389"/>
      <c r="P107" s="389"/>
      <c r="Q107" s="389"/>
      <c r="R107" s="389"/>
      <c r="S107" s="389"/>
      <c r="U107" s="389"/>
      <c r="V107" s="389"/>
      <c r="W107" s="389"/>
      <c r="X107" s="389"/>
      <c r="Y107" s="389"/>
    </row>
    <row r="108" spans="9:25">
      <c r="I108" s="389"/>
      <c r="J108" s="389"/>
      <c r="K108" s="389"/>
      <c r="O108" s="389"/>
      <c r="P108" s="389"/>
      <c r="Q108" s="389"/>
      <c r="R108" s="389"/>
      <c r="S108" s="389"/>
      <c r="U108" s="389"/>
      <c r="V108" s="389"/>
      <c r="W108" s="389"/>
      <c r="X108" s="389"/>
      <c r="Y108" s="389"/>
    </row>
    <row r="109" spans="9:25">
      <c r="I109" s="389"/>
      <c r="J109" s="389"/>
      <c r="K109" s="389"/>
      <c r="O109" s="389"/>
      <c r="P109" s="389"/>
      <c r="Q109" s="389"/>
      <c r="R109" s="389"/>
      <c r="S109" s="389"/>
      <c r="U109" s="389"/>
      <c r="V109" s="389"/>
      <c r="W109" s="389"/>
      <c r="X109" s="389"/>
      <c r="Y109" s="389"/>
    </row>
    <row r="110" spans="9:25">
      <c r="I110" s="389"/>
      <c r="J110" s="389"/>
      <c r="K110" s="389"/>
      <c r="O110" s="389"/>
      <c r="P110" s="389"/>
      <c r="Q110" s="389"/>
      <c r="R110" s="389"/>
      <c r="S110" s="389"/>
      <c r="U110" s="389"/>
      <c r="V110" s="389"/>
      <c r="W110" s="389"/>
      <c r="X110" s="389"/>
      <c r="Y110" s="389"/>
    </row>
    <row r="111" spans="9:25">
      <c r="I111" s="389"/>
      <c r="J111" s="389"/>
      <c r="K111" s="389"/>
      <c r="O111" s="389"/>
      <c r="P111" s="389"/>
      <c r="Q111" s="389"/>
      <c r="R111" s="389"/>
      <c r="S111" s="389"/>
      <c r="U111" s="389"/>
      <c r="V111" s="389"/>
      <c r="W111" s="389"/>
      <c r="X111" s="389"/>
      <c r="Y111" s="389"/>
    </row>
    <row r="112" spans="9:25">
      <c r="I112" s="389"/>
      <c r="J112" s="389"/>
      <c r="K112" s="389"/>
      <c r="O112" s="389"/>
      <c r="P112" s="389"/>
      <c r="Q112" s="389"/>
      <c r="R112" s="389"/>
      <c r="S112" s="389"/>
      <c r="U112" s="389"/>
      <c r="V112" s="389"/>
      <c r="W112" s="389"/>
      <c r="X112" s="389"/>
      <c r="Y112" s="389"/>
    </row>
    <row r="113" spans="9:25">
      <c r="I113" s="389"/>
      <c r="J113" s="389"/>
      <c r="K113" s="389"/>
      <c r="O113" s="389"/>
      <c r="P113" s="389"/>
      <c r="Q113" s="389"/>
      <c r="R113" s="389"/>
      <c r="S113" s="389"/>
      <c r="U113" s="389"/>
      <c r="V113" s="389"/>
      <c r="W113" s="389"/>
      <c r="X113" s="389"/>
      <c r="Y113" s="389"/>
    </row>
    <row r="114" spans="9:25">
      <c r="I114" s="389"/>
      <c r="J114" s="389"/>
      <c r="K114" s="389"/>
      <c r="O114" s="389"/>
      <c r="P114" s="389"/>
      <c r="Q114" s="389"/>
      <c r="R114" s="389"/>
      <c r="S114" s="389"/>
      <c r="U114" s="389"/>
      <c r="V114" s="389"/>
      <c r="W114" s="389"/>
      <c r="X114" s="389"/>
      <c r="Y114" s="389"/>
    </row>
    <row r="115" spans="9:25">
      <c r="I115" s="389"/>
      <c r="J115" s="389"/>
      <c r="K115" s="389"/>
      <c r="O115" s="389"/>
      <c r="P115" s="389"/>
      <c r="Q115" s="389"/>
      <c r="R115" s="389"/>
      <c r="S115" s="389"/>
      <c r="U115" s="389"/>
      <c r="V115" s="389"/>
      <c r="W115" s="389"/>
      <c r="X115" s="389"/>
      <c r="Y115" s="389"/>
    </row>
    <row r="116" spans="9:25">
      <c r="I116" s="389"/>
      <c r="J116" s="389"/>
      <c r="K116" s="389"/>
      <c r="O116" s="389"/>
      <c r="P116" s="389"/>
      <c r="Q116" s="389"/>
      <c r="R116" s="389"/>
      <c r="S116" s="389"/>
      <c r="U116" s="389"/>
      <c r="V116" s="389"/>
      <c r="W116" s="389"/>
      <c r="X116" s="389"/>
      <c r="Y116" s="389"/>
    </row>
    <row r="117" spans="9:25">
      <c r="I117" s="389"/>
      <c r="J117" s="389"/>
      <c r="K117" s="389"/>
      <c r="O117" s="389"/>
      <c r="P117" s="389"/>
      <c r="Q117" s="389"/>
      <c r="R117" s="389"/>
      <c r="S117" s="389"/>
      <c r="U117" s="389"/>
      <c r="V117" s="389"/>
      <c r="W117" s="389"/>
      <c r="X117" s="389"/>
      <c r="Y117" s="389"/>
    </row>
    <row r="118" spans="9:25">
      <c r="I118" s="389"/>
      <c r="J118" s="389"/>
      <c r="K118" s="389"/>
      <c r="O118" s="389"/>
      <c r="P118" s="389"/>
      <c r="Q118" s="389"/>
      <c r="R118" s="389"/>
      <c r="S118" s="389"/>
      <c r="U118" s="389"/>
      <c r="V118" s="389"/>
      <c r="W118" s="389"/>
      <c r="X118" s="389"/>
      <c r="Y118" s="389"/>
    </row>
    <row r="119" spans="9:25">
      <c r="I119" s="389"/>
      <c r="J119" s="389"/>
      <c r="K119" s="389"/>
      <c r="O119" s="389"/>
      <c r="P119" s="389"/>
      <c r="Q119" s="389"/>
      <c r="R119" s="389"/>
      <c r="S119" s="389"/>
      <c r="U119" s="389"/>
      <c r="V119" s="389"/>
      <c r="W119" s="389"/>
      <c r="X119" s="389"/>
      <c r="Y119" s="389"/>
    </row>
    <row r="120" spans="9:25">
      <c r="I120" s="389"/>
      <c r="J120" s="389"/>
      <c r="K120" s="389"/>
      <c r="O120" s="389"/>
      <c r="P120" s="389"/>
      <c r="Q120" s="389"/>
      <c r="R120" s="389"/>
      <c r="S120" s="389"/>
      <c r="U120" s="389"/>
      <c r="V120" s="389"/>
      <c r="W120" s="389"/>
      <c r="X120" s="389"/>
      <c r="Y120" s="389"/>
    </row>
    <row r="121" spans="9:25">
      <c r="I121" s="389"/>
      <c r="J121" s="389"/>
      <c r="K121" s="389"/>
      <c r="O121" s="389"/>
      <c r="P121" s="389"/>
      <c r="Q121" s="389"/>
      <c r="R121" s="389"/>
      <c r="S121" s="389"/>
      <c r="U121" s="389"/>
      <c r="V121" s="389"/>
      <c r="W121" s="389"/>
      <c r="X121" s="389"/>
      <c r="Y121" s="389"/>
    </row>
    <row r="122" spans="9:25">
      <c r="I122" s="389"/>
      <c r="J122" s="389"/>
      <c r="K122" s="389"/>
      <c r="O122" s="389"/>
      <c r="P122" s="389"/>
      <c r="Q122" s="389"/>
      <c r="R122" s="389"/>
      <c r="S122" s="389"/>
      <c r="U122" s="389"/>
      <c r="V122" s="389"/>
      <c r="W122" s="389"/>
      <c r="X122" s="389"/>
      <c r="Y122" s="389"/>
    </row>
    <row r="123" spans="9:25">
      <c r="I123" s="389"/>
      <c r="J123" s="389"/>
      <c r="K123" s="389"/>
      <c r="O123" s="389"/>
      <c r="P123" s="389"/>
      <c r="Q123" s="389"/>
      <c r="R123" s="389"/>
      <c r="S123" s="389"/>
      <c r="U123" s="389"/>
      <c r="V123" s="389"/>
      <c r="W123" s="389"/>
      <c r="X123" s="389"/>
      <c r="Y123" s="389"/>
    </row>
    <row r="124" spans="9:25">
      <c r="I124" s="389"/>
      <c r="J124" s="389"/>
      <c r="K124" s="389"/>
      <c r="O124" s="389"/>
      <c r="P124" s="389"/>
      <c r="Q124" s="389"/>
      <c r="R124" s="389"/>
      <c r="S124" s="389"/>
      <c r="U124" s="389"/>
      <c r="V124" s="389"/>
      <c r="W124" s="389"/>
      <c r="X124" s="389"/>
      <c r="Y124" s="389"/>
    </row>
    <row r="125" spans="9:25">
      <c r="I125" s="389"/>
      <c r="J125" s="389"/>
      <c r="K125" s="389"/>
      <c r="O125" s="389"/>
      <c r="P125" s="389"/>
      <c r="Q125" s="389"/>
      <c r="R125" s="389"/>
      <c r="S125" s="389"/>
      <c r="U125" s="389"/>
      <c r="V125" s="389"/>
      <c r="W125" s="389"/>
      <c r="X125" s="389"/>
      <c r="Y125" s="389"/>
    </row>
    <row r="126" spans="9:25">
      <c r="I126" s="389"/>
      <c r="J126" s="389"/>
      <c r="K126" s="389"/>
      <c r="O126" s="389"/>
      <c r="P126" s="389"/>
      <c r="Q126" s="389"/>
      <c r="R126" s="389"/>
      <c r="S126" s="389"/>
      <c r="U126" s="389"/>
      <c r="V126" s="389"/>
      <c r="W126" s="389"/>
      <c r="X126" s="389"/>
      <c r="Y126" s="389"/>
    </row>
    <row r="127" spans="9:25">
      <c r="I127" s="389"/>
      <c r="J127" s="389"/>
      <c r="K127" s="389"/>
      <c r="O127" s="389"/>
      <c r="P127" s="389"/>
      <c r="Q127" s="389"/>
      <c r="R127" s="389"/>
      <c r="S127" s="389"/>
      <c r="U127" s="389"/>
      <c r="V127" s="389"/>
      <c r="W127" s="389"/>
      <c r="X127" s="389"/>
      <c r="Y127" s="389"/>
    </row>
    <row r="128" spans="9:25">
      <c r="I128" s="389"/>
      <c r="J128" s="389"/>
      <c r="K128" s="389"/>
      <c r="O128" s="389"/>
      <c r="P128" s="389"/>
      <c r="Q128" s="389"/>
      <c r="R128" s="389"/>
      <c r="S128" s="389"/>
      <c r="U128" s="389"/>
      <c r="V128" s="389"/>
      <c r="W128" s="389"/>
      <c r="X128" s="389"/>
      <c r="Y128" s="389"/>
    </row>
    <row r="129" spans="9:25">
      <c r="I129" s="389"/>
      <c r="J129" s="389"/>
      <c r="K129" s="389"/>
      <c r="O129" s="389"/>
      <c r="P129" s="389"/>
      <c r="Q129" s="389"/>
      <c r="R129" s="389"/>
      <c r="S129" s="389"/>
      <c r="U129" s="389"/>
      <c r="V129" s="389"/>
      <c r="W129" s="389"/>
      <c r="X129" s="389"/>
      <c r="Y129" s="389"/>
    </row>
    <row r="130" spans="9:25">
      <c r="I130" s="389"/>
      <c r="J130" s="389"/>
      <c r="K130" s="389"/>
      <c r="O130" s="389"/>
      <c r="P130" s="389"/>
      <c r="Q130" s="389"/>
      <c r="R130" s="389"/>
      <c r="S130" s="389"/>
      <c r="U130" s="389"/>
      <c r="V130" s="389"/>
      <c r="W130" s="389"/>
      <c r="X130" s="389"/>
      <c r="Y130" s="389"/>
    </row>
    <row r="131" spans="9:25">
      <c r="I131" s="389"/>
      <c r="J131" s="389"/>
      <c r="K131" s="389"/>
      <c r="O131" s="389"/>
      <c r="P131" s="389"/>
      <c r="Q131" s="389"/>
      <c r="R131" s="389"/>
      <c r="S131" s="389"/>
      <c r="U131" s="389"/>
      <c r="V131" s="389"/>
      <c r="W131" s="389"/>
      <c r="X131" s="389"/>
      <c r="Y131" s="389"/>
    </row>
    <row r="132" spans="9:25">
      <c r="I132" s="389"/>
      <c r="J132" s="389"/>
      <c r="K132" s="389"/>
      <c r="O132" s="389"/>
      <c r="P132" s="389"/>
      <c r="Q132" s="389"/>
      <c r="R132" s="389"/>
      <c r="S132" s="389"/>
      <c r="U132" s="389"/>
      <c r="V132" s="389"/>
      <c r="W132" s="389"/>
      <c r="X132" s="389"/>
      <c r="Y132" s="389"/>
    </row>
    <row r="133" spans="9:25">
      <c r="I133" s="389"/>
      <c r="J133" s="389"/>
      <c r="K133" s="389"/>
      <c r="O133" s="389"/>
      <c r="P133" s="389"/>
      <c r="Q133" s="389"/>
      <c r="R133" s="389"/>
      <c r="S133" s="389"/>
      <c r="U133" s="389"/>
      <c r="V133" s="389"/>
      <c r="W133" s="389"/>
      <c r="X133" s="389"/>
      <c r="Y133" s="389"/>
    </row>
    <row r="134" spans="9:25">
      <c r="I134" s="389"/>
      <c r="J134" s="389"/>
      <c r="K134" s="389"/>
      <c r="O134" s="389"/>
      <c r="P134" s="389"/>
      <c r="Q134" s="389"/>
      <c r="R134" s="389"/>
      <c r="S134" s="389"/>
      <c r="U134" s="389"/>
      <c r="V134" s="389"/>
      <c r="W134" s="389"/>
      <c r="X134" s="389"/>
      <c r="Y134" s="389"/>
    </row>
    <row r="135" spans="9:25">
      <c r="I135" s="389"/>
      <c r="J135" s="389"/>
      <c r="K135" s="389"/>
      <c r="O135" s="389"/>
      <c r="P135" s="389"/>
      <c r="Q135" s="389"/>
      <c r="R135" s="389"/>
      <c r="S135" s="389"/>
      <c r="U135" s="389"/>
      <c r="V135" s="389"/>
      <c r="W135" s="389"/>
      <c r="X135" s="389"/>
      <c r="Y135" s="389"/>
    </row>
    <row r="136" spans="9:25">
      <c r="I136" s="389"/>
      <c r="J136" s="389"/>
      <c r="K136" s="389"/>
      <c r="O136" s="389"/>
      <c r="P136" s="389"/>
      <c r="Q136" s="389"/>
      <c r="R136" s="389"/>
      <c r="S136" s="389"/>
      <c r="U136" s="389"/>
      <c r="V136" s="389"/>
      <c r="W136" s="389"/>
      <c r="X136" s="389"/>
      <c r="Y136" s="389"/>
    </row>
    <row r="137" spans="9:25">
      <c r="I137" s="389"/>
      <c r="J137" s="389"/>
      <c r="K137" s="389"/>
      <c r="O137" s="389"/>
      <c r="P137" s="389"/>
      <c r="Q137" s="389"/>
      <c r="R137" s="389"/>
      <c r="S137" s="389"/>
      <c r="U137" s="389"/>
      <c r="V137" s="389"/>
      <c r="W137" s="389"/>
      <c r="X137" s="389"/>
      <c r="Y137" s="389"/>
    </row>
    <row r="138" spans="9:25">
      <c r="I138" s="389"/>
      <c r="J138" s="389"/>
      <c r="K138" s="389"/>
      <c r="O138" s="389"/>
      <c r="P138" s="389"/>
      <c r="Q138" s="389"/>
      <c r="R138" s="389"/>
      <c r="S138" s="389"/>
      <c r="U138" s="389"/>
      <c r="V138" s="389"/>
      <c r="W138" s="389"/>
      <c r="X138" s="389"/>
      <c r="Y138" s="389"/>
    </row>
    <row r="139" spans="9:25">
      <c r="I139" s="389"/>
      <c r="J139" s="389"/>
      <c r="K139" s="389"/>
      <c r="O139" s="389"/>
      <c r="P139" s="389"/>
      <c r="Q139" s="389"/>
      <c r="R139" s="389"/>
      <c r="S139" s="389"/>
      <c r="U139" s="389"/>
      <c r="V139" s="389"/>
      <c r="W139" s="389"/>
      <c r="X139" s="389"/>
      <c r="Y139" s="389"/>
    </row>
    <row r="140" spans="9:25">
      <c r="I140" s="389"/>
      <c r="J140" s="389"/>
      <c r="K140" s="389"/>
      <c r="O140" s="389"/>
      <c r="P140" s="389"/>
      <c r="Q140" s="389"/>
      <c r="R140" s="389"/>
      <c r="S140" s="389"/>
      <c r="U140" s="389"/>
      <c r="V140" s="389"/>
      <c r="W140" s="389"/>
      <c r="X140" s="389"/>
      <c r="Y140" s="389"/>
    </row>
    <row r="141" spans="9:25">
      <c r="I141" s="389"/>
      <c r="J141" s="389"/>
      <c r="K141" s="389"/>
      <c r="O141" s="389"/>
      <c r="P141" s="389"/>
      <c r="Q141" s="389"/>
      <c r="R141" s="389"/>
      <c r="S141" s="389"/>
      <c r="U141" s="389"/>
      <c r="V141" s="389"/>
      <c r="W141" s="389"/>
      <c r="X141" s="389"/>
      <c r="Y141" s="389"/>
    </row>
    <row r="142" spans="9:25">
      <c r="I142" s="389"/>
      <c r="J142" s="389"/>
      <c r="K142" s="389"/>
      <c r="O142" s="389"/>
      <c r="P142" s="389"/>
      <c r="Q142" s="389"/>
      <c r="R142" s="389"/>
      <c r="S142" s="389"/>
      <c r="U142" s="389"/>
      <c r="V142" s="389"/>
      <c r="W142" s="389"/>
      <c r="X142" s="389"/>
      <c r="Y142" s="389"/>
    </row>
    <row r="143" spans="9:25">
      <c r="I143" s="389"/>
      <c r="J143" s="389"/>
      <c r="K143" s="389"/>
      <c r="O143" s="389"/>
      <c r="P143" s="389"/>
      <c r="Q143" s="389"/>
      <c r="R143" s="389"/>
      <c r="S143" s="389"/>
      <c r="U143" s="389"/>
      <c r="V143" s="389"/>
      <c r="W143" s="389"/>
      <c r="X143" s="389"/>
      <c r="Y143" s="389"/>
    </row>
    <row r="144" spans="9:25">
      <c r="I144" s="389"/>
      <c r="J144" s="389"/>
      <c r="K144" s="389"/>
      <c r="O144" s="389"/>
      <c r="P144" s="389"/>
      <c r="Q144" s="389"/>
      <c r="R144" s="389"/>
      <c r="S144" s="389"/>
      <c r="U144" s="389"/>
      <c r="V144" s="389"/>
      <c r="W144" s="389"/>
      <c r="X144" s="389"/>
      <c r="Y144" s="389"/>
    </row>
    <row r="145" spans="9:25">
      <c r="I145" s="389"/>
      <c r="J145" s="389"/>
      <c r="K145" s="389"/>
      <c r="O145" s="389"/>
      <c r="P145" s="389"/>
      <c r="Q145" s="389"/>
      <c r="R145" s="389"/>
      <c r="S145" s="389"/>
      <c r="U145" s="389"/>
      <c r="V145" s="389"/>
      <c r="W145" s="389"/>
      <c r="X145" s="389"/>
      <c r="Y145" s="389"/>
    </row>
    <row r="146" spans="9:25">
      <c r="I146" s="389"/>
      <c r="J146" s="389"/>
      <c r="K146" s="389"/>
      <c r="O146" s="389"/>
      <c r="P146" s="389"/>
      <c r="Q146" s="389"/>
      <c r="R146" s="389"/>
      <c r="S146" s="389"/>
      <c r="U146" s="389"/>
      <c r="V146" s="389"/>
      <c r="W146" s="389"/>
      <c r="X146" s="389"/>
      <c r="Y146" s="389"/>
    </row>
    <row r="147" spans="9:25">
      <c r="I147" s="389"/>
      <c r="J147" s="389"/>
      <c r="K147" s="389"/>
      <c r="O147" s="389"/>
      <c r="P147" s="389"/>
      <c r="Q147" s="389"/>
      <c r="R147" s="389"/>
      <c r="S147" s="389"/>
      <c r="U147" s="389"/>
      <c r="V147" s="389"/>
      <c r="W147" s="389"/>
      <c r="X147" s="389"/>
      <c r="Y147" s="389"/>
    </row>
    <row r="148" spans="9:25">
      <c r="I148" s="389"/>
      <c r="J148" s="389"/>
      <c r="K148" s="389"/>
      <c r="O148" s="389"/>
      <c r="P148" s="389"/>
      <c r="Q148" s="389"/>
      <c r="R148" s="389"/>
      <c r="S148" s="389"/>
      <c r="U148" s="389"/>
      <c r="V148" s="389"/>
      <c r="W148" s="389"/>
      <c r="X148" s="389"/>
      <c r="Y148" s="389"/>
    </row>
    <row r="149" spans="9:25">
      <c r="I149" s="389"/>
      <c r="J149" s="389"/>
      <c r="K149" s="389"/>
      <c r="O149" s="389"/>
      <c r="P149" s="389"/>
      <c r="Q149" s="389"/>
      <c r="R149" s="389"/>
      <c r="S149" s="389"/>
      <c r="U149" s="389"/>
      <c r="V149" s="389"/>
      <c r="W149" s="389"/>
      <c r="X149" s="389"/>
      <c r="Y149" s="389"/>
    </row>
    <row r="150" spans="9:25">
      <c r="I150" s="389"/>
      <c r="J150" s="389"/>
      <c r="K150" s="389"/>
      <c r="O150" s="389"/>
      <c r="P150" s="389"/>
      <c r="Q150" s="389"/>
      <c r="R150" s="389"/>
      <c r="S150" s="389"/>
      <c r="U150" s="389"/>
      <c r="V150" s="389"/>
      <c r="W150" s="389"/>
      <c r="X150" s="389"/>
      <c r="Y150" s="389"/>
    </row>
    <row r="151" spans="9:25">
      <c r="I151" s="389"/>
      <c r="J151" s="389"/>
      <c r="K151" s="389"/>
      <c r="O151" s="389"/>
      <c r="P151" s="389"/>
      <c r="Q151" s="389"/>
      <c r="R151" s="389"/>
      <c r="S151" s="389"/>
      <c r="U151" s="389"/>
      <c r="V151" s="389"/>
      <c r="W151" s="389"/>
      <c r="X151" s="389"/>
      <c r="Y151" s="389"/>
    </row>
    <row r="152" spans="9:25">
      <c r="I152" s="389"/>
      <c r="J152" s="389"/>
      <c r="K152" s="389"/>
      <c r="O152" s="389"/>
      <c r="P152" s="389"/>
      <c r="Q152" s="389"/>
      <c r="R152" s="389"/>
      <c r="S152" s="389"/>
      <c r="U152" s="389"/>
      <c r="V152" s="389"/>
      <c r="W152" s="389"/>
      <c r="X152" s="389"/>
      <c r="Y152" s="389"/>
    </row>
    <row r="153" spans="9:25">
      <c r="I153" s="389"/>
      <c r="J153" s="389"/>
      <c r="K153" s="389"/>
      <c r="O153" s="389"/>
      <c r="P153" s="389"/>
      <c r="Q153" s="389"/>
      <c r="R153" s="389"/>
      <c r="S153" s="389"/>
      <c r="U153" s="389"/>
      <c r="V153" s="389"/>
      <c r="W153" s="389"/>
      <c r="X153" s="389"/>
      <c r="Y153" s="389"/>
    </row>
    <row r="154" spans="9:25">
      <c r="I154" s="389"/>
      <c r="J154" s="389"/>
      <c r="K154" s="389"/>
      <c r="O154" s="389"/>
      <c r="P154" s="389"/>
      <c r="Q154" s="389"/>
      <c r="R154" s="389"/>
      <c r="S154" s="389"/>
      <c r="U154" s="389"/>
      <c r="V154" s="389"/>
      <c r="W154" s="389"/>
      <c r="X154" s="389"/>
      <c r="Y154" s="389"/>
    </row>
    <row r="155" spans="9:25">
      <c r="I155" s="389"/>
      <c r="J155" s="389"/>
      <c r="K155" s="389"/>
      <c r="O155" s="389"/>
      <c r="P155" s="389"/>
      <c r="Q155" s="389"/>
      <c r="R155" s="389"/>
      <c r="S155" s="389"/>
      <c r="U155" s="389"/>
      <c r="V155" s="389"/>
      <c r="W155" s="389"/>
      <c r="X155" s="389"/>
      <c r="Y155" s="389"/>
    </row>
    <row r="156" spans="9:25">
      <c r="I156" s="389"/>
      <c r="J156" s="389"/>
      <c r="K156" s="389"/>
      <c r="O156" s="389"/>
      <c r="P156" s="389"/>
      <c r="Q156" s="389"/>
      <c r="R156" s="389"/>
      <c r="S156" s="389"/>
      <c r="U156" s="389"/>
      <c r="V156" s="389"/>
      <c r="W156" s="389"/>
      <c r="X156" s="389"/>
      <c r="Y156" s="389"/>
    </row>
    <row r="157" spans="9:25">
      <c r="I157" s="389"/>
      <c r="J157" s="389"/>
      <c r="K157" s="389"/>
      <c r="O157" s="389"/>
      <c r="P157" s="389"/>
      <c r="Q157" s="389"/>
      <c r="R157" s="389"/>
      <c r="S157" s="389"/>
      <c r="U157" s="389"/>
      <c r="V157" s="389"/>
      <c r="W157" s="389"/>
      <c r="X157" s="389"/>
      <c r="Y157" s="389"/>
    </row>
    <row r="158" spans="9:25">
      <c r="I158" s="389"/>
      <c r="J158" s="389"/>
      <c r="K158" s="389"/>
      <c r="O158" s="389"/>
      <c r="P158" s="389"/>
      <c r="Q158" s="389"/>
      <c r="R158" s="389"/>
      <c r="S158" s="389"/>
      <c r="U158" s="389"/>
      <c r="V158" s="389"/>
      <c r="W158" s="389"/>
      <c r="X158" s="389"/>
      <c r="Y158" s="389"/>
    </row>
    <row r="159" spans="9:25">
      <c r="I159" s="389"/>
      <c r="J159" s="389"/>
      <c r="K159" s="389"/>
      <c r="O159" s="389"/>
      <c r="P159" s="389"/>
      <c r="Q159" s="389"/>
      <c r="R159" s="389"/>
      <c r="S159" s="389"/>
      <c r="U159" s="389"/>
      <c r="V159" s="389"/>
      <c r="W159" s="389"/>
      <c r="X159" s="389"/>
      <c r="Y159" s="389"/>
    </row>
    <row r="160" spans="9:25">
      <c r="I160" s="389"/>
      <c r="J160" s="389"/>
      <c r="K160" s="389"/>
      <c r="O160" s="389"/>
      <c r="P160" s="389"/>
      <c r="Q160" s="389"/>
      <c r="R160" s="389"/>
      <c r="S160" s="389"/>
      <c r="U160" s="389"/>
      <c r="V160" s="389"/>
      <c r="W160" s="389"/>
      <c r="X160" s="389"/>
      <c r="Y160" s="389"/>
    </row>
    <row r="161" spans="9:25">
      <c r="I161" s="389"/>
      <c r="J161" s="389"/>
      <c r="K161" s="389"/>
      <c r="O161" s="389"/>
      <c r="P161" s="389"/>
      <c r="Q161" s="389"/>
      <c r="R161" s="389"/>
      <c r="S161" s="389"/>
      <c r="U161" s="389"/>
      <c r="V161" s="389"/>
      <c r="W161" s="389"/>
      <c r="X161" s="389"/>
      <c r="Y161" s="389"/>
    </row>
    <row r="162" spans="9:25">
      <c r="I162" s="389"/>
      <c r="J162" s="389"/>
      <c r="K162" s="389"/>
      <c r="O162" s="389"/>
      <c r="P162" s="389"/>
      <c r="Q162" s="389"/>
      <c r="R162" s="389"/>
      <c r="S162" s="389"/>
      <c r="U162" s="389"/>
      <c r="V162" s="389"/>
      <c r="W162" s="389"/>
      <c r="X162" s="389"/>
      <c r="Y162" s="389"/>
    </row>
    <row r="163" spans="9:25">
      <c r="I163" s="389"/>
      <c r="J163" s="389"/>
      <c r="K163" s="389"/>
      <c r="O163" s="389"/>
      <c r="P163" s="389"/>
      <c r="Q163" s="389"/>
      <c r="R163" s="389"/>
      <c r="S163" s="389"/>
      <c r="U163" s="389"/>
      <c r="V163" s="389"/>
      <c r="W163" s="389"/>
      <c r="X163" s="389"/>
      <c r="Y163" s="389"/>
    </row>
    <row r="164" spans="9:25">
      <c r="I164" s="389"/>
      <c r="J164" s="389"/>
      <c r="K164" s="389"/>
      <c r="O164" s="389"/>
      <c r="P164" s="389"/>
      <c r="Q164" s="389"/>
      <c r="R164" s="389"/>
      <c r="S164" s="389"/>
      <c r="U164" s="389"/>
      <c r="V164" s="389"/>
      <c r="W164" s="389"/>
      <c r="X164" s="389"/>
      <c r="Y164" s="389"/>
    </row>
    <row r="165" spans="9:25">
      <c r="I165" s="389"/>
      <c r="J165" s="389"/>
      <c r="K165" s="389"/>
      <c r="O165" s="389"/>
      <c r="P165" s="389"/>
      <c r="Q165" s="389"/>
      <c r="R165" s="389"/>
      <c r="S165" s="389"/>
      <c r="U165" s="389"/>
      <c r="V165" s="389"/>
      <c r="W165" s="389"/>
      <c r="X165" s="389"/>
      <c r="Y165" s="389"/>
    </row>
    <row r="166" spans="9:25">
      <c r="I166" s="389"/>
      <c r="J166" s="389"/>
      <c r="K166" s="389"/>
      <c r="O166" s="389"/>
      <c r="P166" s="389"/>
      <c r="Q166" s="389"/>
      <c r="R166" s="389"/>
      <c r="S166" s="389"/>
      <c r="U166" s="389"/>
      <c r="V166" s="389"/>
      <c r="W166" s="389"/>
      <c r="X166" s="389"/>
      <c r="Y166" s="389"/>
    </row>
    <row r="167" spans="9:25">
      <c r="I167" s="389"/>
      <c r="J167" s="389"/>
      <c r="K167" s="389"/>
      <c r="O167" s="389"/>
      <c r="P167" s="389"/>
      <c r="Q167" s="389"/>
      <c r="R167" s="389"/>
      <c r="S167" s="389"/>
      <c r="U167" s="389"/>
      <c r="V167" s="389"/>
      <c r="W167" s="389"/>
      <c r="X167" s="389"/>
      <c r="Y167" s="389"/>
    </row>
    <row r="168" spans="9:25">
      <c r="I168" s="389"/>
      <c r="J168" s="389"/>
      <c r="K168" s="389"/>
      <c r="O168" s="389"/>
      <c r="P168" s="389"/>
      <c r="Q168" s="389"/>
      <c r="R168" s="389"/>
      <c r="S168" s="389"/>
      <c r="U168" s="389"/>
      <c r="V168" s="389"/>
      <c r="W168" s="389"/>
      <c r="X168" s="389"/>
      <c r="Y168" s="389"/>
    </row>
    <row r="169" spans="9:25">
      <c r="I169" s="389"/>
      <c r="J169" s="389"/>
      <c r="K169" s="389"/>
      <c r="O169" s="389"/>
      <c r="P169" s="389"/>
      <c r="Q169" s="389"/>
      <c r="R169" s="389"/>
      <c r="S169" s="389"/>
      <c r="U169" s="389"/>
      <c r="V169" s="389"/>
      <c r="W169" s="389"/>
      <c r="X169" s="389"/>
      <c r="Y169" s="389"/>
    </row>
    <row r="170" spans="9:25">
      <c r="I170" s="389"/>
      <c r="J170" s="389"/>
      <c r="K170" s="389"/>
      <c r="O170" s="389"/>
      <c r="P170" s="389"/>
      <c r="Q170" s="389"/>
      <c r="R170" s="389"/>
      <c r="S170" s="389"/>
      <c r="U170" s="389"/>
      <c r="V170" s="389"/>
      <c r="W170" s="389"/>
      <c r="X170" s="389"/>
      <c r="Y170" s="389"/>
    </row>
    <row r="171" spans="9:25">
      <c r="I171" s="389"/>
      <c r="J171" s="389"/>
      <c r="K171" s="389"/>
      <c r="O171" s="389"/>
      <c r="P171" s="389"/>
      <c r="Q171" s="389"/>
      <c r="R171" s="389"/>
      <c r="S171" s="389"/>
      <c r="U171" s="389"/>
      <c r="V171" s="389"/>
      <c r="W171" s="389"/>
      <c r="X171" s="389"/>
      <c r="Y171" s="389"/>
    </row>
    <row r="172" spans="9:25">
      <c r="I172" s="389"/>
      <c r="J172" s="389"/>
      <c r="K172" s="389"/>
      <c r="O172" s="389"/>
      <c r="P172" s="389"/>
      <c r="Q172" s="389"/>
      <c r="R172" s="389"/>
      <c r="S172" s="389"/>
      <c r="U172" s="389"/>
      <c r="V172" s="389"/>
      <c r="W172" s="389"/>
      <c r="X172" s="389"/>
      <c r="Y172" s="389"/>
    </row>
    <row r="173" spans="9:25">
      <c r="I173" s="389"/>
      <c r="J173" s="389"/>
      <c r="K173" s="389"/>
      <c r="O173" s="389"/>
      <c r="P173" s="389"/>
      <c r="Q173" s="389"/>
      <c r="R173" s="389"/>
      <c r="S173" s="389"/>
      <c r="U173" s="389"/>
      <c r="V173" s="389"/>
      <c r="W173" s="389"/>
      <c r="X173" s="389"/>
      <c r="Y173" s="389"/>
    </row>
    <row r="174" spans="9:25">
      <c r="I174" s="389"/>
      <c r="J174" s="389"/>
      <c r="K174" s="389"/>
      <c r="O174" s="389"/>
      <c r="P174" s="389"/>
      <c r="Q174" s="389"/>
      <c r="R174" s="389"/>
      <c r="S174" s="389"/>
      <c r="U174" s="389"/>
      <c r="V174" s="389"/>
      <c r="W174" s="389"/>
      <c r="X174" s="389"/>
      <c r="Y174" s="389"/>
    </row>
    <row r="175" spans="9:25">
      <c r="I175" s="389"/>
      <c r="J175" s="389"/>
      <c r="K175" s="389"/>
      <c r="O175" s="389"/>
      <c r="P175" s="389"/>
      <c r="Q175" s="389"/>
      <c r="R175" s="389"/>
      <c r="S175" s="389"/>
      <c r="U175" s="389"/>
      <c r="V175" s="389"/>
      <c r="W175" s="389"/>
      <c r="X175" s="389"/>
      <c r="Y175" s="389"/>
    </row>
    <row r="176" spans="9:25">
      <c r="I176" s="389"/>
      <c r="J176" s="389"/>
      <c r="K176" s="389"/>
      <c r="O176" s="389"/>
      <c r="P176" s="389"/>
      <c r="Q176" s="389"/>
      <c r="R176" s="389"/>
      <c r="S176" s="389"/>
      <c r="U176" s="389"/>
      <c r="V176" s="389"/>
      <c r="W176" s="389"/>
      <c r="X176" s="389"/>
      <c r="Y176" s="389"/>
    </row>
    <row r="177" spans="9:25">
      <c r="I177" s="389"/>
      <c r="J177" s="389"/>
      <c r="K177" s="389"/>
      <c r="O177" s="389"/>
      <c r="P177" s="389"/>
      <c r="Q177" s="389"/>
      <c r="R177" s="389"/>
      <c r="S177" s="389"/>
      <c r="U177" s="389"/>
      <c r="V177" s="389"/>
      <c r="W177" s="389"/>
      <c r="X177" s="389"/>
      <c r="Y177" s="389"/>
    </row>
    <row r="178" spans="9:25">
      <c r="I178" s="389"/>
      <c r="J178" s="389"/>
      <c r="K178" s="389"/>
      <c r="O178" s="389"/>
      <c r="P178" s="389"/>
      <c r="Q178" s="389"/>
      <c r="R178" s="389"/>
      <c r="S178" s="389"/>
      <c r="U178" s="389"/>
      <c r="V178" s="389"/>
      <c r="W178" s="389"/>
      <c r="X178" s="389"/>
      <c r="Y178" s="389"/>
    </row>
    <row r="179" spans="9:25">
      <c r="I179" s="389"/>
      <c r="J179" s="389"/>
      <c r="K179" s="389"/>
      <c r="O179" s="389"/>
      <c r="P179" s="389"/>
      <c r="Q179" s="389"/>
      <c r="R179" s="389"/>
      <c r="S179" s="389"/>
      <c r="U179" s="389"/>
      <c r="V179" s="389"/>
      <c r="W179" s="389"/>
      <c r="X179" s="389"/>
      <c r="Y179" s="389"/>
    </row>
    <row r="180" spans="9:25">
      <c r="I180" s="389"/>
      <c r="J180" s="389"/>
      <c r="K180" s="389"/>
      <c r="O180" s="389"/>
      <c r="P180" s="389"/>
      <c r="Q180" s="389"/>
      <c r="R180" s="389"/>
      <c r="S180" s="389"/>
      <c r="U180" s="389"/>
      <c r="V180" s="389"/>
      <c r="W180" s="389"/>
      <c r="X180" s="389"/>
      <c r="Y180" s="389"/>
    </row>
    <row r="181" spans="9:25">
      <c r="I181" s="389"/>
      <c r="J181" s="389"/>
      <c r="K181" s="389"/>
      <c r="O181" s="389"/>
      <c r="P181" s="389"/>
      <c r="Q181" s="389"/>
      <c r="R181" s="389"/>
      <c r="S181" s="389"/>
      <c r="U181" s="389"/>
      <c r="V181" s="389"/>
      <c r="W181" s="389"/>
      <c r="X181" s="389"/>
      <c r="Y181" s="389"/>
    </row>
    <row r="182" spans="9:25">
      <c r="I182" s="389"/>
      <c r="J182" s="389"/>
      <c r="K182" s="389"/>
      <c r="O182" s="389"/>
      <c r="P182" s="389"/>
      <c r="Q182" s="389"/>
      <c r="R182" s="389"/>
      <c r="S182" s="389"/>
      <c r="U182" s="389"/>
      <c r="V182" s="389"/>
      <c r="W182" s="389"/>
      <c r="X182" s="389"/>
      <c r="Y182" s="389"/>
    </row>
    <row r="183" spans="9:25">
      <c r="I183" s="389"/>
      <c r="J183" s="389"/>
      <c r="K183" s="389"/>
      <c r="O183" s="389"/>
      <c r="P183" s="389"/>
      <c r="Q183" s="389"/>
      <c r="R183" s="389"/>
      <c r="S183" s="389"/>
      <c r="U183" s="389"/>
      <c r="V183" s="389"/>
      <c r="W183" s="389"/>
      <c r="X183" s="389"/>
      <c r="Y183" s="389"/>
    </row>
    <row r="184" spans="9:25">
      <c r="I184" s="389"/>
      <c r="J184" s="389"/>
      <c r="K184" s="389"/>
      <c r="O184" s="389"/>
      <c r="P184" s="389"/>
      <c r="Q184" s="389"/>
      <c r="R184" s="389"/>
      <c r="S184" s="389"/>
      <c r="U184" s="389"/>
      <c r="V184" s="389"/>
      <c r="W184" s="389"/>
      <c r="X184" s="389"/>
      <c r="Y184" s="389"/>
    </row>
    <row r="185" spans="9:25">
      <c r="I185" s="389"/>
      <c r="J185" s="389"/>
      <c r="K185" s="389"/>
      <c r="O185" s="389"/>
      <c r="P185" s="389"/>
      <c r="Q185" s="389"/>
      <c r="R185" s="389"/>
      <c r="S185" s="389"/>
      <c r="U185" s="389"/>
      <c r="V185" s="389"/>
      <c r="W185" s="389"/>
      <c r="X185" s="389"/>
      <c r="Y185" s="389"/>
    </row>
    <row r="186" spans="9:25">
      <c r="I186" s="389"/>
      <c r="J186" s="389"/>
      <c r="K186" s="389"/>
      <c r="O186" s="389"/>
      <c r="P186" s="389"/>
      <c r="Q186" s="389"/>
      <c r="R186" s="389"/>
      <c r="S186" s="389"/>
      <c r="U186" s="389"/>
      <c r="V186" s="389"/>
      <c r="W186" s="389"/>
      <c r="X186" s="389"/>
      <c r="Y186" s="389"/>
    </row>
    <row r="187" spans="9:25">
      <c r="I187" s="389"/>
      <c r="J187" s="389"/>
      <c r="K187" s="389"/>
      <c r="O187" s="389"/>
      <c r="P187" s="389"/>
      <c r="Q187" s="389"/>
      <c r="R187" s="389"/>
      <c r="S187" s="389"/>
      <c r="U187" s="389"/>
      <c r="V187" s="389"/>
      <c r="W187" s="389"/>
      <c r="X187" s="389"/>
      <c r="Y187" s="389"/>
    </row>
    <row r="188" spans="9:25">
      <c r="I188" s="389"/>
      <c r="J188" s="389"/>
      <c r="K188" s="389"/>
      <c r="O188" s="389"/>
      <c r="P188" s="389"/>
      <c r="Q188" s="389"/>
      <c r="R188" s="389"/>
      <c r="S188" s="389"/>
      <c r="U188" s="389"/>
      <c r="V188" s="389"/>
      <c r="W188" s="389"/>
      <c r="X188" s="389"/>
      <c r="Y188" s="389"/>
    </row>
    <row r="189" spans="9:25">
      <c r="I189" s="389"/>
      <c r="J189" s="389"/>
      <c r="K189" s="389"/>
      <c r="O189" s="389"/>
      <c r="P189" s="389"/>
      <c r="Q189" s="389"/>
      <c r="R189" s="389"/>
      <c r="S189" s="389"/>
      <c r="U189" s="389"/>
      <c r="V189" s="389"/>
      <c r="W189" s="389"/>
      <c r="X189" s="389"/>
      <c r="Y189" s="389"/>
    </row>
    <row r="190" spans="9:25">
      <c r="I190" s="389"/>
      <c r="J190" s="389"/>
      <c r="K190" s="389"/>
      <c r="O190" s="389"/>
      <c r="P190" s="389"/>
      <c r="Q190" s="389"/>
      <c r="R190" s="389"/>
      <c r="S190" s="389"/>
      <c r="U190" s="389"/>
      <c r="V190" s="389"/>
      <c r="W190" s="389"/>
      <c r="X190" s="389"/>
      <c r="Y190" s="389"/>
    </row>
    <row r="191" spans="9:25">
      <c r="I191" s="389"/>
      <c r="J191" s="389"/>
      <c r="K191" s="389"/>
      <c r="O191" s="389"/>
      <c r="P191" s="389"/>
      <c r="Q191" s="389"/>
      <c r="R191" s="389"/>
      <c r="S191" s="389"/>
      <c r="U191" s="389"/>
      <c r="V191" s="389"/>
      <c r="W191" s="389"/>
      <c r="X191" s="389"/>
      <c r="Y191" s="389"/>
    </row>
    <row r="192" spans="9:25">
      <c r="I192" s="389"/>
      <c r="J192" s="389"/>
      <c r="K192" s="389"/>
      <c r="O192" s="389"/>
      <c r="P192" s="389"/>
      <c r="Q192" s="389"/>
      <c r="R192" s="389"/>
      <c r="S192" s="389"/>
      <c r="U192" s="389"/>
      <c r="V192" s="389"/>
      <c r="W192" s="389"/>
      <c r="X192" s="389"/>
      <c r="Y192" s="389"/>
    </row>
    <row r="193" spans="9:25">
      <c r="I193" s="389"/>
      <c r="J193" s="389"/>
      <c r="K193" s="389"/>
      <c r="O193" s="389"/>
      <c r="P193" s="389"/>
      <c r="Q193" s="389"/>
      <c r="R193" s="389"/>
      <c r="S193" s="389"/>
      <c r="U193" s="389"/>
      <c r="V193" s="389"/>
      <c r="W193" s="389"/>
      <c r="X193" s="389"/>
      <c r="Y193" s="389"/>
    </row>
    <row r="194" spans="9:25">
      <c r="I194" s="389"/>
      <c r="J194" s="389"/>
      <c r="K194" s="389"/>
      <c r="O194" s="389"/>
      <c r="P194" s="389"/>
      <c r="Q194" s="389"/>
      <c r="R194" s="389"/>
      <c r="S194" s="389"/>
      <c r="U194" s="389"/>
      <c r="V194" s="389"/>
      <c r="W194" s="389"/>
      <c r="X194" s="389"/>
      <c r="Y194" s="389"/>
    </row>
    <row r="195" spans="9:25">
      <c r="I195" s="389"/>
      <c r="J195" s="389"/>
      <c r="K195" s="389"/>
      <c r="O195" s="389"/>
      <c r="P195" s="389"/>
      <c r="Q195" s="389"/>
      <c r="R195" s="389"/>
      <c r="S195" s="389"/>
      <c r="U195" s="389"/>
      <c r="V195" s="389"/>
      <c r="W195" s="389"/>
      <c r="X195" s="389"/>
      <c r="Y195" s="389"/>
    </row>
    <row r="196" spans="9:25">
      <c r="I196" s="389"/>
      <c r="J196" s="389"/>
      <c r="K196" s="389"/>
      <c r="O196" s="389"/>
      <c r="P196" s="389"/>
      <c r="Q196" s="389"/>
      <c r="R196" s="389"/>
      <c r="S196" s="389"/>
      <c r="U196" s="389"/>
      <c r="V196" s="389"/>
      <c r="W196" s="389"/>
      <c r="X196" s="389"/>
      <c r="Y196" s="389"/>
    </row>
    <row r="197" spans="9:25">
      <c r="I197" s="389"/>
      <c r="J197" s="389"/>
      <c r="K197" s="389"/>
      <c r="O197" s="389"/>
      <c r="P197" s="389"/>
      <c r="Q197" s="389"/>
      <c r="R197" s="389"/>
      <c r="S197" s="389"/>
      <c r="U197" s="389"/>
      <c r="V197" s="389"/>
      <c r="W197" s="389"/>
      <c r="X197" s="389"/>
      <c r="Y197" s="389"/>
    </row>
    <row r="198" spans="9:25">
      <c r="I198" s="389"/>
      <c r="J198" s="389"/>
      <c r="K198" s="389"/>
      <c r="O198" s="389"/>
      <c r="P198" s="389"/>
      <c r="Q198" s="389"/>
      <c r="R198" s="389"/>
      <c r="S198" s="389"/>
      <c r="U198" s="389"/>
      <c r="V198" s="389"/>
      <c r="W198" s="389"/>
      <c r="X198" s="389"/>
      <c r="Y198" s="389"/>
    </row>
    <row r="199" spans="9:25">
      <c r="I199" s="389"/>
      <c r="J199" s="389"/>
      <c r="K199" s="389"/>
      <c r="O199" s="389"/>
      <c r="P199" s="389"/>
      <c r="Q199" s="389"/>
      <c r="R199" s="389"/>
      <c r="S199" s="389"/>
      <c r="U199" s="389"/>
      <c r="V199" s="389"/>
      <c r="W199" s="389"/>
      <c r="X199" s="389"/>
      <c r="Y199" s="389"/>
    </row>
    <row r="200" spans="9:25">
      <c r="I200" s="389"/>
      <c r="J200" s="389"/>
      <c r="K200" s="389"/>
      <c r="O200" s="389"/>
      <c r="P200" s="389"/>
      <c r="Q200" s="389"/>
      <c r="R200" s="389"/>
      <c r="S200" s="389"/>
      <c r="U200" s="389"/>
      <c r="V200" s="389"/>
      <c r="W200" s="389"/>
      <c r="X200" s="389"/>
      <c r="Y200" s="389"/>
    </row>
    <row r="201" spans="9:25">
      <c r="I201" s="389"/>
      <c r="J201" s="389"/>
      <c r="K201" s="389"/>
      <c r="O201" s="389"/>
      <c r="P201" s="389"/>
      <c r="Q201" s="389"/>
      <c r="R201" s="389"/>
      <c r="S201" s="389"/>
      <c r="U201" s="389"/>
      <c r="V201" s="389"/>
      <c r="W201" s="389"/>
      <c r="X201" s="389"/>
      <c r="Y201" s="389"/>
    </row>
    <row r="202" spans="9:25">
      <c r="I202" s="389"/>
      <c r="J202" s="389"/>
      <c r="K202" s="389"/>
      <c r="O202" s="389"/>
      <c r="P202" s="389"/>
      <c r="Q202" s="389"/>
      <c r="R202" s="389"/>
      <c r="S202" s="389"/>
      <c r="U202" s="389"/>
      <c r="V202" s="389"/>
      <c r="W202" s="389"/>
      <c r="X202" s="389"/>
      <c r="Y202" s="389"/>
    </row>
    <row r="203" spans="9:25">
      <c r="I203" s="389"/>
      <c r="J203" s="389"/>
      <c r="K203" s="389"/>
      <c r="O203" s="389"/>
      <c r="P203" s="389"/>
      <c r="Q203" s="389"/>
      <c r="R203" s="389"/>
      <c r="S203" s="389"/>
      <c r="U203" s="389"/>
      <c r="V203" s="389"/>
      <c r="W203" s="389"/>
      <c r="X203" s="389"/>
      <c r="Y203" s="389"/>
    </row>
    <row r="281" spans="4:4">
      <c r="D281" s="922">
        <v>0</v>
      </c>
    </row>
  </sheetData>
  <mergeCells count="4">
    <mergeCell ref="A1:L1"/>
    <mergeCell ref="A2:Z2"/>
    <mergeCell ref="B3:I3"/>
    <mergeCell ref="A4:L4"/>
  </mergeCells>
  <printOptions horizontalCentered="1"/>
  <pageMargins left="0" right="0" top="0.5" bottom="0.17" header="0.17" footer="0.2"/>
  <pageSetup scale="48"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rgb="FF00B0F0"/>
  </sheetPr>
  <dimension ref="A1:AY293"/>
  <sheetViews>
    <sheetView showGridLines="0" topLeftCell="A2" zoomScale="75" zoomScaleNormal="75" workbookViewId="0">
      <pane xSplit="3" ySplit="7" topLeftCell="D83" activePane="bottomRight" state="frozen"/>
      <selection activeCell="A2" sqref="A2:AN2"/>
      <selection pane="topRight" activeCell="A2" sqref="A2:AN2"/>
      <selection pane="bottomLeft" activeCell="A2" sqref="A2:AN2"/>
      <selection pane="bottomRight" activeCell="A2" sqref="A2:AN2"/>
    </sheetView>
  </sheetViews>
  <sheetFormatPr defaultRowHeight="12.75"/>
  <cols>
    <col min="1" max="1" width="36.85546875" style="365" customWidth="1"/>
    <col min="2" max="2" width="9" style="365" customWidth="1"/>
    <col min="3" max="3" width="2.28515625" style="418" bestFit="1" customWidth="1"/>
    <col min="4" max="4" width="16.85546875" style="377" bestFit="1" customWidth="1"/>
    <col min="5" max="5" width="16.7109375" style="377" customWidth="1"/>
    <col min="6" max="8" width="17.85546875" style="377" customWidth="1"/>
    <col min="9" max="9" width="15.28515625" style="377" customWidth="1"/>
    <col min="10" max="10" width="17.28515625" style="377" bestFit="1" customWidth="1"/>
    <col min="11" max="14" width="15.28515625" style="377" customWidth="1"/>
    <col min="15" max="15" width="19.140625" style="377" hidden="1" customWidth="1"/>
    <col min="16" max="16" width="17.5703125" style="377" hidden="1" customWidth="1"/>
    <col min="17" max="17" width="21.7109375" style="377" hidden="1" customWidth="1"/>
    <col min="18" max="18" width="23.85546875" style="912" hidden="1" customWidth="1"/>
    <col min="19" max="19" width="19.85546875" style="912" hidden="1" customWidth="1"/>
    <col min="20" max="21" width="17.5703125" style="912" hidden="1" customWidth="1"/>
    <col min="22" max="22" width="20.42578125" style="912" hidden="1" customWidth="1"/>
    <col min="23" max="23" width="17.5703125" style="912" hidden="1" customWidth="1"/>
    <col min="24" max="24" width="18.42578125" style="912" hidden="1" customWidth="1"/>
    <col min="25" max="25" width="16" style="912" hidden="1" customWidth="1"/>
    <col min="26" max="26" width="20.7109375" style="912" hidden="1" customWidth="1"/>
    <col min="27" max="27" width="19.42578125" style="912" hidden="1" customWidth="1"/>
    <col min="28" max="28" width="19.5703125" style="932" hidden="1" customWidth="1"/>
    <col min="29" max="29" width="16" style="363" hidden="1" customWidth="1"/>
    <col min="30" max="30" width="20.28515625" style="912" hidden="1" customWidth="1"/>
    <col min="31" max="31" width="6" style="363" hidden="1" customWidth="1"/>
    <col min="32" max="32" width="22" style="912" hidden="1" customWidth="1"/>
    <col min="33" max="33" width="6" style="363" hidden="1" customWidth="1"/>
    <col min="34" max="34" width="19.42578125" style="912" hidden="1" customWidth="1"/>
    <col min="35" max="35" width="6" style="363" hidden="1" customWidth="1"/>
    <col min="36" max="36" width="19.42578125" style="912" hidden="1" customWidth="1"/>
    <col min="37" max="37" width="9.140625" style="363" hidden="1" customWidth="1"/>
    <col min="38" max="38" width="19.42578125" style="912" hidden="1" customWidth="1"/>
    <col min="39" max="39" width="6" style="363" hidden="1" customWidth="1"/>
    <col min="40" max="40" width="23.42578125" style="912" hidden="1" customWidth="1"/>
    <col min="41" max="51" width="9.140625" style="363" customWidth="1"/>
    <col min="52" max="246" width="8.85546875" style="365"/>
    <col min="247" max="247" width="44.5703125" style="365" customWidth="1"/>
    <col min="248" max="248" width="14.28515625" style="365" bestFit="1" customWidth="1"/>
    <col min="249" max="249" width="1.7109375" style="365" customWidth="1"/>
    <col min="250" max="250" width="14.85546875" style="365" customWidth="1"/>
    <col min="251" max="251" width="0" style="365" hidden="1" customWidth="1"/>
    <col min="252" max="252" width="17.42578125" style="365" customWidth="1"/>
    <col min="253" max="253" width="0" style="365" hidden="1" customWidth="1"/>
    <col min="254" max="254" width="12.85546875" style="365" customWidth="1"/>
    <col min="255" max="255" width="0" style="365" hidden="1" customWidth="1"/>
    <col min="256" max="256" width="14.42578125" style="365" customWidth="1"/>
    <col min="257" max="257" width="0" style="365" hidden="1" customWidth="1"/>
    <col min="258" max="258" width="17.42578125" style="365" customWidth="1"/>
    <col min="259" max="259" width="0" style="365" hidden="1" customWidth="1"/>
    <col min="260" max="260" width="14" style="365" customWidth="1"/>
    <col min="261" max="261" width="14.28515625" style="365" bestFit="1" customWidth="1"/>
    <col min="262" max="262" width="0" style="365" hidden="1" customWidth="1"/>
    <col min="263" max="263" width="15.5703125" style="365" customWidth="1"/>
    <col min="264" max="264" width="44.5703125" style="365" customWidth="1"/>
    <col min="265" max="265" width="14.28515625" style="365" bestFit="1" customWidth="1"/>
    <col min="266" max="266" width="0" style="365" hidden="1" customWidth="1"/>
    <col min="267" max="267" width="18.140625" style="365" customWidth="1"/>
    <col min="268" max="268" width="0" style="365" hidden="1" customWidth="1"/>
    <col min="269" max="269" width="14" style="365" customWidth="1"/>
    <col min="270" max="270" width="0" style="365" hidden="1" customWidth="1"/>
    <col min="271" max="271" width="20.85546875" style="365" customWidth="1"/>
    <col min="272" max="272" width="0" style="365" hidden="1" customWidth="1"/>
    <col min="273" max="273" width="13.28515625" style="365" customWidth="1"/>
    <col min="274" max="274" width="0" style="365" hidden="1" customWidth="1"/>
    <col min="275" max="275" width="15" style="365" customWidth="1"/>
    <col min="276" max="276" width="0" style="365" hidden="1" customWidth="1"/>
    <col min="277" max="277" width="13.28515625" style="365" customWidth="1"/>
    <col min="278" max="278" width="0" style="365" hidden="1" customWidth="1"/>
    <col min="279" max="279" width="20.140625" style="365" customWidth="1"/>
    <col min="280" max="280" width="14.42578125" style="365" bestFit="1" customWidth="1"/>
    <col min="281" max="281" width="14" style="365" bestFit="1" customWidth="1"/>
    <col min="282" max="282" width="12.28515625" style="365" bestFit="1" customWidth="1"/>
    <col min="283" max="307" width="9.140625" style="365" customWidth="1"/>
    <col min="308" max="502" width="8.85546875" style="365"/>
    <col min="503" max="503" width="44.5703125" style="365" customWidth="1"/>
    <col min="504" max="504" width="14.28515625" style="365" bestFit="1" customWidth="1"/>
    <col min="505" max="505" width="1.7109375" style="365" customWidth="1"/>
    <col min="506" max="506" width="14.85546875" style="365" customWidth="1"/>
    <col min="507" max="507" width="0" style="365" hidden="1" customWidth="1"/>
    <col min="508" max="508" width="17.42578125" style="365" customWidth="1"/>
    <col min="509" max="509" width="0" style="365" hidden="1" customWidth="1"/>
    <col min="510" max="510" width="12.85546875" style="365" customWidth="1"/>
    <col min="511" max="511" width="0" style="365" hidden="1" customWidth="1"/>
    <col min="512" max="512" width="14.42578125" style="365" customWidth="1"/>
    <col min="513" max="513" width="0" style="365" hidden="1" customWidth="1"/>
    <col min="514" max="514" width="17.42578125" style="365" customWidth="1"/>
    <col min="515" max="515" width="0" style="365" hidden="1" customWidth="1"/>
    <col min="516" max="516" width="14" style="365" customWidth="1"/>
    <col min="517" max="517" width="14.28515625" style="365" bestFit="1" customWidth="1"/>
    <col min="518" max="518" width="0" style="365" hidden="1" customWidth="1"/>
    <col min="519" max="519" width="15.5703125" style="365" customWidth="1"/>
    <col min="520" max="520" width="44.5703125" style="365" customWidth="1"/>
    <col min="521" max="521" width="14.28515625" style="365" bestFit="1" customWidth="1"/>
    <col min="522" max="522" width="0" style="365" hidden="1" customWidth="1"/>
    <col min="523" max="523" width="18.140625" style="365" customWidth="1"/>
    <col min="524" max="524" width="0" style="365" hidden="1" customWidth="1"/>
    <col min="525" max="525" width="14" style="365" customWidth="1"/>
    <col min="526" max="526" width="0" style="365" hidden="1" customWidth="1"/>
    <col min="527" max="527" width="20.85546875" style="365" customWidth="1"/>
    <col min="528" max="528" width="0" style="365" hidden="1" customWidth="1"/>
    <col min="529" max="529" width="13.28515625" style="365" customWidth="1"/>
    <col min="530" max="530" width="0" style="365" hidden="1" customWidth="1"/>
    <col min="531" max="531" width="15" style="365" customWidth="1"/>
    <col min="532" max="532" width="0" style="365" hidden="1" customWidth="1"/>
    <col min="533" max="533" width="13.28515625" style="365" customWidth="1"/>
    <col min="534" max="534" width="0" style="365" hidden="1" customWidth="1"/>
    <col min="535" max="535" width="20.140625" style="365" customWidth="1"/>
    <col min="536" max="536" width="14.42578125" style="365" bestFit="1" customWidth="1"/>
    <col min="537" max="537" width="14" style="365" bestFit="1" customWidth="1"/>
    <col min="538" max="538" width="12.28515625" style="365" bestFit="1" customWidth="1"/>
    <col min="539" max="563" width="9.140625" style="365" customWidth="1"/>
    <col min="564" max="758" width="8.85546875" style="365"/>
    <col min="759" max="759" width="44.5703125" style="365" customWidth="1"/>
    <col min="760" max="760" width="14.28515625" style="365" bestFit="1" customWidth="1"/>
    <col min="761" max="761" width="1.7109375" style="365" customWidth="1"/>
    <col min="762" max="762" width="14.85546875" style="365" customWidth="1"/>
    <col min="763" max="763" width="0" style="365" hidden="1" customWidth="1"/>
    <col min="764" max="764" width="17.42578125" style="365" customWidth="1"/>
    <col min="765" max="765" width="0" style="365" hidden="1" customWidth="1"/>
    <col min="766" max="766" width="12.85546875" style="365" customWidth="1"/>
    <col min="767" max="767" width="0" style="365" hidden="1" customWidth="1"/>
    <col min="768" max="768" width="14.42578125" style="365" customWidth="1"/>
    <col min="769" max="769" width="0" style="365" hidden="1" customWidth="1"/>
    <col min="770" max="770" width="17.42578125" style="365" customWidth="1"/>
    <col min="771" max="771" width="0" style="365" hidden="1" customWidth="1"/>
    <col min="772" max="772" width="14" style="365" customWidth="1"/>
    <col min="773" max="773" width="14.28515625" style="365" bestFit="1" customWidth="1"/>
    <col min="774" max="774" width="0" style="365" hidden="1" customWidth="1"/>
    <col min="775" max="775" width="15.5703125" style="365" customWidth="1"/>
    <col min="776" max="776" width="44.5703125" style="365" customWidth="1"/>
    <col min="777" max="777" width="14.28515625" style="365" bestFit="1" customWidth="1"/>
    <col min="778" max="778" width="0" style="365" hidden="1" customWidth="1"/>
    <col min="779" max="779" width="18.140625" style="365" customWidth="1"/>
    <col min="780" max="780" width="0" style="365" hidden="1" customWidth="1"/>
    <col min="781" max="781" width="14" style="365" customWidth="1"/>
    <col min="782" max="782" width="0" style="365" hidden="1" customWidth="1"/>
    <col min="783" max="783" width="20.85546875" style="365" customWidth="1"/>
    <col min="784" max="784" width="0" style="365" hidden="1" customWidth="1"/>
    <col min="785" max="785" width="13.28515625" style="365" customWidth="1"/>
    <col min="786" max="786" width="0" style="365" hidden="1" customWidth="1"/>
    <col min="787" max="787" width="15" style="365" customWidth="1"/>
    <col min="788" max="788" width="0" style="365" hidden="1" customWidth="1"/>
    <col min="789" max="789" width="13.28515625" style="365" customWidth="1"/>
    <col min="790" max="790" width="0" style="365" hidden="1" customWidth="1"/>
    <col min="791" max="791" width="20.140625" style="365" customWidth="1"/>
    <col min="792" max="792" width="14.42578125" style="365" bestFit="1" customWidth="1"/>
    <col min="793" max="793" width="14" style="365" bestFit="1" customWidth="1"/>
    <col min="794" max="794" width="12.28515625" style="365" bestFit="1" customWidth="1"/>
    <col min="795" max="819" width="9.140625" style="365" customWidth="1"/>
    <col min="820" max="1014" width="8.85546875" style="365"/>
    <col min="1015" max="1015" width="44.5703125" style="365" customWidth="1"/>
    <col min="1016" max="1016" width="14.28515625" style="365" bestFit="1" customWidth="1"/>
    <col min="1017" max="1017" width="1.7109375" style="365" customWidth="1"/>
    <col min="1018" max="1018" width="14.85546875" style="365" customWidth="1"/>
    <col min="1019" max="1019" width="0" style="365" hidden="1" customWidth="1"/>
    <col min="1020" max="1020" width="17.42578125" style="365" customWidth="1"/>
    <col min="1021" max="1021" width="0" style="365" hidden="1" customWidth="1"/>
    <col min="1022" max="1022" width="12.85546875" style="365" customWidth="1"/>
    <col min="1023" max="1023" width="0" style="365" hidden="1" customWidth="1"/>
    <col min="1024" max="1024" width="14.42578125" style="365" customWidth="1"/>
    <col min="1025" max="1025" width="0" style="365" hidden="1" customWidth="1"/>
    <col min="1026" max="1026" width="17.42578125" style="365" customWidth="1"/>
    <col min="1027" max="1027" width="0" style="365" hidden="1" customWidth="1"/>
    <col min="1028" max="1028" width="14" style="365" customWidth="1"/>
    <col min="1029" max="1029" width="14.28515625" style="365" bestFit="1" customWidth="1"/>
    <col min="1030" max="1030" width="0" style="365" hidden="1" customWidth="1"/>
    <col min="1031" max="1031" width="15.5703125" style="365" customWidth="1"/>
    <col min="1032" max="1032" width="44.5703125" style="365" customWidth="1"/>
    <col min="1033" max="1033" width="14.28515625" style="365" bestFit="1" customWidth="1"/>
    <col min="1034" max="1034" width="0" style="365" hidden="1" customWidth="1"/>
    <col min="1035" max="1035" width="18.140625" style="365" customWidth="1"/>
    <col min="1036" max="1036" width="0" style="365" hidden="1" customWidth="1"/>
    <col min="1037" max="1037" width="14" style="365" customWidth="1"/>
    <col min="1038" max="1038" width="0" style="365" hidden="1" customWidth="1"/>
    <col min="1039" max="1039" width="20.85546875" style="365" customWidth="1"/>
    <col min="1040" max="1040" width="0" style="365" hidden="1" customWidth="1"/>
    <col min="1041" max="1041" width="13.28515625" style="365" customWidth="1"/>
    <col min="1042" max="1042" width="0" style="365" hidden="1" customWidth="1"/>
    <col min="1043" max="1043" width="15" style="365" customWidth="1"/>
    <col min="1044" max="1044" width="0" style="365" hidden="1" customWidth="1"/>
    <col min="1045" max="1045" width="13.28515625" style="365" customWidth="1"/>
    <col min="1046" max="1046" width="0" style="365" hidden="1" customWidth="1"/>
    <col min="1047" max="1047" width="20.140625" style="365" customWidth="1"/>
    <col min="1048" max="1048" width="14.42578125" style="365" bestFit="1" customWidth="1"/>
    <col min="1049" max="1049" width="14" style="365" bestFit="1" customWidth="1"/>
    <col min="1050" max="1050" width="12.28515625" style="365" bestFit="1" customWidth="1"/>
    <col min="1051" max="1075" width="9.140625" style="365" customWidth="1"/>
    <col min="1076" max="1270" width="8.85546875" style="365"/>
    <col min="1271" max="1271" width="44.5703125" style="365" customWidth="1"/>
    <col min="1272" max="1272" width="14.28515625" style="365" bestFit="1" customWidth="1"/>
    <col min="1273" max="1273" width="1.7109375" style="365" customWidth="1"/>
    <col min="1274" max="1274" width="14.85546875" style="365" customWidth="1"/>
    <col min="1275" max="1275" width="0" style="365" hidden="1" customWidth="1"/>
    <col min="1276" max="1276" width="17.42578125" style="365" customWidth="1"/>
    <col min="1277" max="1277" width="0" style="365" hidden="1" customWidth="1"/>
    <col min="1278" max="1278" width="12.85546875" style="365" customWidth="1"/>
    <col min="1279" max="1279" width="0" style="365" hidden="1" customWidth="1"/>
    <col min="1280" max="1280" width="14.42578125" style="365" customWidth="1"/>
    <col min="1281" max="1281" width="0" style="365" hidden="1" customWidth="1"/>
    <col min="1282" max="1282" width="17.42578125" style="365" customWidth="1"/>
    <col min="1283" max="1283" width="0" style="365" hidden="1" customWidth="1"/>
    <col min="1284" max="1284" width="14" style="365" customWidth="1"/>
    <col min="1285" max="1285" width="14.28515625" style="365" bestFit="1" customWidth="1"/>
    <col min="1286" max="1286" width="0" style="365" hidden="1" customWidth="1"/>
    <col min="1287" max="1287" width="15.5703125" style="365" customWidth="1"/>
    <col min="1288" max="1288" width="44.5703125" style="365" customWidth="1"/>
    <col min="1289" max="1289" width="14.28515625" style="365" bestFit="1" customWidth="1"/>
    <col min="1290" max="1290" width="0" style="365" hidden="1" customWidth="1"/>
    <col min="1291" max="1291" width="18.140625" style="365" customWidth="1"/>
    <col min="1292" max="1292" width="0" style="365" hidden="1" customWidth="1"/>
    <col min="1293" max="1293" width="14" style="365" customWidth="1"/>
    <col min="1294" max="1294" width="0" style="365" hidden="1" customWidth="1"/>
    <col min="1295" max="1295" width="20.85546875" style="365" customWidth="1"/>
    <col min="1296" max="1296" width="0" style="365" hidden="1" customWidth="1"/>
    <col min="1297" max="1297" width="13.28515625" style="365" customWidth="1"/>
    <col min="1298" max="1298" width="0" style="365" hidden="1" customWidth="1"/>
    <col min="1299" max="1299" width="15" style="365" customWidth="1"/>
    <col min="1300" max="1300" width="0" style="365" hidden="1" customWidth="1"/>
    <col min="1301" max="1301" width="13.28515625" style="365" customWidth="1"/>
    <col min="1302" max="1302" width="0" style="365" hidden="1" customWidth="1"/>
    <col min="1303" max="1303" width="20.140625" style="365" customWidth="1"/>
    <col min="1304" max="1304" width="14.42578125" style="365" bestFit="1" customWidth="1"/>
    <col min="1305" max="1305" width="14" style="365" bestFit="1" customWidth="1"/>
    <col min="1306" max="1306" width="12.28515625" style="365" bestFit="1" customWidth="1"/>
    <col min="1307" max="1331" width="9.140625" style="365" customWidth="1"/>
    <col min="1332" max="1526" width="8.85546875" style="365"/>
    <col min="1527" max="1527" width="44.5703125" style="365" customWidth="1"/>
    <col min="1528" max="1528" width="14.28515625" style="365" bestFit="1" customWidth="1"/>
    <col min="1529" max="1529" width="1.7109375" style="365" customWidth="1"/>
    <col min="1530" max="1530" width="14.85546875" style="365" customWidth="1"/>
    <col min="1531" max="1531" width="0" style="365" hidden="1" customWidth="1"/>
    <col min="1532" max="1532" width="17.42578125" style="365" customWidth="1"/>
    <col min="1533" max="1533" width="0" style="365" hidden="1" customWidth="1"/>
    <col min="1534" max="1534" width="12.85546875" style="365" customWidth="1"/>
    <col min="1535" max="1535" width="0" style="365" hidden="1" customWidth="1"/>
    <col min="1536" max="1536" width="14.42578125" style="365" customWidth="1"/>
    <col min="1537" max="1537" width="0" style="365" hidden="1" customWidth="1"/>
    <col min="1538" max="1538" width="17.42578125" style="365" customWidth="1"/>
    <col min="1539" max="1539" width="0" style="365" hidden="1" customWidth="1"/>
    <col min="1540" max="1540" width="14" style="365" customWidth="1"/>
    <col min="1541" max="1541" width="14.28515625" style="365" bestFit="1" customWidth="1"/>
    <col min="1542" max="1542" width="0" style="365" hidden="1" customWidth="1"/>
    <col min="1543" max="1543" width="15.5703125" style="365" customWidth="1"/>
    <col min="1544" max="1544" width="44.5703125" style="365" customWidth="1"/>
    <col min="1545" max="1545" width="14.28515625" style="365" bestFit="1" customWidth="1"/>
    <col min="1546" max="1546" width="0" style="365" hidden="1" customWidth="1"/>
    <col min="1547" max="1547" width="18.140625" style="365" customWidth="1"/>
    <col min="1548" max="1548" width="0" style="365" hidden="1" customWidth="1"/>
    <col min="1549" max="1549" width="14" style="365" customWidth="1"/>
    <col min="1550" max="1550" width="0" style="365" hidden="1" customWidth="1"/>
    <col min="1551" max="1551" width="20.85546875" style="365" customWidth="1"/>
    <col min="1552" max="1552" width="0" style="365" hidden="1" customWidth="1"/>
    <col min="1553" max="1553" width="13.28515625" style="365" customWidth="1"/>
    <col min="1554" max="1554" width="0" style="365" hidden="1" customWidth="1"/>
    <col min="1555" max="1555" width="15" style="365" customWidth="1"/>
    <col min="1556" max="1556" width="0" style="365" hidden="1" customWidth="1"/>
    <col min="1557" max="1557" width="13.28515625" style="365" customWidth="1"/>
    <col min="1558" max="1558" width="0" style="365" hidden="1" customWidth="1"/>
    <col min="1559" max="1559" width="20.140625" style="365" customWidth="1"/>
    <col min="1560" max="1560" width="14.42578125" style="365" bestFit="1" customWidth="1"/>
    <col min="1561" max="1561" width="14" style="365" bestFit="1" customWidth="1"/>
    <col min="1562" max="1562" width="12.28515625" style="365" bestFit="1" customWidth="1"/>
    <col min="1563" max="1587" width="9.140625" style="365" customWidth="1"/>
    <col min="1588" max="1782" width="8.85546875" style="365"/>
    <col min="1783" max="1783" width="44.5703125" style="365" customWidth="1"/>
    <col min="1784" max="1784" width="14.28515625" style="365" bestFit="1" customWidth="1"/>
    <col min="1785" max="1785" width="1.7109375" style="365" customWidth="1"/>
    <col min="1786" max="1786" width="14.85546875" style="365" customWidth="1"/>
    <col min="1787" max="1787" width="0" style="365" hidden="1" customWidth="1"/>
    <col min="1788" max="1788" width="17.42578125" style="365" customWidth="1"/>
    <col min="1789" max="1789" width="0" style="365" hidden="1" customWidth="1"/>
    <col min="1790" max="1790" width="12.85546875" style="365" customWidth="1"/>
    <col min="1791" max="1791" width="0" style="365" hidden="1" customWidth="1"/>
    <col min="1792" max="1792" width="14.42578125" style="365" customWidth="1"/>
    <col min="1793" max="1793" width="0" style="365" hidden="1" customWidth="1"/>
    <col min="1794" max="1794" width="17.42578125" style="365" customWidth="1"/>
    <col min="1795" max="1795" width="0" style="365" hidden="1" customWidth="1"/>
    <col min="1796" max="1796" width="14" style="365" customWidth="1"/>
    <col min="1797" max="1797" width="14.28515625" style="365" bestFit="1" customWidth="1"/>
    <col min="1798" max="1798" width="0" style="365" hidden="1" customWidth="1"/>
    <col min="1799" max="1799" width="15.5703125" style="365" customWidth="1"/>
    <col min="1800" max="1800" width="44.5703125" style="365" customWidth="1"/>
    <col min="1801" max="1801" width="14.28515625" style="365" bestFit="1" customWidth="1"/>
    <col min="1802" max="1802" width="0" style="365" hidden="1" customWidth="1"/>
    <col min="1803" max="1803" width="18.140625" style="365" customWidth="1"/>
    <col min="1804" max="1804" width="0" style="365" hidden="1" customWidth="1"/>
    <col min="1805" max="1805" width="14" style="365" customWidth="1"/>
    <col min="1806" max="1806" width="0" style="365" hidden="1" customWidth="1"/>
    <col min="1807" max="1807" width="20.85546875" style="365" customWidth="1"/>
    <col min="1808" max="1808" width="0" style="365" hidden="1" customWidth="1"/>
    <col min="1809" max="1809" width="13.28515625" style="365" customWidth="1"/>
    <col min="1810" max="1810" width="0" style="365" hidden="1" customWidth="1"/>
    <col min="1811" max="1811" width="15" style="365" customWidth="1"/>
    <col min="1812" max="1812" width="0" style="365" hidden="1" customWidth="1"/>
    <col min="1813" max="1813" width="13.28515625" style="365" customWidth="1"/>
    <col min="1814" max="1814" width="0" style="365" hidden="1" customWidth="1"/>
    <col min="1815" max="1815" width="20.140625" style="365" customWidth="1"/>
    <col min="1816" max="1816" width="14.42578125" style="365" bestFit="1" customWidth="1"/>
    <col min="1817" max="1817" width="14" style="365" bestFit="1" customWidth="1"/>
    <col min="1818" max="1818" width="12.28515625" style="365" bestFit="1" customWidth="1"/>
    <col min="1819" max="1843" width="9.140625" style="365" customWidth="1"/>
    <col min="1844" max="2038" width="8.85546875" style="365"/>
    <col min="2039" max="2039" width="44.5703125" style="365" customWidth="1"/>
    <col min="2040" max="2040" width="14.28515625" style="365" bestFit="1" customWidth="1"/>
    <col min="2041" max="2041" width="1.7109375" style="365" customWidth="1"/>
    <col min="2042" max="2042" width="14.85546875" style="365" customWidth="1"/>
    <col min="2043" max="2043" width="0" style="365" hidden="1" customWidth="1"/>
    <col min="2044" max="2044" width="17.42578125" style="365" customWidth="1"/>
    <col min="2045" max="2045" width="0" style="365" hidden="1" customWidth="1"/>
    <col min="2046" max="2046" width="12.85546875" style="365" customWidth="1"/>
    <col min="2047" max="2047" width="0" style="365" hidden="1" customWidth="1"/>
    <col min="2048" max="2048" width="14.42578125" style="365" customWidth="1"/>
    <col min="2049" max="2049" width="0" style="365" hidden="1" customWidth="1"/>
    <col min="2050" max="2050" width="17.42578125" style="365" customWidth="1"/>
    <col min="2051" max="2051" width="0" style="365" hidden="1" customWidth="1"/>
    <col min="2052" max="2052" width="14" style="365" customWidth="1"/>
    <col min="2053" max="2053" width="14.28515625" style="365" bestFit="1" customWidth="1"/>
    <col min="2054" max="2054" width="0" style="365" hidden="1" customWidth="1"/>
    <col min="2055" max="2055" width="15.5703125" style="365" customWidth="1"/>
    <col min="2056" max="2056" width="44.5703125" style="365" customWidth="1"/>
    <col min="2057" max="2057" width="14.28515625" style="365" bestFit="1" customWidth="1"/>
    <col min="2058" max="2058" width="0" style="365" hidden="1" customWidth="1"/>
    <col min="2059" max="2059" width="18.140625" style="365" customWidth="1"/>
    <col min="2060" max="2060" width="0" style="365" hidden="1" customWidth="1"/>
    <col min="2061" max="2061" width="14" style="365" customWidth="1"/>
    <col min="2062" max="2062" width="0" style="365" hidden="1" customWidth="1"/>
    <col min="2063" max="2063" width="20.85546875" style="365" customWidth="1"/>
    <col min="2064" max="2064" width="0" style="365" hidden="1" customWidth="1"/>
    <col min="2065" max="2065" width="13.28515625" style="365" customWidth="1"/>
    <col min="2066" max="2066" width="0" style="365" hidden="1" customWidth="1"/>
    <col min="2067" max="2067" width="15" style="365" customWidth="1"/>
    <col min="2068" max="2068" width="0" style="365" hidden="1" customWidth="1"/>
    <col min="2069" max="2069" width="13.28515625" style="365" customWidth="1"/>
    <col min="2070" max="2070" width="0" style="365" hidden="1" customWidth="1"/>
    <col min="2071" max="2071" width="20.140625" style="365" customWidth="1"/>
    <col min="2072" max="2072" width="14.42578125" style="365" bestFit="1" customWidth="1"/>
    <col min="2073" max="2073" width="14" style="365" bestFit="1" customWidth="1"/>
    <col min="2074" max="2074" width="12.28515625" style="365" bestFit="1" customWidth="1"/>
    <col min="2075" max="2099" width="9.140625" style="365" customWidth="1"/>
    <col min="2100" max="2294" width="8.85546875" style="365"/>
    <col min="2295" max="2295" width="44.5703125" style="365" customWidth="1"/>
    <col min="2296" max="2296" width="14.28515625" style="365" bestFit="1" customWidth="1"/>
    <col min="2297" max="2297" width="1.7109375" style="365" customWidth="1"/>
    <col min="2298" max="2298" width="14.85546875" style="365" customWidth="1"/>
    <col min="2299" max="2299" width="0" style="365" hidden="1" customWidth="1"/>
    <col min="2300" max="2300" width="17.42578125" style="365" customWidth="1"/>
    <col min="2301" max="2301" width="0" style="365" hidden="1" customWidth="1"/>
    <col min="2302" max="2302" width="12.85546875" style="365" customWidth="1"/>
    <col min="2303" max="2303" width="0" style="365" hidden="1" customWidth="1"/>
    <col min="2304" max="2304" width="14.42578125" style="365" customWidth="1"/>
    <col min="2305" max="2305" width="0" style="365" hidden="1" customWidth="1"/>
    <col min="2306" max="2306" width="17.42578125" style="365" customWidth="1"/>
    <col min="2307" max="2307" width="0" style="365" hidden="1" customWidth="1"/>
    <col min="2308" max="2308" width="14" style="365" customWidth="1"/>
    <col min="2309" max="2309" width="14.28515625" style="365" bestFit="1" customWidth="1"/>
    <col min="2310" max="2310" width="0" style="365" hidden="1" customWidth="1"/>
    <col min="2311" max="2311" width="15.5703125" style="365" customWidth="1"/>
    <col min="2312" max="2312" width="44.5703125" style="365" customWidth="1"/>
    <col min="2313" max="2313" width="14.28515625" style="365" bestFit="1" customWidth="1"/>
    <col min="2314" max="2314" width="0" style="365" hidden="1" customWidth="1"/>
    <col min="2315" max="2315" width="18.140625" style="365" customWidth="1"/>
    <col min="2316" max="2316" width="0" style="365" hidden="1" customWidth="1"/>
    <col min="2317" max="2317" width="14" style="365" customWidth="1"/>
    <col min="2318" max="2318" width="0" style="365" hidden="1" customWidth="1"/>
    <col min="2319" max="2319" width="20.85546875" style="365" customWidth="1"/>
    <col min="2320" max="2320" width="0" style="365" hidden="1" customWidth="1"/>
    <col min="2321" max="2321" width="13.28515625" style="365" customWidth="1"/>
    <col min="2322" max="2322" width="0" style="365" hidden="1" customWidth="1"/>
    <col min="2323" max="2323" width="15" style="365" customWidth="1"/>
    <col min="2324" max="2324" width="0" style="365" hidden="1" customWidth="1"/>
    <col min="2325" max="2325" width="13.28515625" style="365" customWidth="1"/>
    <col min="2326" max="2326" width="0" style="365" hidden="1" customWidth="1"/>
    <col min="2327" max="2327" width="20.140625" style="365" customWidth="1"/>
    <col min="2328" max="2328" width="14.42578125" style="365" bestFit="1" customWidth="1"/>
    <col min="2329" max="2329" width="14" style="365" bestFit="1" customWidth="1"/>
    <col min="2330" max="2330" width="12.28515625" style="365" bestFit="1" customWidth="1"/>
    <col min="2331" max="2355" width="9.140625" style="365" customWidth="1"/>
    <col min="2356" max="2550" width="8.85546875" style="365"/>
    <col min="2551" max="2551" width="44.5703125" style="365" customWidth="1"/>
    <col min="2552" max="2552" width="14.28515625" style="365" bestFit="1" customWidth="1"/>
    <col min="2553" max="2553" width="1.7109375" style="365" customWidth="1"/>
    <col min="2554" max="2554" width="14.85546875" style="365" customWidth="1"/>
    <col min="2555" max="2555" width="0" style="365" hidden="1" customWidth="1"/>
    <col min="2556" max="2556" width="17.42578125" style="365" customWidth="1"/>
    <col min="2557" max="2557" width="0" style="365" hidden="1" customWidth="1"/>
    <col min="2558" max="2558" width="12.85546875" style="365" customWidth="1"/>
    <col min="2559" max="2559" width="0" style="365" hidden="1" customWidth="1"/>
    <col min="2560" max="2560" width="14.42578125" style="365" customWidth="1"/>
    <col min="2561" max="2561" width="0" style="365" hidden="1" customWidth="1"/>
    <col min="2562" max="2562" width="17.42578125" style="365" customWidth="1"/>
    <col min="2563" max="2563" width="0" style="365" hidden="1" customWidth="1"/>
    <col min="2564" max="2564" width="14" style="365" customWidth="1"/>
    <col min="2565" max="2565" width="14.28515625" style="365" bestFit="1" customWidth="1"/>
    <col min="2566" max="2566" width="0" style="365" hidden="1" customWidth="1"/>
    <col min="2567" max="2567" width="15.5703125" style="365" customWidth="1"/>
    <col min="2568" max="2568" width="44.5703125" style="365" customWidth="1"/>
    <col min="2569" max="2569" width="14.28515625" style="365" bestFit="1" customWidth="1"/>
    <col min="2570" max="2570" width="0" style="365" hidden="1" customWidth="1"/>
    <col min="2571" max="2571" width="18.140625" style="365" customWidth="1"/>
    <col min="2572" max="2572" width="0" style="365" hidden="1" customWidth="1"/>
    <col min="2573" max="2573" width="14" style="365" customWidth="1"/>
    <col min="2574" max="2574" width="0" style="365" hidden="1" customWidth="1"/>
    <col min="2575" max="2575" width="20.85546875" style="365" customWidth="1"/>
    <col min="2576" max="2576" width="0" style="365" hidden="1" customWidth="1"/>
    <col min="2577" max="2577" width="13.28515625" style="365" customWidth="1"/>
    <col min="2578" max="2578" width="0" style="365" hidden="1" customWidth="1"/>
    <col min="2579" max="2579" width="15" style="365" customWidth="1"/>
    <col min="2580" max="2580" width="0" style="365" hidden="1" customWidth="1"/>
    <col min="2581" max="2581" width="13.28515625" style="365" customWidth="1"/>
    <col min="2582" max="2582" width="0" style="365" hidden="1" customWidth="1"/>
    <col min="2583" max="2583" width="20.140625" style="365" customWidth="1"/>
    <col min="2584" max="2584" width="14.42578125" style="365" bestFit="1" customWidth="1"/>
    <col min="2585" max="2585" width="14" style="365" bestFit="1" customWidth="1"/>
    <col min="2586" max="2586" width="12.28515625" style="365" bestFit="1" customWidth="1"/>
    <col min="2587" max="2611" width="9.140625" style="365" customWidth="1"/>
    <col min="2612" max="2806" width="8.85546875" style="365"/>
    <col min="2807" max="2807" width="44.5703125" style="365" customWidth="1"/>
    <col min="2808" max="2808" width="14.28515625" style="365" bestFit="1" customWidth="1"/>
    <col min="2809" max="2809" width="1.7109375" style="365" customWidth="1"/>
    <col min="2810" max="2810" width="14.85546875" style="365" customWidth="1"/>
    <col min="2811" max="2811" width="0" style="365" hidden="1" customWidth="1"/>
    <col min="2812" max="2812" width="17.42578125" style="365" customWidth="1"/>
    <col min="2813" max="2813" width="0" style="365" hidden="1" customWidth="1"/>
    <col min="2814" max="2814" width="12.85546875" style="365" customWidth="1"/>
    <col min="2815" max="2815" width="0" style="365" hidden="1" customWidth="1"/>
    <col min="2816" max="2816" width="14.42578125" style="365" customWidth="1"/>
    <col min="2817" max="2817" width="0" style="365" hidden="1" customWidth="1"/>
    <col min="2818" max="2818" width="17.42578125" style="365" customWidth="1"/>
    <col min="2819" max="2819" width="0" style="365" hidden="1" customWidth="1"/>
    <col min="2820" max="2820" width="14" style="365" customWidth="1"/>
    <col min="2821" max="2821" width="14.28515625" style="365" bestFit="1" customWidth="1"/>
    <col min="2822" max="2822" width="0" style="365" hidden="1" customWidth="1"/>
    <col min="2823" max="2823" width="15.5703125" style="365" customWidth="1"/>
    <col min="2824" max="2824" width="44.5703125" style="365" customWidth="1"/>
    <col min="2825" max="2825" width="14.28515625" style="365" bestFit="1" customWidth="1"/>
    <col min="2826" max="2826" width="0" style="365" hidden="1" customWidth="1"/>
    <col min="2827" max="2827" width="18.140625" style="365" customWidth="1"/>
    <col min="2828" max="2828" width="0" style="365" hidden="1" customWidth="1"/>
    <col min="2829" max="2829" width="14" style="365" customWidth="1"/>
    <col min="2830" max="2830" width="0" style="365" hidden="1" customWidth="1"/>
    <col min="2831" max="2831" width="20.85546875" style="365" customWidth="1"/>
    <col min="2832" max="2832" width="0" style="365" hidden="1" customWidth="1"/>
    <col min="2833" max="2833" width="13.28515625" style="365" customWidth="1"/>
    <col min="2834" max="2834" width="0" style="365" hidden="1" customWidth="1"/>
    <col min="2835" max="2835" width="15" style="365" customWidth="1"/>
    <col min="2836" max="2836" width="0" style="365" hidden="1" customWidth="1"/>
    <col min="2837" max="2837" width="13.28515625" style="365" customWidth="1"/>
    <col min="2838" max="2838" width="0" style="365" hidden="1" customWidth="1"/>
    <col min="2839" max="2839" width="20.140625" style="365" customWidth="1"/>
    <col min="2840" max="2840" width="14.42578125" style="365" bestFit="1" customWidth="1"/>
    <col min="2841" max="2841" width="14" style="365" bestFit="1" customWidth="1"/>
    <col min="2842" max="2842" width="12.28515625" style="365" bestFit="1" customWidth="1"/>
    <col min="2843" max="2867" width="9.140625" style="365" customWidth="1"/>
    <col min="2868" max="3062" width="8.85546875" style="365"/>
    <col min="3063" max="3063" width="44.5703125" style="365" customWidth="1"/>
    <col min="3064" max="3064" width="14.28515625" style="365" bestFit="1" customWidth="1"/>
    <col min="3065" max="3065" width="1.7109375" style="365" customWidth="1"/>
    <col min="3066" max="3066" width="14.85546875" style="365" customWidth="1"/>
    <col min="3067" max="3067" width="0" style="365" hidden="1" customWidth="1"/>
    <col min="3068" max="3068" width="17.42578125" style="365" customWidth="1"/>
    <col min="3069" max="3069" width="0" style="365" hidden="1" customWidth="1"/>
    <col min="3070" max="3070" width="12.85546875" style="365" customWidth="1"/>
    <col min="3071" max="3071" width="0" style="365" hidden="1" customWidth="1"/>
    <col min="3072" max="3072" width="14.42578125" style="365" customWidth="1"/>
    <col min="3073" max="3073" width="0" style="365" hidden="1" customWidth="1"/>
    <col min="3074" max="3074" width="17.42578125" style="365" customWidth="1"/>
    <col min="3075" max="3075" width="0" style="365" hidden="1" customWidth="1"/>
    <col min="3076" max="3076" width="14" style="365" customWidth="1"/>
    <col min="3077" max="3077" width="14.28515625" style="365" bestFit="1" customWidth="1"/>
    <col min="3078" max="3078" width="0" style="365" hidden="1" customWidth="1"/>
    <col min="3079" max="3079" width="15.5703125" style="365" customWidth="1"/>
    <col min="3080" max="3080" width="44.5703125" style="365" customWidth="1"/>
    <col min="3081" max="3081" width="14.28515625" style="365" bestFit="1" customWidth="1"/>
    <col min="3082" max="3082" width="0" style="365" hidden="1" customWidth="1"/>
    <col min="3083" max="3083" width="18.140625" style="365" customWidth="1"/>
    <col min="3084" max="3084" width="0" style="365" hidden="1" customWidth="1"/>
    <col min="3085" max="3085" width="14" style="365" customWidth="1"/>
    <col min="3086" max="3086" width="0" style="365" hidden="1" customWidth="1"/>
    <col min="3087" max="3087" width="20.85546875" style="365" customWidth="1"/>
    <col min="3088" max="3088" width="0" style="365" hidden="1" customWidth="1"/>
    <col min="3089" max="3089" width="13.28515625" style="365" customWidth="1"/>
    <col min="3090" max="3090" width="0" style="365" hidden="1" customWidth="1"/>
    <col min="3091" max="3091" width="15" style="365" customWidth="1"/>
    <col min="3092" max="3092" width="0" style="365" hidden="1" customWidth="1"/>
    <col min="3093" max="3093" width="13.28515625" style="365" customWidth="1"/>
    <col min="3094" max="3094" width="0" style="365" hidden="1" customWidth="1"/>
    <col min="3095" max="3095" width="20.140625" style="365" customWidth="1"/>
    <col min="3096" max="3096" width="14.42578125" style="365" bestFit="1" customWidth="1"/>
    <col min="3097" max="3097" width="14" style="365" bestFit="1" customWidth="1"/>
    <col min="3098" max="3098" width="12.28515625" style="365" bestFit="1" customWidth="1"/>
    <col min="3099" max="3123" width="9.140625" style="365" customWidth="1"/>
    <col min="3124" max="3318" width="8.85546875" style="365"/>
    <col min="3319" max="3319" width="44.5703125" style="365" customWidth="1"/>
    <col min="3320" max="3320" width="14.28515625" style="365" bestFit="1" customWidth="1"/>
    <col min="3321" max="3321" width="1.7109375" style="365" customWidth="1"/>
    <col min="3322" max="3322" width="14.85546875" style="365" customWidth="1"/>
    <col min="3323" max="3323" width="0" style="365" hidden="1" customWidth="1"/>
    <col min="3324" max="3324" width="17.42578125" style="365" customWidth="1"/>
    <col min="3325" max="3325" width="0" style="365" hidden="1" customWidth="1"/>
    <col min="3326" max="3326" width="12.85546875" style="365" customWidth="1"/>
    <col min="3327" max="3327" width="0" style="365" hidden="1" customWidth="1"/>
    <col min="3328" max="3328" width="14.42578125" style="365" customWidth="1"/>
    <col min="3329" max="3329" width="0" style="365" hidden="1" customWidth="1"/>
    <col min="3330" max="3330" width="17.42578125" style="365" customWidth="1"/>
    <col min="3331" max="3331" width="0" style="365" hidden="1" customWidth="1"/>
    <col min="3332" max="3332" width="14" style="365" customWidth="1"/>
    <col min="3333" max="3333" width="14.28515625" style="365" bestFit="1" customWidth="1"/>
    <col min="3334" max="3334" width="0" style="365" hidden="1" customWidth="1"/>
    <col min="3335" max="3335" width="15.5703125" style="365" customWidth="1"/>
    <col min="3336" max="3336" width="44.5703125" style="365" customWidth="1"/>
    <col min="3337" max="3337" width="14.28515625" style="365" bestFit="1" customWidth="1"/>
    <col min="3338" max="3338" width="0" style="365" hidden="1" customWidth="1"/>
    <col min="3339" max="3339" width="18.140625" style="365" customWidth="1"/>
    <col min="3340" max="3340" width="0" style="365" hidden="1" customWidth="1"/>
    <col min="3341" max="3341" width="14" style="365" customWidth="1"/>
    <col min="3342" max="3342" width="0" style="365" hidden="1" customWidth="1"/>
    <col min="3343" max="3343" width="20.85546875" style="365" customWidth="1"/>
    <col min="3344" max="3344" width="0" style="365" hidden="1" customWidth="1"/>
    <col min="3345" max="3345" width="13.28515625" style="365" customWidth="1"/>
    <col min="3346" max="3346" width="0" style="365" hidden="1" customWidth="1"/>
    <col min="3347" max="3347" width="15" style="365" customWidth="1"/>
    <col min="3348" max="3348" width="0" style="365" hidden="1" customWidth="1"/>
    <col min="3349" max="3349" width="13.28515625" style="365" customWidth="1"/>
    <col min="3350" max="3350" width="0" style="365" hidden="1" customWidth="1"/>
    <col min="3351" max="3351" width="20.140625" style="365" customWidth="1"/>
    <col min="3352" max="3352" width="14.42578125" style="365" bestFit="1" customWidth="1"/>
    <col min="3353" max="3353" width="14" style="365" bestFit="1" customWidth="1"/>
    <col min="3354" max="3354" width="12.28515625" style="365" bestFit="1" customWidth="1"/>
    <col min="3355" max="3379" width="9.140625" style="365" customWidth="1"/>
    <col min="3380" max="3574" width="8.85546875" style="365"/>
    <col min="3575" max="3575" width="44.5703125" style="365" customWidth="1"/>
    <col min="3576" max="3576" width="14.28515625" style="365" bestFit="1" customWidth="1"/>
    <col min="3577" max="3577" width="1.7109375" style="365" customWidth="1"/>
    <col min="3578" max="3578" width="14.85546875" style="365" customWidth="1"/>
    <col min="3579" max="3579" width="0" style="365" hidden="1" customWidth="1"/>
    <col min="3580" max="3580" width="17.42578125" style="365" customWidth="1"/>
    <col min="3581" max="3581" width="0" style="365" hidden="1" customWidth="1"/>
    <col min="3582" max="3582" width="12.85546875" style="365" customWidth="1"/>
    <col min="3583" max="3583" width="0" style="365" hidden="1" customWidth="1"/>
    <col min="3584" max="3584" width="14.42578125" style="365" customWidth="1"/>
    <col min="3585" max="3585" width="0" style="365" hidden="1" customWidth="1"/>
    <col min="3586" max="3586" width="17.42578125" style="365" customWidth="1"/>
    <col min="3587" max="3587" width="0" style="365" hidden="1" customWidth="1"/>
    <col min="3588" max="3588" width="14" style="365" customWidth="1"/>
    <col min="3589" max="3589" width="14.28515625" style="365" bestFit="1" customWidth="1"/>
    <col min="3590" max="3590" width="0" style="365" hidden="1" customWidth="1"/>
    <col min="3591" max="3591" width="15.5703125" style="365" customWidth="1"/>
    <col min="3592" max="3592" width="44.5703125" style="365" customWidth="1"/>
    <col min="3593" max="3593" width="14.28515625" style="365" bestFit="1" customWidth="1"/>
    <col min="3594" max="3594" width="0" style="365" hidden="1" customWidth="1"/>
    <col min="3595" max="3595" width="18.140625" style="365" customWidth="1"/>
    <col min="3596" max="3596" width="0" style="365" hidden="1" customWidth="1"/>
    <col min="3597" max="3597" width="14" style="365" customWidth="1"/>
    <col min="3598" max="3598" width="0" style="365" hidden="1" customWidth="1"/>
    <col min="3599" max="3599" width="20.85546875" style="365" customWidth="1"/>
    <col min="3600" max="3600" width="0" style="365" hidden="1" customWidth="1"/>
    <col min="3601" max="3601" width="13.28515625" style="365" customWidth="1"/>
    <col min="3602" max="3602" width="0" style="365" hidden="1" customWidth="1"/>
    <col min="3603" max="3603" width="15" style="365" customWidth="1"/>
    <col min="3604" max="3604" width="0" style="365" hidden="1" customWidth="1"/>
    <col min="3605" max="3605" width="13.28515625" style="365" customWidth="1"/>
    <col min="3606" max="3606" width="0" style="365" hidden="1" customWidth="1"/>
    <col min="3607" max="3607" width="20.140625" style="365" customWidth="1"/>
    <col min="3608" max="3608" width="14.42578125" style="365" bestFit="1" customWidth="1"/>
    <col min="3609" max="3609" width="14" style="365" bestFit="1" customWidth="1"/>
    <col min="3610" max="3610" width="12.28515625" style="365" bestFit="1" customWidth="1"/>
    <col min="3611" max="3635" width="9.140625" style="365" customWidth="1"/>
    <col min="3636" max="3830" width="8.85546875" style="365"/>
    <col min="3831" max="3831" width="44.5703125" style="365" customWidth="1"/>
    <col min="3832" max="3832" width="14.28515625" style="365" bestFit="1" customWidth="1"/>
    <col min="3833" max="3833" width="1.7109375" style="365" customWidth="1"/>
    <col min="3834" max="3834" width="14.85546875" style="365" customWidth="1"/>
    <col min="3835" max="3835" width="0" style="365" hidden="1" customWidth="1"/>
    <col min="3836" max="3836" width="17.42578125" style="365" customWidth="1"/>
    <col min="3837" max="3837" width="0" style="365" hidden="1" customWidth="1"/>
    <col min="3838" max="3838" width="12.85546875" style="365" customWidth="1"/>
    <col min="3839" max="3839" width="0" style="365" hidden="1" customWidth="1"/>
    <col min="3840" max="3840" width="14.42578125" style="365" customWidth="1"/>
    <col min="3841" max="3841" width="0" style="365" hidden="1" customWidth="1"/>
    <col min="3842" max="3842" width="17.42578125" style="365" customWidth="1"/>
    <col min="3843" max="3843" width="0" style="365" hidden="1" customWidth="1"/>
    <col min="3844" max="3844" width="14" style="365" customWidth="1"/>
    <col min="3845" max="3845" width="14.28515625" style="365" bestFit="1" customWidth="1"/>
    <col min="3846" max="3846" width="0" style="365" hidden="1" customWidth="1"/>
    <col min="3847" max="3847" width="15.5703125" style="365" customWidth="1"/>
    <col min="3848" max="3848" width="44.5703125" style="365" customWidth="1"/>
    <col min="3849" max="3849" width="14.28515625" style="365" bestFit="1" customWidth="1"/>
    <col min="3850" max="3850" width="0" style="365" hidden="1" customWidth="1"/>
    <col min="3851" max="3851" width="18.140625" style="365" customWidth="1"/>
    <col min="3852" max="3852" width="0" style="365" hidden="1" customWidth="1"/>
    <col min="3853" max="3853" width="14" style="365" customWidth="1"/>
    <col min="3854" max="3854" width="0" style="365" hidden="1" customWidth="1"/>
    <col min="3855" max="3855" width="20.85546875" style="365" customWidth="1"/>
    <col min="3856" max="3856" width="0" style="365" hidden="1" customWidth="1"/>
    <col min="3857" max="3857" width="13.28515625" style="365" customWidth="1"/>
    <col min="3858" max="3858" width="0" style="365" hidden="1" customWidth="1"/>
    <col min="3859" max="3859" width="15" style="365" customWidth="1"/>
    <col min="3860" max="3860" width="0" style="365" hidden="1" customWidth="1"/>
    <col min="3861" max="3861" width="13.28515625" style="365" customWidth="1"/>
    <col min="3862" max="3862" width="0" style="365" hidden="1" customWidth="1"/>
    <col min="3863" max="3863" width="20.140625" style="365" customWidth="1"/>
    <col min="3864" max="3864" width="14.42578125" style="365" bestFit="1" customWidth="1"/>
    <col min="3865" max="3865" width="14" style="365" bestFit="1" customWidth="1"/>
    <col min="3866" max="3866" width="12.28515625" style="365" bestFit="1" customWidth="1"/>
    <col min="3867" max="3891" width="9.140625" style="365" customWidth="1"/>
    <col min="3892" max="4086" width="8.85546875" style="365"/>
    <col min="4087" max="4087" width="44.5703125" style="365" customWidth="1"/>
    <col min="4088" max="4088" width="14.28515625" style="365" bestFit="1" customWidth="1"/>
    <col min="4089" max="4089" width="1.7109375" style="365" customWidth="1"/>
    <col min="4090" max="4090" width="14.85546875" style="365" customWidth="1"/>
    <col min="4091" max="4091" width="0" style="365" hidden="1" customWidth="1"/>
    <col min="4092" max="4092" width="17.42578125" style="365" customWidth="1"/>
    <col min="4093" max="4093" width="0" style="365" hidden="1" customWidth="1"/>
    <col min="4094" max="4094" width="12.85546875" style="365" customWidth="1"/>
    <col min="4095" max="4095" width="0" style="365" hidden="1" customWidth="1"/>
    <col min="4096" max="4096" width="14.42578125" style="365" customWidth="1"/>
    <col min="4097" max="4097" width="0" style="365" hidden="1" customWidth="1"/>
    <col min="4098" max="4098" width="17.42578125" style="365" customWidth="1"/>
    <col min="4099" max="4099" width="0" style="365" hidden="1" customWidth="1"/>
    <col min="4100" max="4100" width="14" style="365" customWidth="1"/>
    <col min="4101" max="4101" width="14.28515625" style="365" bestFit="1" customWidth="1"/>
    <col min="4102" max="4102" width="0" style="365" hidden="1" customWidth="1"/>
    <col min="4103" max="4103" width="15.5703125" style="365" customWidth="1"/>
    <col min="4104" max="4104" width="44.5703125" style="365" customWidth="1"/>
    <col min="4105" max="4105" width="14.28515625" style="365" bestFit="1" customWidth="1"/>
    <col min="4106" max="4106" width="0" style="365" hidden="1" customWidth="1"/>
    <col min="4107" max="4107" width="18.140625" style="365" customWidth="1"/>
    <col min="4108" max="4108" width="0" style="365" hidden="1" customWidth="1"/>
    <col min="4109" max="4109" width="14" style="365" customWidth="1"/>
    <col min="4110" max="4110" width="0" style="365" hidden="1" customWidth="1"/>
    <col min="4111" max="4111" width="20.85546875" style="365" customWidth="1"/>
    <col min="4112" max="4112" width="0" style="365" hidden="1" customWidth="1"/>
    <col min="4113" max="4113" width="13.28515625" style="365" customWidth="1"/>
    <col min="4114" max="4114" width="0" style="365" hidden="1" customWidth="1"/>
    <col min="4115" max="4115" width="15" style="365" customWidth="1"/>
    <col min="4116" max="4116" width="0" style="365" hidden="1" customWidth="1"/>
    <col min="4117" max="4117" width="13.28515625" style="365" customWidth="1"/>
    <col min="4118" max="4118" width="0" style="365" hidden="1" customWidth="1"/>
    <col min="4119" max="4119" width="20.140625" style="365" customWidth="1"/>
    <col min="4120" max="4120" width="14.42578125" style="365" bestFit="1" customWidth="1"/>
    <col min="4121" max="4121" width="14" style="365" bestFit="1" customWidth="1"/>
    <col min="4122" max="4122" width="12.28515625" style="365" bestFit="1" customWidth="1"/>
    <col min="4123" max="4147" width="9.140625" style="365" customWidth="1"/>
    <col min="4148" max="4342" width="8.85546875" style="365"/>
    <col min="4343" max="4343" width="44.5703125" style="365" customWidth="1"/>
    <col min="4344" max="4344" width="14.28515625" style="365" bestFit="1" customWidth="1"/>
    <col min="4345" max="4345" width="1.7109375" style="365" customWidth="1"/>
    <col min="4346" max="4346" width="14.85546875" style="365" customWidth="1"/>
    <col min="4347" max="4347" width="0" style="365" hidden="1" customWidth="1"/>
    <col min="4348" max="4348" width="17.42578125" style="365" customWidth="1"/>
    <col min="4349" max="4349" width="0" style="365" hidden="1" customWidth="1"/>
    <col min="4350" max="4350" width="12.85546875" style="365" customWidth="1"/>
    <col min="4351" max="4351" width="0" style="365" hidden="1" customWidth="1"/>
    <col min="4352" max="4352" width="14.42578125" style="365" customWidth="1"/>
    <col min="4353" max="4353" width="0" style="365" hidden="1" customWidth="1"/>
    <col min="4354" max="4354" width="17.42578125" style="365" customWidth="1"/>
    <col min="4355" max="4355" width="0" style="365" hidden="1" customWidth="1"/>
    <col min="4356" max="4356" width="14" style="365" customWidth="1"/>
    <col min="4357" max="4357" width="14.28515625" style="365" bestFit="1" customWidth="1"/>
    <col min="4358" max="4358" width="0" style="365" hidden="1" customWidth="1"/>
    <col min="4359" max="4359" width="15.5703125" style="365" customWidth="1"/>
    <col min="4360" max="4360" width="44.5703125" style="365" customWidth="1"/>
    <col min="4361" max="4361" width="14.28515625" style="365" bestFit="1" customWidth="1"/>
    <col min="4362" max="4362" width="0" style="365" hidden="1" customWidth="1"/>
    <col min="4363" max="4363" width="18.140625" style="365" customWidth="1"/>
    <col min="4364" max="4364" width="0" style="365" hidden="1" customWidth="1"/>
    <col min="4365" max="4365" width="14" style="365" customWidth="1"/>
    <col min="4366" max="4366" width="0" style="365" hidden="1" customWidth="1"/>
    <col min="4367" max="4367" width="20.85546875" style="365" customWidth="1"/>
    <col min="4368" max="4368" width="0" style="365" hidden="1" customWidth="1"/>
    <col min="4369" max="4369" width="13.28515625" style="365" customWidth="1"/>
    <col min="4370" max="4370" width="0" style="365" hidden="1" customWidth="1"/>
    <col min="4371" max="4371" width="15" style="365" customWidth="1"/>
    <col min="4372" max="4372" width="0" style="365" hidden="1" customWidth="1"/>
    <col min="4373" max="4373" width="13.28515625" style="365" customWidth="1"/>
    <col min="4374" max="4374" width="0" style="365" hidden="1" customWidth="1"/>
    <col min="4375" max="4375" width="20.140625" style="365" customWidth="1"/>
    <col min="4376" max="4376" width="14.42578125" style="365" bestFit="1" customWidth="1"/>
    <col min="4377" max="4377" width="14" style="365" bestFit="1" customWidth="1"/>
    <col min="4378" max="4378" width="12.28515625" style="365" bestFit="1" customWidth="1"/>
    <col min="4379" max="4403" width="9.140625" style="365" customWidth="1"/>
    <col min="4404" max="4598" width="8.85546875" style="365"/>
    <col min="4599" max="4599" width="44.5703125" style="365" customWidth="1"/>
    <col min="4600" max="4600" width="14.28515625" style="365" bestFit="1" customWidth="1"/>
    <col min="4601" max="4601" width="1.7109375" style="365" customWidth="1"/>
    <col min="4602" max="4602" width="14.85546875" style="365" customWidth="1"/>
    <col min="4603" max="4603" width="0" style="365" hidden="1" customWidth="1"/>
    <col min="4604" max="4604" width="17.42578125" style="365" customWidth="1"/>
    <col min="4605" max="4605" width="0" style="365" hidden="1" customWidth="1"/>
    <col min="4606" max="4606" width="12.85546875" style="365" customWidth="1"/>
    <col min="4607" max="4607" width="0" style="365" hidden="1" customWidth="1"/>
    <col min="4608" max="4608" width="14.42578125" style="365" customWidth="1"/>
    <col min="4609" max="4609" width="0" style="365" hidden="1" customWidth="1"/>
    <col min="4610" max="4610" width="17.42578125" style="365" customWidth="1"/>
    <col min="4611" max="4611" width="0" style="365" hidden="1" customWidth="1"/>
    <col min="4612" max="4612" width="14" style="365" customWidth="1"/>
    <col min="4613" max="4613" width="14.28515625" style="365" bestFit="1" customWidth="1"/>
    <col min="4614" max="4614" width="0" style="365" hidden="1" customWidth="1"/>
    <col min="4615" max="4615" width="15.5703125" style="365" customWidth="1"/>
    <col min="4616" max="4616" width="44.5703125" style="365" customWidth="1"/>
    <col min="4617" max="4617" width="14.28515625" style="365" bestFit="1" customWidth="1"/>
    <col min="4618" max="4618" width="0" style="365" hidden="1" customWidth="1"/>
    <col min="4619" max="4619" width="18.140625" style="365" customWidth="1"/>
    <col min="4620" max="4620" width="0" style="365" hidden="1" customWidth="1"/>
    <col min="4621" max="4621" width="14" style="365" customWidth="1"/>
    <col min="4622" max="4622" width="0" style="365" hidden="1" customWidth="1"/>
    <col min="4623" max="4623" width="20.85546875" style="365" customWidth="1"/>
    <col min="4624" max="4624" width="0" style="365" hidden="1" customWidth="1"/>
    <col min="4625" max="4625" width="13.28515625" style="365" customWidth="1"/>
    <col min="4626" max="4626" width="0" style="365" hidden="1" customWidth="1"/>
    <col min="4627" max="4627" width="15" style="365" customWidth="1"/>
    <col min="4628" max="4628" width="0" style="365" hidden="1" customWidth="1"/>
    <col min="4629" max="4629" width="13.28515625" style="365" customWidth="1"/>
    <col min="4630" max="4630" width="0" style="365" hidden="1" customWidth="1"/>
    <col min="4631" max="4631" width="20.140625" style="365" customWidth="1"/>
    <col min="4632" max="4632" width="14.42578125" style="365" bestFit="1" customWidth="1"/>
    <col min="4633" max="4633" width="14" style="365" bestFit="1" customWidth="1"/>
    <col min="4634" max="4634" width="12.28515625" style="365" bestFit="1" customWidth="1"/>
    <col min="4635" max="4659" width="9.140625" style="365" customWidth="1"/>
    <col min="4660" max="4854" width="8.85546875" style="365"/>
    <col min="4855" max="4855" width="44.5703125" style="365" customWidth="1"/>
    <col min="4856" max="4856" width="14.28515625" style="365" bestFit="1" customWidth="1"/>
    <col min="4857" max="4857" width="1.7109375" style="365" customWidth="1"/>
    <col min="4858" max="4858" width="14.85546875" style="365" customWidth="1"/>
    <col min="4859" max="4859" width="0" style="365" hidden="1" customWidth="1"/>
    <col min="4860" max="4860" width="17.42578125" style="365" customWidth="1"/>
    <col min="4861" max="4861" width="0" style="365" hidden="1" customWidth="1"/>
    <col min="4862" max="4862" width="12.85546875" style="365" customWidth="1"/>
    <col min="4863" max="4863" width="0" style="365" hidden="1" customWidth="1"/>
    <col min="4864" max="4864" width="14.42578125" style="365" customWidth="1"/>
    <col min="4865" max="4865" width="0" style="365" hidden="1" customWidth="1"/>
    <col min="4866" max="4866" width="17.42578125" style="365" customWidth="1"/>
    <col min="4867" max="4867" width="0" style="365" hidden="1" customWidth="1"/>
    <col min="4868" max="4868" width="14" style="365" customWidth="1"/>
    <col min="4869" max="4869" width="14.28515625" style="365" bestFit="1" customWidth="1"/>
    <col min="4870" max="4870" width="0" style="365" hidden="1" customWidth="1"/>
    <col min="4871" max="4871" width="15.5703125" style="365" customWidth="1"/>
    <col min="4872" max="4872" width="44.5703125" style="365" customWidth="1"/>
    <col min="4873" max="4873" width="14.28515625" style="365" bestFit="1" customWidth="1"/>
    <col min="4874" max="4874" width="0" style="365" hidden="1" customWidth="1"/>
    <col min="4875" max="4875" width="18.140625" style="365" customWidth="1"/>
    <col min="4876" max="4876" width="0" style="365" hidden="1" customWidth="1"/>
    <col min="4877" max="4877" width="14" style="365" customWidth="1"/>
    <col min="4878" max="4878" width="0" style="365" hidden="1" customWidth="1"/>
    <col min="4879" max="4879" width="20.85546875" style="365" customWidth="1"/>
    <col min="4880" max="4880" width="0" style="365" hidden="1" customWidth="1"/>
    <col min="4881" max="4881" width="13.28515625" style="365" customWidth="1"/>
    <col min="4882" max="4882" width="0" style="365" hidden="1" customWidth="1"/>
    <col min="4883" max="4883" width="15" style="365" customWidth="1"/>
    <col min="4884" max="4884" width="0" style="365" hidden="1" customWidth="1"/>
    <col min="4885" max="4885" width="13.28515625" style="365" customWidth="1"/>
    <col min="4886" max="4886" width="0" style="365" hidden="1" customWidth="1"/>
    <col min="4887" max="4887" width="20.140625" style="365" customWidth="1"/>
    <col min="4888" max="4888" width="14.42578125" style="365" bestFit="1" customWidth="1"/>
    <col min="4889" max="4889" width="14" style="365" bestFit="1" customWidth="1"/>
    <col min="4890" max="4890" width="12.28515625" style="365" bestFit="1" customWidth="1"/>
    <col min="4891" max="4915" width="9.140625" style="365" customWidth="1"/>
    <col min="4916" max="5110" width="8.85546875" style="365"/>
    <col min="5111" max="5111" width="44.5703125" style="365" customWidth="1"/>
    <col min="5112" max="5112" width="14.28515625" style="365" bestFit="1" customWidth="1"/>
    <col min="5113" max="5113" width="1.7109375" style="365" customWidth="1"/>
    <col min="5114" max="5114" width="14.85546875" style="365" customWidth="1"/>
    <col min="5115" max="5115" width="0" style="365" hidden="1" customWidth="1"/>
    <col min="5116" max="5116" width="17.42578125" style="365" customWidth="1"/>
    <col min="5117" max="5117" width="0" style="365" hidden="1" customWidth="1"/>
    <col min="5118" max="5118" width="12.85546875" style="365" customWidth="1"/>
    <col min="5119" max="5119" width="0" style="365" hidden="1" customWidth="1"/>
    <col min="5120" max="5120" width="14.42578125" style="365" customWidth="1"/>
    <col min="5121" max="5121" width="0" style="365" hidden="1" customWidth="1"/>
    <col min="5122" max="5122" width="17.42578125" style="365" customWidth="1"/>
    <col min="5123" max="5123" width="0" style="365" hidden="1" customWidth="1"/>
    <col min="5124" max="5124" width="14" style="365" customWidth="1"/>
    <col min="5125" max="5125" width="14.28515625" style="365" bestFit="1" customWidth="1"/>
    <col min="5126" max="5126" width="0" style="365" hidden="1" customWidth="1"/>
    <col min="5127" max="5127" width="15.5703125" style="365" customWidth="1"/>
    <col min="5128" max="5128" width="44.5703125" style="365" customWidth="1"/>
    <col min="5129" max="5129" width="14.28515625" style="365" bestFit="1" customWidth="1"/>
    <col min="5130" max="5130" width="0" style="365" hidden="1" customWidth="1"/>
    <col min="5131" max="5131" width="18.140625" style="365" customWidth="1"/>
    <col min="5132" max="5132" width="0" style="365" hidden="1" customWidth="1"/>
    <col min="5133" max="5133" width="14" style="365" customWidth="1"/>
    <col min="5134" max="5134" width="0" style="365" hidden="1" customWidth="1"/>
    <col min="5135" max="5135" width="20.85546875" style="365" customWidth="1"/>
    <col min="5136" max="5136" width="0" style="365" hidden="1" customWidth="1"/>
    <col min="5137" max="5137" width="13.28515625" style="365" customWidth="1"/>
    <col min="5138" max="5138" width="0" style="365" hidden="1" customWidth="1"/>
    <col min="5139" max="5139" width="15" style="365" customWidth="1"/>
    <col min="5140" max="5140" width="0" style="365" hidden="1" customWidth="1"/>
    <col min="5141" max="5141" width="13.28515625" style="365" customWidth="1"/>
    <col min="5142" max="5142" width="0" style="365" hidden="1" customWidth="1"/>
    <col min="5143" max="5143" width="20.140625" style="365" customWidth="1"/>
    <col min="5144" max="5144" width="14.42578125" style="365" bestFit="1" customWidth="1"/>
    <col min="5145" max="5145" width="14" style="365" bestFit="1" customWidth="1"/>
    <col min="5146" max="5146" width="12.28515625" style="365" bestFit="1" customWidth="1"/>
    <col min="5147" max="5171" width="9.140625" style="365" customWidth="1"/>
    <col min="5172" max="5366" width="8.85546875" style="365"/>
    <col min="5367" max="5367" width="44.5703125" style="365" customWidth="1"/>
    <col min="5368" max="5368" width="14.28515625" style="365" bestFit="1" customWidth="1"/>
    <col min="5369" max="5369" width="1.7109375" style="365" customWidth="1"/>
    <col min="5370" max="5370" width="14.85546875" style="365" customWidth="1"/>
    <col min="5371" max="5371" width="0" style="365" hidden="1" customWidth="1"/>
    <col min="5372" max="5372" width="17.42578125" style="365" customWidth="1"/>
    <col min="5373" max="5373" width="0" style="365" hidden="1" customWidth="1"/>
    <col min="5374" max="5374" width="12.85546875" style="365" customWidth="1"/>
    <col min="5375" max="5375" width="0" style="365" hidden="1" customWidth="1"/>
    <col min="5376" max="5376" width="14.42578125" style="365" customWidth="1"/>
    <col min="5377" max="5377" width="0" style="365" hidden="1" customWidth="1"/>
    <col min="5378" max="5378" width="17.42578125" style="365" customWidth="1"/>
    <col min="5379" max="5379" width="0" style="365" hidden="1" customWidth="1"/>
    <col min="5380" max="5380" width="14" style="365" customWidth="1"/>
    <col min="5381" max="5381" width="14.28515625" style="365" bestFit="1" customWidth="1"/>
    <col min="5382" max="5382" width="0" style="365" hidden="1" customWidth="1"/>
    <col min="5383" max="5383" width="15.5703125" style="365" customWidth="1"/>
    <col min="5384" max="5384" width="44.5703125" style="365" customWidth="1"/>
    <col min="5385" max="5385" width="14.28515625" style="365" bestFit="1" customWidth="1"/>
    <col min="5386" max="5386" width="0" style="365" hidden="1" customWidth="1"/>
    <col min="5387" max="5387" width="18.140625" style="365" customWidth="1"/>
    <col min="5388" max="5388" width="0" style="365" hidden="1" customWidth="1"/>
    <col min="5389" max="5389" width="14" style="365" customWidth="1"/>
    <col min="5390" max="5390" width="0" style="365" hidden="1" customWidth="1"/>
    <col min="5391" max="5391" width="20.85546875" style="365" customWidth="1"/>
    <col min="5392" max="5392" width="0" style="365" hidden="1" customWidth="1"/>
    <col min="5393" max="5393" width="13.28515625" style="365" customWidth="1"/>
    <col min="5394" max="5394" width="0" style="365" hidden="1" customWidth="1"/>
    <col min="5395" max="5395" width="15" style="365" customWidth="1"/>
    <col min="5396" max="5396" width="0" style="365" hidden="1" customWidth="1"/>
    <col min="5397" max="5397" width="13.28515625" style="365" customWidth="1"/>
    <col min="5398" max="5398" width="0" style="365" hidden="1" customWidth="1"/>
    <col min="5399" max="5399" width="20.140625" style="365" customWidth="1"/>
    <col min="5400" max="5400" width="14.42578125" style="365" bestFit="1" customWidth="1"/>
    <col min="5401" max="5401" width="14" style="365" bestFit="1" customWidth="1"/>
    <col min="5402" max="5402" width="12.28515625" style="365" bestFit="1" customWidth="1"/>
    <col min="5403" max="5427" width="9.140625" style="365" customWidth="1"/>
    <col min="5428" max="5622" width="8.85546875" style="365"/>
    <col min="5623" max="5623" width="44.5703125" style="365" customWidth="1"/>
    <col min="5624" max="5624" width="14.28515625" style="365" bestFit="1" customWidth="1"/>
    <col min="5625" max="5625" width="1.7109375" style="365" customWidth="1"/>
    <col min="5626" max="5626" width="14.85546875" style="365" customWidth="1"/>
    <col min="5627" max="5627" width="0" style="365" hidden="1" customWidth="1"/>
    <col min="5628" max="5628" width="17.42578125" style="365" customWidth="1"/>
    <col min="5629" max="5629" width="0" style="365" hidden="1" customWidth="1"/>
    <col min="5630" max="5630" width="12.85546875" style="365" customWidth="1"/>
    <col min="5631" max="5631" width="0" style="365" hidden="1" customWidth="1"/>
    <col min="5632" max="5632" width="14.42578125" style="365" customWidth="1"/>
    <col min="5633" max="5633" width="0" style="365" hidden="1" customWidth="1"/>
    <col min="5634" max="5634" width="17.42578125" style="365" customWidth="1"/>
    <col min="5635" max="5635" width="0" style="365" hidden="1" customWidth="1"/>
    <col min="5636" max="5636" width="14" style="365" customWidth="1"/>
    <col min="5637" max="5637" width="14.28515625" style="365" bestFit="1" customWidth="1"/>
    <col min="5638" max="5638" width="0" style="365" hidden="1" customWidth="1"/>
    <col min="5639" max="5639" width="15.5703125" style="365" customWidth="1"/>
    <col min="5640" max="5640" width="44.5703125" style="365" customWidth="1"/>
    <col min="5641" max="5641" width="14.28515625" style="365" bestFit="1" customWidth="1"/>
    <col min="5642" max="5642" width="0" style="365" hidden="1" customWidth="1"/>
    <col min="5643" max="5643" width="18.140625" style="365" customWidth="1"/>
    <col min="5644" max="5644" width="0" style="365" hidden="1" customWidth="1"/>
    <col min="5645" max="5645" width="14" style="365" customWidth="1"/>
    <col min="5646" max="5646" width="0" style="365" hidden="1" customWidth="1"/>
    <col min="5647" max="5647" width="20.85546875" style="365" customWidth="1"/>
    <col min="5648" max="5648" width="0" style="365" hidden="1" customWidth="1"/>
    <col min="5649" max="5649" width="13.28515625" style="365" customWidth="1"/>
    <col min="5650" max="5650" width="0" style="365" hidden="1" customWidth="1"/>
    <col min="5651" max="5651" width="15" style="365" customWidth="1"/>
    <col min="5652" max="5652" width="0" style="365" hidden="1" customWidth="1"/>
    <col min="5653" max="5653" width="13.28515625" style="365" customWidth="1"/>
    <col min="5654" max="5654" width="0" style="365" hidden="1" customWidth="1"/>
    <col min="5655" max="5655" width="20.140625" style="365" customWidth="1"/>
    <col min="5656" max="5656" width="14.42578125" style="365" bestFit="1" customWidth="1"/>
    <col min="5657" max="5657" width="14" style="365" bestFit="1" customWidth="1"/>
    <col min="5658" max="5658" width="12.28515625" style="365" bestFit="1" customWidth="1"/>
    <col min="5659" max="5683" width="9.140625" style="365" customWidth="1"/>
    <col min="5684" max="5878" width="8.85546875" style="365"/>
    <col min="5879" max="5879" width="44.5703125" style="365" customWidth="1"/>
    <col min="5880" max="5880" width="14.28515625" style="365" bestFit="1" customWidth="1"/>
    <col min="5881" max="5881" width="1.7109375" style="365" customWidth="1"/>
    <col min="5882" max="5882" width="14.85546875" style="365" customWidth="1"/>
    <col min="5883" max="5883" width="0" style="365" hidden="1" customWidth="1"/>
    <col min="5884" max="5884" width="17.42578125" style="365" customWidth="1"/>
    <col min="5885" max="5885" width="0" style="365" hidden="1" customWidth="1"/>
    <col min="5886" max="5886" width="12.85546875" style="365" customWidth="1"/>
    <col min="5887" max="5887" width="0" style="365" hidden="1" customWidth="1"/>
    <col min="5888" max="5888" width="14.42578125" style="365" customWidth="1"/>
    <col min="5889" max="5889" width="0" style="365" hidden="1" customWidth="1"/>
    <col min="5890" max="5890" width="17.42578125" style="365" customWidth="1"/>
    <col min="5891" max="5891" width="0" style="365" hidden="1" customWidth="1"/>
    <col min="5892" max="5892" width="14" style="365" customWidth="1"/>
    <col min="5893" max="5893" width="14.28515625" style="365" bestFit="1" customWidth="1"/>
    <col min="5894" max="5894" width="0" style="365" hidden="1" customWidth="1"/>
    <col min="5895" max="5895" width="15.5703125" style="365" customWidth="1"/>
    <col min="5896" max="5896" width="44.5703125" style="365" customWidth="1"/>
    <col min="5897" max="5897" width="14.28515625" style="365" bestFit="1" customWidth="1"/>
    <col min="5898" max="5898" width="0" style="365" hidden="1" customWidth="1"/>
    <col min="5899" max="5899" width="18.140625" style="365" customWidth="1"/>
    <col min="5900" max="5900" width="0" style="365" hidden="1" customWidth="1"/>
    <col min="5901" max="5901" width="14" style="365" customWidth="1"/>
    <col min="5902" max="5902" width="0" style="365" hidden="1" customWidth="1"/>
    <col min="5903" max="5903" width="20.85546875" style="365" customWidth="1"/>
    <col min="5904" max="5904" width="0" style="365" hidden="1" customWidth="1"/>
    <col min="5905" max="5905" width="13.28515625" style="365" customWidth="1"/>
    <col min="5906" max="5906" width="0" style="365" hidden="1" customWidth="1"/>
    <col min="5907" max="5907" width="15" style="365" customWidth="1"/>
    <col min="5908" max="5908" width="0" style="365" hidden="1" customWidth="1"/>
    <col min="5909" max="5909" width="13.28515625" style="365" customWidth="1"/>
    <col min="5910" max="5910" width="0" style="365" hidden="1" customWidth="1"/>
    <col min="5911" max="5911" width="20.140625" style="365" customWidth="1"/>
    <col min="5912" max="5912" width="14.42578125" style="365" bestFit="1" customWidth="1"/>
    <col min="5913" max="5913" width="14" style="365" bestFit="1" customWidth="1"/>
    <col min="5914" max="5914" width="12.28515625" style="365" bestFit="1" customWidth="1"/>
    <col min="5915" max="5939" width="9.140625" style="365" customWidth="1"/>
    <col min="5940" max="6134" width="8.85546875" style="365"/>
    <col min="6135" max="6135" width="44.5703125" style="365" customWidth="1"/>
    <col min="6136" max="6136" width="14.28515625" style="365" bestFit="1" customWidth="1"/>
    <col min="6137" max="6137" width="1.7109375" style="365" customWidth="1"/>
    <col min="6138" max="6138" width="14.85546875" style="365" customWidth="1"/>
    <col min="6139" max="6139" width="0" style="365" hidden="1" customWidth="1"/>
    <col min="6140" max="6140" width="17.42578125" style="365" customWidth="1"/>
    <col min="6141" max="6141" width="0" style="365" hidden="1" customWidth="1"/>
    <col min="6142" max="6142" width="12.85546875" style="365" customWidth="1"/>
    <col min="6143" max="6143" width="0" style="365" hidden="1" customWidth="1"/>
    <col min="6144" max="6144" width="14.42578125" style="365" customWidth="1"/>
    <col min="6145" max="6145" width="0" style="365" hidden="1" customWidth="1"/>
    <col min="6146" max="6146" width="17.42578125" style="365" customWidth="1"/>
    <col min="6147" max="6147" width="0" style="365" hidden="1" customWidth="1"/>
    <col min="6148" max="6148" width="14" style="365" customWidth="1"/>
    <col min="6149" max="6149" width="14.28515625" style="365" bestFit="1" customWidth="1"/>
    <col min="6150" max="6150" width="0" style="365" hidden="1" customWidth="1"/>
    <col min="6151" max="6151" width="15.5703125" style="365" customWidth="1"/>
    <col min="6152" max="6152" width="44.5703125" style="365" customWidth="1"/>
    <col min="6153" max="6153" width="14.28515625" style="365" bestFit="1" customWidth="1"/>
    <col min="6154" max="6154" width="0" style="365" hidden="1" customWidth="1"/>
    <col min="6155" max="6155" width="18.140625" style="365" customWidth="1"/>
    <col min="6156" max="6156" width="0" style="365" hidden="1" customWidth="1"/>
    <col min="6157" max="6157" width="14" style="365" customWidth="1"/>
    <col min="6158" max="6158" width="0" style="365" hidden="1" customWidth="1"/>
    <col min="6159" max="6159" width="20.85546875" style="365" customWidth="1"/>
    <col min="6160" max="6160" width="0" style="365" hidden="1" customWidth="1"/>
    <col min="6161" max="6161" width="13.28515625" style="365" customWidth="1"/>
    <col min="6162" max="6162" width="0" style="365" hidden="1" customWidth="1"/>
    <col min="6163" max="6163" width="15" style="365" customWidth="1"/>
    <col min="6164" max="6164" width="0" style="365" hidden="1" customWidth="1"/>
    <col min="6165" max="6165" width="13.28515625" style="365" customWidth="1"/>
    <col min="6166" max="6166" width="0" style="365" hidden="1" customWidth="1"/>
    <col min="6167" max="6167" width="20.140625" style="365" customWidth="1"/>
    <col min="6168" max="6168" width="14.42578125" style="365" bestFit="1" customWidth="1"/>
    <col min="6169" max="6169" width="14" style="365" bestFit="1" customWidth="1"/>
    <col min="6170" max="6170" width="12.28515625" style="365" bestFit="1" customWidth="1"/>
    <col min="6171" max="6195" width="9.140625" style="365" customWidth="1"/>
    <col min="6196" max="6390" width="8.85546875" style="365"/>
    <col min="6391" max="6391" width="44.5703125" style="365" customWidth="1"/>
    <col min="6392" max="6392" width="14.28515625" style="365" bestFit="1" customWidth="1"/>
    <col min="6393" max="6393" width="1.7109375" style="365" customWidth="1"/>
    <col min="6394" max="6394" width="14.85546875" style="365" customWidth="1"/>
    <col min="6395" max="6395" width="0" style="365" hidden="1" customWidth="1"/>
    <col min="6396" max="6396" width="17.42578125" style="365" customWidth="1"/>
    <col min="6397" max="6397" width="0" style="365" hidden="1" customWidth="1"/>
    <col min="6398" max="6398" width="12.85546875" style="365" customWidth="1"/>
    <col min="6399" max="6399" width="0" style="365" hidden="1" customWidth="1"/>
    <col min="6400" max="6400" width="14.42578125" style="365" customWidth="1"/>
    <col min="6401" max="6401" width="0" style="365" hidden="1" customWidth="1"/>
    <col min="6402" max="6402" width="17.42578125" style="365" customWidth="1"/>
    <col min="6403" max="6403" width="0" style="365" hidden="1" customWidth="1"/>
    <col min="6404" max="6404" width="14" style="365" customWidth="1"/>
    <col min="6405" max="6405" width="14.28515625" style="365" bestFit="1" customWidth="1"/>
    <col min="6406" max="6406" width="0" style="365" hidden="1" customWidth="1"/>
    <col min="6407" max="6407" width="15.5703125" style="365" customWidth="1"/>
    <col min="6408" max="6408" width="44.5703125" style="365" customWidth="1"/>
    <col min="6409" max="6409" width="14.28515625" style="365" bestFit="1" customWidth="1"/>
    <col min="6410" max="6410" width="0" style="365" hidden="1" customWidth="1"/>
    <col min="6411" max="6411" width="18.140625" style="365" customWidth="1"/>
    <col min="6412" max="6412" width="0" style="365" hidden="1" customWidth="1"/>
    <col min="6413" max="6413" width="14" style="365" customWidth="1"/>
    <col min="6414" max="6414" width="0" style="365" hidden="1" customWidth="1"/>
    <col min="6415" max="6415" width="20.85546875" style="365" customWidth="1"/>
    <col min="6416" max="6416" width="0" style="365" hidden="1" customWidth="1"/>
    <col min="6417" max="6417" width="13.28515625" style="365" customWidth="1"/>
    <col min="6418" max="6418" width="0" style="365" hidden="1" customWidth="1"/>
    <col min="6419" max="6419" width="15" style="365" customWidth="1"/>
    <col min="6420" max="6420" width="0" style="365" hidden="1" customWidth="1"/>
    <col min="6421" max="6421" width="13.28515625" style="365" customWidth="1"/>
    <col min="6422" max="6422" width="0" style="365" hidden="1" customWidth="1"/>
    <col min="6423" max="6423" width="20.140625" style="365" customWidth="1"/>
    <col min="6424" max="6424" width="14.42578125" style="365" bestFit="1" customWidth="1"/>
    <col min="6425" max="6425" width="14" style="365" bestFit="1" customWidth="1"/>
    <col min="6426" max="6426" width="12.28515625" style="365" bestFit="1" customWidth="1"/>
    <col min="6427" max="6451" width="9.140625" style="365" customWidth="1"/>
    <col min="6452" max="6646" width="8.85546875" style="365"/>
    <col min="6647" max="6647" width="44.5703125" style="365" customWidth="1"/>
    <col min="6648" max="6648" width="14.28515625" style="365" bestFit="1" customWidth="1"/>
    <col min="6649" max="6649" width="1.7109375" style="365" customWidth="1"/>
    <col min="6650" max="6650" width="14.85546875" style="365" customWidth="1"/>
    <col min="6651" max="6651" width="0" style="365" hidden="1" customWidth="1"/>
    <col min="6652" max="6652" width="17.42578125" style="365" customWidth="1"/>
    <col min="6653" max="6653" width="0" style="365" hidden="1" customWidth="1"/>
    <col min="6654" max="6654" width="12.85546875" style="365" customWidth="1"/>
    <col min="6655" max="6655" width="0" style="365" hidden="1" customWidth="1"/>
    <col min="6656" max="6656" width="14.42578125" style="365" customWidth="1"/>
    <col min="6657" max="6657" width="0" style="365" hidden="1" customWidth="1"/>
    <col min="6658" max="6658" width="17.42578125" style="365" customWidth="1"/>
    <col min="6659" max="6659" width="0" style="365" hidden="1" customWidth="1"/>
    <col min="6660" max="6660" width="14" style="365" customWidth="1"/>
    <col min="6661" max="6661" width="14.28515625" style="365" bestFit="1" customWidth="1"/>
    <col min="6662" max="6662" width="0" style="365" hidden="1" customWidth="1"/>
    <col min="6663" max="6663" width="15.5703125" style="365" customWidth="1"/>
    <col min="6664" max="6664" width="44.5703125" style="365" customWidth="1"/>
    <col min="6665" max="6665" width="14.28515625" style="365" bestFit="1" customWidth="1"/>
    <col min="6666" max="6666" width="0" style="365" hidden="1" customWidth="1"/>
    <col min="6667" max="6667" width="18.140625" style="365" customWidth="1"/>
    <col min="6668" max="6668" width="0" style="365" hidden="1" customWidth="1"/>
    <col min="6669" max="6669" width="14" style="365" customWidth="1"/>
    <col min="6670" max="6670" width="0" style="365" hidden="1" customWidth="1"/>
    <col min="6671" max="6671" width="20.85546875" style="365" customWidth="1"/>
    <col min="6672" max="6672" width="0" style="365" hidden="1" customWidth="1"/>
    <col min="6673" max="6673" width="13.28515625" style="365" customWidth="1"/>
    <col min="6674" max="6674" width="0" style="365" hidden="1" customWidth="1"/>
    <col min="6675" max="6675" width="15" style="365" customWidth="1"/>
    <col min="6676" max="6676" width="0" style="365" hidden="1" customWidth="1"/>
    <col min="6677" max="6677" width="13.28515625" style="365" customWidth="1"/>
    <col min="6678" max="6678" width="0" style="365" hidden="1" customWidth="1"/>
    <col min="6679" max="6679" width="20.140625" style="365" customWidth="1"/>
    <col min="6680" max="6680" width="14.42578125" style="365" bestFit="1" customWidth="1"/>
    <col min="6681" max="6681" width="14" style="365" bestFit="1" customWidth="1"/>
    <col min="6682" max="6682" width="12.28515625" style="365" bestFit="1" customWidth="1"/>
    <col min="6683" max="6707" width="9.140625" style="365" customWidth="1"/>
    <col min="6708" max="6902" width="8.85546875" style="365"/>
    <col min="6903" max="6903" width="44.5703125" style="365" customWidth="1"/>
    <col min="6904" max="6904" width="14.28515625" style="365" bestFit="1" customWidth="1"/>
    <col min="6905" max="6905" width="1.7109375" style="365" customWidth="1"/>
    <col min="6906" max="6906" width="14.85546875" style="365" customWidth="1"/>
    <col min="6907" max="6907" width="0" style="365" hidden="1" customWidth="1"/>
    <col min="6908" max="6908" width="17.42578125" style="365" customWidth="1"/>
    <col min="6909" max="6909" width="0" style="365" hidden="1" customWidth="1"/>
    <col min="6910" max="6910" width="12.85546875" style="365" customWidth="1"/>
    <col min="6911" max="6911" width="0" style="365" hidden="1" customWidth="1"/>
    <col min="6912" max="6912" width="14.42578125" style="365" customWidth="1"/>
    <col min="6913" max="6913" width="0" style="365" hidden="1" customWidth="1"/>
    <col min="6914" max="6914" width="17.42578125" style="365" customWidth="1"/>
    <col min="6915" max="6915" width="0" style="365" hidden="1" customWidth="1"/>
    <col min="6916" max="6916" width="14" style="365" customWidth="1"/>
    <col min="6917" max="6917" width="14.28515625" style="365" bestFit="1" customWidth="1"/>
    <col min="6918" max="6918" width="0" style="365" hidden="1" customWidth="1"/>
    <col min="6919" max="6919" width="15.5703125" style="365" customWidth="1"/>
    <col min="6920" max="6920" width="44.5703125" style="365" customWidth="1"/>
    <col min="6921" max="6921" width="14.28515625" style="365" bestFit="1" customWidth="1"/>
    <col min="6922" max="6922" width="0" style="365" hidden="1" customWidth="1"/>
    <col min="6923" max="6923" width="18.140625" style="365" customWidth="1"/>
    <col min="6924" max="6924" width="0" style="365" hidden="1" customWidth="1"/>
    <col min="6925" max="6925" width="14" style="365" customWidth="1"/>
    <col min="6926" max="6926" width="0" style="365" hidden="1" customWidth="1"/>
    <col min="6927" max="6927" width="20.85546875" style="365" customWidth="1"/>
    <col min="6928" max="6928" width="0" style="365" hidden="1" customWidth="1"/>
    <col min="6929" max="6929" width="13.28515625" style="365" customWidth="1"/>
    <col min="6930" max="6930" width="0" style="365" hidden="1" customWidth="1"/>
    <col min="6931" max="6931" width="15" style="365" customWidth="1"/>
    <col min="6932" max="6932" width="0" style="365" hidden="1" customWidth="1"/>
    <col min="6933" max="6933" width="13.28515625" style="365" customWidth="1"/>
    <col min="6934" max="6934" width="0" style="365" hidden="1" customWidth="1"/>
    <col min="6935" max="6935" width="20.140625" style="365" customWidth="1"/>
    <col min="6936" max="6936" width="14.42578125" style="365" bestFit="1" customWidth="1"/>
    <col min="6937" max="6937" width="14" style="365" bestFit="1" customWidth="1"/>
    <col min="6938" max="6938" width="12.28515625" style="365" bestFit="1" customWidth="1"/>
    <col min="6939" max="6963" width="9.140625" style="365" customWidth="1"/>
    <col min="6964" max="7158" width="8.85546875" style="365"/>
    <col min="7159" max="7159" width="44.5703125" style="365" customWidth="1"/>
    <col min="7160" max="7160" width="14.28515625" style="365" bestFit="1" customWidth="1"/>
    <col min="7161" max="7161" width="1.7109375" style="365" customWidth="1"/>
    <col min="7162" max="7162" width="14.85546875" style="365" customWidth="1"/>
    <col min="7163" max="7163" width="0" style="365" hidden="1" customWidth="1"/>
    <col min="7164" max="7164" width="17.42578125" style="365" customWidth="1"/>
    <col min="7165" max="7165" width="0" style="365" hidden="1" customWidth="1"/>
    <col min="7166" max="7166" width="12.85546875" style="365" customWidth="1"/>
    <col min="7167" max="7167" width="0" style="365" hidden="1" customWidth="1"/>
    <col min="7168" max="7168" width="14.42578125" style="365" customWidth="1"/>
    <col min="7169" max="7169" width="0" style="365" hidden="1" customWidth="1"/>
    <col min="7170" max="7170" width="17.42578125" style="365" customWidth="1"/>
    <col min="7171" max="7171" width="0" style="365" hidden="1" customWidth="1"/>
    <col min="7172" max="7172" width="14" style="365" customWidth="1"/>
    <col min="7173" max="7173" width="14.28515625" style="365" bestFit="1" customWidth="1"/>
    <col min="7174" max="7174" width="0" style="365" hidden="1" customWidth="1"/>
    <col min="7175" max="7175" width="15.5703125" style="365" customWidth="1"/>
    <col min="7176" max="7176" width="44.5703125" style="365" customWidth="1"/>
    <col min="7177" max="7177" width="14.28515625" style="365" bestFit="1" customWidth="1"/>
    <col min="7178" max="7178" width="0" style="365" hidden="1" customWidth="1"/>
    <col min="7179" max="7179" width="18.140625" style="365" customWidth="1"/>
    <col min="7180" max="7180" width="0" style="365" hidden="1" customWidth="1"/>
    <col min="7181" max="7181" width="14" style="365" customWidth="1"/>
    <col min="7182" max="7182" width="0" style="365" hidden="1" customWidth="1"/>
    <col min="7183" max="7183" width="20.85546875" style="365" customWidth="1"/>
    <col min="7184" max="7184" width="0" style="365" hidden="1" customWidth="1"/>
    <col min="7185" max="7185" width="13.28515625" style="365" customWidth="1"/>
    <col min="7186" max="7186" width="0" style="365" hidden="1" customWidth="1"/>
    <col min="7187" max="7187" width="15" style="365" customWidth="1"/>
    <col min="7188" max="7188" width="0" style="365" hidden="1" customWidth="1"/>
    <col min="7189" max="7189" width="13.28515625" style="365" customWidth="1"/>
    <col min="7190" max="7190" width="0" style="365" hidden="1" customWidth="1"/>
    <col min="7191" max="7191" width="20.140625" style="365" customWidth="1"/>
    <col min="7192" max="7192" width="14.42578125" style="365" bestFit="1" customWidth="1"/>
    <col min="7193" max="7193" width="14" style="365" bestFit="1" customWidth="1"/>
    <col min="7194" max="7194" width="12.28515625" style="365" bestFit="1" customWidth="1"/>
    <col min="7195" max="7219" width="9.140625" style="365" customWidth="1"/>
    <col min="7220" max="7414" width="8.85546875" style="365"/>
    <col min="7415" max="7415" width="44.5703125" style="365" customWidth="1"/>
    <col min="7416" max="7416" width="14.28515625" style="365" bestFit="1" customWidth="1"/>
    <col min="7417" max="7417" width="1.7109375" style="365" customWidth="1"/>
    <col min="7418" max="7418" width="14.85546875" style="365" customWidth="1"/>
    <col min="7419" max="7419" width="0" style="365" hidden="1" customWidth="1"/>
    <col min="7420" max="7420" width="17.42578125" style="365" customWidth="1"/>
    <col min="7421" max="7421" width="0" style="365" hidden="1" customWidth="1"/>
    <col min="7422" max="7422" width="12.85546875" style="365" customWidth="1"/>
    <col min="7423" max="7423" width="0" style="365" hidden="1" customWidth="1"/>
    <col min="7424" max="7424" width="14.42578125" style="365" customWidth="1"/>
    <col min="7425" max="7425" width="0" style="365" hidden="1" customWidth="1"/>
    <col min="7426" max="7426" width="17.42578125" style="365" customWidth="1"/>
    <col min="7427" max="7427" width="0" style="365" hidden="1" customWidth="1"/>
    <col min="7428" max="7428" width="14" style="365" customWidth="1"/>
    <col min="7429" max="7429" width="14.28515625" style="365" bestFit="1" customWidth="1"/>
    <col min="7430" max="7430" width="0" style="365" hidden="1" customWidth="1"/>
    <col min="7431" max="7431" width="15.5703125" style="365" customWidth="1"/>
    <col min="7432" max="7432" width="44.5703125" style="365" customWidth="1"/>
    <col min="7433" max="7433" width="14.28515625" style="365" bestFit="1" customWidth="1"/>
    <col min="7434" max="7434" width="0" style="365" hidden="1" customWidth="1"/>
    <col min="7435" max="7435" width="18.140625" style="365" customWidth="1"/>
    <col min="7436" max="7436" width="0" style="365" hidden="1" customWidth="1"/>
    <col min="7437" max="7437" width="14" style="365" customWidth="1"/>
    <col min="7438" max="7438" width="0" style="365" hidden="1" customWidth="1"/>
    <col min="7439" max="7439" width="20.85546875" style="365" customWidth="1"/>
    <col min="7440" max="7440" width="0" style="365" hidden="1" customWidth="1"/>
    <col min="7441" max="7441" width="13.28515625" style="365" customWidth="1"/>
    <col min="7442" max="7442" width="0" style="365" hidden="1" customWidth="1"/>
    <col min="7443" max="7443" width="15" style="365" customWidth="1"/>
    <col min="7444" max="7444" width="0" style="365" hidden="1" customWidth="1"/>
    <col min="7445" max="7445" width="13.28515625" style="365" customWidth="1"/>
    <col min="7446" max="7446" width="0" style="365" hidden="1" customWidth="1"/>
    <col min="7447" max="7447" width="20.140625" style="365" customWidth="1"/>
    <col min="7448" max="7448" width="14.42578125" style="365" bestFit="1" customWidth="1"/>
    <col min="7449" max="7449" width="14" style="365" bestFit="1" customWidth="1"/>
    <col min="7450" max="7450" width="12.28515625" style="365" bestFit="1" customWidth="1"/>
    <col min="7451" max="7475" width="9.140625" style="365" customWidth="1"/>
    <col min="7476" max="7670" width="8.85546875" style="365"/>
    <col min="7671" max="7671" width="44.5703125" style="365" customWidth="1"/>
    <col min="7672" max="7672" width="14.28515625" style="365" bestFit="1" customWidth="1"/>
    <col min="7673" max="7673" width="1.7109375" style="365" customWidth="1"/>
    <col min="7674" max="7674" width="14.85546875" style="365" customWidth="1"/>
    <col min="7675" max="7675" width="0" style="365" hidden="1" customWidth="1"/>
    <col min="7676" max="7676" width="17.42578125" style="365" customWidth="1"/>
    <col min="7677" max="7677" width="0" style="365" hidden="1" customWidth="1"/>
    <col min="7678" max="7678" width="12.85546875" style="365" customWidth="1"/>
    <col min="7679" max="7679" width="0" style="365" hidden="1" customWidth="1"/>
    <col min="7680" max="7680" width="14.42578125" style="365" customWidth="1"/>
    <col min="7681" max="7681" width="0" style="365" hidden="1" customWidth="1"/>
    <col min="7682" max="7682" width="17.42578125" style="365" customWidth="1"/>
    <col min="7683" max="7683" width="0" style="365" hidden="1" customWidth="1"/>
    <col min="7684" max="7684" width="14" style="365" customWidth="1"/>
    <col min="7685" max="7685" width="14.28515625" style="365" bestFit="1" customWidth="1"/>
    <col min="7686" max="7686" width="0" style="365" hidden="1" customWidth="1"/>
    <col min="7687" max="7687" width="15.5703125" style="365" customWidth="1"/>
    <col min="7688" max="7688" width="44.5703125" style="365" customWidth="1"/>
    <col min="7689" max="7689" width="14.28515625" style="365" bestFit="1" customWidth="1"/>
    <col min="7690" max="7690" width="0" style="365" hidden="1" customWidth="1"/>
    <col min="7691" max="7691" width="18.140625" style="365" customWidth="1"/>
    <col min="7692" max="7692" width="0" style="365" hidden="1" customWidth="1"/>
    <col min="7693" max="7693" width="14" style="365" customWidth="1"/>
    <col min="7694" max="7694" width="0" style="365" hidden="1" customWidth="1"/>
    <col min="7695" max="7695" width="20.85546875" style="365" customWidth="1"/>
    <col min="7696" max="7696" width="0" style="365" hidden="1" customWidth="1"/>
    <col min="7697" max="7697" width="13.28515625" style="365" customWidth="1"/>
    <col min="7698" max="7698" width="0" style="365" hidden="1" customWidth="1"/>
    <col min="7699" max="7699" width="15" style="365" customWidth="1"/>
    <col min="7700" max="7700" width="0" style="365" hidden="1" customWidth="1"/>
    <col min="7701" max="7701" width="13.28515625" style="365" customWidth="1"/>
    <col min="7702" max="7702" width="0" style="365" hidden="1" customWidth="1"/>
    <col min="7703" max="7703" width="20.140625" style="365" customWidth="1"/>
    <col min="7704" max="7704" width="14.42578125" style="365" bestFit="1" customWidth="1"/>
    <col min="7705" max="7705" width="14" style="365" bestFit="1" customWidth="1"/>
    <col min="7706" max="7706" width="12.28515625" style="365" bestFit="1" customWidth="1"/>
    <col min="7707" max="7731" width="9.140625" style="365" customWidth="1"/>
    <col min="7732" max="7926" width="8.85546875" style="365"/>
    <col min="7927" max="7927" width="44.5703125" style="365" customWidth="1"/>
    <col min="7928" max="7928" width="14.28515625" style="365" bestFit="1" customWidth="1"/>
    <col min="7929" max="7929" width="1.7109375" style="365" customWidth="1"/>
    <col min="7930" max="7930" width="14.85546875" style="365" customWidth="1"/>
    <col min="7931" max="7931" width="0" style="365" hidden="1" customWidth="1"/>
    <col min="7932" max="7932" width="17.42578125" style="365" customWidth="1"/>
    <col min="7933" max="7933" width="0" style="365" hidden="1" customWidth="1"/>
    <col min="7934" max="7934" width="12.85546875" style="365" customWidth="1"/>
    <col min="7935" max="7935" width="0" style="365" hidden="1" customWidth="1"/>
    <col min="7936" max="7936" width="14.42578125" style="365" customWidth="1"/>
    <col min="7937" max="7937" width="0" style="365" hidden="1" customWidth="1"/>
    <col min="7938" max="7938" width="17.42578125" style="365" customWidth="1"/>
    <col min="7939" max="7939" width="0" style="365" hidden="1" customWidth="1"/>
    <col min="7940" max="7940" width="14" style="365" customWidth="1"/>
    <col min="7941" max="7941" width="14.28515625" style="365" bestFit="1" customWidth="1"/>
    <col min="7942" max="7942" width="0" style="365" hidden="1" customWidth="1"/>
    <col min="7943" max="7943" width="15.5703125" style="365" customWidth="1"/>
    <col min="7944" max="7944" width="44.5703125" style="365" customWidth="1"/>
    <col min="7945" max="7945" width="14.28515625" style="365" bestFit="1" customWidth="1"/>
    <col min="7946" max="7946" width="0" style="365" hidden="1" customWidth="1"/>
    <col min="7947" max="7947" width="18.140625" style="365" customWidth="1"/>
    <col min="7948" max="7948" width="0" style="365" hidden="1" customWidth="1"/>
    <col min="7949" max="7949" width="14" style="365" customWidth="1"/>
    <col min="7950" max="7950" width="0" style="365" hidden="1" customWidth="1"/>
    <col min="7951" max="7951" width="20.85546875" style="365" customWidth="1"/>
    <col min="7952" max="7952" width="0" style="365" hidden="1" customWidth="1"/>
    <col min="7953" max="7953" width="13.28515625" style="365" customWidth="1"/>
    <col min="7954" max="7954" width="0" style="365" hidden="1" customWidth="1"/>
    <col min="7955" max="7955" width="15" style="365" customWidth="1"/>
    <col min="7956" max="7956" width="0" style="365" hidden="1" customWidth="1"/>
    <col min="7957" max="7957" width="13.28515625" style="365" customWidth="1"/>
    <col min="7958" max="7958" width="0" style="365" hidden="1" customWidth="1"/>
    <col min="7959" max="7959" width="20.140625" style="365" customWidth="1"/>
    <col min="7960" max="7960" width="14.42578125" style="365" bestFit="1" customWidth="1"/>
    <col min="7961" max="7961" width="14" style="365" bestFit="1" customWidth="1"/>
    <col min="7962" max="7962" width="12.28515625" style="365" bestFit="1" customWidth="1"/>
    <col min="7963" max="7987" width="9.140625" style="365" customWidth="1"/>
    <col min="7988" max="8182" width="8.85546875" style="365"/>
    <col min="8183" max="8183" width="44.5703125" style="365" customWidth="1"/>
    <col min="8184" max="8184" width="14.28515625" style="365" bestFit="1" customWidth="1"/>
    <col min="8185" max="8185" width="1.7109375" style="365" customWidth="1"/>
    <col min="8186" max="8186" width="14.85546875" style="365" customWidth="1"/>
    <col min="8187" max="8187" width="0" style="365" hidden="1" customWidth="1"/>
    <col min="8188" max="8188" width="17.42578125" style="365" customWidth="1"/>
    <col min="8189" max="8189" width="0" style="365" hidden="1" customWidth="1"/>
    <col min="8190" max="8190" width="12.85546875" style="365" customWidth="1"/>
    <col min="8191" max="8191" width="0" style="365" hidden="1" customWidth="1"/>
    <col min="8192" max="8192" width="14.42578125" style="365" customWidth="1"/>
    <col min="8193" max="8193" width="0" style="365" hidden="1" customWidth="1"/>
    <col min="8194" max="8194" width="17.42578125" style="365" customWidth="1"/>
    <col min="8195" max="8195" width="0" style="365" hidden="1" customWidth="1"/>
    <col min="8196" max="8196" width="14" style="365" customWidth="1"/>
    <col min="8197" max="8197" width="14.28515625" style="365" bestFit="1" customWidth="1"/>
    <col min="8198" max="8198" width="0" style="365" hidden="1" customWidth="1"/>
    <col min="8199" max="8199" width="15.5703125" style="365" customWidth="1"/>
    <col min="8200" max="8200" width="44.5703125" style="365" customWidth="1"/>
    <col min="8201" max="8201" width="14.28515625" style="365" bestFit="1" customWidth="1"/>
    <col min="8202" max="8202" width="0" style="365" hidden="1" customWidth="1"/>
    <col min="8203" max="8203" width="18.140625" style="365" customWidth="1"/>
    <col min="8204" max="8204" width="0" style="365" hidden="1" customWidth="1"/>
    <col min="8205" max="8205" width="14" style="365" customWidth="1"/>
    <col min="8206" max="8206" width="0" style="365" hidden="1" customWidth="1"/>
    <col min="8207" max="8207" width="20.85546875" style="365" customWidth="1"/>
    <col min="8208" max="8208" width="0" style="365" hidden="1" customWidth="1"/>
    <col min="8209" max="8209" width="13.28515625" style="365" customWidth="1"/>
    <col min="8210" max="8210" width="0" style="365" hidden="1" customWidth="1"/>
    <col min="8211" max="8211" width="15" style="365" customWidth="1"/>
    <col min="8212" max="8212" width="0" style="365" hidden="1" customWidth="1"/>
    <col min="8213" max="8213" width="13.28515625" style="365" customWidth="1"/>
    <col min="8214" max="8214" width="0" style="365" hidden="1" customWidth="1"/>
    <col min="8215" max="8215" width="20.140625" style="365" customWidth="1"/>
    <col min="8216" max="8216" width="14.42578125" style="365" bestFit="1" customWidth="1"/>
    <col min="8217" max="8217" width="14" style="365" bestFit="1" customWidth="1"/>
    <col min="8218" max="8218" width="12.28515625" style="365" bestFit="1" customWidth="1"/>
    <col min="8219" max="8243" width="9.140625" style="365" customWidth="1"/>
    <col min="8244" max="8438" width="8.85546875" style="365"/>
    <col min="8439" max="8439" width="44.5703125" style="365" customWidth="1"/>
    <col min="8440" max="8440" width="14.28515625" style="365" bestFit="1" customWidth="1"/>
    <col min="8441" max="8441" width="1.7109375" style="365" customWidth="1"/>
    <col min="8442" max="8442" width="14.85546875" style="365" customWidth="1"/>
    <col min="8443" max="8443" width="0" style="365" hidden="1" customWidth="1"/>
    <col min="8444" max="8444" width="17.42578125" style="365" customWidth="1"/>
    <col min="8445" max="8445" width="0" style="365" hidden="1" customWidth="1"/>
    <col min="8446" max="8446" width="12.85546875" style="365" customWidth="1"/>
    <col min="8447" max="8447" width="0" style="365" hidden="1" customWidth="1"/>
    <col min="8448" max="8448" width="14.42578125" style="365" customWidth="1"/>
    <col min="8449" max="8449" width="0" style="365" hidden="1" customWidth="1"/>
    <col min="8450" max="8450" width="17.42578125" style="365" customWidth="1"/>
    <col min="8451" max="8451" width="0" style="365" hidden="1" customWidth="1"/>
    <col min="8452" max="8452" width="14" style="365" customWidth="1"/>
    <col min="8453" max="8453" width="14.28515625" style="365" bestFit="1" customWidth="1"/>
    <col min="8454" max="8454" width="0" style="365" hidden="1" customWidth="1"/>
    <col min="8455" max="8455" width="15.5703125" style="365" customWidth="1"/>
    <col min="8456" max="8456" width="44.5703125" style="365" customWidth="1"/>
    <col min="8457" max="8457" width="14.28515625" style="365" bestFit="1" customWidth="1"/>
    <col min="8458" max="8458" width="0" style="365" hidden="1" customWidth="1"/>
    <col min="8459" max="8459" width="18.140625" style="365" customWidth="1"/>
    <col min="8460" max="8460" width="0" style="365" hidden="1" customWidth="1"/>
    <col min="8461" max="8461" width="14" style="365" customWidth="1"/>
    <col min="8462" max="8462" width="0" style="365" hidden="1" customWidth="1"/>
    <col min="8463" max="8463" width="20.85546875" style="365" customWidth="1"/>
    <col min="8464" max="8464" width="0" style="365" hidden="1" customWidth="1"/>
    <col min="8465" max="8465" width="13.28515625" style="365" customWidth="1"/>
    <col min="8466" max="8466" width="0" style="365" hidden="1" customWidth="1"/>
    <col min="8467" max="8467" width="15" style="365" customWidth="1"/>
    <col min="8468" max="8468" width="0" style="365" hidden="1" customWidth="1"/>
    <col min="8469" max="8469" width="13.28515625" style="365" customWidth="1"/>
    <col min="8470" max="8470" width="0" style="365" hidden="1" customWidth="1"/>
    <col min="8471" max="8471" width="20.140625" style="365" customWidth="1"/>
    <col min="8472" max="8472" width="14.42578125" style="365" bestFit="1" customWidth="1"/>
    <col min="8473" max="8473" width="14" style="365" bestFit="1" customWidth="1"/>
    <col min="8474" max="8474" width="12.28515625" style="365" bestFit="1" customWidth="1"/>
    <col min="8475" max="8499" width="9.140625" style="365" customWidth="1"/>
    <col min="8500" max="8694" width="8.85546875" style="365"/>
    <col min="8695" max="8695" width="44.5703125" style="365" customWidth="1"/>
    <col min="8696" max="8696" width="14.28515625" style="365" bestFit="1" customWidth="1"/>
    <col min="8697" max="8697" width="1.7109375" style="365" customWidth="1"/>
    <col min="8698" max="8698" width="14.85546875" style="365" customWidth="1"/>
    <col min="8699" max="8699" width="0" style="365" hidden="1" customWidth="1"/>
    <col min="8700" max="8700" width="17.42578125" style="365" customWidth="1"/>
    <col min="8701" max="8701" width="0" style="365" hidden="1" customWidth="1"/>
    <col min="8702" max="8702" width="12.85546875" style="365" customWidth="1"/>
    <col min="8703" max="8703" width="0" style="365" hidden="1" customWidth="1"/>
    <col min="8704" max="8704" width="14.42578125" style="365" customWidth="1"/>
    <col min="8705" max="8705" width="0" style="365" hidden="1" customWidth="1"/>
    <col min="8706" max="8706" width="17.42578125" style="365" customWidth="1"/>
    <col min="8707" max="8707" width="0" style="365" hidden="1" customWidth="1"/>
    <col min="8708" max="8708" width="14" style="365" customWidth="1"/>
    <col min="8709" max="8709" width="14.28515625" style="365" bestFit="1" customWidth="1"/>
    <col min="8710" max="8710" width="0" style="365" hidden="1" customWidth="1"/>
    <col min="8711" max="8711" width="15.5703125" style="365" customWidth="1"/>
    <col min="8712" max="8712" width="44.5703125" style="365" customWidth="1"/>
    <col min="8713" max="8713" width="14.28515625" style="365" bestFit="1" customWidth="1"/>
    <col min="8714" max="8714" width="0" style="365" hidden="1" customWidth="1"/>
    <col min="8715" max="8715" width="18.140625" style="365" customWidth="1"/>
    <col min="8716" max="8716" width="0" style="365" hidden="1" customWidth="1"/>
    <col min="8717" max="8717" width="14" style="365" customWidth="1"/>
    <col min="8718" max="8718" width="0" style="365" hidden="1" customWidth="1"/>
    <col min="8719" max="8719" width="20.85546875" style="365" customWidth="1"/>
    <col min="8720" max="8720" width="0" style="365" hidden="1" customWidth="1"/>
    <col min="8721" max="8721" width="13.28515625" style="365" customWidth="1"/>
    <col min="8722" max="8722" width="0" style="365" hidden="1" customWidth="1"/>
    <col min="8723" max="8723" width="15" style="365" customWidth="1"/>
    <col min="8724" max="8724" width="0" style="365" hidden="1" customWidth="1"/>
    <col min="8725" max="8725" width="13.28515625" style="365" customWidth="1"/>
    <col min="8726" max="8726" width="0" style="365" hidden="1" customWidth="1"/>
    <col min="8727" max="8727" width="20.140625" style="365" customWidth="1"/>
    <col min="8728" max="8728" width="14.42578125" style="365" bestFit="1" customWidth="1"/>
    <col min="8729" max="8729" width="14" style="365" bestFit="1" customWidth="1"/>
    <col min="8730" max="8730" width="12.28515625" style="365" bestFit="1" customWidth="1"/>
    <col min="8731" max="8755" width="9.140625" style="365" customWidth="1"/>
    <col min="8756" max="8950" width="8.85546875" style="365"/>
    <col min="8951" max="8951" width="44.5703125" style="365" customWidth="1"/>
    <col min="8952" max="8952" width="14.28515625" style="365" bestFit="1" customWidth="1"/>
    <col min="8953" max="8953" width="1.7109375" style="365" customWidth="1"/>
    <col min="8954" max="8954" width="14.85546875" style="365" customWidth="1"/>
    <col min="8955" max="8955" width="0" style="365" hidden="1" customWidth="1"/>
    <col min="8956" max="8956" width="17.42578125" style="365" customWidth="1"/>
    <col min="8957" max="8957" width="0" style="365" hidden="1" customWidth="1"/>
    <col min="8958" max="8958" width="12.85546875" style="365" customWidth="1"/>
    <col min="8959" max="8959" width="0" style="365" hidden="1" customWidth="1"/>
    <col min="8960" max="8960" width="14.42578125" style="365" customWidth="1"/>
    <col min="8961" max="8961" width="0" style="365" hidden="1" customWidth="1"/>
    <col min="8962" max="8962" width="17.42578125" style="365" customWidth="1"/>
    <col min="8963" max="8963" width="0" style="365" hidden="1" customWidth="1"/>
    <col min="8964" max="8964" width="14" style="365" customWidth="1"/>
    <col min="8965" max="8965" width="14.28515625" style="365" bestFit="1" customWidth="1"/>
    <col min="8966" max="8966" width="0" style="365" hidden="1" customWidth="1"/>
    <col min="8967" max="8967" width="15.5703125" style="365" customWidth="1"/>
    <col min="8968" max="8968" width="44.5703125" style="365" customWidth="1"/>
    <col min="8969" max="8969" width="14.28515625" style="365" bestFit="1" customWidth="1"/>
    <col min="8970" max="8970" width="0" style="365" hidden="1" customWidth="1"/>
    <col min="8971" max="8971" width="18.140625" style="365" customWidth="1"/>
    <col min="8972" max="8972" width="0" style="365" hidden="1" customWidth="1"/>
    <col min="8973" max="8973" width="14" style="365" customWidth="1"/>
    <col min="8974" max="8974" width="0" style="365" hidden="1" customWidth="1"/>
    <col min="8975" max="8975" width="20.85546875" style="365" customWidth="1"/>
    <col min="8976" max="8976" width="0" style="365" hidden="1" customWidth="1"/>
    <col min="8977" max="8977" width="13.28515625" style="365" customWidth="1"/>
    <col min="8978" max="8978" width="0" style="365" hidden="1" customWidth="1"/>
    <col min="8979" max="8979" width="15" style="365" customWidth="1"/>
    <col min="8980" max="8980" width="0" style="365" hidden="1" customWidth="1"/>
    <col min="8981" max="8981" width="13.28515625" style="365" customWidth="1"/>
    <col min="8982" max="8982" width="0" style="365" hidden="1" customWidth="1"/>
    <col min="8983" max="8983" width="20.140625" style="365" customWidth="1"/>
    <col min="8984" max="8984" width="14.42578125" style="365" bestFit="1" customWidth="1"/>
    <col min="8985" max="8985" width="14" style="365" bestFit="1" customWidth="1"/>
    <col min="8986" max="8986" width="12.28515625" style="365" bestFit="1" customWidth="1"/>
    <col min="8987" max="9011" width="9.140625" style="365" customWidth="1"/>
    <col min="9012" max="9206" width="8.85546875" style="365"/>
    <col min="9207" max="9207" width="44.5703125" style="365" customWidth="1"/>
    <col min="9208" max="9208" width="14.28515625" style="365" bestFit="1" customWidth="1"/>
    <col min="9209" max="9209" width="1.7109375" style="365" customWidth="1"/>
    <col min="9210" max="9210" width="14.85546875" style="365" customWidth="1"/>
    <col min="9211" max="9211" width="0" style="365" hidden="1" customWidth="1"/>
    <col min="9212" max="9212" width="17.42578125" style="365" customWidth="1"/>
    <col min="9213" max="9213" width="0" style="365" hidden="1" customWidth="1"/>
    <col min="9214" max="9214" width="12.85546875" style="365" customWidth="1"/>
    <col min="9215" max="9215" width="0" style="365" hidden="1" customWidth="1"/>
    <col min="9216" max="9216" width="14.42578125" style="365" customWidth="1"/>
    <col min="9217" max="9217" width="0" style="365" hidden="1" customWidth="1"/>
    <col min="9218" max="9218" width="17.42578125" style="365" customWidth="1"/>
    <col min="9219" max="9219" width="0" style="365" hidden="1" customWidth="1"/>
    <col min="9220" max="9220" width="14" style="365" customWidth="1"/>
    <col min="9221" max="9221" width="14.28515625" style="365" bestFit="1" customWidth="1"/>
    <col min="9222" max="9222" width="0" style="365" hidden="1" customWidth="1"/>
    <col min="9223" max="9223" width="15.5703125" style="365" customWidth="1"/>
    <col min="9224" max="9224" width="44.5703125" style="365" customWidth="1"/>
    <col min="9225" max="9225" width="14.28515625" style="365" bestFit="1" customWidth="1"/>
    <col min="9226" max="9226" width="0" style="365" hidden="1" customWidth="1"/>
    <col min="9227" max="9227" width="18.140625" style="365" customWidth="1"/>
    <col min="9228" max="9228" width="0" style="365" hidden="1" customWidth="1"/>
    <col min="9229" max="9229" width="14" style="365" customWidth="1"/>
    <col min="9230" max="9230" width="0" style="365" hidden="1" customWidth="1"/>
    <col min="9231" max="9231" width="20.85546875" style="365" customWidth="1"/>
    <col min="9232" max="9232" width="0" style="365" hidden="1" customWidth="1"/>
    <col min="9233" max="9233" width="13.28515625" style="365" customWidth="1"/>
    <col min="9234" max="9234" width="0" style="365" hidden="1" customWidth="1"/>
    <col min="9235" max="9235" width="15" style="365" customWidth="1"/>
    <col min="9236" max="9236" width="0" style="365" hidden="1" customWidth="1"/>
    <col min="9237" max="9237" width="13.28515625" style="365" customWidth="1"/>
    <col min="9238" max="9238" width="0" style="365" hidden="1" customWidth="1"/>
    <col min="9239" max="9239" width="20.140625" style="365" customWidth="1"/>
    <col min="9240" max="9240" width="14.42578125" style="365" bestFit="1" customWidth="1"/>
    <col min="9241" max="9241" width="14" style="365" bestFit="1" customWidth="1"/>
    <col min="9242" max="9242" width="12.28515625" style="365" bestFit="1" customWidth="1"/>
    <col min="9243" max="9267" width="9.140625" style="365" customWidth="1"/>
    <col min="9268" max="9462" width="8.85546875" style="365"/>
    <col min="9463" max="9463" width="44.5703125" style="365" customWidth="1"/>
    <col min="9464" max="9464" width="14.28515625" style="365" bestFit="1" customWidth="1"/>
    <col min="9465" max="9465" width="1.7109375" style="365" customWidth="1"/>
    <col min="9466" max="9466" width="14.85546875" style="365" customWidth="1"/>
    <col min="9467" max="9467" width="0" style="365" hidden="1" customWidth="1"/>
    <col min="9468" max="9468" width="17.42578125" style="365" customWidth="1"/>
    <col min="9469" max="9469" width="0" style="365" hidden="1" customWidth="1"/>
    <col min="9470" max="9470" width="12.85546875" style="365" customWidth="1"/>
    <col min="9471" max="9471" width="0" style="365" hidden="1" customWidth="1"/>
    <col min="9472" max="9472" width="14.42578125" style="365" customWidth="1"/>
    <col min="9473" max="9473" width="0" style="365" hidden="1" customWidth="1"/>
    <col min="9474" max="9474" width="17.42578125" style="365" customWidth="1"/>
    <col min="9475" max="9475" width="0" style="365" hidden="1" customWidth="1"/>
    <col min="9476" max="9476" width="14" style="365" customWidth="1"/>
    <col min="9477" max="9477" width="14.28515625" style="365" bestFit="1" customWidth="1"/>
    <col min="9478" max="9478" width="0" style="365" hidden="1" customWidth="1"/>
    <col min="9479" max="9479" width="15.5703125" style="365" customWidth="1"/>
    <col min="9480" max="9480" width="44.5703125" style="365" customWidth="1"/>
    <col min="9481" max="9481" width="14.28515625" style="365" bestFit="1" customWidth="1"/>
    <col min="9482" max="9482" width="0" style="365" hidden="1" customWidth="1"/>
    <col min="9483" max="9483" width="18.140625" style="365" customWidth="1"/>
    <col min="9484" max="9484" width="0" style="365" hidden="1" customWidth="1"/>
    <col min="9485" max="9485" width="14" style="365" customWidth="1"/>
    <col min="9486" max="9486" width="0" style="365" hidden="1" customWidth="1"/>
    <col min="9487" max="9487" width="20.85546875" style="365" customWidth="1"/>
    <col min="9488" max="9488" width="0" style="365" hidden="1" customWidth="1"/>
    <col min="9489" max="9489" width="13.28515625" style="365" customWidth="1"/>
    <col min="9490" max="9490" width="0" style="365" hidden="1" customWidth="1"/>
    <col min="9491" max="9491" width="15" style="365" customWidth="1"/>
    <col min="9492" max="9492" width="0" style="365" hidden="1" customWidth="1"/>
    <col min="9493" max="9493" width="13.28515625" style="365" customWidth="1"/>
    <col min="9494" max="9494" width="0" style="365" hidden="1" customWidth="1"/>
    <col min="9495" max="9495" width="20.140625" style="365" customWidth="1"/>
    <col min="9496" max="9496" width="14.42578125" style="365" bestFit="1" customWidth="1"/>
    <col min="9497" max="9497" width="14" style="365" bestFit="1" customWidth="1"/>
    <col min="9498" max="9498" width="12.28515625" style="365" bestFit="1" customWidth="1"/>
    <col min="9499" max="9523" width="9.140625" style="365" customWidth="1"/>
    <col min="9524" max="9718" width="8.85546875" style="365"/>
    <col min="9719" max="9719" width="44.5703125" style="365" customWidth="1"/>
    <col min="9720" max="9720" width="14.28515625" style="365" bestFit="1" customWidth="1"/>
    <col min="9721" max="9721" width="1.7109375" style="365" customWidth="1"/>
    <col min="9722" max="9722" width="14.85546875" style="365" customWidth="1"/>
    <col min="9723" max="9723" width="0" style="365" hidden="1" customWidth="1"/>
    <col min="9724" max="9724" width="17.42578125" style="365" customWidth="1"/>
    <col min="9725" max="9725" width="0" style="365" hidden="1" customWidth="1"/>
    <col min="9726" max="9726" width="12.85546875" style="365" customWidth="1"/>
    <col min="9727" max="9727" width="0" style="365" hidden="1" customWidth="1"/>
    <col min="9728" max="9728" width="14.42578125" style="365" customWidth="1"/>
    <col min="9729" max="9729" width="0" style="365" hidden="1" customWidth="1"/>
    <col min="9730" max="9730" width="17.42578125" style="365" customWidth="1"/>
    <col min="9731" max="9731" width="0" style="365" hidden="1" customWidth="1"/>
    <col min="9732" max="9732" width="14" style="365" customWidth="1"/>
    <col min="9733" max="9733" width="14.28515625" style="365" bestFit="1" customWidth="1"/>
    <col min="9734" max="9734" width="0" style="365" hidden="1" customWidth="1"/>
    <col min="9735" max="9735" width="15.5703125" style="365" customWidth="1"/>
    <col min="9736" max="9736" width="44.5703125" style="365" customWidth="1"/>
    <col min="9737" max="9737" width="14.28515625" style="365" bestFit="1" customWidth="1"/>
    <col min="9738" max="9738" width="0" style="365" hidden="1" customWidth="1"/>
    <col min="9739" max="9739" width="18.140625" style="365" customWidth="1"/>
    <col min="9740" max="9740" width="0" style="365" hidden="1" customWidth="1"/>
    <col min="9741" max="9741" width="14" style="365" customWidth="1"/>
    <col min="9742" max="9742" width="0" style="365" hidden="1" customWidth="1"/>
    <col min="9743" max="9743" width="20.85546875" style="365" customWidth="1"/>
    <col min="9744" max="9744" width="0" style="365" hidden="1" customWidth="1"/>
    <col min="9745" max="9745" width="13.28515625" style="365" customWidth="1"/>
    <col min="9746" max="9746" width="0" style="365" hidden="1" customWidth="1"/>
    <col min="9747" max="9747" width="15" style="365" customWidth="1"/>
    <col min="9748" max="9748" width="0" style="365" hidden="1" customWidth="1"/>
    <col min="9749" max="9749" width="13.28515625" style="365" customWidth="1"/>
    <col min="9750" max="9750" width="0" style="365" hidden="1" customWidth="1"/>
    <col min="9751" max="9751" width="20.140625" style="365" customWidth="1"/>
    <col min="9752" max="9752" width="14.42578125" style="365" bestFit="1" customWidth="1"/>
    <col min="9753" max="9753" width="14" style="365" bestFit="1" customWidth="1"/>
    <col min="9754" max="9754" width="12.28515625" style="365" bestFit="1" customWidth="1"/>
    <col min="9755" max="9779" width="9.140625" style="365" customWidth="1"/>
    <col min="9780" max="9974" width="8.85546875" style="365"/>
    <col min="9975" max="9975" width="44.5703125" style="365" customWidth="1"/>
    <col min="9976" max="9976" width="14.28515625" style="365" bestFit="1" customWidth="1"/>
    <col min="9977" max="9977" width="1.7109375" style="365" customWidth="1"/>
    <col min="9978" max="9978" width="14.85546875" style="365" customWidth="1"/>
    <col min="9979" max="9979" width="0" style="365" hidden="1" customWidth="1"/>
    <col min="9980" max="9980" width="17.42578125" style="365" customWidth="1"/>
    <col min="9981" max="9981" width="0" style="365" hidden="1" customWidth="1"/>
    <col min="9982" max="9982" width="12.85546875" style="365" customWidth="1"/>
    <col min="9983" max="9983" width="0" style="365" hidden="1" customWidth="1"/>
    <col min="9984" max="9984" width="14.42578125" style="365" customWidth="1"/>
    <col min="9985" max="9985" width="0" style="365" hidden="1" customWidth="1"/>
    <col min="9986" max="9986" width="17.42578125" style="365" customWidth="1"/>
    <col min="9987" max="9987" width="0" style="365" hidden="1" customWidth="1"/>
    <col min="9988" max="9988" width="14" style="365" customWidth="1"/>
    <col min="9989" max="9989" width="14.28515625" style="365" bestFit="1" customWidth="1"/>
    <col min="9990" max="9990" width="0" style="365" hidden="1" customWidth="1"/>
    <col min="9991" max="9991" width="15.5703125" style="365" customWidth="1"/>
    <col min="9992" max="9992" width="44.5703125" style="365" customWidth="1"/>
    <col min="9993" max="9993" width="14.28515625" style="365" bestFit="1" customWidth="1"/>
    <col min="9994" max="9994" width="0" style="365" hidden="1" customWidth="1"/>
    <col min="9995" max="9995" width="18.140625" style="365" customWidth="1"/>
    <col min="9996" max="9996" width="0" style="365" hidden="1" customWidth="1"/>
    <col min="9997" max="9997" width="14" style="365" customWidth="1"/>
    <col min="9998" max="9998" width="0" style="365" hidden="1" customWidth="1"/>
    <col min="9999" max="9999" width="20.85546875" style="365" customWidth="1"/>
    <col min="10000" max="10000" width="0" style="365" hidden="1" customWidth="1"/>
    <col min="10001" max="10001" width="13.28515625" style="365" customWidth="1"/>
    <col min="10002" max="10002" width="0" style="365" hidden="1" customWidth="1"/>
    <col min="10003" max="10003" width="15" style="365" customWidth="1"/>
    <col min="10004" max="10004" width="0" style="365" hidden="1" customWidth="1"/>
    <col min="10005" max="10005" width="13.28515625" style="365" customWidth="1"/>
    <col min="10006" max="10006" width="0" style="365" hidden="1" customWidth="1"/>
    <col min="10007" max="10007" width="20.140625" style="365" customWidth="1"/>
    <col min="10008" max="10008" width="14.42578125" style="365" bestFit="1" customWidth="1"/>
    <col min="10009" max="10009" width="14" style="365" bestFit="1" customWidth="1"/>
    <col min="10010" max="10010" width="12.28515625" style="365" bestFit="1" customWidth="1"/>
    <col min="10011" max="10035" width="9.140625" style="365" customWidth="1"/>
    <col min="10036" max="10230" width="8.85546875" style="365"/>
    <col min="10231" max="10231" width="44.5703125" style="365" customWidth="1"/>
    <col min="10232" max="10232" width="14.28515625" style="365" bestFit="1" customWidth="1"/>
    <col min="10233" max="10233" width="1.7109375" style="365" customWidth="1"/>
    <col min="10234" max="10234" width="14.85546875" style="365" customWidth="1"/>
    <col min="10235" max="10235" width="0" style="365" hidden="1" customWidth="1"/>
    <col min="10236" max="10236" width="17.42578125" style="365" customWidth="1"/>
    <col min="10237" max="10237" width="0" style="365" hidden="1" customWidth="1"/>
    <col min="10238" max="10238" width="12.85546875" style="365" customWidth="1"/>
    <col min="10239" max="10239" width="0" style="365" hidden="1" customWidth="1"/>
    <col min="10240" max="10240" width="14.42578125" style="365" customWidth="1"/>
    <col min="10241" max="10241" width="0" style="365" hidden="1" customWidth="1"/>
    <col min="10242" max="10242" width="17.42578125" style="365" customWidth="1"/>
    <col min="10243" max="10243" width="0" style="365" hidden="1" customWidth="1"/>
    <col min="10244" max="10244" width="14" style="365" customWidth="1"/>
    <col min="10245" max="10245" width="14.28515625" style="365" bestFit="1" customWidth="1"/>
    <col min="10246" max="10246" width="0" style="365" hidden="1" customWidth="1"/>
    <col min="10247" max="10247" width="15.5703125" style="365" customWidth="1"/>
    <col min="10248" max="10248" width="44.5703125" style="365" customWidth="1"/>
    <col min="10249" max="10249" width="14.28515625" style="365" bestFit="1" customWidth="1"/>
    <col min="10250" max="10250" width="0" style="365" hidden="1" customWidth="1"/>
    <col min="10251" max="10251" width="18.140625" style="365" customWidth="1"/>
    <col min="10252" max="10252" width="0" style="365" hidden="1" customWidth="1"/>
    <col min="10253" max="10253" width="14" style="365" customWidth="1"/>
    <col min="10254" max="10254" width="0" style="365" hidden="1" customWidth="1"/>
    <col min="10255" max="10255" width="20.85546875" style="365" customWidth="1"/>
    <col min="10256" max="10256" width="0" style="365" hidden="1" customWidth="1"/>
    <col min="10257" max="10257" width="13.28515625" style="365" customWidth="1"/>
    <col min="10258" max="10258" width="0" style="365" hidden="1" customWidth="1"/>
    <col min="10259" max="10259" width="15" style="365" customWidth="1"/>
    <col min="10260" max="10260" width="0" style="365" hidden="1" customWidth="1"/>
    <col min="10261" max="10261" width="13.28515625" style="365" customWidth="1"/>
    <col min="10262" max="10262" width="0" style="365" hidden="1" customWidth="1"/>
    <col min="10263" max="10263" width="20.140625" style="365" customWidth="1"/>
    <col min="10264" max="10264" width="14.42578125" style="365" bestFit="1" customWidth="1"/>
    <col min="10265" max="10265" width="14" style="365" bestFit="1" customWidth="1"/>
    <col min="10266" max="10266" width="12.28515625" style="365" bestFit="1" customWidth="1"/>
    <col min="10267" max="10291" width="9.140625" style="365" customWidth="1"/>
    <col min="10292" max="10486" width="8.85546875" style="365"/>
    <col min="10487" max="10487" width="44.5703125" style="365" customWidth="1"/>
    <col min="10488" max="10488" width="14.28515625" style="365" bestFit="1" customWidth="1"/>
    <col min="10489" max="10489" width="1.7109375" style="365" customWidth="1"/>
    <col min="10490" max="10490" width="14.85546875" style="365" customWidth="1"/>
    <col min="10491" max="10491" width="0" style="365" hidden="1" customWidth="1"/>
    <col min="10492" max="10492" width="17.42578125" style="365" customWidth="1"/>
    <col min="10493" max="10493" width="0" style="365" hidden="1" customWidth="1"/>
    <col min="10494" max="10494" width="12.85546875" style="365" customWidth="1"/>
    <col min="10495" max="10495" width="0" style="365" hidden="1" customWidth="1"/>
    <col min="10496" max="10496" width="14.42578125" style="365" customWidth="1"/>
    <col min="10497" max="10497" width="0" style="365" hidden="1" customWidth="1"/>
    <col min="10498" max="10498" width="17.42578125" style="365" customWidth="1"/>
    <col min="10499" max="10499" width="0" style="365" hidden="1" customWidth="1"/>
    <col min="10500" max="10500" width="14" style="365" customWidth="1"/>
    <col min="10501" max="10501" width="14.28515625" style="365" bestFit="1" customWidth="1"/>
    <col min="10502" max="10502" width="0" style="365" hidden="1" customWidth="1"/>
    <col min="10503" max="10503" width="15.5703125" style="365" customWidth="1"/>
    <col min="10504" max="10504" width="44.5703125" style="365" customWidth="1"/>
    <col min="10505" max="10505" width="14.28515625" style="365" bestFit="1" customWidth="1"/>
    <col min="10506" max="10506" width="0" style="365" hidden="1" customWidth="1"/>
    <col min="10507" max="10507" width="18.140625" style="365" customWidth="1"/>
    <col min="10508" max="10508" width="0" style="365" hidden="1" customWidth="1"/>
    <col min="10509" max="10509" width="14" style="365" customWidth="1"/>
    <col min="10510" max="10510" width="0" style="365" hidden="1" customWidth="1"/>
    <col min="10511" max="10511" width="20.85546875" style="365" customWidth="1"/>
    <col min="10512" max="10512" width="0" style="365" hidden="1" customWidth="1"/>
    <col min="10513" max="10513" width="13.28515625" style="365" customWidth="1"/>
    <col min="10514" max="10514" width="0" style="365" hidden="1" customWidth="1"/>
    <col min="10515" max="10515" width="15" style="365" customWidth="1"/>
    <col min="10516" max="10516" width="0" style="365" hidden="1" customWidth="1"/>
    <col min="10517" max="10517" width="13.28515625" style="365" customWidth="1"/>
    <col min="10518" max="10518" width="0" style="365" hidden="1" customWidth="1"/>
    <col min="10519" max="10519" width="20.140625" style="365" customWidth="1"/>
    <col min="10520" max="10520" width="14.42578125" style="365" bestFit="1" customWidth="1"/>
    <col min="10521" max="10521" width="14" style="365" bestFit="1" customWidth="1"/>
    <col min="10522" max="10522" width="12.28515625" style="365" bestFit="1" customWidth="1"/>
    <col min="10523" max="10547" width="9.140625" style="365" customWidth="1"/>
    <col min="10548" max="10742" width="8.85546875" style="365"/>
    <col min="10743" max="10743" width="44.5703125" style="365" customWidth="1"/>
    <col min="10744" max="10744" width="14.28515625" style="365" bestFit="1" customWidth="1"/>
    <col min="10745" max="10745" width="1.7109375" style="365" customWidth="1"/>
    <col min="10746" max="10746" width="14.85546875" style="365" customWidth="1"/>
    <col min="10747" max="10747" width="0" style="365" hidden="1" customWidth="1"/>
    <col min="10748" max="10748" width="17.42578125" style="365" customWidth="1"/>
    <col min="10749" max="10749" width="0" style="365" hidden="1" customWidth="1"/>
    <col min="10750" max="10750" width="12.85546875" style="365" customWidth="1"/>
    <col min="10751" max="10751" width="0" style="365" hidden="1" customWidth="1"/>
    <col min="10752" max="10752" width="14.42578125" style="365" customWidth="1"/>
    <col min="10753" max="10753" width="0" style="365" hidden="1" customWidth="1"/>
    <col min="10754" max="10754" width="17.42578125" style="365" customWidth="1"/>
    <col min="10755" max="10755" width="0" style="365" hidden="1" customWidth="1"/>
    <col min="10756" max="10756" width="14" style="365" customWidth="1"/>
    <col min="10757" max="10757" width="14.28515625" style="365" bestFit="1" customWidth="1"/>
    <col min="10758" max="10758" width="0" style="365" hidden="1" customWidth="1"/>
    <col min="10759" max="10759" width="15.5703125" style="365" customWidth="1"/>
    <col min="10760" max="10760" width="44.5703125" style="365" customWidth="1"/>
    <col min="10761" max="10761" width="14.28515625" style="365" bestFit="1" customWidth="1"/>
    <col min="10762" max="10762" width="0" style="365" hidden="1" customWidth="1"/>
    <col min="10763" max="10763" width="18.140625" style="365" customWidth="1"/>
    <col min="10764" max="10764" width="0" style="365" hidden="1" customWidth="1"/>
    <col min="10765" max="10765" width="14" style="365" customWidth="1"/>
    <col min="10766" max="10766" width="0" style="365" hidden="1" customWidth="1"/>
    <col min="10767" max="10767" width="20.85546875" style="365" customWidth="1"/>
    <col min="10768" max="10768" width="0" style="365" hidden="1" customWidth="1"/>
    <col min="10769" max="10769" width="13.28515625" style="365" customWidth="1"/>
    <col min="10770" max="10770" width="0" style="365" hidden="1" customWidth="1"/>
    <col min="10771" max="10771" width="15" style="365" customWidth="1"/>
    <col min="10772" max="10772" width="0" style="365" hidden="1" customWidth="1"/>
    <col min="10773" max="10773" width="13.28515625" style="365" customWidth="1"/>
    <col min="10774" max="10774" width="0" style="365" hidden="1" customWidth="1"/>
    <col min="10775" max="10775" width="20.140625" style="365" customWidth="1"/>
    <col min="10776" max="10776" width="14.42578125" style="365" bestFit="1" customWidth="1"/>
    <col min="10777" max="10777" width="14" style="365" bestFit="1" customWidth="1"/>
    <col min="10778" max="10778" width="12.28515625" style="365" bestFit="1" customWidth="1"/>
    <col min="10779" max="10803" width="9.140625" style="365" customWidth="1"/>
    <col min="10804" max="10998" width="8.85546875" style="365"/>
    <col min="10999" max="10999" width="44.5703125" style="365" customWidth="1"/>
    <col min="11000" max="11000" width="14.28515625" style="365" bestFit="1" customWidth="1"/>
    <col min="11001" max="11001" width="1.7109375" style="365" customWidth="1"/>
    <col min="11002" max="11002" width="14.85546875" style="365" customWidth="1"/>
    <col min="11003" max="11003" width="0" style="365" hidden="1" customWidth="1"/>
    <col min="11004" max="11004" width="17.42578125" style="365" customWidth="1"/>
    <col min="11005" max="11005" width="0" style="365" hidden="1" customWidth="1"/>
    <col min="11006" max="11006" width="12.85546875" style="365" customWidth="1"/>
    <col min="11007" max="11007" width="0" style="365" hidden="1" customWidth="1"/>
    <col min="11008" max="11008" width="14.42578125" style="365" customWidth="1"/>
    <col min="11009" max="11009" width="0" style="365" hidden="1" customWidth="1"/>
    <col min="11010" max="11010" width="17.42578125" style="365" customWidth="1"/>
    <col min="11011" max="11011" width="0" style="365" hidden="1" customWidth="1"/>
    <col min="11012" max="11012" width="14" style="365" customWidth="1"/>
    <col min="11013" max="11013" width="14.28515625" style="365" bestFit="1" customWidth="1"/>
    <col min="11014" max="11014" width="0" style="365" hidden="1" customWidth="1"/>
    <col min="11015" max="11015" width="15.5703125" style="365" customWidth="1"/>
    <col min="11016" max="11016" width="44.5703125" style="365" customWidth="1"/>
    <col min="11017" max="11017" width="14.28515625" style="365" bestFit="1" customWidth="1"/>
    <col min="11018" max="11018" width="0" style="365" hidden="1" customWidth="1"/>
    <col min="11019" max="11019" width="18.140625" style="365" customWidth="1"/>
    <col min="11020" max="11020" width="0" style="365" hidden="1" customWidth="1"/>
    <col min="11021" max="11021" width="14" style="365" customWidth="1"/>
    <col min="11022" max="11022" width="0" style="365" hidden="1" customWidth="1"/>
    <col min="11023" max="11023" width="20.85546875" style="365" customWidth="1"/>
    <col min="11024" max="11024" width="0" style="365" hidden="1" customWidth="1"/>
    <col min="11025" max="11025" width="13.28515625" style="365" customWidth="1"/>
    <col min="11026" max="11026" width="0" style="365" hidden="1" customWidth="1"/>
    <col min="11027" max="11027" width="15" style="365" customWidth="1"/>
    <col min="11028" max="11028" width="0" style="365" hidden="1" customWidth="1"/>
    <col min="11029" max="11029" width="13.28515625" style="365" customWidth="1"/>
    <col min="11030" max="11030" width="0" style="365" hidden="1" customWidth="1"/>
    <col min="11031" max="11031" width="20.140625" style="365" customWidth="1"/>
    <col min="11032" max="11032" width="14.42578125" style="365" bestFit="1" customWidth="1"/>
    <col min="11033" max="11033" width="14" style="365" bestFit="1" customWidth="1"/>
    <col min="11034" max="11034" width="12.28515625" style="365" bestFit="1" customWidth="1"/>
    <col min="11035" max="11059" width="9.140625" style="365" customWidth="1"/>
    <col min="11060" max="11254" width="8.85546875" style="365"/>
    <col min="11255" max="11255" width="44.5703125" style="365" customWidth="1"/>
    <col min="11256" max="11256" width="14.28515625" style="365" bestFit="1" customWidth="1"/>
    <col min="11257" max="11257" width="1.7109375" style="365" customWidth="1"/>
    <col min="11258" max="11258" width="14.85546875" style="365" customWidth="1"/>
    <col min="11259" max="11259" width="0" style="365" hidden="1" customWidth="1"/>
    <col min="11260" max="11260" width="17.42578125" style="365" customWidth="1"/>
    <col min="11261" max="11261" width="0" style="365" hidden="1" customWidth="1"/>
    <col min="11262" max="11262" width="12.85546875" style="365" customWidth="1"/>
    <col min="11263" max="11263" width="0" style="365" hidden="1" customWidth="1"/>
    <col min="11264" max="11264" width="14.42578125" style="365" customWidth="1"/>
    <col min="11265" max="11265" width="0" style="365" hidden="1" customWidth="1"/>
    <col min="11266" max="11266" width="17.42578125" style="365" customWidth="1"/>
    <col min="11267" max="11267" width="0" style="365" hidden="1" customWidth="1"/>
    <col min="11268" max="11268" width="14" style="365" customWidth="1"/>
    <col min="11269" max="11269" width="14.28515625" style="365" bestFit="1" customWidth="1"/>
    <col min="11270" max="11270" width="0" style="365" hidden="1" customWidth="1"/>
    <col min="11271" max="11271" width="15.5703125" style="365" customWidth="1"/>
    <col min="11272" max="11272" width="44.5703125" style="365" customWidth="1"/>
    <col min="11273" max="11273" width="14.28515625" style="365" bestFit="1" customWidth="1"/>
    <col min="11274" max="11274" width="0" style="365" hidden="1" customWidth="1"/>
    <col min="11275" max="11275" width="18.140625" style="365" customWidth="1"/>
    <col min="11276" max="11276" width="0" style="365" hidden="1" customWidth="1"/>
    <col min="11277" max="11277" width="14" style="365" customWidth="1"/>
    <col min="11278" max="11278" width="0" style="365" hidden="1" customWidth="1"/>
    <col min="11279" max="11279" width="20.85546875" style="365" customWidth="1"/>
    <col min="11280" max="11280" width="0" style="365" hidden="1" customWidth="1"/>
    <col min="11281" max="11281" width="13.28515625" style="365" customWidth="1"/>
    <col min="11282" max="11282" width="0" style="365" hidden="1" customWidth="1"/>
    <col min="11283" max="11283" width="15" style="365" customWidth="1"/>
    <col min="11284" max="11284" width="0" style="365" hidden="1" customWidth="1"/>
    <col min="11285" max="11285" width="13.28515625" style="365" customWidth="1"/>
    <col min="11286" max="11286" width="0" style="365" hidden="1" customWidth="1"/>
    <col min="11287" max="11287" width="20.140625" style="365" customWidth="1"/>
    <col min="11288" max="11288" width="14.42578125" style="365" bestFit="1" customWidth="1"/>
    <col min="11289" max="11289" width="14" style="365" bestFit="1" customWidth="1"/>
    <col min="11290" max="11290" width="12.28515625" style="365" bestFit="1" customWidth="1"/>
    <col min="11291" max="11315" width="9.140625" style="365" customWidth="1"/>
    <col min="11316" max="11510" width="8.85546875" style="365"/>
    <col min="11511" max="11511" width="44.5703125" style="365" customWidth="1"/>
    <col min="11512" max="11512" width="14.28515625" style="365" bestFit="1" customWidth="1"/>
    <col min="11513" max="11513" width="1.7109375" style="365" customWidth="1"/>
    <col min="11514" max="11514" width="14.85546875" style="365" customWidth="1"/>
    <col min="11515" max="11515" width="0" style="365" hidden="1" customWidth="1"/>
    <col min="11516" max="11516" width="17.42578125" style="365" customWidth="1"/>
    <col min="11517" max="11517" width="0" style="365" hidden="1" customWidth="1"/>
    <col min="11518" max="11518" width="12.85546875" style="365" customWidth="1"/>
    <col min="11519" max="11519" width="0" style="365" hidden="1" customWidth="1"/>
    <col min="11520" max="11520" width="14.42578125" style="365" customWidth="1"/>
    <col min="11521" max="11521" width="0" style="365" hidden="1" customWidth="1"/>
    <col min="11522" max="11522" width="17.42578125" style="365" customWidth="1"/>
    <col min="11523" max="11523" width="0" style="365" hidden="1" customWidth="1"/>
    <col min="11524" max="11524" width="14" style="365" customWidth="1"/>
    <col min="11525" max="11525" width="14.28515625" style="365" bestFit="1" customWidth="1"/>
    <col min="11526" max="11526" width="0" style="365" hidden="1" customWidth="1"/>
    <col min="11527" max="11527" width="15.5703125" style="365" customWidth="1"/>
    <col min="11528" max="11528" width="44.5703125" style="365" customWidth="1"/>
    <col min="11529" max="11529" width="14.28515625" style="365" bestFit="1" customWidth="1"/>
    <col min="11530" max="11530" width="0" style="365" hidden="1" customWidth="1"/>
    <col min="11531" max="11531" width="18.140625" style="365" customWidth="1"/>
    <col min="11532" max="11532" width="0" style="365" hidden="1" customWidth="1"/>
    <col min="11533" max="11533" width="14" style="365" customWidth="1"/>
    <col min="11534" max="11534" width="0" style="365" hidden="1" customWidth="1"/>
    <col min="11535" max="11535" width="20.85546875" style="365" customWidth="1"/>
    <col min="11536" max="11536" width="0" style="365" hidden="1" customWidth="1"/>
    <col min="11537" max="11537" width="13.28515625" style="365" customWidth="1"/>
    <col min="11538" max="11538" width="0" style="365" hidden="1" customWidth="1"/>
    <col min="11539" max="11539" width="15" style="365" customWidth="1"/>
    <col min="11540" max="11540" width="0" style="365" hidden="1" customWidth="1"/>
    <col min="11541" max="11541" width="13.28515625" style="365" customWidth="1"/>
    <col min="11542" max="11542" width="0" style="365" hidden="1" customWidth="1"/>
    <col min="11543" max="11543" width="20.140625" style="365" customWidth="1"/>
    <col min="11544" max="11544" width="14.42578125" style="365" bestFit="1" customWidth="1"/>
    <col min="11545" max="11545" width="14" style="365" bestFit="1" customWidth="1"/>
    <col min="11546" max="11546" width="12.28515625" style="365" bestFit="1" customWidth="1"/>
    <col min="11547" max="11571" width="9.140625" style="365" customWidth="1"/>
    <col min="11572" max="11766" width="8.85546875" style="365"/>
    <col min="11767" max="11767" width="44.5703125" style="365" customWidth="1"/>
    <col min="11768" max="11768" width="14.28515625" style="365" bestFit="1" customWidth="1"/>
    <col min="11769" max="11769" width="1.7109375" style="365" customWidth="1"/>
    <col min="11770" max="11770" width="14.85546875" style="365" customWidth="1"/>
    <col min="11771" max="11771" width="0" style="365" hidden="1" customWidth="1"/>
    <col min="11772" max="11772" width="17.42578125" style="365" customWidth="1"/>
    <col min="11773" max="11773" width="0" style="365" hidden="1" customWidth="1"/>
    <col min="11774" max="11774" width="12.85546875" style="365" customWidth="1"/>
    <col min="11775" max="11775" width="0" style="365" hidden="1" customWidth="1"/>
    <col min="11776" max="11776" width="14.42578125" style="365" customWidth="1"/>
    <col min="11777" max="11777" width="0" style="365" hidden="1" customWidth="1"/>
    <col min="11778" max="11778" width="17.42578125" style="365" customWidth="1"/>
    <col min="11779" max="11779" width="0" style="365" hidden="1" customWidth="1"/>
    <col min="11780" max="11780" width="14" style="365" customWidth="1"/>
    <col min="11781" max="11781" width="14.28515625" style="365" bestFit="1" customWidth="1"/>
    <col min="11782" max="11782" width="0" style="365" hidden="1" customWidth="1"/>
    <col min="11783" max="11783" width="15.5703125" style="365" customWidth="1"/>
    <col min="11784" max="11784" width="44.5703125" style="365" customWidth="1"/>
    <col min="11785" max="11785" width="14.28515625" style="365" bestFit="1" customWidth="1"/>
    <col min="11786" max="11786" width="0" style="365" hidden="1" customWidth="1"/>
    <col min="11787" max="11787" width="18.140625" style="365" customWidth="1"/>
    <col min="11788" max="11788" width="0" style="365" hidden="1" customWidth="1"/>
    <col min="11789" max="11789" width="14" style="365" customWidth="1"/>
    <col min="11790" max="11790" width="0" style="365" hidden="1" customWidth="1"/>
    <col min="11791" max="11791" width="20.85546875" style="365" customWidth="1"/>
    <col min="11792" max="11792" width="0" style="365" hidden="1" customWidth="1"/>
    <col min="11793" max="11793" width="13.28515625" style="365" customWidth="1"/>
    <col min="11794" max="11794" width="0" style="365" hidden="1" customWidth="1"/>
    <col min="11795" max="11795" width="15" style="365" customWidth="1"/>
    <col min="11796" max="11796" width="0" style="365" hidden="1" customWidth="1"/>
    <col min="11797" max="11797" width="13.28515625" style="365" customWidth="1"/>
    <col min="11798" max="11798" width="0" style="365" hidden="1" customWidth="1"/>
    <col min="11799" max="11799" width="20.140625" style="365" customWidth="1"/>
    <col min="11800" max="11800" width="14.42578125" style="365" bestFit="1" customWidth="1"/>
    <col min="11801" max="11801" width="14" style="365" bestFit="1" customWidth="1"/>
    <col min="11802" max="11802" width="12.28515625" style="365" bestFit="1" customWidth="1"/>
    <col min="11803" max="11827" width="9.140625" style="365" customWidth="1"/>
    <col min="11828" max="12022" width="8.85546875" style="365"/>
    <col min="12023" max="12023" width="44.5703125" style="365" customWidth="1"/>
    <col min="12024" max="12024" width="14.28515625" style="365" bestFit="1" customWidth="1"/>
    <col min="12025" max="12025" width="1.7109375" style="365" customWidth="1"/>
    <col min="12026" max="12026" width="14.85546875" style="365" customWidth="1"/>
    <col min="12027" max="12027" width="0" style="365" hidden="1" customWidth="1"/>
    <col min="12028" max="12028" width="17.42578125" style="365" customWidth="1"/>
    <col min="12029" max="12029" width="0" style="365" hidden="1" customWidth="1"/>
    <col min="12030" max="12030" width="12.85546875" style="365" customWidth="1"/>
    <col min="12031" max="12031" width="0" style="365" hidden="1" customWidth="1"/>
    <col min="12032" max="12032" width="14.42578125" style="365" customWidth="1"/>
    <col min="12033" max="12033" width="0" style="365" hidden="1" customWidth="1"/>
    <col min="12034" max="12034" width="17.42578125" style="365" customWidth="1"/>
    <col min="12035" max="12035" width="0" style="365" hidden="1" customWidth="1"/>
    <col min="12036" max="12036" width="14" style="365" customWidth="1"/>
    <col min="12037" max="12037" width="14.28515625" style="365" bestFit="1" customWidth="1"/>
    <col min="12038" max="12038" width="0" style="365" hidden="1" customWidth="1"/>
    <col min="12039" max="12039" width="15.5703125" style="365" customWidth="1"/>
    <col min="12040" max="12040" width="44.5703125" style="365" customWidth="1"/>
    <col min="12041" max="12041" width="14.28515625" style="365" bestFit="1" customWidth="1"/>
    <col min="12042" max="12042" width="0" style="365" hidden="1" customWidth="1"/>
    <col min="12043" max="12043" width="18.140625" style="365" customWidth="1"/>
    <col min="12044" max="12044" width="0" style="365" hidden="1" customWidth="1"/>
    <col min="12045" max="12045" width="14" style="365" customWidth="1"/>
    <col min="12046" max="12046" width="0" style="365" hidden="1" customWidth="1"/>
    <col min="12047" max="12047" width="20.85546875" style="365" customWidth="1"/>
    <col min="12048" max="12048" width="0" style="365" hidden="1" customWidth="1"/>
    <col min="12049" max="12049" width="13.28515625" style="365" customWidth="1"/>
    <col min="12050" max="12050" width="0" style="365" hidden="1" customWidth="1"/>
    <col min="12051" max="12051" width="15" style="365" customWidth="1"/>
    <col min="12052" max="12052" width="0" style="365" hidden="1" customWidth="1"/>
    <col min="12053" max="12053" width="13.28515625" style="365" customWidth="1"/>
    <col min="12054" max="12054" width="0" style="365" hidden="1" customWidth="1"/>
    <col min="12055" max="12055" width="20.140625" style="365" customWidth="1"/>
    <col min="12056" max="12056" width="14.42578125" style="365" bestFit="1" customWidth="1"/>
    <col min="12057" max="12057" width="14" style="365" bestFit="1" customWidth="1"/>
    <col min="12058" max="12058" width="12.28515625" style="365" bestFit="1" customWidth="1"/>
    <col min="12059" max="12083" width="9.140625" style="365" customWidth="1"/>
    <col min="12084" max="12278" width="8.85546875" style="365"/>
    <col min="12279" max="12279" width="44.5703125" style="365" customWidth="1"/>
    <col min="12280" max="12280" width="14.28515625" style="365" bestFit="1" customWidth="1"/>
    <col min="12281" max="12281" width="1.7109375" style="365" customWidth="1"/>
    <col min="12282" max="12282" width="14.85546875" style="365" customWidth="1"/>
    <col min="12283" max="12283" width="0" style="365" hidden="1" customWidth="1"/>
    <col min="12284" max="12284" width="17.42578125" style="365" customWidth="1"/>
    <col min="12285" max="12285" width="0" style="365" hidden="1" customWidth="1"/>
    <col min="12286" max="12286" width="12.85546875" style="365" customWidth="1"/>
    <col min="12287" max="12287" width="0" style="365" hidden="1" customWidth="1"/>
    <col min="12288" max="12288" width="14.42578125" style="365" customWidth="1"/>
    <col min="12289" max="12289" width="0" style="365" hidden="1" customWidth="1"/>
    <col min="12290" max="12290" width="17.42578125" style="365" customWidth="1"/>
    <col min="12291" max="12291" width="0" style="365" hidden="1" customWidth="1"/>
    <col min="12292" max="12292" width="14" style="365" customWidth="1"/>
    <col min="12293" max="12293" width="14.28515625" style="365" bestFit="1" customWidth="1"/>
    <col min="12294" max="12294" width="0" style="365" hidden="1" customWidth="1"/>
    <col min="12295" max="12295" width="15.5703125" style="365" customWidth="1"/>
    <col min="12296" max="12296" width="44.5703125" style="365" customWidth="1"/>
    <col min="12297" max="12297" width="14.28515625" style="365" bestFit="1" customWidth="1"/>
    <col min="12298" max="12298" width="0" style="365" hidden="1" customWidth="1"/>
    <col min="12299" max="12299" width="18.140625" style="365" customWidth="1"/>
    <col min="12300" max="12300" width="0" style="365" hidden="1" customWidth="1"/>
    <col min="12301" max="12301" width="14" style="365" customWidth="1"/>
    <col min="12302" max="12302" width="0" style="365" hidden="1" customWidth="1"/>
    <col min="12303" max="12303" width="20.85546875" style="365" customWidth="1"/>
    <col min="12304" max="12304" width="0" style="365" hidden="1" customWidth="1"/>
    <col min="12305" max="12305" width="13.28515625" style="365" customWidth="1"/>
    <col min="12306" max="12306" width="0" style="365" hidden="1" customWidth="1"/>
    <col min="12307" max="12307" width="15" style="365" customWidth="1"/>
    <col min="12308" max="12308" width="0" style="365" hidden="1" customWidth="1"/>
    <col min="12309" max="12309" width="13.28515625" style="365" customWidth="1"/>
    <col min="12310" max="12310" width="0" style="365" hidden="1" customWidth="1"/>
    <col min="12311" max="12311" width="20.140625" style="365" customWidth="1"/>
    <col min="12312" max="12312" width="14.42578125" style="365" bestFit="1" customWidth="1"/>
    <col min="12313" max="12313" width="14" style="365" bestFit="1" customWidth="1"/>
    <col min="12314" max="12314" width="12.28515625" style="365" bestFit="1" customWidth="1"/>
    <col min="12315" max="12339" width="9.140625" style="365" customWidth="1"/>
    <col min="12340" max="12534" width="8.85546875" style="365"/>
    <col min="12535" max="12535" width="44.5703125" style="365" customWidth="1"/>
    <col min="12536" max="12536" width="14.28515625" style="365" bestFit="1" customWidth="1"/>
    <col min="12537" max="12537" width="1.7109375" style="365" customWidth="1"/>
    <col min="12538" max="12538" width="14.85546875" style="365" customWidth="1"/>
    <col min="12539" max="12539" width="0" style="365" hidden="1" customWidth="1"/>
    <col min="12540" max="12540" width="17.42578125" style="365" customWidth="1"/>
    <col min="12541" max="12541" width="0" style="365" hidden="1" customWidth="1"/>
    <col min="12542" max="12542" width="12.85546875" style="365" customWidth="1"/>
    <col min="12543" max="12543" width="0" style="365" hidden="1" customWidth="1"/>
    <col min="12544" max="12544" width="14.42578125" style="365" customWidth="1"/>
    <col min="12545" max="12545" width="0" style="365" hidden="1" customWidth="1"/>
    <col min="12546" max="12546" width="17.42578125" style="365" customWidth="1"/>
    <col min="12547" max="12547" width="0" style="365" hidden="1" customWidth="1"/>
    <col min="12548" max="12548" width="14" style="365" customWidth="1"/>
    <col min="12549" max="12549" width="14.28515625" style="365" bestFit="1" customWidth="1"/>
    <col min="12550" max="12550" width="0" style="365" hidden="1" customWidth="1"/>
    <col min="12551" max="12551" width="15.5703125" style="365" customWidth="1"/>
    <col min="12552" max="12552" width="44.5703125" style="365" customWidth="1"/>
    <col min="12553" max="12553" width="14.28515625" style="365" bestFit="1" customWidth="1"/>
    <col min="12554" max="12554" width="0" style="365" hidden="1" customWidth="1"/>
    <col min="12555" max="12555" width="18.140625" style="365" customWidth="1"/>
    <col min="12556" max="12556" width="0" style="365" hidden="1" customWidth="1"/>
    <col min="12557" max="12557" width="14" style="365" customWidth="1"/>
    <col min="12558" max="12558" width="0" style="365" hidden="1" customWidth="1"/>
    <col min="12559" max="12559" width="20.85546875" style="365" customWidth="1"/>
    <col min="12560" max="12560" width="0" style="365" hidden="1" customWidth="1"/>
    <col min="12561" max="12561" width="13.28515625" style="365" customWidth="1"/>
    <col min="12562" max="12562" width="0" style="365" hidden="1" customWidth="1"/>
    <col min="12563" max="12563" width="15" style="365" customWidth="1"/>
    <col min="12564" max="12564" width="0" style="365" hidden="1" customWidth="1"/>
    <col min="12565" max="12565" width="13.28515625" style="365" customWidth="1"/>
    <col min="12566" max="12566" width="0" style="365" hidden="1" customWidth="1"/>
    <col min="12567" max="12567" width="20.140625" style="365" customWidth="1"/>
    <col min="12568" max="12568" width="14.42578125" style="365" bestFit="1" customWidth="1"/>
    <col min="12569" max="12569" width="14" style="365" bestFit="1" customWidth="1"/>
    <col min="12570" max="12570" width="12.28515625" style="365" bestFit="1" customWidth="1"/>
    <col min="12571" max="12595" width="9.140625" style="365" customWidth="1"/>
    <col min="12596" max="12790" width="8.85546875" style="365"/>
    <col min="12791" max="12791" width="44.5703125" style="365" customWidth="1"/>
    <col min="12792" max="12792" width="14.28515625" style="365" bestFit="1" customWidth="1"/>
    <col min="12793" max="12793" width="1.7109375" style="365" customWidth="1"/>
    <col min="12794" max="12794" width="14.85546875" style="365" customWidth="1"/>
    <col min="12795" max="12795" width="0" style="365" hidden="1" customWidth="1"/>
    <col min="12796" max="12796" width="17.42578125" style="365" customWidth="1"/>
    <col min="12797" max="12797" width="0" style="365" hidden="1" customWidth="1"/>
    <col min="12798" max="12798" width="12.85546875" style="365" customWidth="1"/>
    <col min="12799" max="12799" width="0" style="365" hidden="1" customWidth="1"/>
    <col min="12800" max="12800" width="14.42578125" style="365" customWidth="1"/>
    <col min="12801" max="12801" width="0" style="365" hidden="1" customWidth="1"/>
    <col min="12802" max="12802" width="17.42578125" style="365" customWidth="1"/>
    <col min="12803" max="12803" width="0" style="365" hidden="1" customWidth="1"/>
    <col min="12804" max="12804" width="14" style="365" customWidth="1"/>
    <col min="12805" max="12805" width="14.28515625" style="365" bestFit="1" customWidth="1"/>
    <col min="12806" max="12806" width="0" style="365" hidden="1" customWidth="1"/>
    <col min="12807" max="12807" width="15.5703125" style="365" customWidth="1"/>
    <col min="12808" max="12808" width="44.5703125" style="365" customWidth="1"/>
    <col min="12809" max="12809" width="14.28515625" style="365" bestFit="1" customWidth="1"/>
    <col min="12810" max="12810" width="0" style="365" hidden="1" customWidth="1"/>
    <col min="12811" max="12811" width="18.140625" style="365" customWidth="1"/>
    <col min="12812" max="12812" width="0" style="365" hidden="1" customWidth="1"/>
    <col min="12813" max="12813" width="14" style="365" customWidth="1"/>
    <col min="12814" max="12814" width="0" style="365" hidden="1" customWidth="1"/>
    <col min="12815" max="12815" width="20.85546875" style="365" customWidth="1"/>
    <col min="12816" max="12816" width="0" style="365" hidden="1" customWidth="1"/>
    <col min="12817" max="12817" width="13.28515625" style="365" customWidth="1"/>
    <col min="12818" max="12818" width="0" style="365" hidden="1" customWidth="1"/>
    <col min="12819" max="12819" width="15" style="365" customWidth="1"/>
    <col min="12820" max="12820" width="0" style="365" hidden="1" customWidth="1"/>
    <col min="12821" max="12821" width="13.28515625" style="365" customWidth="1"/>
    <col min="12822" max="12822" width="0" style="365" hidden="1" customWidth="1"/>
    <col min="12823" max="12823" width="20.140625" style="365" customWidth="1"/>
    <col min="12824" max="12824" width="14.42578125" style="365" bestFit="1" customWidth="1"/>
    <col min="12825" max="12825" width="14" style="365" bestFit="1" customWidth="1"/>
    <col min="12826" max="12826" width="12.28515625" style="365" bestFit="1" customWidth="1"/>
    <col min="12827" max="12851" width="9.140625" style="365" customWidth="1"/>
    <col min="12852" max="13046" width="8.85546875" style="365"/>
    <col min="13047" max="13047" width="44.5703125" style="365" customWidth="1"/>
    <col min="13048" max="13048" width="14.28515625" style="365" bestFit="1" customWidth="1"/>
    <col min="13049" max="13049" width="1.7109375" style="365" customWidth="1"/>
    <col min="13050" max="13050" width="14.85546875" style="365" customWidth="1"/>
    <col min="13051" max="13051" width="0" style="365" hidden="1" customWidth="1"/>
    <col min="13052" max="13052" width="17.42578125" style="365" customWidth="1"/>
    <col min="13053" max="13053" width="0" style="365" hidden="1" customWidth="1"/>
    <col min="13054" max="13054" width="12.85546875" style="365" customWidth="1"/>
    <col min="13055" max="13055" width="0" style="365" hidden="1" customWidth="1"/>
    <col min="13056" max="13056" width="14.42578125" style="365" customWidth="1"/>
    <col min="13057" max="13057" width="0" style="365" hidden="1" customWidth="1"/>
    <col min="13058" max="13058" width="17.42578125" style="365" customWidth="1"/>
    <col min="13059" max="13059" width="0" style="365" hidden="1" customWidth="1"/>
    <col min="13060" max="13060" width="14" style="365" customWidth="1"/>
    <col min="13061" max="13061" width="14.28515625" style="365" bestFit="1" customWidth="1"/>
    <col min="13062" max="13062" width="0" style="365" hidden="1" customWidth="1"/>
    <col min="13063" max="13063" width="15.5703125" style="365" customWidth="1"/>
    <col min="13064" max="13064" width="44.5703125" style="365" customWidth="1"/>
    <col min="13065" max="13065" width="14.28515625" style="365" bestFit="1" customWidth="1"/>
    <col min="13066" max="13066" width="0" style="365" hidden="1" customWidth="1"/>
    <col min="13067" max="13067" width="18.140625" style="365" customWidth="1"/>
    <col min="13068" max="13068" width="0" style="365" hidden="1" customWidth="1"/>
    <col min="13069" max="13069" width="14" style="365" customWidth="1"/>
    <col min="13070" max="13070" width="0" style="365" hidden="1" customWidth="1"/>
    <col min="13071" max="13071" width="20.85546875" style="365" customWidth="1"/>
    <col min="13072" max="13072" width="0" style="365" hidden="1" customWidth="1"/>
    <col min="13073" max="13073" width="13.28515625" style="365" customWidth="1"/>
    <col min="13074" max="13074" width="0" style="365" hidden="1" customWidth="1"/>
    <col min="13075" max="13075" width="15" style="365" customWidth="1"/>
    <col min="13076" max="13076" width="0" style="365" hidden="1" customWidth="1"/>
    <col min="13077" max="13077" width="13.28515625" style="365" customWidth="1"/>
    <col min="13078" max="13078" width="0" style="365" hidden="1" customWidth="1"/>
    <col min="13079" max="13079" width="20.140625" style="365" customWidth="1"/>
    <col min="13080" max="13080" width="14.42578125" style="365" bestFit="1" customWidth="1"/>
    <col min="13081" max="13081" width="14" style="365" bestFit="1" customWidth="1"/>
    <col min="13082" max="13082" width="12.28515625" style="365" bestFit="1" customWidth="1"/>
    <col min="13083" max="13107" width="9.140625" style="365" customWidth="1"/>
    <col min="13108" max="13302" width="8.85546875" style="365"/>
    <col min="13303" max="13303" width="44.5703125" style="365" customWidth="1"/>
    <col min="13304" max="13304" width="14.28515625" style="365" bestFit="1" customWidth="1"/>
    <col min="13305" max="13305" width="1.7109375" style="365" customWidth="1"/>
    <col min="13306" max="13306" width="14.85546875" style="365" customWidth="1"/>
    <col min="13307" max="13307" width="0" style="365" hidden="1" customWidth="1"/>
    <col min="13308" max="13308" width="17.42578125" style="365" customWidth="1"/>
    <col min="13309" max="13309" width="0" style="365" hidden="1" customWidth="1"/>
    <col min="13310" max="13310" width="12.85546875" style="365" customWidth="1"/>
    <col min="13311" max="13311" width="0" style="365" hidden="1" customWidth="1"/>
    <col min="13312" max="13312" width="14.42578125" style="365" customWidth="1"/>
    <col min="13313" max="13313" width="0" style="365" hidden="1" customWidth="1"/>
    <col min="13314" max="13314" width="17.42578125" style="365" customWidth="1"/>
    <col min="13315" max="13315" width="0" style="365" hidden="1" customWidth="1"/>
    <col min="13316" max="13316" width="14" style="365" customWidth="1"/>
    <col min="13317" max="13317" width="14.28515625" style="365" bestFit="1" customWidth="1"/>
    <col min="13318" max="13318" width="0" style="365" hidden="1" customWidth="1"/>
    <col min="13319" max="13319" width="15.5703125" style="365" customWidth="1"/>
    <col min="13320" max="13320" width="44.5703125" style="365" customWidth="1"/>
    <col min="13321" max="13321" width="14.28515625" style="365" bestFit="1" customWidth="1"/>
    <col min="13322" max="13322" width="0" style="365" hidden="1" customWidth="1"/>
    <col min="13323" max="13323" width="18.140625" style="365" customWidth="1"/>
    <col min="13324" max="13324" width="0" style="365" hidden="1" customWidth="1"/>
    <col min="13325" max="13325" width="14" style="365" customWidth="1"/>
    <col min="13326" max="13326" width="0" style="365" hidden="1" customWidth="1"/>
    <col min="13327" max="13327" width="20.85546875" style="365" customWidth="1"/>
    <col min="13328" max="13328" width="0" style="365" hidden="1" customWidth="1"/>
    <col min="13329" max="13329" width="13.28515625" style="365" customWidth="1"/>
    <col min="13330" max="13330" width="0" style="365" hidden="1" customWidth="1"/>
    <col min="13331" max="13331" width="15" style="365" customWidth="1"/>
    <col min="13332" max="13332" width="0" style="365" hidden="1" customWidth="1"/>
    <col min="13333" max="13333" width="13.28515625" style="365" customWidth="1"/>
    <col min="13334" max="13334" width="0" style="365" hidden="1" customWidth="1"/>
    <col min="13335" max="13335" width="20.140625" style="365" customWidth="1"/>
    <col min="13336" max="13336" width="14.42578125" style="365" bestFit="1" customWidth="1"/>
    <col min="13337" max="13337" width="14" style="365" bestFit="1" customWidth="1"/>
    <col min="13338" max="13338" width="12.28515625" style="365" bestFit="1" customWidth="1"/>
    <col min="13339" max="13363" width="9.140625" style="365" customWidth="1"/>
    <col min="13364" max="13558" width="8.85546875" style="365"/>
    <col min="13559" max="13559" width="44.5703125" style="365" customWidth="1"/>
    <col min="13560" max="13560" width="14.28515625" style="365" bestFit="1" customWidth="1"/>
    <col min="13561" max="13561" width="1.7109375" style="365" customWidth="1"/>
    <col min="13562" max="13562" width="14.85546875" style="365" customWidth="1"/>
    <col min="13563" max="13563" width="0" style="365" hidden="1" customWidth="1"/>
    <col min="13564" max="13564" width="17.42578125" style="365" customWidth="1"/>
    <col min="13565" max="13565" width="0" style="365" hidden="1" customWidth="1"/>
    <col min="13566" max="13566" width="12.85546875" style="365" customWidth="1"/>
    <col min="13567" max="13567" width="0" style="365" hidden="1" customWidth="1"/>
    <col min="13568" max="13568" width="14.42578125" style="365" customWidth="1"/>
    <col min="13569" max="13569" width="0" style="365" hidden="1" customWidth="1"/>
    <col min="13570" max="13570" width="17.42578125" style="365" customWidth="1"/>
    <col min="13571" max="13571" width="0" style="365" hidden="1" customWidth="1"/>
    <col min="13572" max="13572" width="14" style="365" customWidth="1"/>
    <col min="13573" max="13573" width="14.28515625" style="365" bestFit="1" customWidth="1"/>
    <col min="13574" max="13574" width="0" style="365" hidden="1" customWidth="1"/>
    <col min="13575" max="13575" width="15.5703125" style="365" customWidth="1"/>
    <col min="13576" max="13576" width="44.5703125" style="365" customWidth="1"/>
    <col min="13577" max="13577" width="14.28515625" style="365" bestFit="1" customWidth="1"/>
    <col min="13578" max="13578" width="0" style="365" hidden="1" customWidth="1"/>
    <col min="13579" max="13579" width="18.140625" style="365" customWidth="1"/>
    <col min="13580" max="13580" width="0" style="365" hidden="1" customWidth="1"/>
    <col min="13581" max="13581" width="14" style="365" customWidth="1"/>
    <col min="13582" max="13582" width="0" style="365" hidden="1" customWidth="1"/>
    <col min="13583" max="13583" width="20.85546875" style="365" customWidth="1"/>
    <col min="13584" max="13584" width="0" style="365" hidden="1" customWidth="1"/>
    <col min="13585" max="13585" width="13.28515625" style="365" customWidth="1"/>
    <col min="13586" max="13586" width="0" style="365" hidden="1" customWidth="1"/>
    <col min="13587" max="13587" width="15" style="365" customWidth="1"/>
    <col min="13588" max="13588" width="0" style="365" hidden="1" customWidth="1"/>
    <col min="13589" max="13589" width="13.28515625" style="365" customWidth="1"/>
    <col min="13590" max="13590" width="0" style="365" hidden="1" customWidth="1"/>
    <col min="13591" max="13591" width="20.140625" style="365" customWidth="1"/>
    <col min="13592" max="13592" width="14.42578125" style="365" bestFit="1" customWidth="1"/>
    <col min="13593" max="13593" width="14" style="365" bestFit="1" customWidth="1"/>
    <col min="13594" max="13594" width="12.28515625" style="365" bestFit="1" customWidth="1"/>
    <col min="13595" max="13619" width="9.140625" style="365" customWidth="1"/>
    <col min="13620" max="13814" width="8.85546875" style="365"/>
    <col min="13815" max="13815" width="44.5703125" style="365" customWidth="1"/>
    <col min="13816" max="13816" width="14.28515625" style="365" bestFit="1" customWidth="1"/>
    <col min="13817" max="13817" width="1.7109375" style="365" customWidth="1"/>
    <col min="13818" max="13818" width="14.85546875" style="365" customWidth="1"/>
    <col min="13819" max="13819" width="0" style="365" hidden="1" customWidth="1"/>
    <col min="13820" max="13820" width="17.42578125" style="365" customWidth="1"/>
    <col min="13821" max="13821" width="0" style="365" hidden="1" customWidth="1"/>
    <col min="13822" max="13822" width="12.85546875" style="365" customWidth="1"/>
    <col min="13823" max="13823" width="0" style="365" hidden="1" customWidth="1"/>
    <col min="13824" max="13824" width="14.42578125" style="365" customWidth="1"/>
    <col min="13825" max="13825" width="0" style="365" hidden="1" customWidth="1"/>
    <col min="13826" max="13826" width="17.42578125" style="365" customWidth="1"/>
    <col min="13827" max="13827" width="0" style="365" hidden="1" customWidth="1"/>
    <col min="13828" max="13828" width="14" style="365" customWidth="1"/>
    <col min="13829" max="13829" width="14.28515625" style="365" bestFit="1" customWidth="1"/>
    <col min="13830" max="13830" width="0" style="365" hidden="1" customWidth="1"/>
    <col min="13831" max="13831" width="15.5703125" style="365" customWidth="1"/>
    <col min="13832" max="13832" width="44.5703125" style="365" customWidth="1"/>
    <col min="13833" max="13833" width="14.28515625" style="365" bestFit="1" customWidth="1"/>
    <col min="13834" max="13834" width="0" style="365" hidden="1" customWidth="1"/>
    <col min="13835" max="13835" width="18.140625" style="365" customWidth="1"/>
    <col min="13836" max="13836" width="0" style="365" hidden="1" customWidth="1"/>
    <col min="13837" max="13837" width="14" style="365" customWidth="1"/>
    <col min="13838" max="13838" width="0" style="365" hidden="1" customWidth="1"/>
    <col min="13839" max="13839" width="20.85546875" style="365" customWidth="1"/>
    <col min="13840" max="13840" width="0" style="365" hidden="1" customWidth="1"/>
    <col min="13841" max="13841" width="13.28515625" style="365" customWidth="1"/>
    <col min="13842" max="13842" width="0" style="365" hidden="1" customWidth="1"/>
    <col min="13843" max="13843" width="15" style="365" customWidth="1"/>
    <col min="13844" max="13844" width="0" style="365" hidden="1" customWidth="1"/>
    <col min="13845" max="13845" width="13.28515625" style="365" customWidth="1"/>
    <col min="13846" max="13846" width="0" style="365" hidden="1" customWidth="1"/>
    <col min="13847" max="13847" width="20.140625" style="365" customWidth="1"/>
    <col min="13848" max="13848" width="14.42578125" style="365" bestFit="1" customWidth="1"/>
    <col min="13849" max="13849" width="14" style="365" bestFit="1" customWidth="1"/>
    <col min="13850" max="13850" width="12.28515625" style="365" bestFit="1" customWidth="1"/>
    <col min="13851" max="13875" width="9.140625" style="365" customWidth="1"/>
    <col min="13876" max="14070" width="8.85546875" style="365"/>
    <col min="14071" max="14071" width="44.5703125" style="365" customWidth="1"/>
    <col min="14072" max="14072" width="14.28515625" style="365" bestFit="1" customWidth="1"/>
    <col min="14073" max="14073" width="1.7109375" style="365" customWidth="1"/>
    <col min="14074" max="14074" width="14.85546875" style="365" customWidth="1"/>
    <col min="14075" max="14075" width="0" style="365" hidden="1" customWidth="1"/>
    <col min="14076" max="14076" width="17.42578125" style="365" customWidth="1"/>
    <col min="14077" max="14077" width="0" style="365" hidden="1" customWidth="1"/>
    <col min="14078" max="14078" width="12.85546875" style="365" customWidth="1"/>
    <col min="14079" max="14079" width="0" style="365" hidden="1" customWidth="1"/>
    <col min="14080" max="14080" width="14.42578125" style="365" customWidth="1"/>
    <col min="14081" max="14081" width="0" style="365" hidden="1" customWidth="1"/>
    <col min="14082" max="14082" width="17.42578125" style="365" customWidth="1"/>
    <col min="14083" max="14083" width="0" style="365" hidden="1" customWidth="1"/>
    <col min="14084" max="14084" width="14" style="365" customWidth="1"/>
    <col min="14085" max="14085" width="14.28515625" style="365" bestFit="1" customWidth="1"/>
    <col min="14086" max="14086" width="0" style="365" hidden="1" customWidth="1"/>
    <col min="14087" max="14087" width="15.5703125" style="365" customWidth="1"/>
    <col min="14088" max="14088" width="44.5703125" style="365" customWidth="1"/>
    <col min="14089" max="14089" width="14.28515625" style="365" bestFit="1" customWidth="1"/>
    <col min="14090" max="14090" width="0" style="365" hidden="1" customWidth="1"/>
    <col min="14091" max="14091" width="18.140625" style="365" customWidth="1"/>
    <col min="14092" max="14092" width="0" style="365" hidden="1" customWidth="1"/>
    <col min="14093" max="14093" width="14" style="365" customWidth="1"/>
    <col min="14094" max="14094" width="0" style="365" hidden="1" customWidth="1"/>
    <col min="14095" max="14095" width="20.85546875" style="365" customWidth="1"/>
    <col min="14096" max="14096" width="0" style="365" hidden="1" customWidth="1"/>
    <col min="14097" max="14097" width="13.28515625" style="365" customWidth="1"/>
    <col min="14098" max="14098" width="0" style="365" hidden="1" customWidth="1"/>
    <col min="14099" max="14099" width="15" style="365" customWidth="1"/>
    <col min="14100" max="14100" width="0" style="365" hidden="1" customWidth="1"/>
    <col min="14101" max="14101" width="13.28515625" style="365" customWidth="1"/>
    <col min="14102" max="14102" width="0" style="365" hidden="1" customWidth="1"/>
    <col min="14103" max="14103" width="20.140625" style="365" customWidth="1"/>
    <col min="14104" max="14104" width="14.42578125" style="365" bestFit="1" customWidth="1"/>
    <col min="14105" max="14105" width="14" style="365" bestFit="1" customWidth="1"/>
    <col min="14106" max="14106" width="12.28515625" style="365" bestFit="1" customWidth="1"/>
    <col min="14107" max="14131" width="9.140625" style="365" customWidth="1"/>
    <col min="14132" max="14326" width="8.85546875" style="365"/>
    <col min="14327" max="14327" width="44.5703125" style="365" customWidth="1"/>
    <col min="14328" max="14328" width="14.28515625" style="365" bestFit="1" customWidth="1"/>
    <col min="14329" max="14329" width="1.7109375" style="365" customWidth="1"/>
    <col min="14330" max="14330" width="14.85546875" style="365" customWidth="1"/>
    <col min="14331" max="14331" width="0" style="365" hidden="1" customWidth="1"/>
    <col min="14332" max="14332" width="17.42578125" style="365" customWidth="1"/>
    <col min="14333" max="14333" width="0" style="365" hidden="1" customWidth="1"/>
    <col min="14334" max="14334" width="12.85546875" style="365" customWidth="1"/>
    <col min="14335" max="14335" width="0" style="365" hidden="1" customWidth="1"/>
    <col min="14336" max="14336" width="14.42578125" style="365" customWidth="1"/>
    <col min="14337" max="14337" width="0" style="365" hidden="1" customWidth="1"/>
    <col min="14338" max="14338" width="17.42578125" style="365" customWidth="1"/>
    <col min="14339" max="14339" width="0" style="365" hidden="1" customWidth="1"/>
    <col min="14340" max="14340" width="14" style="365" customWidth="1"/>
    <col min="14341" max="14341" width="14.28515625" style="365" bestFit="1" customWidth="1"/>
    <col min="14342" max="14342" width="0" style="365" hidden="1" customWidth="1"/>
    <col min="14343" max="14343" width="15.5703125" style="365" customWidth="1"/>
    <col min="14344" max="14344" width="44.5703125" style="365" customWidth="1"/>
    <col min="14345" max="14345" width="14.28515625" style="365" bestFit="1" customWidth="1"/>
    <col min="14346" max="14346" width="0" style="365" hidden="1" customWidth="1"/>
    <col min="14347" max="14347" width="18.140625" style="365" customWidth="1"/>
    <col min="14348" max="14348" width="0" style="365" hidden="1" customWidth="1"/>
    <col min="14349" max="14349" width="14" style="365" customWidth="1"/>
    <col min="14350" max="14350" width="0" style="365" hidden="1" customWidth="1"/>
    <col min="14351" max="14351" width="20.85546875" style="365" customWidth="1"/>
    <col min="14352" max="14352" width="0" style="365" hidden="1" customWidth="1"/>
    <col min="14353" max="14353" width="13.28515625" style="365" customWidth="1"/>
    <col min="14354" max="14354" width="0" style="365" hidden="1" customWidth="1"/>
    <col min="14355" max="14355" width="15" style="365" customWidth="1"/>
    <col min="14356" max="14356" width="0" style="365" hidden="1" customWidth="1"/>
    <col min="14357" max="14357" width="13.28515625" style="365" customWidth="1"/>
    <col min="14358" max="14358" width="0" style="365" hidden="1" customWidth="1"/>
    <col min="14359" max="14359" width="20.140625" style="365" customWidth="1"/>
    <col min="14360" max="14360" width="14.42578125" style="365" bestFit="1" customWidth="1"/>
    <col min="14361" max="14361" width="14" style="365" bestFit="1" customWidth="1"/>
    <col min="14362" max="14362" width="12.28515625" style="365" bestFit="1" customWidth="1"/>
    <col min="14363" max="14387" width="9.140625" style="365" customWidth="1"/>
    <col min="14388" max="14582" width="8.85546875" style="365"/>
    <col min="14583" max="14583" width="44.5703125" style="365" customWidth="1"/>
    <col min="14584" max="14584" width="14.28515625" style="365" bestFit="1" customWidth="1"/>
    <col min="14585" max="14585" width="1.7109375" style="365" customWidth="1"/>
    <col min="14586" max="14586" width="14.85546875" style="365" customWidth="1"/>
    <col min="14587" max="14587" width="0" style="365" hidden="1" customWidth="1"/>
    <col min="14588" max="14588" width="17.42578125" style="365" customWidth="1"/>
    <col min="14589" max="14589" width="0" style="365" hidden="1" customWidth="1"/>
    <col min="14590" max="14590" width="12.85546875" style="365" customWidth="1"/>
    <col min="14591" max="14591" width="0" style="365" hidden="1" customWidth="1"/>
    <col min="14592" max="14592" width="14.42578125" style="365" customWidth="1"/>
    <col min="14593" max="14593" width="0" style="365" hidden="1" customWidth="1"/>
    <col min="14594" max="14594" width="17.42578125" style="365" customWidth="1"/>
    <col min="14595" max="14595" width="0" style="365" hidden="1" customWidth="1"/>
    <col min="14596" max="14596" width="14" style="365" customWidth="1"/>
    <col min="14597" max="14597" width="14.28515625" style="365" bestFit="1" customWidth="1"/>
    <col min="14598" max="14598" width="0" style="365" hidden="1" customWidth="1"/>
    <col min="14599" max="14599" width="15.5703125" style="365" customWidth="1"/>
    <col min="14600" max="14600" width="44.5703125" style="365" customWidth="1"/>
    <col min="14601" max="14601" width="14.28515625" style="365" bestFit="1" customWidth="1"/>
    <col min="14602" max="14602" width="0" style="365" hidden="1" customWidth="1"/>
    <col min="14603" max="14603" width="18.140625" style="365" customWidth="1"/>
    <col min="14604" max="14604" width="0" style="365" hidden="1" customWidth="1"/>
    <col min="14605" max="14605" width="14" style="365" customWidth="1"/>
    <col min="14606" max="14606" width="0" style="365" hidden="1" customWidth="1"/>
    <col min="14607" max="14607" width="20.85546875" style="365" customWidth="1"/>
    <col min="14608" max="14608" width="0" style="365" hidden="1" customWidth="1"/>
    <col min="14609" max="14609" width="13.28515625" style="365" customWidth="1"/>
    <col min="14610" max="14610" width="0" style="365" hidden="1" customWidth="1"/>
    <col min="14611" max="14611" width="15" style="365" customWidth="1"/>
    <col min="14612" max="14612" width="0" style="365" hidden="1" customWidth="1"/>
    <col min="14613" max="14613" width="13.28515625" style="365" customWidth="1"/>
    <col min="14614" max="14614" width="0" style="365" hidden="1" customWidth="1"/>
    <col min="14615" max="14615" width="20.140625" style="365" customWidth="1"/>
    <col min="14616" max="14616" width="14.42578125" style="365" bestFit="1" customWidth="1"/>
    <col min="14617" max="14617" width="14" style="365" bestFit="1" customWidth="1"/>
    <col min="14618" max="14618" width="12.28515625" style="365" bestFit="1" customWidth="1"/>
    <col min="14619" max="14643" width="9.140625" style="365" customWidth="1"/>
    <col min="14644" max="14838" width="8.85546875" style="365"/>
    <col min="14839" max="14839" width="44.5703125" style="365" customWidth="1"/>
    <col min="14840" max="14840" width="14.28515625" style="365" bestFit="1" customWidth="1"/>
    <col min="14841" max="14841" width="1.7109375" style="365" customWidth="1"/>
    <col min="14842" max="14842" width="14.85546875" style="365" customWidth="1"/>
    <col min="14843" max="14843" width="0" style="365" hidden="1" customWidth="1"/>
    <col min="14844" max="14844" width="17.42578125" style="365" customWidth="1"/>
    <col min="14845" max="14845" width="0" style="365" hidden="1" customWidth="1"/>
    <col min="14846" max="14846" width="12.85546875" style="365" customWidth="1"/>
    <col min="14847" max="14847" width="0" style="365" hidden="1" customWidth="1"/>
    <col min="14848" max="14848" width="14.42578125" style="365" customWidth="1"/>
    <col min="14849" max="14849" width="0" style="365" hidden="1" customWidth="1"/>
    <col min="14850" max="14850" width="17.42578125" style="365" customWidth="1"/>
    <col min="14851" max="14851" width="0" style="365" hidden="1" customWidth="1"/>
    <col min="14852" max="14852" width="14" style="365" customWidth="1"/>
    <col min="14853" max="14853" width="14.28515625" style="365" bestFit="1" customWidth="1"/>
    <col min="14854" max="14854" width="0" style="365" hidden="1" customWidth="1"/>
    <col min="14855" max="14855" width="15.5703125" style="365" customWidth="1"/>
    <col min="14856" max="14856" width="44.5703125" style="365" customWidth="1"/>
    <col min="14857" max="14857" width="14.28515625" style="365" bestFit="1" customWidth="1"/>
    <col min="14858" max="14858" width="0" style="365" hidden="1" customWidth="1"/>
    <col min="14859" max="14859" width="18.140625" style="365" customWidth="1"/>
    <col min="14860" max="14860" width="0" style="365" hidden="1" customWidth="1"/>
    <col min="14861" max="14861" width="14" style="365" customWidth="1"/>
    <col min="14862" max="14862" width="0" style="365" hidden="1" customWidth="1"/>
    <col min="14863" max="14863" width="20.85546875" style="365" customWidth="1"/>
    <col min="14864" max="14864" width="0" style="365" hidden="1" customWidth="1"/>
    <col min="14865" max="14865" width="13.28515625" style="365" customWidth="1"/>
    <col min="14866" max="14866" width="0" style="365" hidden="1" customWidth="1"/>
    <col min="14867" max="14867" width="15" style="365" customWidth="1"/>
    <col min="14868" max="14868" width="0" style="365" hidden="1" customWidth="1"/>
    <col min="14869" max="14869" width="13.28515625" style="365" customWidth="1"/>
    <col min="14870" max="14870" width="0" style="365" hidden="1" customWidth="1"/>
    <col min="14871" max="14871" width="20.140625" style="365" customWidth="1"/>
    <col min="14872" max="14872" width="14.42578125" style="365" bestFit="1" customWidth="1"/>
    <col min="14873" max="14873" width="14" style="365" bestFit="1" customWidth="1"/>
    <col min="14874" max="14874" width="12.28515625" style="365" bestFit="1" customWidth="1"/>
    <col min="14875" max="14899" width="9.140625" style="365" customWidth="1"/>
    <col min="14900" max="15094" width="8.85546875" style="365"/>
    <col min="15095" max="15095" width="44.5703125" style="365" customWidth="1"/>
    <col min="15096" max="15096" width="14.28515625" style="365" bestFit="1" customWidth="1"/>
    <col min="15097" max="15097" width="1.7109375" style="365" customWidth="1"/>
    <col min="15098" max="15098" width="14.85546875" style="365" customWidth="1"/>
    <col min="15099" max="15099" width="0" style="365" hidden="1" customWidth="1"/>
    <col min="15100" max="15100" width="17.42578125" style="365" customWidth="1"/>
    <col min="15101" max="15101" width="0" style="365" hidden="1" customWidth="1"/>
    <col min="15102" max="15102" width="12.85546875" style="365" customWidth="1"/>
    <col min="15103" max="15103" width="0" style="365" hidden="1" customWidth="1"/>
    <col min="15104" max="15104" width="14.42578125" style="365" customWidth="1"/>
    <col min="15105" max="15105" width="0" style="365" hidden="1" customWidth="1"/>
    <col min="15106" max="15106" width="17.42578125" style="365" customWidth="1"/>
    <col min="15107" max="15107" width="0" style="365" hidden="1" customWidth="1"/>
    <col min="15108" max="15108" width="14" style="365" customWidth="1"/>
    <col min="15109" max="15109" width="14.28515625" style="365" bestFit="1" customWidth="1"/>
    <col min="15110" max="15110" width="0" style="365" hidden="1" customWidth="1"/>
    <col min="15111" max="15111" width="15.5703125" style="365" customWidth="1"/>
    <col min="15112" max="15112" width="44.5703125" style="365" customWidth="1"/>
    <col min="15113" max="15113" width="14.28515625" style="365" bestFit="1" customWidth="1"/>
    <col min="15114" max="15114" width="0" style="365" hidden="1" customWidth="1"/>
    <col min="15115" max="15115" width="18.140625" style="365" customWidth="1"/>
    <col min="15116" max="15116" width="0" style="365" hidden="1" customWidth="1"/>
    <col min="15117" max="15117" width="14" style="365" customWidth="1"/>
    <col min="15118" max="15118" width="0" style="365" hidden="1" customWidth="1"/>
    <col min="15119" max="15119" width="20.85546875" style="365" customWidth="1"/>
    <col min="15120" max="15120" width="0" style="365" hidden="1" customWidth="1"/>
    <col min="15121" max="15121" width="13.28515625" style="365" customWidth="1"/>
    <col min="15122" max="15122" width="0" style="365" hidden="1" customWidth="1"/>
    <col min="15123" max="15123" width="15" style="365" customWidth="1"/>
    <col min="15124" max="15124" width="0" style="365" hidden="1" customWidth="1"/>
    <col min="15125" max="15125" width="13.28515625" style="365" customWidth="1"/>
    <col min="15126" max="15126" width="0" style="365" hidden="1" customWidth="1"/>
    <col min="15127" max="15127" width="20.140625" style="365" customWidth="1"/>
    <col min="15128" max="15128" width="14.42578125" style="365" bestFit="1" customWidth="1"/>
    <col min="15129" max="15129" width="14" style="365" bestFit="1" customWidth="1"/>
    <col min="15130" max="15130" width="12.28515625" style="365" bestFit="1" customWidth="1"/>
    <col min="15131" max="15155" width="9.140625" style="365" customWidth="1"/>
    <col min="15156" max="15350" width="8.85546875" style="365"/>
    <col min="15351" max="15351" width="44.5703125" style="365" customWidth="1"/>
    <col min="15352" max="15352" width="14.28515625" style="365" bestFit="1" customWidth="1"/>
    <col min="15353" max="15353" width="1.7109375" style="365" customWidth="1"/>
    <col min="15354" max="15354" width="14.85546875" style="365" customWidth="1"/>
    <col min="15355" max="15355" width="0" style="365" hidden="1" customWidth="1"/>
    <col min="15356" max="15356" width="17.42578125" style="365" customWidth="1"/>
    <col min="15357" max="15357" width="0" style="365" hidden="1" customWidth="1"/>
    <col min="15358" max="15358" width="12.85546875" style="365" customWidth="1"/>
    <col min="15359" max="15359" width="0" style="365" hidden="1" customWidth="1"/>
    <col min="15360" max="15360" width="14.42578125" style="365" customWidth="1"/>
    <col min="15361" max="15361" width="0" style="365" hidden="1" customWidth="1"/>
    <col min="15362" max="15362" width="17.42578125" style="365" customWidth="1"/>
    <col min="15363" max="15363" width="0" style="365" hidden="1" customWidth="1"/>
    <col min="15364" max="15364" width="14" style="365" customWidth="1"/>
    <col min="15365" max="15365" width="14.28515625" style="365" bestFit="1" customWidth="1"/>
    <col min="15366" max="15366" width="0" style="365" hidden="1" customWidth="1"/>
    <col min="15367" max="15367" width="15.5703125" style="365" customWidth="1"/>
    <col min="15368" max="15368" width="44.5703125" style="365" customWidth="1"/>
    <col min="15369" max="15369" width="14.28515625" style="365" bestFit="1" customWidth="1"/>
    <col min="15370" max="15370" width="0" style="365" hidden="1" customWidth="1"/>
    <col min="15371" max="15371" width="18.140625" style="365" customWidth="1"/>
    <col min="15372" max="15372" width="0" style="365" hidden="1" customWidth="1"/>
    <col min="15373" max="15373" width="14" style="365" customWidth="1"/>
    <col min="15374" max="15374" width="0" style="365" hidden="1" customWidth="1"/>
    <col min="15375" max="15375" width="20.85546875" style="365" customWidth="1"/>
    <col min="15376" max="15376" width="0" style="365" hidden="1" customWidth="1"/>
    <col min="15377" max="15377" width="13.28515625" style="365" customWidth="1"/>
    <col min="15378" max="15378" width="0" style="365" hidden="1" customWidth="1"/>
    <col min="15379" max="15379" width="15" style="365" customWidth="1"/>
    <col min="15380" max="15380" width="0" style="365" hidden="1" customWidth="1"/>
    <col min="15381" max="15381" width="13.28515625" style="365" customWidth="1"/>
    <col min="15382" max="15382" width="0" style="365" hidden="1" customWidth="1"/>
    <col min="15383" max="15383" width="20.140625" style="365" customWidth="1"/>
    <col min="15384" max="15384" width="14.42578125" style="365" bestFit="1" customWidth="1"/>
    <col min="15385" max="15385" width="14" style="365" bestFit="1" customWidth="1"/>
    <col min="15386" max="15386" width="12.28515625" style="365" bestFit="1" customWidth="1"/>
    <col min="15387" max="15411" width="9.140625" style="365" customWidth="1"/>
    <col min="15412" max="15606" width="8.85546875" style="365"/>
    <col min="15607" max="15607" width="44.5703125" style="365" customWidth="1"/>
    <col min="15608" max="15608" width="14.28515625" style="365" bestFit="1" customWidth="1"/>
    <col min="15609" max="15609" width="1.7109375" style="365" customWidth="1"/>
    <col min="15610" max="15610" width="14.85546875" style="365" customWidth="1"/>
    <col min="15611" max="15611" width="0" style="365" hidden="1" customWidth="1"/>
    <col min="15612" max="15612" width="17.42578125" style="365" customWidth="1"/>
    <col min="15613" max="15613" width="0" style="365" hidden="1" customWidth="1"/>
    <col min="15614" max="15614" width="12.85546875" style="365" customWidth="1"/>
    <col min="15615" max="15615" width="0" style="365" hidden="1" customWidth="1"/>
    <col min="15616" max="15616" width="14.42578125" style="365" customWidth="1"/>
    <col min="15617" max="15617" width="0" style="365" hidden="1" customWidth="1"/>
    <col min="15618" max="15618" width="17.42578125" style="365" customWidth="1"/>
    <col min="15619" max="15619" width="0" style="365" hidden="1" customWidth="1"/>
    <col min="15620" max="15620" width="14" style="365" customWidth="1"/>
    <col min="15621" max="15621" width="14.28515625" style="365" bestFit="1" customWidth="1"/>
    <col min="15622" max="15622" width="0" style="365" hidden="1" customWidth="1"/>
    <col min="15623" max="15623" width="15.5703125" style="365" customWidth="1"/>
    <col min="15624" max="15624" width="44.5703125" style="365" customWidth="1"/>
    <col min="15625" max="15625" width="14.28515625" style="365" bestFit="1" customWidth="1"/>
    <col min="15626" max="15626" width="0" style="365" hidden="1" customWidth="1"/>
    <col min="15627" max="15627" width="18.140625" style="365" customWidth="1"/>
    <col min="15628" max="15628" width="0" style="365" hidden="1" customWidth="1"/>
    <col min="15629" max="15629" width="14" style="365" customWidth="1"/>
    <col min="15630" max="15630" width="0" style="365" hidden="1" customWidth="1"/>
    <col min="15631" max="15631" width="20.85546875" style="365" customWidth="1"/>
    <col min="15632" max="15632" width="0" style="365" hidden="1" customWidth="1"/>
    <col min="15633" max="15633" width="13.28515625" style="365" customWidth="1"/>
    <col min="15634" max="15634" width="0" style="365" hidden="1" customWidth="1"/>
    <col min="15635" max="15635" width="15" style="365" customWidth="1"/>
    <col min="15636" max="15636" width="0" style="365" hidden="1" customWidth="1"/>
    <col min="15637" max="15637" width="13.28515625" style="365" customWidth="1"/>
    <col min="15638" max="15638" width="0" style="365" hidden="1" customWidth="1"/>
    <col min="15639" max="15639" width="20.140625" style="365" customWidth="1"/>
    <col min="15640" max="15640" width="14.42578125" style="365" bestFit="1" customWidth="1"/>
    <col min="15641" max="15641" width="14" style="365" bestFit="1" customWidth="1"/>
    <col min="15642" max="15642" width="12.28515625" style="365" bestFit="1" customWidth="1"/>
    <col min="15643" max="15667" width="9.140625" style="365" customWidth="1"/>
    <col min="15668" max="15862" width="8.85546875" style="365"/>
    <col min="15863" max="15863" width="44.5703125" style="365" customWidth="1"/>
    <col min="15864" max="15864" width="14.28515625" style="365" bestFit="1" customWidth="1"/>
    <col min="15865" max="15865" width="1.7109375" style="365" customWidth="1"/>
    <col min="15866" max="15866" width="14.85546875" style="365" customWidth="1"/>
    <col min="15867" max="15867" width="0" style="365" hidden="1" customWidth="1"/>
    <col min="15868" max="15868" width="17.42578125" style="365" customWidth="1"/>
    <col min="15869" max="15869" width="0" style="365" hidden="1" customWidth="1"/>
    <col min="15870" max="15870" width="12.85546875" style="365" customWidth="1"/>
    <col min="15871" max="15871" width="0" style="365" hidden="1" customWidth="1"/>
    <col min="15872" max="15872" width="14.42578125" style="365" customWidth="1"/>
    <col min="15873" max="15873" width="0" style="365" hidden="1" customWidth="1"/>
    <col min="15874" max="15874" width="17.42578125" style="365" customWidth="1"/>
    <col min="15875" max="15875" width="0" style="365" hidden="1" customWidth="1"/>
    <col min="15876" max="15876" width="14" style="365" customWidth="1"/>
    <col min="15877" max="15877" width="14.28515625" style="365" bestFit="1" customWidth="1"/>
    <col min="15878" max="15878" width="0" style="365" hidden="1" customWidth="1"/>
    <col min="15879" max="15879" width="15.5703125" style="365" customWidth="1"/>
    <col min="15880" max="15880" width="44.5703125" style="365" customWidth="1"/>
    <col min="15881" max="15881" width="14.28515625" style="365" bestFit="1" customWidth="1"/>
    <col min="15882" max="15882" width="0" style="365" hidden="1" customWidth="1"/>
    <col min="15883" max="15883" width="18.140625" style="365" customWidth="1"/>
    <col min="15884" max="15884" width="0" style="365" hidden="1" customWidth="1"/>
    <col min="15885" max="15885" width="14" style="365" customWidth="1"/>
    <col min="15886" max="15886" width="0" style="365" hidden="1" customWidth="1"/>
    <col min="15887" max="15887" width="20.85546875" style="365" customWidth="1"/>
    <col min="15888" max="15888" width="0" style="365" hidden="1" customWidth="1"/>
    <col min="15889" max="15889" width="13.28515625" style="365" customWidth="1"/>
    <col min="15890" max="15890" width="0" style="365" hidden="1" customWidth="1"/>
    <col min="15891" max="15891" width="15" style="365" customWidth="1"/>
    <col min="15892" max="15892" width="0" style="365" hidden="1" customWidth="1"/>
    <col min="15893" max="15893" width="13.28515625" style="365" customWidth="1"/>
    <col min="15894" max="15894" width="0" style="365" hidden="1" customWidth="1"/>
    <col min="15895" max="15895" width="20.140625" style="365" customWidth="1"/>
    <col min="15896" max="15896" width="14.42578125" style="365" bestFit="1" customWidth="1"/>
    <col min="15897" max="15897" width="14" style="365" bestFit="1" customWidth="1"/>
    <col min="15898" max="15898" width="12.28515625" style="365" bestFit="1" customWidth="1"/>
    <col min="15899" max="15923" width="9.140625" style="365" customWidth="1"/>
    <col min="15924" max="16118" width="8.85546875" style="365"/>
    <col min="16119" max="16119" width="44.5703125" style="365" customWidth="1"/>
    <col min="16120" max="16120" width="14.28515625" style="365" bestFit="1" customWidth="1"/>
    <col min="16121" max="16121" width="1.7109375" style="365" customWidth="1"/>
    <col min="16122" max="16122" width="14.85546875" style="365" customWidth="1"/>
    <col min="16123" max="16123" width="0" style="365" hidden="1" customWidth="1"/>
    <col min="16124" max="16124" width="17.42578125" style="365" customWidth="1"/>
    <col min="16125" max="16125" width="0" style="365" hidden="1" customWidth="1"/>
    <col min="16126" max="16126" width="12.85546875" style="365" customWidth="1"/>
    <col min="16127" max="16127" width="0" style="365" hidden="1" customWidth="1"/>
    <col min="16128" max="16128" width="14.42578125" style="365" customWidth="1"/>
    <col min="16129" max="16129" width="0" style="365" hidden="1" customWidth="1"/>
    <col min="16130" max="16130" width="17.42578125" style="365" customWidth="1"/>
    <col min="16131" max="16131" width="0" style="365" hidden="1" customWidth="1"/>
    <col min="16132" max="16132" width="14" style="365" customWidth="1"/>
    <col min="16133" max="16133" width="14.28515625" style="365" bestFit="1" customWidth="1"/>
    <col min="16134" max="16134" width="0" style="365" hidden="1" customWidth="1"/>
    <col min="16135" max="16135" width="15.5703125" style="365" customWidth="1"/>
    <col min="16136" max="16136" width="44.5703125" style="365" customWidth="1"/>
    <col min="16137" max="16137" width="14.28515625" style="365" bestFit="1" customWidth="1"/>
    <col min="16138" max="16138" width="0" style="365" hidden="1" customWidth="1"/>
    <col min="16139" max="16139" width="18.140625" style="365" customWidth="1"/>
    <col min="16140" max="16140" width="0" style="365" hidden="1" customWidth="1"/>
    <col min="16141" max="16141" width="14" style="365" customWidth="1"/>
    <col min="16142" max="16142" width="0" style="365" hidden="1" customWidth="1"/>
    <col min="16143" max="16143" width="20.85546875" style="365" customWidth="1"/>
    <col min="16144" max="16144" width="0" style="365" hidden="1" customWidth="1"/>
    <col min="16145" max="16145" width="13.28515625" style="365" customWidth="1"/>
    <col min="16146" max="16146" width="0" style="365" hidden="1" customWidth="1"/>
    <col min="16147" max="16147" width="15" style="365" customWidth="1"/>
    <col min="16148" max="16148" width="0" style="365" hidden="1" customWidth="1"/>
    <col min="16149" max="16149" width="13.28515625" style="365" customWidth="1"/>
    <col min="16150" max="16150" width="0" style="365" hidden="1" customWidth="1"/>
    <col min="16151" max="16151" width="20.140625" style="365" customWidth="1"/>
    <col min="16152" max="16152" width="14.42578125" style="365" bestFit="1" customWidth="1"/>
    <col min="16153" max="16153" width="14" style="365" bestFit="1" customWidth="1"/>
    <col min="16154" max="16154" width="12.28515625" style="365" bestFit="1" customWidth="1"/>
    <col min="16155" max="16179" width="9.140625" style="365" customWidth="1"/>
    <col min="16180" max="16384" width="8.85546875" style="365"/>
  </cols>
  <sheetData>
    <row r="1" spans="1:51" s="354" customFormat="1" ht="19.899999999999999" hidden="1" customHeight="1">
      <c r="A1" s="1632"/>
      <c r="B1" s="1632"/>
      <c r="C1" s="1632"/>
      <c r="D1" s="1632"/>
      <c r="E1" s="1632"/>
      <c r="F1" s="1632"/>
      <c r="G1" s="1632"/>
      <c r="H1" s="1632"/>
      <c r="I1" s="1632"/>
      <c r="J1" s="1632"/>
      <c r="K1" s="1632"/>
      <c r="L1" s="1632"/>
      <c r="M1" s="1632"/>
      <c r="N1" s="1632"/>
      <c r="O1" s="1632"/>
      <c r="P1" s="1632"/>
      <c r="Q1" s="1632"/>
      <c r="R1" s="1632"/>
      <c r="S1" s="1632"/>
      <c r="T1" s="1632"/>
      <c r="U1" s="1632"/>
      <c r="V1" s="1632"/>
      <c r="W1" s="1632"/>
      <c r="X1" s="1632"/>
      <c r="Y1" s="1633"/>
      <c r="Z1" s="1632"/>
      <c r="AA1" s="928"/>
      <c r="AB1" s="930"/>
      <c r="AC1" s="351"/>
      <c r="AD1" s="928"/>
      <c r="AE1" s="351"/>
      <c r="AF1" s="928"/>
      <c r="AG1" s="353"/>
      <c r="AH1" s="911"/>
      <c r="AI1" s="353"/>
      <c r="AJ1" s="911"/>
      <c r="AK1" s="353"/>
      <c r="AL1" s="911"/>
      <c r="AM1" s="353"/>
      <c r="AN1" s="911"/>
      <c r="AO1" s="353"/>
      <c r="AP1" s="353"/>
      <c r="AQ1" s="353"/>
      <c r="AR1" s="353"/>
      <c r="AS1" s="353"/>
      <c r="AT1" s="353"/>
      <c r="AU1" s="353"/>
      <c r="AV1" s="353"/>
      <c r="AW1" s="353"/>
      <c r="AX1" s="353"/>
      <c r="AY1" s="353"/>
    </row>
    <row r="2" spans="1:51" s="354" customFormat="1" ht="88.9" customHeight="1">
      <c r="A2" s="1690" t="s">
        <v>795</v>
      </c>
      <c r="B2" s="1690"/>
      <c r="C2" s="1690"/>
      <c r="D2" s="1690"/>
      <c r="E2" s="1690"/>
      <c r="F2" s="1690"/>
      <c r="G2" s="1690"/>
      <c r="H2" s="1690"/>
      <c r="I2" s="1690"/>
      <c r="J2" s="1690"/>
      <c r="K2" s="1690"/>
      <c r="L2" s="1690"/>
      <c r="M2" s="1690"/>
      <c r="N2" s="1690"/>
      <c r="O2" s="1690"/>
      <c r="P2" s="1690"/>
      <c r="Q2" s="1690"/>
      <c r="R2" s="1690"/>
      <c r="S2" s="1690"/>
      <c r="T2" s="1690"/>
      <c r="U2" s="1690"/>
      <c r="V2" s="1690"/>
      <c r="W2" s="1690"/>
      <c r="X2" s="1690"/>
      <c r="Y2" s="1690"/>
      <c r="Z2" s="1690"/>
      <c r="AA2" s="1690"/>
      <c r="AB2" s="1690"/>
      <c r="AC2" s="1690"/>
      <c r="AD2" s="1690"/>
      <c r="AE2" s="1690"/>
      <c r="AF2" s="1690"/>
      <c r="AG2" s="1690"/>
      <c r="AH2" s="1690"/>
      <c r="AI2" s="1690"/>
      <c r="AJ2" s="1690"/>
      <c r="AK2" s="1690"/>
      <c r="AL2" s="1690"/>
      <c r="AM2" s="1690"/>
      <c r="AN2" s="1690"/>
      <c r="AO2" s="353"/>
      <c r="AP2" s="353"/>
      <c r="AQ2" s="353"/>
      <c r="AR2" s="353"/>
      <c r="AS2" s="353"/>
      <c r="AT2" s="353"/>
      <c r="AU2" s="353"/>
      <c r="AV2" s="353"/>
      <c r="AW2" s="353"/>
      <c r="AX2" s="353"/>
      <c r="AY2" s="353"/>
    </row>
    <row r="3" spans="1:51" s="354" customFormat="1" ht="48" hidden="1">
      <c r="A3" s="957"/>
      <c r="B3" s="1636" t="str">
        <f>PROPER(B1)</f>
        <v/>
      </c>
      <c r="C3" s="1636"/>
      <c r="D3" s="1636"/>
      <c r="E3" s="1636"/>
      <c r="F3" s="1636"/>
      <c r="G3" s="1636"/>
      <c r="H3" s="1636"/>
      <c r="I3" s="1636"/>
      <c r="J3" s="1636"/>
      <c r="K3" s="1636"/>
      <c r="L3" s="1636"/>
      <c r="M3" s="1636"/>
      <c r="N3" s="1636"/>
      <c r="O3" s="1636"/>
      <c r="P3" s="1636"/>
      <c r="Q3" s="1636"/>
      <c r="R3" s="1636"/>
      <c r="S3" s="1636"/>
      <c r="T3" s="1636"/>
      <c r="U3" s="1636"/>
      <c r="V3" s="1636"/>
      <c r="W3" s="1636"/>
      <c r="X3" s="1636"/>
      <c r="Y3" s="940"/>
      <c r="Z3" s="935"/>
      <c r="AA3" s="911"/>
      <c r="AB3" s="931"/>
      <c r="AC3" s="353"/>
      <c r="AD3" s="911"/>
      <c r="AE3" s="353"/>
      <c r="AF3" s="911"/>
      <c r="AG3" s="353"/>
      <c r="AH3" s="911"/>
      <c r="AI3" s="353"/>
      <c r="AJ3" s="911"/>
      <c r="AK3" s="353"/>
      <c r="AL3" s="911"/>
      <c r="AM3" s="353"/>
      <c r="AN3" s="911"/>
      <c r="AO3" s="353"/>
      <c r="AP3" s="353"/>
      <c r="AQ3" s="353"/>
      <c r="AR3" s="353"/>
      <c r="AS3" s="353"/>
      <c r="AT3" s="353"/>
      <c r="AU3" s="353"/>
      <c r="AV3" s="353"/>
      <c r="AW3" s="353"/>
      <c r="AX3" s="353"/>
      <c r="AY3" s="353"/>
    </row>
    <row r="4" spans="1:51" s="354" customFormat="1" ht="15.6" hidden="1" customHeight="1">
      <c r="A4" s="1635"/>
      <c r="B4" s="1635"/>
      <c r="C4" s="1635"/>
      <c r="D4" s="1635"/>
      <c r="E4" s="1635"/>
      <c r="F4" s="1635"/>
      <c r="G4" s="1635"/>
      <c r="H4" s="1635"/>
      <c r="I4" s="1635"/>
      <c r="J4" s="1635"/>
      <c r="K4" s="1635"/>
      <c r="L4" s="1635"/>
      <c r="M4" s="1635"/>
      <c r="N4" s="1635"/>
      <c r="O4" s="1635"/>
      <c r="P4" s="1635"/>
      <c r="Q4" s="1635"/>
      <c r="R4" s="1635"/>
      <c r="S4" s="1635"/>
      <c r="T4" s="1635"/>
      <c r="U4" s="1635"/>
      <c r="V4" s="1635"/>
      <c r="W4" s="1635"/>
      <c r="X4" s="1635"/>
      <c r="Y4" s="1635"/>
      <c r="Z4" s="1635"/>
      <c r="AA4" s="911"/>
      <c r="AB4" s="931"/>
      <c r="AC4" s="353"/>
      <c r="AD4" s="911"/>
      <c r="AE4" s="353"/>
      <c r="AF4" s="911"/>
      <c r="AG4" s="353"/>
      <c r="AH4" s="911"/>
      <c r="AI4" s="353"/>
      <c r="AJ4" s="911"/>
      <c r="AK4" s="353"/>
      <c r="AL4" s="911"/>
      <c r="AM4" s="353"/>
      <c r="AN4" s="911"/>
      <c r="AO4" s="353"/>
      <c r="AP4" s="353"/>
      <c r="AQ4" s="353"/>
      <c r="AR4" s="353"/>
      <c r="AS4" s="353"/>
      <c r="AT4" s="353"/>
      <c r="AU4" s="353"/>
      <c r="AV4" s="353"/>
      <c r="AW4" s="353"/>
      <c r="AX4" s="353"/>
      <c r="AY4" s="353"/>
    </row>
    <row r="5" spans="1:51" s="363" customFormat="1" ht="9.6" customHeight="1" thickBot="1">
      <c r="A5" s="360" t="s">
        <v>58</v>
      </c>
      <c r="B5" s="361"/>
      <c r="C5" s="360"/>
      <c r="D5" s="362"/>
      <c r="E5" s="362"/>
      <c r="F5" s="362"/>
      <c r="G5" s="362"/>
      <c r="H5" s="362"/>
      <c r="I5" s="362"/>
      <c r="J5" s="362"/>
      <c r="K5" s="362"/>
      <c r="L5" s="362"/>
      <c r="M5" s="362"/>
      <c r="N5" s="362"/>
      <c r="O5" s="362"/>
      <c r="P5" s="362"/>
      <c r="Q5" s="362"/>
      <c r="R5" s="936"/>
      <c r="S5" s="936"/>
      <c r="T5" s="936"/>
      <c r="U5" s="936"/>
      <c r="V5" s="936"/>
      <c r="W5" s="936"/>
      <c r="X5" s="936"/>
      <c r="Y5" s="936"/>
      <c r="Z5" s="936"/>
      <c r="AA5" s="912"/>
      <c r="AB5" s="932"/>
      <c r="AD5" s="912"/>
      <c r="AF5" s="912"/>
      <c r="AH5" s="912"/>
      <c r="AJ5" s="912"/>
      <c r="AL5" s="912"/>
      <c r="AN5" s="912"/>
    </row>
    <row r="6" spans="1:51" s="1449" customFormat="1" ht="112.15" customHeight="1" thickTop="1" thickBot="1">
      <c r="A6" s="1444"/>
      <c r="B6" s="1445"/>
      <c r="C6" s="1456"/>
      <c r="D6" s="1446" t="s">
        <v>573</v>
      </c>
      <c r="E6" s="1447" t="s">
        <v>414</v>
      </c>
      <c r="F6" s="1447" t="s">
        <v>575</v>
      </c>
      <c r="G6" s="1447" t="s">
        <v>963</v>
      </c>
      <c r="H6" s="1447" t="s">
        <v>964</v>
      </c>
      <c r="I6" s="1447" t="s">
        <v>420</v>
      </c>
      <c r="J6" s="1447" t="s">
        <v>417</v>
      </c>
      <c r="K6" s="1447" t="s">
        <v>926</v>
      </c>
      <c r="L6" s="1447" t="s">
        <v>965</v>
      </c>
      <c r="M6" s="1447" t="s">
        <v>421</v>
      </c>
      <c r="N6" s="1447" t="s">
        <v>413</v>
      </c>
      <c r="O6" s="1447" t="s">
        <v>419</v>
      </c>
      <c r="P6" s="1447" t="s">
        <v>925</v>
      </c>
      <c r="Q6" s="1447" t="s">
        <v>412</v>
      </c>
      <c r="R6" s="1447" t="s">
        <v>718</v>
      </c>
      <c r="S6" s="1447" t="s">
        <v>781</v>
      </c>
      <c r="T6" s="1447" t="s">
        <v>416</v>
      </c>
      <c r="U6" s="1447" t="s">
        <v>866</v>
      </c>
      <c r="V6" s="1447" t="s">
        <v>411</v>
      </c>
      <c r="W6" s="1447" t="s">
        <v>154</v>
      </c>
      <c r="X6" s="1448" t="s">
        <v>422</v>
      </c>
      <c r="Z6" s="1450" t="s">
        <v>414</v>
      </c>
      <c r="AA6" s="1450" t="s">
        <v>415</v>
      </c>
      <c r="AB6" s="1450" t="s">
        <v>416</v>
      </c>
      <c r="AC6" s="1451"/>
      <c r="AD6" s="1450" t="s">
        <v>417</v>
      </c>
      <c r="AE6" s="1451"/>
      <c r="AF6" s="1450" t="s">
        <v>575</v>
      </c>
      <c r="AG6" s="1451"/>
      <c r="AH6" s="1450" t="s">
        <v>419</v>
      </c>
      <c r="AI6" s="1451"/>
      <c r="AJ6" s="1450" t="s">
        <v>420</v>
      </c>
      <c r="AK6" s="1451"/>
      <c r="AL6" s="1450" t="s">
        <v>421</v>
      </c>
      <c r="AM6" s="1451"/>
      <c r="AN6" s="1452" t="s">
        <v>422</v>
      </c>
      <c r="AO6" s="1453"/>
      <c r="AP6" s="1453"/>
      <c r="AQ6" s="1453"/>
      <c r="AR6" s="1453"/>
      <c r="AS6" s="1453"/>
      <c r="AT6" s="1453"/>
      <c r="AU6" s="1453"/>
      <c r="AV6" s="1453"/>
      <c r="AW6" s="1453"/>
      <c r="AX6" s="1453"/>
      <c r="AY6" s="1453"/>
    </row>
    <row r="7" spans="1:51" ht="13.9" customHeight="1" thickTop="1">
      <c r="A7" s="356"/>
      <c r="B7" s="356"/>
      <c r="C7" s="1049"/>
      <c r="D7" s="369"/>
      <c r="E7" s="933"/>
      <c r="F7" s="924"/>
      <c r="G7" s="924"/>
      <c r="H7" s="924"/>
      <c r="I7" s="924"/>
      <c r="J7" s="924"/>
      <c r="K7" s="933"/>
      <c r="L7" s="924"/>
      <c r="M7" s="924"/>
      <c r="N7" s="924"/>
      <c r="O7" s="924"/>
      <c r="P7" s="924"/>
      <c r="Q7" s="924"/>
      <c r="R7" s="924"/>
      <c r="S7" s="924"/>
      <c r="T7" s="924"/>
      <c r="U7" s="924"/>
      <c r="V7" s="924"/>
      <c r="W7" s="924"/>
      <c r="X7" s="914"/>
      <c r="Z7" s="933"/>
      <c r="AA7" s="933"/>
      <c r="AB7" s="924"/>
      <c r="AC7" s="372"/>
      <c r="AD7" s="924"/>
      <c r="AE7" s="372"/>
      <c r="AF7" s="924"/>
      <c r="AG7" s="372"/>
      <c r="AH7" s="924"/>
      <c r="AI7" s="372"/>
      <c r="AJ7" s="924"/>
      <c r="AK7" s="372"/>
      <c r="AL7" s="924"/>
      <c r="AM7" s="372"/>
      <c r="AN7" s="914"/>
    </row>
    <row r="8" spans="1:51" s="417" customFormat="1" ht="15.95" customHeight="1">
      <c r="A8" s="1305" t="s">
        <v>423</v>
      </c>
      <c r="C8" s="1305"/>
      <c r="D8" s="450"/>
      <c r="E8" s="934"/>
      <c r="F8" s="915" t="s">
        <v>58</v>
      </c>
      <c r="G8" s="915"/>
      <c r="H8" s="915"/>
      <c r="I8" s="915" t="s">
        <v>58</v>
      </c>
      <c r="J8" s="929"/>
      <c r="K8" s="934"/>
      <c r="L8" s="915"/>
      <c r="M8" s="915" t="s">
        <v>58</v>
      </c>
      <c r="N8" s="929"/>
      <c r="O8" s="915" t="s">
        <v>58</v>
      </c>
      <c r="P8" s="915"/>
      <c r="Q8" s="929"/>
      <c r="R8" s="929"/>
      <c r="S8" s="929"/>
      <c r="T8" s="929"/>
      <c r="U8" s="929"/>
      <c r="V8" s="929"/>
      <c r="W8" s="969"/>
      <c r="X8" s="915"/>
      <c r="Z8" s="934"/>
      <c r="AA8" s="934"/>
      <c r="AB8" s="929"/>
      <c r="AC8" s="453"/>
      <c r="AD8" s="929"/>
      <c r="AE8" s="453"/>
      <c r="AF8" s="915" t="s">
        <v>58</v>
      </c>
      <c r="AG8" s="453"/>
      <c r="AH8" s="915" t="s">
        <v>58</v>
      </c>
      <c r="AI8" s="453"/>
      <c r="AJ8" s="915" t="s">
        <v>58</v>
      </c>
      <c r="AK8" s="453"/>
      <c r="AL8" s="915" t="s">
        <v>58</v>
      </c>
      <c r="AM8" s="453"/>
      <c r="AN8" s="915"/>
      <c r="AO8" s="454"/>
      <c r="AP8" s="454"/>
      <c r="AQ8" s="454"/>
      <c r="AR8" s="454"/>
      <c r="AS8" s="454"/>
      <c r="AT8" s="454"/>
      <c r="AU8" s="454"/>
      <c r="AV8" s="454"/>
      <c r="AW8" s="454"/>
      <c r="AX8" s="454"/>
      <c r="AY8" s="454"/>
    </row>
    <row r="9" spans="1:51" s="417" customFormat="1" ht="20.100000000000001" customHeight="1">
      <c r="A9" s="417" t="s">
        <v>779</v>
      </c>
      <c r="C9" s="1305" t="s">
        <v>424</v>
      </c>
      <c r="D9" s="1208">
        <v>51136182.670000002</v>
      </c>
      <c r="E9" s="1227">
        <v>12643997.800000001</v>
      </c>
      <c r="F9" s="1227">
        <v>55176535.100000001</v>
      </c>
      <c r="G9" s="1227">
        <f>2061811.44+11801844</f>
        <v>13863655.439999999</v>
      </c>
      <c r="H9" s="1227">
        <v>11887357.470000001</v>
      </c>
      <c r="I9" s="1227">
        <v>10616485.59</v>
      </c>
      <c r="J9" s="1227">
        <v>3441496.84</v>
      </c>
      <c r="K9" s="1227">
        <v>19552625</v>
      </c>
      <c r="L9" s="1227">
        <v>2979515</v>
      </c>
      <c r="M9" s="1227">
        <v>12581583.01</v>
      </c>
      <c r="N9" s="1208">
        <v>8196920</v>
      </c>
      <c r="O9" s="1227">
        <v>11894915.34</v>
      </c>
      <c r="P9" s="1227">
        <v>1156422.8899999999</v>
      </c>
      <c r="Q9" s="1208">
        <v>0</v>
      </c>
      <c r="R9" s="1208">
        <v>0</v>
      </c>
      <c r="S9" s="1208">
        <v>2713933</v>
      </c>
      <c r="T9" s="1227">
        <v>0</v>
      </c>
      <c r="U9" s="1208">
        <v>0</v>
      </c>
      <c r="V9" s="1208">
        <v>71403</v>
      </c>
      <c r="W9" s="1208">
        <v>79584</v>
      </c>
      <c r="X9" s="1229">
        <f>SUM(D9:W9)</f>
        <v>217992612.14999998</v>
      </c>
      <c r="Y9" s="901">
        <f>SUM(D9:W9)-X9</f>
        <v>0</v>
      </c>
      <c r="Z9" s="458" t="e">
        <f>ROUND(#REF!+#REF!+#REF!+#REF!+#REF!+#REF!+#REF!+#REF!+#REF!+#REF!,2)</f>
        <v>#REF!</v>
      </c>
      <c r="AA9" s="458">
        <f>ROUND(Cemtery!L13+Cemtery!L9,2)</f>
        <v>23929746.120000001</v>
      </c>
      <c r="AB9" s="458">
        <f>ROUND('Arts Science District Garage'!L14+Cemtery!L9,2)</f>
        <v>0</v>
      </c>
      <c r="AC9" s="458"/>
      <c r="AD9" s="458">
        <f>ROUND(Sanitation!L16+Sanitation!L12,2)</f>
        <v>7903598.3099999996</v>
      </c>
      <c r="AE9" s="458"/>
      <c r="AF9" s="458">
        <f>ROUND('Water and Sewer'!L15+'Central Region'!L15+'Water and Sewer'!L11+'Central Region'!L11,2)</f>
        <v>56639343</v>
      </c>
      <c r="AG9" s="458"/>
      <c r="AH9" s="458">
        <f>ROUND(Stormwater!L16+Stormwater!L12,2)</f>
        <v>12213219</v>
      </c>
      <c r="AI9" s="458"/>
      <c r="AJ9" s="458">
        <f>ROUND('Parking System'!L16+'Parking System'!L12,2)</f>
        <v>13737004</v>
      </c>
      <c r="AK9" s="458"/>
      <c r="AL9" s="458">
        <f>ROUND(Airport!L16+Airport!L12,2)</f>
        <v>13880782</v>
      </c>
      <c r="AM9" s="461"/>
      <c r="AN9" s="461" t="e">
        <f>SUM(D9:AL9)</f>
        <v>#REF!</v>
      </c>
      <c r="AO9" s="454"/>
      <c r="AP9" s="454"/>
      <c r="AQ9" s="454"/>
      <c r="AR9" s="454"/>
      <c r="AS9" s="454"/>
      <c r="AT9" s="454"/>
      <c r="AU9" s="454"/>
      <c r="AV9" s="454"/>
      <c r="AW9" s="454"/>
      <c r="AX9" s="454"/>
      <c r="AY9" s="454"/>
    </row>
    <row r="10" spans="1:51" s="417" customFormat="1" ht="20.100000000000001" customHeight="1">
      <c r="A10" s="417" t="s">
        <v>690</v>
      </c>
      <c r="C10" s="1305"/>
      <c r="D10" s="1208">
        <v>3000000</v>
      </c>
      <c r="E10" s="1227">
        <v>0</v>
      </c>
      <c r="F10" s="1227">
        <v>0</v>
      </c>
      <c r="G10" s="1227"/>
      <c r="H10" s="1227">
        <v>0</v>
      </c>
      <c r="I10" s="1227">
        <v>0</v>
      </c>
      <c r="J10" s="1227">
        <v>0</v>
      </c>
      <c r="K10" s="1227">
        <v>0</v>
      </c>
      <c r="L10" s="1227">
        <v>0</v>
      </c>
      <c r="M10" s="1227">
        <v>0</v>
      </c>
      <c r="N10" s="1208">
        <v>0</v>
      </c>
      <c r="O10" s="1227">
        <v>0</v>
      </c>
      <c r="P10" s="1227">
        <v>0</v>
      </c>
      <c r="Q10" s="1208">
        <v>0</v>
      </c>
      <c r="R10" s="1208">
        <v>0</v>
      </c>
      <c r="S10" s="1208">
        <v>0</v>
      </c>
      <c r="T10" s="1227">
        <v>0</v>
      </c>
      <c r="U10" s="1208">
        <v>0</v>
      </c>
      <c r="V10" s="1208">
        <v>0</v>
      </c>
      <c r="W10" s="1208">
        <v>0</v>
      </c>
      <c r="X10" s="1229">
        <f>SUM(D10:W10)</f>
        <v>3000000</v>
      </c>
      <c r="Y10" s="901">
        <f>SUM(D10:W10)-X10</f>
        <v>0</v>
      </c>
      <c r="Z10" s="458">
        <v>0</v>
      </c>
      <c r="AA10" s="458">
        <v>0</v>
      </c>
      <c r="AB10" s="458">
        <v>0</v>
      </c>
      <c r="AC10" s="458"/>
      <c r="AD10" s="458">
        <v>0</v>
      </c>
      <c r="AE10" s="458"/>
      <c r="AF10" s="458">
        <v>0</v>
      </c>
      <c r="AG10" s="458"/>
      <c r="AH10" s="458">
        <v>0</v>
      </c>
      <c r="AI10" s="458"/>
      <c r="AJ10" s="458">
        <v>0</v>
      </c>
      <c r="AK10" s="458"/>
      <c r="AL10" s="458">
        <v>0</v>
      </c>
      <c r="AM10" s="461"/>
      <c r="AN10" s="461">
        <f>SUM(D10:AM10)</f>
        <v>6000000</v>
      </c>
      <c r="AO10" s="454"/>
      <c r="AP10" s="454"/>
      <c r="AQ10" s="454"/>
      <c r="AR10" s="454"/>
      <c r="AS10" s="454"/>
      <c r="AT10" s="454"/>
      <c r="AU10" s="454"/>
      <c r="AV10" s="454"/>
      <c r="AW10" s="454"/>
      <c r="AX10" s="454"/>
      <c r="AY10" s="454"/>
    </row>
    <row r="11" spans="1:51" s="1305" customFormat="1" ht="18.75">
      <c r="A11" s="1305" t="s">
        <v>688</v>
      </c>
      <c r="C11" s="1305" t="s">
        <v>58</v>
      </c>
      <c r="D11" s="1306">
        <v>54136182.670000002</v>
      </c>
      <c r="E11" s="1307">
        <v>12643997.800000001</v>
      </c>
      <c r="F11" s="1307">
        <v>55176535.100000001</v>
      </c>
      <c r="G11" s="1307">
        <f>SUM(G9:G10)</f>
        <v>13863655.439999999</v>
      </c>
      <c r="H11" s="1307">
        <f>SUM(H9:H10)</f>
        <v>11887357.470000001</v>
      </c>
      <c r="I11" s="1307">
        <v>10616485.59</v>
      </c>
      <c r="J11" s="1307">
        <v>3441496.84</v>
      </c>
      <c r="K11" s="1307">
        <v>19552625</v>
      </c>
      <c r="L11" s="1307">
        <f>SUM(L9:L10)</f>
        <v>2979515</v>
      </c>
      <c r="M11" s="1307">
        <v>12581583.01</v>
      </c>
      <c r="N11" s="1307">
        <v>8196920</v>
      </c>
      <c r="O11" s="1307">
        <v>11894915.34</v>
      </c>
      <c r="P11" s="1307">
        <f>SUM(P9:P10)</f>
        <v>1156422.8899999999</v>
      </c>
      <c r="Q11" s="1307">
        <v>0</v>
      </c>
      <c r="R11" s="1307">
        <v>0</v>
      </c>
      <c r="S11" s="1307">
        <v>2713933</v>
      </c>
      <c r="T11" s="1307">
        <v>0</v>
      </c>
      <c r="U11" s="1307">
        <v>0</v>
      </c>
      <c r="V11" s="1307">
        <v>71403</v>
      </c>
      <c r="W11" s="1307">
        <v>79584</v>
      </c>
      <c r="X11" s="1307">
        <f>SUM(X9:X10)</f>
        <v>220992612.14999998</v>
      </c>
      <c r="Y11" s="1309">
        <f>SUM(D11:W11)-X11</f>
        <v>0</v>
      </c>
      <c r="Z11" s="1307" t="e">
        <f t="shared" ref="Z11" si="0">SUM(Z9:Z9)</f>
        <v>#REF!</v>
      </c>
      <c r="AA11" s="1307">
        <f t="shared" ref="AA11:AN11" si="1">SUM(AA9:AA10)</f>
        <v>23929746.120000001</v>
      </c>
      <c r="AB11" s="1307">
        <f t="shared" si="1"/>
        <v>0</v>
      </c>
      <c r="AC11" s="1307">
        <f t="shared" si="1"/>
        <v>0</v>
      </c>
      <c r="AD11" s="1307">
        <f t="shared" si="1"/>
        <v>7903598.3099999996</v>
      </c>
      <c r="AE11" s="1307">
        <f t="shared" si="1"/>
        <v>0</v>
      </c>
      <c r="AF11" s="1307">
        <f t="shared" si="1"/>
        <v>56639343</v>
      </c>
      <c r="AG11" s="1307">
        <f t="shared" si="1"/>
        <v>0</v>
      </c>
      <c r="AH11" s="1307">
        <f t="shared" si="1"/>
        <v>12213219</v>
      </c>
      <c r="AI11" s="1307">
        <f t="shared" si="1"/>
        <v>0</v>
      </c>
      <c r="AJ11" s="1307">
        <f t="shared" si="1"/>
        <v>13737004</v>
      </c>
      <c r="AK11" s="1307">
        <f t="shared" si="1"/>
        <v>0</v>
      </c>
      <c r="AL11" s="1307">
        <f t="shared" si="1"/>
        <v>13880782</v>
      </c>
      <c r="AM11" s="1307">
        <f t="shared" si="1"/>
        <v>0</v>
      </c>
      <c r="AN11" s="1307" t="e">
        <f t="shared" si="1"/>
        <v>#REF!</v>
      </c>
      <c r="AO11" s="685"/>
      <c r="AP11" s="685"/>
      <c r="AQ11" s="685"/>
      <c r="AR11" s="685"/>
      <c r="AS11" s="685"/>
      <c r="AT11" s="685"/>
      <c r="AU11" s="685"/>
      <c r="AV11" s="685"/>
      <c r="AW11" s="685"/>
      <c r="AX11" s="685"/>
      <c r="AY11" s="685"/>
    </row>
    <row r="12" spans="1:51" s="417" customFormat="1" ht="12" customHeight="1">
      <c r="C12" s="1305"/>
      <c r="D12" s="1215"/>
      <c r="E12" s="1227"/>
      <c r="F12" s="1228"/>
      <c r="G12" s="1228"/>
      <c r="H12" s="1228"/>
      <c r="I12" s="1228"/>
      <c r="J12" s="1228"/>
      <c r="K12" s="1227"/>
      <c r="L12" s="1228"/>
      <c r="M12" s="1228"/>
      <c r="N12" s="1210"/>
      <c r="O12" s="1228"/>
      <c r="P12" s="1228"/>
      <c r="Q12" s="1210"/>
      <c r="R12" s="1210"/>
      <c r="S12" s="1210"/>
      <c r="T12" s="1228"/>
      <c r="U12" s="1210"/>
      <c r="V12" s="1210"/>
      <c r="W12" s="1210"/>
      <c r="X12" s="1232"/>
      <c r="Z12" s="458"/>
      <c r="AA12" s="458"/>
      <c r="AB12" s="460"/>
      <c r="AC12" s="461"/>
      <c r="AD12" s="460"/>
      <c r="AE12" s="458"/>
      <c r="AF12" s="460"/>
      <c r="AG12" s="458"/>
      <c r="AH12" s="460"/>
      <c r="AI12" s="458"/>
      <c r="AJ12" s="460"/>
      <c r="AK12" s="458"/>
      <c r="AL12" s="460"/>
      <c r="AM12" s="461"/>
      <c r="AN12" s="467"/>
      <c r="AO12" s="454"/>
      <c r="AP12" s="454"/>
      <c r="AQ12" s="454"/>
      <c r="AR12" s="454"/>
      <c r="AS12" s="454"/>
      <c r="AT12" s="454"/>
      <c r="AU12" s="454"/>
      <c r="AV12" s="454"/>
      <c r="AW12" s="454"/>
      <c r="AX12" s="454"/>
      <c r="AY12" s="454"/>
    </row>
    <row r="13" spans="1:51" s="454" customFormat="1" ht="15.75" customHeight="1">
      <c r="A13" s="685" t="s">
        <v>426</v>
      </c>
      <c r="C13" s="685"/>
      <c r="D13" s="1210"/>
      <c r="E13" s="1227"/>
      <c r="F13" s="1228"/>
      <c r="G13" s="1228"/>
      <c r="H13" s="1228"/>
      <c r="I13" s="1228"/>
      <c r="J13" s="1228"/>
      <c r="K13" s="1227"/>
      <c r="L13" s="1228"/>
      <c r="M13" s="1228"/>
      <c r="N13" s="1210"/>
      <c r="O13" s="1228"/>
      <c r="P13" s="1228"/>
      <c r="Q13" s="1210"/>
      <c r="R13" s="1210"/>
      <c r="S13" s="1210"/>
      <c r="T13" s="1228"/>
      <c r="U13" s="1210"/>
      <c r="V13" s="1210"/>
      <c r="W13" s="1210"/>
      <c r="X13" s="1232"/>
      <c r="Z13" s="458"/>
      <c r="AA13" s="458"/>
      <c r="AB13" s="460"/>
      <c r="AC13" s="461"/>
      <c r="AD13" s="460"/>
      <c r="AE13" s="458"/>
      <c r="AF13" s="460"/>
      <c r="AG13" s="458"/>
      <c r="AH13" s="460"/>
      <c r="AI13" s="458"/>
      <c r="AJ13" s="460"/>
      <c r="AK13" s="458"/>
      <c r="AL13" s="460"/>
      <c r="AM13" s="461"/>
      <c r="AN13" s="467"/>
    </row>
    <row r="14" spans="1:51" s="454" customFormat="1" ht="16.5" customHeight="1">
      <c r="A14" s="1454" t="s">
        <v>584</v>
      </c>
      <c r="B14" s="1455" t="s">
        <v>585</v>
      </c>
      <c r="C14" s="685"/>
      <c r="D14" s="1208"/>
      <c r="E14" s="1227"/>
      <c r="F14" s="1227"/>
      <c r="G14" s="1227"/>
      <c r="H14" s="1227"/>
      <c r="I14" s="1227"/>
      <c r="J14" s="1227"/>
      <c r="K14" s="1227"/>
      <c r="L14" s="1227"/>
      <c r="M14" s="1227"/>
      <c r="N14" s="1208"/>
      <c r="O14" s="1227"/>
      <c r="P14" s="1227"/>
      <c r="Q14" s="1208"/>
      <c r="R14" s="1208"/>
      <c r="S14" s="1208"/>
      <c r="T14" s="1227"/>
      <c r="U14" s="1208"/>
      <c r="V14" s="1208"/>
      <c r="W14" s="1208"/>
      <c r="X14" s="1229"/>
      <c r="Z14" s="458"/>
      <c r="AA14" s="458"/>
      <c r="AB14" s="458"/>
      <c r="AC14" s="461"/>
      <c r="AD14" s="458"/>
      <c r="AE14" s="458"/>
      <c r="AF14" s="458"/>
      <c r="AG14" s="458"/>
      <c r="AH14" s="458"/>
      <c r="AI14" s="458"/>
      <c r="AJ14" s="458"/>
      <c r="AK14" s="458"/>
      <c r="AL14" s="458"/>
      <c r="AM14" s="461"/>
      <c r="AN14" s="461"/>
    </row>
    <row r="15" spans="1:51" s="454" customFormat="1" ht="20.100000000000001" customHeight="1">
      <c r="A15" s="454" t="s">
        <v>582</v>
      </c>
      <c r="B15" s="468">
        <v>4.1193</v>
      </c>
      <c r="C15" s="685"/>
      <c r="D15" s="1210">
        <v>93930068</v>
      </c>
      <c r="E15" s="1228">
        <v>0</v>
      </c>
      <c r="F15" s="1227">
        <v>0</v>
      </c>
      <c r="G15" s="1227">
        <v>0</v>
      </c>
      <c r="H15" s="1227">
        <v>0</v>
      </c>
      <c r="I15" s="1227">
        <v>0</v>
      </c>
      <c r="J15" s="1228">
        <v>0</v>
      </c>
      <c r="K15" s="1228">
        <v>0</v>
      </c>
      <c r="L15" s="1227">
        <v>0</v>
      </c>
      <c r="M15" s="1227">
        <v>0</v>
      </c>
      <c r="N15" s="1210">
        <v>0</v>
      </c>
      <c r="O15" s="1227">
        <v>0</v>
      </c>
      <c r="P15" s="1227">
        <v>0</v>
      </c>
      <c r="Q15" s="1210">
        <v>0</v>
      </c>
      <c r="R15" s="1210">
        <v>0</v>
      </c>
      <c r="S15" s="1210">
        <v>0</v>
      </c>
      <c r="T15" s="1228">
        <v>0</v>
      </c>
      <c r="U15" s="1210">
        <v>0</v>
      </c>
      <c r="V15" s="1210">
        <v>0</v>
      </c>
      <c r="W15" s="1210">
        <v>0</v>
      </c>
      <c r="X15" s="1229">
        <f t="shared" ref="X15:X25" si="2">SUM(D15:W15)</f>
        <v>93930068</v>
      </c>
      <c r="Y15" s="901">
        <f t="shared" ref="Y15:Y27" si="3">SUM(D15:W15)-X15</f>
        <v>0</v>
      </c>
      <c r="Z15" s="460" t="e">
        <f>ROUND(#REF!+#REF!+#REF!,2)</f>
        <v>#REF!</v>
      </c>
      <c r="AA15" s="460">
        <v>0</v>
      </c>
      <c r="AB15" s="460">
        <v>0</v>
      </c>
      <c r="AC15" s="461"/>
      <c r="AD15" s="460">
        <v>0</v>
      </c>
      <c r="AE15" s="458"/>
      <c r="AF15" s="458">
        <v>0</v>
      </c>
      <c r="AG15" s="458"/>
      <c r="AH15" s="458">
        <v>0</v>
      </c>
      <c r="AI15" s="458"/>
      <c r="AJ15" s="458">
        <v>0</v>
      </c>
      <c r="AK15" s="458"/>
      <c r="AL15" s="458">
        <v>0</v>
      </c>
      <c r="AM15" s="461"/>
      <c r="AN15" s="461" t="e">
        <f t="shared" ref="AN15:AN25" si="4">SUM(D15:AL15)</f>
        <v>#REF!</v>
      </c>
    </row>
    <row r="16" spans="1:51" s="454" customFormat="1" ht="20.100000000000001" customHeight="1">
      <c r="A16" s="454" t="s">
        <v>873</v>
      </c>
      <c r="B16" s="468">
        <v>0.21490000000000001</v>
      </c>
      <c r="C16" s="685"/>
      <c r="D16" s="1210"/>
      <c r="E16" s="1228">
        <v>4849199</v>
      </c>
      <c r="F16" s="1227">
        <v>0</v>
      </c>
      <c r="G16" s="1227"/>
      <c r="H16" s="1227"/>
      <c r="I16" s="1227">
        <v>0</v>
      </c>
      <c r="J16" s="1228">
        <v>0</v>
      </c>
      <c r="K16" s="1228">
        <v>0</v>
      </c>
      <c r="L16" s="1227"/>
      <c r="M16" s="1227">
        <v>0</v>
      </c>
      <c r="N16" s="1210">
        <v>0</v>
      </c>
      <c r="O16" s="1227">
        <v>0</v>
      </c>
      <c r="P16" s="1227"/>
      <c r="Q16" s="1210">
        <v>0</v>
      </c>
      <c r="R16" s="1210">
        <v>0</v>
      </c>
      <c r="S16" s="1210"/>
      <c r="T16" s="1228">
        <v>0</v>
      </c>
      <c r="U16" s="1210"/>
      <c r="V16" s="1210">
        <v>0</v>
      </c>
      <c r="W16" s="1210"/>
      <c r="X16" s="1229">
        <f t="shared" si="2"/>
        <v>4849199</v>
      </c>
      <c r="Y16" s="901">
        <f t="shared" si="3"/>
        <v>0</v>
      </c>
      <c r="Z16" s="460">
        <v>0</v>
      </c>
      <c r="AA16" s="460">
        <v>0</v>
      </c>
      <c r="AB16" s="460">
        <v>0</v>
      </c>
      <c r="AC16" s="461"/>
      <c r="AD16" s="460">
        <v>0</v>
      </c>
      <c r="AE16" s="458"/>
      <c r="AF16" s="458">
        <v>0</v>
      </c>
      <c r="AG16" s="458"/>
      <c r="AH16" s="458">
        <v>0</v>
      </c>
      <c r="AI16" s="458"/>
      <c r="AJ16" s="458">
        <v>0</v>
      </c>
      <c r="AK16" s="458"/>
      <c r="AL16" s="458">
        <v>0</v>
      </c>
      <c r="AM16" s="461"/>
      <c r="AN16" s="461">
        <f t="shared" si="4"/>
        <v>9698398</v>
      </c>
    </row>
    <row r="17" spans="1:40" s="454" customFormat="1" ht="20.100000000000001" customHeight="1">
      <c r="A17" s="454" t="s">
        <v>581</v>
      </c>
      <c r="B17" s="576">
        <v>1</v>
      </c>
      <c r="C17" s="685"/>
      <c r="D17" s="1211">
        <v>0</v>
      </c>
      <c r="E17" s="1228">
        <v>0</v>
      </c>
      <c r="F17" s="1228">
        <v>0</v>
      </c>
      <c r="G17" s="1228">
        <v>0</v>
      </c>
      <c r="H17" s="1228">
        <v>0</v>
      </c>
      <c r="I17" s="1228">
        <v>0</v>
      </c>
      <c r="J17" s="1228">
        <v>0</v>
      </c>
      <c r="K17" s="1228">
        <v>0</v>
      </c>
      <c r="L17" s="1228">
        <v>0</v>
      </c>
      <c r="M17" s="1228">
        <v>0</v>
      </c>
      <c r="N17" s="1210">
        <v>0</v>
      </c>
      <c r="O17" s="1228">
        <v>0</v>
      </c>
      <c r="P17" s="1228">
        <v>0</v>
      </c>
      <c r="Q17" s="1210">
        <v>0</v>
      </c>
      <c r="R17" s="1210">
        <v>0</v>
      </c>
      <c r="S17" s="1210">
        <v>0</v>
      </c>
      <c r="T17" s="1228">
        <v>0</v>
      </c>
      <c r="U17" s="1210">
        <v>0</v>
      </c>
      <c r="V17" s="1210">
        <v>0</v>
      </c>
      <c r="W17" s="1208">
        <v>71289</v>
      </c>
      <c r="X17" s="1229">
        <f t="shared" si="2"/>
        <v>71289</v>
      </c>
      <c r="Y17" s="901">
        <f t="shared" si="3"/>
        <v>0</v>
      </c>
      <c r="Z17" s="460">
        <v>0</v>
      </c>
      <c r="AA17" s="460">
        <v>0</v>
      </c>
      <c r="AB17" s="460">
        <v>0</v>
      </c>
      <c r="AC17" s="461"/>
      <c r="AD17" s="460">
        <v>0</v>
      </c>
      <c r="AE17" s="458"/>
      <c r="AF17" s="460">
        <v>0</v>
      </c>
      <c r="AG17" s="458"/>
      <c r="AH17" s="460">
        <v>0</v>
      </c>
      <c r="AI17" s="458"/>
      <c r="AJ17" s="460">
        <v>0</v>
      </c>
      <c r="AK17" s="458"/>
      <c r="AL17" s="460">
        <v>0</v>
      </c>
      <c r="AM17" s="461"/>
      <c r="AN17" s="461">
        <f t="shared" si="4"/>
        <v>142578</v>
      </c>
    </row>
    <row r="18" spans="1:40" s="454" customFormat="1" ht="20.100000000000001" customHeight="1">
      <c r="A18" s="454" t="s">
        <v>580</v>
      </c>
      <c r="B18" s="684"/>
      <c r="C18" s="685"/>
      <c r="D18" s="1210">
        <v>4882276</v>
      </c>
      <c r="E18" s="1228">
        <v>0</v>
      </c>
      <c r="F18" s="1228">
        <v>0</v>
      </c>
      <c r="G18" s="1228">
        <v>0</v>
      </c>
      <c r="H18" s="1228">
        <v>0</v>
      </c>
      <c r="I18" s="1228">
        <v>0</v>
      </c>
      <c r="J18" s="1228">
        <v>0</v>
      </c>
      <c r="K18" s="1228">
        <v>0</v>
      </c>
      <c r="L18" s="1228">
        <v>0</v>
      </c>
      <c r="M18" s="1228">
        <v>0</v>
      </c>
      <c r="N18" s="1210">
        <v>0</v>
      </c>
      <c r="O18" s="1228">
        <v>0</v>
      </c>
      <c r="P18" s="1228">
        <v>0</v>
      </c>
      <c r="Q18" s="1210">
        <v>0</v>
      </c>
      <c r="R18" s="1210">
        <v>0</v>
      </c>
      <c r="S18" s="1210">
        <v>0</v>
      </c>
      <c r="T18" s="1228">
        <v>0</v>
      </c>
      <c r="U18" s="1210">
        <v>0</v>
      </c>
      <c r="V18" s="1210">
        <v>0</v>
      </c>
      <c r="W18" s="1210">
        <v>0</v>
      </c>
      <c r="X18" s="1229">
        <f t="shared" si="2"/>
        <v>4882276</v>
      </c>
      <c r="Y18" s="901">
        <f t="shared" si="3"/>
        <v>0</v>
      </c>
      <c r="Z18" s="460">
        <v>0</v>
      </c>
      <c r="AA18" s="460">
        <v>0</v>
      </c>
      <c r="AB18" s="460">
        <v>0</v>
      </c>
      <c r="AC18" s="461"/>
      <c r="AD18" s="460">
        <v>0</v>
      </c>
      <c r="AE18" s="458"/>
      <c r="AF18" s="460">
        <v>0</v>
      </c>
      <c r="AG18" s="458"/>
      <c r="AH18" s="460">
        <v>0</v>
      </c>
      <c r="AI18" s="458"/>
      <c r="AJ18" s="460">
        <v>0</v>
      </c>
      <c r="AK18" s="458"/>
      <c r="AL18" s="460">
        <v>0</v>
      </c>
      <c r="AM18" s="461"/>
      <c r="AN18" s="461">
        <f t="shared" si="4"/>
        <v>9764552</v>
      </c>
    </row>
    <row r="19" spans="1:40" s="454" customFormat="1" ht="20.100000000000001" customHeight="1">
      <c r="A19" s="454" t="s">
        <v>579</v>
      </c>
      <c r="C19" s="685"/>
      <c r="D19" s="1210">
        <v>16400000</v>
      </c>
      <c r="E19" s="1228">
        <v>0</v>
      </c>
      <c r="F19" s="1227">
        <v>0</v>
      </c>
      <c r="G19" s="1227">
        <v>0</v>
      </c>
      <c r="H19" s="1227">
        <v>0</v>
      </c>
      <c r="I19" s="1227">
        <v>0</v>
      </c>
      <c r="J19" s="1228">
        <v>0</v>
      </c>
      <c r="K19" s="1228">
        <v>0</v>
      </c>
      <c r="L19" s="1227">
        <v>0</v>
      </c>
      <c r="M19" s="1227">
        <v>0</v>
      </c>
      <c r="N19" s="1210">
        <v>0</v>
      </c>
      <c r="O19" s="1227">
        <v>0</v>
      </c>
      <c r="P19" s="1227">
        <v>0</v>
      </c>
      <c r="Q19" s="1210">
        <v>0</v>
      </c>
      <c r="R19" s="1210">
        <v>0</v>
      </c>
      <c r="S19" s="1210">
        <v>0</v>
      </c>
      <c r="T19" s="1228">
        <v>0</v>
      </c>
      <c r="U19" s="1210">
        <v>0</v>
      </c>
      <c r="V19" s="1210">
        <v>0</v>
      </c>
      <c r="W19" s="1210">
        <v>0</v>
      </c>
      <c r="X19" s="1229">
        <f t="shared" si="2"/>
        <v>16400000</v>
      </c>
      <c r="Y19" s="901">
        <f t="shared" si="3"/>
        <v>0</v>
      </c>
      <c r="Z19" s="460">
        <v>0</v>
      </c>
      <c r="AA19" s="460">
        <v>0</v>
      </c>
      <c r="AB19" s="460">
        <v>0</v>
      </c>
      <c r="AC19" s="461"/>
      <c r="AD19" s="460">
        <v>0</v>
      </c>
      <c r="AE19" s="458"/>
      <c r="AF19" s="458">
        <v>0</v>
      </c>
      <c r="AG19" s="458"/>
      <c r="AH19" s="458">
        <v>0</v>
      </c>
      <c r="AI19" s="458"/>
      <c r="AJ19" s="458">
        <v>0</v>
      </c>
      <c r="AK19" s="458"/>
      <c r="AL19" s="458">
        <v>0</v>
      </c>
      <c r="AM19" s="461"/>
      <c r="AN19" s="461">
        <f t="shared" si="4"/>
        <v>32800000</v>
      </c>
    </row>
    <row r="20" spans="1:40" s="454" customFormat="1" ht="20.100000000000001" customHeight="1">
      <c r="A20" s="454" t="s">
        <v>578</v>
      </c>
      <c r="C20" s="685"/>
      <c r="D20" s="1210">
        <v>35346075</v>
      </c>
      <c r="E20" s="1228">
        <v>0</v>
      </c>
      <c r="F20" s="1227">
        <v>0</v>
      </c>
      <c r="G20" s="1227">
        <v>0</v>
      </c>
      <c r="H20" s="1227">
        <v>0</v>
      </c>
      <c r="I20" s="1227">
        <v>0</v>
      </c>
      <c r="J20" s="1228">
        <v>0</v>
      </c>
      <c r="K20" s="1228">
        <v>0</v>
      </c>
      <c r="L20" s="1227">
        <v>0</v>
      </c>
      <c r="M20" s="1227">
        <v>0</v>
      </c>
      <c r="N20" s="1210">
        <v>0</v>
      </c>
      <c r="O20" s="1227">
        <v>0</v>
      </c>
      <c r="P20" s="1227">
        <v>0</v>
      </c>
      <c r="Q20" s="1210">
        <v>0</v>
      </c>
      <c r="R20" s="1210">
        <v>0</v>
      </c>
      <c r="S20" s="1210">
        <v>0</v>
      </c>
      <c r="T20" s="1228">
        <v>0</v>
      </c>
      <c r="U20" s="1210">
        <v>0</v>
      </c>
      <c r="V20" s="1210">
        <v>0</v>
      </c>
      <c r="W20" s="1210">
        <v>0</v>
      </c>
      <c r="X20" s="1229">
        <f t="shared" si="2"/>
        <v>35346075</v>
      </c>
      <c r="Y20" s="901">
        <f t="shared" si="3"/>
        <v>0</v>
      </c>
      <c r="Z20" s="460">
        <v>0</v>
      </c>
      <c r="AA20" s="460">
        <v>0</v>
      </c>
      <c r="AB20" s="460">
        <v>0</v>
      </c>
      <c r="AC20" s="461"/>
      <c r="AD20" s="460">
        <v>0</v>
      </c>
      <c r="AE20" s="458"/>
      <c r="AF20" s="458">
        <v>0</v>
      </c>
      <c r="AG20" s="458"/>
      <c r="AH20" s="458">
        <v>0</v>
      </c>
      <c r="AI20" s="458"/>
      <c r="AJ20" s="458">
        <v>0</v>
      </c>
      <c r="AK20" s="458"/>
      <c r="AL20" s="458">
        <v>0</v>
      </c>
      <c r="AM20" s="461"/>
      <c r="AN20" s="461">
        <f t="shared" si="4"/>
        <v>70692150</v>
      </c>
    </row>
    <row r="21" spans="1:40" s="454" customFormat="1" ht="20.100000000000001" customHeight="1">
      <c r="A21" s="454" t="s">
        <v>435</v>
      </c>
      <c r="C21" s="685"/>
      <c r="D21" s="1210">
        <v>3100670</v>
      </c>
      <c r="E21" s="1228">
        <v>0</v>
      </c>
      <c r="F21" s="1227">
        <v>0</v>
      </c>
      <c r="G21" s="1227">
        <v>0</v>
      </c>
      <c r="H21" s="1227">
        <v>0</v>
      </c>
      <c r="I21" s="1227">
        <v>0</v>
      </c>
      <c r="J21" s="1228">
        <v>0</v>
      </c>
      <c r="K21" s="1228">
        <v>0</v>
      </c>
      <c r="L21" s="1227">
        <v>0</v>
      </c>
      <c r="M21" s="1227">
        <v>0</v>
      </c>
      <c r="N21" s="1210">
        <v>10841785</v>
      </c>
      <c r="O21" s="1227">
        <v>0</v>
      </c>
      <c r="P21" s="1227">
        <v>0</v>
      </c>
      <c r="Q21" s="1210">
        <v>0</v>
      </c>
      <c r="R21" s="1210">
        <v>0</v>
      </c>
      <c r="S21" s="1210">
        <v>0</v>
      </c>
      <c r="T21" s="1228">
        <v>0</v>
      </c>
      <c r="U21" s="1210">
        <v>0</v>
      </c>
      <c r="V21" s="1210">
        <v>0</v>
      </c>
      <c r="W21" s="1210">
        <v>0</v>
      </c>
      <c r="X21" s="1229">
        <f t="shared" si="2"/>
        <v>13942455</v>
      </c>
      <c r="Y21" s="901">
        <f t="shared" si="3"/>
        <v>0</v>
      </c>
      <c r="Z21" s="460">
        <v>0</v>
      </c>
      <c r="AA21" s="460">
        <v>0</v>
      </c>
      <c r="AB21" s="460">
        <v>0</v>
      </c>
      <c r="AC21" s="461"/>
      <c r="AD21" s="460">
        <v>0</v>
      </c>
      <c r="AE21" s="458"/>
      <c r="AF21" s="458">
        <v>0</v>
      </c>
      <c r="AG21" s="458"/>
      <c r="AH21" s="458">
        <v>0</v>
      </c>
      <c r="AI21" s="458"/>
      <c r="AJ21" s="458">
        <v>0</v>
      </c>
      <c r="AK21" s="458"/>
      <c r="AL21" s="458">
        <v>0</v>
      </c>
      <c r="AM21" s="461"/>
      <c r="AN21" s="461">
        <f t="shared" si="4"/>
        <v>27884910</v>
      </c>
    </row>
    <row r="22" spans="1:40" s="454" customFormat="1" ht="20.100000000000001" customHeight="1">
      <c r="A22" s="454" t="s">
        <v>408</v>
      </c>
      <c r="C22" s="685"/>
      <c r="D22" s="1210">
        <v>18780975</v>
      </c>
      <c r="E22" s="1228">
        <v>0</v>
      </c>
      <c r="F22" s="1227">
        <v>0</v>
      </c>
      <c r="G22" s="1227">
        <v>0</v>
      </c>
      <c r="H22" s="1227">
        <v>0</v>
      </c>
      <c r="I22" s="1227">
        <v>0</v>
      </c>
      <c r="J22" s="1228">
        <v>0</v>
      </c>
      <c r="K22" s="1228">
        <v>0</v>
      </c>
      <c r="L22" s="1227">
        <v>0</v>
      </c>
      <c r="M22" s="1227">
        <v>0</v>
      </c>
      <c r="N22" s="1208">
        <v>0</v>
      </c>
      <c r="O22" s="1227">
        <v>0</v>
      </c>
      <c r="P22" s="1227">
        <v>0</v>
      </c>
      <c r="Q22" s="1208">
        <v>11732668</v>
      </c>
      <c r="R22" s="1208">
        <v>7169593</v>
      </c>
      <c r="S22" s="1208">
        <v>0</v>
      </c>
      <c r="T22" s="1228">
        <v>0</v>
      </c>
      <c r="U22" s="1208">
        <v>0</v>
      </c>
      <c r="V22" s="1210">
        <v>0</v>
      </c>
      <c r="W22" s="1210">
        <v>0</v>
      </c>
      <c r="X22" s="1229">
        <f t="shared" si="2"/>
        <v>37683236</v>
      </c>
      <c r="Y22" s="901">
        <f t="shared" si="3"/>
        <v>0</v>
      </c>
      <c r="Z22" s="460">
        <v>0</v>
      </c>
      <c r="AA22" s="460">
        <v>0</v>
      </c>
      <c r="AB22" s="460">
        <v>0</v>
      </c>
      <c r="AC22" s="461"/>
      <c r="AD22" s="460">
        <v>0</v>
      </c>
      <c r="AE22" s="458"/>
      <c r="AF22" s="458">
        <v>0</v>
      </c>
      <c r="AG22" s="458"/>
      <c r="AH22" s="458">
        <v>0</v>
      </c>
      <c r="AI22" s="458"/>
      <c r="AJ22" s="458">
        <v>0</v>
      </c>
      <c r="AK22" s="458"/>
      <c r="AL22" s="458">
        <v>0</v>
      </c>
      <c r="AM22" s="461"/>
      <c r="AN22" s="461">
        <f t="shared" si="4"/>
        <v>75366472</v>
      </c>
    </row>
    <row r="23" spans="1:40" s="454" customFormat="1" ht="20.100000000000001" customHeight="1">
      <c r="A23" s="454" t="s">
        <v>114</v>
      </c>
      <c r="C23" s="685"/>
      <c r="D23" s="1210">
        <v>20096159</v>
      </c>
      <c r="E23" s="1228">
        <v>0</v>
      </c>
      <c r="F23" s="1227">
        <v>112973591</v>
      </c>
      <c r="G23" s="1227">
        <v>18200000</v>
      </c>
      <c r="H23" s="1227">
        <v>12604351</v>
      </c>
      <c r="I23" s="1227">
        <v>10671427</v>
      </c>
      <c r="J23" s="1227">
        <v>19105722</v>
      </c>
      <c r="K23" s="1228">
        <v>0</v>
      </c>
      <c r="L23" s="1227">
        <v>17200000</v>
      </c>
      <c r="M23" s="1227">
        <v>3104336</v>
      </c>
      <c r="N23" s="1210">
        <v>55500</v>
      </c>
      <c r="O23" s="1227">
        <v>5781000</v>
      </c>
      <c r="P23" s="1227">
        <v>15351063</v>
      </c>
      <c r="Q23" s="1210">
        <v>0</v>
      </c>
      <c r="R23" s="1210">
        <v>0</v>
      </c>
      <c r="S23" s="1210">
        <v>0</v>
      </c>
      <c r="T23" s="1227">
        <v>1451345</v>
      </c>
      <c r="U23" s="1210">
        <v>0</v>
      </c>
      <c r="V23" s="1210">
        <v>0</v>
      </c>
      <c r="W23" s="1210">
        <v>0</v>
      </c>
      <c r="X23" s="1229">
        <f t="shared" si="2"/>
        <v>236594494</v>
      </c>
      <c r="Y23" s="901">
        <f t="shared" si="3"/>
        <v>0</v>
      </c>
      <c r="Z23" s="460">
        <v>0</v>
      </c>
      <c r="AA23" s="460">
        <v>0</v>
      </c>
      <c r="AB23" s="458">
        <f>ROUND('Arts Science District Garage'!L8,2)</f>
        <v>1155994.8400000001</v>
      </c>
      <c r="AC23" s="461"/>
      <c r="AD23" s="458">
        <f>ROUND(Sanitation!L9,2)</f>
        <v>15162899</v>
      </c>
      <c r="AE23" s="458"/>
      <c r="AF23" s="458">
        <f>ROUND('Water and Sewer'!L8+'Central Region'!L8,2)</f>
        <v>122220191</v>
      </c>
      <c r="AG23" s="458"/>
      <c r="AH23" s="458">
        <f>ROUND(Stormwater!L8,2)</f>
        <v>0</v>
      </c>
      <c r="AI23" s="458"/>
      <c r="AJ23" s="458">
        <f>ROUND('Parking System'!L8,2)</f>
        <v>11903785</v>
      </c>
      <c r="AK23" s="458"/>
      <c r="AL23" s="458">
        <f>ROUND(Airport!L9,2)</f>
        <v>3796401.65</v>
      </c>
      <c r="AM23" s="461"/>
      <c r="AN23" s="461">
        <f t="shared" si="4"/>
        <v>627428259.48999989</v>
      </c>
    </row>
    <row r="24" spans="1:40" s="454" customFormat="1" ht="20.100000000000001" customHeight="1">
      <c r="A24" s="454" t="s">
        <v>436</v>
      </c>
      <c r="C24" s="685"/>
      <c r="D24" s="1210">
        <v>2133961</v>
      </c>
      <c r="E24" s="1228">
        <v>0</v>
      </c>
      <c r="F24" s="1227">
        <v>0</v>
      </c>
      <c r="G24" s="1227">
        <v>0</v>
      </c>
      <c r="H24" s="1227">
        <v>0</v>
      </c>
      <c r="I24" s="1227">
        <v>2807000</v>
      </c>
      <c r="J24" s="1228">
        <v>0</v>
      </c>
      <c r="K24" s="1228">
        <v>0</v>
      </c>
      <c r="L24" s="1227">
        <v>0</v>
      </c>
      <c r="M24" s="1227">
        <v>0</v>
      </c>
      <c r="N24" s="1210">
        <v>0</v>
      </c>
      <c r="O24" s="1227">
        <v>0</v>
      </c>
      <c r="P24" s="1227">
        <v>0</v>
      </c>
      <c r="Q24" s="1210">
        <v>0</v>
      </c>
      <c r="R24" s="1210">
        <v>0</v>
      </c>
      <c r="S24" s="1210">
        <v>0</v>
      </c>
      <c r="T24" s="1228">
        <v>0</v>
      </c>
      <c r="U24" s="1210">
        <v>800000</v>
      </c>
      <c r="V24" s="1210">
        <v>0</v>
      </c>
      <c r="W24" s="1210">
        <v>0</v>
      </c>
      <c r="X24" s="1229">
        <f t="shared" si="2"/>
        <v>5740961</v>
      </c>
      <c r="Y24" s="901">
        <f t="shared" si="3"/>
        <v>0</v>
      </c>
      <c r="Z24" s="460">
        <v>0</v>
      </c>
      <c r="AA24" s="460">
        <v>0</v>
      </c>
      <c r="AB24" s="460">
        <v>0</v>
      </c>
      <c r="AC24" s="461"/>
      <c r="AD24" s="460">
        <v>0</v>
      </c>
      <c r="AE24" s="458"/>
      <c r="AF24" s="458">
        <v>0</v>
      </c>
      <c r="AG24" s="458"/>
      <c r="AH24" s="458">
        <v>0</v>
      </c>
      <c r="AI24" s="458"/>
      <c r="AJ24" s="458">
        <f>ROUND('Parking System'!L9,2)</f>
        <v>3038435</v>
      </c>
      <c r="AK24" s="458"/>
      <c r="AL24" s="458">
        <v>0</v>
      </c>
      <c r="AM24" s="461"/>
      <c r="AN24" s="461">
        <f t="shared" si="4"/>
        <v>14520357</v>
      </c>
    </row>
    <row r="25" spans="1:40" s="454" customFormat="1" ht="20.100000000000001" customHeight="1">
      <c r="A25" s="454" t="s">
        <v>437</v>
      </c>
      <c r="C25" s="685"/>
      <c r="D25" s="1210">
        <v>67769547</v>
      </c>
      <c r="E25" s="1228">
        <v>0</v>
      </c>
      <c r="F25" s="1227">
        <v>5910219</v>
      </c>
      <c r="G25" s="1227">
        <v>146100</v>
      </c>
      <c r="H25" s="1227">
        <v>112000</v>
      </c>
      <c r="I25" s="1227">
        <v>357749</v>
      </c>
      <c r="J25" s="1228">
        <v>44000</v>
      </c>
      <c r="K25" s="1227">
        <v>1965000</v>
      </c>
      <c r="L25" s="1227">
        <v>12000</v>
      </c>
      <c r="M25" s="1227">
        <v>3688536</v>
      </c>
      <c r="N25" s="1210">
        <v>17000</v>
      </c>
      <c r="O25" s="1227">
        <v>150000</v>
      </c>
      <c r="P25" s="1227">
        <v>172070</v>
      </c>
      <c r="Q25" s="1210">
        <v>0</v>
      </c>
      <c r="R25" s="1208">
        <v>35263</v>
      </c>
      <c r="S25" s="1210">
        <v>0</v>
      </c>
      <c r="T25" s="1227">
        <v>0</v>
      </c>
      <c r="U25" s="1210">
        <v>0</v>
      </c>
      <c r="V25" s="1208">
        <v>634723</v>
      </c>
      <c r="W25" s="1208">
        <v>300</v>
      </c>
      <c r="X25" s="1229">
        <f t="shared" si="2"/>
        <v>81014507</v>
      </c>
      <c r="Y25" s="901">
        <f t="shared" si="3"/>
        <v>0</v>
      </c>
      <c r="Z25" s="460">
        <v>0</v>
      </c>
      <c r="AA25" s="458">
        <f>ROUND(Cemtery!L8,2)</f>
        <v>2200000</v>
      </c>
      <c r="AB25" s="458">
        <v>0</v>
      </c>
      <c r="AC25" s="461"/>
      <c r="AD25" s="460" t="e">
        <f>ROUND(Sanitation!#REF!,2)</f>
        <v>#REF!</v>
      </c>
      <c r="AE25" s="458"/>
      <c r="AF25" s="458">
        <f>ROUND('Water and Sewer'!L9+'Central Region'!L9,2)</f>
        <v>6500315</v>
      </c>
      <c r="AG25" s="458"/>
      <c r="AH25" s="458">
        <f>ROUND(Stormwater!L10,2)</f>
        <v>170400</v>
      </c>
      <c r="AI25" s="458"/>
      <c r="AJ25" s="458">
        <f>ROUND('Parking System'!L10,2)</f>
        <v>382891.66</v>
      </c>
      <c r="AK25" s="458"/>
      <c r="AL25" s="458">
        <f>ROUND(Airport!L10,2)</f>
        <v>3899193.27</v>
      </c>
      <c r="AM25" s="461"/>
      <c r="AN25" s="461" t="e">
        <f t="shared" si="4"/>
        <v>#REF!</v>
      </c>
    </row>
    <row r="26" spans="1:40" s="454" customFormat="1" ht="20.100000000000001" hidden="1" customHeight="1">
      <c r="A26" s="454" t="s">
        <v>58</v>
      </c>
      <c r="B26" s="454" t="s">
        <v>58</v>
      </c>
      <c r="C26" s="685" t="s">
        <v>58</v>
      </c>
      <c r="D26" s="1210" t="s">
        <v>58</v>
      </c>
      <c r="E26" s="1227" t="s">
        <v>58</v>
      </c>
      <c r="F26" s="1230" t="s">
        <v>58</v>
      </c>
      <c r="G26" s="1228"/>
      <c r="H26" s="1228"/>
      <c r="I26" s="1230" t="s">
        <v>58</v>
      </c>
      <c r="J26" s="1230" t="s">
        <v>58</v>
      </c>
      <c r="K26" s="1230" t="s">
        <v>58</v>
      </c>
      <c r="L26" s="1228"/>
      <c r="M26" s="1230" t="s">
        <v>58</v>
      </c>
      <c r="N26" s="1210" t="s">
        <v>58</v>
      </c>
      <c r="O26" s="1230" t="s">
        <v>58</v>
      </c>
      <c r="P26" s="1228"/>
      <c r="Q26" s="1210" t="s">
        <v>58</v>
      </c>
      <c r="R26" s="1208" t="s">
        <v>58</v>
      </c>
      <c r="S26" s="1210" t="s">
        <v>58</v>
      </c>
      <c r="T26" s="1230" t="s">
        <v>58</v>
      </c>
      <c r="U26" s="1210" t="s">
        <v>58</v>
      </c>
      <c r="V26" s="1208" t="s">
        <v>58</v>
      </c>
      <c r="W26" s="1208" t="s">
        <v>58</v>
      </c>
      <c r="X26" s="1229" t="s">
        <v>58</v>
      </c>
      <c r="Y26" s="901" t="e">
        <f t="shared" si="3"/>
        <v>#VALUE!</v>
      </c>
      <c r="Z26" s="458" t="s">
        <v>58</v>
      </c>
      <c r="AA26" s="463" t="s">
        <v>58</v>
      </c>
      <c r="AB26" s="463" t="s">
        <v>58</v>
      </c>
      <c r="AC26" s="463">
        <f>SUM(AC14:AC25)</f>
        <v>0</v>
      </c>
      <c r="AD26" s="463" t="s">
        <v>58</v>
      </c>
      <c r="AE26" s="463">
        <f>SUM(AE14:AE25)</f>
        <v>0</v>
      </c>
      <c r="AF26" s="463" t="s">
        <v>58</v>
      </c>
      <c r="AG26" s="463">
        <f>SUM(AG14:AG25)</f>
        <v>0</v>
      </c>
      <c r="AH26" s="463" t="s">
        <v>58</v>
      </c>
      <c r="AI26" s="463">
        <f>SUM(AI14:AI25)</f>
        <v>0</v>
      </c>
      <c r="AJ26" s="463" t="s">
        <v>58</v>
      </c>
      <c r="AK26" s="463">
        <f>SUM(AK14:AK25)</f>
        <v>0</v>
      </c>
      <c r="AL26" s="463" t="s">
        <v>58</v>
      </c>
      <c r="AM26" s="463">
        <f>SUM(AM14:AM25)</f>
        <v>0</v>
      </c>
      <c r="AN26" s="461" t="s">
        <v>58</v>
      </c>
    </row>
    <row r="27" spans="1:40" s="454" customFormat="1" ht="20.100000000000001" customHeight="1">
      <c r="A27" s="1398" t="s">
        <v>9</v>
      </c>
      <c r="B27" s="454" t="s">
        <v>58</v>
      </c>
      <c r="C27" s="685" t="s">
        <v>58</v>
      </c>
      <c r="D27" s="1213">
        <v>262439731</v>
      </c>
      <c r="E27" s="1230">
        <v>4849199</v>
      </c>
      <c r="F27" s="1230">
        <v>118883810</v>
      </c>
      <c r="G27" s="1230">
        <f>SUM(G15:G25)</f>
        <v>18346100</v>
      </c>
      <c r="H27" s="1230">
        <f>SUM(H15:H25)</f>
        <v>12716351</v>
      </c>
      <c r="I27" s="1230">
        <v>13836176</v>
      </c>
      <c r="J27" s="1230">
        <v>19149722</v>
      </c>
      <c r="K27" s="1230">
        <v>1965000</v>
      </c>
      <c r="L27" s="1230">
        <f>SUM(L15:L25)</f>
        <v>17212000</v>
      </c>
      <c r="M27" s="1230">
        <v>6792872</v>
      </c>
      <c r="N27" s="1213">
        <v>10914285</v>
      </c>
      <c r="O27" s="1230">
        <v>5931000</v>
      </c>
      <c r="P27" s="1230">
        <f>SUM(P15:P25)</f>
        <v>15523133</v>
      </c>
      <c r="Q27" s="1213">
        <v>11732668</v>
      </c>
      <c r="R27" s="1213">
        <v>7204856</v>
      </c>
      <c r="S27" s="1213">
        <v>0</v>
      </c>
      <c r="T27" s="1230">
        <v>1451345</v>
      </c>
      <c r="U27" s="1213">
        <v>800000</v>
      </c>
      <c r="V27" s="1213">
        <v>634723</v>
      </c>
      <c r="W27" s="1213">
        <v>71589</v>
      </c>
      <c r="X27" s="1231">
        <f>SUM(X15:X25)</f>
        <v>530454560</v>
      </c>
      <c r="Y27" s="901">
        <f t="shared" si="3"/>
        <v>0</v>
      </c>
      <c r="Z27" s="463" t="e">
        <f t="shared" ref="Z27:AL27" si="5">SUM(Z15:Z25)</f>
        <v>#REF!</v>
      </c>
      <c r="AA27" s="463">
        <f t="shared" si="5"/>
        <v>2200000</v>
      </c>
      <c r="AB27" s="463">
        <f t="shared" si="5"/>
        <v>1155994.8400000001</v>
      </c>
      <c r="AC27" s="463">
        <f t="shared" si="5"/>
        <v>0</v>
      </c>
      <c r="AD27" s="463" t="e">
        <f t="shared" si="5"/>
        <v>#REF!</v>
      </c>
      <c r="AE27" s="463">
        <f t="shared" si="5"/>
        <v>0</v>
      </c>
      <c r="AF27" s="463">
        <f t="shared" si="5"/>
        <v>128720506</v>
      </c>
      <c r="AG27" s="463">
        <f t="shared" si="5"/>
        <v>0</v>
      </c>
      <c r="AH27" s="463">
        <f t="shared" si="5"/>
        <v>170400</v>
      </c>
      <c r="AI27" s="463">
        <f t="shared" si="5"/>
        <v>0</v>
      </c>
      <c r="AJ27" s="463">
        <f t="shared" si="5"/>
        <v>15325111.66</v>
      </c>
      <c r="AK27" s="463">
        <f t="shared" si="5"/>
        <v>0</v>
      </c>
      <c r="AL27" s="463">
        <f t="shared" si="5"/>
        <v>7695594.9199999999</v>
      </c>
      <c r="AM27" s="463">
        <f>SUM(AM14:AM26)</f>
        <v>0</v>
      </c>
      <c r="AN27" s="464" t="e">
        <f>SUM(AN15:AN25)</f>
        <v>#REF!</v>
      </c>
    </row>
    <row r="28" spans="1:40" s="454" customFormat="1" ht="15.95" customHeight="1">
      <c r="C28" s="685"/>
      <c r="D28" s="1208"/>
      <c r="E28" s="1227"/>
      <c r="F28" s="1227"/>
      <c r="G28" s="1227"/>
      <c r="H28" s="1227"/>
      <c r="I28" s="1227"/>
      <c r="J28" s="1227"/>
      <c r="K28" s="1227"/>
      <c r="L28" s="1227"/>
      <c r="M28" s="1227"/>
      <c r="N28" s="1208"/>
      <c r="O28" s="1227"/>
      <c r="P28" s="1227"/>
      <c r="Q28" s="1219"/>
      <c r="R28" s="1208"/>
      <c r="S28" s="1208"/>
      <c r="T28" s="1227"/>
      <c r="U28" s="1208"/>
      <c r="V28" s="1208"/>
      <c r="W28" s="1208"/>
      <c r="X28" s="1227"/>
      <c r="Z28" s="458"/>
      <c r="AA28" s="458"/>
      <c r="AB28" s="458"/>
      <c r="AC28" s="458"/>
      <c r="AD28" s="458"/>
      <c r="AE28" s="458"/>
      <c r="AF28" s="458"/>
      <c r="AG28" s="458"/>
      <c r="AH28" s="458"/>
      <c r="AI28" s="458"/>
      <c r="AJ28" s="458"/>
      <c r="AK28" s="458"/>
      <c r="AL28" s="458"/>
      <c r="AM28" s="458"/>
      <c r="AN28" s="458"/>
    </row>
    <row r="29" spans="1:40" s="454" customFormat="1" ht="20.100000000000001" customHeight="1">
      <c r="A29" s="1398" t="s">
        <v>941</v>
      </c>
      <c r="C29" s="685" t="s">
        <v>58</v>
      </c>
      <c r="D29" s="1217">
        <v>16792792</v>
      </c>
      <c r="E29" s="1233">
        <v>368388527.81999999</v>
      </c>
      <c r="F29" s="1233">
        <v>31114097</v>
      </c>
      <c r="G29" s="1233">
        <v>0</v>
      </c>
      <c r="H29" s="1233">
        <v>0</v>
      </c>
      <c r="I29" s="1233">
        <v>0</v>
      </c>
      <c r="J29" s="1233">
        <v>0</v>
      </c>
      <c r="K29" s="1233">
        <v>0</v>
      </c>
      <c r="L29" s="1233">
        <v>0</v>
      </c>
      <c r="M29" s="1233">
        <v>0</v>
      </c>
      <c r="N29" s="1217">
        <v>0</v>
      </c>
      <c r="O29" s="1233">
        <v>0</v>
      </c>
      <c r="P29" s="1233">
        <v>0</v>
      </c>
      <c r="Q29" s="1221">
        <v>0</v>
      </c>
      <c r="R29" s="1217">
        <v>3914956</v>
      </c>
      <c r="S29" s="1217"/>
      <c r="T29" s="1233">
        <v>0</v>
      </c>
      <c r="U29" s="1217">
        <v>0</v>
      </c>
      <c r="V29" s="1217">
        <v>0</v>
      </c>
      <c r="W29" s="1217">
        <v>0</v>
      </c>
      <c r="X29" s="1234">
        <f>SUM(D29:W29)</f>
        <v>420210372.81999999</v>
      </c>
      <c r="Y29" s="901">
        <f>SUM(D29:W29)-X29</f>
        <v>0</v>
      </c>
      <c r="Z29" s="470" t="e">
        <f>#REF!+#REF!+#REF!+#REF!</f>
        <v>#REF!</v>
      </c>
      <c r="AA29" s="470">
        <v>0</v>
      </c>
      <c r="AB29" s="470">
        <v>0</v>
      </c>
      <c r="AC29" s="461"/>
      <c r="AD29" s="470">
        <v>0</v>
      </c>
      <c r="AE29" s="458"/>
      <c r="AF29" s="470">
        <f>'Water and Sewer'!L10</f>
        <v>0</v>
      </c>
      <c r="AG29" s="458"/>
      <c r="AH29" s="470">
        <v>0</v>
      </c>
      <c r="AI29" s="458"/>
      <c r="AJ29" s="470">
        <v>0</v>
      </c>
      <c r="AK29" s="458"/>
      <c r="AL29" s="470">
        <v>0</v>
      </c>
      <c r="AM29" s="958"/>
      <c r="AN29" s="475" t="e">
        <f>SUM(D29:AL29)</f>
        <v>#REF!</v>
      </c>
    </row>
    <row r="30" spans="1:40" s="454" customFormat="1" ht="10.5" customHeight="1">
      <c r="C30" s="685"/>
      <c r="D30" s="1208"/>
      <c r="E30" s="1227"/>
      <c r="F30" s="1227"/>
      <c r="G30" s="1227"/>
      <c r="H30" s="1227"/>
      <c r="I30" s="1227"/>
      <c r="J30" s="1227"/>
      <c r="K30" s="1227"/>
      <c r="L30" s="1227"/>
      <c r="M30" s="1227"/>
      <c r="N30" s="1208"/>
      <c r="O30" s="1227"/>
      <c r="P30" s="1227"/>
      <c r="Q30" s="1219"/>
      <c r="R30" s="1208"/>
      <c r="S30" s="1208"/>
      <c r="T30" s="1227"/>
      <c r="U30" s="1208"/>
      <c r="V30" s="1208"/>
      <c r="W30" s="1208"/>
      <c r="X30" s="1229"/>
      <c r="Z30" s="458"/>
      <c r="AA30" s="458"/>
      <c r="AB30" s="458"/>
      <c r="AC30" s="461"/>
      <c r="AD30" s="458"/>
      <c r="AE30" s="458"/>
      <c r="AF30" s="458"/>
      <c r="AG30" s="458"/>
      <c r="AH30" s="458"/>
      <c r="AI30" s="458"/>
      <c r="AJ30" s="458"/>
      <c r="AK30" s="458"/>
      <c r="AL30" s="458"/>
      <c r="AM30" s="461"/>
      <c r="AN30" s="461"/>
    </row>
    <row r="31" spans="1:40" s="454" customFormat="1" ht="30" customHeight="1">
      <c r="A31" s="1398" t="s">
        <v>940</v>
      </c>
      <c r="C31" s="685"/>
      <c r="D31" s="1395">
        <f>D27+D29</f>
        <v>279232523</v>
      </c>
      <c r="E31" s="1395">
        <f t="shared" ref="E31:X31" si="6">E27+E29</f>
        <v>373237726.81999999</v>
      </c>
      <c r="F31" s="1395">
        <f t="shared" si="6"/>
        <v>149997907</v>
      </c>
      <c r="G31" s="1395">
        <f t="shared" si="6"/>
        <v>18346100</v>
      </c>
      <c r="H31" s="1395">
        <f t="shared" si="6"/>
        <v>12716351</v>
      </c>
      <c r="I31" s="1395">
        <f t="shared" si="6"/>
        <v>13836176</v>
      </c>
      <c r="J31" s="1395">
        <f t="shared" si="6"/>
        <v>19149722</v>
      </c>
      <c r="K31" s="1395">
        <f t="shared" si="6"/>
        <v>1965000</v>
      </c>
      <c r="L31" s="1395">
        <f t="shared" si="6"/>
        <v>17212000</v>
      </c>
      <c r="M31" s="1395">
        <f t="shared" si="6"/>
        <v>6792872</v>
      </c>
      <c r="N31" s="1395">
        <f t="shared" si="6"/>
        <v>10914285</v>
      </c>
      <c r="O31" s="1395">
        <f t="shared" si="6"/>
        <v>5931000</v>
      </c>
      <c r="P31" s="1395">
        <f t="shared" si="6"/>
        <v>15523133</v>
      </c>
      <c r="Q31" s="1395">
        <f t="shared" si="6"/>
        <v>11732668</v>
      </c>
      <c r="R31" s="1395">
        <f t="shared" si="6"/>
        <v>11119812</v>
      </c>
      <c r="S31" s="1395">
        <f t="shared" si="6"/>
        <v>0</v>
      </c>
      <c r="T31" s="1395">
        <f t="shared" si="6"/>
        <v>1451345</v>
      </c>
      <c r="U31" s="1395">
        <f t="shared" si="6"/>
        <v>800000</v>
      </c>
      <c r="V31" s="1395">
        <f t="shared" si="6"/>
        <v>634723</v>
      </c>
      <c r="W31" s="1395">
        <f t="shared" si="6"/>
        <v>71589</v>
      </c>
      <c r="X31" s="1395">
        <f t="shared" si="6"/>
        <v>950664932.81999993</v>
      </c>
      <c r="Z31" s="1227"/>
      <c r="AA31" s="1227"/>
      <c r="AB31" s="1227"/>
      <c r="AC31" s="1229"/>
      <c r="AD31" s="1227"/>
      <c r="AE31" s="1227"/>
      <c r="AF31" s="1227"/>
      <c r="AG31" s="1227"/>
      <c r="AH31" s="1227"/>
      <c r="AI31" s="1227"/>
      <c r="AJ31" s="1227"/>
      <c r="AK31" s="1227"/>
      <c r="AL31" s="1227"/>
      <c r="AM31" s="1229"/>
      <c r="AN31" s="1229"/>
    </row>
    <row r="32" spans="1:40" s="454" customFormat="1" ht="10.5" customHeight="1">
      <c r="C32" s="685"/>
      <c r="D32" s="1227"/>
      <c r="E32" s="1227"/>
      <c r="F32" s="1227"/>
      <c r="G32" s="1227"/>
      <c r="H32" s="1227"/>
      <c r="I32" s="1227"/>
      <c r="J32" s="1227"/>
      <c r="K32" s="1227"/>
      <c r="L32" s="1227"/>
      <c r="M32" s="1227"/>
      <c r="N32" s="1227"/>
      <c r="O32" s="1227"/>
      <c r="P32" s="1227"/>
      <c r="Q32" s="1219"/>
      <c r="R32" s="1227"/>
      <c r="S32" s="1227"/>
      <c r="T32" s="1227"/>
      <c r="U32" s="1227"/>
      <c r="V32" s="1227"/>
      <c r="W32" s="1227"/>
      <c r="X32" s="1229"/>
      <c r="Z32" s="1227"/>
      <c r="AA32" s="1227"/>
      <c r="AB32" s="1227"/>
      <c r="AC32" s="1229"/>
      <c r="AD32" s="1227"/>
      <c r="AE32" s="1227"/>
      <c r="AF32" s="1227"/>
      <c r="AG32" s="1227"/>
      <c r="AH32" s="1227"/>
      <c r="AI32" s="1227"/>
      <c r="AJ32" s="1227"/>
      <c r="AK32" s="1227"/>
      <c r="AL32" s="1227"/>
      <c r="AM32" s="1229"/>
      <c r="AN32" s="1229"/>
    </row>
    <row r="33" spans="1:51" s="685" customFormat="1" ht="30" customHeight="1" thickBot="1">
      <c r="A33" s="713" t="s">
        <v>946</v>
      </c>
      <c r="B33" s="713"/>
      <c r="C33" s="685" t="s">
        <v>424</v>
      </c>
      <c r="D33" s="800">
        <v>333368705.67000002</v>
      </c>
      <c r="E33" s="800">
        <v>385881724.62</v>
      </c>
      <c r="F33" s="800">
        <v>205174442.09999999</v>
      </c>
      <c r="G33" s="800">
        <f>G11+G27+G29</f>
        <v>32209755.439999998</v>
      </c>
      <c r="H33" s="800">
        <f>H11+H27</f>
        <v>24603708.469999999</v>
      </c>
      <c r="I33" s="800">
        <v>24452661.59</v>
      </c>
      <c r="J33" s="800">
        <v>22591218.84</v>
      </c>
      <c r="K33" s="800">
        <v>21517625</v>
      </c>
      <c r="L33" s="800">
        <f>L11+L27</f>
        <v>20191515</v>
      </c>
      <c r="M33" s="800">
        <v>19374455.009999998</v>
      </c>
      <c r="N33" s="800">
        <v>19111205</v>
      </c>
      <c r="O33" s="800">
        <v>17825915.34</v>
      </c>
      <c r="P33" s="800">
        <f>P11+P27</f>
        <v>16679555.890000001</v>
      </c>
      <c r="Q33" s="800">
        <v>11732668</v>
      </c>
      <c r="R33" s="800">
        <v>11119812</v>
      </c>
      <c r="S33" s="800">
        <v>2713933</v>
      </c>
      <c r="T33" s="800">
        <v>1451345</v>
      </c>
      <c r="U33" s="800">
        <v>800000</v>
      </c>
      <c r="V33" s="800">
        <v>706126</v>
      </c>
      <c r="W33" s="800">
        <v>151173</v>
      </c>
      <c r="X33" s="800">
        <f>X11+X27+X29</f>
        <v>1171657544.97</v>
      </c>
      <c r="Y33" s="685">
        <f>SUM(D33:W33)-X33</f>
        <v>0</v>
      </c>
      <c r="Z33" s="685" t="e">
        <f t="shared" ref="Z33:AN33" si="7">Z11+Z27+Z29</f>
        <v>#REF!</v>
      </c>
      <c r="AA33" s="685">
        <f t="shared" si="7"/>
        <v>26129746.120000001</v>
      </c>
      <c r="AB33" s="685">
        <f t="shared" si="7"/>
        <v>1155994.8400000001</v>
      </c>
      <c r="AC33" s="685">
        <f t="shared" si="7"/>
        <v>0</v>
      </c>
      <c r="AD33" s="685" t="e">
        <f t="shared" si="7"/>
        <v>#REF!</v>
      </c>
      <c r="AE33" s="685">
        <f t="shared" si="7"/>
        <v>0</v>
      </c>
      <c r="AF33" s="685">
        <f t="shared" si="7"/>
        <v>185359849</v>
      </c>
      <c r="AG33" s="685">
        <f t="shared" si="7"/>
        <v>0</v>
      </c>
      <c r="AH33" s="685">
        <f t="shared" si="7"/>
        <v>12383619</v>
      </c>
      <c r="AI33" s="685">
        <f t="shared" si="7"/>
        <v>0</v>
      </c>
      <c r="AJ33" s="685">
        <f t="shared" si="7"/>
        <v>29062115.66</v>
      </c>
      <c r="AK33" s="685">
        <f t="shared" si="7"/>
        <v>0</v>
      </c>
      <c r="AL33" s="685">
        <f t="shared" si="7"/>
        <v>21576376.920000002</v>
      </c>
      <c r="AM33" s="685">
        <f t="shared" si="7"/>
        <v>0</v>
      </c>
      <c r="AN33" s="685" t="e">
        <f t="shared" si="7"/>
        <v>#REF!</v>
      </c>
    </row>
    <row r="34" spans="1:51" s="454" customFormat="1" ht="10.5" customHeight="1" thickTop="1">
      <c r="C34" s="685"/>
      <c r="D34" s="1208"/>
      <c r="E34" s="1227"/>
      <c r="F34" s="1227"/>
      <c r="G34" s="1227"/>
      <c r="H34" s="1227"/>
      <c r="I34" s="1227"/>
      <c r="J34" s="1227"/>
      <c r="K34" s="1227"/>
      <c r="L34" s="1227"/>
      <c r="M34" s="1227"/>
      <c r="N34" s="1208"/>
      <c r="O34" s="1227"/>
      <c r="P34" s="1227"/>
      <c r="Q34" s="1219"/>
      <c r="R34" s="1208"/>
      <c r="S34" s="1208"/>
      <c r="T34" s="1227"/>
      <c r="U34" s="1208"/>
      <c r="V34" s="1208"/>
      <c r="W34" s="1219"/>
      <c r="X34" s="1229"/>
      <c r="Z34" s="458"/>
      <c r="AA34" s="458"/>
      <c r="AB34" s="458"/>
      <c r="AC34" s="467"/>
      <c r="AD34" s="458"/>
      <c r="AE34" s="458"/>
      <c r="AF34" s="458"/>
      <c r="AG34" s="458"/>
      <c r="AH34" s="458"/>
      <c r="AI34" s="458"/>
      <c r="AJ34" s="458"/>
      <c r="AK34" s="458"/>
      <c r="AL34" s="458"/>
      <c r="AM34" s="461"/>
      <c r="AN34" s="461"/>
    </row>
    <row r="35" spans="1:51" s="454" customFormat="1" ht="14.1" customHeight="1">
      <c r="A35" s="685"/>
      <c r="C35" s="685"/>
      <c r="D35" s="1210" t="s">
        <v>58</v>
      </c>
      <c r="E35" s="1227"/>
      <c r="F35" s="1227"/>
      <c r="G35" s="1227"/>
      <c r="H35" s="1227"/>
      <c r="I35" s="1227"/>
      <c r="J35" s="1227"/>
      <c r="K35" s="1227"/>
      <c r="L35" s="1227"/>
      <c r="M35" s="1227"/>
      <c r="N35" s="1208"/>
      <c r="O35" s="1227"/>
      <c r="P35" s="1227"/>
      <c r="Q35" s="1219"/>
      <c r="R35" s="1208"/>
      <c r="S35" s="1208"/>
      <c r="T35" s="1227"/>
      <c r="U35" s="1208"/>
      <c r="V35" s="1208"/>
      <c r="W35" s="1219"/>
      <c r="X35" s="1229"/>
      <c r="Z35" s="458"/>
      <c r="AA35" s="458"/>
      <c r="AB35" s="458"/>
      <c r="AC35" s="461"/>
      <c r="AD35" s="458"/>
      <c r="AE35" s="458"/>
      <c r="AF35" s="458"/>
      <c r="AG35" s="458"/>
      <c r="AH35" s="458"/>
      <c r="AI35" s="458"/>
      <c r="AJ35" s="458"/>
      <c r="AK35" s="458"/>
      <c r="AL35" s="458"/>
      <c r="AM35" s="461"/>
      <c r="AN35" s="461"/>
    </row>
    <row r="36" spans="1:51" s="454" customFormat="1" ht="6.95" customHeight="1">
      <c r="C36" s="685"/>
      <c r="D36" s="1208"/>
      <c r="E36" s="1227"/>
      <c r="F36" s="1227"/>
      <c r="G36" s="1227"/>
      <c r="H36" s="1227"/>
      <c r="I36" s="1227"/>
      <c r="J36" s="1227"/>
      <c r="K36" s="1227"/>
      <c r="L36" s="1227"/>
      <c r="M36" s="1227"/>
      <c r="N36" s="1208"/>
      <c r="O36" s="1227"/>
      <c r="P36" s="1227"/>
      <c r="Q36" s="1219"/>
      <c r="R36" s="1208"/>
      <c r="S36" s="1208"/>
      <c r="T36" s="1227"/>
      <c r="U36" s="1208"/>
      <c r="V36" s="1208"/>
      <c r="W36" s="1219"/>
      <c r="X36" s="1229"/>
      <c r="Z36" s="458"/>
      <c r="AA36" s="458"/>
      <c r="AB36" s="458"/>
      <c r="AC36" s="461"/>
      <c r="AD36" s="458"/>
      <c r="AE36" s="458"/>
      <c r="AF36" s="458"/>
      <c r="AG36" s="458"/>
      <c r="AH36" s="458"/>
      <c r="AI36" s="458"/>
      <c r="AJ36" s="458"/>
      <c r="AK36" s="458"/>
      <c r="AL36" s="458"/>
      <c r="AM36" s="461"/>
      <c r="AN36" s="461"/>
    </row>
    <row r="37" spans="1:51" s="454" customFormat="1" ht="17.25" customHeight="1">
      <c r="A37" s="685" t="s">
        <v>811</v>
      </c>
      <c r="C37" s="685"/>
      <c r="D37" s="1208"/>
      <c r="E37" s="1227"/>
      <c r="F37" s="1227"/>
      <c r="G37" s="1227"/>
      <c r="H37" s="1227"/>
      <c r="I37" s="1227"/>
      <c r="J37" s="1227"/>
      <c r="K37" s="1227"/>
      <c r="L37" s="1227"/>
      <c r="M37" s="1227"/>
      <c r="N37" s="1208"/>
      <c r="O37" s="1227"/>
      <c r="P37" s="1227"/>
      <c r="Q37" s="1219"/>
      <c r="R37" s="1208"/>
      <c r="S37" s="1208"/>
      <c r="T37" s="1227"/>
      <c r="U37" s="1208"/>
      <c r="V37" s="1208"/>
      <c r="W37" s="1219"/>
      <c r="X37" s="1229"/>
      <c r="Z37" s="458"/>
      <c r="AA37" s="458"/>
      <c r="AB37" s="458"/>
      <c r="AC37" s="461"/>
      <c r="AD37" s="458"/>
      <c r="AE37" s="458"/>
      <c r="AF37" s="458"/>
      <c r="AG37" s="458"/>
      <c r="AH37" s="458"/>
      <c r="AI37" s="458"/>
      <c r="AJ37" s="458"/>
      <c r="AK37" s="458"/>
      <c r="AL37" s="458"/>
      <c r="AM37" s="461"/>
      <c r="AN37" s="461"/>
    </row>
    <row r="38" spans="1:51" s="454" customFormat="1" ht="20.100000000000001" hidden="1" customHeight="1">
      <c r="A38" s="454" t="s">
        <v>440</v>
      </c>
      <c r="C38" s="685" t="s">
        <v>424</v>
      </c>
      <c r="D38" s="1208"/>
      <c r="E38" s="1228"/>
      <c r="F38" s="1227">
        <v>0</v>
      </c>
      <c r="G38" s="1227"/>
      <c r="H38" s="1227"/>
      <c r="I38" s="1227">
        <v>0</v>
      </c>
      <c r="J38" s="1227">
        <v>0</v>
      </c>
      <c r="K38" s="1228"/>
      <c r="L38" s="1227"/>
      <c r="M38" s="1227">
        <v>0</v>
      </c>
      <c r="N38" s="1210"/>
      <c r="O38" s="1227">
        <v>0</v>
      </c>
      <c r="P38" s="1227"/>
      <c r="Q38" s="1220"/>
      <c r="R38" s="1210"/>
      <c r="S38" s="1210"/>
      <c r="T38" s="1227">
        <v>0</v>
      </c>
      <c r="U38" s="1210"/>
      <c r="V38" s="1210"/>
      <c r="W38" s="1220"/>
      <c r="X38" s="1232">
        <v>0</v>
      </c>
      <c r="Z38" s="460"/>
      <c r="AA38" s="460"/>
      <c r="AB38" s="458">
        <v>0</v>
      </c>
      <c r="AC38" s="461"/>
      <c r="AD38" s="458">
        <v>0</v>
      </c>
      <c r="AE38" s="458"/>
      <c r="AF38" s="458">
        <v>0</v>
      </c>
      <c r="AG38" s="458"/>
      <c r="AH38" s="458">
        <v>0</v>
      </c>
      <c r="AI38" s="458"/>
      <c r="AJ38" s="458">
        <v>0</v>
      </c>
      <c r="AK38" s="458"/>
      <c r="AL38" s="458">
        <v>0</v>
      </c>
      <c r="AM38" s="461"/>
      <c r="AN38" s="467">
        <f>SUM(AA38:AA38,AB38:AL38)</f>
        <v>0</v>
      </c>
    </row>
    <row r="39" spans="1:51" s="454" customFormat="1" ht="20.100000000000001" hidden="1" customHeight="1">
      <c r="A39" s="454" t="s">
        <v>441</v>
      </c>
      <c r="C39" s="685"/>
      <c r="D39" s="1208"/>
      <c r="E39" s="1228"/>
      <c r="F39" s="1227">
        <v>0</v>
      </c>
      <c r="G39" s="1227"/>
      <c r="H39" s="1227"/>
      <c r="I39" s="1227">
        <v>0</v>
      </c>
      <c r="J39" s="1227">
        <v>0</v>
      </c>
      <c r="K39" s="1227"/>
      <c r="L39" s="1227"/>
      <c r="M39" s="1227"/>
      <c r="N39" s="1210"/>
      <c r="O39" s="1227">
        <v>0</v>
      </c>
      <c r="P39" s="1227"/>
      <c r="Q39" s="1220"/>
      <c r="R39" s="1210"/>
      <c r="S39" s="1210"/>
      <c r="T39" s="1227">
        <v>0</v>
      </c>
      <c r="U39" s="1210"/>
      <c r="V39" s="1210"/>
      <c r="W39" s="1220"/>
      <c r="X39" s="1232">
        <v>0</v>
      </c>
      <c r="Z39" s="460"/>
      <c r="AA39" s="458"/>
      <c r="AB39" s="458">
        <v>0</v>
      </c>
      <c r="AC39" s="461"/>
      <c r="AD39" s="458">
        <v>0</v>
      </c>
      <c r="AE39" s="458"/>
      <c r="AF39" s="458">
        <v>0</v>
      </c>
      <c r="AG39" s="458"/>
      <c r="AH39" s="458">
        <v>0</v>
      </c>
      <c r="AI39" s="458"/>
      <c r="AJ39" s="458">
        <v>0</v>
      </c>
      <c r="AK39" s="458"/>
      <c r="AL39" s="458"/>
      <c r="AM39" s="461"/>
      <c r="AN39" s="467">
        <f>SUM(AA39:AA39,AB39:AL39)</f>
        <v>0</v>
      </c>
    </row>
    <row r="40" spans="1:51" s="454" customFormat="1" ht="20.100000000000001" customHeight="1">
      <c r="A40" s="454" t="s">
        <v>442</v>
      </c>
      <c r="C40" s="685" t="s">
        <v>424</v>
      </c>
      <c r="D40" s="1208">
        <v>3371963.24</v>
      </c>
      <c r="E40" s="1227">
        <v>0</v>
      </c>
      <c r="F40" s="1227">
        <v>0</v>
      </c>
      <c r="G40" s="1227">
        <v>0</v>
      </c>
      <c r="H40" s="1227">
        <v>0</v>
      </c>
      <c r="I40" s="1227">
        <v>0</v>
      </c>
      <c r="J40" s="1227">
        <v>0</v>
      </c>
      <c r="K40" s="1227">
        <v>0</v>
      </c>
      <c r="L40" s="1227">
        <v>0</v>
      </c>
      <c r="M40" s="1227">
        <v>0</v>
      </c>
      <c r="N40" s="1208">
        <v>0</v>
      </c>
      <c r="O40" s="1227">
        <v>0</v>
      </c>
      <c r="P40" s="1227">
        <v>0</v>
      </c>
      <c r="Q40" s="1219">
        <v>0</v>
      </c>
      <c r="R40" s="1208">
        <v>0</v>
      </c>
      <c r="S40" s="1208">
        <v>0</v>
      </c>
      <c r="T40" s="1227">
        <v>0</v>
      </c>
      <c r="U40" s="1208">
        <v>0</v>
      </c>
      <c r="V40" s="1208">
        <v>0</v>
      </c>
      <c r="W40" s="1219">
        <v>0</v>
      </c>
      <c r="X40" s="1229">
        <f t="shared" ref="X40:X67" si="8">SUM(D40:W40)</f>
        <v>3371963.24</v>
      </c>
      <c r="Y40" s="901">
        <f t="shared" ref="Y40:Y68" si="9">SUM(D40:W40)-X40</f>
        <v>0</v>
      </c>
      <c r="Z40" s="458">
        <v>0</v>
      </c>
      <c r="AA40" s="458">
        <v>0</v>
      </c>
      <c r="AB40" s="458">
        <v>0</v>
      </c>
      <c r="AC40" s="461"/>
      <c r="AD40" s="458">
        <v>0</v>
      </c>
      <c r="AE40" s="458"/>
      <c r="AF40" s="458">
        <v>0</v>
      </c>
      <c r="AG40" s="458"/>
      <c r="AH40" s="458">
        <v>0</v>
      </c>
      <c r="AI40" s="458"/>
      <c r="AJ40" s="458">
        <v>0</v>
      </c>
      <c r="AK40" s="458"/>
      <c r="AL40" s="458">
        <v>0</v>
      </c>
      <c r="AM40" s="461"/>
      <c r="AN40" s="461">
        <f t="shared" ref="AN40:AN67" si="10">SUM(D40:AL40)</f>
        <v>6743926.4800000004</v>
      </c>
    </row>
    <row r="41" spans="1:51" s="417" customFormat="1" ht="20.100000000000001" customHeight="1">
      <c r="A41" s="417" t="s">
        <v>443</v>
      </c>
      <c r="C41" s="1305"/>
      <c r="D41" s="1208">
        <v>825823.2</v>
      </c>
      <c r="E41" s="1227">
        <v>0</v>
      </c>
      <c r="F41" s="1227">
        <v>0</v>
      </c>
      <c r="G41" s="1227">
        <v>0</v>
      </c>
      <c r="H41" s="1227">
        <v>0</v>
      </c>
      <c r="I41" s="1227">
        <v>0</v>
      </c>
      <c r="J41" s="1227">
        <v>0</v>
      </c>
      <c r="K41" s="1227">
        <v>0</v>
      </c>
      <c r="L41" s="1227">
        <v>0</v>
      </c>
      <c r="M41" s="1227">
        <v>0</v>
      </c>
      <c r="N41" s="1208">
        <v>0</v>
      </c>
      <c r="O41" s="1227">
        <v>0</v>
      </c>
      <c r="P41" s="1227">
        <v>0</v>
      </c>
      <c r="Q41" s="1219">
        <v>0</v>
      </c>
      <c r="R41" s="1208">
        <v>0</v>
      </c>
      <c r="S41" s="1208">
        <v>0</v>
      </c>
      <c r="T41" s="1227">
        <v>0</v>
      </c>
      <c r="U41" s="1208">
        <v>0</v>
      </c>
      <c r="V41" s="1208">
        <v>0</v>
      </c>
      <c r="W41" s="1219">
        <v>0</v>
      </c>
      <c r="X41" s="1229">
        <f t="shared" si="8"/>
        <v>825823.2</v>
      </c>
      <c r="Y41" s="901">
        <f t="shared" si="9"/>
        <v>0</v>
      </c>
      <c r="Z41" s="458">
        <v>0</v>
      </c>
      <c r="AA41" s="458">
        <v>0</v>
      </c>
      <c r="AB41" s="458">
        <v>0</v>
      </c>
      <c r="AC41" s="461"/>
      <c r="AD41" s="458">
        <v>0</v>
      </c>
      <c r="AE41" s="458"/>
      <c r="AF41" s="458">
        <v>0</v>
      </c>
      <c r="AG41" s="458"/>
      <c r="AH41" s="458">
        <v>0</v>
      </c>
      <c r="AI41" s="458"/>
      <c r="AJ41" s="458">
        <v>0</v>
      </c>
      <c r="AK41" s="458"/>
      <c r="AL41" s="458">
        <v>0</v>
      </c>
      <c r="AM41" s="461"/>
      <c r="AN41" s="461">
        <f t="shared" si="10"/>
        <v>1651646.4</v>
      </c>
      <c r="AO41" s="454"/>
      <c r="AP41" s="454"/>
      <c r="AQ41" s="454"/>
      <c r="AR41" s="454"/>
      <c r="AS41" s="454"/>
      <c r="AT41" s="454"/>
      <c r="AU41" s="454"/>
      <c r="AV41" s="454"/>
      <c r="AW41" s="454"/>
      <c r="AX41" s="454"/>
      <c r="AY41" s="454"/>
    </row>
    <row r="42" spans="1:51" s="417" customFormat="1" ht="20.100000000000001" customHeight="1">
      <c r="A42" s="417" t="s">
        <v>444</v>
      </c>
      <c r="C42" s="1305"/>
      <c r="D42" s="1208">
        <v>1139562.57</v>
      </c>
      <c r="E42" s="1227">
        <v>0</v>
      </c>
      <c r="F42" s="1227">
        <v>0</v>
      </c>
      <c r="G42" s="1227">
        <v>0</v>
      </c>
      <c r="H42" s="1227">
        <v>0</v>
      </c>
      <c r="I42" s="1227">
        <v>0</v>
      </c>
      <c r="J42" s="1227">
        <v>0</v>
      </c>
      <c r="K42" s="1227">
        <v>0</v>
      </c>
      <c r="L42" s="1227">
        <v>0</v>
      </c>
      <c r="M42" s="1227">
        <v>0</v>
      </c>
      <c r="N42" s="1208">
        <v>0</v>
      </c>
      <c r="O42" s="1227">
        <v>0</v>
      </c>
      <c r="P42" s="1227">
        <v>0</v>
      </c>
      <c r="Q42" s="1219">
        <v>0</v>
      </c>
      <c r="R42" s="1208">
        <v>0</v>
      </c>
      <c r="S42" s="1208">
        <v>0</v>
      </c>
      <c r="T42" s="1227">
        <v>0</v>
      </c>
      <c r="U42" s="1208">
        <v>0</v>
      </c>
      <c r="V42" s="1208">
        <v>0</v>
      </c>
      <c r="W42" s="1219">
        <v>0</v>
      </c>
      <c r="X42" s="1229">
        <f t="shared" si="8"/>
        <v>1139562.57</v>
      </c>
      <c r="Y42" s="901">
        <f t="shared" si="9"/>
        <v>0</v>
      </c>
      <c r="Z42" s="458">
        <v>0</v>
      </c>
      <c r="AA42" s="458">
        <v>0</v>
      </c>
      <c r="AB42" s="458">
        <v>0</v>
      </c>
      <c r="AC42" s="461"/>
      <c r="AD42" s="458">
        <v>0</v>
      </c>
      <c r="AE42" s="458"/>
      <c r="AF42" s="458">
        <v>0</v>
      </c>
      <c r="AG42" s="458"/>
      <c r="AH42" s="458">
        <v>0</v>
      </c>
      <c r="AI42" s="458"/>
      <c r="AJ42" s="458">
        <v>0</v>
      </c>
      <c r="AK42" s="458"/>
      <c r="AL42" s="458">
        <v>0</v>
      </c>
      <c r="AM42" s="461"/>
      <c r="AN42" s="461">
        <f t="shared" si="10"/>
        <v>2279125.14</v>
      </c>
      <c r="AO42" s="454"/>
      <c r="AP42" s="454"/>
      <c r="AQ42" s="454"/>
      <c r="AR42" s="454"/>
      <c r="AS42" s="454"/>
      <c r="AT42" s="454"/>
      <c r="AU42" s="454"/>
      <c r="AV42" s="454"/>
      <c r="AW42" s="454"/>
      <c r="AX42" s="454"/>
      <c r="AY42" s="454"/>
    </row>
    <row r="43" spans="1:51" s="417" customFormat="1" ht="20.100000000000001" customHeight="1">
      <c r="A43" s="417" t="s">
        <v>445</v>
      </c>
      <c r="C43" s="1305"/>
      <c r="D43" s="1208">
        <v>1065220.1599999999</v>
      </c>
      <c r="E43" s="1227">
        <v>0</v>
      </c>
      <c r="F43" s="1227">
        <v>0</v>
      </c>
      <c r="G43" s="1227">
        <v>0</v>
      </c>
      <c r="H43" s="1227">
        <v>0</v>
      </c>
      <c r="I43" s="1227">
        <v>0</v>
      </c>
      <c r="J43" s="1227">
        <v>0</v>
      </c>
      <c r="K43" s="1227">
        <v>0</v>
      </c>
      <c r="L43" s="1227">
        <v>0</v>
      </c>
      <c r="M43" s="1227">
        <v>0</v>
      </c>
      <c r="N43" s="1208">
        <v>0</v>
      </c>
      <c r="O43" s="1227">
        <v>0</v>
      </c>
      <c r="P43" s="1227">
        <v>0</v>
      </c>
      <c r="Q43" s="1219">
        <v>0</v>
      </c>
      <c r="R43" s="1208">
        <v>0</v>
      </c>
      <c r="S43" s="1208">
        <v>0</v>
      </c>
      <c r="T43" s="1227">
        <v>0</v>
      </c>
      <c r="U43" s="1208">
        <v>0</v>
      </c>
      <c r="V43" s="1208">
        <v>0</v>
      </c>
      <c r="W43" s="1219">
        <v>0</v>
      </c>
      <c r="X43" s="1229">
        <f t="shared" si="8"/>
        <v>1065220.1599999999</v>
      </c>
      <c r="Y43" s="901">
        <f t="shared" si="9"/>
        <v>0</v>
      </c>
      <c r="Z43" s="458">
        <v>0</v>
      </c>
      <c r="AA43" s="458">
        <v>0</v>
      </c>
      <c r="AB43" s="458">
        <v>0</v>
      </c>
      <c r="AC43" s="461"/>
      <c r="AD43" s="458">
        <v>0</v>
      </c>
      <c r="AE43" s="458"/>
      <c r="AF43" s="458">
        <v>0</v>
      </c>
      <c r="AG43" s="458"/>
      <c r="AH43" s="458">
        <v>0</v>
      </c>
      <c r="AI43" s="458"/>
      <c r="AJ43" s="458">
        <v>0</v>
      </c>
      <c r="AK43" s="458"/>
      <c r="AL43" s="458">
        <v>0</v>
      </c>
      <c r="AM43" s="461"/>
      <c r="AN43" s="461">
        <f t="shared" si="10"/>
        <v>2130440.3199999998</v>
      </c>
      <c r="AO43" s="454"/>
      <c r="AP43" s="454"/>
      <c r="AQ43" s="454"/>
      <c r="AR43" s="454"/>
      <c r="AS43" s="454"/>
      <c r="AT43" s="454"/>
      <c r="AU43" s="454"/>
      <c r="AV43" s="454"/>
      <c r="AW43" s="454"/>
      <c r="AX43" s="454"/>
      <c r="AY43" s="454"/>
    </row>
    <row r="44" spans="1:51" s="417" customFormat="1" ht="20.100000000000001" customHeight="1">
      <c r="A44" s="417" t="s">
        <v>446</v>
      </c>
      <c r="C44" s="1305"/>
      <c r="D44" s="1208">
        <v>4284719.87</v>
      </c>
      <c r="E44" s="1227">
        <v>0</v>
      </c>
      <c r="F44" s="1227">
        <v>0</v>
      </c>
      <c r="G44" s="1227">
        <v>0</v>
      </c>
      <c r="H44" s="1227">
        <v>0</v>
      </c>
      <c r="I44" s="1227">
        <v>0</v>
      </c>
      <c r="J44" s="1227">
        <v>0</v>
      </c>
      <c r="K44" s="1227">
        <v>0</v>
      </c>
      <c r="L44" s="1227">
        <v>0</v>
      </c>
      <c r="M44" s="1227">
        <v>0</v>
      </c>
      <c r="N44" s="1208">
        <v>0</v>
      </c>
      <c r="O44" s="1227">
        <v>0</v>
      </c>
      <c r="P44" s="1227">
        <v>0</v>
      </c>
      <c r="Q44" s="1219">
        <v>0</v>
      </c>
      <c r="R44" s="1208">
        <v>0</v>
      </c>
      <c r="S44" s="1208">
        <v>0</v>
      </c>
      <c r="T44" s="1227">
        <v>0</v>
      </c>
      <c r="U44" s="1208">
        <v>0</v>
      </c>
      <c r="V44" s="1208">
        <v>0</v>
      </c>
      <c r="W44" s="1219">
        <v>0</v>
      </c>
      <c r="X44" s="1229">
        <f t="shared" si="8"/>
        <v>4284719.87</v>
      </c>
      <c r="Y44" s="901">
        <f t="shared" si="9"/>
        <v>0</v>
      </c>
      <c r="Z44" s="458">
        <v>0</v>
      </c>
      <c r="AA44" s="458">
        <v>0</v>
      </c>
      <c r="AB44" s="458">
        <v>0</v>
      </c>
      <c r="AC44" s="461"/>
      <c r="AD44" s="458">
        <v>0</v>
      </c>
      <c r="AE44" s="458"/>
      <c r="AF44" s="458">
        <v>0</v>
      </c>
      <c r="AG44" s="458"/>
      <c r="AH44" s="458">
        <v>0</v>
      </c>
      <c r="AI44" s="458"/>
      <c r="AJ44" s="458">
        <v>0</v>
      </c>
      <c r="AK44" s="458"/>
      <c r="AL44" s="458">
        <v>0</v>
      </c>
      <c r="AM44" s="461"/>
      <c r="AN44" s="461">
        <f t="shared" si="10"/>
        <v>8569439.7400000002</v>
      </c>
      <c r="AO44" s="454"/>
      <c r="AP44" s="454"/>
      <c r="AQ44" s="454"/>
      <c r="AR44" s="454"/>
      <c r="AS44" s="454"/>
      <c r="AT44" s="454"/>
      <c r="AU44" s="454"/>
      <c r="AV44" s="454"/>
      <c r="AW44" s="454"/>
      <c r="AX44" s="454"/>
      <c r="AY44" s="454"/>
    </row>
    <row r="45" spans="1:51" ht="18" hidden="1" customHeight="1">
      <c r="A45" s="417" t="s">
        <v>447</v>
      </c>
      <c r="D45" s="1208" t="s">
        <v>58</v>
      </c>
      <c r="E45" s="1227">
        <v>0</v>
      </c>
      <c r="F45" s="1227">
        <v>0</v>
      </c>
      <c r="G45" s="1227"/>
      <c r="H45" s="1227"/>
      <c r="I45" s="1227">
        <v>0</v>
      </c>
      <c r="J45" s="1227">
        <v>0</v>
      </c>
      <c r="K45" s="1227">
        <v>0</v>
      </c>
      <c r="L45" s="1227"/>
      <c r="M45" s="1227">
        <v>0</v>
      </c>
      <c r="N45" s="1208">
        <v>0</v>
      </c>
      <c r="O45" s="1227">
        <v>0</v>
      </c>
      <c r="P45" s="1227"/>
      <c r="Q45" s="1219">
        <v>0</v>
      </c>
      <c r="R45" s="1208">
        <v>0</v>
      </c>
      <c r="S45" s="1208"/>
      <c r="T45" s="1227">
        <v>0</v>
      </c>
      <c r="U45" s="1208"/>
      <c r="V45" s="1208">
        <v>0</v>
      </c>
      <c r="W45" s="1219">
        <v>0</v>
      </c>
      <c r="X45" s="1229">
        <f t="shared" si="8"/>
        <v>0</v>
      </c>
      <c r="Y45" s="901">
        <f t="shared" si="9"/>
        <v>0</v>
      </c>
      <c r="Z45" s="458">
        <v>0</v>
      </c>
      <c r="AA45" s="458">
        <v>0</v>
      </c>
      <c r="AB45" s="458">
        <v>0</v>
      </c>
      <c r="AC45" s="461"/>
      <c r="AD45" s="458">
        <v>0</v>
      </c>
      <c r="AE45" s="458"/>
      <c r="AF45" s="458">
        <v>0</v>
      </c>
      <c r="AG45" s="458"/>
      <c r="AH45" s="458">
        <v>0</v>
      </c>
      <c r="AI45" s="458"/>
      <c r="AJ45" s="458">
        <v>0</v>
      </c>
      <c r="AK45" s="458"/>
      <c r="AL45" s="458">
        <v>0</v>
      </c>
      <c r="AM45" s="389"/>
      <c r="AN45" s="461">
        <f t="shared" si="10"/>
        <v>0</v>
      </c>
    </row>
    <row r="46" spans="1:51" ht="18" hidden="1" customHeight="1">
      <c r="A46" s="417" t="s">
        <v>572</v>
      </c>
      <c r="D46" s="1208" t="s">
        <v>58</v>
      </c>
      <c r="E46" s="1227">
        <v>0</v>
      </c>
      <c r="F46" s="1227">
        <v>0</v>
      </c>
      <c r="G46" s="1227"/>
      <c r="H46" s="1227"/>
      <c r="I46" s="1227">
        <v>0</v>
      </c>
      <c r="J46" s="1227">
        <v>0</v>
      </c>
      <c r="K46" s="1227">
        <v>0</v>
      </c>
      <c r="L46" s="1227"/>
      <c r="M46" s="1227">
        <v>0</v>
      </c>
      <c r="N46" s="1208">
        <v>0</v>
      </c>
      <c r="O46" s="1227">
        <v>0</v>
      </c>
      <c r="P46" s="1227"/>
      <c r="Q46" s="1219">
        <v>0</v>
      </c>
      <c r="R46" s="1208">
        <v>0</v>
      </c>
      <c r="S46" s="1208"/>
      <c r="T46" s="1227">
        <v>0</v>
      </c>
      <c r="U46" s="1208"/>
      <c r="V46" s="1208">
        <v>0</v>
      </c>
      <c r="W46" s="1219">
        <v>0</v>
      </c>
      <c r="X46" s="1229">
        <f t="shared" si="8"/>
        <v>0</v>
      </c>
      <c r="Y46" s="901">
        <f t="shared" si="9"/>
        <v>0</v>
      </c>
      <c r="Z46" s="458">
        <v>0</v>
      </c>
      <c r="AA46" s="458">
        <v>0</v>
      </c>
      <c r="AB46" s="458">
        <v>0</v>
      </c>
      <c r="AC46" s="461"/>
      <c r="AD46" s="458">
        <v>0</v>
      </c>
      <c r="AE46" s="458"/>
      <c r="AF46" s="458">
        <v>0</v>
      </c>
      <c r="AG46" s="458"/>
      <c r="AH46" s="458">
        <v>0</v>
      </c>
      <c r="AI46" s="458"/>
      <c r="AJ46" s="458">
        <v>0</v>
      </c>
      <c r="AK46" s="458"/>
      <c r="AL46" s="458">
        <v>0</v>
      </c>
      <c r="AM46" s="389"/>
      <c r="AN46" s="461">
        <f t="shared" si="10"/>
        <v>0</v>
      </c>
    </row>
    <row r="47" spans="1:51" ht="13.9" hidden="1" customHeight="1">
      <c r="D47" s="1208" t="s">
        <v>58</v>
      </c>
      <c r="E47" s="1226"/>
      <c r="F47" s="1226"/>
      <c r="G47" s="1226"/>
      <c r="H47" s="1226"/>
      <c r="I47" s="1226"/>
      <c r="J47" s="1226"/>
      <c r="K47" s="1226"/>
      <c r="L47" s="1226"/>
      <c r="M47" s="1226"/>
      <c r="N47" s="1207"/>
      <c r="O47" s="1226"/>
      <c r="P47" s="1226"/>
      <c r="Q47" s="1205"/>
      <c r="R47" s="1206"/>
      <c r="S47" s="1207"/>
      <c r="T47" s="1226"/>
      <c r="U47" s="1207"/>
      <c r="V47" s="1206"/>
      <c r="W47" s="1205"/>
      <c r="X47" s="1229">
        <f t="shared" si="8"/>
        <v>0</v>
      </c>
      <c r="Y47" s="901">
        <f t="shared" si="9"/>
        <v>0</v>
      </c>
      <c r="Z47" s="389"/>
      <c r="AA47" s="389"/>
      <c r="AB47" s="389"/>
      <c r="AC47" s="389"/>
      <c r="AD47" s="389"/>
      <c r="AE47" s="389"/>
      <c r="AF47" s="389"/>
      <c r="AG47" s="389"/>
      <c r="AH47" s="389"/>
      <c r="AI47" s="389"/>
      <c r="AJ47" s="389"/>
      <c r="AK47" s="389"/>
      <c r="AL47" s="389"/>
      <c r="AM47" s="389"/>
      <c r="AN47" s="461">
        <f t="shared" si="10"/>
        <v>0</v>
      </c>
    </row>
    <row r="48" spans="1:51" s="417" customFormat="1" ht="20.100000000000001" customHeight="1">
      <c r="A48" s="417" t="s">
        <v>448</v>
      </c>
      <c r="C48" s="1305"/>
      <c r="D48" s="1208">
        <v>6693540.9000000004</v>
      </c>
      <c r="E48" s="1227">
        <v>0</v>
      </c>
      <c r="F48" s="1227">
        <v>0</v>
      </c>
      <c r="G48" s="1227">
        <v>0</v>
      </c>
      <c r="H48" s="1227">
        <v>0</v>
      </c>
      <c r="I48" s="1227">
        <v>0</v>
      </c>
      <c r="J48" s="1227">
        <v>0</v>
      </c>
      <c r="K48" s="1227">
        <v>0</v>
      </c>
      <c r="L48" s="1227">
        <v>0</v>
      </c>
      <c r="M48" s="1227">
        <v>0</v>
      </c>
      <c r="N48" s="1208">
        <v>0</v>
      </c>
      <c r="O48" s="1227">
        <v>0</v>
      </c>
      <c r="P48" s="1227">
        <v>0</v>
      </c>
      <c r="Q48" s="1219">
        <v>0</v>
      </c>
      <c r="R48" s="1208">
        <v>0</v>
      </c>
      <c r="S48" s="1208">
        <v>0</v>
      </c>
      <c r="T48" s="1227">
        <v>0</v>
      </c>
      <c r="U48" s="1208">
        <v>0</v>
      </c>
      <c r="V48" s="1208">
        <v>0</v>
      </c>
      <c r="W48" s="1219">
        <v>0</v>
      </c>
      <c r="X48" s="1229">
        <f t="shared" si="8"/>
        <v>6693540.9000000004</v>
      </c>
      <c r="Y48" s="901">
        <f t="shared" si="9"/>
        <v>0</v>
      </c>
      <c r="Z48" s="458">
        <v>0</v>
      </c>
      <c r="AA48" s="458">
        <v>0</v>
      </c>
      <c r="AB48" s="458">
        <v>0</v>
      </c>
      <c r="AC48" s="461"/>
      <c r="AD48" s="458">
        <v>0</v>
      </c>
      <c r="AE48" s="458"/>
      <c r="AF48" s="458">
        <v>0</v>
      </c>
      <c r="AG48" s="458"/>
      <c r="AH48" s="458">
        <v>0</v>
      </c>
      <c r="AI48" s="458"/>
      <c r="AJ48" s="458">
        <v>0</v>
      </c>
      <c r="AK48" s="458"/>
      <c r="AL48" s="458">
        <v>0</v>
      </c>
      <c r="AM48" s="461"/>
      <c r="AN48" s="461">
        <f t="shared" si="10"/>
        <v>13387081.800000001</v>
      </c>
      <c r="AO48" s="454"/>
      <c r="AP48" s="454"/>
      <c r="AQ48" s="454"/>
      <c r="AR48" s="454"/>
      <c r="AS48" s="454"/>
      <c r="AT48" s="454"/>
      <c r="AU48" s="454"/>
      <c r="AV48" s="454"/>
      <c r="AW48" s="454"/>
      <c r="AX48" s="454"/>
      <c r="AY48" s="454"/>
    </row>
    <row r="49" spans="1:51" s="417" customFormat="1" ht="20.100000000000001" customHeight="1">
      <c r="A49" s="417" t="s">
        <v>683</v>
      </c>
      <c r="C49" s="1305"/>
      <c r="D49" s="1208">
        <v>65488672.020000003</v>
      </c>
      <c r="E49" s="1250">
        <v>0</v>
      </c>
      <c r="F49" s="1227">
        <v>0</v>
      </c>
      <c r="G49" s="1227">
        <v>0</v>
      </c>
      <c r="H49" s="1227">
        <v>0</v>
      </c>
      <c r="I49" s="1227">
        <v>0</v>
      </c>
      <c r="J49" s="1227">
        <v>0</v>
      </c>
      <c r="K49" s="1227">
        <v>0</v>
      </c>
      <c r="L49" s="1227">
        <v>0</v>
      </c>
      <c r="M49" s="1227">
        <v>0</v>
      </c>
      <c r="N49" s="1208">
        <v>0</v>
      </c>
      <c r="O49" s="1227">
        <v>0</v>
      </c>
      <c r="P49" s="1227">
        <v>0</v>
      </c>
      <c r="Q49" s="1219">
        <v>0</v>
      </c>
      <c r="R49" s="1208">
        <v>0</v>
      </c>
      <c r="S49" s="1208">
        <v>0</v>
      </c>
      <c r="T49" s="1227">
        <v>0</v>
      </c>
      <c r="U49" s="1208">
        <v>0</v>
      </c>
      <c r="V49" s="1208">
        <v>0</v>
      </c>
      <c r="W49" s="1219">
        <v>0</v>
      </c>
      <c r="X49" s="1229">
        <f t="shared" si="8"/>
        <v>65488672.020000003</v>
      </c>
      <c r="Y49" s="901">
        <f t="shared" si="9"/>
        <v>0</v>
      </c>
      <c r="Z49" s="741">
        <v>0</v>
      </c>
      <c r="AA49" s="458">
        <v>0</v>
      </c>
      <c r="AB49" s="458">
        <v>0</v>
      </c>
      <c r="AC49" s="461"/>
      <c r="AD49" s="458">
        <v>0</v>
      </c>
      <c r="AE49" s="458"/>
      <c r="AF49" s="458">
        <v>0</v>
      </c>
      <c r="AG49" s="458"/>
      <c r="AH49" s="458">
        <v>0</v>
      </c>
      <c r="AI49" s="458"/>
      <c r="AJ49" s="458">
        <v>0</v>
      </c>
      <c r="AK49" s="458"/>
      <c r="AL49" s="458">
        <v>0</v>
      </c>
      <c r="AM49" s="461"/>
      <c r="AN49" s="461">
        <f t="shared" si="10"/>
        <v>130977344.04000001</v>
      </c>
      <c r="AO49" s="454"/>
      <c r="AP49" s="454"/>
      <c r="AQ49" s="454"/>
      <c r="AR49" s="454"/>
      <c r="AS49" s="454"/>
      <c r="AT49" s="454"/>
      <c r="AU49" s="454"/>
      <c r="AV49" s="454"/>
      <c r="AW49" s="454"/>
      <c r="AX49" s="454"/>
      <c r="AY49" s="454"/>
    </row>
    <row r="50" spans="1:51" s="417" customFormat="1" ht="20.100000000000001" customHeight="1">
      <c r="A50" s="417" t="s">
        <v>450</v>
      </c>
      <c r="C50" s="1305"/>
      <c r="D50" s="1208">
        <v>2133163.38</v>
      </c>
      <c r="E50" s="1227">
        <v>0</v>
      </c>
      <c r="F50" s="1227">
        <v>0</v>
      </c>
      <c r="G50" s="1227">
        <v>0</v>
      </c>
      <c r="H50" s="1227">
        <v>23344447.620000001</v>
      </c>
      <c r="I50" s="1227">
        <v>0</v>
      </c>
      <c r="J50" s="1227">
        <v>0</v>
      </c>
      <c r="K50" s="1227">
        <v>0</v>
      </c>
      <c r="L50" s="1227">
        <v>19104500</v>
      </c>
      <c r="M50" s="1227">
        <v>0</v>
      </c>
      <c r="N50" s="1208">
        <v>0</v>
      </c>
      <c r="O50" s="1227">
        <v>0</v>
      </c>
      <c r="P50" s="1227">
        <v>0</v>
      </c>
      <c r="Q50" s="1219">
        <v>0</v>
      </c>
      <c r="R50" s="1208">
        <v>0</v>
      </c>
      <c r="S50" s="1208">
        <v>0</v>
      </c>
      <c r="T50" s="1227">
        <v>0</v>
      </c>
      <c r="U50" s="1208">
        <v>0</v>
      </c>
      <c r="V50" s="1208">
        <v>0</v>
      </c>
      <c r="W50" s="1219">
        <v>0</v>
      </c>
      <c r="X50" s="1229">
        <f t="shared" si="8"/>
        <v>44582111</v>
      </c>
      <c r="Y50" s="901">
        <f t="shared" si="9"/>
        <v>0</v>
      </c>
      <c r="Z50" s="458">
        <v>0</v>
      </c>
      <c r="AA50" s="458">
        <v>0</v>
      </c>
      <c r="AB50" s="458">
        <v>0</v>
      </c>
      <c r="AC50" s="461"/>
      <c r="AD50" s="458">
        <v>0</v>
      </c>
      <c r="AE50" s="458"/>
      <c r="AF50" s="458">
        <v>0</v>
      </c>
      <c r="AG50" s="458"/>
      <c r="AH50" s="458">
        <v>0</v>
      </c>
      <c r="AI50" s="458"/>
      <c r="AJ50" s="458">
        <v>0</v>
      </c>
      <c r="AK50" s="458"/>
      <c r="AL50" s="458">
        <v>0</v>
      </c>
      <c r="AM50" s="461"/>
      <c r="AN50" s="461">
        <f t="shared" si="10"/>
        <v>89164222</v>
      </c>
      <c r="AO50" s="454"/>
      <c r="AP50" s="454"/>
      <c r="AQ50" s="454"/>
      <c r="AR50" s="454"/>
      <c r="AS50" s="454"/>
      <c r="AT50" s="454"/>
      <c r="AU50" s="454"/>
      <c r="AV50" s="454"/>
      <c r="AW50" s="454"/>
      <c r="AX50" s="454"/>
      <c r="AY50" s="454"/>
    </row>
    <row r="51" spans="1:51" s="417" customFormat="1" ht="20.100000000000001" customHeight="1">
      <c r="A51" s="417" t="s">
        <v>451</v>
      </c>
      <c r="C51" s="1305"/>
      <c r="D51" s="1208">
        <v>0</v>
      </c>
      <c r="E51" s="1227">
        <v>0</v>
      </c>
      <c r="F51" s="1227">
        <v>0</v>
      </c>
      <c r="G51" s="1227"/>
      <c r="H51" s="1227"/>
      <c r="I51" s="1227">
        <v>0</v>
      </c>
      <c r="J51" s="1227">
        <v>0</v>
      </c>
      <c r="K51" s="1227">
        <v>0</v>
      </c>
      <c r="L51" s="1227"/>
      <c r="M51" s="1227">
        <v>0</v>
      </c>
      <c r="N51" s="1208">
        <v>0</v>
      </c>
      <c r="O51" s="1227">
        <v>0</v>
      </c>
      <c r="P51" s="1227">
        <v>13830832.15</v>
      </c>
      <c r="Q51" s="1219">
        <v>0</v>
      </c>
      <c r="R51" s="1208">
        <v>0</v>
      </c>
      <c r="S51" s="1208">
        <v>0</v>
      </c>
      <c r="T51" s="1227">
        <v>0</v>
      </c>
      <c r="U51" s="1208">
        <v>0</v>
      </c>
      <c r="V51" s="1208">
        <v>0</v>
      </c>
      <c r="W51" s="1219">
        <v>0</v>
      </c>
      <c r="X51" s="1229">
        <f t="shared" si="8"/>
        <v>13830832.15</v>
      </c>
      <c r="Y51" s="901">
        <f t="shared" si="9"/>
        <v>0</v>
      </c>
      <c r="Z51" s="458">
        <v>0</v>
      </c>
      <c r="AA51" s="458">
        <v>0</v>
      </c>
      <c r="AB51" s="458">
        <v>0</v>
      </c>
      <c r="AC51" s="461"/>
      <c r="AD51" s="458">
        <v>0</v>
      </c>
      <c r="AE51" s="458"/>
      <c r="AF51" s="458">
        <v>0</v>
      </c>
      <c r="AG51" s="458"/>
      <c r="AH51" s="458">
        <v>0</v>
      </c>
      <c r="AI51" s="458"/>
      <c r="AJ51" s="458">
        <v>0</v>
      </c>
      <c r="AK51" s="458"/>
      <c r="AL51" s="458">
        <v>0</v>
      </c>
      <c r="AM51" s="461"/>
      <c r="AN51" s="461">
        <f t="shared" si="10"/>
        <v>27661664.300000001</v>
      </c>
      <c r="AO51" s="454"/>
      <c r="AP51" s="454"/>
      <c r="AQ51" s="454"/>
      <c r="AR51" s="454"/>
      <c r="AS51" s="454"/>
      <c r="AT51" s="454"/>
      <c r="AU51" s="454"/>
      <c r="AV51" s="454"/>
      <c r="AW51" s="454"/>
      <c r="AX51" s="454"/>
      <c r="AY51" s="454"/>
    </row>
    <row r="52" spans="1:51" s="417" customFormat="1" ht="20.100000000000001" hidden="1" customHeight="1">
      <c r="A52" s="417" t="s">
        <v>452</v>
      </c>
      <c r="C52" s="1305"/>
      <c r="D52" s="1208" t="s">
        <v>58</v>
      </c>
      <c r="E52" s="1227">
        <v>0</v>
      </c>
      <c r="F52" s="1227">
        <v>0</v>
      </c>
      <c r="G52" s="1227"/>
      <c r="H52" s="1227"/>
      <c r="I52" s="1227">
        <v>0</v>
      </c>
      <c r="J52" s="1227">
        <v>0</v>
      </c>
      <c r="K52" s="1228"/>
      <c r="L52" s="1227"/>
      <c r="M52" s="1227">
        <v>0</v>
      </c>
      <c r="N52" s="1208">
        <v>0</v>
      </c>
      <c r="O52" s="1227">
        <v>0</v>
      </c>
      <c r="P52" s="1227"/>
      <c r="Q52" s="1219">
        <v>0</v>
      </c>
      <c r="R52" s="1210"/>
      <c r="S52" s="1208"/>
      <c r="T52" s="1227">
        <v>0</v>
      </c>
      <c r="U52" s="1208"/>
      <c r="V52" s="1208">
        <v>0</v>
      </c>
      <c r="W52" s="1220"/>
      <c r="X52" s="1229">
        <f t="shared" si="8"/>
        <v>0</v>
      </c>
      <c r="Y52" s="901">
        <f t="shared" si="9"/>
        <v>0</v>
      </c>
      <c r="Z52" s="458">
        <v>0</v>
      </c>
      <c r="AA52" s="460"/>
      <c r="AB52" s="458">
        <v>0</v>
      </c>
      <c r="AC52" s="461"/>
      <c r="AD52" s="458">
        <v>0</v>
      </c>
      <c r="AE52" s="458"/>
      <c r="AF52" s="458">
        <v>0</v>
      </c>
      <c r="AG52" s="458"/>
      <c r="AH52" s="458">
        <v>0</v>
      </c>
      <c r="AI52" s="458"/>
      <c r="AJ52" s="458">
        <v>0</v>
      </c>
      <c r="AK52" s="458"/>
      <c r="AL52" s="458">
        <v>0</v>
      </c>
      <c r="AM52" s="461"/>
      <c r="AN52" s="461">
        <f t="shared" si="10"/>
        <v>0</v>
      </c>
      <c r="AO52" s="454"/>
      <c r="AP52" s="454"/>
      <c r="AQ52" s="454"/>
      <c r="AR52" s="454"/>
      <c r="AS52" s="454"/>
      <c r="AT52" s="454"/>
      <c r="AU52" s="454"/>
      <c r="AV52" s="454"/>
      <c r="AW52" s="454"/>
      <c r="AX52" s="454"/>
      <c r="AY52" s="454"/>
    </row>
    <row r="53" spans="1:51" s="417" customFormat="1" ht="20.100000000000001" hidden="1" customHeight="1">
      <c r="A53" s="417" t="s">
        <v>453</v>
      </c>
      <c r="C53" s="1305"/>
      <c r="D53" s="1208" t="s">
        <v>58</v>
      </c>
      <c r="E53" s="1227">
        <v>0</v>
      </c>
      <c r="F53" s="1227">
        <v>0</v>
      </c>
      <c r="G53" s="1227"/>
      <c r="H53" s="1227"/>
      <c r="I53" s="1227">
        <v>0</v>
      </c>
      <c r="J53" s="1227">
        <v>0</v>
      </c>
      <c r="K53" s="1228"/>
      <c r="L53" s="1227"/>
      <c r="M53" s="1227">
        <v>0</v>
      </c>
      <c r="N53" s="1208">
        <v>0</v>
      </c>
      <c r="O53" s="1227">
        <v>0</v>
      </c>
      <c r="P53" s="1227"/>
      <c r="Q53" s="1219">
        <v>0</v>
      </c>
      <c r="R53" s="1210"/>
      <c r="S53" s="1208"/>
      <c r="T53" s="1227">
        <v>0</v>
      </c>
      <c r="U53" s="1208"/>
      <c r="V53" s="1208">
        <v>0</v>
      </c>
      <c r="W53" s="1220"/>
      <c r="X53" s="1229">
        <f t="shared" si="8"/>
        <v>0</v>
      </c>
      <c r="Y53" s="901">
        <f t="shared" si="9"/>
        <v>0</v>
      </c>
      <c r="Z53" s="458">
        <v>0</v>
      </c>
      <c r="AA53" s="460"/>
      <c r="AB53" s="458">
        <v>0</v>
      </c>
      <c r="AC53" s="461"/>
      <c r="AD53" s="458">
        <v>0</v>
      </c>
      <c r="AE53" s="458"/>
      <c r="AF53" s="458">
        <v>0</v>
      </c>
      <c r="AG53" s="458"/>
      <c r="AH53" s="458">
        <v>0</v>
      </c>
      <c r="AI53" s="458"/>
      <c r="AJ53" s="458">
        <v>0</v>
      </c>
      <c r="AK53" s="458"/>
      <c r="AL53" s="458">
        <v>0</v>
      </c>
      <c r="AM53" s="461"/>
      <c r="AN53" s="461">
        <f t="shared" si="10"/>
        <v>0</v>
      </c>
      <c r="AO53" s="454"/>
      <c r="AP53" s="454"/>
      <c r="AQ53" s="454"/>
      <c r="AR53" s="454"/>
      <c r="AS53" s="454"/>
      <c r="AT53" s="454"/>
      <c r="AU53" s="454"/>
      <c r="AV53" s="454"/>
      <c r="AW53" s="454"/>
      <c r="AX53" s="454"/>
      <c r="AY53" s="454"/>
    </row>
    <row r="54" spans="1:51" ht="13.9" hidden="1" customHeight="1">
      <c r="D54" s="1208" t="s">
        <v>58</v>
      </c>
      <c r="E54" s="1226"/>
      <c r="F54" s="1226"/>
      <c r="G54" s="1226"/>
      <c r="H54" s="1226"/>
      <c r="I54" s="1226"/>
      <c r="J54" s="1226"/>
      <c r="K54" s="1226"/>
      <c r="L54" s="1226"/>
      <c r="M54" s="1226"/>
      <c r="N54" s="1207"/>
      <c r="O54" s="1226"/>
      <c r="P54" s="1226"/>
      <c r="Q54" s="1205"/>
      <c r="R54" s="1206"/>
      <c r="S54" s="1207"/>
      <c r="T54" s="1226"/>
      <c r="U54" s="1207"/>
      <c r="V54" s="1206"/>
      <c r="W54" s="1205"/>
      <c r="X54" s="1229">
        <f t="shared" si="8"/>
        <v>0</v>
      </c>
      <c r="Y54" s="901">
        <f t="shared" si="9"/>
        <v>0</v>
      </c>
      <c r="Z54" s="389"/>
      <c r="AA54" s="389"/>
      <c r="AB54" s="389"/>
      <c r="AC54" s="389"/>
      <c r="AD54" s="389"/>
      <c r="AE54" s="389"/>
      <c r="AF54" s="389"/>
      <c r="AG54" s="389"/>
      <c r="AH54" s="389"/>
      <c r="AI54" s="389"/>
      <c r="AJ54" s="389"/>
      <c r="AK54" s="389"/>
      <c r="AL54" s="389"/>
      <c r="AM54" s="389"/>
      <c r="AN54" s="461">
        <f t="shared" si="10"/>
        <v>0</v>
      </c>
    </row>
    <row r="55" spans="1:51" ht="18" hidden="1" customHeight="1">
      <c r="A55" s="417" t="s">
        <v>796</v>
      </c>
      <c r="D55" s="1208" t="s">
        <v>58</v>
      </c>
      <c r="E55" s="1227">
        <v>0</v>
      </c>
      <c r="F55" s="1227">
        <v>0</v>
      </c>
      <c r="G55" s="1227"/>
      <c r="H55" s="1227"/>
      <c r="I55" s="1227">
        <v>0</v>
      </c>
      <c r="J55" s="1227">
        <v>0</v>
      </c>
      <c r="K55" s="1226"/>
      <c r="L55" s="1227"/>
      <c r="M55" s="1227">
        <v>0</v>
      </c>
      <c r="N55" s="1208">
        <v>0</v>
      </c>
      <c r="O55" s="1227">
        <v>0</v>
      </c>
      <c r="P55" s="1227"/>
      <c r="Q55" s="1219">
        <v>0</v>
      </c>
      <c r="R55" s="1207"/>
      <c r="S55" s="1208"/>
      <c r="T55" s="1227">
        <v>0</v>
      </c>
      <c r="U55" s="1208"/>
      <c r="V55" s="1208">
        <v>0</v>
      </c>
      <c r="W55" s="1222"/>
      <c r="X55" s="1229">
        <f t="shared" si="8"/>
        <v>0</v>
      </c>
      <c r="Y55" s="901">
        <f t="shared" si="9"/>
        <v>0</v>
      </c>
      <c r="Z55" s="458">
        <v>0</v>
      </c>
      <c r="AA55" s="389"/>
      <c r="AB55" s="458">
        <v>0</v>
      </c>
      <c r="AC55" s="461"/>
      <c r="AD55" s="458">
        <v>0</v>
      </c>
      <c r="AE55" s="458"/>
      <c r="AF55" s="458">
        <v>0</v>
      </c>
      <c r="AG55" s="458"/>
      <c r="AH55" s="458">
        <v>0</v>
      </c>
      <c r="AI55" s="458"/>
      <c r="AJ55" s="458">
        <v>0</v>
      </c>
      <c r="AK55" s="458"/>
      <c r="AL55" s="458">
        <v>0</v>
      </c>
      <c r="AM55" s="389"/>
      <c r="AN55" s="461">
        <f t="shared" si="10"/>
        <v>0</v>
      </c>
    </row>
    <row r="56" spans="1:51" s="417" customFormat="1" ht="20.100000000000001" customHeight="1">
      <c r="A56" s="417" t="s">
        <v>454</v>
      </c>
      <c r="C56" s="1305"/>
      <c r="D56" s="1208">
        <v>38126459.609999999</v>
      </c>
      <c r="E56" s="1227">
        <v>0</v>
      </c>
      <c r="F56" s="1227">
        <v>0</v>
      </c>
      <c r="G56" s="1227">
        <v>0</v>
      </c>
      <c r="H56" s="1227">
        <v>0</v>
      </c>
      <c r="I56" s="1227">
        <v>0</v>
      </c>
      <c r="J56" s="1227">
        <v>8438617.6400000006</v>
      </c>
      <c r="K56" s="1228">
        <v>889492</v>
      </c>
      <c r="L56" s="1227">
        <v>0</v>
      </c>
      <c r="M56" s="1227">
        <v>0</v>
      </c>
      <c r="N56" s="1208">
        <v>0</v>
      </c>
      <c r="O56" s="1227">
        <v>0</v>
      </c>
      <c r="P56" s="1227">
        <v>0</v>
      </c>
      <c r="Q56" s="1219">
        <v>0</v>
      </c>
      <c r="R56" s="1208">
        <v>0</v>
      </c>
      <c r="S56" s="1208">
        <v>0</v>
      </c>
      <c r="T56" s="1227">
        <v>0</v>
      </c>
      <c r="U56" s="1208">
        <v>0</v>
      </c>
      <c r="V56" s="1208">
        <v>0</v>
      </c>
      <c r="W56" s="1219">
        <v>0</v>
      </c>
      <c r="X56" s="1229">
        <f t="shared" si="8"/>
        <v>47454569.25</v>
      </c>
      <c r="Y56" s="901">
        <f t="shared" si="9"/>
        <v>0</v>
      </c>
      <c r="Z56" s="458">
        <v>0</v>
      </c>
      <c r="AA56" s="460">
        <f>ROUND(Cemtery!L22,2)</f>
        <v>1250259</v>
      </c>
      <c r="AB56" s="458">
        <v>0</v>
      </c>
      <c r="AC56" s="461"/>
      <c r="AD56" s="458" t="e">
        <f>ROUND(#REF!,2)</f>
        <v>#REF!</v>
      </c>
      <c r="AE56" s="458"/>
      <c r="AF56" s="458">
        <v>0</v>
      </c>
      <c r="AG56" s="458"/>
      <c r="AH56" s="458">
        <v>0</v>
      </c>
      <c r="AI56" s="458"/>
      <c r="AJ56" s="458">
        <v>0</v>
      </c>
      <c r="AK56" s="458"/>
      <c r="AL56" s="458">
        <v>0</v>
      </c>
      <c r="AM56" s="461"/>
      <c r="AN56" s="461" t="e">
        <f t="shared" si="10"/>
        <v>#REF!</v>
      </c>
      <c r="AO56" s="454"/>
      <c r="AP56" s="454"/>
      <c r="AQ56" s="454"/>
      <c r="AR56" s="454"/>
      <c r="AS56" s="454"/>
      <c r="AT56" s="454"/>
      <c r="AU56" s="454"/>
      <c r="AV56" s="454"/>
      <c r="AW56" s="454"/>
      <c r="AX56" s="454"/>
      <c r="AY56" s="454"/>
    </row>
    <row r="57" spans="1:51" s="417" customFormat="1" ht="19.5" hidden="1" customHeight="1">
      <c r="A57" s="417" t="s">
        <v>455</v>
      </c>
      <c r="C57" s="1305"/>
      <c r="D57" s="1208" t="s">
        <v>58</v>
      </c>
      <c r="E57" s="1228"/>
      <c r="F57" s="1227">
        <v>0</v>
      </c>
      <c r="G57" s="1227"/>
      <c r="H57" s="1227"/>
      <c r="I57" s="1227">
        <v>0</v>
      </c>
      <c r="J57" s="1227">
        <v>0</v>
      </c>
      <c r="K57" s="1228"/>
      <c r="L57" s="1227"/>
      <c r="M57" s="1227">
        <v>0</v>
      </c>
      <c r="N57" s="1208"/>
      <c r="O57" s="1227">
        <v>0</v>
      </c>
      <c r="P57" s="1227"/>
      <c r="Q57" s="1219"/>
      <c r="R57" s="1210"/>
      <c r="S57" s="1208"/>
      <c r="T57" s="1227">
        <v>0</v>
      </c>
      <c r="U57" s="1208"/>
      <c r="V57" s="1210"/>
      <c r="W57" s="1220"/>
      <c r="X57" s="1229">
        <f t="shared" si="8"/>
        <v>0</v>
      </c>
      <c r="Y57" s="901">
        <f t="shared" si="9"/>
        <v>0</v>
      </c>
      <c r="Z57" s="460"/>
      <c r="AA57" s="460"/>
      <c r="AB57" s="458">
        <v>0</v>
      </c>
      <c r="AC57" s="461"/>
      <c r="AD57" s="458">
        <v>0</v>
      </c>
      <c r="AE57" s="458"/>
      <c r="AF57" s="458">
        <v>0</v>
      </c>
      <c r="AG57" s="458"/>
      <c r="AH57" s="458">
        <v>0</v>
      </c>
      <c r="AI57" s="458"/>
      <c r="AJ57" s="458">
        <v>0</v>
      </c>
      <c r="AK57" s="458"/>
      <c r="AL57" s="458">
        <v>0</v>
      </c>
      <c r="AM57" s="461"/>
      <c r="AN57" s="461">
        <f t="shared" si="10"/>
        <v>0</v>
      </c>
      <c r="AO57" s="454"/>
      <c r="AP57" s="454"/>
      <c r="AQ57" s="454"/>
      <c r="AR57" s="454"/>
      <c r="AS57" s="454"/>
      <c r="AT57" s="454"/>
      <c r="AU57" s="454"/>
      <c r="AV57" s="454"/>
      <c r="AW57" s="454"/>
      <c r="AX57" s="454"/>
      <c r="AY57" s="454"/>
    </row>
    <row r="58" spans="1:51" s="417" customFormat="1" ht="20.100000000000001" customHeight="1">
      <c r="A58" s="417" t="s">
        <v>456</v>
      </c>
      <c r="C58" s="1305"/>
      <c r="D58" s="1208">
        <v>88918541.209999993</v>
      </c>
      <c r="E58" s="1227">
        <v>0</v>
      </c>
      <c r="F58" s="1227">
        <v>0</v>
      </c>
      <c r="G58" s="1227">
        <v>0</v>
      </c>
      <c r="H58" s="1227">
        <v>0</v>
      </c>
      <c r="I58" s="1227">
        <v>0</v>
      </c>
      <c r="J58" s="1227">
        <v>0</v>
      </c>
      <c r="K58" s="1227">
        <v>0</v>
      </c>
      <c r="L58" s="1227">
        <v>0</v>
      </c>
      <c r="M58" s="1227">
        <v>0</v>
      </c>
      <c r="N58" s="1208">
        <v>0</v>
      </c>
      <c r="O58" s="1227">
        <v>0</v>
      </c>
      <c r="P58" s="1227">
        <v>0</v>
      </c>
      <c r="Q58" s="1219">
        <v>0</v>
      </c>
      <c r="R58" s="1208">
        <v>0</v>
      </c>
      <c r="S58" s="1208">
        <v>1741096.49</v>
      </c>
      <c r="T58" s="1227">
        <v>0</v>
      </c>
      <c r="U58" s="1208">
        <v>800000</v>
      </c>
      <c r="V58" s="1208">
        <v>0</v>
      </c>
      <c r="W58" s="1219">
        <v>0</v>
      </c>
      <c r="X58" s="1229">
        <f t="shared" si="8"/>
        <v>91459637.699999988</v>
      </c>
      <c r="Y58" s="901">
        <f t="shared" si="9"/>
        <v>0</v>
      </c>
      <c r="Z58" s="458">
        <v>0</v>
      </c>
      <c r="AA58" s="458">
        <v>0</v>
      </c>
      <c r="AB58" s="458">
        <v>0</v>
      </c>
      <c r="AC58" s="461"/>
      <c r="AD58" s="458">
        <v>0</v>
      </c>
      <c r="AE58" s="458"/>
      <c r="AF58" s="458">
        <v>0</v>
      </c>
      <c r="AG58" s="458"/>
      <c r="AH58" s="458">
        <v>0</v>
      </c>
      <c r="AI58" s="458"/>
      <c r="AJ58" s="458">
        <v>0</v>
      </c>
      <c r="AK58" s="458"/>
      <c r="AL58" s="458">
        <v>0</v>
      </c>
      <c r="AM58" s="461"/>
      <c r="AN58" s="461">
        <f t="shared" si="10"/>
        <v>182919275.39999998</v>
      </c>
      <c r="AO58" s="454"/>
      <c r="AP58" s="454"/>
      <c r="AQ58" s="454"/>
      <c r="AR58" s="454"/>
      <c r="AS58" s="454"/>
      <c r="AT58" s="454"/>
      <c r="AU58" s="454"/>
      <c r="AV58" s="454"/>
      <c r="AW58" s="454"/>
      <c r="AX58" s="454"/>
      <c r="AY58" s="454"/>
    </row>
    <row r="59" spans="1:51" s="417" customFormat="1" ht="20.100000000000001" hidden="1" customHeight="1">
      <c r="A59" s="417" t="s">
        <v>457</v>
      </c>
      <c r="C59" s="1305"/>
      <c r="D59" s="1208" t="s">
        <v>58</v>
      </c>
      <c r="E59" s="1227">
        <v>0</v>
      </c>
      <c r="F59" s="1227"/>
      <c r="G59" s="1227"/>
      <c r="H59" s="1227"/>
      <c r="I59" s="1227"/>
      <c r="J59" s="1227"/>
      <c r="K59" s="1227">
        <v>0</v>
      </c>
      <c r="L59" s="1227"/>
      <c r="M59" s="1227"/>
      <c r="N59" s="1208">
        <v>0</v>
      </c>
      <c r="O59" s="1227"/>
      <c r="P59" s="1227"/>
      <c r="Q59" s="1219">
        <v>0</v>
      </c>
      <c r="R59" s="1208">
        <v>0</v>
      </c>
      <c r="S59" s="1208"/>
      <c r="T59" s="1227"/>
      <c r="U59" s="1208"/>
      <c r="V59" s="1208">
        <v>0</v>
      </c>
      <c r="W59" s="1219">
        <v>0</v>
      </c>
      <c r="X59" s="1229">
        <f t="shared" si="8"/>
        <v>0</v>
      </c>
      <c r="Y59" s="901">
        <f t="shared" si="9"/>
        <v>0</v>
      </c>
      <c r="Z59" s="458">
        <v>0</v>
      </c>
      <c r="AA59" s="458">
        <v>0</v>
      </c>
      <c r="AB59" s="458"/>
      <c r="AC59" s="461"/>
      <c r="AD59" s="458"/>
      <c r="AE59" s="458"/>
      <c r="AF59" s="458"/>
      <c r="AG59" s="458"/>
      <c r="AH59" s="458"/>
      <c r="AI59" s="458"/>
      <c r="AJ59" s="458"/>
      <c r="AK59" s="458"/>
      <c r="AL59" s="458"/>
      <c r="AM59" s="461"/>
      <c r="AN59" s="461">
        <f t="shared" si="10"/>
        <v>0</v>
      </c>
      <c r="AO59" s="454"/>
      <c r="AP59" s="454"/>
      <c r="AQ59" s="454"/>
      <c r="AR59" s="454"/>
      <c r="AS59" s="454"/>
      <c r="AT59" s="454"/>
      <c r="AU59" s="454"/>
      <c r="AV59" s="454"/>
      <c r="AW59" s="454"/>
      <c r="AX59" s="454"/>
      <c r="AY59" s="454"/>
    </row>
    <row r="60" spans="1:51" s="417" customFormat="1" ht="20.100000000000001" hidden="1" customHeight="1">
      <c r="A60" s="417" t="s">
        <v>458</v>
      </c>
      <c r="C60" s="1305"/>
      <c r="D60" s="1208" t="s">
        <v>58</v>
      </c>
      <c r="E60" s="1227">
        <v>0</v>
      </c>
      <c r="F60" s="1227"/>
      <c r="G60" s="1227"/>
      <c r="H60" s="1227"/>
      <c r="I60" s="1227"/>
      <c r="J60" s="1227"/>
      <c r="K60" s="1227">
        <v>0</v>
      </c>
      <c r="L60" s="1227"/>
      <c r="M60" s="1227"/>
      <c r="N60" s="1208">
        <v>0</v>
      </c>
      <c r="O60" s="1227"/>
      <c r="P60" s="1227"/>
      <c r="Q60" s="1219">
        <v>0</v>
      </c>
      <c r="R60" s="1208">
        <v>0</v>
      </c>
      <c r="S60" s="1208"/>
      <c r="T60" s="1227"/>
      <c r="U60" s="1208"/>
      <c r="V60" s="1208">
        <v>0</v>
      </c>
      <c r="W60" s="1219">
        <v>0</v>
      </c>
      <c r="X60" s="1229">
        <f t="shared" si="8"/>
        <v>0</v>
      </c>
      <c r="Y60" s="901">
        <f t="shared" si="9"/>
        <v>0</v>
      </c>
      <c r="Z60" s="458">
        <v>0</v>
      </c>
      <c r="AA60" s="458">
        <v>0</v>
      </c>
      <c r="AB60" s="458"/>
      <c r="AC60" s="461"/>
      <c r="AD60" s="458"/>
      <c r="AE60" s="458"/>
      <c r="AF60" s="458"/>
      <c r="AG60" s="458"/>
      <c r="AH60" s="458"/>
      <c r="AI60" s="458"/>
      <c r="AJ60" s="458"/>
      <c r="AK60" s="458"/>
      <c r="AL60" s="458"/>
      <c r="AM60" s="461"/>
      <c r="AN60" s="461">
        <f t="shared" si="10"/>
        <v>0</v>
      </c>
      <c r="AO60" s="454"/>
      <c r="AP60" s="454"/>
      <c r="AQ60" s="454"/>
      <c r="AR60" s="454"/>
      <c r="AS60" s="454"/>
      <c r="AT60" s="454"/>
      <c r="AU60" s="454"/>
      <c r="AV60" s="454"/>
      <c r="AW60" s="454"/>
      <c r="AX60" s="454"/>
      <c r="AY60" s="454"/>
    </row>
    <row r="61" spans="1:51" s="417" customFormat="1" ht="20.100000000000001" customHeight="1">
      <c r="A61" s="417" t="s">
        <v>459</v>
      </c>
      <c r="C61" s="1305"/>
      <c r="D61" s="1208">
        <v>5626843.0899999999</v>
      </c>
      <c r="E61" s="1227">
        <v>0</v>
      </c>
      <c r="F61" s="1227">
        <v>83518005</v>
      </c>
      <c r="G61" s="1227">
        <f>18178462.03</f>
        <v>18178462.030000001</v>
      </c>
      <c r="H61" s="1227">
        <v>0</v>
      </c>
      <c r="I61" s="1227">
        <v>0</v>
      </c>
      <c r="J61" s="1227">
        <v>11697822.220000001</v>
      </c>
      <c r="K61" s="1227">
        <v>0</v>
      </c>
      <c r="L61" s="1227">
        <v>0</v>
      </c>
      <c r="M61" s="1227">
        <v>0</v>
      </c>
      <c r="N61" s="1208">
        <v>0</v>
      </c>
      <c r="O61" s="1227">
        <v>5186261.63</v>
      </c>
      <c r="P61" s="1227">
        <v>0</v>
      </c>
      <c r="Q61" s="1219">
        <v>0</v>
      </c>
      <c r="R61" s="1208">
        <v>0</v>
      </c>
      <c r="S61" s="1208">
        <v>0</v>
      </c>
      <c r="T61" s="1227">
        <v>0</v>
      </c>
      <c r="U61" s="1208">
        <v>0</v>
      </c>
      <c r="V61" s="1208">
        <v>0</v>
      </c>
      <c r="W61" s="1219">
        <v>0</v>
      </c>
      <c r="X61" s="1229">
        <f t="shared" si="8"/>
        <v>124207393.97</v>
      </c>
      <c r="Y61" s="901">
        <f t="shared" si="9"/>
        <v>0</v>
      </c>
      <c r="Z61" s="458">
        <v>0</v>
      </c>
      <c r="AA61" s="458">
        <v>0</v>
      </c>
      <c r="AB61" s="458">
        <v>0</v>
      </c>
      <c r="AC61" s="461"/>
      <c r="AD61" s="458" t="e">
        <f>ROUND(#REF!,2)</f>
        <v>#REF!</v>
      </c>
      <c r="AE61" s="458"/>
      <c r="AF61" s="458">
        <f>ROUND('Water and Sewer'!L29+'Central Region'!L28-'Water and Sewer'!L27-'Central Region'!L26-'Water and Sewer'!L25-'Central Region'!L25,2)</f>
        <v>98641940.849999994</v>
      </c>
      <c r="AG61" s="458"/>
      <c r="AH61" s="458">
        <f>ROUND(Stormwater!L28-Stormwater!L26,2)</f>
        <v>6029886.1600000001</v>
      </c>
      <c r="AI61" s="458"/>
      <c r="AJ61" s="458">
        <v>0</v>
      </c>
      <c r="AK61" s="458"/>
      <c r="AL61" s="458">
        <v>0</v>
      </c>
      <c r="AM61" s="461"/>
      <c r="AN61" s="461" t="e">
        <f t="shared" si="10"/>
        <v>#REF!</v>
      </c>
      <c r="AO61" s="454"/>
      <c r="AP61" s="454"/>
      <c r="AQ61" s="454"/>
      <c r="AR61" s="454"/>
      <c r="AS61" s="454"/>
      <c r="AT61" s="454"/>
      <c r="AU61" s="454"/>
      <c r="AV61" s="454"/>
      <c r="AW61" s="454"/>
      <c r="AX61" s="454"/>
      <c r="AY61" s="454"/>
    </row>
    <row r="62" spans="1:51" s="417" customFormat="1" ht="20.100000000000001" customHeight="1">
      <c r="A62" s="417" t="s">
        <v>570</v>
      </c>
      <c r="C62" s="1305"/>
      <c r="D62" s="1208">
        <v>6362018.1299999999</v>
      </c>
      <c r="E62" s="1228">
        <v>0</v>
      </c>
      <c r="F62" s="1227">
        <v>0</v>
      </c>
      <c r="G62" s="1227">
        <v>0</v>
      </c>
      <c r="H62" s="1227">
        <v>0</v>
      </c>
      <c r="I62" s="1227">
        <v>0</v>
      </c>
      <c r="J62" s="1227">
        <v>0</v>
      </c>
      <c r="K62" s="1228">
        <v>0</v>
      </c>
      <c r="L62" s="1227">
        <v>0</v>
      </c>
      <c r="M62" s="1227">
        <v>0</v>
      </c>
      <c r="N62" s="1210">
        <v>6352542.7000000002</v>
      </c>
      <c r="O62" s="1227">
        <v>0</v>
      </c>
      <c r="P62" s="1227">
        <v>0</v>
      </c>
      <c r="Q62" s="1210">
        <v>11632668</v>
      </c>
      <c r="R62" s="1208">
        <v>3273952.21</v>
      </c>
      <c r="S62" s="1210">
        <v>0</v>
      </c>
      <c r="T62" s="1227">
        <v>0</v>
      </c>
      <c r="U62" s="1210">
        <v>0</v>
      </c>
      <c r="V62" s="1208">
        <v>684031.91</v>
      </c>
      <c r="W62" s="1220">
        <v>0</v>
      </c>
      <c r="X62" s="1229">
        <f t="shared" si="8"/>
        <v>28305212.949999999</v>
      </c>
      <c r="Y62" s="901">
        <f t="shared" si="9"/>
        <v>0</v>
      </c>
      <c r="Z62" s="460">
        <v>0</v>
      </c>
      <c r="AA62" s="460">
        <v>0</v>
      </c>
      <c r="AB62" s="458">
        <v>0</v>
      </c>
      <c r="AC62" s="461"/>
      <c r="AD62" s="458">
        <v>0</v>
      </c>
      <c r="AE62" s="458"/>
      <c r="AF62" s="458">
        <v>0</v>
      </c>
      <c r="AG62" s="458"/>
      <c r="AH62" s="458">
        <v>0</v>
      </c>
      <c r="AI62" s="458"/>
      <c r="AJ62" s="458">
        <v>0</v>
      </c>
      <c r="AK62" s="458"/>
      <c r="AL62" s="458">
        <v>0</v>
      </c>
      <c r="AM62" s="461"/>
      <c r="AN62" s="461">
        <f t="shared" si="10"/>
        <v>56610425.899999999</v>
      </c>
      <c r="AO62" s="454"/>
      <c r="AP62" s="454"/>
      <c r="AQ62" s="454"/>
      <c r="AR62" s="454"/>
      <c r="AS62" s="454"/>
      <c r="AT62" s="454"/>
      <c r="AU62" s="454"/>
      <c r="AV62" s="454"/>
      <c r="AW62" s="454"/>
      <c r="AX62" s="454"/>
      <c r="AY62" s="454"/>
    </row>
    <row r="63" spans="1:51" s="417" customFormat="1" ht="20.100000000000001" customHeight="1">
      <c r="A63" s="417" t="s">
        <v>476</v>
      </c>
      <c r="C63" s="1305"/>
      <c r="D63" s="1208">
        <v>1282571.5</v>
      </c>
      <c r="E63" s="1227">
        <v>0</v>
      </c>
      <c r="F63" s="1227">
        <v>0</v>
      </c>
      <c r="G63" s="1227">
        <v>0</v>
      </c>
      <c r="H63" s="1227">
        <v>0</v>
      </c>
      <c r="I63" s="1227">
        <v>14050869.43</v>
      </c>
      <c r="J63" s="1227">
        <v>0</v>
      </c>
      <c r="K63" s="1227">
        <v>0</v>
      </c>
      <c r="L63" s="1227">
        <v>0</v>
      </c>
      <c r="M63" s="1227">
        <v>7160710.6100000003</v>
      </c>
      <c r="N63" s="1208">
        <v>0</v>
      </c>
      <c r="O63" s="1227">
        <v>0</v>
      </c>
      <c r="P63" s="1227">
        <v>0</v>
      </c>
      <c r="Q63" s="1208">
        <v>0</v>
      </c>
      <c r="R63" s="1208">
        <v>0</v>
      </c>
      <c r="S63" s="1208">
        <v>0</v>
      </c>
      <c r="T63" s="1227">
        <v>1451345</v>
      </c>
      <c r="U63" s="1208">
        <v>0</v>
      </c>
      <c r="V63" s="1208">
        <v>0</v>
      </c>
      <c r="W63" s="1219">
        <v>0</v>
      </c>
      <c r="X63" s="1229">
        <f t="shared" si="8"/>
        <v>23945496.539999999</v>
      </c>
      <c r="Y63" s="901">
        <f t="shared" si="9"/>
        <v>0</v>
      </c>
      <c r="Z63" s="458">
        <v>0</v>
      </c>
      <c r="AA63" s="458">
        <v>0</v>
      </c>
      <c r="AB63" s="458">
        <f>ROUND('Arts Science District Garage'!L25,2)</f>
        <v>1160554.8400000001</v>
      </c>
      <c r="AC63" s="461"/>
      <c r="AD63" s="458">
        <v>0</v>
      </c>
      <c r="AE63" s="458"/>
      <c r="AF63" s="458">
        <v>0</v>
      </c>
      <c r="AG63" s="458"/>
      <c r="AH63" s="458">
        <v>0</v>
      </c>
      <c r="AI63" s="458"/>
      <c r="AJ63" s="458">
        <f>ROUND('Parking System'!L29-'Parking System'!L27,2)</f>
        <v>21750117.719999999</v>
      </c>
      <c r="AK63" s="458"/>
      <c r="AL63" s="458">
        <f>ROUND(Airport!L28-Airport!L26,2)</f>
        <v>7966110.5999999996</v>
      </c>
      <c r="AM63" s="461"/>
      <c r="AN63" s="461">
        <f t="shared" si="10"/>
        <v>78767776.239999995</v>
      </c>
      <c r="AO63" s="454"/>
      <c r="AP63" s="454"/>
      <c r="AQ63" s="454"/>
      <c r="AR63" s="454"/>
      <c r="AS63" s="454"/>
      <c r="AT63" s="454"/>
      <c r="AU63" s="454"/>
      <c r="AV63" s="454"/>
      <c r="AW63" s="454"/>
      <c r="AX63" s="454"/>
      <c r="AY63" s="454"/>
    </row>
    <row r="64" spans="1:51" s="417" customFormat="1" ht="25.15" hidden="1" customHeight="1">
      <c r="A64" s="417" t="s">
        <v>16</v>
      </c>
      <c r="C64" s="1305"/>
      <c r="D64" s="1208" t="s">
        <v>58</v>
      </c>
      <c r="E64" s="1227"/>
      <c r="F64" s="1227"/>
      <c r="G64" s="1227"/>
      <c r="H64" s="1227"/>
      <c r="I64" s="1227"/>
      <c r="J64" s="1227"/>
      <c r="K64" s="1227"/>
      <c r="L64" s="1227"/>
      <c r="M64" s="1227"/>
      <c r="N64" s="1210"/>
      <c r="O64" s="1227"/>
      <c r="P64" s="1227"/>
      <c r="Q64" s="1210"/>
      <c r="R64" s="1210"/>
      <c r="S64" s="1210"/>
      <c r="T64" s="1227"/>
      <c r="U64" s="1210"/>
      <c r="V64" s="1210"/>
      <c r="W64" s="1220"/>
      <c r="X64" s="1229">
        <f t="shared" si="8"/>
        <v>0</v>
      </c>
      <c r="Y64" s="901">
        <f t="shared" si="9"/>
        <v>0</v>
      </c>
      <c r="Z64" s="458" t="s">
        <v>58</v>
      </c>
      <c r="AA64" s="458"/>
      <c r="AB64" s="458"/>
      <c r="AC64" s="467"/>
      <c r="AD64" s="458"/>
      <c r="AE64" s="458"/>
      <c r="AF64" s="458"/>
      <c r="AG64" s="458"/>
      <c r="AH64" s="458"/>
      <c r="AI64" s="458"/>
      <c r="AJ64" s="458"/>
      <c r="AK64" s="458"/>
      <c r="AL64" s="458"/>
      <c r="AM64" s="461"/>
      <c r="AN64" s="461">
        <f t="shared" si="10"/>
        <v>0</v>
      </c>
      <c r="AO64" s="454"/>
      <c r="AP64" s="454"/>
      <c r="AQ64" s="454"/>
      <c r="AR64" s="454"/>
      <c r="AS64" s="454"/>
      <c r="AT64" s="454"/>
      <c r="AU64" s="454"/>
      <c r="AV64" s="454"/>
      <c r="AW64" s="454"/>
      <c r="AX64" s="454"/>
      <c r="AY64" s="454"/>
    </row>
    <row r="65" spans="1:51" s="417" customFormat="1" ht="20.100000000000001" hidden="1" customHeight="1">
      <c r="A65" s="417" t="s">
        <v>461</v>
      </c>
      <c r="C65" s="1305"/>
      <c r="D65" s="1210" t="s">
        <v>58</v>
      </c>
      <c r="E65" s="1227"/>
      <c r="F65" s="1227"/>
      <c r="G65" s="1227"/>
      <c r="H65" s="1227"/>
      <c r="I65" s="1227"/>
      <c r="J65" s="1227"/>
      <c r="K65" s="1227"/>
      <c r="L65" s="1227"/>
      <c r="M65" s="1227"/>
      <c r="N65" s="1210"/>
      <c r="O65" s="1227"/>
      <c r="P65" s="1227"/>
      <c r="Q65" s="1210"/>
      <c r="R65" s="1210"/>
      <c r="S65" s="1210"/>
      <c r="T65" s="1227"/>
      <c r="U65" s="1210"/>
      <c r="V65" s="1210"/>
      <c r="W65" s="1220"/>
      <c r="X65" s="1229">
        <f t="shared" si="8"/>
        <v>0</v>
      </c>
      <c r="Y65" s="901">
        <f t="shared" si="9"/>
        <v>0</v>
      </c>
      <c r="Z65" s="458"/>
      <c r="AA65" s="458"/>
      <c r="AB65" s="458"/>
      <c r="AC65" s="467"/>
      <c r="AD65" s="458"/>
      <c r="AE65" s="458"/>
      <c r="AF65" s="458"/>
      <c r="AG65" s="458"/>
      <c r="AH65" s="458"/>
      <c r="AI65" s="458"/>
      <c r="AJ65" s="458"/>
      <c r="AK65" s="458"/>
      <c r="AL65" s="458"/>
      <c r="AM65" s="461"/>
      <c r="AN65" s="461">
        <f t="shared" si="10"/>
        <v>0</v>
      </c>
      <c r="AO65" s="454"/>
      <c r="AP65" s="454"/>
      <c r="AQ65" s="454"/>
      <c r="AR65" s="454"/>
      <c r="AS65" s="454"/>
      <c r="AT65" s="454"/>
      <c r="AU65" s="454"/>
      <c r="AV65" s="454"/>
      <c r="AW65" s="454"/>
      <c r="AX65" s="454"/>
      <c r="AY65" s="454"/>
    </row>
    <row r="66" spans="1:51" s="363" customFormat="1" ht="18.75">
      <c r="A66" s="454" t="s">
        <v>16</v>
      </c>
      <c r="C66" s="710"/>
      <c r="D66" s="1208">
        <v>0</v>
      </c>
      <c r="E66" s="1227">
        <v>47393158</v>
      </c>
      <c r="F66" s="1227">
        <v>33198284</v>
      </c>
      <c r="G66" s="1227">
        <v>0</v>
      </c>
      <c r="H66" s="1227">
        <v>0</v>
      </c>
      <c r="I66" s="1227">
        <v>0</v>
      </c>
      <c r="J66" s="1227">
        <v>0</v>
      </c>
      <c r="K66" s="1227">
        <v>0</v>
      </c>
      <c r="L66" s="1227">
        <v>0</v>
      </c>
      <c r="M66" s="1227">
        <v>0</v>
      </c>
      <c r="N66" s="1208">
        <v>0</v>
      </c>
      <c r="O66" s="1227">
        <v>0</v>
      </c>
      <c r="P66" s="1227">
        <v>0</v>
      </c>
      <c r="Q66" s="1208">
        <v>0</v>
      </c>
      <c r="R66" s="1208">
        <v>0</v>
      </c>
      <c r="S66" s="1208">
        <v>0</v>
      </c>
      <c r="T66" s="1227">
        <v>0</v>
      </c>
      <c r="U66" s="1208">
        <v>0</v>
      </c>
      <c r="V66" s="1208">
        <v>0</v>
      </c>
      <c r="W66" s="1219">
        <v>0</v>
      </c>
      <c r="X66" s="1229">
        <f t="shared" si="8"/>
        <v>80591442</v>
      </c>
      <c r="Y66" s="901">
        <f t="shared" si="9"/>
        <v>0</v>
      </c>
      <c r="Z66" s="458" t="e">
        <f>ROUND(#REF!+#REF!+#REF!+#REF!+#REF!+#REF!+#REF!,2)</f>
        <v>#REF!</v>
      </c>
      <c r="AA66" s="458">
        <v>0</v>
      </c>
      <c r="AB66" s="458">
        <v>0</v>
      </c>
      <c r="AC66" s="461"/>
      <c r="AD66" s="458">
        <v>0</v>
      </c>
      <c r="AE66" s="458"/>
      <c r="AF66" s="458">
        <f>ROUND('Water and Sewer'!L25+'Central Region'!L25,2)</f>
        <v>33116202</v>
      </c>
      <c r="AG66" s="458"/>
      <c r="AH66" s="458">
        <v>0</v>
      </c>
      <c r="AI66" s="458"/>
      <c r="AJ66" s="458">
        <v>0</v>
      </c>
      <c r="AK66" s="458"/>
      <c r="AL66" s="458">
        <v>0</v>
      </c>
      <c r="AM66" s="389"/>
      <c r="AN66" s="461" t="e">
        <f t="shared" si="10"/>
        <v>#REF!</v>
      </c>
    </row>
    <row r="67" spans="1:51" s="417" customFormat="1" ht="20.100000000000001" customHeight="1">
      <c r="A67" s="417" t="s">
        <v>460</v>
      </c>
      <c r="C67" s="1305"/>
      <c r="D67" s="1208">
        <v>13282670.199999999</v>
      </c>
      <c r="E67" s="1227">
        <v>0</v>
      </c>
      <c r="F67" s="1227">
        <v>0</v>
      </c>
      <c r="G67" s="1227">
        <v>0</v>
      </c>
      <c r="H67" s="1227">
        <v>0</v>
      </c>
      <c r="I67" s="1227">
        <v>0</v>
      </c>
      <c r="J67" s="1227">
        <v>0</v>
      </c>
      <c r="K67" s="1228">
        <v>0</v>
      </c>
      <c r="L67" s="1227">
        <v>0</v>
      </c>
      <c r="M67" s="1227">
        <v>0</v>
      </c>
      <c r="N67" s="1208">
        <v>0</v>
      </c>
      <c r="O67" s="1227">
        <v>0</v>
      </c>
      <c r="P67" s="1227">
        <v>0</v>
      </c>
      <c r="Q67" s="1208">
        <v>0</v>
      </c>
      <c r="R67" s="1210">
        <v>0</v>
      </c>
      <c r="S67" s="1208">
        <v>0</v>
      </c>
      <c r="T67" s="1227">
        <v>0</v>
      </c>
      <c r="U67" s="1208">
        <v>0</v>
      </c>
      <c r="V67" s="1208">
        <v>0</v>
      </c>
      <c r="W67" s="1208">
        <v>79500</v>
      </c>
      <c r="X67" s="1229">
        <f t="shared" si="8"/>
        <v>13362170.199999999</v>
      </c>
      <c r="Y67" s="901">
        <f t="shared" si="9"/>
        <v>0</v>
      </c>
      <c r="Z67" s="458">
        <v>0</v>
      </c>
      <c r="AA67" s="460">
        <v>0</v>
      </c>
      <c r="AB67" s="458">
        <v>0</v>
      </c>
      <c r="AC67" s="461"/>
      <c r="AD67" s="458">
        <v>0</v>
      </c>
      <c r="AE67" s="458"/>
      <c r="AF67" s="458">
        <v>0</v>
      </c>
      <c r="AG67" s="458"/>
      <c r="AH67" s="458">
        <v>0</v>
      </c>
      <c r="AI67" s="458"/>
      <c r="AJ67" s="458">
        <v>0</v>
      </c>
      <c r="AK67" s="458"/>
      <c r="AL67" s="458">
        <v>0</v>
      </c>
      <c r="AM67" s="461"/>
      <c r="AN67" s="461">
        <f t="shared" si="10"/>
        <v>26724340.399999999</v>
      </c>
      <c r="AO67" s="454"/>
      <c r="AP67" s="454"/>
      <c r="AQ67" s="454"/>
      <c r="AR67" s="454"/>
      <c r="AS67" s="454"/>
      <c r="AT67" s="454"/>
      <c r="AU67" s="454"/>
      <c r="AV67" s="454"/>
      <c r="AW67" s="454"/>
      <c r="AX67" s="454"/>
      <c r="AY67" s="454"/>
    </row>
    <row r="68" spans="1:51" s="1305" customFormat="1" ht="20.100000000000001" customHeight="1">
      <c r="A68" s="1305" t="s">
        <v>574</v>
      </c>
      <c r="C68" s="1305" t="s">
        <v>58</v>
      </c>
      <c r="D68" s="1307">
        <v>238601769.07999998</v>
      </c>
      <c r="E68" s="1307">
        <v>47393158</v>
      </c>
      <c r="F68" s="1307">
        <v>116716289</v>
      </c>
      <c r="G68" s="1307">
        <f>SUM(G40:G67)</f>
        <v>18178462.030000001</v>
      </c>
      <c r="H68" s="1307">
        <f>SUM(H40:H67)</f>
        <v>23344447.620000001</v>
      </c>
      <c r="I68" s="1307">
        <v>14050869.43</v>
      </c>
      <c r="J68" s="1307">
        <v>20136439.859999999</v>
      </c>
      <c r="K68" s="1307">
        <v>889492</v>
      </c>
      <c r="L68" s="1307">
        <f>SUM(L40:L67)</f>
        <v>19104500</v>
      </c>
      <c r="M68" s="1307">
        <v>7160710.6100000003</v>
      </c>
      <c r="N68" s="1307">
        <v>6352542.7000000002</v>
      </c>
      <c r="O68" s="1307">
        <v>5186261.63</v>
      </c>
      <c r="P68" s="1307">
        <f>SUM(P40:P67)</f>
        <v>13830832.15</v>
      </c>
      <c r="Q68" s="1307">
        <v>11632668</v>
      </c>
      <c r="R68" s="1307">
        <v>3273952.21</v>
      </c>
      <c r="S68" s="1307">
        <v>1741096.49</v>
      </c>
      <c r="T68" s="1307">
        <v>1451345</v>
      </c>
      <c r="U68" s="1307">
        <v>800000</v>
      </c>
      <c r="V68" s="1307">
        <v>684031.91</v>
      </c>
      <c r="W68" s="1307">
        <v>79500</v>
      </c>
      <c r="X68" s="1307">
        <f>SUM(X38:X67)</f>
        <v>550608367.72000003</v>
      </c>
      <c r="Y68" s="1309">
        <f t="shared" si="9"/>
        <v>0</v>
      </c>
      <c r="Z68" s="1307" t="e">
        <f t="shared" ref="Z68" si="11">SUM(Z40:Z67)</f>
        <v>#REF!</v>
      </c>
      <c r="AA68" s="1307">
        <f t="shared" ref="AA68:AN68" si="12">SUM(AA40:AA67)</f>
        <v>1250259</v>
      </c>
      <c r="AB68" s="1307">
        <f t="shared" si="12"/>
        <v>1160554.8400000001</v>
      </c>
      <c r="AC68" s="1307">
        <f t="shared" si="12"/>
        <v>0</v>
      </c>
      <c r="AD68" s="1307" t="e">
        <f t="shared" si="12"/>
        <v>#REF!</v>
      </c>
      <c r="AE68" s="1307">
        <f t="shared" si="12"/>
        <v>0</v>
      </c>
      <c r="AF68" s="1307">
        <f t="shared" si="12"/>
        <v>131758142.84999999</v>
      </c>
      <c r="AG68" s="1307">
        <f t="shared" si="12"/>
        <v>0</v>
      </c>
      <c r="AH68" s="1307">
        <f t="shared" si="12"/>
        <v>6029886.1600000001</v>
      </c>
      <c r="AI68" s="1307">
        <f t="shared" si="12"/>
        <v>0</v>
      </c>
      <c r="AJ68" s="1307">
        <f t="shared" si="12"/>
        <v>21750117.719999999</v>
      </c>
      <c r="AK68" s="1307">
        <f t="shared" si="12"/>
        <v>0</v>
      </c>
      <c r="AL68" s="1307">
        <f t="shared" si="12"/>
        <v>7966110.5999999996</v>
      </c>
      <c r="AM68" s="1307">
        <f t="shared" si="12"/>
        <v>0</v>
      </c>
      <c r="AN68" s="1307" t="e">
        <f t="shared" si="12"/>
        <v>#REF!</v>
      </c>
      <c r="AO68" s="685"/>
      <c r="AP68" s="685"/>
      <c r="AQ68" s="685"/>
      <c r="AR68" s="685"/>
      <c r="AS68" s="685"/>
      <c r="AT68" s="685"/>
      <c r="AU68" s="685"/>
      <c r="AV68" s="685"/>
      <c r="AW68" s="685"/>
      <c r="AX68" s="685"/>
      <c r="AY68" s="685"/>
    </row>
    <row r="69" spans="1:51" s="417" customFormat="1" ht="12.75" customHeight="1">
      <c r="C69" s="1305"/>
      <c r="D69" s="1209"/>
      <c r="E69" s="1227"/>
      <c r="F69" s="1227"/>
      <c r="G69" s="1227"/>
      <c r="H69" s="1227"/>
      <c r="I69" s="1227"/>
      <c r="J69" s="1227"/>
      <c r="K69" s="1227"/>
      <c r="L69" s="1227"/>
      <c r="M69" s="1227"/>
      <c r="N69" s="1208"/>
      <c r="O69" s="1227"/>
      <c r="P69" s="1227"/>
      <c r="Q69" s="1208"/>
      <c r="R69" s="1208"/>
      <c r="S69" s="1208"/>
      <c r="T69" s="1227"/>
      <c r="U69" s="1208"/>
      <c r="V69" s="1208"/>
      <c r="W69" s="1208"/>
      <c r="X69" s="1229"/>
      <c r="Z69" s="458"/>
      <c r="AA69" s="458"/>
      <c r="AB69" s="458"/>
      <c r="AC69" s="461"/>
      <c r="AD69" s="458"/>
      <c r="AE69" s="458"/>
      <c r="AF69" s="458"/>
      <c r="AG69" s="458"/>
      <c r="AH69" s="458"/>
      <c r="AI69" s="458"/>
      <c r="AJ69" s="458"/>
      <c r="AK69" s="458"/>
      <c r="AL69" s="458"/>
      <c r="AM69" s="461"/>
      <c r="AN69" s="461"/>
      <c r="AO69" s="454"/>
      <c r="AP69" s="454"/>
      <c r="AQ69" s="454"/>
      <c r="AR69" s="454"/>
      <c r="AS69" s="454"/>
      <c r="AT69" s="454"/>
      <c r="AU69" s="454"/>
      <c r="AV69" s="454"/>
      <c r="AW69" s="454"/>
      <c r="AX69" s="454"/>
      <c r="AY69" s="454"/>
    </row>
    <row r="70" spans="1:51" s="417" customFormat="1" ht="18.75">
      <c r="A70" s="1305" t="s">
        <v>462</v>
      </c>
      <c r="C70" s="1305"/>
      <c r="D70" s="1209"/>
      <c r="E70" s="1227"/>
      <c r="F70" s="1227"/>
      <c r="G70" s="1227"/>
      <c r="H70" s="1227"/>
      <c r="I70" s="1227"/>
      <c r="J70" s="1227"/>
      <c r="K70" s="1227"/>
      <c r="L70" s="1227"/>
      <c r="M70" s="1227"/>
      <c r="N70" s="1208"/>
      <c r="O70" s="1227"/>
      <c r="P70" s="1227"/>
      <c r="Q70" s="1208"/>
      <c r="R70" s="1208"/>
      <c r="S70" s="1208"/>
      <c r="T70" s="1227"/>
      <c r="U70" s="1208"/>
      <c r="V70" s="1208"/>
      <c r="W70" s="1208"/>
      <c r="X70" s="1229"/>
      <c r="Z70" s="458"/>
      <c r="AA70" s="458"/>
      <c r="AB70" s="458"/>
      <c r="AC70" s="461"/>
      <c r="AD70" s="458"/>
      <c r="AE70" s="458"/>
      <c r="AF70" s="458"/>
      <c r="AG70" s="458"/>
      <c r="AH70" s="458"/>
      <c r="AI70" s="458"/>
      <c r="AJ70" s="458"/>
      <c r="AK70" s="458"/>
      <c r="AL70" s="458"/>
      <c r="AM70" s="461"/>
      <c r="AN70" s="461"/>
      <c r="AO70" s="454"/>
      <c r="AP70" s="454"/>
      <c r="AQ70" s="454"/>
      <c r="AR70" s="454"/>
      <c r="AS70" s="454"/>
      <c r="AT70" s="454"/>
      <c r="AU70" s="454"/>
      <c r="AV70" s="454"/>
      <c r="AW70" s="454"/>
      <c r="AX70" s="454"/>
      <c r="AY70" s="454"/>
    </row>
    <row r="71" spans="1:51" s="417" customFormat="1" ht="18" customHeight="1">
      <c r="A71" s="417" t="s">
        <v>975</v>
      </c>
      <c r="C71" s="1305"/>
      <c r="D71" s="1208">
        <v>26954467.829999998</v>
      </c>
      <c r="E71" s="1227">
        <v>335953947</v>
      </c>
      <c r="F71" s="1227">
        <v>2663601.85</v>
      </c>
      <c r="G71" s="1227">
        <v>35237.120000000003</v>
      </c>
      <c r="H71" s="1227">
        <v>100792.38</v>
      </c>
      <c r="I71" s="1227">
        <v>404903.6</v>
      </c>
      <c r="J71" s="1227">
        <v>467895.92</v>
      </c>
      <c r="K71" s="1227">
        <v>0</v>
      </c>
      <c r="L71" s="1227">
        <v>0</v>
      </c>
      <c r="M71" s="1227">
        <v>115733.36</v>
      </c>
      <c r="N71" s="1208">
        <v>1162768.27</v>
      </c>
      <c r="O71" s="1227">
        <v>189993.63</v>
      </c>
      <c r="P71" s="1227">
        <v>1395674.51</v>
      </c>
      <c r="Q71" s="1208">
        <v>0</v>
      </c>
      <c r="R71" s="1208">
        <v>2624656.15</v>
      </c>
      <c r="S71" s="1208">
        <v>12093.09</v>
      </c>
      <c r="T71" s="1227">
        <v>0</v>
      </c>
      <c r="U71" s="1208">
        <v>0</v>
      </c>
      <c r="V71" s="1208">
        <v>0</v>
      </c>
      <c r="W71" s="1208">
        <v>0</v>
      </c>
      <c r="X71" s="1229">
        <f t="shared" ref="X71:X73" si="13">SUM(D71:W71)</f>
        <v>372081764.70999998</v>
      </c>
      <c r="Y71" s="901">
        <f>SUM(D71:W71)-X71</f>
        <v>0</v>
      </c>
      <c r="Z71" s="458" t="e">
        <f>ROUND(#REF!,2)</f>
        <v>#REF!</v>
      </c>
      <c r="AA71" s="458">
        <v>0</v>
      </c>
      <c r="AB71" s="458">
        <v>0</v>
      </c>
      <c r="AC71" s="461"/>
      <c r="AD71" s="458">
        <f>ROUND(Sanitation!L26,2)</f>
        <v>534730</v>
      </c>
      <c r="AE71" s="458">
        <v>0</v>
      </c>
      <c r="AF71" s="458">
        <f>ROUND('Budget Balancing I&amp;O'!J76+'Budget Balancing I&amp;O'!J89,2)</f>
        <v>2663601.85</v>
      </c>
      <c r="AG71" s="458">
        <v>0</v>
      </c>
      <c r="AH71" s="458">
        <f>ROUND('Budget Balancing I&amp;O'!J142,2)</f>
        <v>189993.63</v>
      </c>
      <c r="AI71" s="458">
        <v>0</v>
      </c>
      <c r="AJ71" s="458">
        <f>ROUND('Parking System'!L27,2)</f>
        <v>0</v>
      </c>
      <c r="AK71" s="458">
        <v>0</v>
      </c>
      <c r="AL71" s="458">
        <f>ROUND('Budget Balancing I&amp;O'!J128,2)</f>
        <v>115733.36</v>
      </c>
      <c r="AM71" s="458">
        <v>0</v>
      </c>
      <c r="AN71" s="461" t="e">
        <f>ROUNDDOWN(SUM('All Funds Sch A 2014 Page (1)'!D56:K56)+SUM('All Funds Sch A 2014 Page (2)'!L56:X56),0)</f>
        <v>#REF!</v>
      </c>
      <c r="AO71" s="454"/>
      <c r="AP71" s="454"/>
      <c r="AQ71" s="454"/>
      <c r="AR71" s="454"/>
      <c r="AS71" s="454"/>
      <c r="AT71" s="454"/>
      <c r="AU71" s="454"/>
      <c r="AV71" s="454"/>
      <c r="AW71" s="454"/>
      <c r="AX71" s="454"/>
      <c r="AY71" s="454"/>
    </row>
    <row r="72" spans="1:51" s="417" customFormat="1" ht="18" customHeight="1">
      <c r="A72" s="417" t="s">
        <v>464</v>
      </c>
      <c r="C72" s="1305"/>
      <c r="D72" s="1208">
        <v>455656</v>
      </c>
      <c r="E72" s="1227">
        <v>0</v>
      </c>
      <c r="F72" s="1227">
        <v>0</v>
      </c>
      <c r="G72" s="1227">
        <v>0</v>
      </c>
      <c r="H72" s="1227">
        <v>0</v>
      </c>
      <c r="I72" s="1227">
        <v>0</v>
      </c>
      <c r="J72" s="1227">
        <v>0</v>
      </c>
      <c r="K72" s="1227">
        <v>0</v>
      </c>
      <c r="L72" s="1227">
        <v>0</v>
      </c>
      <c r="M72" s="1227">
        <v>0</v>
      </c>
      <c r="N72" s="1208">
        <v>0</v>
      </c>
      <c r="O72" s="1227">
        <v>0</v>
      </c>
      <c r="P72" s="1227">
        <v>0</v>
      </c>
      <c r="Q72" s="1208">
        <v>0</v>
      </c>
      <c r="R72" s="1208">
        <v>0</v>
      </c>
      <c r="S72" s="1208">
        <v>0</v>
      </c>
      <c r="T72" s="1227">
        <v>0</v>
      </c>
      <c r="U72" s="1208">
        <v>0</v>
      </c>
      <c r="V72" s="1208">
        <v>0</v>
      </c>
      <c r="W72" s="1208">
        <v>0</v>
      </c>
      <c r="X72" s="1229">
        <f t="shared" si="13"/>
        <v>455656</v>
      </c>
      <c r="Y72" s="901">
        <f>SUM(D72:W72)-X72</f>
        <v>0</v>
      </c>
      <c r="Z72" s="458">
        <v>0</v>
      </c>
      <c r="AA72" s="458">
        <v>0</v>
      </c>
      <c r="AB72" s="458">
        <v>0</v>
      </c>
      <c r="AC72" s="461"/>
      <c r="AD72" s="458">
        <v>0</v>
      </c>
      <c r="AE72" s="458"/>
      <c r="AF72" s="458">
        <v>0</v>
      </c>
      <c r="AG72" s="458"/>
      <c r="AH72" s="458">
        <v>0</v>
      </c>
      <c r="AI72" s="458"/>
      <c r="AJ72" s="458">
        <v>0</v>
      </c>
      <c r="AK72" s="458"/>
      <c r="AL72" s="458">
        <v>0</v>
      </c>
      <c r="AM72" s="461"/>
      <c r="AN72" s="461">
        <f>ROUNDUP(SUM('All Funds Sch A 2014 Page (1)'!D57:K57)+SUM('All Funds Sch A 2014 Page (2)'!L57:X57),2)</f>
        <v>450000</v>
      </c>
      <c r="AO72" s="454"/>
      <c r="AP72" s="454"/>
      <c r="AQ72" s="454"/>
      <c r="AR72" s="454"/>
      <c r="AS72" s="454"/>
      <c r="AT72" s="454"/>
      <c r="AU72" s="454"/>
      <c r="AV72" s="454"/>
      <c r="AW72" s="454"/>
      <c r="AX72" s="454"/>
      <c r="AY72" s="454"/>
    </row>
    <row r="73" spans="1:51" s="417" customFormat="1" ht="18" customHeight="1">
      <c r="A73" s="417" t="s">
        <v>465</v>
      </c>
      <c r="C73" s="1305"/>
      <c r="D73" s="1218">
        <v>884000</v>
      </c>
      <c r="E73" s="1227">
        <v>0</v>
      </c>
      <c r="F73" s="1233">
        <v>12294506</v>
      </c>
      <c r="G73" s="1228">
        <v>0</v>
      </c>
      <c r="H73" s="1228">
        <v>0</v>
      </c>
      <c r="I73" s="1233">
        <v>0</v>
      </c>
      <c r="J73" s="1233">
        <v>0</v>
      </c>
      <c r="K73" s="1227">
        <v>0</v>
      </c>
      <c r="L73" s="1228">
        <v>0</v>
      </c>
      <c r="M73" s="1233">
        <v>1230500.01</v>
      </c>
      <c r="N73" s="1208">
        <v>0</v>
      </c>
      <c r="O73" s="1233">
        <v>1925000</v>
      </c>
      <c r="P73" s="1228">
        <v>0</v>
      </c>
      <c r="Q73" s="1208">
        <v>100000</v>
      </c>
      <c r="R73" s="1208">
        <v>5221203.6399999997</v>
      </c>
      <c r="S73" s="1208">
        <v>0</v>
      </c>
      <c r="T73" s="1233">
        <v>0</v>
      </c>
      <c r="U73" s="1208">
        <v>0</v>
      </c>
      <c r="V73" s="1208">
        <v>0</v>
      </c>
      <c r="W73" s="1208">
        <v>0</v>
      </c>
      <c r="X73" s="1229">
        <f t="shared" si="13"/>
        <v>21655209.649999999</v>
      </c>
      <c r="Y73" s="901">
        <f>SUM(D73:W73)-X73</f>
        <v>0</v>
      </c>
      <c r="Z73" s="458">
        <v>0</v>
      </c>
      <c r="AA73" s="458">
        <v>0</v>
      </c>
      <c r="AB73" s="470">
        <v>0</v>
      </c>
      <c r="AC73" s="461"/>
      <c r="AD73" s="470">
        <v>0</v>
      </c>
      <c r="AE73" s="458"/>
      <c r="AF73" s="470">
        <f>ROUND('Water and Sewer'!L27+'Central Region'!L26-AF71,2)</f>
        <v>3563666.15</v>
      </c>
      <c r="AG73" s="458"/>
      <c r="AH73" s="470">
        <f>ROUND(Stormwater!L26-AH71,2)</f>
        <v>-189993.63</v>
      </c>
      <c r="AI73" s="458"/>
      <c r="AJ73" s="470">
        <v>0</v>
      </c>
      <c r="AK73" s="458"/>
      <c r="AL73" s="470">
        <f>ROUND(Airport!L26-AL71,2)</f>
        <v>470134.64</v>
      </c>
      <c r="AM73" s="461"/>
      <c r="AN73" s="461">
        <f>ROUND(SUM('All Funds Sch A 2014 Page (1)'!D59:K59)+SUM('All Funds Sch A 2014 Page (2)'!L59:X59),2)</f>
        <v>11867864</v>
      </c>
      <c r="AO73" s="454"/>
      <c r="AP73" s="454"/>
      <c r="AQ73" s="454"/>
      <c r="AR73" s="454"/>
      <c r="AS73" s="454"/>
      <c r="AT73" s="454"/>
      <c r="AU73" s="454"/>
      <c r="AV73" s="454"/>
      <c r="AW73" s="454"/>
      <c r="AX73" s="454"/>
      <c r="AY73" s="454"/>
    </row>
    <row r="74" spans="1:51" s="1305" customFormat="1" ht="18" customHeight="1">
      <c r="A74" s="1397" t="s">
        <v>20</v>
      </c>
      <c r="C74" s="1305" t="s">
        <v>58</v>
      </c>
      <c r="D74" s="1306">
        <v>28294123.829999998</v>
      </c>
      <c r="E74" s="1307">
        <v>335953947</v>
      </c>
      <c r="F74" s="1307">
        <v>14958107.85</v>
      </c>
      <c r="G74" s="1307">
        <f>SUM(G71:G73)</f>
        <v>35237.120000000003</v>
      </c>
      <c r="H74" s="1307">
        <f>SUM(H71:H73)</f>
        <v>100792.38</v>
      </c>
      <c r="I74" s="1307">
        <v>404903.6</v>
      </c>
      <c r="J74" s="1307">
        <v>467895.92</v>
      </c>
      <c r="K74" s="1307">
        <v>0</v>
      </c>
      <c r="L74" s="1307">
        <f>SUM(L71:L73)</f>
        <v>0</v>
      </c>
      <c r="M74" s="1307">
        <v>1346233.37</v>
      </c>
      <c r="N74" s="1307">
        <v>1162768.27</v>
      </c>
      <c r="O74" s="1307">
        <v>2114993.63</v>
      </c>
      <c r="P74" s="1307">
        <f>SUM(P71:P73)</f>
        <v>1395674.51</v>
      </c>
      <c r="Q74" s="1307">
        <v>100000</v>
      </c>
      <c r="R74" s="1307">
        <v>7845859.7899999991</v>
      </c>
      <c r="S74" s="1307">
        <v>12093.09</v>
      </c>
      <c r="T74" s="1307">
        <v>0</v>
      </c>
      <c r="U74" s="1307">
        <v>0</v>
      </c>
      <c r="V74" s="1307">
        <v>0</v>
      </c>
      <c r="W74" s="1307">
        <v>0</v>
      </c>
      <c r="X74" s="1308">
        <f>SUM(X71:X73)</f>
        <v>394192630.35999995</v>
      </c>
      <c r="Y74" s="1309">
        <f>SUM(D74:W74)-X74</f>
        <v>0</v>
      </c>
      <c r="Z74" s="1307" t="e">
        <f t="shared" ref="Z74" si="14">SUM(Z71:Z73)</f>
        <v>#REF!</v>
      </c>
      <c r="AA74" s="1307">
        <f>SUM(AA71:AA73)</f>
        <v>0</v>
      </c>
      <c r="AB74" s="1307">
        <f>SUM(AB71:AB73)</f>
        <v>0</v>
      </c>
      <c r="AC74" s="1457"/>
      <c r="AD74" s="1307">
        <f>SUM(AD71:AD73)</f>
        <v>534730</v>
      </c>
      <c r="AE74" s="1250">
        <f>SUM(AE38:AE73)</f>
        <v>0</v>
      </c>
      <c r="AF74" s="1307">
        <f>SUM(AF71:AF73)</f>
        <v>6227268</v>
      </c>
      <c r="AG74" s="1250">
        <f>SUM(AG38:AG73)</f>
        <v>0</v>
      </c>
      <c r="AH74" s="1307">
        <f>SUM(AH71:AH73)</f>
        <v>0</v>
      </c>
      <c r="AI74" s="1250">
        <f>SUM(AI38:AI73)</f>
        <v>0</v>
      </c>
      <c r="AJ74" s="1307">
        <f>SUM(AJ71:AJ73)</f>
        <v>0</v>
      </c>
      <c r="AK74" s="1250">
        <f>SUM(AK38:AK73)</f>
        <v>0</v>
      </c>
      <c r="AL74" s="1307">
        <f>SUM(AL71:AL73)</f>
        <v>585868</v>
      </c>
      <c r="AM74" s="1457">
        <f>SUM(AM38:AM73)</f>
        <v>0</v>
      </c>
      <c r="AN74" s="1308" t="e">
        <f>SUM(AN71:AN73)</f>
        <v>#REF!</v>
      </c>
      <c r="AO74" s="685"/>
      <c r="AP74" s="685"/>
      <c r="AQ74" s="685"/>
      <c r="AR74" s="685"/>
      <c r="AS74" s="685"/>
      <c r="AT74" s="685"/>
      <c r="AU74" s="685"/>
      <c r="AV74" s="685"/>
      <c r="AW74" s="685"/>
      <c r="AX74" s="685"/>
      <c r="AY74" s="685"/>
    </row>
    <row r="75" spans="1:51" s="417" customFormat="1" ht="18.75">
      <c r="C75" s="1305"/>
      <c r="D75" s="1209"/>
      <c r="E75" s="1227"/>
      <c r="F75" s="1227"/>
      <c r="G75" s="1227"/>
      <c r="H75" s="1227"/>
      <c r="I75" s="1227"/>
      <c r="J75" s="1227"/>
      <c r="K75" s="1227"/>
      <c r="L75" s="1227"/>
      <c r="M75" s="1227"/>
      <c r="N75" s="1208"/>
      <c r="O75" s="1227"/>
      <c r="P75" s="1227"/>
      <c r="Q75" s="1208"/>
      <c r="R75" s="1208"/>
      <c r="S75" s="1208"/>
      <c r="T75" s="1227"/>
      <c r="U75" s="1208"/>
      <c r="V75" s="1208"/>
      <c r="W75" s="1208"/>
      <c r="X75" s="1229"/>
      <c r="Z75" s="458"/>
      <c r="AA75" s="458"/>
      <c r="AB75" s="458"/>
      <c r="AC75" s="461"/>
      <c r="AD75" s="458"/>
      <c r="AE75" s="458"/>
      <c r="AF75" s="458"/>
      <c r="AG75" s="458"/>
      <c r="AH75" s="458"/>
      <c r="AI75" s="458"/>
      <c r="AJ75" s="458"/>
      <c r="AK75" s="458"/>
      <c r="AL75" s="458"/>
      <c r="AM75" s="461"/>
      <c r="AN75" s="461"/>
      <c r="AO75" s="454"/>
      <c r="AP75" s="454"/>
      <c r="AQ75" s="454"/>
      <c r="AR75" s="454"/>
      <c r="AS75" s="454"/>
      <c r="AT75" s="454"/>
      <c r="AU75" s="454"/>
      <c r="AV75" s="454"/>
      <c r="AW75" s="454"/>
      <c r="AX75" s="454"/>
      <c r="AY75" s="454"/>
    </row>
    <row r="76" spans="1:51" s="417" customFormat="1" ht="18.75">
      <c r="A76" s="1397" t="s">
        <v>944</v>
      </c>
      <c r="C76" s="1305"/>
      <c r="D76" s="1396">
        <f>D68+D74</f>
        <v>266895892.90999997</v>
      </c>
      <c r="E76" s="1396">
        <f t="shared" ref="E76:X76" si="15">E68+E74</f>
        <v>383347105</v>
      </c>
      <c r="F76" s="1396">
        <f t="shared" si="15"/>
        <v>131674396.84999999</v>
      </c>
      <c r="G76" s="1396">
        <f t="shared" si="15"/>
        <v>18213699.150000002</v>
      </c>
      <c r="H76" s="1396">
        <f t="shared" si="15"/>
        <v>23445240</v>
      </c>
      <c r="I76" s="1396">
        <f t="shared" si="15"/>
        <v>14455773.029999999</v>
      </c>
      <c r="J76" s="1396">
        <f t="shared" si="15"/>
        <v>20604335.780000001</v>
      </c>
      <c r="K76" s="1396">
        <f t="shared" si="15"/>
        <v>889492</v>
      </c>
      <c r="L76" s="1396">
        <f t="shared" si="15"/>
        <v>19104500</v>
      </c>
      <c r="M76" s="1396">
        <f t="shared" si="15"/>
        <v>8506943.9800000004</v>
      </c>
      <c r="N76" s="1396">
        <f t="shared" si="15"/>
        <v>7515310.9700000007</v>
      </c>
      <c r="O76" s="1396">
        <f t="shared" si="15"/>
        <v>7301255.2599999998</v>
      </c>
      <c r="P76" s="1396">
        <f t="shared" si="15"/>
        <v>15226506.66</v>
      </c>
      <c r="Q76" s="1396">
        <f t="shared" si="15"/>
        <v>11732668</v>
      </c>
      <c r="R76" s="1396">
        <f t="shared" si="15"/>
        <v>11119812</v>
      </c>
      <c r="S76" s="1396">
        <f t="shared" si="15"/>
        <v>1753189.58</v>
      </c>
      <c r="T76" s="1396">
        <f t="shared" si="15"/>
        <v>1451345</v>
      </c>
      <c r="U76" s="1396">
        <f t="shared" si="15"/>
        <v>800000</v>
      </c>
      <c r="V76" s="1396">
        <f t="shared" si="15"/>
        <v>684031.91</v>
      </c>
      <c r="W76" s="1396">
        <f t="shared" si="15"/>
        <v>79500</v>
      </c>
      <c r="X76" s="1396">
        <f t="shared" si="15"/>
        <v>944800998.07999992</v>
      </c>
      <c r="Z76" s="1227"/>
      <c r="AA76" s="1227"/>
      <c r="AB76" s="1227"/>
      <c r="AC76" s="1229"/>
      <c r="AD76" s="1227"/>
      <c r="AE76" s="1227"/>
      <c r="AF76" s="1227"/>
      <c r="AG76" s="1227"/>
      <c r="AH76" s="1227"/>
      <c r="AI76" s="1227"/>
      <c r="AJ76" s="1227"/>
      <c r="AK76" s="1227"/>
      <c r="AL76" s="1227"/>
      <c r="AM76" s="1229"/>
      <c r="AN76" s="1229"/>
      <c r="AO76" s="454"/>
      <c r="AP76" s="454"/>
      <c r="AQ76" s="454"/>
      <c r="AR76" s="454"/>
      <c r="AS76" s="454"/>
      <c r="AT76" s="454"/>
      <c r="AU76" s="454"/>
      <c r="AV76" s="454"/>
      <c r="AW76" s="454"/>
      <c r="AX76" s="454"/>
      <c r="AY76" s="454"/>
    </row>
    <row r="77" spans="1:51" s="417" customFormat="1" ht="18.75">
      <c r="A77" s="1397"/>
      <c r="C77" s="1305"/>
      <c r="D77" s="1458"/>
      <c r="E77" s="1458"/>
      <c r="F77" s="1458"/>
      <c r="G77" s="1458"/>
      <c r="H77" s="1458"/>
      <c r="I77" s="1458"/>
      <c r="J77" s="1458"/>
      <c r="K77" s="1458"/>
      <c r="L77" s="1458"/>
      <c r="M77" s="1458"/>
      <c r="N77" s="1458"/>
      <c r="O77" s="1458"/>
      <c r="P77" s="1458"/>
      <c r="Q77" s="1458"/>
      <c r="R77" s="1458"/>
      <c r="S77" s="1458"/>
      <c r="T77" s="1458"/>
      <c r="U77" s="1458"/>
      <c r="V77" s="1458"/>
      <c r="W77" s="1458"/>
      <c r="X77" s="1458"/>
      <c r="Z77" s="1227"/>
      <c r="AA77" s="1227"/>
      <c r="AB77" s="1227"/>
      <c r="AC77" s="1229"/>
      <c r="AD77" s="1227"/>
      <c r="AE77" s="1227"/>
      <c r="AF77" s="1227"/>
      <c r="AG77" s="1227"/>
      <c r="AH77" s="1227"/>
      <c r="AI77" s="1227"/>
      <c r="AJ77" s="1227"/>
      <c r="AK77" s="1227"/>
      <c r="AL77" s="1227"/>
      <c r="AM77" s="1229"/>
      <c r="AN77" s="1229"/>
      <c r="AO77" s="454"/>
      <c r="AP77" s="454"/>
      <c r="AQ77" s="454"/>
      <c r="AR77" s="454"/>
      <c r="AS77" s="454"/>
      <c r="AT77" s="454"/>
      <c r="AU77" s="454"/>
      <c r="AV77" s="454"/>
      <c r="AW77" s="454"/>
      <c r="AX77" s="454"/>
      <c r="AY77" s="454"/>
    </row>
    <row r="78" spans="1:51" s="417" customFormat="1" ht="17.25" customHeight="1">
      <c r="A78" s="1305" t="s">
        <v>466</v>
      </c>
      <c r="C78" s="1305"/>
      <c r="D78" s="1209"/>
      <c r="E78" s="1227"/>
      <c r="F78" s="1227"/>
      <c r="G78" s="1227"/>
      <c r="H78" s="1227"/>
      <c r="I78" s="1227"/>
      <c r="J78" s="1227"/>
      <c r="K78" s="1227"/>
      <c r="L78" s="1227"/>
      <c r="M78" s="1227"/>
      <c r="N78" s="1208"/>
      <c r="O78" s="1227"/>
      <c r="P78" s="1227"/>
      <c r="Q78" s="1208"/>
      <c r="R78" s="1208"/>
      <c r="S78" s="1208"/>
      <c r="T78" s="1227"/>
      <c r="U78" s="1208"/>
      <c r="V78" s="1208"/>
      <c r="W78" s="1208"/>
      <c r="X78" s="1229"/>
      <c r="Z78" s="458"/>
      <c r="AA78" s="458"/>
      <c r="AB78" s="458"/>
      <c r="AC78" s="461"/>
      <c r="AD78" s="458"/>
      <c r="AE78" s="458"/>
      <c r="AF78" s="458"/>
      <c r="AG78" s="458"/>
      <c r="AH78" s="458"/>
      <c r="AI78" s="458"/>
      <c r="AJ78" s="458"/>
      <c r="AK78" s="458"/>
      <c r="AL78" s="458"/>
      <c r="AM78" s="461"/>
      <c r="AN78" s="461"/>
      <c r="AO78" s="454"/>
      <c r="AP78" s="454"/>
      <c r="AQ78" s="454"/>
      <c r="AR78" s="454"/>
      <c r="AS78" s="454"/>
      <c r="AT78" s="454"/>
      <c r="AU78" s="454"/>
      <c r="AV78" s="454"/>
      <c r="AW78" s="454"/>
      <c r="AX78" s="454"/>
      <c r="AY78" s="454"/>
    </row>
    <row r="79" spans="1:51" s="417" customFormat="1" ht="18" customHeight="1">
      <c r="A79" s="417" t="s">
        <v>36</v>
      </c>
      <c r="C79" s="1305"/>
      <c r="D79" s="1208">
        <v>46328274.810000002</v>
      </c>
      <c r="E79" s="1227">
        <v>0</v>
      </c>
      <c r="F79" s="1227">
        <v>35409491.740000002</v>
      </c>
      <c r="G79" s="1227">
        <v>1445137.29</v>
      </c>
      <c r="H79" s="1227">
        <v>1158468.47</v>
      </c>
      <c r="I79" s="1227">
        <v>6803671.5599999996</v>
      </c>
      <c r="J79" s="1227">
        <v>0</v>
      </c>
      <c r="K79" s="1227">
        <v>0</v>
      </c>
      <c r="L79" s="1227">
        <v>1087015</v>
      </c>
      <c r="M79" s="1228">
        <v>10867511.029999999</v>
      </c>
      <c r="N79" s="1208">
        <v>0</v>
      </c>
      <c r="O79" s="1227">
        <v>10524660.08</v>
      </c>
      <c r="P79" s="1227">
        <v>1453049.23</v>
      </c>
      <c r="Q79" s="1208">
        <v>0</v>
      </c>
      <c r="R79" s="1208">
        <v>0</v>
      </c>
      <c r="S79" s="1208">
        <v>960743.42</v>
      </c>
      <c r="T79" s="1227">
        <v>0</v>
      </c>
      <c r="U79" s="1208">
        <v>0</v>
      </c>
      <c r="V79" s="1208">
        <v>22094.09</v>
      </c>
      <c r="W79" s="1208">
        <v>71673</v>
      </c>
      <c r="X79" s="1229">
        <f t="shared" ref="X79:X82" si="16">SUM(D79:W79)</f>
        <v>116131789.72000003</v>
      </c>
      <c r="Y79" s="901">
        <f>SUM(D79:W79)-X79</f>
        <v>0</v>
      </c>
      <c r="Z79" s="458">
        <v>0</v>
      </c>
      <c r="AA79" s="458">
        <v>0</v>
      </c>
      <c r="AB79" s="458">
        <v>0</v>
      </c>
      <c r="AC79" s="461"/>
      <c r="AD79" s="458">
        <f>ROUND(Sanitation!L31,2)</f>
        <v>0</v>
      </c>
      <c r="AE79" s="458"/>
      <c r="AF79" s="458">
        <f>ROUND('Water and Sewer'!L33+'Central Region'!L32,2)</f>
        <v>0</v>
      </c>
      <c r="AG79" s="458"/>
      <c r="AH79" s="458">
        <f>ROUND(Stormwater!L32,2)</f>
        <v>13107307</v>
      </c>
      <c r="AI79" s="458"/>
      <c r="AJ79" s="458">
        <f>ROUND('Parking System'!L33,2)</f>
        <v>3533101.86</v>
      </c>
      <c r="AK79" s="458"/>
      <c r="AL79" s="460">
        <f>ROUND(Airport!L31,2)</f>
        <v>13024398</v>
      </c>
      <c r="AM79" s="461"/>
      <c r="AN79" s="461" t="e">
        <f>ROUNDUP(SUM('All Funds Sch A 2014 Page (1)'!D63:K63)+SUM('All Funds Sch A 2014 Page (2)'!L63:X63),0)</f>
        <v>#REF!</v>
      </c>
      <c r="AO79" s="454"/>
      <c r="AP79" s="454"/>
      <c r="AQ79" s="454"/>
      <c r="AR79" s="454"/>
      <c r="AS79" s="454"/>
      <c r="AT79" s="454"/>
      <c r="AU79" s="454"/>
      <c r="AV79" s="454"/>
      <c r="AW79" s="454"/>
      <c r="AX79" s="454"/>
      <c r="AY79" s="454"/>
    </row>
    <row r="80" spans="1:51" s="417" customFormat="1" ht="18" customHeight="1">
      <c r="A80" s="417" t="s">
        <v>782</v>
      </c>
      <c r="C80" s="1305"/>
      <c r="D80" s="1208">
        <v>16144538</v>
      </c>
      <c r="E80" s="1227">
        <v>0</v>
      </c>
      <c r="F80" s="1227">
        <v>0</v>
      </c>
      <c r="G80" s="1227">
        <v>0</v>
      </c>
      <c r="H80" s="1227">
        <v>0</v>
      </c>
      <c r="I80" s="1227">
        <v>0</v>
      </c>
      <c r="J80" s="1227">
        <v>0</v>
      </c>
      <c r="K80" s="1227">
        <v>0</v>
      </c>
      <c r="L80" s="1227">
        <v>0</v>
      </c>
      <c r="M80" s="1227">
        <v>0</v>
      </c>
      <c r="N80" s="1208">
        <v>0</v>
      </c>
      <c r="O80" s="1227">
        <v>0</v>
      </c>
      <c r="P80" s="1227">
        <v>0</v>
      </c>
      <c r="Q80" s="1208">
        <v>0</v>
      </c>
      <c r="R80" s="1208">
        <v>0</v>
      </c>
      <c r="S80" s="1208">
        <v>0</v>
      </c>
      <c r="T80" s="1227">
        <v>0</v>
      </c>
      <c r="U80" s="1208">
        <v>0</v>
      </c>
      <c r="V80" s="1208">
        <v>0</v>
      </c>
      <c r="W80" s="1208">
        <v>0</v>
      </c>
      <c r="X80" s="1229">
        <f t="shared" si="16"/>
        <v>16144538</v>
      </c>
      <c r="Y80" s="901">
        <f>SUM(D80:W80)-X80</f>
        <v>0</v>
      </c>
      <c r="Z80" s="458">
        <v>0</v>
      </c>
      <c r="AA80" s="458">
        <v>0</v>
      </c>
      <c r="AB80" s="458">
        <f>0</f>
        <v>0</v>
      </c>
      <c r="AC80" s="458">
        <f>0</f>
        <v>0</v>
      </c>
      <c r="AD80" s="458">
        <f>0</f>
        <v>0</v>
      </c>
      <c r="AE80" s="458">
        <f>0</f>
        <v>0</v>
      </c>
      <c r="AF80" s="458">
        <f>0</f>
        <v>0</v>
      </c>
      <c r="AG80" s="458">
        <f>0</f>
        <v>0</v>
      </c>
      <c r="AH80" s="458">
        <f>0</f>
        <v>0</v>
      </c>
      <c r="AI80" s="458">
        <f>0</f>
        <v>0</v>
      </c>
      <c r="AJ80" s="458">
        <f>0</f>
        <v>0</v>
      </c>
      <c r="AK80" s="458">
        <f>0</f>
        <v>0</v>
      </c>
      <c r="AL80" s="458">
        <f>0</f>
        <v>0</v>
      </c>
      <c r="AM80" s="458">
        <f>0</f>
        <v>0</v>
      </c>
      <c r="AN80" s="461">
        <f>SUM(D80:AL80)</f>
        <v>32289076</v>
      </c>
      <c r="AO80" s="454"/>
      <c r="AP80" s="454"/>
      <c r="AQ80" s="454"/>
      <c r="AR80" s="454"/>
      <c r="AS80" s="454"/>
      <c r="AT80" s="454"/>
      <c r="AU80" s="454"/>
      <c r="AV80" s="454"/>
      <c r="AW80" s="454"/>
      <c r="AX80" s="454"/>
      <c r="AY80" s="454"/>
    </row>
    <row r="81" spans="1:51" s="417" customFormat="1" ht="18" customHeight="1">
      <c r="A81" s="417" t="s">
        <v>690</v>
      </c>
      <c r="C81" s="1305"/>
      <c r="D81" s="1208">
        <v>4000000</v>
      </c>
      <c r="E81" s="1227">
        <v>0</v>
      </c>
      <c r="F81" s="1227">
        <v>0</v>
      </c>
      <c r="G81" s="1227">
        <v>0</v>
      </c>
      <c r="H81" s="1227">
        <v>0</v>
      </c>
      <c r="I81" s="1227">
        <v>0</v>
      </c>
      <c r="J81" s="1227">
        <v>0</v>
      </c>
      <c r="K81" s="1227">
        <v>0</v>
      </c>
      <c r="L81" s="1227">
        <v>0</v>
      </c>
      <c r="M81" s="1227">
        <v>0</v>
      </c>
      <c r="N81" s="1208">
        <v>0</v>
      </c>
      <c r="O81" s="1227">
        <v>0</v>
      </c>
      <c r="P81" s="1227">
        <v>0</v>
      </c>
      <c r="Q81" s="1208">
        <v>0</v>
      </c>
      <c r="R81" s="1208">
        <v>0</v>
      </c>
      <c r="S81" s="1208">
        <v>0</v>
      </c>
      <c r="T81" s="1227">
        <v>0</v>
      </c>
      <c r="U81" s="1208">
        <v>0</v>
      </c>
      <c r="V81" s="1208">
        <v>0</v>
      </c>
      <c r="W81" s="1208">
        <v>0</v>
      </c>
      <c r="X81" s="1229">
        <f t="shared" si="16"/>
        <v>4000000</v>
      </c>
      <c r="Y81" s="901">
        <f>SUM(D81:W81)-X81</f>
        <v>0</v>
      </c>
      <c r="Z81" s="458">
        <v>0</v>
      </c>
      <c r="AA81" s="458">
        <v>0</v>
      </c>
      <c r="AB81" s="458">
        <v>0</v>
      </c>
      <c r="AC81" s="458"/>
      <c r="AD81" s="458">
        <v>0</v>
      </c>
      <c r="AE81" s="458"/>
      <c r="AF81" s="458">
        <v>0</v>
      </c>
      <c r="AG81" s="458"/>
      <c r="AH81" s="458">
        <v>0</v>
      </c>
      <c r="AI81" s="458"/>
      <c r="AJ81" s="458">
        <v>0</v>
      </c>
      <c r="AK81" s="458"/>
      <c r="AL81" s="458">
        <v>0</v>
      </c>
      <c r="AM81" s="458"/>
      <c r="AN81" s="461">
        <f>SUM(D81:AL81)</f>
        <v>8000000</v>
      </c>
      <c r="AO81" s="454"/>
      <c r="AP81" s="454"/>
      <c r="AQ81" s="454"/>
      <c r="AR81" s="454"/>
      <c r="AS81" s="454"/>
      <c r="AT81" s="454"/>
      <c r="AU81" s="454"/>
      <c r="AV81" s="454"/>
      <c r="AW81" s="454"/>
      <c r="AX81" s="454"/>
      <c r="AY81" s="454"/>
    </row>
    <row r="82" spans="1:51" s="417" customFormat="1" ht="18" customHeight="1">
      <c r="A82" s="417" t="s">
        <v>29</v>
      </c>
      <c r="C82" s="1305"/>
      <c r="D82" s="1217">
        <v>0</v>
      </c>
      <c r="E82" s="1233">
        <v>2534619.62</v>
      </c>
      <c r="F82" s="1233">
        <v>38090553</v>
      </c>
      <c r="G82" s="1227">
        <v>12550919</v>
      </c>
      <c r="H82" s="1227">
        <v>0</v>
      </c>
      <c r="I82" s="1227">
        <v>3193217</v>
      </c>
      <c r="J82" s="1227">
        <v>1986883.06</v>
      </c>
      <c r="K82" s="1227">
        <v>20628133</v>
      </c>
      <c r="L82" s="1227">
        <v>0</v>
      </c>
      <c r="M82" s="1233">
        <v>0</v>
      </c>
      <c r="N82" s="1208">
        <v>11595894.02</v>
      </c>
      <c r="O82" s="1233">
        <v>0</v>
      </c>
      <c r="P82" s="1233">
        <v>0</v>
      </c>
      <c r="Q82" s="1208">
        <v>0</v>
      </c>
      <c r="R82" s="1217">
        <v>0</v>
      </c>
      <c r="S82" s="1208">
        <v>0</v>
      </c>
      <c r="T82" s="1233">
        <v>0</v>
      </c>
      <c r="U82" s="1208">
        <v>0</v>
      </c>
      <c r="V82" s="1208">
        <v>0</v>
      </c>
      <c r="W82" s="1208">
        <v>0</v>
      </c>
      <c r="X82" s="1229">
        <f t="shared" si="16"/>
        <v>90580218.700000003</v>
      </c>
      <c r="Y82" s="901">
        <f>SUM(D82:W82)-X82</f>
        <v>0</v>
      </c>
      <c r="Z82" s="470" t="e">
        <f>ROUND(#REF!+#REF!+#REF!+#REF!,2)</f>
        <v>#REF!</v>
      </c>
      <c r="AA82" s="458">
        <f>ROUND(Cemtery!L25,2)</f>
        <v>24879487.120000001</v>
      </c>
      <c r="AB82" s="470">
        <v>0</v>
      </c>
      <c r="AC82" s="461"/>
      <c r="AD82" s="458">
        <f>ROUND(Sanitation!L30,2)</f>
        <v>2310762.31</v>
      </c>
      <c r="AE82" s="458"/>
      <c r="AF82" s="470">
        <f>ROUND('Water and Sewer'!L32+'Central Region'!L31,2)</f>
        <v>47374438.149999999</v>
      </c>
      <c r="AG82" s="458"/>
      <c r="AH82" s="470">
        <v>0</v>
      </c>
      <c r="AI82" s="458"/>
      <c r="AJ82" s="458">
        <f>ROUND('Parking System'!L32,2)</f>
        <v>3778896.08</v>
      </c>
      <c r="AK82" s="458"/>
      <c r="AL82" s="470">
        <v>0</v>
      </c>
      <c r="AM82" s="461"/>
      <c r="AN82" s="461" t="e">
        <f>ROUNDUP(SUM('All Funds Sch A 2014 Page (1)'!D66:K66)+SUM('All Funds Sch A 2014 Page (2)'!L66:X66),2)</f>
        <v>#REF!</v>
      </c>
      <c r="AO82" s="454"/>
      <c r="AP82" s="454"/>
      <c r="AQ82" s="454"/>
      <c r="AR82" s="454"/>
      <c r="AS82" s="454"/>
      <c r="AT82" s="454"/>
      <c r="AU82" s="454"/>
      <c r="AV82" s="454"/>
      <c r="AW82" s="454"/>
      <c r="AX82" s="454"/>
      <c r="AY82" s="454"/>
    </row>
    <row r="83" spans="1:51" s="1305" customFormat="1" ht="18" customHeight="1">
      <c r="A83" s="1305" t="s">
        <v>468</v>
      </c>
      <c r="C83" s="1305" t="s">
        <v>58</v>
      </c>
      <c r="D83" s="1306">
        <v>66472812.810000002</v>
      </c>
      <c r="E83" s="1307">
        <v>2534619.62</v>
      </c>
      <c r="F83" s="1307">
        <v>73500044.74000001</v>
      </c>
      <c r="G83" s="1307">
        <f>SUM(G79:G82)</f>
        <v>13996056.289999999</v>
      </c>
      <c r="H83" s="1307">
        <f>SUM(H79:H82)</f>
        <v>1158468.47</v>
      </c>
      <c r="I83" s="1307">
        <v>9996888.5599999987</v>
      </c>
      <c r="J83" s="1307">
        <v>1986883.06</v>
      </c>
      <c r="K83" s="1307">
        <v>20628133</v>
      </c>
      <c r="L83" s="1307">
        <f>SUM(L79:L82)</f>
        <v>1087015</v>
      </c>
      <c r="M83" s="1307">
        <v>10867511.029999999</v>
      </c>
      <c r="N83" s="1307">
        <v>11595894.02</v>
      </c>
      <c r="O83" s="1307">
        <v>10524660.08</v>
      </c>
      <c r="P83" s="1307">
        <f>SUM(P79:P82)</f>
        <v>1453049.23</v>
      </c>
      <c r="Q83" s="1307">
        <v>0</v>
      </c>
      <c r="R83" s="1307">
        <v>0</v>
      </c>
      <c r="S83" s="1307">
        <v>960743.42</v>
      </c>
      <c r="T83" s="1307">
        <v>0</v>
      </c>
      <c r="U83" s="1307">
        <v>0</v>
      </c>
      <c r="V83" s="1307">
        <v>22094.09</v>
      </c>
      <c r="W83" s="1307">
        <v>71673</v>
      </c>
      <c r="X83" s="1308">
        <f>SUM(X79:X82)</f>
        <v>226856546.42000002</v>
      </c>
      <c r="Y83" s="1309">
        <f>SUM(D83:W83)-X83</f>
        <v>0</v>
      </c>
      <c r="Z83" s="1307" t="e">
        <f t="shared" ref="Z83" si="17">SUM(Z79:Z82)</f>
        <v>#REF!</v>
      </c>
      <c r="AA83" s="1307">
        <f>SUM(AA79:AA82)</f>
        <v>24879487.120000001</v>
      </c>
      <c r="AB83" s="1307">
        <f>SUM(AB79:AB82)</f>
        <v>0</v>
      </c>
      <c r="AC83" s="1457"/>
      <c r="AD83" s="1307">
        <f>SUM(AD79:AD82)</f>
        <v>2310762.31</v>
      </c>
      <c r="AE83" s="1250"/>
      <c r="AF83" s="1307">
        <f>SUM(AF79:AF82)</f>
        <v>47374438.149999999</v>
      </c>
      <c r="AG83" s="1250"/>
      <c r="AH83" s="1307">
        <f>SUM(AH79:AH82)</f>
        <v>13107307</v>
      </c>
      <c r="AI83" s="1250"/>
      <c r="AJ83" s="1307">
        <f>SUM(AJ79:AJ82)</f>
        <v>7311997.9399999995</v>
      </c>
      <c r="AK83" s="1250"/>
      <c r="AL83" s="1307">
        <f>SUM(AL79:AL82)</f>
        <v>13024398</v>
      </c>
      <c r="AM83" s="1457"/>
      <c r="AN83" s="1308" t="e">
        <f>SUM(AN79:AN82)</f>
        <v>#REF!</v>
      </c>
      <c r="AO83" s="685"/>
      <c r="AP83" s="685"/>
      <c r="AQ83" s="685"/>
      <c r="AR83" s="685"/>
      <c r="AS83" s="685"/>
      <c r="AT83" s="685"/>
      <c r="AU83" s="685"/>
      <c r="AV83" s="685"/>
      <c r="AW83" s="685"/>
      <c r="AX83" s="685"/>
      <c r="AY83" s="685"/>
    </row>
    <row r="84" spans="1:51" s="417" customFormat="1" ht="8.25" customHeight="1">
      <c r="C84" s="1305"/>
      <c r="D84" s="1216"/>
      <c r="E84" s="1229"/>
      <c r="F84" s="1229"/>
      <c r="G84" s="1229"/>
      <c r="H84" s="1229"/>
      <c r="I84" s="1229"/>
      <c r="J84" s="1229"/>
      <c r="K84" s="1229"/>
      <c r="L84" s="1229"/>
      <c r="M84" s="1229"/>
      <c r="N84" s="1211"/>
      <c r="O84" s="1229"/>
      <c r="P84" s="1229"/>
      <c r="Q84" s="1214"/>
      <c r="R84" s="1214"/>
      <c r="S84" s="1211"/>
      <c r="T84" s="1229"/>
      <c r="U84" s="1211"/>
      <c r="V84" s="1214"/>
      <c r="W84" s="1214"/>
      <c r="X84" s="1232"/>
      <c r="Z84" s="461"/>
      <c r="AA84" s="461"/>
      <c r="AB84" s="461"/>
      <c r="AC84" s="461"/>
      <c r="AD84" s="461"/>
      <c r="AE84" s="461"/>
      <c r="AF84" s="461"/>
      <c r="AG84" s="461"/>
      <c r="AH84" s="461"/>
      <c r="AI84" s="461"/>
      <c r="AJ84" s="461"/>
      <c r="AK84" s="461"/>
      <c r="AL84" s="461"/>
      <c r="AM84" s="461"/>
      <c r="AN84" s="467"/>
      <c r="AO84" s="454"/>
      <c r="AP84" s="454"/>
      <c r="AQ84" s="454"/>
      <c r="AR84" s="454"/>
      <c r="AS84" s="454"/>
      <c r="AT84" s="454"/>
      <c r="AU84" s="454"/>
      <c r="AV84" s="454"/>
      <c r="AW84" s="454"/>
      <c r="AX84" s="454"/>
      <c r="AY84" s="454"/>
    </row>
    <row r="85" spans="1:51" s="685" customFormat="1" ht="30" customHeight="1" thickBot="1">
      <c r="A85" s="713" t="s">
        <v>942</v>
      </c>
      <c r="B85" s="713"/>
      <c r="C85" s="685" t="s">
        <v>424</v>
      </c>
      <c r="D85" s="832">
        <v>333368705.71999997</v>
      </c>
      <c r="E85" s="832">
        <v>385881724.62</v>
      </c>
      <c r="F85" s="832">
        <v>205174441.59</v>
      </c>
      <c r="G85" s="832">
        <f>G68+G74+G83</f>
        <v>32209755.440000001</v>
      </c>
      <c r="H85" s="832">
        <f>H68+H74+H83</f>
        <v>24603708.469999999</v>
      </c>
      <c r="I85" s="832">
        <v>24452661.589999996</v>
      </c>
      <c r="J85" s="832">
        <v>22591218.84</v>
      </c>
      <c r="K85" s="832">
        <v>21517625</v>
      </c>
      <c r="L85" s="832">
        <f>L68+L74+L83</f>
        <v>20191515</v>
      </c>
      <c r="M85" s="832">
        <v>19374455.009999998</v>
      </c>
      <c r="N85" s="832">
        <v>19111204.990000002</v>
      </c>
      <c r="O85" s="832">
        <v>17825915.34</v>
      </c>
      <c r="P85" s="832">
        <f>P68+P74+P83</f>
        <v>16679555.890000001</v>
      </c>
      <c r="Q85" s="832">
        <v>11732668</v>
      </c>
      <c r="R85" s="832">
        <v>11119812</v>
      </c>
      <c r="S85" s="832">
        <v>2713933</v>
      </c>
      <c r="T85" s="832">
        <v>1451345</v>
      </c>
      <c r="U85" s="832">
        <v>800000</v>
      </c>
      <c r="V85" s="832">
        <v>706126</v>
      </c>
      <c r="W85" s="832">
        <v>151173</v>
      </c>
      <c r="X85" s="832">
        <f>X68+X74+X83</f>
        <v>1171657544.5</v>
      </c>
      <c r="Y85" s="685">
        <f>SUM(D85:W85)-X85</f>
        <v>0</v>
      </c>
      <c r="Z85" s="685" t="e">
        <f t="shared" ref="Z85" si="18">Z68+Z74+Z83</f>
        <v>#REF!</v>
      </c>
      <c r="AA85" s="685">
        <f>AA68+AA74+AA83</f>
        <v>26129746.120000001</v>
      </c>
      <c r="AB85" s="685">
        <f>AB68+AB74+AB83</f>
        <v>1160554.8400000001</v>
      </c>
      <c r="AD85" s="685" t="e">
        <f>AD68+AD74+AD83</f>
        <v>#REF!</v>
      </c>
      <c r="AE85" s="685">
        <f>AE73+AE79</f>
        <v>0</v>
      </c>
      <c r="AF85" s="685">
        <f>AF68+AF74+AF83</f>
        <v>185359849</v>
      </c>
      <c r="AG85" s="685">
        <f>AG73+AG79</f>
        <v>0</v>
      </c>
      <c r="AH85" s="685">
        <f>AH68+AH74+AH83</f>
        <v>19137193.16</v>
      </c>
      <c r="AI85" s="685">
        <f>AI73+AI79</f>
        <v>0</v>
      </c>
      <c r="AJ85" s="685">
        <f>AJ68+AJ74+AJ83</f>
        <v>29062115.659999996</v>
      </c>
      <c r="AK85" s="685">
        <f>AK73+AK79</f>
        <v>0</v>
      </c>
      <c r="AL85" s="685">
        <f>AL68+AL74+AL83</f>
        <v>21576376.600000001</v>
      </c>
      <c r="AM85" s="685">
        <f>AM74+AM82</f>
        <v>0</v>
      </c>
      <c r="AN85" s="685" t="e">
        <f>ROUNDUP(AN68+AN74+AN83,0)</f>
        <v>#REF!</v>
      </c>
    </row>
    <row r="86" spans="1:51" s="1488" customFormat="1" ht="34.15" customHeight="1" thickTop="1">
      <c r="A86" s="1483" t="s">
        <v>976</v>
      </c>
      <c r="B86" s="1483"/>
      <c r="C86" s="1484"/>
      <c r="D86" s="1485"/>
      <c r="E86" s="1485"/>
      <c r="F86" s="1486"/>
      <c r="G86" s="1486"/>
      <c r="H86" s="1486"/>
      <c r="I86" s="1486"/>
      <c r="J86" s="1486"/>
      <c r="K86" s="1486" t="s">
        <v>58</v>
      </c>
      <c r="L86" s="1486"/>
      <c r="M86" s="1486"/>
      <c r="N86" s="1485"/>
      <c r="O86" s="1486"/>
      <c r="P86" s="1486"/>
      <c r="Q86" s="1487"/>
      <c r="R86" s="1487"/>
      <c r="S86" s="1485"/>
      <c r="T86" s="1486"/>
      <c r="U86" s="1485"/>
      <c r="V86" s="1487"/>
      <c r="W86" s="1485"/>
      <c r="X86" s="1486"/>
      <c r="Z86" s="1485"/>
      <c r="AA86" s="1486" t="s">
        <v>58</v>
      </c>
      <c r="AB86" s="1486"/>
      <c r="AC86" s="1486"/>
      <c r="AD86" s="1486"/>
      <c r="AE86" s="1486"/>
      <c r="AF86" s="1486"/>
      <c r="AG86" s="1486"/>
      <c r="AH86" s="1486"/>
      <c r="AI86" s="1486"/>
      <c r="AJ86" s="1486"/>
      <c r="AK86" s="1486"/>
      <c r="AL86" s="1486"/>
      <c r="AM86" s="1486"/>
      <c r="AN86" s="1486"/>
      <c r="AO86" s="1489"/>
      <c r="AP86" s="1489"/>
      <c r="AQ86" s="1489"/>
      <c r="AR86" s="1489"/>
      <c r="AS86" s="1489"/>
      <c r="AT86" s="1489"/>
      <c r="AU86" s="1489"/>
      <c r="AV86" s="1489"/>
      <c r="AW86" s="1489"/>
      <c r="AX86" s="1489"/>
      <c r="AY86" s="1489"/>
    </row>
    <row r="87" spans="1:51" ht="21" customHeight="1">
      <c r="A87" s="356"/>
      <c r="B87" s="356"/>
      <c r="C87" s="1049"/>
      <c r="D87" s="380" t="s">
        <v>58</v>
      </c>
      <c r="E87" s="375"/>
      <c r="F87" s="389"/>
      <c r="G87" s="1226"/>
      <c r="H87" s="1226"/>
      <c r="I87" s="389"/>
      <c r="J87" s="389"/>
      <c r="K87" s="389"/>
      <c r="L87" s="1226"/>
      <c r="M87" s="389"/>
      <c r="N87" s="375"/>
      <c r="O87" s="389"/>
      <c r="P87" s="1226"/>
      <c r="Q87" s="937"/>
      <c r="R87" s="937"/>
      <c r="S87" s="375"/>
      <c r="T87" s="389"/>
      <c r="U87" s="375"/>
      <c r="V87" s="937"/>
      <c r="W87" s="970"/>
      <c r="X87" s="389"/>
      <c r="Z87" s="375"/>
      <c r="AA87" s="389"/>
      <c r="AB87" s="389"/>
      <c r="AC87" s="389"/>
      <c r="AD87" s="389"/>
      <c r="AE87" s="389"/>
      <c r="AF87" s="389"/>
      <c r="AG87" s="389"/>
      <c r="AH87" s="389"/>
      <c r="AI87" s="389"/>
      <c r="AJ87" s="389"/>
      <c r="AK87" s="389"/>
      <c r="AL87" s="389"/>
      <c r="AM87" s="389"/>
      <c r="AN87" s="389"/>
    </row>
    <row r="88" spans="1:51" ht="15.75">
      <c r="E88" s="375"/>
      <c r="F88" s="389"/>
      <c r="G88" s="1226"/>
      <c r="H88" s="1226"/>
      <c r="I88" s="389"/>
      <c r="J88" s="389"/>
      <c r="K88" s="389"/>
      <c r="L88" s="1226"/>
      <c r="M88" s="389"/>
      <c r="N88" s="389"/>
      <c r="O88" s="389"/>
      <c r="P88" s="1226"/>
      <c r="Q88" s="912"/>
      <c r="S88" s="389"/>
      <c r="T88" s="389"/>
      <c r="U88" s="389"/>
      <c r="W88" s="376"/>
      <c r="X88" s="389"/>
      <c r="Z88" s="389"/>
      <c r="AA88" s="389"/>
      <c r="AB88" s="389"/>
      <c r="AC88" s="389"/>
      <c r="AD88" s="389"/>
      <c r="AE88" s="389"/>
      <c r="AF88" s="389"/>
      <c r="AG88" s="389"/>
      <c r="AH88" s="389"/>
      <c r="AI88" s="389"/>
      <c r="AJ88" s="389"/>
      <c r="AK88" s="389"/>
      <c r="AL88" s="389"/>
      <c r="AM88" s="389"/>
      <c r="AN88" s="389"/>
    </row>
    <row r="89" spans="1:51">
      <c r="D89" s="567" t="s">
        <v>58</v>
      </c>
      <c r="E89" s="389"/>
      <c r="F89" s="389"/>
      <c r="G89" s="1226"/>
      <c r="H89" s="1226"/>
      <c r="I89" s="389"/>
      <c r="J89" s="389"/>
      <c r="K89" s="389"/>
      <c r="L89" s="1226"/>
      <c r="M89" s="389"/>
      <c r="N89" s="389"/>
      <c r="O89" s="389"/>
      <c r="P89" s="1226"/>
      <c r="Q89" s="912"/>
      <c r="R89" s="912" t="s">
        <v>58</v>
      </c>
      <c r="S89" s="389"/>
      <c r="T89" s="389"/>
      <c r="U89" s="389"/>
      <c r="W89" s="376"/>
      <c r="X89" s="389"/>
      <c r="Z89" s="389"/>
      <c r="AA89" s="389"/>
      <c r="AB89" s="389"/>
      <c r="AC89" s="389"/>
      <c r="AD89" s="389"/>
      <c r="AE89" s="389"/>
      <c r="AF89" s="389"/>
      <c r="AG89" s="389"/>
      <c r="AH89" s="389"/>
      <c r="AI89" s="389"/>
      <c r="AJ89" s="389"/>
      <c r="AK89" s="389"/>
      <c r="AL89" s="389"/>
      <c r="AM89" s="389"/>
      <c r="AN89" s="389"/>
    </row>
    <row r="90" spans="1:51">
      <c r="D90" s="377" t="s">
        <v>58</v>
      </c>
      <c r="E90" s="389"/>
      <c r="F90" s="389"/>
      <c r="G90" s="1226"/>
      <c r="H90" s="1226"/>
      <c r="I90" s="389"/>
      <c r="J90" s="389"/>
      <c r="K90" s="389"/>
      <c r="L90" s="1226"/>
      <c r="M90" s="389"/>
      <c r="N90" s="389"/>
      <c r="O90" s="389"/>
      <c r="P90" s="1226"/>
      <c r="Q90" s="912"/>
      <c r="S90" s="389"/>
      <c r="T90" s="389"/>
      <c r="U90" s="389"/>
      <c r="W90" s="376"/>
      <c r="X90" s="389"/>
      <c r="Z90" s="389"/>
      <c r="AA90" s="389"/>
      <c r="AB90" s="389"/>
      <c r="AC90" s="389"/>
      <c r="AD90" s="389"/>
      <c r="AE90" s="389"/>
      <c r="AF90" s="389"/>
      <c r="AG90" s="389"/>
      <c r="AH90" s="389"/>
      <c r="AI90" s="389"/>
      <c r="AJ90" s="389"/>
      <c r="AK90" s="389"/>
      <c r="AL90" s="389"/>
      <c r="AM90" s="389"/>
      <c r="AN90" s="389"/>
    </row>
    <row r="91" spans="1:51">
      <c r="D91" s="377" t="s">
        <v>58</v>
      </c>
      <c r="E91" s="389"/>
      <c r="F91" s="960"/>
      <c r="G91" s="960"/>
      <c r="H91" s="960"/>
      <c r="I91" s="960"/>
      <c r="J91" s="960"/>
      <c r="K91" s="960"/>
      <c r="L91" s="960"/>
      <c r="M91" s="960"/>
      <c r="N91" s="389"/>
      <c r="O91" s="960"/>
      <c r="P91" s="960"/>
      <c r="Q91" s="912"/>
      <c r="S91" s="389"/>
      <c r="T91" s="960"/>
      <c r="U91" s="389"/>
      <c r="W91" s="376"/>
      <c r="X91" s="960"/>
      <c r="Z91" s="389"/>
      <c r="AA91" s="389"/>
      <c r="AB91" s="389"/>
      <c r="AC91" s="389"/>
      <c r="AD91" s="389"/>
      <c r="AE91" s="389"/>
      <c r="AF91" s="389"/>
      <c r="AG91" s="389"/>
      <c r="AH91" s="389"/>
      <c r="AI91" s="389"/>
      <c r="AJ91" s="389"/>
      <c r="AK91" s="389"/>
      <c r="AL91" s="389"/>
      <c r="AM91" s="389"/>
      <c r="AN91" s="389"/>
    </row>
    <row r="92" spans="1:51">
      <c r="E92" s="1288">
        <f>E68/'All Funds Sch A 2013 Page -1'!$X$68</f>
        <v>8.6074169552215682E-2</v>
      </c>
      <c r="F92" s="1288">
        <f>F68/'All Funds Sch A 2013 Page -1'!$X$68</f>
        <v>0.21197696192541982</v>
      </c>
      <c r="G92" s="1288"/>
      <c r="H92" s="1288"/>
      <c r="I92" s="1288">
        <f>I68/'All Funds Sch A 2013 Page -1'!$X$68</f>
        <v>2.5518808383139694E-2</v>
      </c>
      <c r="J92" s="1288">
        <f>J68/'All Funds Sch A 2013 Page -1'!$X$68</f>
        <v>3.6571256523729313E-2</v>
      </c>
      <c r="K92" s="1288">
        <f>K68/'All Funds Sch A 2013 Page -1'!$X$68</f>
        <v>1.6154712716831283E-3</v>
      </c>
      <c r="L92" s="1288"/>
      <c r="M92" s="1288">
        <f>M68/'All Funds Sch A 2013 Page -1'!$X$68</f>
        <v>1.3005088607083111E-2</v>
      </c>
      <c r="N92" s="389"/>
      <c r="O92" s="1288">
        <f>O68/'All Funds Sch A 2013 Page -1'!$X$68</f>
        <v>9.4191478627098542E-3</v>
      </c>
      <c r="P92" s="1288"/>
      <c r="Q92" s="912"/>
      <c r="R92" s="912" t="s">
        <v>58</v>
      </c>
      <c r="S92" s="389"/>
      <c r="T92" s="1288">
        <f>T68/'All Funds Sch A 2013 Page -1'!$X$68</f>
        <v>2.6358934681829063E-3</v>
      </c>
      <c r="U92" s="389"/>
      <c r="W92" s="376"/>
      <c r="X92" s="1288">
        <f>X68/'All Funds Sch A 2013 Page -1'!$X$68</f>
        <v>1</v>
      </c>
      <c r="Z92" s="389"/>
      <c r="AA92" s="389"/>
      <c r="AB92" s="389"/>
      <c r="AC92" s="389"/>
      <c r="AD92" s="389"/>
      <c r="AE92" s="389"/>
      <c r="AF92" s="389"/>
      <c r="AG92" s="389"/>
      <c r="AH92" s="389"/>
      <c r="AI92" s="389"/>
      <c r="AJ92" s="389"/>
      <c r="AK92" s="389"/>
      <c r="AL92" s="389"/>
      <c r="AM92" s="389"/>
      <c r="AN92" s="389"/>
    </row>
    <row r="93" spans="1:51" s="417" customFormat="1" ht="21.95" customHeight="1" thickBot="1">
      <c r="A93" s="476" t="s">
        <v>783</v>
      </c>
      <c r="B93" s="449"/>
      <c r="C93" s="1305" t="s">
        <v>424</v>
      </c>
      <c r="D93" s="480">
        <v>315782855.67000002</v>
      </c>
      <c r="E93" s="1236"/>
      <c r="F93" s="389"/>
      <c r="G93" s="364">
        <f>G85-G33</f>
        <v>0</v>
      </c>
      <c r="H93" s="364"/>
      <c r="I93" s="389"/>
      <c r="J93" s="389"/>
      <c r="K93" s="1236"/>
      <c r="L93" s="364">
        <f>L85-L33</f>
        <v>0</v>
      </c>
      <c r="M93" s="389"/>
      <c r="N93" s="480">
        <v>19111205</v>
      </c>
      <c r="O93" s="389"/>
      <c r="P93" s="364">
        <f>P85-P33</f>
        <v>0</v>
      </c>
      <c r="Q93" s="480">
        <v>11732668</v>
      </c>
      <c r="R93" s="480">
        <v>10992300</v>
      </c>
      <c r="S93" s="480"/>
      <c r="T93" s="389"/>
      <c r="U93" s="480"/>
      <c r="V93" s="480">
        <v>706126</v>
      </c>
      <c r="W93" s="480">
        <v>151173</v>
      </c>
      <c r="X93" s="364">
        <f>X85-X33</f>
        <v>-0.47000002861022949</v>
      </c>
      <c r="Z93" s="482">
        <v>23730421.23</v>
      </c>
      <c r="AA93" s="482">
        <v>21517625</v>
      </c>
      <c r="AB93" s="480">
        <v>1451345</v>
      </c>
      <c r="AC93" s="461"/>
      <c r="AD93" s="480">
        <v>22591218.84</v>
      </c>
      <c r="AE93" s="481"/>
      <c r="AF93" s="480">
        <v>205174442.10000002</v>
      </c>
      <c r="AG93" s="481"/>
      <c r="AH93" s="480">
        <v>17825915.34</v>
      </c>
      <c r="AI93" s="481"/>
      <c r="AJ93" s="480">
        <v>25092661.59</v>
      </c>
      <c r="AK93" s="481"/>
      <c r="AL93" s="480">
        <v>19374455.009999998</v>
      </c>
      <c r="AM93" s="481"/>
      <c r="AN93" s="480">
        <v>695234411.77999997</v>
      </c>
      <c r="AO93" s="454"/>
      <c r="AP93" s="454"/>
      <c r="AQ93" s="454"/>
      <c r="AR93" s="454"/>
      <c r="AS93" s="454"/>
      <c r="AT93" s="454"/>
      <c r="AU93" s="454"/>
      <c r="AV93" s="454"/>
      <c r="AW93" s="454"/>
      <c r="AX93" s="454"/>
      <c r="AY93" s="454"/>
    </row>
    <row r="94" spans="1:51" ht="13.5" thickTop="1">
      <c r="D94" s="377">
        <f t="shared" ref="D94:AN94" si="19">D85-D93</f>
        <v>17585850.049999952</v>
      </c>
      <c r="F94" s="389"/>
      <c r="G94" s="1226"/>
      <c r="H94" s="1226"/>
      <c r="I94" s="389"/>
      <c r="J94" s="389"/>
      <c r="L94" s="1226"/>
      <c r="M94" s="389"/>
      <c r="N94" s="377">
        <f>N85-N93</f>
        <v>-9.9999979138374329E-3</v>
      </c>
      <c r="O94" s="389"/>
      <c r="P94" s="1226"/>
      <c r="Q94" s="922">
        <f>Q85-Q93</f>
        <v>0</v>
      </c>
      <c r="R94" s="922">
        <f t="shared" si="19"/>
        <v>127512</v>
      </c>
      <c r="S94" s="377">
        <f>S85-S93</f>
        <v>2713933</v>
      </c>
      <c r="T94" s="389"/>
      <c r="U94" s="377">
        <f>U85-U93</f>
        <v>800000</v>
      </c>
      <c r="V94" s="922">
        <f>V85-V93</f>
        <v>0</v>
      </c>
      <c r="W94" s="377">
        <f t="shared" si="19"/>
        <v>0</v>
      </c>
      <c r="X94" s="389"/>
      <c r="Z94" s="377" t="e">
        <f t="shared" si="19"/>
        <v>#REF!</v>
      </c>
      <c r="AA94" s="377">
        <f t="shared" si="19"/>
        <v>4612121.120000001</v>
      </c>
      <c r="AB94" s="377">
        <f t="shared" si="19"/>
        <v>-290790.15999999992</v>
      </c>
      <c r="AC94" s="377">
        <f t="shared" si="19"/>
        <v>0</v>
      </c>
      <c r="AD94" s="377" t="e">
        <f t="shared" si="19"/>
        <v>#REF!</v>
      </c>
      <c r="AE94" s="377">
        <f t="shared" si="19"/>
        <v>0</v>
      </c>
      <c r="AF94" s="377">
        <f t="shared" si="19"/>
        <v>-19814593.100000024</v>
      </c>
      <c r="AG94" s="377">
        <f t="shared" si="19"/>
        <v>0</v>
      </c>
      <c r="AH94" s="377">
        <f t="shared" si="19"/>
        <v>1311277.8200000003</v>
      </c>
      <c r="AI94" s="377">
        <f t="shared" si="19"/>
        <v>0</v>
      </c>
      <c r="AJ94" s="377">
        <f t="shared" si="19"/>
        <v>3969454.0699999966</v>
      </c>
      <c r="AK94" s="377">
        <f t="shared" si="19"/>
        <v>0</v>
      </c>
      <c r="AL94" s="377">
        <f t="shared" si="19"/>
        <v>2201921.5900000036</v>
      </c>
      <c r="AM94" s="377">
        <f t="shared" si="19"/>
        <v>0</v>
      </c>
      <c r="AN94" s="377" t="e">
        <f t="shared" si="19"/>
        <v>#REF!</v>
      </c>
    </row>
    <row r="95" spans="1:51">
      <c r="D95" s="377">
        <f>18594420-D94</f>
        <v>1008569.9500000477</v>
      </c>
      <c r="F95" s="389"/>
      <c r="G95" s="1226"/>
      <c r="H95" s="1226"/>
      <c r="I95" s="389"/>
      <c r="J95" s="389"/>
      <c r="L95" s="1226"/>
      <c r="M95" s="389"/>
      <c r="N95" s="389"/>
      <c r="O95" s="389"/>
      <c r="P95" s="1226"/>
      <c r="Q95" s="912"/>
      <c r="S95" s="389"/>
      <c r="T95" s="389"/>
      <c r="U95" s="389"/>
      <c r="W95" s="376"/>
      <c r="X95" s="389"/>
      <c r="Z95" s="389"/>
      <c r="AA95" s="389"/>
      <c r="AB95" s="389"/>
      <c r="AC95" s="389"/>
      <c r="AD95" s="389"/>
      <c r="AE95" s="389"/>
      <c r="AF95" s="389"/>
      <c r="AG95" s="389"/>
      <c r="AH95" s="389"/>
      <c r="AI95" s="389"/>
      <c r="AJ95" s="389"/>
      <c r="AK95" s="389"/>
      <c r="AL95" s="389"/>
      <c r="AM95" s="389"/>
      <c r="AN95" s="389"/>
    </row>
    <row r="96" spans="1:51">
      <c r="F96" s="389"/>
      <c r="G96" s="1226"/>
      <c r="H96" s="1226"/>
      <c r="I96" s="389"/>
      <c r="J96" s="389"/>
      <c r="L96" s="1226"/>
      <c r="M96" s="389"/>
      <c r="N96" s="389"/>
      <c r="O96" s="389"/>
      <c r="P96" s="1226"/>
      <c r="Q96" s="912"/>
      <c r="S96" s="389"/>
      <c r="T96" s="389"/>
      <c r="U96" s="389"/>
      <c r="W96" s="376"/>
      <c r="X96" s="389"/>
      <c r="Z96" s="389"/>
      <c r="AA96" s="389"/>
      <c r="AB96" s="389"/>
      <c r="AC96" s="389"/>
      <c r="AD96" s="389"/>
      <c r="AE96" s="389"/>
      <c r="AF96" s="389"/>
      <c r="AG96" s="389"/>
      <c r="AH96" s="389"/>
      <c r="AI96" s="389"/>
      <c r="AJ96" s="389"/>
      <c r="AK96" s="389"/>
      <c r="AL96" s="389"/>
      <c r="AM96" s="389"/>
      <c r="AN96" s="389"/>
    </row>
    <row r="97" spans="1:51">
      <c r="F97" s="389"/>
      <c r="G97" s="1226"/>
      <c r="H97" s="1226"/>
      <c r="I97" s="389"/>
      <c r="J97" s="389"/>
      <c r="L97" s="1226"/>
      <c r="M97" s="389"/>
      <c r="N97" s="389"/>
      <c r="O97" s="389"/>
      <c r="P97" s="1226"/>
      <c r="Q97" s="912"/>
      <c r="S97" s="389"/>
      <c r="T97" s="389"/>
      <c r="U97" s="389"/>
      <c r="W97" s="376"/>
      <c r="X97" s="389"/>
      <c r="Z97" s="389"/>
      <c r="AA97" s="389"/>
      <c r="AB97" s="389"/>
      <c r="AC97" s="389"/>
      <c r="AD97" s="389"/>
      <c r="AE97" s="389"/>
      <c r="AF97" s="389"/>
      <c r="AG97" s="389"/>
      <c r="AH97" s="389"/>
      <c r="AI97" s="389"/>
      <c r="AJ97" s="389"/>
      <c r="AK97" s="389"/>
      <c r="AL97" s="389"/>
      <c r="AM97" s="389"/>
      <c r="AN97" s="389"/>
    </row>
    <row r="98" spans="1:51">
      <c r="D98" s="1288">
        <f>D68/'All Funds Sch A 2013 Page -1'!$X$68</f>
        <v>0.4333420686431263</v>
      </c>
      <c r="E98" s="1288"/>
      <c r="F98" s="389"/>
      <c r="G98" s="1226"/>
      <c r="H98" s="1226"/>
      <c r="I98" s="389"/>
      <c r="J98" s="389"/>
      <c r="K98" s="1288"/>
      <c r="L98" s="1226"/>
      <c r="M98" s="389"/>
      <c r="N98" s="1288">
        <f>N68/'All Funds Sch A 2013 Page -1'!$X$68</f>
        <v>1.1537315944370916E-2</v>
      </c>
      <c r="O98" s="389"/>
      <c r="P98" s="1226"/>
      <c r="Q98" s="1288">
        <f>Q68/'All Funds Sch A 2013 Page -1'!$X$68</f>
        <v>2.1126936461516949E-2</v>
      </c>
      <c r="R98" s="1288">
        <f>R68/'All Funds Sch A 2013 Page -1'!$X$68</f>
        <v>5.9460633036817513E-3</v>
      </c>
      <c r="S98" s="1288">
        <f>S68/'All Funds Sch A 2013 Page -1'!$X$68</f>
        <v>3.1621322741782177E-3</v>
      </c>
      <c r="T98" s="389"/>
      <c r="U98" s="1288">
        <f>U68/'All Funds Sch A 2013 Page -1'!$X$68</f>
        <v>1.452938325860719E-3</v>
      </c>
      <c r="V98" s="1288">
        <f>V68/'All Funds Sch A 2013 Page -1'!$X$68</f>
        <v>1.2423202226883876E-3</v>
      </c>
      <c r="W98" s="1288">
        <f>W68/'All Funds Sch A 2013 Page -1'!$X$68</f>
        <v>1.4438574613240894E-4</v>
      </c>
      <c r="X98" s="389"/>
      <c r="Z98" s="1288" t="e">
        <f>Z68/'All Funds Sch A 2013 Page -1'!$X$68</f>
        <v>#REF!</v>
      </c>
      <c r="AA98" s="1288">
        <f>AA68/'All Funds Sch A 2013 Page -1'!$X$68</f>
        <v>2.2706865229403708E-3</v>
      </c>
      <c r="AB98" s="1288">
        <f>AB68/'All Funds Sch A 2013 Page -1'!$X$68</f>
        <v>2.1077682578739434E-3</v>
      </c>
      <c r="AC98" s="1288">
        <f>AC68/'All Funds Sch A 2013 Page -1'!$X$68</f>
        <v>0</v>
      </c>
      <c r="AD98" s="1288" t="e">
        <f>AD68/'All Funds Sch A 2013 Page -1'!$X$68</f>
        <v>#REF!</v>
      </c>
      <c r="AE98" s="1288">
        <f>AE68/'All Funds Sch A 2013 Page -1'!$X$68</f>
        <v>0</v>
      </c>
      <c r="AF98" s="1288">
        <f>AF68/'All Funds Sch A 2013 Page -1'!$X$68</f>
        <v>0.23929556936374557</v>
      </c>
      <c r="AG98" s="1288">
        <f>AG68/'All Funds Sch A 2013 Page -1'!$X$68</f>
        <v>0</v>
      </c>
      <c r="AH98" s="1288">
        <f>AH68/'All Funds Sch A 2013 Page -1'!$X$68</f>
        <v>1.09513158780514E-2</v>
      </c>
      <c r="AI98" s="1288">
        <f>AI68/'All Funds Sch A 2013 Page -1'!$X$68</f>
        <v>0</v>
      </c>
      <c r="AJ98" s="1288">
        <f>AJ68/'All Funds Sch A 2013 Page -1'!$X$68</f>
        <v>3.9501974534212947E-2</v>
      </c>
      <c r="AK98" s="1288">
        <f>AK68/'All Funds Sch A 2013 Page -1'!$X$68</f>
        <v>0</v>
      </c>
      <c r="AL98" s="1288">
        <f>AL68/'All Funds Sch A 2013 Page -1'!$X$68</f>
        <v>1.4467834248481659E-2</v>
      </c>
      <c r="AM98" s="1288">
        <f>AM68/'All Funds Sch A 2013 Page -1'!$X$68</f>
        <v>0</v>
      </c>
      <c r="AN98" s="1288" t="e">
        <f>AN68/'All Funds Sch A 2013 Page -1'!$X$68</f>
        <v>#REF!</v>
      </c>
    </row>
    <row r="99" spans="1:51" ht="21">
      <c r="D99" s="1045">
        <f>D15/D85</f>
        <v>0.28176030439669669</v>
      </c>
      <c r="E99" s="1045"/>
      <c r="F99" s="389"/>
      <c r="G99" s="1226"/>
      <c r="H99" s="1226"/>
      <c r="I99" s="389"/>
      <c r="J99" s="389"/>
      <c r="K99" s="1045"/>
      <c r="L99" s="1226"/>
      <c r="M99" s="389"/>
      <c r="N99" s="389"/>
      <c r="O99" s="389"/>
      <c r="P99" s="1226"/>
      <c r="Q99" s="912"/>
      <c r="R99" s="944" t="s">
        <v>58</v>
      </c>
      <c r="S99" s="389"/>
      <c r="T99" s="389"/>
      <c r="U99" s="389"/>
      <c r="W99" s="376"/>
      <c r="X99" s="389"/>
      <c r="Z99" s="389"/>
      <c r="AA99" s="389"/>
      <c r="AB99" s="389"/>
      <c r="AC99" s="389"/>
      <c r="AD99" s="389"/>
      <c r="AE99" s="389"/>
      <c r="AF99" s="389"/>
      <c r="AG99" s="389"/>
      <c r="AH99" s="389"/>
      <c r="AI99" s="389"/>
      <c r="AJ99" s="389"/>
      <c r="AK99" s="389"/>
      <c r="AL99" s="389"/>
      <c r="AM99" s="389"/>
      <c r="AN99" s="389"/>
    </row>
    <row r="100" spans="1:51">
      <c r="D100" s="1045">
        <f>D15/D27</f>
        <v>0.3579110054795781</v>
      </c>
      <c r="E100" s="1045"/>
      <c r="F100" s="389"/>
      <c r="G100" s="1226"/>
      <c r="H100" s="1226"/>
      <c r="I100" s="389"/>
      <c r="J100" s="389"/>
      <c r="K100" s="1045"/>
      <c r="L100" s="1226"/>
      <c r="M100" s="389"/>
      <c r="N100" s="389"/>
      <c r="O100" s="389"/>
      <c r="P100" s="1226"/>
      <c r="Q100" s="912"/>
      <c r="S100" s="389"/>
      <c r="T100" s="389"/>
      <c r="U100" s="389"/>
      <c r="W100" s="376"/>
      <c r="X100" s="389"/>
      <c r="Z100" s="389"/>
      <c r="AA100" s="389"/>
      <c r="AB100" s="389"/>
      <c r="AC100" s="389"/>
      <c r="AD100" s="389"/>
      <c r="AE100" s="389"/>
      <c r="AF100" s="389"/>
      <c r="AG100" s="389"/>
      <c r="AH100" s="389"/>
      <c r="AI100" s="389"/>
      <c r="AJ100" s="389"/>
      <c r="AK100" s="389"/>
      <c r="AL100" s="389"/>
      <c r="AM100" s="389"/>
      <c r="AN100" s="389"/>
    </row>
    <row r="101" spans="1:51">
      <c r="F101" s="389"/>
      <c r="G101" s="1226"/>
      <c r="H101" s="1226"/>
      <c r="I101" s="389"/>
      <c r="J101" s="389"/>
      <c r="L101" s="1226"/>
      <c r="M101" s="389"/>
      <c r="N101" s="389"/>
      <c r="O101" s="389"/>
      <c r="P101" s="1226"/>
      <c r="Q101" s="912"/>
      <c r="S101" s="389"/>
      <c r="T101" s="389"/>
      <c r="U101" s="389"/>
      <c r="W101" s="376"/>
      <c r="X101" s="389"/>
      <c r="Z101" s="389"/>
      <c r="AA101" s="960"/>
      <c r="AB101" s="960"/>
      <c r="AC101" s="960"/>
      <c r="AD101" s="960"/>
      <c r="AE101" s="960"/>
      <c r="AF101" s="960"/>
      <c r="AG101" s="960"/>
      <c r="AH101" s="960"/>
      <c r="AI101" s="960"/>
      <c r="AJ101" s="960"/>
      <c r="AK101" s="960"/>
      <c r="AL101" s="960"/>
      <c r="AM101" s="960"/>
      <c r="AN101" s="960"/>
    </row>
    <row r="102" spans="1:51">
      <c r="F102" s="389"/>
      <c r="G102" s="1226"/>
      <c r="H102" s="1226"/>
      <c r="I102" s="389"/>
      <c r="J102" s="389"/>
      <c r="L102" s="1226"/>
      <c r="M102" s="389"/>
      <c r="N102" s="389"/>
      <c r="O102" s="389"/>
      <c r="P102" s="1226"/>
      <c r="Q102" s="912"/>
      <c r="S102" s="389"/>
      <c r="T102" s="389"/>
      <c r="U102" s="389"/>
      <c r="W102" s="376"/>
      <c r="X102" s="389"/>
      <c r="Z102" s="389"/>
      <c r="AA102" s="960"/>
      <c r="AB102" s="960"/>
      <c r="AC102" s="960"/>
      <c r="AD102" s="960"/>
      <c r="AE102" s="960"/>
      <c r="AF102" s="960"/>
      <c r="AG102" s="960"/>
      <c r="AH102" s="960"/>
      <c r="AI102" s="960"/>
      <c r="AJ102" s="960"/>
      <c r="AK102" s="960"/>
      <c r="AL102" s="960"/>
      <c r="AM102" s="960"/>
      <c r="AN102" s="960"/>
    </row>
    <row r="103" spans="1:51">
      <c r="F103" s="389"/>
      <c r="G103" s="1226"/>
      <c r="H103" s="1226"/>
      <c r="I103" s="389"/>
      <c r="J103" s="389"/>
      <c r="L103" s="1226"/>
      <c r="M103" s="389"/>
      <c r="N103" s="389"/>
      <c r="O103" s="389"/>
      <c r="P103" s="1226"/>
      <c r="Q103" s="912"/>
      <c r="S103" s="389"/>
      <c r="T103" s="389"/>
      <c r="U103" s="389"/>
      <c r="W103" s="376"/>
      <c r="X103" s="389"/>
      <c r="Z103" s="389"/>
      <c r="AA103" s="389"/>
      <c r="AB103" s="389"/>
      <c r="AC103" s="389"/>
      <c r="AD103" s="389"/>
      <c r="AE103" s="389"/>
      <c r="AF103" s="389"/>
      <c r="AG103" s="389"/>
      <c r="AH103" s="389"/>
      <c r="AI103" s="389"/>
      <c r="AJ103" s="389"/>
      <c r="AK103" s="389"/>
      <c r="AL103" s="389"/>
      <c r="AM103" s="389"/>
      <c r="AN103" s="389"/>
    </row>
    <row r="104" spans="1:51" s="394" customFormat="1" ht="18.75">
      <c r="A104" s="393"/>
      <c r="B104" s="393"/>
      <c r="C104" s="1443"/>
      <c r="D104" s="569"/>
      <c r="E104" s="569"/>
      <c r="F104" s="389"/>
      <c r="G104" s="1226"/>
      <c r="H104" s="1226"/>
      <c r="I104" s="389"/>
      <c r="J104" s="389"/>
      <c r="K104" s="569"/>
      <c r="L104" s="1226"/>
      <c r="M104" s="389"/>
      <c r="N104" s="961"/>
      <c r="O104" s="389"/>
      <c r="P104" s="1226"/>
      <c r="Q104" s="938"/>
      <c r="R104" s="941"/>
      <c r="S104" s="961"/>
      <c r="T104" s="389"/>
      <c r="U104" s="961"/>
      <c r="V104" s="941"/>
      <c r="W104" s="569"/>
      <c r="X104" s="389"/>
      <c r="Z104" s="961"/>
      <c r="AA104" s="389"/>
      <c r="AB104" s="389"/>
      <c r="AC104" s="389"/>
      <c r="AD104" s="389"/>
      <c r="AE104" s="389"/>
      <c r="AF104" s="389"/>
      <c r="AG104" s="389"/>
      <c r="AH104" s="389"/>
      <c r="AI104" s="389"/>
      <c r="AJ104" s="389"/>
      <c r="AK104" s="389"/>
      <c r="AL104" s="389"/>
      <c r="AM104" s="389"/>
      <c r="AN104" s="389"/>
      <c r="AO104" s="396"/>
      <c r="AP104" s="396"/>
      <c r="AQ104" s="396"/>
      <c r="AR104" s="396"/>
      <c r="AS104" s="396"/>
      <c r="AT104" s="396"/>
      <c r="AU104" s="396"/>
      <c r="AV104" s="396"/>
      <c r="AW104" s="396"/>
      <c r="AX104" s="396"/>
      <c r="AY104" s="396"/>
    </row>
    <row r="105" spans="1:51" s="394" customFormat="1" ht="18.75">
      <c r="A105" s="398"/>
      <c r="B105" s="398"/>
      <c r="C105" s="1442"/>
      <c r="D105" s="570"/>
      <c r="E105" s="570"/>
      <c r="F105" s="389"/>
      <c r="G105" s="1226"/>
      <c r="H105" s="1226"/>
      <c r="I105" s="389"/>
      <c r="J105" s="389"/>
      <c r="K105" s="570"/>
      <c r="L105" s="1226"/>
      <c r="M105" s="389"/>
      <c r="N105" s="962"/>
      <c r="O105" s="389"/>
      <c r="P105" s="1226"/>
      <c r="Q105" s="939"/>
      <c r="R105" s="942"/>
      <c r="S105" s="962"/>
      <c r="T105" s="389"/>
      <c r="U105" s="962"/>
      <c r="V105" s="942"/>
      <c r="W105" s="570"/>
      <c r="X105" s="389"/>
      <c r="Z105" s="962"/>
      <c r="AA105" s="389"/>
      <c r="AB105" s="389"/>
      <c r="AC105" s="389"/>
      <c r="AD105" s="389"/>
      <c r="AE105" s="389"/>
      <c r="AF105" s="389"/>
      <c r="AG105" s="389"/>
      <c r="AH105" s="389"/>
      <c r="AI105" s="389"/>
      <c r="AJ105" s="389"/>
      <c r="AK105" s="389"/>
      <c r="AL105" s="389"/>
      <c r="AM105" s="389"/>
      <c r="AN105" s="389"/>
      <c r="AO105" s="396"/>
      <c r="AP105" s="396"/>
      <c r="AQ105" s="396"/>
      <c r="AR105" s="396"/>
      <c r="AS105" s="396"/>
      <c r="AT105" s="396"/>
      <c r="AU105" s="396"/>
      <c r="AV105" s="396"/>
      <c r="AW105" s="396"/>
      <c r="AX105" s="396"/>
      <c r="AY105" s="396"/>
    </row>
    <row r="106" spans="1:51">
      <c r="F106" s="389"/>
      <c r="G106" s="1226"/>
      <c r="H106" s="1226"/>
      <c r="I106" s="389"/>
      <c r="J106" s="389"/>
      <c r="L106" s="1226"/>
      <c r="M106" s="389"/>
      <c r="N106" s="389"/>
      <c r="O106" s="389"/>
      <c r="P106" s="1226"/>
      <c r="Q106" s="912"/>
      <c r="S106" s="389"/>
      <c r="T106" s="389"/>
      <c r="U106" s="389"/>
      <c r="W106" s="376"/>
      <c r="X106" s="389"/>
      <c r="Z106" s="389"/>
      <c r="AA106" s="389"/>
      <c r="AB106" s="389"/>
      <c r="AC106" s="389"/>
      <c r="AD106" s="389"/>
      <c r="AE106" s="389"/>
      <c r="AF106" s="389"/>
      <c r="AG106" s="389"/>
      <c r="AH106" s="389"/>
      <c r="AI106" s="389"/>
      <c r="AJ106" s="389"/>
      <c r="AK106" s="389"/>
      <c r="AL106" s="389"/>
      <c r="AM106" s="389"/>
      <c r="AN106" s="389"/>
    </row>
    <row r="107" spans="1:51">
      <c r="F107" s="389"/>
      <c r="G107" s="1226"/>
      <c r="H107" s="1226"/>
      <c r="I107" s="389"/>
      <c r="J107" s="389"/>
      <c r="L107" s="1226"/>
      <c r="M107" s="389"/>
      <c r="N107" s="389"/>
      <c r="O107" s="389"/>
      <c r="P107" s="1226"/>
      <c r="Q107" s="912"/>
      <c r="S107" s="389"/>
      <c r="T107" s="389"/>
      <c r="U107" s="389"/>
      <c r="W107" s="376"/>
      <c r="X107" s="389"/>
      <c r="Z107" s="389"/>
      <c r="AA107" s="389"/>
      <c r="AB107" s="389"/>
      <c r="AC107" s="389"/>
      <c r="AD107" s="389"/>
      <c r="AE107" s="389"/>
      <c r="AF107" s="389"/>
      <c r="AG107" s="389"/>
      <c r="AH107" s="389"/>
      <c r="AI107" s="389"/>
      <c r="AJ107" s="389"/>
      <c r="AK107" s="389"/>
      <c r="AL107" s="389"/>
      <c r="AM107" s="389"/>
      <c r="AN107" s="389"/>
    </row>
    <row r="108" spans="1:51">
      <c r="F108" s="389"/>
      <c r="G108" s="1226"/>
      <c r="H108" s="1226"/>
      <c r="I108" s="389"/>
      <c r="J108" s="389"/>
      <c r="L108" s="1226"/>
      <c r="M108" s="389"/>
      <c r="N108" s="389"/>
      <c r="O108" s="389"/>
      <c r="P108" s="1226"/>
      <c r="Q108" s="912"/>
      <c r="S108" s="389"/>
      <c r="T108" s="389"/>
      <c r="U108" s="389"/>
      <c r="W108" s="376"/>
      <c r="X108" s="389"/>
      <c r="Z108" s="389"/>
      <c r="AA108" s="389"/>
      <c r="AB108" s="389"/>
      <c r="AC108" s="389"/>
      <c r="AD108" s="389"/>
      <c r="AE108" s="389"/>
      <c r="AF108" s="389"/>
      <c r="AG108" s="389"/>
      <c r="AH108" s="389"/>
      <c r="AI108" s="389"/>
      <c r="AJ108" s="389"/>
      <c r="AK108" s="389"/>
      <c r="AL108" s="389"/>
      <c r="AM108" s="389"/>
      <c r="AN108" s="389"/>
    </row>
    <row r="109" spans="1:51">
      <c r="F109" s="389"/>
      <c r="G109" s="1226"/>
      <c r="H109" s="1226"/>
      <c r="I109" s="389"/>
      <c r="J109" s="389"/>
      <c r="L109" s="1226"/>
      <c r="M109" s="389"/>
      <c r="N109" s="389"/>
      <c r="O109" s="389"/>
      <c r="P109" s="1226"/>
      <c r="Q109" s="912"/>
      <c r="S109" s="389"/>
      <c r="T109" s="389"/>
      <c r="U109" s="389"/>
      <c r="W109" s="376"/>
      <c r="X109" s="389"/>
      <c r="Z109" s="389"/>
      <c r="AA109" s="389"/>
      <c r="AB109" s="389"/>
      <c r="AC109" s="389"/>
      <c r="AD109" s="389"/>
      <c r="AE109" s="389"/>
      <c r="AF109" s="389"/>
      <c r="AG109" s="389"/>
      <c r="AH109" s="389"/>
      <c r="AI109" s="389"/>
      <c r="AJ109" s="389"/>
      <c r="AK109" s="389"/>
      <c r="AL109" s="389"/>
      <c r="AM109" s="389"/>
      <c r="AN109" s="389"/>
    </row>
    <row r="110" spans="1:51">
      <c r="F110" s="389"/>
      <c r="G110" s="1226"/>
      <c r="H110" s="1226"/>
      <c r="I110" s="389"/>
      <c r="J110" s="389"/>
      <c r="L110" s="1226"/>
      <c r="M110" s="389"/>
      <c r="N110" s="389"/>
      <c r="O110" s="389"/>
      <c r="P110" s="1226"/>
      <c r="Q110" s="912"/>
      <c r="S110" s="389"/>
      <c r="T110" s="389"/>
      <c r="U110" s="389"/>
      <c r="W110" s="376"/>
      <c r="X110" s="389"/>
      <c r="Z110" s="389"/>
      <c r="AA110" s="389"/>
      <c r="AB110" s="389"/>
      <c r="AC110" s="389"/>
      <c r="AD110" s="389"/>
      <c r="AE110" s="389"/>
      <c r="AF110" s="389"/>
      <c r="AG110" s="389"/>
      <c r="AH110" s="389"/>
      <c r="AI110" s="389"/>
      <c r="AJ110" s="389"/>
      <c r="AK110" s="389"/>
      <c r="AL110" s="389"/>
      <c r="AM110" s="389"/>
      <c r="AN110" s="389"/>
    </row>
    <row r="111" spans="1:51">
      <c r="F111" s="389"/>
      <c r="G111" s="1226"/>
      <c r="H111" s="1226"/>
      <c r="I111" s="389"/>
      <c r="J111" s="389"/>
      <c r="L111" s="1226"/>
      <c r="M111" s="389"/>
      <c r="N111" s="389"/>
      <c r="O111" s="389"/>
      <c r="P111" s="1226"/>
      <c r="Q111" s="912"/>
      <c r="S111" s="389"/>
      <c r="T111" s="389"/>
      <c r="U111" s="389"/>
      <c r="W111" s="376"/>
      <c r="X111" s="389"/>
      <c r="Z111" s="389"/>
      <c r="AA111" s="389"/>
      <c r="AB111" s="389"/>
      <c r="AC111" s="389"/>
      <c r="AD111" s="389"/>
      <c r="AE111" s="389"/>
      <c r="AF111" s="389"/>
      <c r="AG111" s="389"/>
      <c r="AH111" s="389"/>
      <c r="AI111" s="389"/>
      <c r="AJ111" s="389"/>
      <c r="AK111" s="389"/>
      <c r="AL111" s="389"/>
      <c r="AM111" s="389"/>
      <c r="AN111" s="389"/>
    </row>
    <row r="112" spans="1:51">
      <c r="F112" s="389"/>
      <c r="G112" s="1226"/>
      <c r="H112" s="1226"/>
      <c r="I112" s="389"/>
      <c r="J112" s="389"/>
      <c r="L112" s="1226"/>
      <c r="M112" s="389"/>
      <c r="N112" s="389"/>
      <c r="O112" s="389"/>
      <c r="P112" s="1226"/>
      <c r="Q112" s="912"/>
      <c r="S112" s="389"/>
      <c r="T112" s="389"/>
      <c r="U112" s="389"/>
      <c r="W112" s="376"/>
      <c r="X112" s="389"/>
      <c r="Z112" s="389"/>
      <c r="AA112" s="389"/>
      <c r="AB112" s="389"/>
      <c r="AC112" s="389"/>
      <c r="AD112" s="389"/>
      <c r="AE112" s="389"/>
      <c r="AF112" s="389"/>
      <c r="AG112" s="389"/>
      <c r="AH112" s="389"/>
      <c r="AI112" s="389"/>
      <c r="AJ112" s="389"/>
      <c r="AK112" s="389"/>
      <c r="AL112" s="389"/>
      <c r="AM112" s="389"/>
      <c r="AN112" s="389"/>
    </row>
    <row r="113" spans="6:40">
      <c r="F113" s="389"/>
      <c r="G113" s="1226"/>
      <c r="H113" s="1226"/>
      <c r="I113" s="389"/>
      <c r="J113" s="389"/>
      <c r="L113" s="1226"/>
      <c r="M113" s="389"/>
      <c r="N113" s="389"/>
      <c r="O113" s="389"/>
      <c r="P113" s="1226"/>
      <c r="Q113" s="912"/>
      <c r="S113" s="389"/>
      <c r="T113" s="389"/>
      <c r="U113" s="389"/>
      <c r="W113" s="376"/>
      <c r="X113" s="389"/>
      <c r="Z113" s="389"/>
      <c r="AA113" s="389"/>
      <c r="AB113" s="389"/>
      <c r="AC113" s="389"/>
      <c r="AD113" s="389"/>
      <c r="AE113" s="389"/>
      <c r="AF113" s="389"/>
      <c r="AG113" s="389"/>
      <c r="AH113" s="389"/>
      <c r="AI113" s="389"/>
      <c r="AJ113" s="389"/>
      <c r="AK113" s="389"/>
      <c r="AL113" s="389"/>
      <c r="AM113" s="389"/>
      <c r="AN113" s="389"/>
    </row>
    <row r="114" spans="6:40">
      <c r="F114" s="389"/>
      <c r="G114" s="1226"/>
      <c r="H114" s="1226"/>
      <c r="I114" s="389"/>
      <c r="J114" s="389"/>
      <c r="L114" s="1226"/>
      <c r="M114" s="389"/>
      <c r="N114" s="389"/>
      <c r="O114" s="389"/>
      <c r="P114" s="1226"/>
      <c r="Q114" s="912"/>
      <c r="S114" s="389"/>
      <c r="T114" s="389"/>
      <c r="U114" s="389"/>
      <c r="W114" s="376"/>
      <c r="X114" s="389"/>
      <c r="Z114" s="389"/>
      <c r="AA114" s="389"/>
      <c r="AB114" s="389"/>
      <c r="AC114" s="389"/>
      <c r="AD114" s="389"/>
      <c r="AE114" s="389"/>
      <c r="AF114" s="389"/>
      <c r="AG114" s="389"/>
      <c r="AH114" s="389"/>
      <c r="AI114" s="389"/>
      <c r="AJ114" s="389"/>
      <c r="AK114" s="389"/>
      <c r="AL114" s="389"/>
      <c r="AM114" s="389"/>
      <c r="AN114" s="389"/>
    </row>
    <row r="115" spans="6:40">
      <c r="F115" s="389"/>
      <c r="G115" s="1226"/>
      <c r="H115" s="1226"/>
      <c r="I115" s="389"/>
      <c r="J115" s="389"/>
      <c r="L115" s="1226"/>
      <c r="M115" s="389"/>
      <c r="N115" s="389"/>
      <c r="O115" s="389"/>
      <c r="P115" s="1226"/>
      <c r="Q115" s="912"/>
      <c r="S115" s="389"/>
      <c r="T115" s="389"/>
      <c r="U115" s="389"/>
      <c r="W115" s="376"/>
      <c r="X115" s="389"/>
      <c r="Z115" s="389"/>
      <c r="AA115" s="389"/>
      <c r="AB115" s="389"/>
      <c r="AC115" s="389"/>
      <c r="AD115" s="389"/>
      <c r="AE115" s="389"/>
      <c r="AF115" s="389"/>
      <c r="AG115" s="389"/>
      <c r="AH115" s="389"/>
      <c r="AI115" s="389"/>
      <c r="AJ115" s="389"/>
      <c r="AK115" s="389"/>
      <c r="AL115" s="389"/>
      <c r="AM115" s="389"/>
      <c r="AN115" s="389"/>
    </row>
    <row r="116" spans="6:40">
      <c r="F116" s="389"/>
      <c r="G116" s="1226"/>
      <c r="H116" s="1226"/>
      <c r="I116" s="389"/>
      <c r="J116" s="389"/>
      <c r="L116" s="1226"/>
      <c r="M116" s="389"/>
      <c r="N116" s="389"/>
      <c r="O116" s="389"/>
      <c r="P116" s="1226"/>
      <c r="Q116" s="912"/>
      <c r="S116" s="389"/>
      <c r="T116" s="389"/>
      <c r="U116" s="389"/>
      <c r="W116" s="376"/>
      <c r="X116" s="389"/>
      <c r="Z116" s="389"/>
      <c r="AA116" s="389"/>
      <c r="AB116" s="389"/>
      <c r="AC116" s="389"/>
      <c r="AD116" s="389"/>
      <c r="AE116" s="389"/>
      <c r="AF116" s="389"/>
      <c r="AG116" s="389"/>
      <c r="AH116" s="389"/>
      <c r="AI116" s="389"/>
      <c r="AJ116" s="389"/>
      <c r="AK116" s="389"/>
      <c r="AL116" s="389"/>
      <c r="AM116" s="389"/>
      <c r="AN116" s="389"/>
    </row>
    <row r="117" spans="6:40">
      <c r="F117" s="389"/>
      <c r="G117" s="1226"/>
      <c r="H117" s="1226"/>
      <c r="I117" s="389"/>
      <c r="J117" s="389"/>
      <c r="L117" s="1226"/>
      <c r="M117" s="389"/>
      <c r="N117" s="389"/>
      <c r="O117" s="389"/>
      <c r="P117" s="1226"/>
      <c r="Q117" s="912"/>
      <c r="S117" s="389"/>
      <c r="T117" s="389"/>
      <c r="U117" s="389"/>
      <c r="W117" s="376"/>
      <c r="X117" s="389"/>
      <c r="Z117" s="389"/>
      <c r="AA117" s="389"/>
      <c r="AB117" s="389"/>
      <c r="AC117" s="389"/>
      <c r="AD117" s="389"/>
      <c r="AE117" s="389"/>
      <c r="AF117" s="389"/>
      <c r="AG117" s="389"/>
      <c r="AH117" s="389"/>
      <c r="AI117" s="389"/>
      <c r="AJ117" s="389"/>
      <c r="AK117" s="389"/>
      <c r="AL117" s="389"/>
      <c r="AM117" s="389"/>
      <c r="AN117" s="389"/>
    </row>
    <row r="118" spans="6:40">
      <c r="F118" s="389"/>
      <c r="G118" s="1226"/>
      <c r="H118" s="1226"/>
      <c r="I118" s="389"/>
      <c r="J118" s="389"/>
      <c r="L118" s="1226"/>
      <c r="M118" s="389"/>
      <c r="N118" s="389"/>
      <c r="O118" s="389"/>
      <c r="P118" s="1226"/>
      <c r="Q118" s="912"/>
      <c r="S118" s="389"/>
      <c r="T118" s="389"/>
      <c r="U118" s="389"/>
      <c r="W118" s="376"/>
      <c r="X118" s="389"/>
      <c r="Z118" s="389"/>
      <c r="AA118" s="389"/>
      <c r="AB118" s="389"/>
      <c r="AC118" s="389"/>
      <c r="AD118" s="389"/>
      <c r="AE118" s="389"/>
      <c r="AF118" s="389"/>
      <c r="AG118" s="389"/>
      <c r="AH118" s="389"/>
      <c r="AI118" s="389"/>
      <c r="AJ118" s="389"/>
      <c r="AK118" s="389"/>
      <c r="AL118" s="389"/>
      <c r="AM118" s="389"/>
      <c r="AN118" s="389"/>
    </row>
    <row r="119" spans="6:40">
      <c r="F119" s="389"/>
      <c r="G119" s="1226"/>
      <c r="H119" s="1226"/>
      <c r="I119" s="389"/>
      <c r="J119" s="389"/>
      <c r="L119" s="1226"/>
      <c r="M119" s="389"/>
      <c r="N119" s="389"/>
      <c r="O119" s="389"/>
      <c r="P119" s="1226"/>
      <c r="Q119" s="912"/>
      <c r="S119" s="389"/>
      <c r="T119" s="389"/>
      <c r="U119" s="389"/>
      <c r="W119" s="376"/>
      <c r="X119" s="389"/>
      <c r="Z119" s="389"/>
      <c r="AA119" s="389"/>
      <c r="AB119" s="389"/>
      <c r="AC119" s="389"/>
      <c r="AD119" s="389"/>
      <c r="AE119" s="389"/>
      <c r="AF119" s="389"/>
      <c r="AG119" s="389"/>
      <c r="AH119" s="389"/>
      <c r="AI119" s="389"/>
      <c r="AJ119" s="389"/>
      <c r="AK119" s="389"/>
      <c r="AL119" s="389"/>
      <c r="AM119" s="389"/>
      <c r="AN119" s="389"/>
    </row>
    <row r="120" spans="6:40">
      <c r="F120" s="389"/>
      <c r="G120" s="1226"/>
      <c r="H120" s="1226"/>
      <c r="I120" s="389"/>
      <c r="J120" s="389"/>
      <c r="L120" s="1226"/>
      <c r="M120" s="389"/>
      <c r="N120" s="389"/>
      <c r="O120" s="389"/>
      <c r="P120" s="1226"/>
      <c r="Q120" s="912"/>
      <c r="S120" s="389"/>
      <c r="T120" s="389"/>
      <c r="U120" s="389"/>
      <c r="W120" s="376"/>
      <c r="X120" s="389"/>
      <c r="Z120" s="389"/>
      <c r="AA120" s="389"/>
      <c r="AB120" s="389"/>
      <c r="AC120" s="389"/>
      <c r="AD120" s="389"/>
      <c r="AE120" s="389"/>
      <c r="AF120" s="389"/>
      <c r="AG120" s="389"/>
      <c r="AH120" s="389"/>
      <c r="AI120" s="389"/>
      <c r="AJ120" s="389"/>
      <c r="AK120" s="389"/>
      <c r="AL120" s="389"/>
      <c r="AM120" s="389"/>
      <c r="AN120" s="389"/>
    </row>
    <row r="121" spans="6:40">
      <c r="F121" s="389"/>
      <c r="G121" s="1226"/>
      <c r="H121" s="1226"/>
      <c r="I121" s="389"/>
      <c r="J121" s="389"/>
      <c r="L121" s="1226"/>
      <c r="M121" s="389"/>
      <c r="N121" s="389"/>
      <c r="O121" s="389"/>
      <c r="P121" s="1226"/>
      <c r="Q121" s="912"/>
      <c r="S121" s="389"/>
      <c r="T121" s="389"/>
      <c r="U121" s="389"/>
      <c r="W121" s="376"/>
      <c r="X121" s="389"/>
      <c r="Z121" s="389"/>
      <c r="AA121" s="389"/>
      <c r="AB121" s="389"/>
      <c r="AC121" s="389"/>
      <c r="AD121" s="389"/>
      <c r="AE121" s="389"/>
      <c r="AF121" s="389"/>
      <c r="AG121" s="389"/>
      <c r="AH121" s="389"/>
      <c r="AI121" s="389"/>
      <c r="AJ121" s="389"/>
      <c r="AK121" s="389"/>
      <c r="AL121" s="389"/>
      <c r="AM121" s="389"/>
      <c r="AN121" s="389"/>
    </row>
    <row r="122" spans="6:40">
      <c r="F122" s="389"/>
      <c r="G122" s="1226"/>
      <c r="H122" s="1226"/>
      <c r="I122" s="389"/>
      <c r="J122" s="389"/>
      <c r="L122" s="1226"/>
      <c r="M122" s="389"/>
      <c r="N122" s="389"/>
      <c r="O122" s="389"/>
      <c r="P122" s="1226"/>
      <c r="Q122" s="912"/>
      <c r="S122" s="389"/>
      <c r="T122" s="389"/>
      <c r="U122" s="389"/>
      <c r="W122" s="376"/>
      <c r="X122" s="389"/>
      <c r="Z122" s="389"/>
      <c r="AA122" s="389"/>
      <c r="AB122" s="389"/>
      <c r="AC122" s="389"/>
      <c r="AD122" s="389"/>
      <c r="AE122" s="389"/>
      <c r="AF122" s="389"/>
      <c r="AG122" s="389"/>
      <c r="AH122" s="389"/>
      <c r="AI122" s="389"/>
      <c r="AJ122" s="389"/>
      <c r="AK122" s="389"/>
      <c r="AL122" s="389"/>
      <c r="AM122" s="389"/>
      <c r="AN122" s="389"/>
    </row>
    <row r="123" spans="6:40">
      <c r="F123" s="389"/>
      <c r="G123" s="1226"/>
      <c r="H123" s="1226"/>
      <c r="I123" s="389"/>
      <c r="J123" s="389"/>
      <c r="L123" s="1226"/>
      <c r="M123" s="389"/>
      <c r="N123" s="389"/>
      <c r="O123" s="389"/>
      <c r="P123" s="1226"/>
      <c r="Q123" s="912"/>
      <c r="S123" s="389"/>
      <c r="T123" s="389"/>
      <c r="U123" s="389"/>
      <c r="W123" s="376"/>
      <c r="X123" s="389"/>
      <c r="Z123" s="389"/>
      <c r="AA123" s="389"/>
      <c r="AB123" s="389"/>
      <c r="AC123" s="389"/>
      <c r="AD123" s="389"/>
      <c r="AE123" s="389"/>
      <c r="AF123" s="389"/>
      <c r="AG123" s="389"/>
      <c r="AH123" s="389"/>
      <c r="AI123" s="389"/>
      <c r="AJ123" s="389"/>
      <c r="AK123" s="389"/>
      <c r="AL123" s="389"/>
      <c r="AM123" s="389"/>
      <c r="AN123" s="389"/>
    </row>
    <row r="124" spans="6:40">
      <c r="F124" s="389"/>
      <c r="G124" s="1226"/>
      <c r="H124" s="1226"/>
      <c r="I124" s="389"/>
      <c r="J124" s="389"/>
      <c r="L124" s="1226"/>
      <c r="M124" s="389"/>
      <c r="N124" s="389"/>
      <c r="O124" s="389"/>
      <c r="P124" s="1226"/>
      <c r="Q124" s="912"/>
      <c r="S124" s="389"/>
      <c r="T124" s="389"/>
      <c r="U124" s="389"/>
      <c r="W124" s="376"/>
      <c r="X124" s="389"/>
      <c r="Z124" s="389"/>
      <c r="AA124" s="389"/>
      <c r="AB124" s="389"/>
      <c r="AC124" s="389"/>
      <c r="AD124" s="389"/>
      <c r="AE124" s="389"/>
      <c r="AF124" s="389"/>
      <c r="AG124" s="389"/>
      <c r="AH124" s="389"/>
      <c r="AI124" s="389"/>
      <c r="AJ124" s="389"/>
      <c r="AK124" s="389"/>
      <c r="AL124" s="389"/>
      <c r="AM124" s="389"/>
      <c r="AN124" s="389"/>
    </row>
    <row r="125" spans="6:40">
      <c r="F125" s="389"/>
      <c r="G125" s="1226"/>
      <c r="H125" s="1226"/>
      <c r="I125" s="389"/>
      <c r="J125" s="389"/>
      <c r="L125" s="1226"/>
      <c r="M125" s="389"/>
      <c r="N125" s="389"/>
      <c r="O125" s="389"/>
      <c r="P125" s="1226"/>
      <c r="Q125" s="912"/>
      <c r="S125" s="389"/>
      <c r="T125" s="389"/>
      <c r="U125" s="389"/>
      <c r="W125" s="376"/>
      <c r="X125" s="389"/>
      <c r="Z125" s="389"/>
      <c r="AA125" s="389"/>
      <c r="AB125" s="389"/>
      <c r="AC125" s="389"/>
      <c r="AD125" s="389"/>
      <c r="AE125" s="389"/>
      <c r="AF125" s="389"/>
      <c r="AG125" s="389"/>
      <c r="AH125" s="389"/>
      <c r="AI125" s="389"/>
      <c r="AJ125" s="389"/>
      <c r="AK125" s="389"/>
      <c r="AL125" s="389"/>
      <c r="AM125" s="389"/>
      <c r="AN125" s="389"/>
    </row>
    <row r="126" spans="6:40">
      <c r="F126" s="389"/>
      <c r="G126" s="1226"/>
      <c r="H126" s="1226"/>
      <c r="I126" s="389"/>
      <c r="J126" s="389"/>
      <c r="L126" s="1226"/>
      <c r="M126" s="389"/>
      <c r="N126" s="389"/>
      <c r="O126" s="389"/>
      <c r="P126" s="1226"/>
      <c r="Q126" s="912"/>
      <c r="S126" s="389"/>
      <c r="T126" s="389"/>
      <c r="U126" s="389"/>
      <c r="W126" s="376"/>
      <c r="X126" s="389"/>
      <c r="Z126" s="389"/>
      <c r="AA126" s="389"/>
      <c r="AB126" s="389"/>
      <c r="AC126" s="389"/>
      <c r="AD126" s="389"/>
      <c r="AE126" s="389"/>
      <c r="AF126" s="389"/>
      <c r="AG126" s="389"/>
      <c r="AH126" s="389"/>
      <c r="AI126" s="389"/>
      <c r="AJ126" s="389"/>
      <c r="AK126" s="389"/>
      <c r="AL126" s="389"/>
      <c r="AM126" s="389"/>
      <c r="AN126" s="389"/>
    </row>
    <row r="127" spans="6:40">
      <c r="F127" s="389"/>
      <c r="G127" s="1226"/>
      <c r="H127" s="1226"/>
      <c r="I127" s="389"/>
      <c r="J127" s="389"/>
      <c r="L127" s="1226"/>
      <c r="M127" s="389"/>
      <c r="N127" s="389"/>
      <c r="O127" s="389"/>
      <c r="P127" s="1226"/>
      <c r="Q127" s="912"/>
      <c r="S127" s="389"/>
      <c r="T127" s="389"/>
      <c r="U127" s="389"/>
      <c r="W127" s="376"/>
      <c r="X127" s="389"/>
      <c r="Z127" s="389"/>
      <c r="AA127" s="389"/>
      <c r="AB127" s="389"/>
      <c r="AC127" s="389"/>
      <c r="AD127" s="389"/>
      <c r="AE127" s="389"/>
      <c r="AF127" s="389"/>
      <c r="AG127" s="389"/>
      <c r="AH127" s="389"/>
      <c r="AI127" s="389"/>
      <c r="AJ127" s="389"/>
      <c r="AK127" s="389"/>
      <c r="AL127" s="389"/>
      <c r="AM127" s="389"/>
      <c r="AN127" s="389"/>
    </row>
    <row r="128" spans="6:40">
      <c r="F128" s="389"/>
      <c r="G128" s="1226"/>
      <c r="H128" s="1226"/>
      <c r="I128" s="389"/>
      <c r="J128" s="389"/>
      <c r="L128" s="1226"/>
      <c r="M128" s="389"/>
      <c r="N128" s="389"/>
      <c r="O128" s="389"/>
      <c r="P128" s="1226"/>
      <c r="Q128" s="912"/>
      <c r="S128" s="389"/>
      <c r="T128" s="389"/>
      <c r="U128" s="389"/>
      <c r="W128" s="376"/>
      <c r="X128" s="389"/>
      <c r="Z128" s="389"/>
      <c r="AA128" s="389"/>
      <c r="AB128" s="389"/>
      <c r="AC128" s="389"/>
      <c r="AD128" s="389"/>
      <c r="AE128" s="389"/>
      <c r="AF128" s="389"/>
      <c r="AG128" s="389"/>
      <c r="AH128" s="389"/>
      <c r="AI128" s="389"/>
      <c r="AJ128" s="389"/>
      <c r="AK128" s="389"/>
      <c r="AL128" s="389"/>
      <c r="AM128" s="389"/>
      <c r="AN128" s="389"/>
    </row>
    <row r="129" spans="6:40">
      <c r="F129" s="389"/>
      <c r="G129" s="1226"/>
      <c r="H129" s="1226"/>
      <c r="I129" s="389"/>
      <c r="J129" s="389"/>
      <c r="L129" s="1226"/>
      <c r="M129" s="389"/>
      <c r="N129" s="389"/>
      <c r="O129" s="389"/>
      <c r="P129" s="1226"/>
      <c r="Q129" s="912"/>
      <c r="S129" s="389"/>
      <c r="T129" s="389"/>
      <c r="U129" s="389"/>
      <c r="W129" s="376"/>
      <c r="X129" s="389"/>
      <c r="Z129" s="389"/>
      <c r="AA129" s="389"/>
      <c r="AB129" s="389"/>
      <c r="AC129" s="389"/>
      <c r="AD129" s="389"/>
      <c r="AE129" s="389"/>
      <c r="AF129" s="389"/>
      <c r="AG129" s="389"/>
      <c r="AH129" s="389"/>
      <c r="AI129" s="389"/>
      <c r="AJ129" s="389"/>
      <c r="AK129" s="389"/>
      <c r="AL129" s="389"/>
      <c r="AM129" s="389"/>
      <c r="AN129" s="389"/>
    </row>
    <row r="130" spans="6:40">
      <c r="F130" s="389"/>
      <c r="G130" s="1226"/>
      <c r="H130" s="1226"/>
      <c r="I130" s="389"/>
      <c r="J130" s="389"/>
      <c r="L130" s="1226"/>
      <c r="M130" s="389"/>
      <c r="N130" s="389"/>
      <c r="O130" s="389"/>
      <c r="P130" s="1226"/>
      <c r="Q130" s="912"/>
      <c r="S130" s="389"/>
      <c r="T130" s="389"/>
      <c r="U130" s="389"/>
      <c r="W130" s="376"/>
      <c r="X130" s="389"/>
      <c r="Z130" s="389"/>
      <c r="AA130" s="389"/>
      <c r="AB130" s="389"/>
      <c r="AC130" s="389"/>
      <c r="AD130" s="389"/>
      <c r="AE130" s="389"/>
      <c r="AF130" s="389"/>
      <c r="AG130" s="389"/>
      <c r="AH130" s="389"/>
      <c r="AI130" s="389"/>
      <c r="AJ130" s="389"/>
      <c r="AK130" s="389"/>
      <c r="AL130" s="389"/>
      <c r="AM130" s="389"/>
      <c r="AN130" s="389"/>
    </row>
    <row r="131" spans="6:40">
      <c r="F131" s="389"/>
      <c r="G131" s="1226"/>
      <c r="H131" s="1226"/>
      <c r="I131" s="389"/>
      <c r="J131" s="389"/>
      <c r="L131" s="1226"/>
      <c r="M131" s="389"/>
      <c r="O131" s="389"/>
      <c r="P131" s="1226"/>
      <c r="Q131" s="912"/>
      <c r="S131" s="389"/>
      <c r="T131" s="389"/>
      <c r="U131" s="389"/>
      <c r="W131" s="376"/>
      <c r="X131" s="389"/>
      <c r="Z131" s="389"/>
      <c r="AA131" s="389"/>
      <c r="AB131" s="389"/>
      <c r="AC131" s="389"/>
      <c r="AD131" s="389"/>
      <c r="AE131" s="389"/>
      <c r="AF131" s="389"/>
      <c r="AG131" s="389"/>
      <c r="AH131" s="389"/>
      <c r="AI131" s="389"/>
      <c r="AJ131" s="389"/>
      <c r="AK131" s="389"/>
      <c r="AL131" s="389"/>
      <c r="AM131" s="389"/>
      <c r="AN131" s="389"/>
    </row>
    <row r="132" spans="6:40">
      <c r="F132" s="389"/>
      <c r="G132" s="1226"/>
      <c r="H132" s="1226"/>
      <c r="I132" s="389"/>
      <c r="J132" s="389"/>
      <c r="L132" s="1226"/>
      <c r="M132" s="389"/>
      <c r="O132" s="389"/>
      <c r="P132" s="1226"/>
      <c r="Q132" s="912"/>
      <c r="S132" s="389"/>
      <c r="T132" s="389"/>
      <c r="U132" s="389"/>
      <c r="W132" s="376"/>
      <c r="X132" s="389"/>
      <c r="Z132" s="389"/>
      <c r="AA132" s="389"/>
      <c r="AB132" s="389"/>
      <c r="AC132" s="389"/>
      <c r="AD132" s="389"/>
      <c r="AE132" s="389"/>
      <c r="AF132" s="389"/>
      <c r="AG132" s="389"/>
      <c r="AH132" s="389"/>
      <c r="AI132" s="389"/>
      <c r="AJ132" s="389"/>
      <c r="AK132" s="389"/>
      <c r="AL132" s="389"/>
      <c r="AM132" s="389"/>
      <c r="AN132" s="389"/>
    </row>
    <row r="133" spans="6:40">
      <c r="F133" s="389"/>
      <c r="G133" s="1226"/>
      <c r="H133" s="1226"/>
      <c r="I133" s="389"/>
      <c r="J133" s="389"/>
      <c r="L133" s="1226"/>
      <c r="M133" s="389"/>
      <c r="O133" s="389"/>
      <c r="P133" s="1226"/>
      <c r="Q133" s="912"/>
      <c r="S133" s="389"/>
      <c r="T133" s="389"/>
      <c r="U133" s="389"/>
      <c r="W133" s="376"/>
      <c r="X133" s="389"/>
      <c r="Z133" s="389"/>
      <c r="AA133" s="389"/>
      <c r="AB133" s="389"/>
      <c r="AC133" s="389"/>
      <c r="AD133" s="389"/>
      <c r="AE133" s="389"/>
      <c r="AF133" s="389"/>
      <c r="AG133" s="389"/>
      <c r="AH133" s="389"/>
      <c r="AI133" s="389"/>
      <c r="AJ133" s="389"/>
      <c r="AK133" s="389"/>
      <c r="AL133" s="389"/>
      <c r="AM133" s="389"/>
      <c r="AN133" s="389"/>
    </row>
    <row r="134" spans="6:40">
      <c r="F134" s="389"/>
      <c r="G134" s="1226"/>
      <c r="H134" s="1226"/>
      <c r="I134" s="389"/>
      <c r="J134" s="389"/>
      <c r="L134" s="1226"/>
      <c r="M134" s="389"/>
      <c r="O134" s="389"/>
      <c r="P134" s="1226"/>
      <c r="Q134" s="912"/>
      <c r="S134" s="389"/>
      <c r="T134" s="389"/>
      <c r="U134" s="389"/>
      <c r="W134" s="376"/>
      <c r="X134" s="389"/>
      <c r="Z134" s="389"/>
      <c r="AA134" s="389"/>
      <c r="AB134" s="389"/>
      <c r="AC134" s="389"/>
      <c r="AD134" s="389"/>
      <c r="AE134" s="389"/>
      <c r="AF134" s="389"/>
      <c r="AG134" s="389"/>
      <c r="AH134" s="389"/>
      <c r="AI134" s="389"/>
      <c r="AJ134" s="389"/>
      <c r="AK134" s="389"/>
      <c r="AL134" s="389"/>
      <c r="AM134" s="389"/>
      <c r="AN134" s="389"/>
    </row>
    <row r="135" spans="6:40">
      <c r="F135" s="389"/>
      <c r="G135" s="1226"/>
      <c r="H135" s="1226"/>
      <c r="I135" s="389"/>
      <c r="J135" s="389"/>
      <c r="L135" s="1226"/>
      <c r="M135" s="389"/>
      <c r="O135" s="389"/>
      <c r="P135" s="1226"/>
      <c r="Q135" s="912"/>
      <c r="S135" s="389"/>
      <c r="T135" s="389"/>
      <c r="U135" s="389"/>
      <c r="W135" s="376"/>
      <c r="X135" s="389"/>
      <c r="Z135" s="389"/>
      <c r="AA135" s="389"/>
      <c r="AB135" s="389"/>
      <c r="AC135" s="389"/>
      <c r="AD135" s="389"/>
      <c r="AE135" s="389"/>
      <c r="AF135" s="389"/>
      <c r="AG135" s="389"/>
      <c r="AH135" s="389"/>
      <c r="AI135" s="389"/>
      <c r="AJ135" s="389"/>
      <c r="AK135" s="389"/>
      <c r="AL135" s="389"/>
      <c r="AM135" s="389"/>
      <c r="AN135" s="389"/>
    </row>
    <row r="136" spans="6:40">
      <c r="F136" s="389"/>
      <c r="G136" s="1226"/>
      <c r="H136" s="1226"/>
      <c r="I136" s="389"/>
      <c r="J136" s="389"/>
      <c r="L136" s="1226"/>
      <c r="M136" s="389"/>
      <c r="O136" s="389"/>
      <c r="P136" s="1226"/>
      <c r="Q136" s="912"/>
      <c r="S136" s="389"/>
      <c r="T136" s="389"/>
      <c r="U136" s="389"/>
      <c r="W136" s="376"/>
      <c r="X136" s="389"/>
      <c r="Z136" s="389"/>
      <c r="AA136" s="389"/>
      <c r="AB136" s="389"/>
      <c r="AC136" s="389"/>
      <c r="AD136" s="389"/>
      <c r="AE136" s="389"/>
      <c r="AF136" s="389"/>
      <c r="AG136" s="389"/>
      <c r="AH136" s="389"/>
      <c r="AI136" s="389"/>
      <c r="AJ136" s="389"/>
      <c r="AK136" s="389"/>
      <c r="AL136" s="389"/>
      <c r="AM136" s="389"/>
      <c r="AN136" s="389"/>
    </row>
    <row r="137" spans="6:40">
      <c r="F137" s="389"/>
      <c r="G137" s="1226"/>
      <c r="H137" s="1226"/>
      <c r="I137" s="389"/>
      <c r="J137" s="389"/>
      <c r="L137" s="1226"/>
      <c r="M137" s="1226"/>
      <c r="O137" s="389"/>
      <c r="P137" s="1226"/>
      <c r="Q137" s="912"/>
      <c r="S137" s="389"/>
      <c r="T137" s="389"/>
      <c r="U137" s="389"/>
      <c r="W137" s="376"/>
      <c r="X137" s="389"/>
      <c r="Z137" s="389"/>
      <c r="AA137" s="389"/>
      <c r="AB137" s="389"/>
      <c r="AC137" s="389"/>
      <c r="AD137" s="389"/>
      <c r="AE137" s="389"/>
      <c r="AF137" s="389"/>
      <c r="AG137" s="389"/>
      <c r="AH137" s="389"/>
      <c r="AI137" s="389"/>
      <c r="AJ137" s="389"/>
      <c r="AK137" s="389"/>
      <c r="AL137" s="389"/>
      <c r="AM137" s="389"/>
      <c r="AN137" s="389"/>
    </row>
    <row r="138" spans="6:40">
      <c r="F138" s="389"/>
      <c r="G138" s="1226"/>
      <c r="H138" s="1226"/>
      <c r="I138" s="389"/>
      <c r="J138" s="389"/>
      <c r="L138" s="1226"/>
      <c r="M138" s="1226"/>
      <c r="O138" s="389"/>
      <c r="P138" s="1226"/>
      <c r="Q138" s="912"/>
      <c r="S138" s="389"/>
      <c r="T138" s="389"/>
      <c r="U138" s="389"/>
      <c r="W138" s="376"/>
      <c r="X138" s="389"/>
      <c r="Z138" s="389"/>
      <c r="AA138" s="389"/>
      <c r="AB138" s="389"/>
      <c r="AC138" s="389"/>
      <c r="AD138" s="389"/>
      <c r="AE138" s="389"/>
      <c r="AF138" s="389"/>
      <c r="AG138" s="389"/>
      <c r="AH138" s="389"/>
      <c r="AI138" s="389"/>
      <c r="AJ138" s="389"/>
      <c r="AK138" s="389"/>
      <c r="AL138" s="389"/>
      <c r="AM138" s="389"/>
      <c r="AN138" s="389"/>
    </row>
    <row r="139" spans="6:40">
      <c r="F139" s="389"/>
      <c r="G139" s="1226"/>
      <c r="H139" s="1226"/>
      <c r="I139" s="389"/>
      <c r="J139" s="389"/>
      <c r="L139" s="1226"/>
      <c r="M139" s="1226"/>
      <c r="O139" s="389"/>
      <c r="P139" s="1226"/>
      <c r="Q139" s="912"/>
      <c r="S139" s="389"/>
      <c r="T139" s="389"/>
      <c r="U139" s="389"/>
      <c r="W139" s="376"/>
      <c r="X139" s="389"/>
      <c r="Z139" s="389"/>
      <c r="AA139" s="389"/>
      <c r="AB139" s="389"/>
      <c r="AC139" s="389"/>
      <c r="AD139" s="389"/>
      <c r="AE139" s="389"/>
      <c r="AF139" s="389"/>
      <c r="AG139" s="389"/>
      <c r="AH139" s="389"/>
      <c r="AI139" s="389"/>
      <c r="AJ139" s="389"/>
      <c r="AK139" s="389"/>
      <c r="AL139" s="389"/>
      <c r="AM139" s="389"/>
      <c r="AN139" s="389"/>
    </row>
    <row r="140" spans="6:40">
      <c r="F140" s="389"/>
      <c r="G140" s="1226"/>
      <c r="H140" s="1226"/>
      <c r="I140" s="389"/>
      <c r="J140" s="389"/>
      <c r="L140" s="1226"/>
      <c r="M140" s="1226"/>
      <c r="O140" s="389"/>
      <c r="P140" s="1226"/>
      <c r="Q140" s="912"/>
      <c r="S140" s="389"/>
      <c r="T140" s="389"/>
      <c r="U140" s="389"/>
      <c r="W140" s="376"/>
      <c r="X140" s="389"/>
      <c r="Z140" s="389"/>
      <c r="AA140" s="389"/>
      <c r="AB140" s="389"/>
      <c r="AC140" s="389"/>
      <c r="AD140" s="389"/>
      <c r="AE140" s="389"/>
      <c r="AF140" s="389"/>
      <c r="AG140" s="389"/>
      <c r="AH140" s="389"/>
      <c r="AI140" s="389"/>
      <c r="AJ140" s="389"/>
      <c r="AK140" s="389"/>
      <c r="AL140" s="389"/>
      <c r="AM140" s="389"/>
      <c r="AN140" s="389"/>
    </row>
    <row r="141" spans="6:40">
      <c r="F141" s="389"/>
      <c r="G141" s="1226"/>
      <c r="H141" s="1226"/>
      <c r="I141" s="389"/>
      <c r="J141" s="389"/>
      <c r="L141" s="1226"/>
      <c r="M141" s="1226"/>
      <c r="O141" s="389"/>
      <c r="P141" s="1226"/>
      <c r="Q141" s="912"/>
      <c r="S141" s="389"/>
      <c r="T141" s="389"/>
      <c r="U141" s="389"/>
      <c r="W141" s="376"/>
      <c r="X141" s="389"/>
      <c r="Z141" s="389"/>
      <c r="AA141" s="389"/>
      <c r="AB141" s="389"/>
      <c r="AC141" s="389"/>
      <c r="AD141" s="389"/>
      <c r="AE141" s="389"/>
      <c r="AF141" s="389"/>
      <c r="AG141" s="389"/>
      <c r="AH141" s="389"/>
      <c r="AI141" s="389"/>
      <c r="AJ141" s="389"/>
      <c r="AK141" s="389"/>
      <c r="AL141" s="389"/>
      <c r="AM141" s="389"/>
      <c r="AN141" s="389"/>
    </row>
    <row r="142" spans="6:40">
      <c r="F142" s="389"/>
      <c r="G142" s="1226"/>
      <c r="H142" s="1226"/>
      <c r="I142" s="389"/>
      <c r="J142" s="389"/>
      <c r="L142" s="1226"/>
      <c r="M142" s="1226"/>
      <c r="O142" s="389"/>
      <c r="P142" s="1226"/>
      <c r="Q142" s="912"/>
      <c r="S142" s="389"/>
      <c r="T142" s="389"/>
      <c r="U142" s="389"/>
      <c r="W142" s="376"/>
      <c r="X142" s="389"/>
      <c r="Z142" s="389"/>
      <c r="AA142" s="389"/>
      <c r="AB142" s="389"/>
      <c r="AC142" s="389"/>
      <c r="AD142" s="389"/>
      <c r="AE142" s="389"/>
      <c r="AF142" s="389"/>
      <c r="AG142" s="389"/>
      <c r="AH142" s="389"/>
      <c r="AI142" s="389"/>
      <c r="AJ142" s="389"/>
      <c r="AK142" s="389"/>
      <c r="AL142" s="389"/>
      <c r="AM142" s="389"/>
      <c r="AN142" s="389"/>
    </row>
    <row r="143" spans="6:40">
      <c r="F143" s="389"/>
      <c r="G143" s="1226"/>
      <c r="H143" s="1226"/>
      <c r="I143" s="389"/>
      <c r="J143" s="389"/>
      <c r="L143" s="1226"/>
      <c r="M143" s="1226"/>
      <c r="O143" s="389"/>
      <c r="P143" s="1226"/>
      <c r="Q143" s="912"/>
      <c r="S143" s="389"/>
      <c r="T143" s="389"/>
      <c r="U143" s="389"/>
      <c r="W143" s="376"/>
      <c r="X143" s="389"/>
      <c r="Z143" s="389"/>
      <c r="AA143" s="389"/>
      <c r="AB143" s="389"/>
      <c r="AC143" s="389"/>
      <c r="AD143" s="389"/>
      <c r="AE143" s="389"/>
      <c r="AF143" s="389"/>
      <c r="AG143" s="389"/>
      <c r="AH143" s="389"/>
      <c r="AI143" s="389"/>
      <c r="AJ143" s="389"/>
      <c r="AK143" s="389"/>
      <c r="AL143" s="389"/>
      <c r="AM143" s="389"/>
      <c r="AN143" s="389"/>
    </row>
    <row r="144" spans="6:40">
      <c r="F144" s="389"/>
      <c r="G144" s="1226"/>
      <c r="H144" s="1226"/>
      <c r="I144" s="389"/>
      <c r="J144" s="389"/>
      <c r="L144" s="1226"/>
      <c r="M144" s="1226"/>
      <c r="O144" s="389"/>
      <c r="P144" s="1226"/>
      <c r="Q144" s="912"/>
      <c r="S144" s="389"/>
      <c r="T144" s="389"/>
      <c r="U144" s="389"/>
      <c r="W144" s="376"/>
      <c r="X144" s="389"/>
      <c r="Z144" s="389"/>
      <c r="AA144" s="389"/>
      <c r="AB144" s="389"/>
      <c r="AC144" s="389"/>
      <c r="AD144" s="389"/>
      <c r="AE144" s="389"/>
      <c r="AF144" s="389"/>
      <c r="AG144" s="389"/>
      <c r="AH144" s="389"/>
      <c r="AI144" s="389"/>
      <c r="AJ144" s="389"/>
      <c r="AK144" s="389"/>
      <c r="AL144" s="389"/>
      <c r="AM144" s="389"/>
      <c r="AN144" s="389"/>
    </row>
    <row r="145" spans="6:40">
      <c r="F145" s="389"/>
      <c r="G145" s="1226"/>
      <c r="H145" s="1226"/>
      <c r="I145" s="389"/>
      <c r="J145" s="389"/>
      <c r="L145" s="1226"/>
      <c r="M145" s="1226"/>
      <c r="O145" s="389"/>
      <c r="P145" s="1226"/>
      <c r="Q145" s="912"/>
      <c r="S145" s="389"/>
      <c r="T145" s="389"/>
      <c r="U145" s="389"/>
      <c r="W145" s="376"/>
      <c r="X145" s="389"/>
      <c r="Z145" s="389"/>
      <c r="AA145" s="389"/>
      <c r="AB145" s="389"/>
      <c r="AC145" s="389"/>
      <c r="AD145" s="389"/>
      <c r="AE145" s="389"/>
      <c r="AF145" s="389"/>
      <c r="AG145" s="389"/>
      <c r="AH145" s="389"/>
      <c r="AI145" s="389"/>
      <c r="AJ145" s="389"/>
      <c r="AK145" s="389"/>
      <c r="AL145" s="389"/>
      <c r="AM145" s="389"/>
      <c r="AN145" s="389"/>
    </row>
    <row r="146" spans="6:40">
      <c r="F146" s="389"/>
      <c r="G146" s="1226"/>
      <c r="H146" s="1226"/>
      <c r="I146" s="389"/>
      <c r="J146" s="389"/>
      <c r="L146" s="1226"/>
      <c r="M146" s="1226"/>
      <c r="O146" s="389"/>
      <c r="P146" s="1226"/>
      <c r="Q146" s="912"/>
      <c r="S146" s="389"/>
      <c r="T146" s="389"/>
      <c r="U146" s="389"/>
      <c r="W146" s="376"/>
      <c r="X146" s="389"/>
      <c r="Z146" s="389"/>
      <c r="AA146" s="389"/>
      <c r="AB146" s="389"/>
      <c r="AC146" s="389"/>
      <c r="AD146" s="389"/>
      <c r="AE146" s="389"/>
      <c r="AF146" s="389"/>
      <c r="AG146" s="389"/>
      <c r="AH146" s="389"/>
      <c r="AI146" s="389"/>
      <c r="AJ146" s="389"/>
      <c r="AK146" s="389"/>
      <c r="AL146" s="389"/>
      <c r="AM146" s="389"/>
      <c r="AN146" s="389"/>
    </row>
    <row r="147" spans="6:40">
      <c r="F147" s="389"/>
      <c r="G147" s="1226"/>
      <c r="H147" s="1226"/>
      <c r="I147" s="389"/>
      <c r="J147" s="389"/>
      <c r="L147" s="1226"/>
      <c r="M147" s="1226"/>
      <c r="O147" s="389"/>
      <c r="P147" s="1226"/>
      <c r="Q147" s="912"/>
      <c r="S147" s="389"/>
      <c r="T147" s="389"/>
      <c r="U147" s="389"/>
      <c r="W147" s="376"/>
      <c r="X147" s="389"/>
      <c r="Z147" s="389"/>
      <c r="AA147" s="389"/>
      <c r="AB147" s="389"/>
      <c r="AC147" s="389"/>
      <c r="AD147" s="389"/>
      <c r="AE147" s="389"/>
      <c r="AF147" s="389"/>
      <c r="AG147" s="389"/>
      <c r="AH147" s="389"/>
      <c r="AI147" s="389"/>
      <c r="AJ147" s="389"/>
      <c r="AK147" s="389"/>
      <c r="AL147" s="389"/>
      <c r="AM147" s="389"/>
      <c r="AN147" s="389"/>
    </row>
    <row r="148" spans="6:40">
      <c r="F148" s="389"/>
      <c r="G148" s="1226"/>
      <c r="H148" s="1226"/>
      <c r="I148" s="389"/>
      <c r="J148" s="389"/>
      <c r="L148" s="1226"/>
      <c r="M148" s="1226"/>
      <c r="O148" s="389"/>
      <c r="P148" s="1226"/>
      <c r="Q148" s="912"/>
      <c r="S148" s="389"/>
      <c r="T148" s="389"/>
      <c r="U148" s="389"/>
      <c r="W148" s="376"/>
      <c r="X148" s="389"/>
      <c r="Z148" s="389"/>
      <c r="AA148" s="389"/>
      <c r="AB148" s="389"/>
      <c r="AC148" s="389"/>
      <c r="AD148" s="389"/>
      <c r="AE148" s="389"/>
      <c r="AF148" s="389"/>
      <c r="AG148" s="389"/>
      <c r="AH148" s="389"/>
      <c r="AI148" s="389"/>
      <c r="AJ148" s="389"/>
      <c r="AK148" s="389"/>
      <c r="AL148" s="389"/>
      <c r="AM148" s="389"/>
      <c r="AN148" s="389"/>
    </row>
    <row r="149" spans="6:40">
      <c r="F149" s="389"/>
      <c r="G149" s="1226"/>
      <c r="H149" s="1226"/>
      <c r="I149" s="389"/>
      <c r="J149" s="389"/>
      <c r="L149" s="1226"/>
      <c r="M149" s="1226"/>
      <c r="O149" s="389"/>
      <c r="P149" s="1226"/>
      <c r="Q149" s="912"/>
      <c r="S149" s="389"/>
      <c r="T149" s="389"/>
      <c r="U149" s="389"/>
      <c r="W149" s="376"/>
      <c r="X149" s="389"/>
      <c r="Z149" s="389"/>
      <c r="AA149" s="389"/>
      <c r="AB149" s="389"/>
      <c r="AC149" s="389"/>
      <c r="AD149" s="389"/>
      <c r="AE149" s="389"/>
      <c r="AF149" s="389"/>
      <c r="AG149" s="389"/>
      <c r="AH149" s="389"/>
      <c r="AI149" s="389"/>
      <c r="AJ149" s="389"/>
      <c r="AK149" s="389"/>
      <c r="AL149" s="389"/>
      <c r="AM149" s="389"/>
      <c r="AN149" s="389"/>
    </row>
    <row r="150" spans="6:40">
      <c r="F150" s="389"/>
      <c r="G150" s="1226"/>
      <c r="H150" s="1226"/>
      <c r="I150" s="389"/>
      <c r="J150" s="389"/>
      <c r="L150" s="1226"/>
      <c r="M150" s="1226"/>
      <c r="O150" s="389"/>
      <c r="P150" s="1226"/>
      <c r="Q150" s="912"/>
      <c r="S150" s="389"/>
      <c r="T150" s="389"/>
      <c r="U150" s="389"/>
      <c r="W150" s="376"/>
      <c r="X150" s="389"/>
      <c r="Z150" s="389"/>
      <c r="AA150" s="389"/>
      <c r="AB150" s="389"/>
      <c r="AC150" s="389"/>
      <c r="AD150" s="389"/>
      <c r="AE150" s="389"/>
      <c r="AF150" s="389"/>
      <c r="AG150" s="389"/>
      <c r="AH150" s="389"/>
      <c r="AI150" s="389"/>
      <c r="AJ150" s="389"/>
      <c r="AK150" s="389"/>
      <c r="AL150" s="389"/>
      <c r="AM150" s="389"/>
      <c r="AN150" s="389"/>
    </row>
    <row r="151" spans="6:40">
      <c r="F151" s="389"/>
      <c r="G151" s="1226"/>
      <c r="H151" s="1226"/>
      <c r="I151" s="389"/>
      <c r="J151" s="389"/>
      <c r="L151" s="1226"/>
      <c r="M151" s="1226"/>
      <c r="O151" s="389"/>
      <c r="P151" s="1226"/>
      <c r="Q151" s="912"/>
      <c r="S151" s="389"/>
      <c r="T151" s="389"/>
      <c r="U151" s="389"/>
      <c r="W151" s="376"/>
      <c r="X151" s="389"/>
      <c r="Z151" s="389"/>
      <c r="AA151" s="389"/>
      <c r="AB151" s="389"/>
      <c r="AC151" s="389"/>
      <c r="AD151" s="389"/>
      <c r="AE151" s="389"/>
      <c r="AF151" s="389"/>
      <c r="AG151" s="389"/>
      <c r="AH151" s="389"/>
      <c r="AI151" s="389"/>
      <c r="AJ151" s="389"/>
      <c r="AK151" s="389"/>
      <c r="AL151" s="389"/>
      <c r="AM151" s="389"/>
      <c r="AN151" s="389"/>
    </row>
    <row r="152" spans="6:40">
      <c r="F152" s="389"/>
      <c r="G152" s="1226"/>
      <c r="H152" s="1226"/>
      <c r="I152" s="389"/>
      <c r="J152" s="389"/>
      <c r="L152" s="1226"/>
      <c r="M152" s="1226"/>
      <c r="O152" s="389"/>
      <c r="P152" s="1226"/>
      <c r="Q152" s="912"/>
      <c r="S152" s="389"/>
      <c r="T152" s="389"/>
      <c r="U152" s="389"/>
      <c r="W152" s="376"/>
      <c r="X152" s="389"/>
      <c r="Z152" s="389"/>
      <c r="AA152" s="389"/>
      <c r="AB152" s="389"/>
      <c r="AC152" s="389"/>
      <c r="AD152" s="389"/>
      <c r="AE152" s="389"/>
      <c r="AF152" s="389"/>
      <c r="AG152" s="389"/>
      <c r="AH152" s="389"/>
      <c r="AI152" s="389"/>
      <c r="AJ152" s="389"/>
      <c r="AK152" s="389"/>
      <c r="AL152" s="389"/>
      <c r="AM152" s="389"/>
      <c r="AN152" s="389"/>
    </row>
    <row r="153" spans="6:40">
      <c r="F153" s="389"/>
      <c r="G153" s="1226"/>
      <c r="H153" s="1226"/>
      <c r="I153" s="389"/>
      <c r="J153" s="389"/>
      <c r="L153" s="1226"/>
      <c r="M153" s="1226"/>
      <c r="O153" s="389"/>
      <c r="P153" s="1226"/>
      <c r="Q153" s="912"/>
      <c r="S153" s="389"/>
      <c r="T153" s="389"/>
      <c r="U153" s="389"/>
      <c r="W153" s="376"/>
      <c r="X153" s="389"/>
      <c r="Z153" s="389"/>
      <c r="AA153" s="389"/>
      <c r="AB153" s="389"/>
      <c r="AC153" s="389"/>
      <c r="AD153" s="389"/>
      <c r="AE153" s="389"/>
      <c r="AF153" s="389"/>
      <c r="AG153" s="389"/>
      <c r="AH153" s="389"/>
      <c r="AI153" s="389"/>
      <c r="AJ153" s="389"/>
      <c r="AK153" s="389"/>
      <c r="AL153" s="389"/>
      <c r="AM153" s="389"/>
      <c r="AN153" s="389"/>
    </row>
    <row r="154" spans="6:40">
      <c r="F154" s="389"/>
      <c r="G154" s="1226"/>
      <c r="H154" s="1226"/>
      <c r="I154" s="389"/>
      <c r="J154" s="389"/>
      <c r="L154" s="1226"/>
      <c r="M154" s="1226"/>
      <c r="O154" s="389"/>
      <c r="P154" s="1226"/>
      <c r="Q154" s="912"/>
      <c r="S154" s="389"/>
      <c r="T154" s="389"/>
      <c r="U154" s="389"/>
      <c r="W154" s="376"/>
      <c r="X154" s="389"/>
      <c r="Z154" s="389"/>
      <c r="AA154" s="389"/>
      <c r="AB154" s="389"/>
      <c r="AC154" s="389"/>
      <c r="AD154" s="389"/>
      <c r="AE154" s="389"/>
      <c r="AF154" s="389"/>
      <c r="AG154" s="389"/>
      <c r="AH154" s="389"/>
      <c r="AI154" s="389"/>
      <c r="AJ154" s="389"/>
      <c r="AK154" s="389"/>
      <c r="AL154" s="389"/>
      <c r="AM154" s="389"/>
      <c r="AN154" s="389"/>
    </row>
    <row r="155" spans="6:40">
      <c r="F155" s="389"/>
      <c r="G155" s="1226"/>
      <c r="H155" s="1226"/>
      <c r="I155" s="389"/>
      <c r="J155" s="389"/>
      <c r="L155" s="1226"/>
      <c r="M155" s="1226"/>
      <c r="O155" s="389"/>
      <c r="P155" s="1226"/>
      <c r="Q155" s="912"/>
      <c r="S155" s="389"/>
      <c r="T155" s="389"/>
      <c r="U155" s="389"/>
      <c r="W155" s="376"/>
      <c r="X155" s="389"/>
      <c r="Z155" s="389"/>
      <c r="AA155" s="389"/>
      <c r="AB155" s="389"/>
      <c r="AC155" s="389"/>
      <c r="AD155" s="389"/>
      <c r="AE155" s="389"/>
      <c r="AF155" s="389"/>
      <c r="AG155" s="389"/>
      <c r="AH155" s="389"/>
      <c r="AI155" s="389"/>
      <c r="AJ155" s="389"/>
      <c r="AK155" s="389"/>
      <c r="AL155" s="389"/>
      <c r="AM155" s="389"/>
      <c r="AN155" s="389"/>
    </row>
    <row r="156" spans="6:40">
      <c r="F156" s="389"/>
      <c r="G156" s="1226"/>
      <c r="H156" s="1226"/>
      <c r="I156" s="389"/>
      <c r="J156" s="389"/>
      <c r="L156" s="1226"/>
      <c r="M156" s="1226"/>
      <c r="O156" s="389"/>
      <c r="P156" s="1226"/>
      <c r="Q156" s="912"/>
      <c r="S156" s="389"/>
      <c r="T156" s="389"/>
      <c r="U156" s="389"/>
      <c r="W156" s="376"/>
      <c r="X156" s="389"/>
      <c r="Z156" s="389"/>
      <c r="AA156" s="389"/>
      <c r="AB156" s="389"/>
      <c r="AC156" s="389"/>
      <c r="AD156" s="389"/>
      <c r="AE156" s="389"/>
      <c r="AF156" s="389"/>
      <c r="AG156" s="389"/>
      <c r="AH156" s="389"/>
      <c r="AI156" s="389"/>
      <c r="AJ156" s="389"/>
      <c r="AK156" s="389"/>
      <c r="AL156" s="389"/>
      <c r="AM156" s="389"/>
      <c r="AN156" s="389"/>
    </row>
    <row r="157" spans="6:40">
      <c r="F157" s="389"/>
      <c r="G157" s="1226"/>
      <c r="H157" s="1226"/>
      <c r="I157" s="389"/>
      <c r="J157" s="389"/>
      <c r="L157" s="1226"/>
      <c r="M157" s="1226"/>
      <c r="O157" s="389"/>
      <c r="P157" s="1226"/>
      <c r="Q157" s="912"/>
      <c r="S157" s="389"/>
      <c r="T157" s="389"/>
      <c r="U157" s="389"/>
      <c r="W157" s="376"/>
      <c r="X157" s="389"/>
      <c r="Z157" s="389"/>
      <c r="AA157" s="389"/>
      <c r="AB157" s="389"/>
      <c r="AC157" s="389"/>
      <c r="AD157" s="389"/>
      <c r="AE157" s="389"/>
      <c r="AF157" s="389"/>
      <c r="AG157" s="389"/>
      <c r="AH157" s="389"/>
      <c r="AI157" s="389"/>
      <c r="AJ157" s="389"/>
      <c r="AK157" s="389"/>
      <c r="AL157" s="389"/>
      <c r="AM157" s="389"/>
      <c r="AN157" s="389"/>
    </row>
    <row r="158" spans="6:40">
      <c r="F158" s="389"/>
      <c r="G158" s="1226"/>
      <c r="H158" s="1226"/>
      <c r="I158" s="389"/>
      <c r="J158" s="389"/>
      <c r="L158" s="1226"/>
      <c r="M158" s="1226"/>
      <c r="O158" s="389"/>
      <c r="P158" s="1226"/>
      <c r="Q158" s="912"/>
      <c r="S158" s="389"/>
      <c r="T158" s="389"/>
      <c r="U158" s="389"/>
      <c r="W158" s="376"/>
      <c r="X158" s="389"/>
      <c r="Z158" s="389"/>
      <c r="AA158" s="389"/>
      <c r="AB158" s="389"/>
      <c r="AC158" s="389"/>
      <c r="AD158" s="389"/>
      <c r="AE158" s="389"/>
      <c r="AF158" s="389"/>
      <c r="AG158" s="389"/>
      <c r="AH158" s="389"/>
      <c r="AI158" s="389"/>
      <c r="AJ158" s="389"/>
      <c r="AK158" s="389"/>
      <c r="AL158" s="389"/>
      <c r="AM158" s="389"/>
      <c r="AN158" s="389"/>
    </row>
    <row r="159" spans="6:40">
      <c r="F159" s="389"/>
      <c r="G159" s="1226"/>
      <c r="H159" s="1226"/>
      <c r="I159" s="389"/>
      <c r="J159" s="389"/>
      <c r="L159" s="1226"/>
      <c r="M159" s="1226"/>
      <c r="O159" s="389"/>
      <c r="P159" s="1226"/>
      <c r="Q159" s="912"/>
      <c r="S159" s="389"/>
      <c r="T159" s="389"/>
      <c r="U159" s="389"/>
      <c r="W159" s="376"/>
      <c r="X159" s="389"/>
      <c r="Z159" s="389"/>
      <c r="AA159" s="389"/>
      <c r="AB159" s="389"/>
      <c r="AC159" s="389"/>
      <c r="AD159" s="389"/>
      <c r="AE159" s="389"/>
      <c r="AF159" s="389"/>
      <c r="AG159" s="389"/>
      <c r="AH159" s="389"/>
      <c r="AI159" s="389"/>
      <c r="AJ159" s="389"/>
      <c r="AK159" s="389"/>
      <c r="AL159" s="389"/>
      <c r="AM159" s="389"/>
      <c r="AN159" s="389"/>
    </row>
    <row r="160" spans="6:40">
      <c r="F160" s="389"/>
      <c r="G160" s="1226"/>
      <c r="H160" s="1226"/>
      <c r="I160" s="389"/>
      <c r="J160" s="389"/>
      <c r="L160" s="1226"/>
      <c r="M160" s="1226"/>
      <c r="O160" s="389"/>
      <c r="P160" s="1226"/>
      <c r="Q160" s="912"/>
      <c r="S160" s="389"/>
      <c r="T160" s="389"/>
      <c r="U160" s="389"/>
      <c r="W160" s="376"/>
      <c r="X160" s="389"/>
      <c r="Z160" s="389"/>
      <c r="AA160" s="389"/>
      <c r="AB160" s="389"/>
      <c r="AC160" s="389"/>
      <c r="AD160" s="389"/>
      <c r="AE160" s="389"/>
      <c r="AF160" s="389"/>
      <c r="AG160" s="389"/>
      <c r="AH160" s="389"/>
      <c r="AI160" s="389"/>
      <c r="AJ160" s="389"/>
      <c r="AK160" s="389"/>
      <c r="AL160" s="389"/>
      <c r="AM160" s="389"/>
      <c r="AN160" s="389"/>
    </row>
    <row r="161" spans="6:40">
      <c r="F161" s="389"/>
      <c r="G161" s="1226"/>
      <c r="H161" s="1226"/>
      <c r="I161" s="389"/>
      <c r="J161" s="389"/>
      <c r="L161" s="1226"/>
      <c r="M161" s="1226"/>
      <c r="O161" s="389"/>
      <c r="P161" s="1226"/>
      <c r="Q161" s="912"/>
      <c r="S161" s="389"/>
      <c r="T161" s="389"/>
      <c r="U161" s="389"/>
      <c r="W161" s="376"/>
      <c r="X161" s="389"/>
      <c r="Z161" s="389"/>
      <c r="AA161" s="389"/>
      <c r="AB161" s="389"/>
      <c r="AC161" s="389"/>
      <c r="AD161" s="389"/>
      <c r="AE161" s="389"/>
      <c r="AF161" s="389"/>
      <c r="AG161" s="389"/>
      <c r="AH161" s="389"/>
      <c r="AI161" s="389"/>
      <c r="AJ161" s="389"/>
      <c r="AK161" s="389"/>
      <c r="AL161" s="389"/>
      <c r="AM161" s="389"/>
      <c r="AN161" s="389"/>
    </row>
    <row r="162" spans="6:40">
      <c r="F162" s="389"/>
      <c r="G162" s="1226"/>
      <c r="H162" s="1226"/>
      <c r="I162" s="389"/>
      <c r="J162" s="389"/>
      <c r="L162" s="1226"/>
      <c r="M162" s="1226"/>
      <c r="O162" s="389"/>
      <c r="P162" s="1226"/>
      <c r="Q162" s="912"/>
      <c r="S162" s="389"/>
      <c r="T162" s="389"/>
      <c r="U162" s="389"/>
      <c r="W162" s="376"/>
      <c r="X162" s="389"/>
      <c r="Z162" s="389"/>
      <c r="AA162" s="389"/>
      <c r="AB162" s="389"/>
      <c r="AC162" s="389"/>
      <c r="AD162" s="389"/>
      <c r="AE162" s="389"/>
      <c r="AF162" s="389"/>
      <c r="AG162" s="389"/>
      <c r="AH162" s="389"/>
      <c r="AI162" s="389"/>
      <c r="AJ162" s="389"/>
      <c r="AK162" s="389"/>
      <c r="AL162" s="389"/>
      <c r="AM162" s="389"/>
      <c r="AN162" s="389"/>
    </row>
    <row r="163" spans="6:40">
      <c r="F163" s="389"/>
      <c r="G163" s="1226"/>
      <c r="H163" s="1226"/>
      <c r="I163" s="389"/>
      <c r="J163" s="389"/>
      <c r="L163" s="1226"/>
      <c r="M163" s="1226"/>
      <c r="O163" s="389"/>
      <c r="P163" s="1226"/>
      <c r="Q163" s="912"/>
      <c r="S163" s="389"/>
      <c r="T163" s="389"/>
      <c r="U163" s="389"/>
      <c r="W163" s="376"/>
      <c r="X163" s="389"/>
      <c r="Z163" s="389"/>
      <c r="AA163" s="389"/>
      <c r="AB163" s="389"/>
      <c r="AC163" s="389"/>
      <c r="AD163" s="389"/>
      <c r="AE163" s="389"/>
      <c r="AF163" s="389"/>
      <c r="AG163" s="389"/>
      <c r="AH163" s="389"/>
      <c r="AI163" s="389"/>
      <c r="AJ163" s="389"/>
      <c r="AK163" s="389"/>
      <c r="AL163" s="389"/>
      <c r="AM163" s="389"/>
      <c r="AN163" s="389"/>
    </row>
    <row r="164" spans="6:40">
      <c r="F164" s="389"/>
      <c r="G164" s="1226"/>
      <c r="H164" s="1226"/>
      <c r="I164" s="389"/>
      <c r="J164" s="389"/>
      <c r="L164" s="1226"/>
      <c r="M164" s="1226"/>
      <c r="O164" s="389"/>
      <c r="P164" s="1226"/>
      <c r="Q164" s="912"/>
      <c r="S164" s="389"/>
      <c r="T164" s="389"/>
      <c r="U164" s="389"/>
      <c r="W164" s="376"/>
      <c r="X164" s="389"/>
      <c r="Z164" s="389"/>
      <c r="AA164" s="389"/>
      <c r="AB164" s="389"/>
      <c r="AC164" s="389"/>
      <c r="AD164" s="389"/>
      <c r="AE164" s="389"/>
      <c r="AF164" s="389"/>
      <c r="AG164" s="389"/>
      <c r="AH164" s="389"/>
      <c r="AI164" s="389"/>
      <c r="AJ164" s="389"/>
      <c r="AK164" s="389"/>
      <c r="AL164" s="389"/>
      <c r="AM164" s="389"/>
      <c r="AN164" s="389"/>
    </row>
    <row r="165" spans="6:40">
      <c r="F165" s="389"/>
      <c r="G165" s="1226"/>
      <c r="H165" s="1226"/>
      <c r="I165" s="389"/>
      <c r="J165" s="389"/>
      <c r="L165" s="1226"/>
      <c r="M165" s="1226"/>
      <c r="O165" s="389"/>
      <c r="P165" s="1226"/>
      <c r="Q165" s="912"/>
      <c r="S165" s="389"/>
      <c r="T165" s="389"/>
      <c r="U165" s="389"/>
      <c r="W165" s="376"/>
      <c r="X165" s="389"/>
      <c r="Z165" s="389"/>
      <c r="AA165" s="389"/>
      <c r="AB165" s="389"/>
      <c r="AC165" s="389"/>
      <c r="AD165" s="389"/>
      <c r="AE165" s="389"/>
      <c r="AF165" s="389"/>
      <c r="AG165" s="389"/>
      <c r="AH165" s="389"/>
      <c r="AI165" s="389"/>
      <c r="AJ165" s="389"/>
      <c r="AK165" s="389"/>
      <c r="AL165" s="389"/>
      <c r="AM165" s="389"/>
      <c r="AN165" s="389"/>
    </row>
    <row r="166" spans="6:40">
      <c r="F166" s="389"/>
      <c r="G166" s="1226"/>
      <c r="H166" s="1226"/>
      <c r="I166" s="389"/>
      <c r="J166" s="389"/>
      <c r="L166" s="1226"/>
      <c r="M166" s="1226"/>
      <c r="O166" s="389"/>
      <c r="P166" s="1226"/>
      <c r="Q166" s="912"/>
      <c r="S166" s="389"/>
      <c r="T166" s="389"/>
      <c r="U166" s="389"/>
      <c r="W166" s="376"/>
      <c r="X166" s="389"/>
      <c r="Z166" s="389"/>
      <c r="AA166" s="389"/>
      <c r="AB166" s="389"/>
      <c r="AC166" s="389"/>
      <c r="AD166" s="389"/>
      <c r="AE166" s="389"/>
      <c r="AF166" s="389"/>
      <c r="AG166" s="389"/>
      <c r="AH166" s="389"/>
      <c r="AI166" s="389"/>
      <c r="AJ166" s="389"/>
      <c r="AK166" s="389"/>
      <c r="AL166" s="389"/>
      <c r="AM166" s="389"/>
      <c r="AN166" s="389"/>
    </row>
    <row r="167" spans="6:40">
      <c r="F167" s="389"/>
      <c r="G167" s="1226"/>
      <c r="H167" s="1226"/>
      <c r="I167" s="389"/>
      <c r="J167" s="389"/>
      <c r="L167" s="1226"/>
      <c r="M167" s="1226"/>
      <c r="O167" s="389"/>
      <c r="P167" s="1226"/>
      <c r="Q167" s="912"/>
      <c r="S167" s="389"/>
      <c r="T167" s="389"/>
      <c r="U167" s="389"/>
      <c r="W167" s="376"/>
      <c r="X167" s="389"/>
      <c r="Z167" s="389"/>
      <c r="AA167" s="389"/>
      <c r="AB167" s="389"/>
      <c r="AC167" s="389"/>
      <c r="AD167" s="389"/>
      <c r="AE167" s="389"/>
      <c r="AF167" s="389"/>
      <c r="AG167" s="389"/>
      <c r="AH167" s="389"/>
      <c r="AI167" s="389"/>
      <c r="AJ167" s="389"/>
      <c r="AK167" s="389"/>
      <c r="AL167" s="389"/>
      <c r="AM167" s="389"/>
      <c r="AN167" s="389"/>
    </row>
    <row r="168" spans="6:40">
      <c r="F168" s="389"/>
      <c r="G168" s="1226"/>
      <c r="H168" s="1226"/>
      <c r="I168" s="389"/>
      <c r="J168" s="389"/>
      <c r="L168" s="1226"/>
      <c r="M168" s="1226"/>
      <c r="O168" s="389"/>
      <c r="P168" s="1226"/>
      <c r="Q168" s="912"/>
      <c r="S168" s="389"/>
      <c r="T168" s="389"/>
      <c r="U168" s="389"/>
      <c r="W168" s="376"/>
      <c r="X168" s="389"/>
      <c r="Z168" s="389"/>
      <c r="AA168" s="389"/>
      <c r="AB168" s="389"/>
      <c r="AC168" s="389"/>
      <c r="AD168" s="389"/>
      <c r="AE168" s="389"/>
      <c r="AF168" s="389"/>
      <c r="AG168" s="389"/>
      <c r="AH168" s="389"/>
      <c r="AI168" s="389"/>
      <c r="AJ168" s="389"/>
      <c r="AK168" s="389"/>
      <c r="AL168" s="389"/>
      <c r="AM168" s="389"/>
      <c r="AN168" s="389"/>
    </row>
    <row r="169" spans="6:40">
      <c r="F169" s="389"/>
      <c r="G169" s="1226"/>
      <c r="H169" s="1226"/>
      <c r="I169" s="389"/>
      <c r="J169" s="389"/>
      <c r="L169" s="1226"/>
      <c r="M169" s="1226"/>
      <c r="O169" s="389"/>
      <c r="P169" s="1226"/>
      <c r="Q169" s="912"/>
      <c r="S169" s="389"/>
      <c r="T169" s="389"/>
      <c r="U169" s="389"/>
      <c r="W169" s="376"/>
      <c r="X169" s="389"/>
      <c r="Z169" s="389"/>
      <c r="AA169" s="389"/>
      <c r="AB169" s="389"/>
      <c r="AC169" s="389"/>
      <c r="AD169" s="389"/>
      <c r="AE169" s="389"/>
      <c r="AF169" s="389"/>
      <c r="AG169" s="389"/>
      <c r="AH169" s="389"/>
      <c r="AI169" s="389"/>
      <c r="AJ169" s="389"/>
      <c r="AK169" s="389"/>
      <c r="AL169" s="389"/>
      <c r="AM169" s="389"/>
      <c r="AN169" s="389"/>
    </row>
    <row r="170" spans="6:40">
      <c r="F170" s="389"/>
      <c r="G170" s="1226"/>
      <c r="H170" s="1226"/>
      <c r="I170" s="389"/>
      <c r="J170" s="389"/>
      <c r="L170" s="1226"/>
      <c r="M170" s="1226"/>
      <c r="O170" s="389"/>
      <c r="P170" s="1226"/>
      <c r="Q170" s="912"/>
      <c r="S170" s="389"/>
      <c r="T170" s="389"/>
      <c r="U170" s="389"/>
      <c r="W170" s="376"/>
      <c r="X170" s="389"/>
      <c r="Z170" s="389"/>
      <c r="AA170" s="389"/>
      <c r="AB170" s="389"/>
      <c r="AC170" s="389"/>
      <c r="AD170" s="389"/>
      <c r="AE170" s="389"/>
      <c r="AF170" s="389"/>
      <c r="AG170" s="389"/>
      <c r="AH170" s="389"/>
      <c r="AI170" s="389"/>
      <c r="AJ170" s="389"/>
      <c r="AK170" s="389"/>
      <c r="AL170" s="389"/>
      <c r="AM170" s="389"/>
      <c r="AN170" s="389"/>
    </row>
    <row r="171" spans="6:40">
      <c r="F171" s="389"/>
      <c r="G171" s="1226"/>
      <c r="H171" s="1226"/>
      <c r="I171" s="389"/>
      <c r="J171" s="389"/>
      <c r="L171" s="1226"/>
      <c r="M171" s="1226"/>
      <c r="O171" s="389"/>
      <c r="P171" s="1226"/>
      <c r="Q171" s="1226"/>
      <c r="S171" s="389"/>
      <c r="T171" s="389"/>
      <c r="U171" s="389"/>
      <c r="W171" s="376"/>
      <c r="X171" s="389"/>
      <c r="Z171" s="389"/>
      <c r="AA171" s="389"/>
      <c r="AB171" s="389"/>
      <c r="AC171" s="389"/>
      <c r="AD171" s="389"/>
      <c r="AE171" s="389"/>
      <c r="AF171" s="389"/>
      <c r="AG171" s="389"/>
      <c r="AH171" s="389"/>
      <c r="AI171" s="389"/>
      <c r="AJ171" s="389"/>
      <c r="AK171" s="389"/>
      <c r="AL171" s="389"/>
      <c r="AM171" s="389"/>
      <c r="AN171" s="389"/>
    </row>
    <row r="172" spans="6:40">
      <c r="F172" s="389"/>
      <c r="G172" s="1226"/>
      <c r="H172" s="1226"/>
      <c r="I172" s="389"/>
      <c r="J172" s="389"/>
      <c r="L172" s="1226"/>
      <c r="M172" s="1226"/>
      <c r="O172" s="389"/>
      <c r="P172" s="1226"/>
      <c r="Q172" s="1226"/>
      <c r="S172" s="389"/>
      <c r="T172" s="389"/>
      <c r="U172" s="389"/>
      <c r="W172" s="376"/>
      <c r="X172" s="389"/>
      <c r="Z172" s="389"/>
      <c r="AA172" s="389"/>
      <c r="AB172" s="389"/>
      <c r="AC172" s="389"/>
      <c r="AD172" s="389"/>
      <c r="AE172" s="389"/>
      <c r="AF172" s="389"/>
      <c r="AG172" s="389"/>
      <c r="AH172" s="389"/>
      <c r="AI172" s="389"/>
      <c r="AJ172" s="389"/>
      <c r="AK172" s="389"/>
      <c r="AL172" s="389"/>
      <c r="AM172" s="389"/>
      <c r="AN172" s="389"/>
    </row>
    <row r="173" spans="6:40">
      <c r="F173" s="389"/>
      <c r="G173" s="1226"/>
      <c r="H173" s="1226"/>
      <c r="I173" s="389"/>
      <c r="J173" s="389"/>
      <c r="L173" s="1226"/>
      <c r="M173" s="1226"/>
      <c r="O173" s="389"/>
      <c r="P173" s="1226"/>
      <c r="Q173" s="1226"/>
      <c r="S173" s="389"/>
      <c r="T173" s="389"/>
      <c r="U173" s="389"/>
      <c r="W173" s="376"/>
      <c r="X173" s="389"/>
      <c r="Z173" s="389"/>
      <c r="AA173" s="389"/>
      <c r="AB173" s="389"/>
      <c r="AC173" s="389"/>
      <c r="AD173" s="389"/>
      <c r="AE173" s="389"/>
      <c r="AF173" s="389"/>
      <c r="AG173" s="389"/>
      <c r="AH173" s="389"/>
      <c r="AI173" s="389"/>
      <c r="AJ173" s="389"/>
      <c r="AK173" s="389"/>
      <c r="AL173" s="389"/>
      <c r="AM173" s="389"/>
      <c r="AN173" s="389"/>
    </row>
    <row r="174" spans="6:40">
      <c r="F174" s="389"/>
      <c r="G174" s="1226"/>
      <c r="H174" s="1226"/>
      <c r="I174" s="389"/>
      <c r="J174" s="389"/>
      <c r="L174" s="1226"/>
      <c r="M174" s="1226"/>
      <c r="O174" s="389"/>
      <c r="P174" s="1226"/>
      <c r="Q174" s="1226"/>
      <c r="S174" s="389"/>
      <c r="T174" s="389"/>
      <c r="U174" s="389"/>
      <c r="W174" s="376"/>
      <c r="X174" s="389"/>
      <c r="Z174" s="389"/>
      <c r="AA174" s="389"/>
      <c r="AB174" s="389"/>
      <c r="AC174" s="389"/>
      <c r="AD174" s="389"/>
      <c r="AE174" s="389"/>
      <c r="AF174" s="389"/>
      <c r="AG174" s="389"/>
      <c r="AH174" s="389"/>
      <c r="AI174" s="389"/>
      <c r="AJ174" s="389"/>
      <c r="AK174" s="389"/>
      <c r="AL174" s="389"/>
      <c r="AM174" s="389"/>
      <c r="AN174" s="389"/>
    </row>
    <row r="175" spans="6:40">
      <c r="F175" s="389"/>
      <c r="G175" s="1226"/>
      <c r="H175" s="1226"/>
      <c r="I175" s="389"/>
      <c r="J175" s="389"/>
      <c r="L175" s="1226"/>
      <c r="M175" s="1226"/>
      <c r="O175" s="389"/>
      <c r="P175" s="1226"/>
      <c r="Q175" s="1226"/>
      <c r="S175" s="389"/>
      <c r="T175" s="389"/>
      <c r="U175" s="389"/>
      <c r="W175" s="376"/>
      <c r="X175" s="389"/>
      <c r="Z175" s="389"/>
      <c r="AA175" s="389"/>
      <c r="AB175" s="389"/>
      <c r="AC175" s="389"/>
      <c r="AD175" s="389"/>
      <c r="AE175" s="389"/>
      <c r="AF175" s="389"/>
      <c r="AG175" s="389"/>
      <c r="AH175" s="389"/>
      <c r="AI175" s="389"/>
      <c r="AJ175" s="389"/>
      <c r="AK175" s="389"/>
      <c r="AL175" s="389"/>
      <c r="AM175" s="389"/>
      <c r="AN175" s="389"/>
    </row>
    <row r="176" spans="6:40">
      <c r="F176" s="389"/>
      <c r="G176" s="1226"/>
      <c r="H176" s="1226"/>
      <c r="I176" s="389"/>
      <c r="J176" s="389"/>
      <c r="L176" s="1226"/>
      <c r="M176" s="1226"/>
      <c r="O176" s="389"/>
      <c r="P176" s="1226"/>
      <c r="Q176" s="1226"/>
      <c r="S176" s="389"/>
      <c r="T176" s="389"/>
      <c r="U176" s="389"/>
      <c r="X176" s="389"/>
      <c r="Z176" s="389"/>
      <c r="AA176" s="389"/>
      <c r="AB176" s="389"/>
      <c r="AC176" s="389"/>
      <c r="AD176" s="389"/>
      <c r="AE176" s="389"/>
      <c r="AF176" s="389"/>
      <c r="AG176" s="389"/>
      <c r="AH176" s="389"/>
      <c r="AI176" s="389"/>
      <c r="AJ176" s="389"/>
      <c r="AK176" s="389"/>
      <c r="AL176" s="389"/>
      <c r="AM176" s="389"/>
      <c r="AN176" s="389"/>
    </row>
    <row r="177" spans="6:40">
      <c r="F177" s="389"/>
      <c r="G177" s="1226"/>
      <c r="H177" s="1226"/>
      <c r="I177" s="389"/>
      <c r="J177" s="389"/>
      <c r="L177" s="1226"/>
      <c r="M177" s="1226"/>
      <c r="O177" s="389"/>
      <c r="P177" s="1226"/>
      <c r="Q177" s="1226"/>
      <c r="S177" s="389"/>
      <c r="T177" s="389"/>
      <c r="U177" s="389"/>
      <c r="X177" s="389"/>
      <c r="Z177" s="389"/>
      <c r="AA177" s="389"/>
      <c r="AB177" s="389"/>
      <c r="AC177" s="389"/>
      <c r="AD177" s="389"/>
      <c r="AE177" s="389"/>
      <c r="AF177" s="389"/>
      <c r="AG177" s="389"/>
      <c r="AH177" s="389"/>
      <c r="AI177" s="389"/>
      <c r="AJ177" s="389"/>
      <c r="AK177" s="389"/>
      <c r="AL177" s="389"/>
      <c r="AM177" s="389"/>
      <c r="AN177" s="389"/>
    </row>
    <row r="178" spans="6:40">
      <c r="F178" s="389"/>
      <c r="G178" s="1226"/>
      <c r="H178" s="1226"/>
      <c r="I178" s="389"/>
      <c r="J178" s="389"/>
      <c r="L178" s="1226"/>
      <c r="M178" s="1226"/>
      <c r="O178" s="389"/>
      <c r="P178" s="1226"/>
      <c r="Q178" s="1226"/>
      <c r="S178" s="389"/>
      <c r="T178" s="389"/>
      <c r="U178" s="389"/>
      <c r="X178" s="389"/>
      <c r="Z178" s="389"/>
      <c r="AA178" s="389"/>
      <c r="AB178" s="389"/>
      <c r="AC178" s="389"/>
      <c r="AD178" s="389"/>
      <c r="AE178" s="389"/>
      <c r="AF178" s="389"/>
      <c r="AG178" s="389"/>
      <c r="AH178" s="389"/>
      <c r="AI178" s="389"/>
      <c r="AJ178" s="389"/>
      <c r="AK178" s="389"/>
      <c r="AL178" s="389"/>
      <c r="AM178" s="389"/>
      <c r="AN178" s="389"/>
    </row>
    <row r="179" spans="6:40">
      <c r="F179" s="389"/>
      <c r="G179" s="1226"/>
      <c r="H179" s="1226"/>
      <c r="I179" s="389"/>
      <c r="J179" s="389"/>
      <c r="L179" s="1226"/>
      <c r="M179" s="1226"/>
      <c r="O179" s="389"/>
      <c r="P179" s="1226"/>
      <c r="Q179" s="1226"/>
      <c r="S179" s="389"/>
      <c r="T179" s="389"/>
      <c r="U179" s="389"/>
      <c r="X179" s="389"/>
      <c r="Z179" s="389"/>
      <c r="AA179" s="389"/>
      <c r="AB179" s="389"/>
      <c r="AC179" s="389"/>
      <c r="AD179" s="389"/>
      <c r="AE179" s="389"/>
      <c r="AF179" s="389"/>
      <c r="AG179" s="389"/>
      <c r="AH179" s="389"/>
      <c r="AI179" s="389"/>
      <c r="AJ179" s="389"/>
      <c r="AK179" s="389"/>
      <c r="AL179" s="389"/>
      <c r="AM179" s="389"/>
      <c r="AN179" s="389"/>
    </row>
    <row r="180" spans="6:40">
      <c r="F180" s="389"/>
      <c r="G180" s="1226"/>
      <c r="H180" s="1226"/>
      <c r="I180" s="389"/>
      <c r="J180" s="389"/>
      <c r="L180" s="1226"/>
      <c r="M180" s="1226"/>
      <c r="O180" s="389"/>
      <c r="P180" s="1226"/>
      <c r="Q180" s="1226"/>
      <c r="S180" s="389"/>
      <c r="T180" s="389"/>
      <c r="U180" s="389"/>
      <c r="X180" s="389"/>
      <c r="Z180" s="389"/>
      <c r="AA180" s="389"/>
      <c r="AB180" s="389"/>
      <c r="AC180" s="389"/>
      <c r="AD180" s="389"/>
      <c r="AE180" s="389"/>
      <c r="AF180" s="389"/>
      <c r="AG180" s="389"/>
      <c r="AH180" s="389"/>
      <c r="AI180" s="389"/>
      <c r="AJ180" s="389"/>
      <c r="AK180" s="389"/>
      <c r="AL180" s="389"/>
      <c r="AM180" s="389"/>
      <c r="AN180" s="389"/>
    </row>
    <row r="181" spans="6:40">
      <c r="F181" s="389"/>
      <c r="G181" s="1226"/>
      <c r="H181" s="1226"/>
      <c r="I181" s="389"/>
      <c r="J181" s="389"/>
      <c r="L181" s="1226"/>
      <c r="M181" s="1226"/>
      <c r="O181" s="389"/>
      <c r="P181" s="1226"/>
      <c r="Q181" s="1226"/>
      <c r="S181" s="389"/>
      <c r="T181" s="389"/>
      <c r="U181" s="389"/>
      <c r="X181" s="389"/>
      <c r="Z181" s="389"/>
      <c r="AA181" s="389"/>
      <c r="AB181" s="389"/>
      <c r="AC181" s="389"/>
      <c r="AD181" s="389"/>
      <c r="AE181" s="389"/>
      <c r="AF181" s="389"/>
      <c r="AG181" s="389"/>
      <c r="AH181" s="389"/>
      <c r="AI181" s="389"/>
      <c r="AJ181" s="389"/>
      <c r="AK181" s="389"/>
      <c r="AL181" s="389"/>
      <c r="AM181" s="389"/>
      <c r="AN181" s="389"/>
    </row>
    <row r="182" spans="6:40">
      <c r="F182" s="389"/>
      <c r="G182" s="1226"/>
      <c r="H182" s="1226"/>
      <c r="I182" s="389"/>
      <c r="J182" s="389"/>
      <c r="L182" s="1226"/>
      <c r="M182" s="1226"/>
      <c r="O182" s="389"/>
      <c r="P182" s="1226"/>
      <c r="Q182" s="1226"/>
      <c r="S182" s="389"/>
      <c r="T182" s="389"/>
      <c r="U182" s="389"/>
      <c r="X182" s="389"/>
      <c r="Z182" s="389"/>
      <c r="AA182" s="389"/>
      <c r="AB182" s="389"/>
      <c r="AC182" s="389"/>
      <c r="AD182" s="389"/>
      <c r="AE182" s="389"/>
      <c r="AF182" s="389"/>
      <c r="AG182" s="389"/>
      <c r="AH182" s="389"/>
      <c r="AI182" s="389"/>
      <c r="AJ182" s="389"/>
      <c r="AK182" s="389"/>
      <c r="AL182" s="389"/>
      <c r="AM182" s="389"/>
      <c r="AN182" s="389"/>
    </row>
    <row r="183" spans="6:40">
      <c r="G183" s="1226"/>
      <c r="H183" s="1226"/>
      <c r="I183" s="389"/>
      <c r="J183" s="389"/>
      <c r="L183" s="1226"/>
      <c r="M183" s="1226"/>
      <c r="O183" s="389"/>
      <c r="P183" s="1226"/>
      <c r="Q183" s="1226"/>
      <c r="S183" s="389"/>
      <c r="T183" s="389"/>
      <c r="U183" s="389"/>
      <c r="X183" s="389"/>
      <c r="Z183" s="389"/>
      <c r="AA183" s="389"/>
      <c r="AB183" s="389"/>
      <c r="AC183" s="389"/>
      <c r="AD183" s="389"/>
      <c r="AE183" s="389"/>
      <c r="AF183" s="389"/>
      <c r="AG183" s="389"/>
      <c r="AH183" s="389"/>
      <c r="AI183" s="389"/>
      <c r="AJ183" s="389"/>
      <c r="AK183" s="389"/>
      <c r="AL183" s="389"/>
      <c r="AM183" s="389"/>
      <c r="AN183" s="389"/>
    </row>
    <row r="184" spans="6:40">
      <c r="G184" s="1226"/>
      <c r="H184" s="1226"/>
      <c r="I184" s="389"/>
      <c r="J184" s="389"/>
      <c r="L184" s="1226"/>
      <c r="M184" s="1226"/>
      <c r="O184" s="389"/>
      <c r="P184" s="1226"/>
      <c r="Q184" s="1226"/>
      <c r="S184" s="389"/>
      <c r="T184" s="389"/>
      <c r="U184" s="389"/>
      <c r="X184" s="389"/>
      <c r="Z184" s="389"/>
      <c r="AA184" s="389"/>
      <c r="AB184" s="389"/>
      <c r="AC184" s="389"/>
      <c r="AD184" s="389"/>
      <c r="AE184" s="389"/>
      <c r="AF184" s="389"/>
      <c r="AG184" s="389"/>
      <c r="AH184" s="389"/>
      <c r="AI184" s="389"/>
      <c r="AJ184" s="389"/>
      <c r="AK184" s="389"/>
      <c r="AL184" s="389"/>
      <c r="AM184" s="389"/>
      <c r="AN184" s="389"/>
    </row>
    <row r="185" spans="6:40">
      <c r="G185" s="1226"/>
      <c r="H185" s="1226"/>
      <c r="I185" s="389"/>
      <c r="J185" s="389"/>
      <c r="L185" s="1226"/>
      <c r="M185" s="1226"/>
      <c r="O185" s="389"/>
      <c r="P185" s="1226"/>
      <c r="Q185" s="1226"/>
      <c r="S185" s="389"/>
      <c r="T185" s="389"/>
      <c r="U185" s="389"/>
      <c r="X185" s="389"/>
      <c r="Z185" s="389"/>
      <c r="AA185" s="389"/>
      <c r="AB185" s="389"/>
      <c r="AC185" s="389"/>
      <c r="AD185" s="389"/>
      <c r="AE185" s="389"/>
      <c r="AF185" s="389"/>
      <c r="AG185" s="389"/>
      <c r="AH185" s="389"/>
      <c r="AI185" s="389"/>
      <c r="AJ185" s="389"/>
      <c r="AK185" s="389"/>
      <c r="AL185" s="389"/>
      <c r="AM185" s="389"/>
      <c r="AN185" s="389"/>
    </row>
    <row r="186" spans="6:40">
      <c r="G186" s="1226"/>
      <c r="H186" s="1226"/>
      <c r="I186" s="389"/>
      <c r="J186" s="389"/>
      <c r="L186" s="1226"/>
      <c r="M186" s="1226"/>
      <c r="O186" s="389"/>
      <c r="P186" s="1226"/>
      <c r="Q186" s="1226"/>
      <c r="S186" s="389"/>
      <c r="T186" s="389"/>
      <c r="U186" s="389"/>
      <c r="X186" s="389"/>
      <c r="Z186" s="389"/>
      <c r="AA186" s="389"/>
      <c r="AB186" s="389"/>
      <c r="AC186" s="389"/>
      <c r="AD186" s="389"/>
      <c r="AE186" s="389"/>
      <c r="AF186" s="389"/>
      <c r="AG186" s="389"/>
      <c r="AH186" s="389"/>
      <c r="AI186" s="389"/>
      <c r="AJ186" s="389"/>
      <c r="AK186" s="389"/>
      <c r="AL186" s="389"/>
      <c r="AM186" s="389"/>
      <c r="AN186" s="389"/>
    </row>
    <row r="187" spans="6:40">
      <c r="G187" s="1226"/>
      <c r="H187" s="1226"/>
      <c r="I187" s="389"/>
      <c r="J187" s="389"/>
      <c r="L187" s="1226"/>
      <c r="M187" s="1226"/>
      <c r="O187" s="389"/>
      <c r="P187" s="1226"/>
      <c r="Q187" s="1226"/>
      <c r="S187" s="389"/>
      <c r="T187" s="389"/>
      <c r="U187" s="389"/>
      <c r="X187" s="389"/>
      <c r="Z187" s="389"/>
      <c r="AA187" s="389"/>
      <c r="AB187" s="389"/>
      <c r="AC187" s="389"/>
      <c r="AD187" s="389"/>
      <c r="AE187" s="389"/>
      <c r="AF187" s="389"/>
      <c r="AG187" s="389"/>
      <c r="AH187" s="389"/>
      <c r="AI187" s="389"/>
      <c r="AJ187" s="389"/>
      <c r="AK187" s="389"/>
      <c r="AL187" s="389"/>
      <c r="AM187" s="389"/>
      <c r="AN187" s="389"/>
    </row>
    <row r="188" spans="6:40">
      <c r="G188" s="1226"/>
      <c r="H188" s="1226"/>
      <c r="I188" s="389"/>
      <c r="J188" s="1226"/>
      <c r="L188" s="1226"/>
      <c r="M188" s="1226"/>
      <c r="O188" s="389"/>
      <c r="P188" s="1226"/>
      <c r="Q188" s="1226"/>
      <c r="S188" s="389"/>
      <c r="T188" s="389"/>
      <c r="U188" s="389"/>
      <c r="X188" s="389"/>
      <c r="Z188" s="389"/>
      <c r="AA188" s="389"/>
      <c r="AB188" s="389"/>
      <c r="AC188" s="389"/>
      <c r="AD188" s="389"/>
      <c r="AE188" s="389"/>
      <c r="AF188" s="389"/>
      <c r="AG188" s="389"/>
      <c r="AH188" s="389"/>
      <c r="AI188" s="389"/>
      <c r="AJ188" s="389"/>
      <c r="AK188" s="389"/>
      <c r="AL188" s="389"/>
      <c r="AM188" s="389"/>
      <c r="AN188" s="389"/>
    </row>
    <row r="189" spans="6:40">
      <c r="G189" s="1226"/>
      <c r="H189" s="1226"/>
      <c r="I189" s="389"/>
      <c r="J189" s="1226"/>
      <c r="L189" s="1226"/>
      <c r="M189" s="1226"/>
      <c r="O189" s="389"/>
      <c r="P189" s="1226"/>
      <c r="Q189" s="1226"/>
      <c r="S189" s="389"/>
      <c r="T189" s="389"/>
      <c r="U189" s="389"/>
      <c r="X189" s="389"/>
      <c r="Z189" s="389"/>
      <c r="AA189" s="389"/>
      <c r="AB189" s="389"/>
      <c r="AC189" s="389"/>
      <c r="AD189" s="389"/>
      <c r="AE189" s="389"/>
      <c r="AF189" s="389"/>
      <c r="AG189" s="389"/>
      <c r="AH189" s="389"/>
      <c r="AI189" s="389"/>
      <c r="AJ189" s="389"/>
      <c r="AK189" s="389"/>
      <c r="AL189" s="389"/>
      <c r="AM189" s="389"/>
      <c r="AN189" s="389"/>
    </row>
    <row r="190" spans="6:40">
      <c r="O190" s="389"/>
      <c r="P190" s="1226"/>
      <c r="Q190" s="1226"/>
      <c r="S190" s="389"/>
      <c r="T190" s="389"/>
      <c r="U190" s="389"/>
      <c r="X190" s="389"/>
      <c r="Z190" s="389"/>
      <c r="AA190" s="389"/>
      <c r="AB190" s="389"/>
      <c r="AC190" s="389"/>
      <c r="AD190" s="389"/>
      <c r="AE190" s="389"/>
      <c r="AF190" s="389"/>
      <c r="AG190" s="389"/>
      <c r="AH190" s="389"/>
      <c r="AI190" s="389"/>
      <c r="AJ190" s="389"/>
      <c r="AK190" s="389"/>
      <c r="AL190" s="389"/>
      <c r="AM190" s="389"/>
      <c r="AN190" s="389"/>
    </row>
    <row r="191" spans="6:40">
      <c r="O191" s="389"/>
      <c r="P191" s="1226"/>
      <c r="Q191" s="1226"/>
      <c r="S191" s="389"/>
      <c r="T191" s="389"/>
      <c r="U191" s="389"/>
      <c r="X191" s="389"/>
      <c r="Z191" s="389"/>
      <c r="AA191" s="389"/>
      <c r="AB191" s="389"/>
      <c r="AC191" s="389"/>
      <c r="AD191" s="389"/>
      <c r="AE191" s="389"/>
      <c r="AF191" s="389"/>
      <c r="AG191" s="389"/>
      <c r="AH191" s="389"/>
      <c r="AI191" s="389"/>
      <c r="AJ191" s="389"/>
      <c r="AK191" s="389"/>
      <c r="AL191" s="389"/>
      <c r="AM191" s="389"/>
      <c r="AN191" s="389"/>
    </row>
    <row r="192" spans="6:40">
      <c r="O192" s="389"/>
      <c r="P192" s="1226"/>
      <c r="Q192" s="1226"/>
      <c r="S192" s="389"/>
      <c r="T192" s="389"/>
      <c r="U192" s="389"/>
      <c r="X192" s="389"/>
      <c r="Z192" s="389"/>
      <c r="AA192" s="389"/>
      <c r="AB192" s="389"/>
      <c r="AC192" s="389"/>
      <c r="AD192" s="389"/>
      <c r="AE192" s="389"/>
      <c r="AF192" s="389"/>
      <c r="AG192" s="389"/>
      <c r="AH192" s="389"/>
      <c r="AI192" s="389"/>
      <c r="AJ192" s="389"/>
      <c r="AK192" s="389"/>
      <c r="AL192" s="389"/>
      <c r="AM192" s="389"/>
      <c r="AN192" s="389"/>
    </row>
    <row r="193" spans="15:40">
      <c r="O193" s="389"/>
      <c r="P193" s="1226"/>
      <c r="Q193" s="1226"/>
      <c r="S193" s="389"/>
      <c r="T193" s="389"/>
      <c r="U193" s="389"/>
      <c r="X193" s="389"/>
      <c r="Z193" s="389"/>
      <c r="AA193" s="389"/>
      <c r="AB193" s="389"/>
      <c r="AC193" s="389"/>
      <c r="AD193" s="389"/>
      <c r="AE193" s="389"/>
      <c r="AF193" s="389"/>
      <c r="AG193" s="389"/>
      <c r="AH193" s="389"/>
      <c r="AI193" s="389"/>
      <c r="AJ193" s="389"/>
      <c r="AK193" s="389"/>
      <c r="AL193" s="389"/>
      <c r="AM193" s="389"/>
      <c r="AN193" s="389"/>
    </row>
    <row r="194" spans="15:40">
      <c r="O194" s="389"/>
      <c r="P194" s="1226"/>
      <c r="Q194" s="1226"/>
      <c r="S194" s="389"/>
      <c r="T194" s="389"/>
      <c r="U194" s="389"/>
      <c r="X194" s="389"/>
      <c r="Z194" s="389"/>
      <c r="AA194" s="389"/>
      <c r="AB194" s="389"/>
      <c r="AC194" s="389"/>
      <c r="AD194" s="389"/>
      <c r="AE194" s="389"/>
      <c r="AF194" s="389"/>
      <c r="AG194" s="389"/>
      <c r="AH194" s="389"/>
      <c r="AI194" s="389"/>
      <c r="AJ194" s="389"/>
      <c r="AK194" s="389"/>
      <c r="AL194" s="389"/>
      <c r="AM194" s="389"/>
      <c r="AN194" s="389"/>
    </row>
    <row r="195" spans="15:40">
      <c r="O195" s="389"/>
      <c r="P195" s="1226"/>
      <c r="Q195" s="1226"/>
      <c r="S195" s="389"/>
      <c r="T195" s="389"/>
      <c r="U195" s="389"/>
      <c r="X195" s="389"/>
      <c r="Z195" s="389"/>
      <c r="AA195" s="389"/>
      <c r="AB195" s="389"/>
      <c r="AC195" s="389"/>
      <c r="AD195" s="389"/>
      <c r="AE195" s="389"/>
      <c r="AF195" s="389"/>
      <c r="AG195" s="389"/>
      <c r="AH195" s="389"/>
      <c r="AI195" s="389"/>
      <c r="AJ195" s="389"/>
      <c r="AK195" s="389"/>
      <c r="AL195" s="389"/>
      <c r="AM195" s="389"/>
      <c r="AN195" s="389"/>
    </row>
    <row r="196" spans="15:40">
      <c r="O196" s="389"/>
      <c r="P196" s="1226"/>
      <c r="Q196" s="1226"/>
      <c r="S196" s="389"/>
      <c r="T196" s="389"/>
      <c r="U196" s="389"/>
      <c r="X196" s="389"/>
      <c r="Z196" s="389"/>
      <c r="AA196" s="389"/>
      <c r="AB196" s="389"/>
      <c r="AC196" s="389"/>
      <c r="AD196" s="389"/>
      <c r="AE196" s="389"/>
      <c r="AF196" s="389"/>
      <c r="AG196" s="389"/>
      <c r="AH196" s="389"/>
      <c r="AI196" s="389"/>
      <c r="AJ196" s="389"/>
      <c r="AK196" s="389"/>
      <c r="AL196" s="389"/>
      <c r="AM196" s="389"/>
      <c r="AN196" s="389"/>
    </row>
    <row r="197" spans="15:40">
      <c r="O197" s="389"/>
      <c r="P197" s="1226"/>
      <c r="Q197" s="1226"/>
      <c r="S197" s="389"/>
      <c r="T197" s="389"/>
      <c r="U197" s="389"/>
      <c r="X197" s="389"/>
      <c r="Z197" s="389"/>
      <c r="AA197" s="389"/>
      <c r="AB197" s="389"/>
      <c r="AC197" s="389"/>
      <c r="AD197" s="389"/>
      <c r="AE197" s="389"/>
      <c r="AF197" s="389"/>
      <c r="AG197" s="389"/>
      <c r="AH197" s="389"/>
      <c r="AI197" s="389"/>
      <c r="AJ197" s="389"/>
      <c r="AK197" s="389"/>
      <c r="AL197" s="389"/>
      <c r="AM197" s="389"/>
      <c r="AN197" s="389"/>
    </row>
    <row r="198" spans="15:40">
      <c r="O198" s="389"/>
      <c r="P198" s="1226"/>
      <c r="Q198" s="1226"/>
      <c r="S198" s="389"/>
      <c r="T198" s="389"/>
      <c r="U198" s="389"/>
      <c r="X198" s="389"/>
      <c r="Z198" s="389"/>
      <c r="AA198" s="389"/>
      <c r="AB198" s="389"/>
      <c r="AC198" s="389"/>
      <c r="AD198" s="389"/>
      <c r="AE198" s="389"/>
      <c r="AF198" s="389"/>
      <c r="AG198" s="389"/>
      <c r="AH198" s="389"/>
      <c r="AI198" s="389"/>
      <c r="AJ198" s="389"/>
      <c r="AK198" s="389"/>
      <c r="AL198" s="389"/>
      <c r="AM198" s="389"/>
      <c r="AN198" s="389"/>
    </row>
    <row r="199" spans="15:40">
      <c r="O199" s="389"/>
      <c r="P199" s="1226"/>
      <c r="Q199" s="1226"/>
      <c r="S199" s="389"/>
      <c r="T199" s="389"/>
      <c r="U199" s="389"/>
      <c r="X199" s="389"/>
      <c r="Z199" s="389"/>
      <c r="AA199" s="389"/>
      <c r="AB199" s="389"/>
      <c r="AC199" s="389"/>
      <c r="AD199" s="389"/>
      <c r="AE199" s="389"/>
      <c r="AF199" s="389"/>
      <c r="AG199" s="389"/>
      <c r="AH199" s="389"/>
      <c r="AI199" s="389"/>
      <c r="AJ199" s="389"/>
      <c r="AK199" s="389"/>
      <c r="AL199" s="389"/>
      <c r="AM199" s="389"/>
      <c r="AN199" s="389"/>
    </row>
    <row r="200" spans="15:40">
      <c r="O200" s="389"/>
      <c r="P200" s="1226"/>
      <c r="Q200" s="1226"/>
      <c r="S200" s="389"/>
      <c r="T200" s="389"/>
      <c r="U200" s="389"/>
      <c r="X200" s="389"/>
      <c r="Z200" s="389"/>
      <c r="AA200" s="389"/>
      <c r="AB200" s="389"/>
      <c r="AC200" s="389"/>
      <c r="AD200" s="389"/>
      <c r="AE200" s="389"/>
      <c r="AF200" s="389"/>
      <c r="AG200" s="389"/>
      <c r="AH200" s="389"/>
      <c r="AI200" s="389"/>
      <c r="AJ200" s="389"/>
      <c r="AK200" s="389"/>
      <c r="AL200" s="389"/>
      <c r="AM200" s="389"/>
      <c r="AN200" s="389"/>
    </row>
    <row r="201" spans="15:40">
      <c r="O201" s="389"/>
      <c r="P201" s="1226"/>
      <c r="Q201" s="1226"/>
      <c r="S201" s="389"/>
      <c r="T201" s="389"/>
      <c r="U201" s="389"/>
      <c r="X201" s="389"/>
      <c r="Z201" s="389"/>
      <c r="AA201" s="389"/>
      <c r="AB201" s="389"/>
      <c r="AC201" s="389"/>
      <c r="AD201" s="389"/>
      <c r="AE201" s="389"/>
      <c r="AF201" s="389"/>
      <c r="AG201" s="389"/>
      <c r="AH201" s="389"/>
      <c r="AI201" s="389"/>
      <c r="AJ201" s="389"/>
      <c r="AK201" s="389"/>
      <c r="AL201" s="389"/>
      <c r="AM201" s="389"/>
      <c r="AN201" s="389"/>
    </row>
    <row r="202" spans="15:40">
      <c r="O202" s="389"/>
      <c r="P202" s="1226"/>
      <c r="Q202" s="1226"/>
      <c r="S202" s="389"/>
      <c r="T202" s="389"/>
      <c r="U202" s="389"/>
      <c r="X202" s="389"/>
      <c r="Z202" s="389"/>
      <c r="AA202" s="389"/>
      <c r="AB202" s="389"/>
      <c r="AC202" s="389"/>
      <c r="AD202" s="389"/>
      <c r="AE202" s="389"/>
      <c r="AF202" s="389"/>
      <c r="AG202" s="389"/>
      <c r="AH202" s="389"/>
      <c r="AI202" s="389"/>
      <c r="AJ202" s="389"/>
      <c r="AK202" s="389"/>
      <c r="AL202" s="389"/>
      <c r="AM202" s="389"/>
      <c r="AN202" s="389"/>
    </row>
    <row r="203" spans="15:40">
      <c r="O203" s="389"/>
      <c r="P203" s="1226"/>
      <c r="Q203" s="1226"/>
      <c r="S203" s="389"/>
      <c r="T203" s="389"/>
      <c r="U203" s="389"/>
      <c r="X203" s="389"/>
      <c r="Z203" s="389"/>
      <c r="AA203" s="389"/>
      <c r="AB203" s="389"/>
      <c r="AC203" s="389"/>
      <c r="AD203" s="389"/>
      <c r="AE203" s="389"/>
      <c r="AF203" s="389"/>
      <c r="AG203" s="389"/>
      <c r="AH203" s="389"/>
      <c r="AI203" s="389"/>
      <c r="AJ203" s="389"/>
      <c r="AK203" s="389"/>
      <c r="AL203" s="389"/>
      <c r="AM203" s="389"/>
      <c r="AN203" s="389"/>
    </row>
    <row r="204" spans="15:40">
      <c r="O204" s="389"/>
      <c r="P204" s="1226"/>
      <c r="Q204" s="1226"/>
      <c r="S204" s="389"/>
      <c r="T204" s="389"/>
      <c r="U204" s="389"/>
      <c r="X204" s="389"/>
      <c r="Z204" s="389"/>
      <c r="AA204" s="389"/>
      <c r="AB204" s="389"/>
      <c r="AC204" s="389"/>
      <c r="AD204" s="389"/>
      <c r="AE204" s="389"/>
      <c r="AF204" s="389"/>
      <c r="AG204" s="389"/>
      <c r="AH204" s="389"/>
      <c r="AI204" s="389"/>
      <c r="AJ204" s="389"/>
      <c r="AK204" s="389"/>
      <c r="AL204" s="389"/>
      <c r="AM204" s="389"/>
      <c r="AN204" s="389"/>
    </row>
    <row r="205" spans="15:40">
      <c r="O205" s="389"/>
      <c r="P205" s="1226"/>
      <c r="Q205" s="1226"/>
      <c r="S205" s="389"/>
      <c r="T205" s="389"/>
      <c r="U205" s="389"/>
      <c r="X205" s="389"/>
      <c r="Z205" s="389"/>
      <c r="AA205" s="389"/>
      <c r="AB205" s="389"/>
      <c r="AC205" s="389"/>
      <c r="AD205" s="389"/>
      <c r="AE205" s="389"/>
      <c r="AF205" s="389"/>
      <c r="AG205" s="389"/>
      <c r="AH205" s="389"/>
      <c r="AI205" s="389"/>
      <c r="AJ205" s="389"/>
      <c r="AK205" s="389"/>
      <c r="AL205" s="389"/>
      <c r="AM205" s="389"/>
      <c r="AN205" s="389"/>
    </row>
    <row r="206" spans="15:40">
      <c r="O206" s="912"/>
      <c r="P206" s="912"/>
      <c r="Q206" s="912"/>
      <c r="S206" s="389"/>
      <c r="T206" s="932"/>
      <c r="U206" s="389"/>
      <c r="Z206" s="389"/>
      <c r="AA206" s="389"/>
      <c r="AB206" s="389"/>
      <c r="AC206" s="389"/>
      <c r="AD206" s="389"/>
      <c r="AE206" s="389"/>
      <c r="AF206" s="389"/>
      <c r="AG206" s="389"/>
      <c r="AH206" s="389"/>
      <c r="AI206" s="389"/>
      <c r="AJ206" s="389"/>
      <c r="AK206" s="389"/>
      <c r="AL206" s="389"/>
      <c r="AM206" s="389"/>
      <c r="AN206" s="389"/>
    </row>
    <row r="207" spans="15:40">
      <c r="O207" s="912"/>
      <c r="P207" s="912"/>
      <c r="Q207" s="912"/>
      <c r="S207" s="389"/>
      <c r="T207" s="932"/>
      <c r="U207" s="389"/>
      <c r="Z207" s="389"/>
      <c r="AA207" s="389"/>
      <c r="AB207" s="389"/>
      <c r="AC207" s="389"/>
      <c r="AD207" s="389"/>
      <c r="AE207" s="389"/>
      <c r="AF207" s="389"/>
      <c r="AG207" s="389"/>
      <c r="AH207" s="389"/>
      <c r="AI207" s="389"/>
      <c r="AJ207" s="389"/>
      <c r="AK207" s="389"/>
      <c r="AL207" s="389"/>
      <c r="AM207" s="389"/>
      <c r="AN207" s="389"/>
    </row>
    <row r="208" spans="15:40">
      <c r="O208" s="912"/>
      <c r="P208" s="912"/>
      <c r="Q208" s="912"/>
      <c r="S208" s="389"/>
      <c r="T208" s="932"/>
      <c r="U208" s="389"/>
      <c r="Z208" s="389"/>
      <c r="AA208" s="389"/>
      <c r="AB208" s="389"/>
      <c r="AC208" s="389"/>
      <c r="AD208" s="389"/>
      <c r="AE208" s="389"/>
      <c r="AF208" s="389"/>
      <c r="AG208" s="389"/>
      <c r="AH208" s="389"/>
      <c r="AI208" s="389"/>
      <c r="AJ208" s="389"/>
      <c r="AK208" s="389"/>
      <c r="AL208" s="389"/>
      <c r="AM208" s="389"/>
      <c r="AN208" s="389"/>
    </row>
    <row r="209" spans="15:40">
      <c r="O209" s="912"/>
      <c r="P209" s="912"/>
      <c r="Q209" s="912"/>
      <c r="S209" s="389"/>
      <c r="T209" s="932"/>
      <c r="U209" s="389"/>
      <c r="Z209" s="389"/>
      <c r="AA209" s="389"/>
      <c r="AB209" s="389"/>
      <c r="AC209" s="389"/>
      <c r="AD209" s="389"/>
      <c r="AE209" s="389"/>
      <c r="AF209" s="389"/>
      <c r="AG209" s="389"/>
      <c r="AH209" s="389"/>
      <c r="AI209" s="389"/>
      <c r="AJ209" s="389"/>
      <c r="AK209" s="389"/>
      <c r="AL209" s="389"/>
      <c r="AM209" s="389"/>
      <c r="AN209" s="389"/>
    </row>
    <row r="210" spans="15:40">
      <c r="O210" s="912"/>
      <c r="P210" s="912"/>
      <c r="Q210" s="912"/>
      <c r="S210" s="389"/>
      <c r="T210" s="932"/>
      <c r="U210" s="389"/>
      <c r="Z210" s="389"/>
      <c r="AA210" s="389"/>
      <c r="AB210" s="389"/>
      <c r="AC210" s="389"/>
      <c r="AD210" s="389"/>
      <c r="AE210" s="389"/>
      <c r="AF210" s="389"/>
      <c r="AG210" s="389"/>
      <c r="AH210" s="389"/>
      <c r="AI210" s="389"/>
      <c r="AJ210" s="389"/>
      <c r="AK210" s="389"/>
      <c r="AL210" s="389"/>
      <c r="AM210" s="389"/>
      <c r="AN210" s="389"/>
    </row>
    <row r="211" spans="15:40">
      <c r="O211" s="912"/>
      <c r="P211" s="912"/>
      <c r="Q211" s="912"/>
      <c r="S211" s="389"/>
      <c r="T211" s="932"/>
      <c r="U211" s="389"/>
      <c r="Z211" s="389"/>
      <c r="AA211" s="389"/>
      <c r="AB211" s="389"/>
      <c r="AC211" s="389"/>
      <c r="AD211" s="389"/>
      <c r="AE211" s="389"/>
      <c r="AF211" s="389"/>
      <c r="AG211" s="389"/>
      <c r="AH211" s="389"/>
      <c r="AI211" s="389"/>
      <c r="AJ211" s="389"/>
      <c r="AK211" s="389"/>
      <c r="AL211" s="389"/>
      <c r="AM211" s="389"/>
      <c r="AN211" s="389"/>
    </row>
    <row r="212" spans="15:40">
      <c r="O212" s="912"/>
      <c r="P212" s="912"/>
      <c r="Q212" s="912"/>
      <c r="S212" s="389"/>
      <c r="T212" s="932"/>
      <c r="U212" s="389"/>
      <c r="Z212" s="389"/>
      <c r="AA212" s="389"/>
      <c r="AB212" s="389"/>
      <c r="AC212" s="389"/>
      <c r="AD212" s="389"/>
      <c r="AE212" s="389"/>
      <c r="AF212" s="389"/>
      <c r="AG212" s="389"/>
      <c r="AH212" s="389"/>
      <c r="AI212" s="389"/>
      <c r="AJ212" s="389"/>
      <c r="AK212" s="389"/>
      <c r="AL212" s="389"/>
      <c r="AM212" s="389"/>
      <c r="AN212" s="389"/>
    </row>
    <row r="213" spans="15:40">
      <c r="O213" s="912"/>
      <c r="P213" s="912"/>
      <c r="Q213" s="912"/>
      <c r="S213" s="389"/>
      <c r="T213" s="932"/>
      <c r="U213" s="389"/>
      <c r="Z213" s="389"/>
      <c r="AA213" s="389"/>
      <c r="AB213" s="389"/>
      <c r="AC213" s="389"/>
      <c r="AD213" s="389"/>
      <c r="AE213" s="389"/>
      <c r="AF213" s="389"/>
      <c r="AG213" s="389"/>
      <c r="AH213" s="389"/>
      <c r="AI213" s="389"/>
      <c r="AJ213" s="389"/>
      <c r="AK213" s="389"/>
      <c r="AL213" s="389"/>
      <c r="AM213" s="389"/>
      <c r="AN213" s="389"/>
    </row>
    <row r="214" spans="15:40">
      <c r="O214" s="912"/>
      <c r="P214" s="912"/>
      <c r="Q214" s="912"/>
      <c r="S214" s="389"/>
      <c r="T214" s="932"/>
      <c r="U214" s="389"/>
      <c r="Z214" s="389"/>
      <c r="AA214" s="389"/>
      <c r="AB214" s="389"/>
      <c r="AC214" s="389"/>
      <c r="AD214" s="389"/>
      <c r="AE214" s="389"/>
      <c r="AF214" s="389"/>
      <c r="AG214" s="389"/>
      <c r="AH214" s="389"/>
      <c r="AI214" s="389"/>
      <c r="AJ214" s="389"/>
      <c r="AK214" s="389"/>
      <c r="AL214" s="389"/>
      <c r="AM214" s="389"/>
      <c r="AN214" s="389"/>
    </row>
    <row r="215" spans="15:40">
      <c r="O215" s="912"/>
      <c r="P215" s="912"/>
      <c r="Q215" s="912"/>
      <c r="S215" s="389"/>
      <c r="T215" s="932"/>
      <c r="U215" s="389"/>
      <c r="Z215" s="389"/>
      <c r="AA215" s="389"/>
      <c r="AB215" s="389"/>
      <c r="AC215" s="389"/>
      <c r="AD215" s="389"/>
      <c r="AE215" s="389"/>
      <c r="AF215" s="389"/>
      <c r="AG215" s="389"/>
      <c r="AH215" s="389"/>
      <c r="AI215" s="389"/>
      <c r="AJ215" s="389"/>
      <c r="AK215" s="389"/>
      <c r="AL215" s="389"/>
      <c r="AM215" s="389"/>
      <c r="AN215" s="389"/>
    </row>
    <row r="216" spans="15:40">
      <c r="O216" s="912"/>
      <c r="P216" s="912"/>
      <c r="Q216" s="912"/>
      <c r="T216" s="932"/>
    </row>
    <row r="217" spans="15:40">
      <c r="O217" s="912"/>
      <c r="P217" s="912"/>
      <c r="Q217" s="912"/>
      <c r="T217" s="932"/>
    </row>
    <row r="218" spans="15:40">
      <c r="O218" s="912"/>
      <c r="P218" s="912"/>
      <c r="Q218" s="912"/>
      <c r="T218" s="932"/>
    </row>
    <row r="219" spans="15:40">
      <c r="O219" s="912"/>
      <c r="P219" s="912"/>
      <c r="Q219" s="912"/>
      <c r="T219" s="932"/>
    </row>
    <row r="220" spans="15:40">
      <c r="O220" s="912"/>
      <c r="P220" s="912"/>
      <c r="Q220" s="912"/>
      <c r="T220" s="932"/>
    </row>
    <row r="221" spans="15:40">
      <c r="O221" s="912"/>
      <c r="P221" s="912"/>
      <c r="Q221" s="912"/>
      <c r="T221" s="932"/>
    </row>
    <row r="222" spans="15:40">
      <c r="O222" s="912"/>
      <c r="P222" s="912"/>
      <c r="Q222" s="912"/>
      <c r="T222" s="932"/>
    </row>
    <row r="223" spans="15:40">
      <c r="O223" s="912"/>
      <c r="P223" s="912"/>
      <c r="Q223" s="912"/>
      <c r="T223" s="932"/>
    </row>
    <row r="224" spans="15:40">
      <c r="O224" s="912"/>
      <c r="P224" s="912"/>
      <c r="Q224" s="912"/>
      <c r="T224" s="932"/>
    </row>
    <row r="225" spans="15:20">
      <c r="O225" s="912"/>
      <c r="P225" s="912"/>
      <c r="Q225" s="912"/>
      <c r="T225" s="932"/>
    </row>
    <row r="226" spans="15:20">
      <c r="O226" s="912"/>
      <c r="P226" s="912"/>
      <c r="Q226" s="912"/>
      <c r="T226" s="932"/>
    </row>
    <row r="227" spans="15:20">
      <c r="O227" s="912"/>
      <c r="P227" s="912"/>
      <c r="Q227" s="912"/>
      <c r="T227" s="932"/>
    </row>
    <row r="228" spans="15:20">
      <c r="O228" s="912"/>
      <c r="P228" s="912"/>
      <c r="Q228" s="912"/>
      <c r="T228" s="932"/>
    </row>
    <row r="229" spans="15:20">
      <c r="O229" s="912"/>
      <c r="P229" s="912"/>
      <c r="Q229" s="912"/>
      <c r="T229" s="932"/>
    </row>
    <row r="230" spans="15:20">
      <c r="O230" s="912"/>
      <c r="P230" s="912"/>
      <c r="Q230" s="912"/>
      <c r="T230" s="932"/>
    </row>
    <row r="231" spans="15:20">
      <c r="O231" s="912"/>
      <c r="P231" s="912"/>
      <c r="Q231" s="912"/>
      <c r="T231" s="932"/>
    </row>
    <row r="232" spans="15:20">
      <c r="O232" s="912"/>
      <c r="P232" s="912"/>
      <c r="Q232" s="912"/>
      <c r="T232" s="932"/>
    </row>
    <row r="233" spans="15:20">
      <c r="O233" s="912"/>
      <c r="P233" s="912"/>
      <c r="Q233" s="912"/>
      <c r="T233" s="932"/>
    </row>
    <row r="234" spans="15:20">
      <c r="O234" s="912"/>
      <c r="P234" s="912"/>
      <c r="Q234" s="912"/>
      <c r="T234" s="932"/>
    </row>
    <row r="235" spans="15:20">
      <c r="O235" s="912"/>
      <c r="P235" s="912"/>
      <c r="Q235" s="912"/>
      <c r="T235" s="932"/>
    </row>
    <row r="236" spans="15:20">
      <c r="O236" s="912"/>
      <c r="P236" s="912"/>
      <c r="Q236" s="912"/>
      <c r="T236" s="932"/>
    </row>
    <row r="237" spans="15:20">
      <c r="O237" s="912"/>
      <c r="P237" s="912"/>
      <c r="Q237" s="912"/>
      <c r="T237" s="932"/>
    </row>
    <row r="238" spans="15:20">
      <c r="O238" s="912"/>
      <c r="P238" s="912"/>
      <c r="Q238" s="912"/>
      <c r="T238" s="932"/>
    </row>
    <row r="239" spans="15:20">
      <c r="O239" s="912"/>
      <c r="P239" s="912"/>
      <c r="Q239" s="912"/>
      <c r="T239" s="932"/>
    </row>
    <row r="240" spans="15:20">
      <c r="O240" s="912"/>
      <c r="P240" s="912"/>
      <c r="Q240" s="912"/>
      <c r="T240" s="932"/>
    </row>
    <row r="241" spans="15:20">
      <c r="O241" s="912"/>
      <c r="P241" s="912"/>
      <c r="Q241" s="912"/>
      <c r="T241" s="932"/>
    </row>
    <row r="242" spans="15:20">
      <c r="O242" s="912"/>
      <c r="P242" s="912"/>
      <c r="Q242" s="912"/>
      <c r="T242" s="932"/>
    </row>
    <row r="243" spans="15:20">
      <c r="O243" s="912"/>
      <c r="P243" s="912"/>
      <c r="Q243" s="912"/>
      <c r="T243" s="932"/>
    </row>
    <row r="244" spans="15:20">
      <c r="O244" s="912"/>
      <c r="P244" s="912"/>
      <c r="Q244" s="912"/>
      <c r="T244" s="932"/>
    </row>
    <row r="245" spans="15:20">
      <c r="O245" s="912"/>
      <c r="P245" s="912"/>
      <c r="Q245" s="912"/>
      <c r="T245" s="932"/>
    </row>
    <row r="246" spans="15:20">
      <c r="O246" s="912"/>
      <c r="P246" s="912"/>
      <c r="Q246" s="912"/>
      <c r="T246" s="932"/>
    </row>
    <row r="247" spans="15:20">
      <c r="O247" s="912"/>
      <c r="P247" s="912"/>
      <c r="Q247" s="912"/>
      <c r="T247" s="932"/>
    </row>
    <row r="248" spans="15:20">
      <c r="O248" s="912"/>
      <c r="P248" s="912"/>
      <c r="Q248" s="912"/>
      <c r="T248" s="932"/>
    </row>
    <row r="249" spans="15:20">
      <c r="O249" s="912"/>
      <c r="P249" s="912"/>
      <c r="Q249" s="912"/>
      <c r="T249" s="932"/>
    </row>
    <row r="250" spans="15:20">
      <c r="O250" s="912"/>
      <c r="P250" s="912"/>
      <c r="Q250" s="912"/>
      <c r="T250" s="932"/>
    </row>
    <row r="251" spans="15:20">
      <c r="O251" s="912"/>
      <c r="P251" s="912"/>
      <c r="Q251" s="912"/>
      <c r="T251" s="932"/>
    </row>
    <row r="252" spans="15:20">
      <c r="O252" s="912"/>
      <c r="P252" s="912"/>
      <c r="Q252" s="912"/>
      <c r="T252" s="932"/>
    </row>
    <row r="253" spans="15:20">
      <c r="O253" s="912"/>
      <c r="P253" s="912"/>
      <c r="Q253" s="912"/>
      <c r="T253" s="932"/>
    </row>
    <row r="254" spans="15:20">
      <c r="O254" s="912"/>
      <c r="P254" s="912"/>
      <c r="Q254" s="912"/>
      <c r="T254" s="932"/>
    </row>
    <row r="255" spans="15:20">
      <c r="O255" s="912"/>
      <c r="P255" s="912"/>
      <c r="Q255" s="912"/>
      <c r="T255" s="932"/>
    </row>
    <row r="256" spans="15:20">
      <c r="O256" s="912"/>
      <c r="P256" s="912"/>
      <c r="Q256" s="912"/>
      <c r="T256" s="932"/>
    </row>
    <row r="257" spans="15:20">
      <c r="O257" s="912"/>
      <c r="P257" s="912"/>
      <c r="Q257" s="912"/>
      <c r="T257" s="932"/>
    </row>
    <row r="258" spans="15:20">
      <c r="O258" s="912"/>
      <c r="P258" s="912"/>
      <c r="Q258" s="912"/>
      <c r="T258" s="932"/>
    </row>
    <row r="259" spans="15:20">
      <c r="O259" s="912"/>
      <c r="P259" s="912"/>
      <c r="Q259" s="912"/>
      <c r="T259" s="932"/>
    </row>
    <row r="260" spans="15:20">
      <c r="O260" s="912"/>
      <c r="P260" s="912"/>
      <c r="Q260" s="912"/>
      <c r="T260" s="932"/>
    </row>
    <row r="261" spans="15:20">
      <c r="O261" s="912"/>
      <c r="P261" s="912"/>
      <c r="Q261" s="912"/>
      <c r="T261" s="932"/>
    </row>
    <row r="262" spans="15:20">
      <c r="O262" s="912"/>
      <c r="P262" s="912"/>
      <c r="Q262" s="912"/>
      <c r="T262" s="932"/>
    </row>
    <row r="263" spans="15:20">
      <c r="O263" s="912"/>
      <c r="P263" s="912"/>
      <c r="Q263" s="912"/>
      <c r="T263" s="932"/>
    </row>
    <row r="264" spans="15:20">
      <c r="O264" s="912"/>
      <c r="P264" s="912"/>
      <c r="Q264" s="912"/>
      <c r="T264" s="932"/>
    </row>
    <row r="265" spans="15:20">
      <c r="O265" s="912"/>
      <c r="P265" s="912"/>
      <c r="Q265" s="912"/>
      <c r="T265" s="932"/>
    </row>
    <row r="266" spans="15:20">
      <c r="O266" s="912"/>
      <c r="P266" s="912"/>
      <c r="Q266" s="912"/>
      <c r="T266" s="932"/>
    </row>
    <row r="267" spans="15:20">
      <c r="O267" s="912"/>
      <c r="P267" s="912"/>
      <c r="Q267" s="912"/>
      <c r="T267" s="932"/>
    </row>
    <row r="268" spans="15:20">
      <c r="O268" s="912"/>
      <c r="P268" s="912"/>
      <c r="Q268" s="912"/>
      <c r="T268" s="932"/>
    </row>
    <row r="269" spans="15:20">
      <c r="O269" s="912"/>
      <c r="P269" s="912"/>
      <c r="Q269" s="912"/>
      <c r="T269" s="932"/>
    </row>
    <row r="270" spans="15:20">
      <c r="O270" s="912"/>
      <c r="P270" s="912"/>
      <c r="Q270" s="912"/>
      <c r="T270" s="932"/>
    </row>
    <row r="271" spans="15:20">
      <c r="O271" s="912"/>
      <c r="P271" s="912"/>
      <c r="Q271" s="912"/>
      <c r="T271" s="932"/>
    </row>
    <row r="272" spans="15:20">
      <c r="O272" s="912"/>
      <c r="P272" s="912"/>
      <c r="Q272" s="912"/>
      <c r="T272" s="932"/>
    </row>
    <row r="273" spans="15:20">
      <c r="O273" s="912"/>
      <c r="P273" s="912"/>
      <c r="Q273" s="912"/>
      <c r="T273" s="932"/>
    </row>
    <row r="274" spans="15:20">
      <c r="O274" s="912"/>
      <c r="P274" s="912"/>
      <c r="Q274" s="912"/>
      <c r="T274" s="932"/>
    </row>
    <row r="275" spans="15:20">
      <c r="O275" s="912"/>
      <c r="P275" s="912"/>
      <c r="Q275" s="912"/>
      <c r="T275" s="932"/>
    </row>
    <row r="276" spans="15:20">
      <c r="O276" s="912"/>
      <c r="P276" s="912"/>
      <c r="Q276" s="912"/>
    </row>
    <row r="277" spans="15:20">
      <c r="O277" s="912"/>
      <c r="P277" s="912"/>
      <c r="Q277" s="912"/>
    </row>
    <row r="293" spans="4:4">
      <c r="D293" s="377">
        <v>0</v>
      </c>
    </row>
  </sheetData>
  <mergeCells count="4">
    <mergeCell ref="A1:Z1"/>
    <mergeCell ref="A2:AN2"/>
    <mergeCell ref="B3:X3"/>
    <mergeCell ref="A4:Z4"/>
  </mergeCells>
  <printOptions horizontalCentered="1"/>
  <pageMargins left="0" right="0" top="0.25" bottom="0.17" header="0.17" footer="0.2"/>
  <pageSetup scale="42"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92D050"/>
  </sheetPr>
  <dimension ref="A1:AK281"/>
  <sheetViews>
    <sheetView showGridLines="0" topLeftCell="A2" zoomScale="70" zoomScaleNormal="70" workbookViewId="0">
      <pane xSplit="3" ySplit="7" topLeftCell="L253" activePane="bottomRight" state="frozen"/>
      <selection activeCell="G56" sqref="G56"/>
      <selection pane="topRight" activeCell="G56" sqref="G56"/>
      <selection pane="bottomLeft" activeCell="G56" sqref="G56"/>
      <selection pane="bottomRight" activeCell="Z6" sqref="Z6:Z273"/>
    </sheetView>
  </sheetViews>
  <sheetFormatPr defaultRowHeight="12.75"/>
  <cols>
    <col min="1" max="1" width="44.28515625" style="365" customWidth="1"/>
    <col min="2" max="2" width="9" style="365" customWidth="1"/>
    <col min="3" max="3" width="2.28515625" style="365" bestFit="1" customWidth="1"/>
    <col min="4" max="4" width="25.5703125" style="922" hidden="1" customWidth="1"/>
    <col min="5" max="5" width="22" style="912" hidden="1" customWidth="1"/>
    <col min="6" max="6" width="16.140625" style="912" hidden="1" customWidth="1"/>
    <col min="7" max="7" width="21.28515625" style="912" hidden="1" customWidth="1"/>
    <col min="8" max="9" width="19.42578125" style="912" hidden="1" customWidth="1"/>
    <col min="10" max="10" width="20.5703125" style="912" hidden="1" customWidth="1"/>
    <col min="11" max="11" width="18.7109375" style="912" hidden="1" customWidth="1"/>
    <col min="12" max="12" width="16.7109375" style="912" customWidth="1"/>
    <col min="13" max="13" width="19.42578125" style="912" customWidth="1"/>
    <col min="14" max="14" width="19.5703125" style="932" bestFit="1" customWidth="1"/>
    <col min="15" max="15" width="6" style="363" hidden="1" customWidth="1"/>
    <col min="16" max="16" width="16.28515625" style="912" bestFit="1" customWidth="1"/>
    <col min="17" max="17" width="6" style="363" hidden="1" customWidth="1"/>
    <col min="18" max="18" width="18.28515625" style="912" customWidth="1"/>
    <col min="19" max="19" width="6" style="363" hidden="1" customWidth="1"/>
    <col min="20" max="20" width="19.42578125" style="912" customWidth="1"/>
    <col min="21" max="21" width="6" style="363" hidden="1" customWidth="1"/>
    <col min="22" max="22" width="16.28515625" style="912" bestFit="1" customWidth="1"/>
    <col min="23" max="23" width="9.140625" style="363" hidden="1" customWidth="1"/>
    <col min="24" max="24" width="16.28515625" style="912" bestFit="1" customWidth="1"/>
    <col min="25" max="25" width="6" style="363" hidden="1" customWidth="1"/>
    <col min="26" max="26" width="20.28515625" style="912" customWidth="1"/>
    <col min="27" max="37" width="9.140625" style="363" customWidth="1"/>
    <col min="38" max="232" width="8.85546875" style="365"/>
    <col min="233" max="233" width="44.5703125" style="365" customWidth="1"/>
    <col min="234" max="234" width="14.28515625" style="365" bestFit="1" customWidth="1"/>
    <col min="235" max="235" width="1.7109375" style="365" customWidth="1"/>
    <col min="236" max="236" width="14.85546875" style="365" customWidth="1"/>
    <col min="237" max="237" width="0" style="365" hidden="1" customWidth="1"/>
    <col min="238" max="238" width="17.42578125" style="365" customWidth="1"/>
    <col min="239" max="239" width="0" style="365" hidden="1" customWidth="1"/>
    <col min="240" max="240" width="12.85546875" style="365" customWidth="1"/>
    <col min="241" max="241" width="0" style="365" hidden="1" customWidth="1"/>
    <col min="242" max="242" width="14.42578125" style="365" customWidth="1"/>
    <col min="243" max="243" width="0" style="365" hidden="1" customWidth="1"/>
    <col min="244" max="244" width="17.42578125" style="365" customWidth="1"/>
    <col min="245" max="245" width="0" style="365" hidden="1" customWidth="1"/>
    <col min="246" max="246" width="14" style="365" customWidth="1"/>
    <col min="247" max="247" width="14.28515625" style="365" bestFit="1" customWidth="1"/>
    <col min="248" max="248" width="0" style="365" hidden="1" customWidth="1"/>
    <col min="249" max="249" width="15.5703125" style="365" customWidth="1"/>
    <col min="250" max="250" width="44.5703125" style="365" customWidth="1"/>
    <col min="251" max="251" width="14.28515625" style="365" bestFit="1" customWidth="1"/>
    <col min="252" max="252" width="0" style="365" hidden="1" customWidth="1"/>
    <col min="253" max="253" width="18.140625" style="365" customWidth="1"/>
    <col min="254" max="254" width="0" style="365" hidden="1" customWidth="1"/>
    <col min="255" max="255" width="14" style="365" customWidth="1"/>
    <col min="256" max="256" width="0" style="365" hidden="1" customWidth="1"/>
    <col min="257" max="257" width="20.85546875" style="365" customWidth="1"/>
    <col min="258" max="258" width="0" style="365" hidden="1" customWidth="1"/>
    <col min="259" max="259" width="13.28515625" style="365" customWidth="1"/>
    <col min="260" max="260" width="0" style="365" hidden="1" customWidth="1"/>
    <col min="261" max="261" width="15" style="365" customWidth="1"/>
    <col min="262" max="262" width="0" style="365" hidden="1" customWidth="1"/>
    <col min="263" max="263" width="13.28515625" style="365" customWidth="1"/>
    <col min="264" max="264" width="0" style="365" hidden="1" customWidth="1"/>
    <col min="265" max="265" width="20.140625" style="365" customWidth="1"/>
    <col min="266" max="266" width="14.42578125" style="365" bestFit="1" customWidth="1"/>
    <col min="267" max="267" width="14" style="365" bestFit="1" customWidth="1"/>
    <col min="268" max="268" width="12.28515625" style="365" bestFit="1" customWidth="1"/>
    <col min="269" max="293" width="9.140625" style="365" customWidth="1"/>
    <col min="294" max="488" width="8.85546875" style="365"/>
    <col min="489" max="489" width="44.5703125" style="365" customWidth="1"/>
    <col min="490" max="490" width="14.28515625" style="365" bestFit="1" customWidth="1"/>
    <col min="491" max="491" width="1.7109375" style="365" customWidth="1"/>
    <col min="492" max="492" width="14.85546875" style="365" customWidth="1"/>
    <col min="493" max="493" width="0" style="365" hidden="1" customWidth="1"/>
    <col min="494" max="494" width="17.42578125" style="365" customWidth="1"/>
    <col min="495" max="495" width="0" style="365" hidden="1" customWidth="1"/>
    <col min="496" max="496" width="12.85546875" style="365" customWidth="1"/>
    <col min="497" max="497" width="0" style="365" hidden="1" customWidth="1"/>
    <col min="498" max="498" width="14.42578125" style="365" customWidth="1"/>
    <col min="499" max="499" width="0" style="365" hidden="1" customWidth="1"/>
    <col min="500" max="500" width="17.42578125" style="365" customWidth="1"/>
    <col min="501" max="501" width="0" style="365" hidden="1" customWidth="1"/>
    <col min="502" max="502" width="14" style="365" customWidth="1"/>
    <col min="503" max="503" width="14.28515625" style="365" bestFit="1" customWidth="1"/>
    <col min="504" max="504" width="0" style="365" hidden="1" customWidth="1"/>
    <col min="505" max="505" width="15.5703125" style="365" customWidth="1"/>
    <col min="506" max="506" width="44.5703125" style="365" customWidth="1"/>
    <col min="507" max="507" width="14.28515625" style="365" bestFit="1" customWidth="1"/>
    <col min="508" max="508" width="0" style="365" hidden="1" customWidth="1"/>
    <col min="509" max="509" width="18.140625" style="365" customWidth="1"/>
    <col min="510" max="510" width="0" style="365" hidden="1" customWidth="1"/>
    <col min="511" max="511" width="14" style="365" customWidth="1"/>
    <col min="512" max="512" width="0" style="365" hidden="1" customWidth="1"/>
    <col min="513" max="513" width="20.85546875" style="365" customWidth="1"/>
    <col min="514" max="514" width="0" style="365" hidden="1" customWidth="1"/>
    <col min="515" max="515" width="13.28515625" style="365" customWidth="1"/>
    <col min="516" max="516" width="0" style="365" hidden="1" customWidth="1"/>
    <col min="517" max="517" width="15" style="365" customWidth="1"/>
    <col min="518" max="518" width="0" style="365" hidden="1" customWidth="1"/>
    <col min="519" max="519" width="13.28515625" style="365" customWidth="1"/>
    <col min="520" max="520" width="0" style="365" hidden="1" customWidth="1"/>
    <col min="521" max="521" width="20.140625" style="365" customWidth="1"/>
    <col min="522" max="522" width="14.42578125" style="365" bestFit="1" customWidth="1"/>
    <col min="523" max="523" width="14" style="365" bestFit="1" customWidth="1"/>
    <col min="524" max="524" width="12.28515625" style="365" bestFit="1" customWidth="1"/>
    <col min="525" max="549" width="9.140625" style="365" customWidth="1"/>
    <col min="550" max="744" width="8.85546875" style="365"/>
    <col min="745" max="745" width="44.5703125" style="365" customWidth="1"/>
    <col min="746" max="746" width="14.28515625" style="365" bestFit="1" customWidth="1"/>
    <col min="747" max="747" width="1.7109375" style="365" customWidth="1"/>
    <col min="748" max="748" width="14.85546875" style="365" customWidth="1"/>
    <col min="749" max="749" width="0" style="365" hidden="1" customWidth="1"/>
    <col min="750" max="750" width="17.42578125" style="365" customWidth="1"/>
    <col min="751" max="751" width="0" style="365" hidden="1" customWidth="1"/>
    <col min="752" max="752" width="12.85546875" style="365" customWidth="1"/>
    <col min="753" max="753" width="0" style="365" hidden="1" customWidth="1"/>
    <col min="754" max="754" width="14.42578125" style="365" customWidth="1"/>
    <col min="755" max="755" width="0" style="365" hidden="1" customWidth="1"/>
    <col min="756" max="756" width="17.42578125" style="365" customWidth="1"/>
    <col min="757" max="757" width="0" style="365" hidden="1" customWidth="1"/>
    <col min="758" max="758" width="14" style="365" customWidth="1"/>
    <col min="759" max="759" width="14.28515625" style="365" bestFit="1" customWidth="1"/>
    <col min="760" max="760" width="0" style="365" hidden="1" customWidth="1"/>
    <col min="761" max="761" width="15.5703125" style="365" customWidth="1"/>
    <col min="762" max="762" width="44.5703125" style="365" customWidth="1"/>
    <col min="763" max="763" width="14.28515625" style="365" bestFit="1" customWidth="1"/>
    <col min="764" max="764" width="0" style="365" hidden="1" customWidth="1"/>
    <col min="765" max="765" width="18.140625" style="365" customWidth="1"/>
    <col min="766" max="766" width="0" style="365" hidden="1" customWidth="1"/>
    <col min="767" max="767" width="14" style="365" customWidth="1"/>
    <col min="768" max="768" width="0" style="365" hidden="1" customWidth="1"/>
    <col min="769" max="769" width="20.85546875" style="365" customWidth="1"/>
    <col min="770" max="770" width="0" style="365" hidden="1" customWidth="1"/>
    <col min="771" max="771" width="13.28515625" style="365" customWidth="1"/>
    <col min="772" max="772" width="0" style="365" hidden="1" customWidth="1"/>
    <col min="773" max="773" width="15" style="365" customWidth="1"/>
    <col min="774" max="774" width="0" style="365" hidden="1" customWidth="1"/>
    <col min="775" max="775" width="13.28515625" style="365" customWidth="1"/>
    <col min="776" max="776" width="0" style="365" hidden="1" customWidth="1"/>
    <col min="777" max="777" width="20.140625" style="365" customWidth="1"/>
    <col min="778" max="778" width="14.42578125" style="365" bestFit="1" customWidth="1"/>
    <col min="779" max="779" width="14" style="365" bestFit="1" customWidth="1"/>
    <col min="780" max="780" width="12.28515625" style="365" bestFit="1" customWidth="1"/>
    <col min="781" max="805" width="9.140625" style="365" customWidth="1"/>
    <col min="806" max="1000" width="8.85546875" style="365"/>
    <col min="1001" max="1001" width="44.5703125" style="365" customWidth="1"/>
    <col min="1002" max="1002" width="14.28515625" style="365" bestFit="1" customWidth="1"/>
    <col min="1003" max="1003" width="1.7109375" style="365" customWidth="1"/>
    <col min="1004" max="1004" width="14.85546875" style="365" customWidth="1"/>
    <col min="1005" max="1005" width="0" style="365" hidden="1" customWidth="1"/>
    <col min="1006" max="1006" width="17.42578125" style="365" customWidth="1"/>
    <col min="1007" max="1007" width="0" style="365" hidden="1" customWidth="1"/>
    <col min="1008" max="1008" width="12.85546875" style="365" customWidth="1"/>
    <col min="1009" max="1009" width="0" style="365" hidden="1" customWidth="1"/>
    <col min="1010" max="1010" width="14.42578125" style="365" customWidth="1"/>
    <col min="1011" max="1011" width="0" style="365" hidden="1" customWidth="1"/>
    <col min="1012" max="1012" width="17.42578125" style="365" customWidth="1"/>
    <col min="1013" max="1013" width="0" style="365" hidden="1" customWidth="1"/>
    <col min="1014" max="1014" width="14" style="365" customWidth="1"/>
    <col min="1015" max="1015" width="14.28515625" style="365" bestFit="1" customWidth="1"/>
    <col min="1016" max="1016" width="0" style="365" hidden="1" customWidth="1"/>
    <col min="1017" max="1017" width="15.5703125" style="365" customWidth="1"/>
    <col min="1018" max="1018" width="44.5703125" style="365" customWidth="1"/>
    <col min="1019" max="1019" width="14.28515625" style="365" bestFit="1" customWidth="1"/>
    <col min="1020" max="1020" width="0" style="365" hidden="1" customWidth="1"/>
    <col min="1021" max="1021" width="18.140625" style="365" customWidth="1"/>
    <col min="1022" max="1022" width="0" style="365" hidden="1" customWidth="1"/>
    <col min="1023" max="1023" width="14" style="365" customWidth="1"/>
    <col min="1024" max="1024" width="0" style="365" hidden="1" customWidth="1"/>
    <col min="1025" max="1025" width="20.85546875" style="365" customWidth="1"/>
    <col min="1026" max="1026" width="0" style="365" hidden="1" customWidth="1"/>
    <col min="1027" max="1027" width="13.28515625" style="365" customWidth="1"/>
    <col min="1028" max="1028" width="0" style="365" hidden="1" customWidth="1"/>
    <col min="1029" max="1029" width="15" style="365" customWidth="1"/>
    <col min="1030" max="1030" width="0" style="365" hidden="1" customWidth="1"/>
    <col min="1031" max="1031" width="13.28515625" style="365" customWidth="1"/>
    <col min="1032" max="1032" width="0" style="365" hidden="1" customWidth="1"/>
    <col min="1033" max="1033" width="20.140625" style="365" customWidth="1"/>
    <col min="1034" max="1034" width="14.42578125" style="365" bestFit="1" customWidth="1"/>
    <col min="1035" max="1035" width="14" style="365" bestFit="1" customWidth="1"/>
    <col min="1036" max="1036" width="12.28515625" style="365" bestFit="1" customWidth="1"/>
    <col min="1037" max="1061" width="9.140625" style="365" customWidth="1"/>
    <col min="1062" max="1256" width="8.85546875" style="365"/>
    <col min="1257" max="1257" width="44.5703125" style="365" customWidth="1"/>
    <col min="1258" max="1258" width="14.28515625" style="365" bestFit="1" customWidth="1"/>
    <col min="1259" max="1259" width="1.7109375" style="365" customWidth="1"/>
    <col min="1260" max="1260" width="14.85546875" style="365" customWidth="1"/>
    <col min="1261" max="1261" width="0" style="365" hidden="1" customWidth="1"/>
    <col min="1262" max="1262" width="17.42578125" style="365" customWidth="1"/>
    <col min="1263" max="1263" width="0" style="365" hidden="1" customWidth="1"/>
    <col min="1264" max="1264" width="12.85546875" style="365" customWidth="1"/>
    <col min="1265" max="1265" width="0" style="365" hidden="1" customWidth="1"/>
    <col min="1266" max="1266" width="14.42578125" style="365" customWidth="1"/>
    <col min="1267" max="1267" width="0" style="365" hidden="1" customWidth="1"/>
    <col min="1268" max="1268" width="17.42578125" style="365" customWidth="1"/>
    <col min="1269" max="1269" width="0" style="365" hidden="1" customWidth="1"/>
    <col min="1270" max="1270" width="14" style="365" customWidth="1"/>
    <col min="1271" max="1271" width="14.28515625" style="365" bestFit="1" customWidth="1"/>
    <col min="1272" max="1272" width="0" style="365" hidden="1" customWidth="1"/>
    <col min="1273" max="1273" width="15.5703125" style="365" customWidth="1"/>
    <col min="1274" max="1274" width="44.5703125" style="365" customWidth="1"/>
    <col min="1275" max="1275" width="14.28515625" style="365" bestFit="1" customWidth="1"/>
    <col min="1276" max="1276" width="0" style="365" hidden="1" customWidth="1"/>
    <col min="1277" max="1277" width="18.140625" style="365" customWidth="1"/>
    <col min="1278" max="1278" width="0" style="365" hidden="1" customWidth="1"/>
    <col min="1279" max="1279" width="14" style="365" customWidth="1"/>
    <col min="1280" max="1280" width="0" style="365" hidden="1" customWidth="1"/>
    <col min="1281" max="1281" width="20.85546875" style="365" customWidth="1"/>
    <col min="1282" max="1282" width="0" style="365" hidden="1" customWidth="1"/>
    <col min="1283" max="1283" width="13.28515625" style="365" customWidth="1"/>
    <col min="1284" max="1284" width="0" style="365" hidden="1" customWidth="1"/>
    <col min="1285" max="1285" width="15" style="365" customWidth="1"/>
    <col min="1286" max="1286" width="0" style="365" hidden="1" customWidth="1"/>
    <col min="1287" max="1287" width="13.28515625" style="365" customWidth="1"/>
    <col min="1288" max="1288" width="0" style="365" hidden="1" customWidth="1"/>
    <col min="1289" max="1289" width="20.140625" style="365" customWidth="1"/>
    <col min="1290" max="1290" width="14.42578125" style="365" bestFit="1" customWidth="1"/>
    <col min="1291" max="1291" width="14" style="365" bestFit="1" customWidth="1"/>
    <col min="1292" max="1292" width="12.28515625" style="365" bestFit="1" customWidth="1"/>
    <col min="1293" max="1317" width="9.140625" style="365" customWidth="1"/>
    <col min="1318" max="1512" width="8.85546875" style="365"/>
    <col min="1513" max="1513" width="44.5703125" style="365" customWidth="1"/>
    <col min="1514" max="1514" width="14.28515625" style="365" bestFit="1" customWidth="1"/>
    <col min="1515" max="1515" width="1.7109375" style="365" customWidth="1"/>
    <col min="1516" max="1516" width="14.85546875" style="365" customWidth="1"/>
    <col min="1517" max="1517" width="0" style="365" hidden="1" customWidth="1"/>
    <col min="1518" max="1518" width="17.42578125" style="365" customWidth="1"/>
    <col min="1519" max="1519" width="0" style="365" hidden="1" customWidth="1"/>
    <col min="1520" max="1520" width="12.85546875" style="365" customWidth="1"/>
    <col min="1521" max="1521" width="0" style="365" hidden="1" customWidth="1"/>
    <col min="1522" max="1522" width="14.42578125" style="365" customWidth="1"/>
    <col min="1523" max="1523" width="0" style="365" hidden="1" customWidth="1"/>
    <col min="1524" max="1524" width="17.42578125" style="365" customWidth="1"/>
    <col min="1525" max="1525" width="0" style="365" hidden="1" customWidth="1"/>
    <col min="1526" max="1526" width="14" style="365" customWidth="1"/>
    <col min="1527" max="1527" width="14.28515625" style="365" bestFit="1" customWidth="1"/>
    <col min="1528" max="1528" width="0" style="365" hidden="1" customWidth="1"/>
    <col min="1529" max="1529" width="15.5703125" style="365" customWidth="1"/>
    <col min="1530" max="1530" width="44.5703125" style="365" customWidth="1"/>
    <col min="1531" max="1531" width="14.28515625" style="365" bestFit="1" customWidth="1"/>
    <col min="1532" max="1532" width="0" style="365" hidden="1" customWidth="1"/>
    <col min="1533" max="1533" width="18.140625" style="365" customWidth="1"/>
    <col min="1534" max="1534" width="0" style="365" hidden="1" customWidth="1"/>
    <col min="1535" max="1535" width="14" style="365" customWidth="1"/>
    <col min="1536" max="1536" width="0" style="365" hidden="1" customWidth="1"/>
    <col min="1537" max="1537" width="20.85546875" style="365" customWidth="1"/>
    <col min="1538" max="1538" width="0" style="365" hidden="1" customWidth="1"/>
    <col min="1539" max="1539" width="13.28515625" style="365" customWidth="1"/>
    <col min="1540" max="1540" width="0" style="365" hidden="1" customWidth="1"/>
    <col min="1541" max="1541" width="15" style="365" customWidth="1"/>
    <col min="1542" max="1542" width="0" style="365" hidden="1" customWidth="1"/>
    <col min="1543" max="1543" width="13.28515625" style="365" customWidth="1"/>
    <col min="1544" max="1544" width="0" style="365" hidden="1" customWidth="1"/>
    <col min="1545" max="1545" width="20.140625" style="365" customWidth="1"/>
    <col min="1546" max="1546" width="14.42578125" style="365" bestFit="1" customWidth="1"/>
    <col min="1547" max="1547" width="14" style="365" bestFit="1" customWidth="1"/>
    <col min="1548" max="1548" width="12.28515625" style="365" bestFit="1" customWidth="1"/>
    <col min="1549" max="1573" width="9.140625" style="365" customWidth="1"/>
    <col min="1574" max="1768" width="8.85546875" style="365"/>
    <col min="1769" max="1769" width="44.5703125" style="365" customWidth="1"/>
    <col min="1770" max="1770" width="14.28515625" style="365" bestFit="1" customWidth="1"/>
    <col min="1771" max="1771" width="1.7109375" style="365" customWidth="1"/>
    <col min="1772" max="1772" width="14.85546875" style="365" customWidth="1"/>
    <col min="1773" max="1773" width="0" style="365" hidden="1" customWidth="1"/>
    <col min="1774" max="1774" width="17.42578125" style="365" customWidth="1"/>
    <col min="1775" max="1775" width="0" style="365" hidden="1" customWidth="1"/>
    <col min="1776" max="1776" width="12.85546875" style="365" customWidth="1"/>
    <col min="1777" max="1777" width="0" style="365" hidden="1" customWidth="1"/>
    <col min="1778" max="1778" width="14.42578125" style="365" customWidth="1"/>
    <col min="1779" max="1779" width="0" style="365" hidden="1" customWidth="1"/>
    <col min="1780" max="1780" width="17.42578125" style="365" customWidth="1"/>
    <col min="1781" max="1781" width="0" style="365" hidden="1" customWidth="1"/>
    <col min="1782" max="1782" width="14" style="365" customWidth="1"/>
    <col min="1783" max="1783" width="14.28515625" style="365" bestFit="1" customWidth="1"/>
    <col min="1784" max="1784" width="0" style="365" hidden="1" customWidth="1"/>
    <col min="1785" max="1785" width="15.5703125" style="365" customWidth="1"/>
    <col min="1786" max="1786" width="44.5703125" style="365" customWidth="1"/>
    <col min="1787" max="1787" width="14.28515625" style="365" bestFit="1" customWidth="1"/>
    <col min="1788" max="1788" width="0" style="365" hidden="1" customWidth="1"/>
    <col min="1789" max="1789" width="18.140625" style="365" customWidth="1"/>
    <col min="1790" max="1790" width="0" style="365" hidden="1" customWidth="1"/>
    <col min="1791" max="1791" width="14" style="365" customWidth="1"/>
    <col min="1792" max="1792" width="0" style="365" hidden="1" customWidth="1"/>
    <col min="1793" max="1793" width="20.85546875" style="365" customWidth="1"/>
    <col min="1794" max="1794" width="0" style="365" hidden="1" customWidth="1"/>
    <col min="1795" max="1795" width="13.28515625" style="365" customWidth="1"/>
    <col min="1796" max="1796" width="0" style="365" hidden="1" customWidth="1"/>
    <col min="1797" max="1797" width="15" style="365" customWidth="1"/>
    <col min="1798" max="1798" width="0" style="365" hidden="1" customWidth="1"/>
    <col min="1799" max="1799" width="13.28515625" style="365" customWidth="1"/>
    <col min="1800" max="1800" width="0" style="365" hidden="1" customWidth="1"/>
    <col min="1801" max="1801" width="20.140625" style="365" customWidth="1"/>
    <col min="1802" max="1802" width="14.42578125" style="365" bestFit="1" customWidth="1"/>
    <col min="1803" max="1803" width="14" style="365" bestFit="1" customWidth="1"/>
    <col min="1804" max="1804" width="12.28515625" style="365" bestFit="1" customWidth="1"/>
    <col min="1805" max="1829" width="9.140625" style="365" customWidth="1"/>
    <col min="1830" max="2024" width="8.85546875" style="365"/>
    <col min="2025" max="2025" width="44.5703125" style="365" customWidth="1"/>
    <col min="2026" max="2026" width="14.28515625" style="365" bestFit="1" customWidth="1"/>
    <col min="2027" max="2027" width="1.7109375" style="365" customWidth="1"/>
    <col min="2028" max="2028" width="14.85546875" style="365" customWidth="1"/>
    <col min="2029" max="2029" width="0" style="365" hidden="1" customWidth="1"/>
    <col min="2030" max="2030" width="17.42578125" style="365" customWidth="1"/>
    <col min="2031" max="2031" width="0" style="365" hidden="1" customWidth="1"/>
    <col min="2032" max="2032" width="12.85546875" style="365" customWidth="1"/>
    <col min="2033" max="2033" width="0" style="365" hidden="1" customWidth="1"/>
    <col min="2034" max="2034" width="14.42578125" style="365" customWidth="1"/>
    <col min="2035" max="2035" width="0" style="365" hidden="1" customWidth="1"/>
    <col min="2036" max="2036" width="17.42578125" style="365" customWidth="1"/>
    <col min="2037" max="2037" width="0" style="365" hidden="1" customWidth="1"/>
    <col min="2038" max="2038" width="14" style="365" customWidth="1"/>
    <col min="2039" max="2039" width="14.28515625" style="365" bestFit="1" customWidth="1"/>
    <col min="2040" max="2040" width="0" style="365" hidden="1" customWidth="1"/>
    <col min="2041" max="2041" width="15.5703125" style="365" customWidth="1"/>
    <col min="2042" max="2042" width="44.5703125" style="365" customWidth="1"/>
    <col min="2043" max="2043" width="14.28515625" style="365" bestFit="1" customWidth="1"/>
    <col min="2044" max="2044" width="0" style="365" hidden="1" customWidth="1"/>
    <col min="2045" max="2045" width="18.140625" style="365" customWidth="1"/>
    <col min="2046" max="2046" width="0" style="365" hidden="1" customWidth="1"/>
    <col min="2047" max="2047" width="14" style="365" customWidth="1"/>
    <col min="2048" max="2048" width="0" style="365" hidden="1" customWidth="1"/>
    <col min="2049" max="2049" width="20.85546875" style="365" customWidth="1"/>
    <col min="2050" max="2050" width="0" style="365" hidden="1" customWidth="1"/>
    <col min="2051" max="2051" width="13.28515625" style="365" customWidth="1"/>
    <col min="2052" max="2052" width="0" style="365" hidden="1" customWidth="1"/>
    <col min="2053" max="2053" width="15" style="365" customWidth="1"/>
    <col min="2054" max="2054" width="0" style="365" hidden="1" customWidth="1"/>
    <col min="2055" max="2055" width="13.28515625" style="365" customWidth="1"/>
    <col min="2056" max="2056" width="0" style="365" hidden="1" customWidth="1"/>
    <col min="2057" max="2057" width="20.140625" style="365" customWidth="1"/>
    <col min="2058" max="2058" width="14.42578125" style="365" bestFit="1" customWidth="1"/>
    <col min="2059" max="2059" width="14" style="365" bestFit="1" customWidth="1"/>
    <col min="2060" max="2060" width="12.28515625" style="365" bestFit="1" customWidth="1"/>
    <col min="2061" max="2085" width="9.140625" style="365" customWidth="1"/>
    <col min="2086" max="2280" width="8.85546875" style="365"/>
    <col min="2281" max="2281" width="44.5703125" style="365" customWidth="1"/>
    <col min="2282" max="2282" width="14.28515625" style="365" bestFit="1" customWidth="1"/>
    <col min="2283" max="2283" width="1.7109375" style="365" customWidth="1"/>
    <col min="2284" max="2284" width="14.85546875" style="365" customWidth="1"/>
    <col min="2285" max="2285" width="0" style="365" hidden="1" customWidth="1"/>
    <col min="2286" max="2286" width="17.42578125" style="365" customWidth="1"/>
    <col min="2287" max="2287" width="0" style="365" hidden="1" customWidth="1"/>
    <col min="2288" max="2288" width="12.85546875" style="365" customWidth="1"/>
    <col min="2289" max="2289" width="0" style="365" hidden="1" customWidth="1"/>
    <col min="2290" max="2290" width="14.42578125" style="365" customWidth="1"/>
    <col min="2291" max="2291" width="0" style="365" hidden="1" customWidth="1"/>
    <col min="2292" max="2292" width="17.42578125" style="365" customWidth="1"/>
    <col min="2293" max="2293" width="0" style="365" hidden="1" customWidth="1"/>
    <col min="2294" max="2294" width="14" style="365" customWidth="1"/>
    <col min="2295" max="2295" width="14.28515625" style="365" bestFit="1" customWidth="1"/>
    <col min="2296" max="2296" width="0" style="365" hidden="1" customWidth="1"/>
    <col min="2297" max="2297" width="15.5703125" style="365" customWidth="1"/>
    <col min="2298" max="2298" width="44.5703125" style="365" customWidth="1"/>
    <col min="2299" max="2299" width="14.28515625" style="365" bestFit="1" customWidth="1"/>
    <col min="2300" max="2300" width="0" style="365" hidden="1" customWidth="1"/>
    <col min="2301" max="2301" width="18.140625" style="365" customWidth="1"/>
    <col min="2302" max="2302" width="0" style="365" hidden="1" customWidth="1"/>
    <col min="2303" max="2303" width="14" style="365" customWidth="1"/>
    <col min="2304" max="2304" width="0" style="365" hidden="1" customWidth="1"/>
    <col min="2305" max="2305" width="20.85546875" style="365" customWidth="1"/>
    <col min="2306" max="2306" width="0" style="365" hidden="1" customWidth="1"/>
    <col min="2307" max="2307" width="13.28515625" style="365" customWidth="1"/>
    <col min="2308" max="2308" width="0" style="365" hidden="1" customWidth="1"/>
    <col min="2309" max="2309" width="15" style="365" customWidth="1"/>
    <col min="2310" max="2310" width="0" style="365" hidden="1" customWidth="1"/>
    <col min="2311" max="2311" width="13.28515625" style="365" customWidth="1"/>
    <col min="2312" max="2312" width="0" style="365" hidden="1" customWidth="1"/>
    <col min="2313" max="2313" width="20.140625" style="365" customWidth="1"/>
    <col min="2314" max="2314" width="14.42578125" style="365" bestFit="1" customWidth="1"/>
    <col min="2315" max="2315" width="14" style="365" bestFit="1" customWidth="1"/>
    <col min="2316" max="2316" width="12.28515625" style="365" bestFit="1" customWidth="1"/>
    <col min="2317" max="2341" width="9.140625" style="365" customWidth="1"/>
    <col min="2342" max="2536" width="8.85546875" style="365"/>
    <col min="2537" max="2537" width="44.5703125" style="365" customWidth="1"/>
    <col min="2538" max="2538" width="14.28515625" style="365" bestFit="1" customWidth="1"/>
    <col min="2539" max="2539" width="1.7109375" style="365" customWidth="1"/>
    <col min="2540" max="2540" width="14.85546875" style="365" customWidth="1"/>
    <col min="2541" max="2541" width="0" style="365" hidden="1" customWidth="1"/>
    <col min="2542" max="2542" width="17.42578125" style="365" customWidth="1"/>
    <col min="2543" max="2543" width="0" style="365" hidden="1" customWidth="1"/>
    <col min="2544" max="2544" width="12.85546875" style="365" customWidth="1"/>
    <col min="2545" max="2545" width="0" style="365" hidden="1" customWidth="1"/>
    <col min="2546" max="2546" width="14.42578125" style="365" customWidth="1"/>
    <col min="2547" max="2547" width="0" style="365" hidden="1" customWidth="1"/>
    <col min="2548" max="2548" width="17.42578125" style="365" customWidth="1"/>
    <col min="2549" max="2549" width="0" style="365" hidden="1" customWidth="1"/>
    <col min="2550" max="2550" width="14" style="365" customWidth="1"/>
    <col min="2551" max="2551" width="14.28515625" style="365" bestFit="1" customWidth="1"/>
    <col min="2552" max="2552" width="0" style="365" hidden="1" customWidth="1"/>
    <col min="2553" max="2553" width="15.5703125" style="365" customWidth="1"/>
    <col min="2554" max="2554" width="44.5703125" style="365" customWidth="1"/>
    <col min="2555" max="2555" width="14.28515625" style="365" bestFit="1" customWidth="1"/>
    <col min="2556" max="2556" width="0" style="365" hidden="1" customWidth="1"/>
    <col min="2557" max="2557" width="18.140625" style="365" customWidth="1"/>
    <col min="2558" max="2558" width="0" style="365" hidden="1" customWidth="1"/>
    <col min="2559" max="2559" width="14" style="365" customWidth="1"/>
    <col min="2560" max="2560" width="0" style="365" hidden="1" customWidth="1"/>
    <col min="2561" max="2561" width="20.85546875" style="365" customWidth="1"/>
    <col min="2562" max="2562" width="0" style="365" hidden="1" customWidth="1"/>
    <col min="2563" max="2563" width="13.28515625" style="365" customWidth="1"/>
    <col min="2564" max="2564" width="0" style="365" hidden="1" customWidth="1"/>
    <col min="2565" max="2565" width="15" style="365" customWidth="1"/>
    <col min="2566" max="2566" width="0" style="365" hidden="1" customWidth="1"/>
    <col min="2567" max="2567" width="13.28515625" style="365" customWidth="1"/>
    <col min="2568" max="2568" width="0" style="365" hidden="1" customWidth="1"/>
    <col min="2569" max="2569" width="20.140625" style="365" customWidth="1"/>
    <col min="2570" max="2570" width="14.42578125" style="365" bestFit="1" customWidth="1"/>
    <col min="2571" max="2571" width="14" style="365" bestFit="1" customWidth="1"/>
    <col min="2572" max="2572" width="12.28515625" style="365" bestFit="1" customWidth="1"/>
    <col min="2573" max="2597" width="9.140625" style="365" customWidth="1"/>
    <col min="2598" max="2792" width="8.85546875" style="365"/>
    <col min="2793" max="2793" width="44.5703125" style="365" customWidth="1"/>
    <col min="2794" max="2794" width="14.28515625" style="365" bestFit="1" customWidth="1"/>
    <col min="2795" max="2795" width="1.7109375" style="365" customWidth="1"/>
    <col min="2796" max="2796" width="14.85546875" style="365" customWidth="1"/>
    <col min="2797" max="2797" width="0" style="365" hidden="1" customWidth="1"/>
    <col min="2798" max="2798" width="17.42578125" style="365" customWidth="1"/>
    <col min="2799" max="2799" width="0" style="365" hidden="1" customWidth="1"/>
    <col min="2800" max="2800" width="12.85546875" style="365" customWidth="1"/>
    <col min="2801" max="2801" width="0" style="365" hidden="1" customWidth="1"/>
    <col min="2802" max="2802" width="14.42578125" style="365" customWidth="1"/>
    <col min="2803" max="2803" width="0" style="365" hidden="1" customWidth="1"/>
    <col min="2804" max="2804" width="17.42578125" style="365" customWidth="1"/>
    <col min="2805" max="2805" width="0" style="365" hidden="1" customWidth="1"/>
    <col min="2806" max="2806" width="14" style="365" customWidth="1"/>
    <col min="2807" max="2807" width="14.28515625" style="365" bestFit="1" customWidth="1"/>
    <col min="2808" max="2808" width="0" style="365" hidden="1" customWidth="1"/>
    <col min="2809" max="2809" width="15.5703125" style="365" customWidth="1"/>
    <col min="2810" max="2810" width="44.5703125" style="365" customWidth="1"/>
    <col min="2811" max="2811" width="14.28515625" style="365" bestFit="1" customWidth="1"/>
    <col min="2812" max="2812" width="0" style="365" hidden="1" customWidth="1"/>
    <col min="2813" max="2813" width="18.140625" style="365" customWidth="1"/>
    <col min="2814" max="2814" width="0" style="365" hidden="1" customWidth="1"/>
    <col min="2815" max="2815" width="14" style="365" customWidth="1"/>
    <col min="2816" max="2816" width="0" style="365" hidden="1" customWidth="1"/>
    <col min="2817" max="2817" width="20.85546875" style="365" customWidth="1"/>
    <col min="2818" max="2818" width="0" style="365" hidden="1" customWidth="1"/>
    <col min="2819" max="2819" width="13.28515625" style="365" customWidth="1"/>
    <col min="2820" max="2820" width="0" style="365" hidden="1" customWidth="1"/>
    <col min="2821" max="2821" width="15" style="365" customWidth="1"/>
    <col min="2822" max="2822" width="0" style="365" hidden="1" customWidth="1"/>
    <col min="2823" max="2823" width="13.28515625" style="365" customWidth="1"/>
    <col min="2824" max="2824" width="0" style="365" hidden="1" customWidth="1"/>
    <col min="2825" max="2825" width="20.140625" style="365" customWidth="1"/>
    <col min="2826" max="2826" width="14.42578125" style="365" bestFit="1" customWidth="1"/>
    <col min="2827" max="2827" width="14" style="365" bestFit="1" customWidth="1"/>
    <col min="2828" max="2828" width="12.28515625" style="365" bestFit="1" customWidth="1"/>
    <col min="2829" max="2853" width="9.140625" style="365" customWidth="1"/>
    <col min="2854" max="3048" width="8.85546875" style="365"/>
    <col min="3049" max="3049" width="44.5703125" style="365" customWidth="1"/>
    <col min="3050" max="3050" width="14.28515625" style="365" bestFit="1" customWidth="1"/>
    <col min="3051" max="3051" width="1.7109375" style="365" customWidth="1"/>
    <col min="3052" max="3052" width="14.85546875" style="365" customWidth="1"/>
    <col min="3053" max="3053" width="0" style="365" hidden="1" customWidth="1"/>
    <col min="3054" max="3054" width="17.42578125" style="365" customWidth="1"/>
    <col min="3055" max="3055" width="0" style="365" hidden="1" customWidth="1"/>
    <col min="3056" max="3056" width="12.85546875" style="365" customWidth="1"/>
    <col min="3057" max="3057" width="0" style="365" hidden="1" customWidth="1"/>
    <col min="3058" max="3058" width="14.42578125" style="365" customWidth="1"/>
    <col min="3059" max="3059" width="0" style="365" hidden="1" customWidth="1"/>
    <col min="3060" max="3060" width="17.42578125" style="365" customWidth="1"/>
    <col min="3061" max="3061" width="0" style="365" hidden="1" customWidth="1"/>
    <col min="3062" max="3062" width="14" style="365" customWidth="1"/>
    <col min="3063" max="3063" width="14.28515625" style="365" bestFit="1" customWidth="1"/>
    <col min="3064" max="3064" width="0" style="365" hidden="1" customWidth="1"/>
    <col min="3065" max="3065" width="15.5703125" style="365" customWidth="1"/>
    <col min="3066" max="3066" width="44.5703125" style="365" customWidth="1"/>
    <col min="3067" max="3067" width="14.28515625" style="365" bestFit="1" customWidth="1"/>
    <col min="3068" max="3068" width="0" style="365" hidden="1" customWidth="1"/>
    <col min="3069" max="3069" width="18.140625" style="365" customWidth="1"/>
    <col min="3070" max="3070" width="0" style="365" hidden="1" customWidth="1"/>
    <col min="3071" max="3071" width="14" style="365" customWidth="1"/>
    <col min="3072" max="3072" width="0" style="365" hidden="1" customWidth="1"/>
    <col min="3073" max="3073" width="20.85546875" style="365" customWidth="1"/>
    <col min="3074" max="3074" width="0" style="365" hidden="1" customWidth="1"/>
    <col min="3075" max="3075" width="13.28515625" style="365" customWidth="1"/>
    <col min="3076" max="3076" width="0" style="365" hidden="1" customWidth="1"/>
    <col min="3077" max="3077" width="15" style="365" customWidth="1"/>
    <col min="3078" max="3078" width="0" style="365" hidden="1" customWidth="1"/>
    <col min="3079" max="3079" width="13.28515625" style="365" customWidth="1"/>
    <col min="3080" max="3080" width="0" style="365" hidden="1" customWidth="1"/>
    <col min="3081" max="3081" width="20.140625" style="365" customWidth="1"/>
    <col min="3082" max="3082" width="14.42578125" style="365" bestFit="1" customWidth="1"/>
    <col min="3083" max="3083" width="14" style="365" bestFit="1" customWidth="1"/>
    <col min="3084" max="3084" width="12.28515625" style="365" bestFit="1" customWidth="1"/>
    <col min="3085" max="3109" width="9.140625" style="365" customWidth="1"/>
    <col min="3110" max="3304" width="8.85546875" style="365"/>
    <col min="3305" max="3305" width="44.5703125" style="365" customWidth="1"/>
    <col min="3306" max="3306" width="14.28515625" style="365" bestFit="1" customWidth="1"/>
    <col min="3307" max="3307" width="1.7109375" style="365" customWidth="1"/>
    <col min="3308" max="3308" width="14.85546875" style="365" customWidth="1"/>
    <col min="3309" max="3309" width="0" style="365" hidden="1" customWidth="1"/>
    <col min="3310" max="3310" width="17.42578125" style="365" customWidth="1"/>
    <col min="3311" max="3311" width="0" style="365" hidden="1" customWidth="1"/>
    <col min="3312" max="3312" width="12.85546875" style="365" customWidth="1"/>
    <col min="3313" max="3313" width="0" style="365" hidden="1" customWidth="1"/>
    <col min="3314" max="3314" width="14.42578125" style="365" customWidth="1"/>
    <col min="3315" max="3315" width="0" style="365" hidden="1" customWidth="1"/>
    <col min="3316" max="3316" width="17.42578125" style="365" customWidth="1"/>
    <col min="3317" max="3317" width="0" style="365" hidden="1" customWidth="1"/>
    <col min="3318" max="3318" width="14" style="365" customWidth="1"/>
    <col min="3319" max="3319" width="14.28515625" style="365" bestFit="1" customWidth="1"/>
    <col min="3320" max="3320" width="0" style="365" hidden="1" customWidth="1"/>
    <col min="3321" max="3321" width="15.5703125" style="365" customWidth="1"/>
    <col min="3322" max="3322" width="44.5703125" style="365" customWidth="1"/>
    <col min="3323" max="3323" width="14.28515625" style="365" bestFit="1" customWidth="1"/>
    <col min="3324" max="3324" width="0" style="365" hidden="1" customWidth="1"/>
    <col min="3325" max="3325" width="18.140625" style="365" customWidth="1"/>
    <col min="3326" max="3326" width="0" style="365" hidden="1" customWidth="1"/>
    <col min="3327" max="3327" width="14" style="365" customWidth="1"/>
    <col min="3328" max="3328" width="0" style="365" hidden="1" customWidth="1"/>
    <col min="3329" max="3329" width="20.85546875" style="365" customWidth="1"/>
    <col min="3330" max="3330" width="0" style="365" hidden="1" customWidth="1"/>
    <col min="3331" max="3331" width="13.28515625" style="365" customWidth="1"/>
    <col min="3332" max="3332" width="0" style="365" hidden="1" customWidth="1"/>
    <col min="3333" max="3333" width="15" style="365" customWidth="1"/>
    <col min="3334" max="3334" width="0" style="365" hidden="1" customWidth="1"/>
    <col min="3335" max="3335" width="13.28515625" style="365" customWidth="1"/>
    <col min="3336" max="3336" width="0" style="365" hidden="1" customWidth="1"/>
    <col min="3337" max="3337" width="20.140625" style="365" customWidth="1"/>
    <col min="3338" max="3338" width="14.42578125" style="365" bestFit="1" customWidth="1"/>
    <col min="3339" max="3339" width="14" style="365" bestFit="1" customWidth="1"/>
    <col min="3340" max="3340" width="12.28515625" style="365" bestFit="1" customWidth="1"/>
    <col min="3341" max="3365" width="9.140625" style="365" customWidth="1"/>
    <col min="3366" max="3560" width="8.85546875" style="365"/>
    <col min="3561" max="3561" width="44.5703125" style="365" customWidth="1"/>
    <col min="3562" max="3562" width="14.28515625" style="365" bestFit="1" customWidth="1"/>
    <col min="3563" max="3563" width="1.7109375" style="365" customWidth="1"/>
    <col min="3564" max="3564" width="14.85546875" style="365" customWidth="1"/>
    <col min="3565" max="3565" width="0" style="365" hidden="1" customWidth="1"/>
    <col min="3566" max="3566" width="17.42578125" style="365" customWidth="1"/>
    <col min="3567" max="3567" width="0" style="365" hidden="1" customWidth="1"/>
    <col min="3568" max="3568" width="12.85546875" style="365" customWidth="1"/>
    <col min="3569" max="3569" width="0" style="365" hidden="1" customWidth="1"/>
    <col min="3570" max="3570" width="14.42578125" style="365" customWidth="1"/>
    <col min="3571" max="3571" width="0" style="365" hidden="1" customWidth="1"/>
    <col min="3572" max="3572" width="17.42578125" style="365" customWidth="1"/>
    <col min="3573" max="3573" width="0" style="365" hidden="1" customWidth="1"/>
    <col min="3574" max="3574" width="14" style="365" customWidth="1"/>
    <col min="3575" max="3575" width="14.28515625" style="365" bestFit="1" customWidth="1"/>
    <col min="3576" max="3576" width="0" style="365" hidden="1" customWidth="1"/>
    <col min="3577" max="3577" width="15.5703125" style="365" customWidth="1"/>
    <col min="3578" max="3578" width="44.5703125" style="365" customWidth="1"/>
    <col min="3579" max="3579" width="14.28515625" style="365" bestFit="1" customWidth="1"/>
    <col min="3580" max="3580" width="0" style="365" hidden="1" customWidth="1"/>
    <col min="3581" max="3581" width="18.140625" style="365" customWidth="1"/>
    <col min="3582" max="3582" width="0" style="365" hidden="1" customWidth="1"/>
    <col min="3583" max="3583" width="14" style="365" customWidth="1"/>
    <col min="3584" max="3584" width="0" style="365" hidden="1" customWidth="1"/>
    <col min="3585" max="3585" width="20.85546875" style="365" customWidth="1"/>
    <col min="3586" max="3586" width="0" style="365" hidden="1" customWidth="1"/>
    <col min="3587" max="3587" width="13.28515625" style="365" customWidth="1"/>
    <col min="3588" max="3588" width="0" style="365" hidden="1" customWidth="1"/>
    <col min="3589" max="3589" width="15" style="365" customWidth="1"/>
    <col min="3590" max="3590" width="0" style="365" hidden="1" customWidth="1"/>
    <col min="3591" max="3591" width="13.28515625" style="365" customWidth="1"/>
    <col min="3592" max="3592" width="0" style="365" hidden="1" customWidth="1"/>
    <col min="3593" max="3593" width="20.140625" style="365" customWidth="1"/>
    <col min="3594" max="3594" width="14.42578125" style="365" bestFit="1" customWidth="1"/>
    <col min="3595" max="3595" width="14" style="365" bestFit="1" customWidth="1"/>
    <col min="3596" max="3596" width="12.28515625" style="365" bestFit="1" customWidth="1"/>
    <col min="3597" max="3621" width="9.140625" style="365" customWidth="1"/>
    <col min="3622" max="3816" width="8.85546875" style="365"/>
    <col min="3817" max="3817" width="44.5703125" style="365" customWidth="1"/>
    <col min="3818" max="3818" width="14.28515625" style="365" bestFit="1" customWidth="1"/>
    <col min="3819" max="3819" width="1.7109375" style="365" customWidth="1"/>
    <col min="3820" max="3820" width="14.85546875" style="365" customWidth="1"/>
    <col min="3821" max="3821" width="0" style="365" hidden="1" customWidth="1"/>
    <col min="3822" max="3822" width="17.42578125" style="365" customWidth="1"/>
    <col min="3823" max="3823" width="0" style="365" hidden="1" customWidth="1"/>
    <col min="3824" max="3824" width="12.85546875" style="365" customWidth="1"/>
    <col min="3825" max="3825" width="0" style="365" hidden="1" customWidth="1"/>
    <col min="3826" max="3826" width="14.42578125" style="365" customWidth="1"/>
    <col min="3827" max="3827" width="0" style="365" hidden="1" customWidth="1"/>
    <col min="3828" max="3828" width="17.42578125" style="365" customWidth="1"/>
    <col min="3829" max="3829" width="0" style="365" hidden="1" customWidth="1"/>
    <col min="3830" max="3830" width="14" style="365" customWidth="1"/>
    <col min="3831" max="3831" width="14.28515625" style="365" bestFit="1" customWidth="1"/>
    <col min="3832" max="3832" width="0" style="365" hidden="1" customWidth="1"/>
    <col min="3833" max="3833" width="15.5703125" style="365" customWidth="1"/>
    <col min="3834" max="3834" width="44.5703125" style="365" customWidth="1"/>
    <col min="3835" max="3835" width="14.28515625" style="365" bestFit="1" customWidth="1"/>
    <col min="3836" max="3836" width="0" style="365" hidden="1" customWidth="1"/>
    <col min="3837" max="3837" width="18.140625" style="365" customWidth="1"/>
    <col min="3838" max="3838" width="0" style="365" hidden="1" customWidth="1"/>
    <col min="3839" max="3839" width="14" style="365" customWidth="1"/>
    <col min="3840" max="3840" width="0" style="365" hidden="1" customWidth="1"/>
    <col min="3841" max="3841" width="20.85546875" style="365" customWidth="1"/>
    <col min="3842" max="3842" width="0" style="365" hidden="1" customWidth="1"/>
    <col min="3843" max="3843" width="13.28515625" style="365" customWidth="1"/>
    <col min="3844" max="3844" width="0" style="365" hidden="1" customWidth="1"/>
    <col min="3845" max="3845" width="15" style="365" customWidth="1"/>
    <col min="3846" max="3846" width="0" style="365" hidden="1" customWidth="1"/>
    <col min="3847" max="3847" width="13.28515625" style="365" customWidth="1"/>
    <col min="3848" max="3848" width="0" style="365" hidden="1" customWidth="1"/>
    <col min="3849" max="3849" width="20.140625" style="365" customWidth="1"/>
    <col min="3850" max="3850" width="14.42578125" style="365" bestFit="1" customWidth="1"/>
    <col min="3851" max="3851" width="14" style="365" bestFit="1" customWidth="1"/>
    <col min="3852" max="3852" width="12.28515625" style="365" bestFit="1" customWidth="1"/>
    <col min="3853" max="3877" width="9.140625" style="365" customWidth="1"/>
    <col min="3878" max="4072" width="8.85546875" style="365"/>
    <col min="4073" max="4073" width="44.5703125" style="365" customWidth="1"/>
    <col min="4074" max="4074" width="14.28515625" style="365" bestFit="1" customWidth="1"/>
    <col min="4075" max="4075" width="1.7109375" style="365" customWidth="1"/>
    <col min="4076" max="4076" width="14.85546875" style="365" customWidth="1"/>
    <col min="4077" max="4077" width="0" style="365" hidden="1" customWidth="1"/>
    <col min="4078" max="4078" width="17.42578125" style="365" customWidth="1"/>
    <col min="4079" max="4079" width="0" style="365" hidden="1" customWidth="1"/>
    <col min="4080" max="4080" width="12.85546875" style="365" customWidth="1"/>
    <col min="4081" max="4081" width="0" style="365" hidden="1" customWidth="1"/>
    <col min="4082" max="4082" width="14.42578125" style="365" customWidth="1"/>
    <col min="4083" max="4083" width="0" style="365" hidden="1" customWidth="1"/>
    <col min="4084" max="4084" width="17.42578125" style="365" customWidth="1"/>
    <col min="4085" max="4085" width="0" style="365" hidden="1" customWidth="1"/>
    <col min="4086" max="4086" width="14" style="365" customWidth="1"/>
    <col min="4087" max="4087" width="14.28515625" style="365" bestFit="1" customWidth="1"/>
    <col min="4088" max="4088" width="0" style="365" hidden="1" customWidth="1"/>
    <col min="4089" max="4089" width="15.5703125" style="365" customWidth="1"/>
    <col min="4090" max="4090" width="44.5703125" style="365" customWidth="1"/>
    <col min="4091" max="4091" width="14.28515625" style="365" bestFit="1" customWidth="1"/>
    <col min="4092" max="4092" width="0" style="365" hidden="1" customWidth="1"/>
    <col min="4093" max="4093" width="18.140625" style="365" customWidth="1"/>
    <col min="4094" max="4094" width="0" style="365" hidden="1" customWidth="1"/>
    <col min="4095" max="4095" width="14" style="365" customWidth="1"/>
    <col min="4096" max="4096" width="0" style="365" hidden="1" customWidth="1"/>
    <col min="4097" max="4097" width="20.85546875" style="365" customWidth="1"/>
    <col min="4098" max="4098" width="0" style="365" hidden="1" customWidth="1"/>
    <col min="4099" max="4099" width="13.28515625" style="365" customWidth="1"/>
    <col min="4100" max="4100" width="0" style="365" hidden="1" customWidth="1"/>
    <col min="4101" max="4101" width="15" style="365" customWidth="1"/>
    <col min="4102" max="4102" width="0" style="365" hidden="1" customWidth="1"/>
    <col min="4103" max="4103" width="13.28515625" style="365" customWidth="1"/>
    <col min="4104" max="4104" width="0" style="365" hidden="1" customWidth="1"/>
    <col min="4105" max="4105" width="20.140625" style="365" customWidth="1"/>
    <col min="4106" max="4106" width="14.42578125" style="365" bestFit="1" customWidth="1"/>
    <col min="4107" max="4107" width="14" style="365" bestFit="1" customWidth="1"/>
    <col min="4108" max="4108" width="12.28515625" style="365" bestFit="1" customWidth="1"/>
    <col min="4109" max="4133" width="9.140625" style="365" customWidth="1"/>
    <col min="4134" max="4328" width="8.85546875" style="365"/>
    <col min="4329" max="4329" width="44.5703125" style="365" customWidth="1"/>
    <col min="4330" max="4330" width="14.28515625" style="365" bestFit="1" customWidth="1"/>
    <col min="4331" max="4331" width="1.7109375" style="365" customWidth="1"/>
    <col min="4332" max="4332" width="14.85546875" style="365" customWidth="1"/>
    <col min="4333" max="4333" width="0" style="365" hidden="1" customWidth="1"/>
    <col min="4334" max="4334" width="17.42578125" style="365" customWidth="1"/>
    <col min="4335" max="4335" width="0" style="365" hidden="1" customWidth="1"/>
    <col min="4336" max="4336" width="12.85546875" style="365" customWidth="1"/>
    <col min="4337" max="4337" width="0" style="365" hidden="1" customWidth="1"/>
    <col min="4338" max="4338" width="14.42578125" style="365" customWidth="1"/>
    <col min="4339" max="4339" width="0" style="365" hidden="1" customWidth="1"/>
    <col min="4340" max="4340" width="17.42578125" style="365" customWidth="1"/>
    <col min="4341" max="4341" width="0" style="365" hidden="1" customWidth="1"/>
    <col min="4342" max="4342" width="14" style="365" customWidth="1"/>
    <col min="4343" max="4343" width="14.28515625" style="365" bestFit="1" customWidth="1"/>
    <col min="4344" max="4344" width="0" style="365" hidden="1" customWidth="1"/>
    <col min="4345" max="4345" width="15.5703125" style="365" customWidth="1"/>
    <col min="4346" max="4346" width="44.5703125" style="365" customWidth="1"/>
    <col min="4347" max="4347" width="14.28515625" style="365" bestFit="1" customWidth="1"/>
    <col min="4348" max="4348" width="0" style="365" hidden="1" customWidth="1"/>
    <col min="4349" max="4349" width="18.140625" style="365" customWidth="1"/>
    <col min="4350" max="4350" width="0" style="365" hidden="1" customWidth="1"/>
    <col min="4351" max="4351" width="14" style="365" customWidth="1"/>
    <col min="4352" max="4352" width="0" style="365" hidden="1" customWidth="1"/>
    <col min="4353" max="4353" width="20.85546875" style="365" customWidth="1"/>
    <col min="4354" max="4354" width="0" style="365" hidden="1" customWidth="1"/>
    <col min="4355" max="4355" width="13.28515625" style="365" customWidth="1"/>
    <col min="4356" max="4356" width="0" style="365" hidden="1" customWidth="1"/>
    <col min="4357" max="4357" width="15" style="365" customWidth="1"/>
    <col min="4358" max="4358" width="0" style="365" hidden="1" customWidth="1"/>
    <col min="4359" max="4359" width="13.28515625" style="365" customWidth="1"/>
    <col min="4360" max="4360" width="0" style="365" hidden="1" customWidth="1"/>
    <col min="4361" max="4361" width="20.140625" style="365" customWidth="1"/>
    <col min="4362" max="4362" width="14.42578125" style="365" bestFit="1" customWidth="1"/>
    <col min="4363" max="4363" width="14" style="365" bestFit="1" customWidth="1"/>
    <col min="4364" max="4364" width="12.28515625" style="365" bestFit="1" customWidth="1"/>
    <col min="4365" max="4389" width="9.140625" style="365" customWidth="1"/>
    <col min="4390" max="4584" width="8.85546875" style="365"/>
    <col min="4585" max="4585" width="44.5703125" style="365" customWidth="1"/>
    <col min="4586" max="4586" width="14.28515625" style="365" bestFit="1" customWidth="1"/>
    <col min="4587" max="4587" width="1.7109375" style="365" customWidth="1"/>
    <col min="4588" max="4588" width="14.85546875" style="365" customWidth="1"/>
    <col min="4589" max="4589" width="0" style="365" hidden="1" customWidth="1"/>
    <col min="4590" max="4590" width="17.42578125" style="365" customWidth="1"/>
    <col min="4591" max="4591" width="0" style="365" hidden="1" customWidth="1"/>
    <col min="4592" max="4592" width="12.85546875" style="365" customWidth="1"/>
    <col min="4593" max="4593" width="0" style="365" hidden="1" customWidth="1"/>
    <col min="4594" max="4594" width="14.42578125" style="365" customWidth="1"/>
    <col min="4595" max="4595" width="0" style="365" hidden="1" customWidth="1"/>
    <col min="4596" max="4596" width="17.42578125" style="365" customWidth="1"/>
    <col min="4597" max="4597" width="0" style="365" hidden="1" customWidth="1"/>
    <col min="4598" max="4598" width="14" style="365" customWidth="1"/>
    <col min="4599" max="4599" width="14.28515625" style="365" bestFit="1" customWidth="1"/>
    <col min="4600" max="4600" width="0" style="365" hidden="1" customWidth="1"/>
    <col min="4601" max="4601" width="15.5703125" style="365" customWidth="1"/>
    <col min="4602" max="4602" width="44.5703125" style="365" customWidth="1"/>
    <col min="4603" max="4603" width="14.28515625" style="365" bestFit="1" customWidth="1"/>
    <col min="4604" max="4604" width="0" style="365" hidden="1" customWidth="1"/>
    <col min="4605" max="4605" width="18.140625" style="365" customWidth="1"/>
    <col min="4606" max="4606" width="0" style="365" hidden="1" customWidth="1"/>
    <col min="4607" max="4607" width="14" style="365" customWidth="1"/>
    <col min="4608" max="4608" width="0" style="365" hidden="1" customWidth="1"/>
    <col min="4609" max="4609" width="20.85546875" style="365" customWidth="1"/>
    <col min="4610" max="4610" width="0" style="365" hidden="1" customWidth="1"/>
    <col min="4611" max="4611" width="13.28515625" style="365" customWidth="1"/>
    <col min="4612" max="4612" width="0" style="365" hidden="1" customWidth="1"/>
    <col min="4613" max="4613" width="15" style="365" customWidth="1"/>
    <col min="4614" max="4614" width="0" style="365" hidden="1" customWidth="1"/>
    <col min="4615" max="4615" width="13.28515625" style="365" customWidth="1"/>
    <col min="4616" max="4616" width="0" style="365" hidden="1" customWidth="1"/>
    <col min="4617" max="4617" width="20.140625" style="365" customWidth="1"/>
    <col min="4618" max="4618" width="14.42578125" style="365" bestFit="1" customWidth="1"/>
    <col min="4619" max="4619" width="14" style="365" bestFit="1" customWidth="1"/>
    <col min="4620" max="4620" width="12.28515625" style="365" bestFit="1" customWidth="1"/>
    <col min="4621" max="4645" width="9.140625" style="365" customWidth="1"/>
    <col min="4646" max="4840" width="8.85546875" style="365"/>
    <col min="4841" max="4841" width="44.5703125" style="365" customWidth="1"/>
    <col min="4842" max="4842" width="14.28515625" style="365" bestFit="1" customWidth="1"/>
    <col min="4843" max="4843" width="1.7109375" style="365" customWidth="1"/>
    <col min="4844" max="4844" width="14.85546875" style="365" customWidth="1"/>
    <col min="4845" max="4845" width="0" style="365" hidden="1" customWidth="1"/>
    <col min="4846" max="4846" width="17.42578125" style="365" customWidth="1"/>
    <col min="4847" max="4847" width="0" style="365" hidden="1" customWidth="1"/>
    <col min="4848" max="4848" width="12.85546875" style="365" customWidth="1"/>
    <col min="4849" max="4849" width="0" style="365" hidden="1" customWidth="1"/>
    <col min="4850" max="4850" width="14.42578125" style="365" customWidth="1"/>
    <col min="4851" max="4851" width="0" style="365" hidden="1" customWidth="1"/>
    <col min="4852" max="4852" width="17.42578125" style="365" customWidth="1"/>
    <col min="4853" max="4853" width="0" style="365" hidden="1" customWidth="1"/>
    <col min="4854" max="4854" width="14" style="365" customWidth="1"/>
    <col min="4855" max="4855" width="14.28515625" style="365" bestFit="1" customWidth="1"/>
    <col min="4856" max="4856" width="0" style="365" hidden="1" customWidth="1"/>
    <col min="4857" max="4857" width="15.5703125" style="365" customWidth="1"/>
    <col min="4858" max="4858" width="44.5703125" style="365" customWidth="1"/>
    <col min="4859" max="4859" width="14.28515625" style="365" bestFit="1" customWidth="1"/>
    <col min="4860" max="4860" width="0" style="365" hidden="1" customWidth="1"/>
    <col min="4861" max="4861" width="18.140625" style="365" customWidth="1"/>
    <col min="4862" max="4862" width="0" style="365" hidden="1" customWidth="1"/>
    <col min="4863" max="4863" width="14" style="365" customWidth="1"/>
    <col min="4864" max="4864" width="0" style="365" hidden="1" customWidth="1"/>
    <col min="4865" max="4865" width="20.85546875" style="365" customWidth="1"/>
    <col min="4866" max="4866" width="0" style="365" hidden="1" customWidth="1"/>
    <col min="4867" max="4867" width="13.28515625" style="365" customWidth="1"/>
    <col min="4868" max="4868" width="0" style="365" hidden="1" customWidth="1"/>
    <col min="4869" max="4869" width="15" style="365" customWidth="1"/>
    <col min="4870" max="4870" width="0" style="365" hidden="1" customWidth="1"/>
    <col min="4871" max="4871" width="13.28515625" style="365" customWidth="1"/>
    <col min="4872" max="4872" width="0" style="365" hidden="1" customWidth="1"/>
    <col min="4873" max="4873" width="20.140625" style="365" customWidth="1"/>
    <col min="4874" max="4874" width="14.42578125" style="365" bestFit="1" customWidth="1"/>
    <col min="4875" max="4875" width="14" style="365" bestFit="1" customWidth="1"/>
    <col min="4876" max="4876" width="12.28515625" style="365" bestFit="1" customWidth="1"/>
    <col min="4877" max="4901" width="9.140625" style="365" customWidth="1"/>
    <col min="4902" max="5096" width="8.85546875" style="365"/>
    <col min="5097" max="5097" width="44.5703125" style="365" customWidth="1"/>
    <col min="5098" max="5098" width="14.28515625" style="365" bestFit="1" customWidth="1"/>
    <col min="5099" max="5099" width="1.7109375" style="365" customWidth="1"/>
    <col min="5100" max="5100" width="14.85546875" style="365" customWidth="1"/>
    <col min="5101" max="5101" width="0" style="365" hidden="1" customWidth="1"/>
    <col min="5102" max="5102" width="17.42578125" style="365" customWidth="1"/>
    <col min="5103" max="5103" width="0" style="365" hidden="1" customWidth="1"/>
    <col min="5104" max="5104" width="12.85546875" style="365" customWidth="1"/>
    <col min="5105" max="5105" width="0" style="365" hidden="1" customWidth="1"/>
    <col min="5106" max="5106" width="14.42578125" style="365" customWidth="1"/>
    <col min="5107" max="5107" width="0" style="365" hidden="1" customWidth="1"/>
    <col min="5108" max="5108" width="17.42578125" style="365" customWidth="1"/>
    <col min="5109" max="5109" width="0" style="365" hidden="1" customWidth="1"/>
    <col min="5110" max="5110" width="14" style="365" customWidth="1"/>
    <col min="5111" max="5111" width="14.28515625" style="365" bestFit="1" customWidth="1"/>
    <col min="5112" max="5112" width="0" style="365" hidden="1" customWidth="1"/>
    <col min="5113" max="5113" width="15.5703125" style="365" customWidth="1"/>
    <col min="5114" max="5114" width="44.5703125" style="365" customWidth="1"/>
    <col min="5115" max="5115" width="14.28515625" style="365" bestFit="1" customWidth="1"/>
    <col min="5116" max="5116" width="0" style="365" hidden="1" customWidth="1"/>
    <col min="5117" max="5117" width="18.140625" style="365" customWidth="1"/>
    <col min="5118" max="5118" width="0" style="365" hidden="1" customWidth="1"/>
    <col min="5119" max="5119" width="14" style="365" customWidth="1"/>
    <col min="5120" max="5120" width="0" style="365" hidden="1" customWidth="1"/>
    <col min="5121" max="5121" width="20.85546875" style="365" customWidth="1"/>
    <col min="5122" max="5122" width="0" style="365" hidden="1" customWidth="1"/>
    <col min="5123" max="5123" width="13.28515625" style="365" customWidth="1"/>
    <col min="5124" max="5124" width="0" style="365" hidden="1" customWidth="1"/>
    <col min="5125" max="5125" width="15" style="365" customWidth="1"/>
    <col min="5126" max="5126" width="0" style="365" hidden="1" customWidth="1"/>
    <col min="5127" max="5127" width="13.28515625" style="365" customWidth="1"/>
    <col min="5128" max="5128" width="0" style="365" hidden="1" customWidth="1"/>
    <col min="5129" max="5129" width="20.140625" style="365" customWidth="1"/>
    <col min="5130" max="5130" width="14.42578125" style="365" bestFit="1" customWidth="1"/>
    <col min="5131" max="5131" width="14" style="365" bestFit="1" customWidth="1"/>
    <col min="5132" max="5132" width="12.28515625" style="365" bestFit="1" customWidth="1"/>
    <col min="5133" max="5157" width="9.140625" style="365" customWidth="1"/>
    <col min="5158" max="5352" width="8.85546875" style="365"/>
    <col min="5353" max="5353" width="44.5703125" style="365" customWidth="1"/>
    <col min="5354" max="5354" width="14.28515625" style="365" bestFit="1" customWidth="1"/>
    <col min="5355" max="5355" width="1.7109375" style="365" customWidth="1"/>
    <col min="5356" max="5356" width="14.85546875" style="365" customWidth="1"/>
    <col min="5357" max="5357" width="0" style="365" hidden="1" customWidth="1"/>
    <col min="5358" max="5358" width="17.42578125" style="365" customWidth="1"/>
    <col min="5359" max="5359" width="0" style="365" hidden="1" customWidth="1"/>
    <col min="5360" max="5360" width="12.85546875" style="365" customWidth="1"/>
    <col min="5361" max="5361" width="0" style="365" hidden="1" customWidth="1"/>
    <col min="5362" max="5362" width="14.42578125" style="365" customWidth="1"/>
    <col min="5363" max="5363" width="0" style="365" hidden="1" customWidth="1"/>
    <col min="5364" max="5364" width="17.42578125" style="365" customWidth="1"/>
    <col min="5365" max="5365" width="0" style="365" hidden="1" customWidth="1"/>
    <col min="5366" max="5366" width="14" style="365" customWidth="1"/>
    <col min="5367" max="5367" width="14.28515625" style="365" bestFit="1" customWidth="1"/>
    <col min="5368" max="5368" width="0" style="365" hidden="1" customWidth="1"/>
    <col min="5369" max="5369" width="15.5703125" style="365" customWidth="1"/>
    <col min="5370" max="5370" width="44.5703125" style="365" customWidth="1"/>
    <col min="5371" max="5371" width="14.28515625" style="365" bestFit="1" customWidth="1"/>
    <col min="5372" max="5372" width="0" style="365" hidden="1" customWidth="1"/>
    <col min="5373" max="5373" width="18.140625" style="365" customWidth="1"/>
    <col min="5374" max="5374" width="0" style="365" hidden="1" customWidth="1"/>
    <col min="5375" max="5375" width="14" style="365" customWidth="1"/>
    <col min="5376" max="5376" width="0" style="365" hidden="1" customWidth="1"/>
    <col min="5377" max="5377" width="20.85546875" style="365" customWidth="1"/>
    <col min="5378" max="5378" width="0" style="365" hidden="1" customWidth="1"/>
    <col min="5379" max="5379" width="13.28515625" style="365" customWidth="1"/>
    <col min="5380" max="5380" width="0" style="365" hidden="1" customWidth="1"/>
    <col min="5381" max="5381" width="15" style="365" customWidth="1"/>
    <col min="5382" max="5382" width="0" style="365" hidden="1" customWidth="1"/>
    <col min="5383" max="5383" width="13.28515625" style="365" customWidth="1"/>
    <col min="5384" max="5384" width="0" style="365" hidden="1" customWidth="1"/>
    <col min="5385" max="5385" width="20.140625" style="365" customWidth="1"/>
    <col min="5386" max="5386" width="14.42578125" style="365" bestFit="1" customWidth="1"/>
    <col min="5387" max="5387" width="14" style="365" bestFit="1" customWidth="1"/>
    <col min="5388" max="5388" width="12.28515625" style="365" bestFit="1" customWidth="1"/>
    <col min="5389" max="5413" width="9.140625" style="365" customWidth="1"/>
    <col min="5414" max="5608" width="8.85546875" style="365"/>
    <col min="5609" max="5609" width="44.5703125" style="365" customWidth="1"/>
    <col min="5610" max="5610" width="14.28515625" style="365" bestFit="1" customWidth="1"/>
    <col min="5611" max="5611" width="1.7109375" style="365" customWidth="1"/>
    <col min="5612" max="5612" width="14.85546875" style="365" customWidth="1"/>
    <col min="5613" max="5613" width="0" style="365" hidden="1" customWidth="1"/>
    <col min="5614" max="5614" width="17.42578125" style="365" customWidth="1"/>
    <col min="5615" max="5615" width="0" style="365" hidden="1" customWidth="1"/>
    <col min="5616" max="5616" width="12.85546875" style="365" customWidth="1"/>
    <col min="5617" max="5617" width="0" style="365" hidden="1" customWidth="1"/>
    <col min="5618" max="5618" width="14.42578125" style="365" customWidth="1"/>
    <col min="5619" max="5619" width="0" style="365" hidden="1" customWidth="1"/>
    <col min="5620" max="5620" width="17.42578125" style="365" customWidth="1"/>
    <col min="5621" max="5621" width="0" style="365" hidden="1" customWidth="1"/>
    <col min="5622" max="5622" width="14" style="365" customWidth="1"/>
    <col min="5623" max="5623" width="14.28515625" style="365" bestFit="1" customWidth="1"/>
    <col min="5624" max="5624" width="0" style="365" hidden="1" customWidth="1"/>
    <col min="5625" max="5625" width="15.5703125" style="365" customWidth="1"/>
    <col min="5626" max="5626" width="44.5703125" style="365" customWidth="1"/>
    <col min="5627" max="5627" width="14.28515625" style="365" bestFit="1" customWidth="1"/>
    <col min="5628" max="5628" width="0" style="365" hidden="1" customWidth="1"/>
    <col min="5629" max="5629" width="18.140625" style="365" customWidth="1"/>
    <col min="5630" max="5630" width="0" style="365" hidden="1" customWidth="1"/>
    <col min="5631" max="5631" width="14" style="365" customWidth="1"/>
    <col min="5632" max="5632" width="0" style="365" hidden="1" customWidth="1"/>
    <col min="5633" max="5633" width="20.85546875" style="365" customWidth="1"/>
    <col min="5634" max="5634" width="0" style="365" hidden="1" customWidth="1"/>
    <col min="5635" max="5635" width="13.28515625" style="365" customWidth="1"/>
    <col min="5636" max="5636" width="0" style="365" hidden="1" customWidth="1"/>
    <col min="5637" max="5637" width="15" style="365" customWidth="1"/>
    <col min="5638" max="5638" width="0" style="365" hidden="1" customWidth="1"/>
    <col min="5639" max="5639" width="13.28515625" style="365" customWidth="1"/>
    <col min="5640" max="5640" width="0" style="365" hidden="1" customWidth="1"/>
    <col min="5641" max="5641" width="20.140625" style="365" customWidth="1"/>
    <col min="5642" max="5642" width="14.42578125" style="365" bestFit="1" customWidth="1"/>
    <col min="5643" max="5643" width="14" style="365" bestFit="1" customWidth="1"/>
    <col min="5644" max="5644" width="12.28515625" style="365" bestFit="1" customWidth="1"/>
    <col min="5645" max="5669" width="9.140625" style="365" customWidth="1"/>
    <col min="5670" max="5864" width="8.85546875" style="365"/>
    <col min="5865" max="5865" width="44.5703125" style="365" customWidth="1"/>
    <col min="5866" max="5866" width="14.28515625" style="365" bestFit="1" customWidth="1"/>
    <col min="5867" max="5867" width="1.7109375" style="365" customWidth="1"/>
    <col min="5868" max="5868" width="14.85546875" style="365" customWidth="1"/>
    <col min="5869" max="5869" width="0" style="365" hidden="1" customWidth="1"/>
    <col min="5870" max="5870" width="17.42578125" style="365" customWidth="1"/>
    <col min="5871" max="5871" width="0" style="365" hidden="1" customWidth="1"/>
    <col min="5872" max="5872" width="12.85546875" style="365" customWidth="1"/>
    <col min="5873" max="5873" width="0" style="365" hidden="1" customWidth="1"/>
    <col min="5874" max="5874" width="14.42578125" style="365" customWidth="1"/>
    <col min="5875" max="5875" width="0" style="365" hidden="1" customWidth="1"/>
    <col min="5876" max="5876" width="17.42578125" style="365" customWidth="1"/>
    <col min="5877" max="5877" width="0" style="365" hidden="1" customWidth="1"/>
    <col min="5878" max="5878" width="14" style="365" customWidth="1"/>
    <col min="5879" max="5879" width="14.28515625" style="365" bestFit="1" customWidth="1"/>
    <col min="5880" max="5880" width="0" style="365" hidden="1" customWidth="1"/>
    <col min="5881" max="5881" width="15.5703125" style="365" customWidth="1"/>
    <col min="5882" max="5882" width="44.5703125" style="365" customWidth="1"/>
    <col min="5883" max="5883" width="14.28515625" style="365" bestFit="1" customWidth="1"/>
    <col min="5884" max="5884" width="0" style="365" hidden="1" customWidth="1"/>
    <col min="5885" max="5885" width="18.140625" style="365" customWidth="1"/>
    <col min="5886" max="5886" width="0" style="365" hidden="1" customWidth="1"/>
    <col min="5887" max="5887" width="14" style="365" customWidth="1"/>
    <col min="5888" max="5888" width="0" style="365" hidden="1" customWidth="1"/>
    <col min="5889" max="5889" width="20.85546875" style="365" customWidth="1"/>
    <col min="5890" max="5890" width="0" style="365" hidden="1" customWidth="1"/>
    <col min="5891" max="5891" width="13.28515625" style="365" customWidth="1"/>
    <col min="5892" max="5892" width="0" style="365" hidden="1" customWidth="1"/>
    <col min="5893" max="5893" width="15" style="365" customWidth="1"/>
    <col min="5894" max="5894" width="0" style="365" hidden="1" customWidth="1"/>
    <col min="5895" max="5895" width="13.28515625" style="365" customWidth="1"/>
    <col min="5896" max="5896" width="0" style="365" hidden="1" customWidth="1"/>
    <col min="5897" max="5897" width="20.140625" style="365" customWidth="1"/>
    <col min="5898" max="5898" width="14.42578125" style="365" bestFit="1" customWidth="1"/>
    <col min="5899" max="5899" width="14" style="365" bestFit="1" customWidth="1"/>
    <col min="5900" max="5900" width="12.28515625" style="365" bestFit="1" customWidth="1"/>
    <col min="5901" max="5925" width="9.140625" style="365" customWidth="1"/>
    <col min="5926" max="6120" width="8.85546875" style="365"/>
    <col min="6121" max="6121" width="44.5703125" style="365" customWidth="1"/>
    <col min="6122" max="6122" width="14.28515625" style="365" bestFit="1" customWidth="1"/>
    <col min="6123" max="6123" width="1.7109375" style="365" customWidth="1"/>
    <col min="6124" max="6124" width="14.85546875" style="365" customWidth="1"/>
    <col min="6125" max="6125" width="0" style="365" hidden="1" customWidth="1"/>
    <col min="6126" max="6126" width="17.42578125" style="365" customWidth="1"/>
    <col min="6127" max="6127" width="0" style="365" hidden="1" customWidth="1"/>
    <col min="6128" max="6128" width="12.85546875" style="365" customWidth="1"/>
    <col min="6129" max="6129" width="0" style="365" hidden="1" customWidth="1"/>
    <col min="6130" max="6130" width="14.42578125" style="365" customWidth="1"/>
    <col min="6131" max="6131" width="0" style="365" hidden="1" customWidth="1"/>
    <col min="6132" max="6132" width="17.42578125" style="365" customWidth="1"/>
    <col min="6133" max="6133" width="0" style="365" hidden="1" customWidth="1"/>
    <col min="6134" max="6134" width="14" style="365" customWidth="1"/>
    <col min="6135" max="6135" width="14.28515625" style="365" bestFit="1" customWidth="1"/>
    <col min="6136" max="6136" width="0" style="365" hidden="1" customWidth="1"/>
    <col min="6137" max="6137" width="15.5703125" style="365" customWidth="1"/>
    <col min="6138" max="6138" width="44.5703125" style="365" customWidth="1"/>
    <col min="6139" max="6139" width="14.28515625" style="365" bestFit="1" customWidth="1"/>
    <col min="6140" max="6140" width="0" style="365" hidden="1" customWidth="1"/>
    <col min="6141" max="6141" width="18.140625" style="365" customWidth="1"/>
    <col min="6142" max="6142" width="0" style="365" hidden="1" customWidth="1"/>
    <col min="6143" max="6143" width="14" style="365" customWidth="1"/>
    <col min="6144" max="6144" width="0" style="365" hidden="1" customWidth="1"/>
    <col min="6145" max="6145" width="20.85546875" style="365" customWidth="1"/>
    <col min="6146" max="6146" width="0" style="365" hidden="1" customWidth="1"/>
    <col min="6147" max="6147" width="13.28515625" style="365" customWidth="1"/>
    <col min="6148" max="6148" width="0" style="365" hidden="1" customWidth="1"/>
    <col min="6149" max="6149" width="15" style="365" customWidth="1"/>
    <col min="6150" max="6150" width="0" style="365" hidden="1" customWidth="1"/>
    <col min="6151" max="6151" width="13.28515625" style="365" customWidth="1"/>
    <col min="6152" max="6152" width="0" style="365" hidden="1" customWidth="1"/>
    <col min="6153" max="6153" width="20.140625" style="365" customWidth="1"/>
    <col min="6154" max="6154" width="14.42578125" style="365" bestFit="1" customWidth="1"/>
    <col min="6155" max="6155" width="14" style="365" bestFit="1" customWidth="1"/>
    <col min="6156" max="6156" width="12.28515625" style="365" bestFit="1" customWidth="1"/>
    <col min="6157" max="6181" width="9.140625" style="365" customWidth="1"/>
    <col min="6182" max="6376" width="8.85546875" style="365"/>
    <col min="6377" max="6377" width="44.5703125" style="365" customWidth="1"/>
    <col min="6378" max="6378" width="14.28515625" style="365" bestFit="1" customWidth="1"/>
    <col min="6379" max="6379" width="1.7109375" style="365" customWidth="1"/>
    <col min="6380" max="6380" width="14.85546875" style="365" customWidth="1"/>
    <col min="6381" max="6381" width="0" style="365" hidden="1" customWidth="1"/>
    <col min="6382" max="6382" width="17.42578125" style="365" customWidth="1"/>
    <col min="6383" max="6383" width="0" style="365" hidden="1" customWidth="1"/>
    <col min="6384" max="6384" width="12.85546875" style="365" customWidth="1"/>
    <col min="6385" max="6385" width="0" style="365" hidden="1" customWidth="1"/>
    <col min="6386" max="6386" width="14.42578125" style="365" customWidth="1"/>
    <col min="6387" max="6387" width="0" style="365" hidden="1" customWidth="1"/>
    <col min="6388" max="6388" width="17.42578125" style="365" customWidth="1"/>
    <col min="6389" max="6389" width="0" style="365" hidden="1" customWidth="1"/>
    <col min="6390" max="6390" width="14" style="365" customWidth="1"/>
    <col min="6391" max="6391" width="14.28515625" style="365" bestFit="1" customWidth="1"/>
    <col min="6392" max="6392" width="0" style="365" hidden="1" customWidth="1"/>
    <col min="6393" max="6393" width="15.5703125" style="365" customWidth="1"/>
    <col min="6394" max="6394" width="44.5703125" style="365" customWidth="1"/>
    <col min="6395" max="6395" width="14.28515625" style="365" bestFit="1" customWidth="1"/>
    <col min="6396" max="6396" width="0" style="365" hidden="1" customWidth="1"/>
    <col min="6397" max="6397" width="18.140625" style="365" customWidth="1"/>
    <col min="6398" max="6398" width="0" style="365" hidden="1" customWidth="1"/>
    <col min="6399" max="6399" width="14" style="365" customWidth="1"/>
    <col min="6400" max="6400" width="0" style="365" hidden="1" customWidth="1"/>
    <col min="6401" max="6401" width="20.85546875" style="365" customWidth="1"/>
    <col min="6402" max="6402" width="0" style="365" hidden="1" customWidth="1"/>
    <col min="6403" max="6403" width="13.28515625" style="365" customWidth="1"/>
    <col min="6404" max="6404" width="0" style="365" hidden="1" customWidth="1"/>
    <col min="6405" max="6405" width="15" style="365" customWidth="1"/>
    <col min="6406" max="6406" width="0" style="365" hidden="1" customWidth="1"/>
    <col min="6407" max="6407" width="13.28515625" style="365" customWidth="1"/>
    <col min="6408" max="6408" width="0" style="365" hidden="1" customWidth="1"/>
    <col min="6409" max="6409" width="20.140625" style="365" customWidth="1"/>
    <col min="6410" max="6410" width="14.42578125" style="365" bestFit="1" customWidth="1"/>
    <col min="6411" max="6411" width="14" style="365" bestFit="1" customWidth="1"/>
    <col min="6412" max="6412" width="12.28515625" style="365" bestFit="1" customWidth="1"/>
    <col min="6413" max="6437" width="9.140625" style="365" customWidth="1"/>
    <col min="6438" max="6632" width="8.85546875" style="365"/>
    <col min="6633" max="6633" width="44.5703125" style="365" customWidth="1"/>
    <col min="6634" max="6634" width="14.28515625" style="365" bestFit="1" customWidth="1"/>
    <col min="6635" max="6635" width="1.7109375" style="365" customWidth="1"/>
    <col min="6636" max="6636" width="14.85546875" style="365" customWidth="1"/>
    <col min="6637" max="6637" width="0" style="365" hidden="1" customWidth="1"/>
    <col min="6638" max="6638" width="17.42578125" style="365" customWidth="1"/>
    <col min="6639" max="6639" width="0" style="365" hidden="1" customWidth="1"/>
    <col min="6640" max="6640" width="12.85546875" style="365" customWidth="1"/>
    <col min="6641" max="6641" width="0" style="365" hidden="1" customWidth="1"/>
    <col min="6642" max="6642" width="14.42578125" style="365" customWidth="1"/>
    <col min="6643" max="6643" width="0" style="365" hidden="1" customWidth="1"/>
    <col min="6644" max="6644" width="17.42578125" style="365" customWidth="1"/>
    <col min="6645" max="6645" width="0" style="365" hidden="1" customWidth="1"/>
    <col min="6646" max="6646" width="14" style="365" customWidth="1"/>
    <col min="6647" max="6647" width="14.28515625" style="365" bestFit="1" customWidth="1"/>
    <col min="6648" max="6648" width="0" style="365" hidden="1" customWidth="1"/>
    <col min="6649" max="6649" width="15.5703125" style="365" customWidth="1"/>
    <col min="6650" max="6650" width="44.5703125" style="365" customWidth="1"/>
    <col min="6651" max="6651" width="14.28515625" style="365" bestFit="1" customWidth="1"/>
    <col min="6652" max="6652" width="0" style="365" hidden="1" customWidth="1"/>
    <col min="6653" max="6653" width="18.140625" style="365" customWidth="1"/>
    <col min="6654" max="6654" width="0" style="365" hidden="1" customWidth="1"/>
    <col min="6655" max="6655" width="14" style="365" customWidth="1"/>
    <col min="6656" max="6656" width="0" style="365" hidden="1" customWidth="1"/>
    <col min="6657" max="6657" width="20.85546875" style="365" customWidth="1"/>
    <col min="6658" max="6658" width="0" style="365" hidden="1" customWidth="1"/>
    <col min="6659" max="6659" width="13.28515625" style="365" customWidth="1"/>
    <col min="6660" max="6660" width="0" style="365" hidden="1" customWidth="1"/>
    <col min="6661" max="6661" width="15" style="365" customWidth="1"/>
    <col min="6662" max="6662" width="0" style="365" hidden="1" customWidth="1"/>
    <col min="6663" max="6663" width="13.28515625" style="365" customWidth="1"/>
    <col min="6664" max="6664" width="0" style="365" hidden="1" customWidth="1"/>
    <col min="6665" max="6665" width="20.140625" style="365" customWidth="1"/>
    <col min="6666" max="6666" width="14.42578125" style="365" bestFit="1" customWidth="1"/>
    <col min="6667" max="6667" width="14" style="365" bestFit="1" customWidth="1"/>
    <col min="6668" max="6668" width="12.28515625" style="365" bestFit="1" customWidth="1"/>
    <col min="6669" max="6693" width="9.140625" style="365" customWidth="1"/>
    <col min="6694" max="6888" width="8.85546875" style="365"/>
    <col min="6889" max="6889" width="44.5703125" style="365" customWidth="1"/>
    <col min="6890" max="6890" width="14.28515625" style="365" bestFit="1" customWidth="1"/>
    <col min="6891" max="6891" width="1.7109375" style="365" customWidth="1"/>
    <col min="6892" max="6892" width="14.85546875" style="365" customWidth="1"/>
    <col min="6893" max="6893" width="0" style="365" hidden="1" customWidth="1"/>
    <col min="6894" max="6894" width="17.42578125" style="365" customWidth="1"/>
    <col min="6895" max="6895" width="0" style="365" hidden="1" customWidth="1"/>
    <col min="6896" max="6896" width="12.85546875" style="365" customWidth="1"/>
    <col min="6897" max="6897" width="0" style="365" hidden="1" customWidth="1"/>
    <col min="6898" max="6898" width="14.42578125" style="365" customWidth="1"/>
    <col min="6899" max="6899" width="0" style="365" hidden="1" customWidth="1"/>
    <col min="6900" max="6900" width="17.42578125" style="365" customWidth="1"/>
    <col min="6901" max="6901" width="0" style="365" hidden="1" customWidth="1"/>
    <col min="6902" max="6902" width="14" style="365" customWidth="1"/>
    <col min="6903" max="6903" width="14.28515625" style="365" bestFit="1" customWidth="1"/>
    <col min="6904" max="6904" width="0" style="365" hidden="1" customWidth="1"/>
    <col min="6905" max="6905" width="15.5703125" style="365" customWidth="1"/>
    <col min="6906" max="6906" width="44.5703125" style="365" customWidth="1"/>
    <col min="6907" max="6907" width="14.28515625" style="365" bestFit="1" customWidth="1"/>
    <col min="6908" max="6908" width="0" style="365" hidden="1" customWidth="1"/>
    <col min="6909" max="6909" width="18.140625" style="365" customWidth="1"/>
    <col min="6910" max="6910" width="0" style="365" hidden="1" customWidth="1"/>
    <col min="6911" max="6911" width="14" style="365" customWidth="1"/>
    <col min="6912" max="6912" width="0" style="365" hidden="1" customWidth="1"/>
    <col min="6913" max="6913" width="20.85546875" style="365" customWidth="1"/>
    <col min="6914" max="6914" width="0" style="365" hidden="1" customWidth="1"/>
    <col min="6915" max="6915" width="13.28515625" style="365" customWidth="1"/>
    <col min="6916" max="6916" width="0" style="365" hidden="1" customWidth="1"/>
    <col min="6917" max="6917" width="15" style="365" customWidth="1"/>
    <col min="6918" max="6918" width="0" style="365" hidden="1" customWidth="1"/>
    <col min="6919" max="6919" width="13.28515625" style="365" customWidth="1"/>
    <col min="6920" max="6920" width="0" style="365" hidden="1" customWidth="1"/>
    <col min="6921" max="6921" width="20.140625" style="365" customWidth="1"/>
    <col min="6922" max="6922" width="14.42578125" style="365" bestFit="1" customWidth="1"/>
    <col min="6923" max="6923" width="14" style="365" bestFit="1" customWidth="1"/>
    <col min="6924" max="6924" width="12.28515625" style="365" bestFit="1" customWidth="1"/>
    <col min="6925" max="6949" width="9.140625" style="365" customWidth="1"/>
    <col min="6950" max="7144" width="8.85546875" style="365"/>
    <col min="7145" max="7145" width="44.5703125" style="365" customWidth="1"/>
    <col min="7146" max="7146" width="14.28515625" style="365" bestFit="1" customWidth="1"/>
    <col min="7147" max="7147" width="1.7109375" style="365" customWidth="1"/>
    <col min="7148" max="7148" width="14.85546875" style="365" customWidth="1"/>
    <col min="7149" max="7149" width="0" style="365" hidden="1" customWidth="1"/>
    <col min="7150" max="7150" width="17.42578125" style="365" customWidth="1"/>
    <col min="7151" max="7151" width="0" style="365" hidden="1" customWidth="1"/>
    <col min="7152" max="7152" width="12.85546875" style="365" customWidth="1"/>
    <col min="7153" max="7153" width="0" style="365" hidden="1" customWidth="1"/>
    <col min="7154" max="7154" width="14.42578125" style="365" customWidth="1"/>
    <col min="7155" max="7155" width="0" style="365" hidden="1" customWidth="1"/>
    <col min="7156" max="7156" width="17.42578125" style="365" customWidth="1"/>
    <col min="7157" max="7157" width="0" style="365" hidden="1" customWidth="1"/>
    <col min="7158" max="7158" width="14" style="365" customWidth="1"/>
    <col min="7159" max="7159" width="14.28515625" style="365" bestFit="1" customWidth="1"/>
    <col min="7160" max="7160" width="0" style="365" hidden="1" customWidth="1"/>
    <col min="7161" max="7161" width="15.5703125" style="365" customWidth="1"/>
    <col min="7162" max="7162" width="44.5703125" style="365" customWidth="1"/>
    <col min="7163" max="7163" width="14.28515625" style="365" bestFit="1" customWidth="1"/>
    <col min="7164" max="7164" width="0" style="365" hidden="1" customWidth="1"/>
    <col min="7165" max="7165" width="18.140625" style="365" customWidth="1"/>
    <col min="7166" max="7166" width="0" style="365" hidden="1" customWidth="1"/>
    <col min="7167" max="7167" width="14" style="365" customWidth="1"/>
    <col min="7168" max="7168" width="0" style="365" hidden="1" customWidth="1"/>
    <col min="7169" max="7169" width="20.85546875" style="365" customWidth="1"/>
    <col min="7170" max="7170" width="0" style="365" hidden="1" customWidth="1"/>
    <col min="7171" max="7171" width="13.28515625" style="365" customWidth="1"/>
    <col min="7172" max="7172" width="0" style="365" hidden="1" customWidth="1"/>
    <col min="7173" max="7173" width="15" style="365" customWidth="1"/>
    <col min="7174" max="7174" width="0" style="365" hidden="1" customWidth="1"/>
    <col min="7175" max="7175" width="13.28515625" style="365" customWidth="1"/>
    <col min="7176" max="7176" width="0" style="365" hidden="1" customWidth="1"/>
    <col min="7177" max="7177" width="20.140625" style="365" customWidth="1"/>
    <col min="7178" max="7178" width="14.42578125" style="365" bestFit="1" customWidth="1"/>
    <col min="7179" max="7179" width="14" style="365" bestFit="1" customWidth="1"/>
    <col min="7180" max="7180" width="12.28515625" style="365" bestFit="1" customWidth="1"/>
    <col min="7181" max="7205" width="9.140625" style="365" customWidth="1"/>
    <col min="7206" max="7400" width="8.85546875" style="365"/>
    <col min="7401" max="7401" width="44.5703125" style="365" customWidth="1"/>
    <col min="7402" max="7402" width="14.28515625" style="365" bestFit="1" customWidth="1"/>
    <col min="7403" max="7403" width="1.7109375" style="365" customWidth="1"/>
    <col min="7404" max="7404" width="14.85546875" style="365" customWidth="1"/>
    <col min="7405" max="7405" width="0" style="365" hidden="1" customWidth="1"/>
    <col min="7406" max="7406" width="17.42578125" style="365" customWidth="1"/>
    <col min="7407" max="7407" width="0" style="365" hidden="1" customWidth="1"/>
    <col min="7408" max="7408" width="12.85546875" style="365" customWidth="1"/>
    <col min="7409" max="7409" width="0" style="365" hidden="1" customWidth="1"/>
    <col min="7410" max="7410" width="14.42578125" style="365" customWidth="1"/>
    <col min="7411" max="7411" width="0" style="365" hidden="1" customWidth="1"/>
    <col min="7412" max="7412" width="17.42578125" style="365" customWidth="1"/>
    <col min="7413" max="7413" width="0" style="365" hidden="1" customWidth="1"/>
    <col min="7414" max="7414" width="14" style="365" customWidth="1"/>
    <col min="7415" max="7415" width="14.28515625" style="365" bestFit="1" customWidth="1"/>
    <col min="7416" max="7416" width="0" style="365" hidden="1" customWidth="1"/>
    <col min="7417" max="7417" width="15.5703125" style="365" customWidth="1"/>
    <col min="7418" max="7418" width="44.5703125" style="365" customWidth="1"/>
    <col min="7419" max="7419" width="14.28515625" style="365" bestFit="1" customWidth="1"/>
    <col min="7420" max="7420" width="0" style="365" hidden="1" customWidth="1"/>
    <col min="7421" max="7421" width="18.140625" style="365" customWidth="1"/>
    <col min="7422" max="7422" width="0" style="365" hidden="1" customWidth="1"/>
    <col min="7423" max="7423" width="14" style="365" customWidth="1"/>
    <col min="7424" max="7424" width="0" style="365" hidden="1" customWidth="1"/>
    <col min="7425" max="7425" width="20.85546875" style="365" customWidth="1"/>
    <col min="7426" max="7426" width="0" style="365" hidden="1" customWidth="1"/>
    <col min="7427" max="7427" width="13.28515625" style="365" customWidth="1"/>
    <col min="7428" max="7428" width="0" style="365" hidden="1" customWidth="1"/>
    <col min="7429" max="7429" width="15" style="365" customWidth="1"/>
    <col min="7430" max="7430" width="0" style="365" hidden="1" customWidth="1"/>
    <col min="7431" max="7431" width="13.28515625" style="365" customWidth="1"/>
    <col min="7432" max="7432" width="0" style="365" hidden="1" customWidth="1"/>
    <col min="7433" max="7433" width="20.140625" style="365" customWidth="1"/>
    <col min="7434" max="7434" width="14.42578125" style="365" bestFit="1" customWidth="1"/>
    <col min="7435" max="7435" width="14" style="365" bestFit="1" customWidth="1"/>
    <col min="7436" max="7436" width="12.28515625" style="365" bestFit="1" customWidth="1"/>
    <col min="7437" max="7461" width="9.140625" style="365" customWidth="1"/>
    <col min="7462" max="7656" width="8.85546875" style="365"/>
    <col min="7657" max="7657" width="44.5703125" style="365" customWidth="1"/>
    <col min="7658" max="7658" width="14.28515625" style="365" bestFit="1" customWidth="1"/>
    <col min="7659" max="7659" width="1.7109375" style="365" customWidth="1"/>
    <col min="7660" max="7660" width="14.85546875" style="365" customWidth="1"/>
    <col min="7661" max="7661" width="0" style="365" hidden="1" customWidth="1"/>
    <col min="7662" max="7662" width="17.42578125" style="365" customWidth="1"/>
    <col min="7663" max="7663" width="0" style="365" hidden="1" customWidth="1"/>
    <col min="7664" max="7664" width="12.85546875" style="365" customWidth="1"/>
    <col min="7665" max="7665" width="0" style="365" hidden="1" customWidth="1"/>
    <col min="7666" max="7666" width="14.42578125" style="365" customWidth="1"/>
    <col min="7667" max="7667" width="0" style="365" hidden="1" customWidth="1"/>
    <col min="7668" max="7668" width="17.42578125" style="365" customWidth="1"/>
    <col min="7669" max="7669" width="0" style="365" hidden="1" customWidth="1"/>
    <col min="7670" max="7670" width="14" style="365" customWidth="1"/>
    <col min="7671" max="7671" width="14.28515625" style="365" bestFit="1" customWidth="1"/>
    <col min="7672" max="7672" width="0" style="365" hidden="1" customWidth="1"/>
    <col min="7673" max="7673" width="15.5703125" style="365" customWidth="1"/>
    <col min="7674" max="7674" width="44.5703125" style="365" customWidth="1"/>
    <col min="7675" max="7675" width="14.28515625" style="365" bestFit="1" customWidth="1"/>
    <col min="7676" max="7676" width="0" style="365" hidden="1" customWidth="1"/>
    <col min="7677" max="7677" width="18.140625" style="365" customWidth="1"/>
    <col min="7678" max="7678" width="0" style="365" hidden="1" customWidth="1"/>
    <col min="7679" max="7679" width="14" style="365" customWidth="1"/>
    <col min="7680" max="7680" width="0" style="365" hidden="1" customWidth="1"/>
    <col min="7681" max="7681" width="20.85546875" style="365" customWidth="1"/>
    <col min="7682" max="7682" width="0" style="365" hidden="1" customWidth="1"/>
    <col min="7683" max="7683" width="13.28515625" style="365" customWidth="1"/>
    <col min="7684" max="7684" width="0" style="365" hidden="1" customWidth="1"/>
    <col min="7685" max="7685" width="15" style="365" customWidth="1"/>
    <col min="7686" max="7686" width="0" style="365" hidden="1" customWidth="1"/>
    <col min="7687" max="7687" width="13.28515625" style="365" customWidth="1"/>
    <col min="7688" max="7688" width="0" style="365" hidden="1" customWidth="1"/>
    <col min="7689" max="7689" width="20.140625" style="365" customWidth="1"/>
    <col min="7690" max="7690" width="14.42578125" style="365" bestFit="1" customWidth="1"/>
    <col min="7691" max="7691" width="14" style="365" bestFit="1" customWidth="1"/>
    <col min="7692" max="7692" width="12.28515625" style="365" bestFit="1" customWidth="1"/>
    <col min="7693" max="7717" width="9.140625" style="365" customWidth="1"/>
    <col min="7718" max="7912" width="8.85546875" style="365"/>
    <col min="7913" max="7913" width="44.5703125" style="365" customWidth="1"/>
    <col min="7914" max="7914" width="14.28515625" style="365" bestFit="1" customWidth="1"/>
    <col min="7915" max="7915" width="1.7109375" style="365" customWidth="1"/>
    <col min="7916" max="7916" width="14.85546875" style="365" customWidth="1"/>
    <col min="7917" max="7917" width="0" style="365" hidden="1" customWidth="1"/>
    <col min="7918" max="7918" width="17.42578125" style="365" customWidth="1"/>
    <col min="7919" max="7919" width="0" style="365" hidden="1" customWidth="1"/>
    <col min="7920" max="7920" width="12.85546875" style="365" customWidth="1"/>
    <col min="7921" max="7921" width="0" style="365" hidden="1" customWidth="1"/>
    <col min="7922" max="7922" width="14.42578125" style="365" customWidth="1"/>
    <col min="7923" max="7923" width="0" style="365" hidden="1" customWidth="1"/>
    <col min="7924" max="7924" width="17.42578125" style="365" customWidth="1"/>
    <col min="7925" max="7925" width="0" style="365" hidden="1" customWidth="1"/>
    <col min="7926" max="7926" width="14" style="365" customWidth="1"/>
    <col min="7927" max="7927" width="14.28515625" style="365" bestFit="1" customWidth="1"/>
    <col min="7928" max="7928" width="0" style="365" hidden="1" customWidth="1"/>
    <col min="7929" max="7929" width="15.5703125" style="365" customWidth="1"/>
    <col min="7930" max="7930" width="44.5703125" style="365" customWidth="1"/>
    <col min="7931" max="7931" width="14.28515625" style="365" bestFit="1" customWidth="1"/>
    <col min="7932" max="7932" width="0" style="365" hidden="1" customWidth="1"/>
    <col min="7933" max="7933" width="18.140625" style="365" customWidth="1"/>
    <col min="7934" max="7934" width="0" style="365" hidden="1" customWidth="1"/>
    <col min="7935" max="7935" width="14" style="365" customWidth="1"/>
    <col min="7936" max="7936" width="0" style="365" hidden="1" customWidth="1"/>
    <col min="7937" max="7937" width="20.85546875" style="365" customWidth="1"/>
    <col min="7938" max="7938" width="0" style="365" hidden="1" customWidth="1"/>
    <col min="7939" max="7939" width="13.28515625" style="365" customWidth="1"/>
    <col min="7940" max="7940" width="0" style="365" hidden="1" customWidth="1"/>
    <col min="7941" max="7941" width="15" style="365" customWidth="1"/>
    <col min="7942" max="7942" width="0" style="365" hidden="1" customWidth="1"/>
    <col min="7943" max="7943" width="13.28515625" style="365" customWidth="1"/>
    <col min="7944" max="7944" width="0" style="365" hidden="1" customWidth="1"/>
    <col min="7945" max="7945" width="20.140625" style="365" customWidth="1"/>
    <col min="7946" max="7946" width="14.42578125" style="365" bestFit="1" customWidth="1"/>
    <col min="7947" max="7947" width="14" style="365" bestFit="1" customWidth="1"/>
    <col min="7948" max="7948" width="12.28515625" style="365" bestFit="1" customWidth="1"/>
    <col min="7949" max="7973" width="9.140625" style="365" customWidth="1"/>
    <col min="7974" max="8168" width="8.85546875" style="365"/>
    <col min="8169" max="8169" width="44.5703125" style="365" customWidth="1"/>
    <col min="8170" max="8170" width="14.28515625" style="365" bestFit="1" customWidth="1"/>
    <col min="8171" max="8171" width="1.7109375" style="365" customWidth="1"/>
    <col min="8172" max="8172" width="14.85546875" style="365" customWidth="1"/>
    <col min="8173" max="8173" width="0" style="365" hidden="1" customWidth="1"/>
    <col min="8174" max="8174" width="17.42578125" style="365" customWidth="1"/>
    <col min="8175" max="8175" width="0" style="365" hidden="1" customWidth="1"/>
    <col min="8176" max="8176" width="12.85546875" style="365" customWidth="1"/>
    <col min="8177" max="8177" width="0" style="365" hidden="1" customWidth="1"/>
    <col min="8178" max="8178" width="14.42578125" style="365" customWidth="1"/>
    <col min="8179" max="8179" width="0" style="365" hidden="1" customWidth="1"/>
    <col min="8180" max="8180" width="17.42578125" style="365" customWidth="1"/>
    <col min="8181" max="8181" width="0" style="365" hidden="1" customWidth="1"/>
    <col min="8182" max="8182" width="14" style="365" customWidth="1"/>
    <col min="8183" max="8183" width="14.28515625" style="365" bestFit="1" customWidth="1"/>
    <col min="8184" max="8184" width="0" style="365" hidden="1" customWidth="1"/>
    <col min="8185" max="8185" width="15.5703125" style="365" customWidth="1"/>
    <col min="8186" max="8186" width="44.5703125" style="365" customWidth="1"/>
    <col min="8187" max="8187" width="14.28515625" style="365" bestFit="1" customWidth="1"/>
    <col min="8188" max="8188" width="0" style="365" hidden="1" customWidth="1"/>
    <col min="8189" max="8189" width="18.140625" style="365" customWidth="1"/>
    <col min="8190" max="8190" width="0" style="365" hidden="1" customWidth="1"/>
    <col min="8191" max="8191" width="14" style="365" customWidth="1"/>
    <col min="8192" max="8192" width="0" style="365" hidden="1" customWidth="1"/>
    <col min="8193" max="8193" width="20.85546875" style="365" customWidth="1"/>
    <col min="8194" max="8194" width="0" style="365" hidden="1" customWidth="1"/>
    <col min="8195" max="8195" width="13.28515625" style="365" customWidth="1"/>
    <col min="8196" max="8196" width="0" style="365" hidden="1" customWidth="1"/>
    <col min="8197" max="8197" width="15" style="365" customWidth="1"/>
    <col min="8198" max="8198" width="0" style="365" hidden="1" customWidth="1"/>
    <col min="8199" max="8199" width="13.28515625" style="365" customWidth="1"/>
    <col min="8200" max="8200" width="0" style="365" hidden="1" customWidth="1"/>
    <col min="8201" max="8201" width="20.140625" style="365" customWidth="1"/>
    <col min="8202" max="8202" width="14.42578125" style="365" bestFit="1" customWidth="1"/>
    <col min="8203" max="8203" width="14" style="365" bestFit="1" customWidth="1"/>
    <col min="8204" max="8204" width="12.28515625" style="365" bestFit="1" customWidth="1"/>
    <col min="8205" max="8229" width="9.140625" style="365" customWidth="1"/>
    <col min="8230" max="8424" width="8.85546875" style="365"/>
    <col min="8425" max="8425" width="44.5703125" style="365" customWidth="1"/>
    <col min="8426" max="8426" width="14.28515625" style="365" bestFit="1" customWidth="1"/>
    <col min="8427" max="8427" width="1.7109375" style="365" customWidth="1"/>
    <col min="8428" max="8428" width="14.85546875" style="365" customWidth="1"/>
    <col min="8429" max="8429" width="0" style="365" hidden="1" customWidth="1"/>
    <col min="8430" max="8430" width="17.42578125" style="365" customWidth="1"/>
    <col min="8431" max="8431" width="0" style="365" hidden="1" customWidth="1"/>
    <col min="8432" max="8432" width="12.85546875" style="365" customWidth="1"/>
    <col min="8433" max="8433" width="0" style="365" hidden="1" customWidth="1"/>
    <col min="8434" max="8434" width="14.42578125" style="365" customWidth="1"/>
    <col min="8435" max="8435" width="0" style="365" hidden="1" customWidth="1"/>
    <col min="8436" max="8436" width="17.42578125" style="365" customWidth="1"/>
    <col min="8437" max="8437" width="0" style="365" hidden="1" customWidth="1"/>
    <col min="8438" max="8438" width="14" style="365" customWidth="1"/>
    <col min="8439" max="8439" width="14.28515625" style="365" bestFit="1" customWidth="1"/>
    <col min="8440" max="8440" width="0" style="365" hidden="1" customWidth="1"/>
    <col min="8441" max="8441" width="15.5703125" style="365" customWidth="1"/>
    <col min="8442" max="8442" width="44.5703125" style="365" customWidth="1"/>
    <col min="8443" max="8443" width="14.28515625" style="365" bestFit="1" customWidth="1"/>
    <col min="8444" max="8444" width="0" style="365" hidden="1" customWidth="1"/>
    <col min="8445" max="8445" width="18.140625" style="365" customWidth="1"/>
    <col min="8446" max="8446" width="0" style="365" hidden="1" customWidth="1"/>
    <col min="8447" max="8447" width="14" style="365" customWidth="1"/>
    <col min="8448" max="8448" width="0" style="365" hidden="1" customWidth="1"/>
    <col min="8449" max="8449" width="20.85546875" style="365" customWidth="1"/>
    <col min="8450" max="8450" width="0" style="365" hidden="1" customWidth="1"/>
    <col min="8451" max="8451" width="13.28515625" style="365" customWidth="1"/>
    <col min="8452" max="8452" width="0" style="365" hidden="1" customWidth="1"/>
    <col min="8453" max="8453" width="15" style="365" customWidth="1"/>
    <col min="8454" max="8454" width="0" style="365" hidden="1" customWidth="1"/>
    <col min="8455" max="8455" width="13.28515625" style="365" customWidth="1"/>
    <col min="8456" max="8456" width="0" style="365" hidden="1" customWidth="1"/>
    <col min="8457" max="8457" width="20.140625" style="365" customWidth="1"/>
    <col min="8458" max="8458" width="14.42578125" style="365" bestFit="1" customWidth="1"/>
    <col min="8459" max="8459" width="14" style="365" bestFit="1" customWidth="1"/>
    <col min="8460" max="8460" width="12.28515625" style="365" bestFit="1" customWidth="1"/>
    <col min="8461" max="8485" width="9.140625" style="365" customWidth="1"/>
    <col min="8486" max="8680" width="8.85546875" style="365"/>
    <col min="8681" max="8681" width="44.5703125" style="365" customWidth="1"/>
    <col min="8682" max="8682" width="14.28515625" style="365" bestFit="1" customWidth="1"/>
    <col min="8683" max="8683" width="1.7109375" style="365" customWidth="1"/>
    <col min="8684" max="8684" width="14.85546875" style="365" customWidth="1"/>
    <col min="8685" max="8685" width="0" style="365" hidden="1" customWidth="1"/>
    <col min="8686" max="8686" width="17.42578125" style="365" customWidth="1"/>
    <col min="8687" max="8687" width="0" style="365" hidden="1" customWidth="1"/>
    <col min="8688" max="8688" width="12.85546875" style="365" customWidth="1"/>
    <col min="8689" max="8689" width="0" style="365" hidden="1" customWidth="1"/>
    <col min="8690" max="8690" width="14.42578125" style="365" customWidth="1"/>
    <col min="8691" max="8691" width="0" style="365" hidden="1" customWidth="1"/>
    <col min="8692" max="8692" width="17.42578125" style="365" customWidth="1"/>
    <col min="8693" max="8693" width="0" style="365" hidden="1" customWidth="1"/>
    <col min="8694" max="8694" width="14" style="365" customWidth="1"/>
    <col min="8695" max="8695" width="14.28515625" style="365" bestFit="1" customWidth="1"/>
    <col min="8696" max="8696" width="0" style="365" hidden="1" customWidth="1"/>
    <col min="8697" max="8697" width="15.5703125" style="365" customWidth="1"/>
    <col min="8698" max="8698" width="44.5703125" style="365" customWidth="1"/>
    <col min="8699" max="8699" width="14.28515625" style="365" bestFit="1" customWidth="1"/>
    <col min="8700" max="8700" width="0" style="365" hidden="1" customWidth="1"/>
    <col min="8701" max="8701" width="18.140625" style="365" customWidth="1"/>
    <col min="8702" max="8702" width="0" style="365" hidden="1" customWidth="1"/>
    <col min="8703" max="8703" width="14" style="365" customWidth="1"/>
    <col min="8704" max="8704" width="0" style="365" hidden="1" customWidth="1"/>
    <col min="8705" max="8705" width="20.85546875" style="365" customWidth="1"/>
    <col min="8706" max="8706" width="0" style="365" hidden="1" customWidth="1"/>
    <col min="8707" max="8707" width="13.28515625" style="365" customWidth="1"/>
    <col min="8708" max="8708" width="0" style="365" hidden="1" customWidth="1"/>
    <col min="8709" max="8709" width="15" style="365" customWidth="1"/>
    <col min="8710" max="8710" width="0" style="365" hidden="1" customWidth="1"/>
    <col min="8711" max="8711" width="13.28515625" style="365" customWidth="1"/>
    <col min="8712" max="8712" width="0" style="365" hidden="1" customWidth="1"/>
    <col min="8713" max="8713" width="20.140625" style="365" customWidth="1"/>
    <col min="8714" max="8714" width="14.42578125" style="365" bestFit="1" customWidth="1"/>
    <col min="8715" max="8715" width="14" style="365" bestFit="1" customWidth="1"/>
    <col min="8716" max="8716" width="12.28515625" style="365" bestFit="1" customWidth="1"/>
    <col min="8717" max="8741" width="9.140625" style="365" customWidth="1"/>
    <col min="8742" max="8936" width="8.85546875" style="365"/>
    <col min="8937" max="8937" width="44.5703125" style="365" customWidth="1"/>
    <col min="8938" max="8938" width="14.28515625" style="365" bestFit="1" customWidth="1"/>
    <col min="8939" max="8939" width="1.7109375" style="365" customWidth="1"/>
    <col min="8940" max="8940" width="14.85546875" style="365" customWidth="1"/>
    <col min="8941" max="8941" width="0" style="365" hidden="1" customWidth="1"/>
    <col min="8942" max="8942" width="17.42578125" style="365" customWidth="1"/>
    <col min="8943" max="8943" width="0" style="365" hidden="1" customWidth="1"/>
    <col min="8944" max="8944" width="12.85546875" style="365" customWidth="1"/>
    <col min="8945" max="8945" width="0" style="365" hidden="1" customWidth="1"/>
    <col min="8946" max="8946" width="14.42578125" style="365" customWidth="1"/>
    <col min="8947" max="8947" width="0" style="365" hidden="1" customWidth="1"/>
    <col min="8948" max="8948" width="17.42578125" style="365" customWidth="1"/>
    <col min="8949" max="8949" width="0" style="365" hidden="1" customWidth="1"/>
    <col min="8950" max="8950" width="14" style="365" customWidth="1"/>
    <col min="8951" max="8951" width="14.28515625" style="365" bestFit="1" customWidth="1"/>
    <col min="8952" max="8952" width="0" style="365" hidden="1" customWidth="1"/>
    <col min="8953" max="8953" width="15.5703125" style="365" customWidth="1"/>
    <col min="8954" max="8954" width="44.5703125" style="365" customWidth="1"/>
    <col min="8955" max="8955" width="14.28515625" style="365" bestFit="1" customWidth="1"/>
    <col min="8956" max="8956" width="0" style="365" hidden="1" customWidth="1"/>
    <col min="8957" max="8957" width="18.140625" style="365" customWidth="1"/>
    <col min="8958" max="8958" width="0" style="365" hidden="1" customWidth="1"/>
    <col min="8959" max="8959" width="14" style="365" customWidth="1"/>
    <col min="8960" max="8960" width="0" style="365" hidden="1" customWidth="1"/>
    <col min="8961" max="8961" width="20.85546875" style="365" customWidth="1"/>
    <col min="8962" max="8962" width="0" style="365" hidden="1" customWidth="1"/>
    <col min="8963" max="8963" width="13.28515625" style="365" customWidth="1"/>
    <col min="8964" max="8964" width="0" style="365" hidden="1" customWidth="1"/>
    <col min="8965" max="8965" width="15" style="365" customWidth="1"/>
    <col min="8966" max="8966" width="0" style="365" hidden="1" customWidth="1"/>
    <col min="8967" max="8967" width="13.28515625" style="365" customWidth="1"/>
    <col min="8968" max="8968" width="0" style="365" hidden="1" customWidth="1"/>
    <col min="8969" max="8969" width="20.140625" style="365" customWidth="1"/>
    <col min="8970" max="8970" width="14.42578125" style="365" bestFit="1" customWidth="1"/>
    <col min="8971" max="8971" width="14" style="365" bestFit="1" customWidth="1"/>
    <col min="8972" max="8972" width="12.28515625" style="365" bestFit="1" customWidth="1"/>
    <col min="8973" max="8997" width="9.140625" style="365" customWidth="1"/>
    <col min="8998" max="9192" width="8.85546875" style="365"/>
    <col min="9193" max="9193" width="44.5703125" style="365" customWidth="1"/>
    <col min="9194" max="9194" width="14.28515625" style="365" bestFit="1" customWidth="1"/>
    <col min="9195" max="9195" width="1.7109375" style="365" customWidth="1"/>
    <col min="9196" max="9196" width="14.85546875" style="365" customWidth="1"/>
    <col min="9197" max="9197" width="0" style="365" hidden="1" customWidth="1"/>
    <col min="9198" max="9198" width="17.42578125" style="365" customWidth="1"/>
    <col min="9199" max="9199" width="0" style="365" hidden="1" customWidth="1"/>
    <col min="9200" max="9200" width="12.85546875" style="365" customWidth="1"/>
    <col min="9201" max="9201" width="0" style="365" hidden="1" customWidth="1"/>
    <col min="9202" max="9202" width="14.42578125" style="365" customWidth="1"/>
    <col min="9203" max="9203" width="0" style="365" hidden="1" customWidth="1"/>
    <col min="9204" max="9204" width="17.42578125" style="365" customWidth="1"/>
    <col min="9205" max="9205" width="0" style="365" hidden="1" customWidth="1"/>
    <col min="9206" max="9206" width="14" style="365" customWidth="1"/>
    <col min="9207" max="9207" width="14.28515625" style="365" bestFit="1" customWidth="1"/>
    <col min="9208" max="9208" width="0" style="365" hidden="1" customWidth="1"/>
    <col min="9209" max="9209" width="15.5703125" style="365" customWidth="1"/>
    <col min="9210" max="9210" width="44.5703125" style="365" customWidth="1"/>
    <col min="9211" max="9211" width="14.28515625" style="365" bestFit="1" customWidth="1"/>
    <col min="9212" max="9212" width="0" style="365" hidden="1" customWidth="1"/>
    <col min="9213" max="9213" width="18.140625" style="365" customWidth="1"/>
    <col min="9214" max="9214" width="0" style="365" hidden="1" customWidth="1"/>
    <col min="9215" max="9215" width="14" style="365" customWidth="1"/>
    <col min="9216" max="9216" width="0" style="365" hidden="1" customWidth="1"/>
    <col min="9217" max="9217" width="20.85546875" style="365" customWidth="1"/>
    <col min="9218" max="9218" width="0" style="365" hidden="1" customWidth="1"/>
    <col min="9219" max="9219" width="13.28515625" style="365" customWidth="1"/>
    <col min="9220" max="9220" width="0" style="365" hidden="1" customWidth="1"/>
    <col min="9221" max="9221" width="15" style="365" customWidth="1"/>
    <col min="9222" max="9222" width="0" style="365" hidden="1" customWidth="1"/>
    <col min="9223" max="9223" width="13.28515625" style="365" customWidth="1"/>
    <col min="9224" max="9224" width="0" style="365" hidden="1" customWidth="1"/>
    <col min="9225" max="9225" width="20.140625" style="365" customWidth="1"/>
    <col min="9226" max="9226" width="14.42578125" style="365" bestFit="1" customWidth="1"/>
    <col min="9227" max="9227" width="14" style="365" bestFit="1" customWidth="1"/>
    <col min="9228" max="9228" width="12.28515625" style="365" bestFit="1" customWidth="1"/>
    <col min="9229" max="9253" width="9.140625" style="365" customWidth="1"/>
    <col min="9254" max="9448" width="8.85546875" style="365"/>
    <col min="9449" max="9449" width="44.5703125" style="365" customWidth="1"/>
    <col min="9450" max="9450" width="14.28515625" style="365" bestFit="1" customWidth="1"/>
    <col min="9451" max="9451" width="1.7109375" style="365" customWidth="1"/>
    <col min="9452" max="9452" width="14.85546875" style="365" customWidth="1"/>
    <col min="9453" max="9453" width="0" style="365" hidden="1" customWidth="1"/>
    <col min="9454" max="9454" width="17.42578125" style="365" customWidth="1"/>
    <col min="9455" max="9455" width="0" style="365" hidden="1" customWidth="1"/>
    <col min="9456" max="9456" width="12.85546875" style="365" customWidth="1"/>
    <col min="9457" max="9457" width="0" style="365" hidden="1" customWidth="1"/>
    <col min="9458" max="9458" width="14.42578125" style="365" customWidth="1"/>
    <col min="9459" max="9459" width="0" style="365" hidden="1" customWidth="1"/>
    <col min="9460" max="9460" width="17.42578125" style="365" customWidth="1"/>
    <col min="9461" max="9461" width="0" style="365" hidden="1" customWidth="1"/>
    <col min="9462" max="9462" width="14" style="365" customWidth="1"/>
    <col min="9463" max="9463" width="14.28515625" style="365" bestFit="1" customWidth="1"/>
    <col min="9464" max="9464" width="0" style="365" hidden="1" customWidth="1"/>
    <col min="9465" max="9465" width="15.5703125" style="365" customWidth="1"/>
    <col min="9466" max="9466" width="44.5703125" style="365" customWidth="1"/>
    <col min="9467" max="9467" width="14.28515625" style="365" bestFit="1" customWidth="1"/>
    <col min="9468" max="9468" width="0" style="365" hidden="1" customWidth="1"/>
    <col min="9469" max="9469" width="18.140625" style="365" customWidth="1"/>
    <col min="9470" max="9470" width="0" style="365" hidden="1" customWidth="1"/>
    <col min="9471" max="9471" width="14" style="365" customWidth="1"/>
    <col min="9472" max="9472" width="0" style="365" hidden="1" customWidth="1"/>
    <col min="9473" max="9473" width="20.85546875" style="365" customWidth="1"/>
    <col min="9474" max="9474" width="0" style="365" hidden="1" customWidth="1"/>
    <col min="9475" max="9475" width="13.28515625" style="365" customWidth="1"/>
    <col min="9476" max="9476" width="0" style="365" hidden="1" customWidth="1"/>
    <col min="9477" max="9477" width="15" style="365" customWidth="1"/>
    <col min="9478" max="9478" width="0" style="365" hidden="1" customWidth="1"/>
    <col min="9479" max="9479" width="13.28515625" style="365" customWidth="1"/>
    <col min="9480" max="9480" width="0" style="365" hidden="1" customWidth="1"/>
    <col min="9481" max="9481" width="20.140625" style="365" customWidth="1"/>
    <col min="9482" max="9482" width="14.42578125" style="365" bestFit="1" customWidth="1"/>
    <col min="9483" max="9483" width="14" style="365" bestFit="1" customWidth="1"/>
    <col min="9484" max="9484" width="12.28515625" style="365" bestFit="1" customWidth="1"/>
    <col min="9485" max="9509" width="9.140625" style="365" customWidth="1"/>
    <col min="9510" max="9704" width="8.85546875" style="365"/>
    <col min="9705" max="9705" width="44.5703125" style="365" customWidth="1"/>
    <col min="9706" max="9706" width="14.28515625" style="365" bestFit="1" customWidth="1"/>
    <col min="9707" max="9707" width="1.7109375" style="365" customWidth="1"/>
    <col min="9708" max="9708" width="14.85546875" style="365" customWidth="1"/>
    <col min="9709" max="9709" width="0" style="365" hidden="1" customWidth="1"/>
    <col min="9710" max="9710" width="17.42578125" style="365" customWidth="1"/>
    <col min="9711" max="9711" width="0" style="365" hidden="1" customWidth="1"/>
    <col min="9712" max="9712" width="12.85546875" style="365" customWidth="1"/>
    <col min="9713" max="9713" width="0" style="365" hidden="1" customWidth="1"/>
    <col min="9714" max="9714" width="14.42578125" style="365" customWidth="1"/>
    <col min="9715" max="9715" width="0" style="365" hidden="1" customWidth="1"/>
    <col min="9716" max="9716" width="17.42578125" style="365" customWidth="1"/>
    <col min="9717" max="9717" width="0" style="365" hidden="1" customWidth="1"/>
    <col min="9718" max="9718" width="14" style="365" customWidth="1"/>
    <col min="9719" max="9719" width="14.28515625" style="365" bestFit="1" customWidth="1"/>
    <col min="9720" max="9720" width="0" style="365" hidden="1" customWidth="1"/>
    <col min="9721" max="9721" width="15.5703125" style="365" customWidth="1"/>
    <col min="9722" max="9722" width="44.5703125" style="365" customWidth="1"/>
    <col min="9723" max="9723" width="14.28515625" style="365" bestFit="1" customWidth="1"/>
    <col min="9724" max="9724" width="0" style="365" hidden="1" customWidth="1"/>
    <col min="9725" max="9725" width="18.140625" style="365" customWidth="1"/>
    <col min="9726" max="9726" width="0" style="365" hidden="1" customWidth="1"/>
    <col min="9727" max="9727" width="14" style="365" customWidth="1"/>
    <col min="9728" max="9728" width="0" style="365" hidden="1" customWidth="1"/>
    <col min="9729" max="9729" width="20.85546875" style="365" customWidth="1"/>
    <col min="9730" max="9730" width="0" style="365" hidden="1" customWidth="1"/>
    <col min="9731" max="9731" width="13.28515625" style="365" customWidth="1"/>
    <col min="9732" max="9732" width="0" style="365" hidden="1" customWidth="1"/>
    <col min="9733" max="9733" width="15" style="365" customWidth="1"/>
    <col min="9734" max="9734" width="0" style="365" hidden="1" customWidth="1"/>
    <col min="9735" max="9735" width="13.28515625" style="365" customWidth="1"/>
    <col min="9736" max="9736" width="0" style="365" hidden="1" customWidth="1"/>
    <col min="9737" max="9737" width="20.140625" style="365" customWidth="1"/>
    <col min="9738" max="9738" width="14.42578125" style="365" bestFit="1" customWidth="1"/>
    <col min="9739" max="9739" width="14" style="365" bestFit="1" customWidth="1"/>
    <col min="9740" max="9740" width="12.28515625" style="365" bestFit="1" customWidth="1"/>
    <col min="9741" max="9765" width="9.140625" style="365" customWidth="1"/>
    <col min="9766" max="9960" width="8.85546875" style="365"/>
    <col min="9961" max="9961" width="44.5703125" style="365" customWidth="1"/>
    <col min="9962" max="9962" width="14.28515625" style="365" bestFit="1" customWidth="1"/>
    <col min="9963" max="9963" width="1.7109375" style="365" customWidth="1"/>
    <col min="9964" max="9964" width="14.85546875" style="365" customWidth="1"/>
    <col min="9965" max="9965" width="0" style="365" hidden="1" customWidth="1"/>
    <col min="9966" max="9966" width="17.42578125" style="365" customWidth="1"/>
    <col min="9967" max="9967" width="0" style="365" hidden="1" customWidth="1"/>
    <col min="9968" max="9968" width="12.85546875" style="365" customWidth="1"/>
    <col min="9969" max="9969" width="0" style="365" hidden="1" customWidth="1"/>
    <col min="9970" max="9970" width="14.42578125" style="365" customWidth="1"/>
    <col min="9971" max="9971" width="0" style="365" hidden="1" customWidth="1"/>
    <col min="9972" max="9972" width="17.42578125" style="365" customWidth="1"/>
    <col min="9973" max="9973" width="0" style="365" hidden="1" customWidth="1"/>
    <col min="9974" max="9974" width="14" style="365" customWidth="1"/>
    <col min="9975" max="9975" width="14.28515625" style="365" bestFit="1" customWidth="1"/>
    <col min="9976" max="9976" width="0" style="365" hidden="1" customWidth="1"/>
    <col min="9977" max="9977" width="15.5703125" style="365" customWidth="1"/>
    <col min="9978" max="9978" width="44.5703125" style="365" customWidth="1"/>
    <col min="9979" max="9979" width="14.28515625" style="365" bestFit="1" customWidth="1"/>
    <col min="9980" max="9980" width="0" style="365" hidden="1" customWidth="1"/>
    <col min="9981" max="9981" width="18.140625" style="365" customWidth="1"/>
    <col min="9982" max="9982" width="0" style="365" hidden="1" customWidth="1"/>
    <col min="9983" max="9983" width="14" style="365" customWidth="1"/>
    <col min="9984" max="9984" width="0" style="365" hidden="1" customWidth="1"/>
    <col min="9985" max="9985" width="20.85546875" style="365" customWidth="1"/>
    <col min="9986" max="9986" width="0" style="365" hidden="1" customWidth="1"/>
    <col min="9987" max="9987" width="13.28515625" style="365" customWidth="1"/>
    <col min="9988" max="9988" width="0" style="365" hidden="1" customWidth="1"/>
    <col min="9989" max="9989" width="15" style="365" customWidth="1"/>
    <col min="9990" max="9990" width="0" style="365" hidden="1" customWidth="1"/>
    <col min="9991" max="9991" width="13.28515625" style="365" customWidth="1"/>
    <col min="9992" max="9992" width="0" style="365" hidden="1" customWidth="1"/>
    <col min="9993" max="9993" width="20.140625" style="365" customWidth="1"/>
    <col min="9994" max="9994" width="14.42578125" style="365" bestFit="1" customWidth="1"/>
    <col min="9995" max="9995" width="14" style="365" bestFit="1" customWidth="1"/>
    <col min="9996" max="9996" width="12.28515625" style="365" bestFit="1" customWidth="1"/>
    <col min="9997" max="10021" width="9.140625" style="365" customWidth="1"/>
    <col min="10022" max="10216" width="8.85546875" style="365"/>
    <col min="10217" max="10217" width="44.5703125" style="365" customWidth="1"/>
    <col min="10218" max="10218" width="14.28515625" style="365" bestFit="1" customWidth="1"/>
    <col min="10219" max="10219" width="1.7109375" style="365" customWidth="1"/>
    <col min="10220" max="10220" width="14.85546875" style="365" customWidth="1"/>
    <col min="10221" max="10221" width="0" style="365" hidden="1" customWidth="1"/>
    <col min="10222" max="10222" width="17.42578125" style="365" customWidth="1"/>
    <col min="10223" max="10223" width="0" style="365" hidden="1" customWidth="1"/>
    <col min="10224" max="10224" width="12.85546875" style="365" customWidth="1"/>
    <col min="10225" max="10225" width="0" style="365" hidden="1" customWidth="1"/>
    <col min="10226" max="10226" width="14.42578125" style="365" customWidth="1"/>
    <col min="10227" max="10227" width="0" style="365" hidden="1" customWidth="1"/>
    <col min="10228" max="10228" width="17.42578125" style="365" customWidth="1"/>
    <col min="10229" max="10229" width="0" style="365" hidden="1" customWidth="1"/>
    <col min="10230" max="10230" width="14" style="365" customWidth="1"/>
    <col min="10231" max="10231" width="14.28515625" style="365" bestFit="1" customWidth="1"/>
    <col min="10232" max="10232" width="0" style="365" hidden="1" customWidth="1"/>
    <col min="10233" max="10233" width="15.5703125" style="365" customWidth="1"/>
    <col min="10234" max="10234" width="44.5703125" style="365" customWidth="1"/>
    <col min="10235" max="10235" width="14.28515625" style="365" bestFit="1" customWidth="1"/>
    <col min="10236" max="10236" width="0" style="365" hidden="1" customWidth="1"/>
    <col min="10237" max="10237" width="18.140625" style="365" customWidth="1"/>
    <col min="10238" max="10238" width="0" style="365" hidden="1" customWidth="1"/>
    <col min="10239" max="10239" width="14" style="365" customWidth="1"/>
    <col min="10240" max="10240" width="0" style="365" hidden="1" customWidth="1"/>
    <col min="10241" max="10241" width="20.85546875" style="365" customWidth="1"/>
    <col min="10242" max="10242" width="0" style="365" hidden="1" customWidth="1"/>
    <col min="10243" max="10243" width="13.28515625" style="365" customWidth="1"/>
    <col min="10244" max="10244" width="0" style="365" hidden="1" customWidth="1"/>
    <col min="10245" max="10245" width="15" style="365" customWidth="1"/>
    <col min="10246" max="10246" width="0" style="365" hidden="1" customWidth="1"/>
    <col min="10247" max="10247" width="13.28515625" style="365" customWidth="1"/>
    <col min="10248" max="10248" width="0" style="365" hidden="1" customWidth="1"/>
    <col min="10249" max="10249" width="20.140625" style="365" customWidth="1"/>
    <col min="10250" max="10250" width="14.42578125" style="365" bestFit="1" customWidth="1"/>
    <col min="10251" max="10251" width="14" style="365" bestFit="1" customWidth="1"/>
    <col min="10252" max="10252" width="12.28515625" style="365" bestFit="1" customWidth="1"/>
    <col min="10253" max="10277" width="9.140625" style="365" customWidth="1"/>
    <col min="10278" max="10472" width="8.85546875" style="365"/>
    <col min="10473" max="10473" width="44.5703125" style="365" customWidth="1"/>
    <col min="10474" max="10474" width="14.28515625" style="365" bestFit="1" customWidth="1"/>
    <col min="10475" max="10475" width="1.7109375" style="365" customWidth="1"/>
    <col min="10476" max="10476" width="14.85546875" style="365" customWidth="1"/>
    <col min="10477" max="10477" width="0" style="365" hidden="1" customWidth="1"/>
    <col min="10478" max="10478" width="17.42578125" style="365" customWidth="1"/>
    <col min="10479" max="10479" width="0" style="365" hidden="1" customWidth="1"/>
    <col min="10480" max="10480" width="12.85546875" style="365" customWidth="1"/>
    <col min="10481" max="10481" width="0" style="365" hidden="1" customWidth="1"/>
    <col min="10482" max="10482" width="14.42578125" style="365" customWidth="1"/>
    <col min="10483" max="10483" width="0" style="365" hidden="1" customWidth="1"/>
    <col min="10484" max="10484" width="17.42578125" style="365" customWidth="1"/>
    <col min="10485" max="10485" width="0" style="365" hidden="1" customWidth="1"/>
    <col min="10486" max="10486" width="14" style="365" customWidth="1"/>
    <col min="10487" max="10487" width="14.28515625" style="365" bestFit="1" customWidth="1"/>
    <col min="10488" max="10488" width="0" style="365" hidden="1" customWidth="1"/>
    <col min="10489" max="10489" width="15.5703125" style="365" customWidth="1"/>
    <col min="10490" max="10490" width="44.5703125" style="365" customWidth="1"/>
    <col min="10491" max="10491" width="14.28515625" style="365" bestFit="1" customWidth="1"/>
    <col min="10492" max="10492" width="0" style="365" hidden="1" customWidth="1"/>
    <col min="10493" max="10493" width="18.140625" style="365" customWidth="1"/>
    <col min="10494" max="10494" width="0" style="365" hidden="1" customWidth="1"/>
    <col min="10495" max="10495" width="14" style="365" customWidth="1"/>
    <col min="10496" max="10496" width="0" style="365" hidden="1" customWidth="1"/>
    <col min="10497" max="10497" width="20.85546875" style="365" customWidth="1"/>
    <col min="10498" max="10498" width="0" style="365" hidden="1" customWidth="1"/>
    <col min="10499" max="10499" width="13.28515625" style="365" customWidth="1"/>
    <col min="10500" max="10500" width="0" style="365" hidden="1" customWidth="1"/>
    <col min="10501" max="10501" width="15" style="365" customWidth="1"/>
    <col min="10502" max="10502" width="0" style="365" hidden="1" customWidth="1"/>
    <col min="10503" max="10503" width="13.28515625" style="365" customWidth="1"/>
    <col min="10504" max="10504" width="0" style="365" hidden="1" customWidth="1"/>
    <col min="10505" max="10505" width="20.140625" style="365" customWidth="1"/>
    <col min="10506" max="10506" width="14.42578125" style="365" bestFit="1" customWidth="1"/>
    <col min="10507" max="10507" width="14" style="365" bestFit="1" customWidth="1"/>
    <col min="10508" max="10508" width="12.28515625" style="365" bestFit="1" customWidth="1"/>
    <col min="10509" max="10533" width="9.140625" style="365" customWidth="1"/>
    <col min="10534" max="10728" width="8.85546875" style="365"/>
    <col min="10729" max="10729" width="44.5703125" style="365" customWidth="1"/>
    <col min="10730" max="10730" width="14.28515625" style="365" bestFit="1" customWidth="1"/>
    <col min="10731" max="10731" width="1.7109375" style="365" customWidth="1"/>
    <col min="10732" max="10732" width="14.85546875" style="365" customWidth="1"/>
    <col min="10733" max="10733" width="0" style="365" hidden="1" customWidth="1"/>
    <col min="10734" max="10734" width="17.42578125" style="365" customWidth="1"/>
    <col min="10735" max="10735" width="0" style="365" hidden="1" customWidth="1"/>
    <col min="10736" max="10736" width="12.85546875" style="365" customWidth="1"/>
    <col min="10737" max="10737" width="0" style="365" hidden="1" customWidth="1"/>
    <col min="10738" max="10738" width="14.42578125" style="365" customWidth="1"/>
    <col min="10739" max="10739" width="0" style="365" hidden="1" customWidth="1"/>
    <col min="10740" max="10740" width="17.42578125" style="365" customWidth="1"/>
    <col min="10741" max="10741" width="0" style="365" hidden="1" customWidth="1"/>
    <col min="10742" max="10742" width="14" style="365" customWidth="1"/>
    <col min="10743" max="10743" width="14.28515625" style="365" bestFit="1" customWidth="1"/>
    <col min="10744" max="10744" width="0" style="365" hidden="1" customWidth="1"/>
    <col min="10745" max="10745" width="15.5703125" style="365" customWidth="1"/>
    <col min="10746" max="10746" width="44.5703125" style="365" customWidth="1"/>
    <col min="10747" max="10747" width="14.28515625" style="365" bestFit="1" customWidth="1"/>
    <col min="10748" max="10748" width="0" style="365" hidden="1" customWidth="1"/>
    <col min="10749" max="10749" width="18.140625" style="365" customWidth="1"/>
    <col min="10750" max="10750" width="0" style="365" hidden="1" customWidth="1"/>
    <col min="10751" max="10751" width="14" style="365" customWidth="1"/>
    <col min="10752" max="10752" width="0" style="365" hidden="1" customWidth="1"/>
    <col min="10753" max="10753" width="20.85546875" style="365" customWidth="1"/>
    <col min="10754" max="10754" width="0" style="365" hidden="1" customWidth="1"/>
    <col min="10755" max="10755" width="13.28515625" style="365" customWidth="1"/>
    <col min="10756" max="10756" width="0" style="365" hidden="1" customWidth="1"/>
    <col min="10757" max="10757" width="15" style="365" customWidth="1"/>
    <col min="10758" max="10758" width="0" style="365" hidden="1" customWidth="1"/>
    <col min="10759" max="10759" width="13.28515625" style="365" customWidth="1"/>
    <col min="10760" max="10760" width="0" style="365" hidden="1" customWidth="1"/>
    <col min="10761" max="10761" width="20.140625" style="365" customWidth="1"/>
    <col min="10762" max="10762" width="14.42578125" style="365" bestFit="1" customWidth="1"/>
    <col min="10763" max="10763" width="14" style="365" bestFit="1" customWidth="1"/>
    <col min="10764" max="10764" width="12.28515625" style="365" bestFit="1" customWidth="1"/>
    <col min="10765" max="10789" width="9.140625" style="365" customWidth="1"/>
    <col min="10790" max="10984" width="8.85546875" style="365"/>
    <col min="10985" max="10985" width="44.5703125" style="365" customWidth="1"/>
    <col min="10986" max="10986" width="14.28515625" style="365" bestFit="1" customWidth="1"/>
    <col min="10987" max="10987" width="1.7109375" style="365" customWidth="1"/>
    <col min="10988" max="10988" width="14.85546875" style="365" customWidth="1"/>
    <col min="10989" max="10989" width="0" style="365" hidden="1" customWidth="1"/>
    <col min="10990" max="10990" width="17.42578125" style="365" customWidth="1"/>
    <col min="10991" max="10991" width="0" style="365" hidden="1" customWidth="1"/>
    <col min="10992" max="10992" width="12.85546875" style="365" customWidth="1"/>
    <col min="10993" max="10993" width="0" style="365" hidden="1" customWidth="1"/>
    <col min="10994" max="10994" width="14.42578125" style="365" customWidth="1"/>
    <col min="10995" max="10995" width="0" style="365" hidden="1" customWidth="1"/>
    <col min="10996" max="10996" width="17.42578125" style="365" customWidth="1"/>
    <col min="10997" max="10997" width="0" style="365" hidden="1" customWidth="1"/>
    <col min="10998" max="10998" width="14" style="365" customWidth="1"/>
    <col min="10999" max="10999" width="14.28515625" style="365" bestFit="1" customWidth="1"/>
    <col min="11000" max="11000" width="0" style="365" hidden="1" customWidth="1"/>
    <col min="11001" max="11001" width="15.5703125" style="365" customWidth="1"/>
    <col min="11002" max="11002" width="44.5703125" style="365" customWidth="1"/>
    <col min="11003" max="11003" width="14.28515625" style="365" bestFit="1" customWidth="1"/>
    <col min="11004" max="11004" width="0" style="365" hidden="1" customWidth="1"/>
    <col min="11005" max="11005" width="18.140625" style="365" customWidth="1"/>
    <col min="11006" max="11006" width="0" style="365" hidden="1" customWidth="1"/>
    <col min="11007" max="11007" width="14" style="365" customWidth="1"/>
    <col min="11008" max="11008" width="0" style="365" hidden="1" customWidth="1"/>
    <col min="11009" max="11009" width="20.85546875" style="365" customWidth="1"/>
    <col min="11010" max="11010" width="0" style="365" hidden="1" customWidth="1"/>
    <col min="11011" max="11011" width="13.28515625" style="365" customWidth="1"/>
    <col min="11012" max="11012" width="0" style="365" hidden="1" customWidth="1"/>
    <col min="11013" max="11013" width="15" style="365" customWidth="1"/>
    <col min="11014" max="11014" width="0" style="365" hidden="1" customWidth="1"/>
    <col min="11015" max="11015" width="13.28515625" style="365" customWidth="1"/>
    <col min="11016" max="11016" width="0" style="365" hidden="1" customWidth="1"/>
    <col min="11017" max="11017" width="20.140625" style="365" customWidth="1"/>
    <col min="11018" max="11018" width="14.42578125" style="365" bestFit="1" customWidth="1"/>
    <col min="11019" max="11019" width="14" style="365" bestFit="1" customWidth="1"/>
    <col min="11020" max="11020" width="12.28515625" style="365" bestFit="1" customWidth="1"/>
    <col min="11021" max="11045" width="9.140625" style="365" customWidth="1"/>
    <col min="11046" max="11240" width="8.85546875" style="365"/>
    <col min="11241" max="11241" width="44.5703125" style="365" customWidth="1"/>
    <col min="11242" max="11242" width="14.28515625" style="365" bestFit="1" customWidth="1"/>
    <col min="11243" max="11243" width="1.7109375" style="365" customWidth="1"/>
    <col min="11244" max="11244" width="14.85546875" style="365" customWidth="1"/>
    <col min="11245" max="11245" width="0" style="365" hidden="1" customWidth="1"/>
    <col min="11246" max="11246" width="17.42578125" style="365" customWidth="1"/>
    <col min="11247" max="11247" width="0" style="365" hidden="1" customWidth="1"/>
    <col min="11248" max="11248" width="12.85546875" style="365" customWidth="1"/>
    <col min="11249" max="11249" width="0" style="365" hidden="1" customWidth="1"/>
    <col min="11250" max="11250" width="14.42578125" style="365" customWidth="1"/>
    <col min="11251" max="11251" width="0" style="365" hidden="1" customWidth="1"/>
    <col min="11252" max="11252" width="17.42578125" style="365" customWidth="1"/>
    <col min="11253" max="11253" width="0" style="365" hidden="1" customWidth="1"/>
    <col min="11254" max="11254" width="14" style="365" customWidth="1"/>
    <col min="11255" max="11255" width="14.28515625" style="365" bestFit="1" customWidth="1"/>
    <col min="11256" max="11256" width="0" style="365" hidden="1" customWidth="1"/>
    <col min="11257" max="11257" width="15.5703125" style="365" customWidth="1"/>
    <col min="11258" max="11258" width="44.5703125" style="365" customWidth="1"/>
    <col min="11259" max="11259" width="14.28515625" style="365" bestFit="1" customWidth="1"/>
    <col min="11260" max="11260" width="0" style="365" hidden="1" customWidth="1"/>
    <col min="11261" max="11261" width="18.140625" style="365" customWidth="1"/>
    <col min="11262" max="11262" width="0" style="365" hidden="1" customWidth="1"/>
    <col min="11263" max="11263" width="14" style="365" customWidth="1"/>
    <col min="11264" max="11264" width="0" style="365" hidden="1" customWidth="1"/>
    <col min="11265" max="11265" width="20.85546875" style="365" customWidth="1"/>
    <col min="11266" max="11266" width="0" style="365" hidden="1" customWidth="1"/>
    <col min="11267" max="11267" width="13.28515625" style="365" customWidth="1"/>
    <col min="11268" max="11268" width="0" style="365" hidden="1" customWidth="1"/>
    <col min="11269" max="11269" width="15" style="365" customWidth="1"/>
    <col min="11270" max="11270" width="0" style="365" hidden="1" customWidth="1"/>
    <col min="11271" max="11271" width="13.28515625" style="365" customWidth="1"/>
    <col min="11272" max="11272" width="0" style="365" hidden="1" customWidth="1"/>
    <col min="11273" max="11273" width="20.140625" style="365" customWidth="1"/>
    <col min="11274" max="11274" width="14.42578125" style="365" bestFit="1" customWidth="1"/>
    <col min="11275" max="11275" width="14" style="365" bestFit="1" customWidth="1"/>
    <col min="11276" max="11276" width="12.28515625" style="365" bestFit="1" customWidth="1"/>
    <col min="11277" max="11301" width="9.140625" style="365" customWidth="1"/>
    <col min="11302" max="11496" width="8.85546875" style="365"/>
    <col min="11497" max="11497" width="44.5703125" style="365" customWidth="1"/>
    <col min="11498" max="11498" width="14.28515625" style="365" bestFit="1" customWidth="1"/>
    <col min="11499" max="11499" width="1.7109375" style="365" customWidth="1"/>
    <col min="11500" max="11500" width="14.85546875" style="365" customWidth="1"/>
    <col min="11501" max="11501" width="0" style="365" hidden="1" customWidth="1"/>
    <col min="11502" max="11502" width="17.42578125" style="365" customWidth="1"/>
    <col min="11503" max="11503" width="0" style="365" hidden="1" customWidth="1"/>
    <col min="11504" max="11504" width="12.85546875" style="365" customWidth="1"/>
    <col min="11505" max="11505" width="0" style="365" hidden="1" customWidth="1"/>
    <col min="11506" max="11506" width="14.42578125" style="365" customWidth="1"/>
    <col min="11507" max="11507" width="0" style="365" hidden="1" customWidth="1"/>
    <col min="11508" max="11508" width="17.42578125" style="365" customWidth="1"/>
    <col min="11509" max="11509" width="0" style="365" hidden="1" customWidth="1"/>
    <col min="11510" max="11510" width="14" style="365" customWidth="1"/>
    <col min="11511" max="11511" width="14.28515625" style="365" bestFit="1" customWidth="1"/>
    <col min="11512" max="11512" width="0" style="365" hidden="1" customWidth="1"/>
    <col min="11513" max="11513" width="15.5703125" style="365" customWidth="1"/>
    <col min="11514" max="11514" width="44.5703125" style="365" customWidth="1"/>
    <col min="11515" max="11515" width="14.28515625" style="365" bestFit="1" customWidth="1"/>
    <col min="11516" max="11516" width="0" style="365" hidden="1" customWidth="1"/>
    <col min="11517" max="11517" width="18.140625" style="365" customWidth="1"/>
    <col min="11518" max="11518" width="0" style="365" hidden="1" customWidth="1"/>
    <col min="11519" max="11519" width="14" style="365" customWidth="1"/>
    <col min="11520" max="11520" width="0" style="365" hidden="1" customWidth="1"/>
    <col min="11521" max="11521" width="20.85546875" style="365" customWidth="1"/>
    <col min="11522" max="11522" width="0" style="365" hidden="1" customWidth="1"/>
    <col min="11523" max="11523" width="13.28515625" style="365" customWidth="1"/>
    <col min="11524" max="11524" width="0" style="365" hidden="1" customWidth="1"/>
    <col min="11525" max="11525" width="15" style="365" customWidth="1"/>
    <col min="11526" max="11526" width="0" style="365" hidden="1" customWidth="1"/>
    <col min="11527" max="11527" width="13.28515625" style="365" customWidth="1"/>
    <col min="11528" max="11528" width="0" style="365" hidden="1" customWidth="1"/>
    <col min="11529" max="11529" width="20.140625" style="365" customWidth="1"/>
    <col min="11530" max="11530" width="14.42578125" style="365" bestFit="1" customWidth="1"/>
    <col min="11531" max="11531" width="14" style="365" bestFit="1" customWidth="1"/>
    <col min="11532" max="11532" width="12.28515625" style="365" bestFit="1" customWidth="1"/>
    <col min="11533" max="11557" width="9.140625" style="365" customWidth="1"/>
    <col min="11558" max="11752" width="8.85546875" style="365"/>
    <col min="11753" max="11753" width="44.5703125" style="365" customWidth="1"/>
    <col min="11754" max="11754" width="14.28515625" style="365" bestFit="1" customWidth="1"/>
    <col min="11755" max="11755" width="1.7109375" style="365" customWidth="1"/>
    <col min="11756" max="11756" width="14.85546875" style="365" customWidth="1"/>
    <col min="11757" max="11757" width="0" style="365" hidden="1" customWidth="1"/>
    <col min="11758" max="11758" width="17.42578125" style="365" customWidth="1"/>
    <col min="11759" max="11759" width="0" style="365" hidden="1" customWidth="1"/>
    <col min="11760" max="11760" width="12.85546875" style="365" customWidth="1"/>
    <col min="11761" max="11761" width="0" style="365" hidden="1" customWidth="1"/>
    <col min="11762" max="11762" width="14.42578125" style="365" customWidth="1"/>
    <col min="11763" max="11763" width="0" style="365" hidden="1" customWidth="1"/>
    <col min="11764" max="11764" width="17.42578125" style="365" customWidth="1"/>
    <col min="11765" max="11765" width="0" style="365" hidden="1" customWidth="1"/>
    <col min="11766" max="11766" width="14" style="365" customWidth="1"/>
    <col min="11767" max="11767" width="14.28515625" style="365" bestFit="1" customWidth="1"/>
    <col min="11768" max="11768" width="0" style="365" hidden="1" customWidth="1"/>
    <col min="11769" max="11769" width="15.5703125" style="365" customWidth="1"/>
    <col min="11770" max="11770" width="44.5703125" style="365" customWidth="1"/>
    <col min="11771" max="11771" width="14.28515625" style="365" bestFit="1" customWidth="1"/>
    <col min="11772" max="11772" width="0" style="365" hidden="1" customWidth="1"/>
    <col min="11773" max="11773" width="18.140625" style="365" customWidth="1"/>
    <col min="11774" max="11774" width="0" style="365" hidden="1" customWidth="1"/>
    <col min="11775" max="11775" width="14" style="365" customWidth="1"/>
    <col min="11776" max="11776" width="0" style="365" hidden="1" customWidth="1"/>
    <col min="11777" max="11777" width="20.85546875" style="365" customWidth="1"/>
    <col min="11778" max="11778" width="0" style="365" hidden="1" customWidth="1"/>
    <col min="11779" max="11779" width="13.28515625" style="365" customWidth="1"/>
    <col min="11780" max="11780" width="0" style="365" hidden="1" customWidth="1"/>
    <col min="11781" max="11781" width="15" style="365" customWidth="1"/>
    <col min="11782" max="11782" width="0" style="365" hidden="1" customWidth="1"/>
    <col min="11783" max="11783" width="13.28515625" style="365" customWidth="1"/>
    <col min="11784" max="11784" width="0" style="365" hidden="1" customWidth="1"/>
    <col min="11785" max="11785" width="20.140625" style="365" customWidth="1"/>
    <col min="11786" max="11786" width="14.42578125" style="365" bestFit="1" customWidth="1"/>
    <col min="11787" max="11787" width="14" style="365" bestFit="1" customWidth="1"/>
    <col min="11788" max="11788" width="12.28515625" style="365" bestFit="1" customWidth="1"/>
    <col min="11789" max="11813" width="9.140625" style="365" customWidth="1"/>
    <col min="11814" max="12008" width="8.85546875" style="365"/>
    <col min="12009" max="12009" width="44.5703125" style="365" customWidth="1"/>
    <col min="12010" max="12010" width="14.28515625" style="365" bestFit="1" customWidth="1"/>
    <col min="12011" max="12011" width="1.7109375" style="365" customWidth="1"/>
    <col min="12012" max="12012" width="14.85546875" style="365" customWidth="1"/>
    <col min="12013" max="12013" width="0" style="365" hidden="1" customWidth="1"/>
    <col min="12014" max="12014" width="17.42578125" style="365" customWidth="1"/>
    <col min="12015" max="12015" width="0" style="365" hidden="1" customWidth="1"/>
    <col min="12016" max="12016" width="12.85546875" style="365" customWidth="1"/>
    <col min="12017" max="12017" width="0" style="365" hidden="1" customWidth="1"/>
    <col min="12018" max="12018" width="14.42578125" style="365" customWidth="1"/>
    <col min="12019" max="12019" width="0" style="365" hidden="1" customWidth="1"/>
    <col min="12020" max="12020" width="17.42578125" style="365" customWidth="1"/>
    <col min="12021" max="12021" width="0" style="365" hidden="1" customWidth="1"/>
    <col min="12022" max="12022" width="14" style="365" customWidth="1"/>
    <col min="12023" max="12023" width="14.28515625" style="365" bestFit="1" customWidth="1"/>
    <col min="12024" max="12024" width="0" style="365" hidden="1" customWidth="1"/>
    <col min="12025" max="12025" width="15.5703125" style="365" customWidth="1"/>
    <col min="12026" max="12026" width="44.5703125" style="365" customWidth="1"/>
    <col min="12027" max="12027" width="14.28515625" style="365" bestFit="1" customWidth="1"/>
    <col min="12028" max="12028" width="0" style="365" hidden="1" customWidth="1"/>
    <col min="12029" max="12029" width="18.140625" style="365" customWidth="1"/>
    <col min="12030" max="12030" width="0" style="365" hidden="1" customWidth="1"/>
    <col min="12031" max="12031" width="14" style="365" customWidth="1"/>
    <col min="12032" max="12032" width="0" style="365" hidden="1" customWidth="1"/>
    <col min="12033" max="12033" width="20.85546875" style="365" customWidth="1"/>
    <col min="12034" max="12034" width="0" style="365" hidden="1" customWidth="1"/>
    <col min="12035" max="12035" width="13.28515625" style="365" customWidth="1"/>
    <col min="12036" max="12036" width="0" style="365" hidden="1" customWidth="1"/>
    <col min="12037" max="12037" width="15" style="365" customWidth="1"/>
    <col min="12038" max="12038" width="0" style="365" hidden="1" customWidth="1"/>
    <col min="12039" max="12039" width="13.28515625" style="365" customWidth="1"/>
    <col min="12040" max="12040" width="0" style="365" hidden="1" customWidth="1"/>
    <col min="12041" max="12041" width="20.140625" style="365" customWidth="1"/>
    <col min="12042" max="12042" width="14.42578125" style="365" bestFit="1" customWidth="1"/>
    <col min="12043" max="12043" width="14" style="365" bestFit="1" customWidth="1"/>
    <col min="12044" max="12044" width="12.28515625" style="365" bestFit="1" customWidth="1"/>
    <col min="12045" max="12069" width="9.140625" style="365" customWidth="1"/>
    <col min="12070" max="12264" width="8.85546875" style="365"/>
    <col min="12265" max="12265" width="44.5703125" style="365" customWidth="1"/>
    <col min="12266" max="12266" width="14.28515625" style="365" bestFit="1" customWidth="1"/>
    <col min="12267" max="12267" width="1.7109375" style="365" customWidth="1"/>
    <col min="12268" max="12268" width="14.85546875" style="365" customWidth="1"/>
    <col min="12269" max="12269" width="0" style="365" hidden="1" customWidth="1"/>
    <col min="12270" max="12270" width="17.42578125" style="365" customWidth="1"/>
    <col min="12271" max="12271" width="0" style="365" hidden="1" customWidth="1"/>
    <col min="12272" max="12272" width="12.85546875" style="365" customWidth="1"/>
    <col min="12273" max="12273" width="0" style="365" hidden="1" customWidth="1"/>
    <col min="12274" max="12274" width="14.42578125" style="365" customWidth="1"/>
    <col min="12275" max="12275" width="0" style="365" hidden="1" customWidth="1"/>
    <col min="12276" max="12276" width="17.42578125" style="365" customWidth="1"/>
    <col min="12277" max="12277" width="0" style="365" hidden="1" customWidth="1"/>
    <col min="12278" max="12278" width="14" style="365" customWidth="1"/>
    <col min="12279" max="12279" width="14.28515625" style="365" bestFit="1" customWidth="1"/>
    <col min="12280" max="12280" width="0" style="365" hidden="1" customWidth="1"/>
    <col min="12281" max="12281" width="15.5703125" style="365" customWidth="1"/>
    <col min="12282" max="12282" width="44.5703125" style="365" customWidth="1"/>
    <col min="12283" max="12283" width="14.28515625" style="365" bestFit="1" customWidth="1"/>
    <col min="12284" max="12284" width="0" style="365" hidden="1" customWidth="1"/>
    <col min="12285" max="12285" width="18.140625" style="365" customWidth="1"/>
    <col min="12286" max="12286" width="0" style="365" hidden="1" customWidth="1"/>
    <col min="12287" max="12287" width="14" style="365" customWidth="1"/>
    <col min="12288" max="12288" width="0" style="365" hidden="1" customWidth="1"/>
    <col min="12289" max="12289" width="20.85546875" style="365" customWidth="1"/>
    <col min="12290" max="12290" width="0" style="365" hidden="1" customWidth="1"/>
    <col min="12291" max="12291" width="13.28515625" style="365" customWidth="1"/>
    <col min="12292" max="12292" width="0" style="365" hidden="1" customWidth="1"/>
    <col min="12293" max="12293" width="15" style="365" customWidth="1"/>
    <col min="12294" max="12294" width="0" style="365" hidden="1" customWidth="1"/>
    <col min="12295" max="12295" width="13.28515625" style="365" customWidth="1"/>
    <col min="12296" max="12296" width="0" style="365" hidden="1" customWidth="1"/>
    <col min="12297" max="12297" width="20.140625" style="365" customWidth="1"/>
    <col min="12298" max="12298" width="14.42578125" style="365" bestFit="1" customWidth="1"/>
    <col min="12299" max="12299" width="14" style="365" bestFit="1" customWidth="1"/>
    <col min="12300" max="12300" width="12.28515625" style="365" bestFit="1" customWidth="1"/>
    <col min="12301" max="12325" width="9.140625" style="365" customWidth="1"/>
    <col min="12326" max="12520" width="8.85546875" style="365"/>
    <col min="12521" max="12521" width="44.5703125" style="365" customWidth="1"/>
    <col min="12522" max="12522" width="14.28515625" style="365" bestFit="1" customWidth="1"/>
    <col min="12523" max="12523" width="1.7109375" style="365" customWidth="1"/>
    <col min="12524" max="12524" width="14.85546875" style="365" customWidth="1"/>
    <col min="12525" max="12525" width="0" style="365" hidden="1" customWidth="1"/>
    <col min="12526" max="12526" width="17.42578125" style="365" customWidth="1"/>
    <col min="12527" max="12527" width="0" style="365" hidden="1" customWidth="1"/>
    <col min="12528" max="12528" width="12.85546875" style="365" customWidth="1"/>
    <col min="12529" max="12529" width="0" style="365" hidden="1" customWidth="1"/>
    <col min="12530" max="12530" width="14.42578125" style="365" customWidth="1"/>
    <col min="12531" max="12531" width="0" style="365" hidden="1" customWidth="1"/>
    <col min="12532" max="12532" width="17.42578125" style="365" customWidth="1"/>
    <col min="12533" max="12533" width="0" style="365" hidden="1" customWidth="1"/>
    <col min="12534" max="12534" width="14" style="365" customWidth="1"/>
    <col min="12535" max="12535" width="14.28515625" style="365" bestFit="1" customWidth="1"/>
    <col min="12536" max="12536" width="0" style="365" hidden="1" customWidth="1"/>
    <col min="12537" max="12537" width="15.5703125" style="365" customWidth="1"/>
    <col min="12538" max="12538" width="44.5703125" style="365" customWidth="1"/>
    <col min="12539" max="12539" width="14.28515625" style="365" bestFit="1" customWidth="1"/>
    <col min="12540" max="12540" width="0" style="365" hidden="1" customWidth="1"/>
    <col min="12541" max="12541" width="18.140625" style="365" customWidth="1"/>
    <col min="12542" max="12542" width="0" style="365" hidden="1" customWidth="1"/>
    <col min="12543" max="12543" width="14" style="365" customWidth="1"/>
    <col min="12544" max="12544" width="0" style="365" hidden="1" customWidth="1"/>
    <col min="12545" max="12545" width="20.85546875" style="365" customWidth="1"/>
    <col min="12546" max="12546" width="0" style="365" hidden="1" customWidth="1"/>
    <col min="12547" max="12547" width="13.28515625" style="365" customWidth="1"/>
    <col min="12548" max="12548" width="0" style="365" hidden="1" customWidth="1"/>
    <col min="12549" max="12549" width="15" style="365" customWidth="1"/>
    <col min="12550" max="12550" width="0" style="365" hidden="1" customWidth="1"/>
    <col min="12551" max="12551" width="13.28515625" style="365" customWidth="1"/>
    <col min="12552" max="12552" width="0" style="365" hidden="1" customWidth="1"/>
    <col min="12553" max="12553" width="20.140625" style="365" customWidth="1"/>
    <col min="12554" max="12554" width="14.42578125" style="365" bestFit="1" customWidth="1"/>
    <col min="12555" max="12555" width="14" style="365" bestFit="1" customWidth="1"/>
    <col min="12556" max="12556" width="12.28515625" style="365" bestFit="1" customWidth="1"/>
    <col min="12557" max="12581" width="9.140625" style="365" customWidth="1"/>
    <col min="12582" max="12776" width="8.85546875" style="365"/>
    <col min="12777" max="12777" width="44.5703125" style="365" customWidth="1"/>
    <col min="12778" max="12778" width="14.28515625" style="365" bestFit="1" customWidth="1"/>
    <col min="12779" max="12779" width="1.7109375" style="365" customWidth="1"/>
    <col min="12780" max="12780" width="14.85546875" style="365" customWidth="1"/>
    <col min="12781" max="12781" width="0" style="365" hidden="1" customWidth="1"/>
    <col min="12782" max="12782" width="17.42578125" style="365" customWidth="1"/>
    <col min="12783" max="12783" width="0" style="365" hidden="1" customWidth="1"/>
    <col min="12784" max="12784" width="12.85546875" style="365" customWidth="1"/>
    <col min="12785" max="12785" width="0" style="365" hidden="1" customWidth="1"/>
    <col min="12786" max="12786" width="14.42578125" style="365" customWidth="1"/>
    <col min="12787" max="12787" width="0" style="365" hidden="1" customWidth="1"/>
    <col min="12788" max="12788" width="17.42578125" style="365" customWidth="1"/>
    <col min="12789" max="12789" width="0" style="365" hidden="1" customWidth="1"/>
    <col min="12790" max="12790" width="14" style="365" customWidth="1"/>
    <col min="12791" max="12791" width="14.28515625" style="365" bestFit="1" customWidth="1"/>
    <col min="12792" max="12792" width="0" style="365" hidden="1" customWidth="1"/>
    <col min="12793" max="12793" width="15.5703125" style="365" customWidth="1"/>
    <col min="12794" max="12794" width="44.5703125" style="365" customWidth="1"/>
    <col min="12795" max="12795" width="14.28515625" style="365" bestFit="1" customWidth="1"/>
    <col min="12796" max="12796" width="0" style="365" hidden="1" customWidth="1"/>
    <col min="12797" max="12797" width="18.140625" style="365" customWidth="1"/>
    <col min="12798" max="12798" width="0" style="365" hidden="1" customWidth="1"/>
    <col min="12799" max="12799" width="14" style="365" customWidth="1"/>
    <col min="12800" max="12800" width="0" style="365" hidden="1" customWidth="1"/>
    <col min="12801" max="12801" width="20.85546875" style="365" customWidth="1"/>
    <col min="12802" max="12802" width="0" style="365" hidden="1" customWidth="1"/>
    <col min="12803" max="12803" width="13.28515625" style="365" customWidth="1"/>
    <col min="12804" max="12804" width="0" style="365" hidden="1" customWidth="1"/>
    <col min="12805" max="12805" width="15" style="365" customWidth="1"/>
    <col min="12806" max="12806" width="0" style="365" hidden="1" customWidth="1"/>
    <col min="12807" max="12807" width="13.28515625" style="365" customWidth="1"/>
    <col min="12808" max="12808" width="0" style="365" hidden="1" customWidth="1"/>
    <col min="12809" max="12809" width="20.140625" style="365" customWidth="1"/>
    <col min="12810" max="12810" width="14.42578125" style="365" bestFit="1" customWidth="1"/>
    <col min="12811" max="12811" width="14" style="365" bestFit="1" customWidth="1"/>
    <col min="12812" max="12812" width="12.28515625" style="365" bestFit="1" customWidth="1"/>
    <col min="12813" max="12837" width="9.140625" style="365" customWidth="1"/>
    <col min="12838" max="13032" width="8.85546875" style="365"/>
    <col min="13033" max="13033" width="44.5703125" style="365" customWidth="1"/>
    <col min="13034" max="13034" width="14.28515625" style="365" bestFit="1" customWidth="1"/>
    <col min="13035" max="13035" width="1.7109375" style="365" customWidth="1"/>
    <col min="13036" max="13036" width="14.85546875" style="365" customWidth="1"/>
    <col min="13037" max="13037" width="0" style="365" hidden="1" customWidth="1"/>
    <col min="13038" max="13038" width="17.42578125" style="365" customWidth="1"/>
    <col min="13039" max="13039" width="0" style="365" hidden="1" customWidth="1"/>
    <col min="13040" max="13040" width="12.85546875" style="365" customWidth="1"/>
    <col min="13041" max="13041" width="0" style="365" hidden="1" customWidth="1"/>
    <col min="13042" max="13042" width="14.42578125" style="365" customWidth="1"/>
    <col min="13043" max="13043" width="0" style="365" hidden="1" customWidth="1"/>
    <col min="13044" max="13044" width="17.42578125" style="365" customWidth="1"/>
    <col min="13045" max="13045" width="0" style="365" hidden="1" customWidth="1"/>
    <col min="13046" max="13046" width="14" style="365" customWidth="1"/>
    <col min="13047" max="13047" width="14.28515625" style="365" bestFit="1" customWidth="1"/>
    <col min="13048" max="13048" width="0" style="365" hidden="1" customWidth="1"/>
    <col min="13049" max="13049" width="15.5703125" style="365" customWidth="1"/>
    <col min="13050" max="13050" width="44.5703125" style="365" customWidth="1"/>
    <col min="13051" max="13051" width="14.28515625" style="365" bestFit="1" customWidth="1"/>
    <col min="13052" max="13052" width="0" style="365" hidden="1" customWidth="1"/>
    <col min="13053" max="13053" width="18.140625" style="365" customWidth="1"/>
    <col min="13054" max="13054" width="0" style="365" hidden="1" customWidth="1"/>
    <col min="13055" max="13055" width="14" style="365" customWidth="1"/>
    <col min="13056" max="13056" width="0" style="365" hidden="1" customWidth="1"/>
    <col min="13057" max="13057" width="20.85546875" style="365" customWidth="1"/>
    <col min="13058" max="13058" width="0" style="365" hidden="1" customWidth="1"/>
    <col min="13059" max="13059" width="13.28515625" style="365" customWidth="1"/>
    <col min="13060" max="13060" width="0" style="365" hidden="1" customWidth="1"/>
    <col min="13061" max="13061" width="15" style="365" customWidth="1"/>
    <col min="13062" max="13062" width="0" style="365" hidden="1" customWidth="1"/>
    <col min="13063" max="13063" width="13.28515625" style="365" customWidth="1"/>
    <col min="13064" max="13064" width="0" style="365" hidden="1" customWidth="1"/>
    <col min="13065" max="13065" width="20.140625" style="365" customWidth="1"/>
    <col min="13066" max="13066" width="14.42578125" style="365" bestFit="1" customWidth="1"/>
    <col min="13067" max="13067" width="14" style="365" bestFit="1" customWidth="1"/>
    <col min="13068" max="13068" width="12.28515625" style="365" bestFit="1" customWidth="1"/>
    <col min="13069" max="13093" width="9.140625" style="365" customWidth="1"/>
    <col min="13094" max="13288" width="8.85546875" style="365"/>
    <col min="13289" max="13289" width="44.5703125" style="365" customWidth="1"/>
    <col min="13290" max="13290" width="14.28515625" style="365" bestFit="1" customWidth="1"/>
    <col min="13291" max="13291" width="1.7109375" style="365" customWidth="1"/>
    <col min="13292" max="13292" width="14.85546875" style="365" customWidth="1"/>
    <col min="13293" max="13293" width="0" style="365" hidden="1" customWidth="1"/>
    <col min="13294" max="13294" width="17.42578125" style="365" customWidth="1"/>
    <col min="13295" max="13295" width="0" style="365" hidden="1" customWidth="1"/>
    <col min="13296" max="13296" width="12.85546875" style="365" customWidth="1"/>
    <col min="13297" max="13297" width="0" style="365" hidden="1" customWidth="1"/>
    <col min="13298" max="13298" width="14.42578125" style="365" customWidth="1"/>
    <col min="13299" max="13299" width="0" style="365" hidden="1" customWidth="1"/>
    <col min="13300" max="13300" width="17.42578125" style="365" customWidth="1"/>
    <col min="13301" max="13301" width="0" style="365" hidden="1" customWidth="1"/>
    <col min="13302" max="13302" width="14" style="365" customWidth="1"/>
    <col min="13303" max="13303" width="14.28515625" style="365" bestFit="1" customWidth="1"/>
    <col min="13304" max="13304" width="0" style="365" hidden="1" customWidth="1"/>
    <col min="13305" max="13305" width="15.5703125" style="365" customWidth="1"/>
    <col min="13306" max="13306" width="44.5703125" style="365" customWidth="1"/>
    <col min="13307" max="13307" width="14.28515625" style="365" bestFit="1" customWidth="1"/>
    <col min="13308" max="13308" width="0" style="365" hidden="1" customWidth="1"/>
    <col min="13309" max="13309" width="18.140625" style="365" customWidth="1"/>
    <col min="13310" max="13310" width="0" style="365" hidden="1" customWidth="1"/>
    <col min="13311" max="13311" width="14" style="365" customWidth="1"/>
    <col min="13312" max="13312" width="0" style="365" hidden="1" customWidth="1"/>
    <col min="13313" max="13313" width="20.85546875" style="365" customWidth="1"/>
    <col min="13314" max="13314" width="0" style="365" hidden="1" customWidth="1"/>
    <col min="13315" max="13315" width="13.28515625" style="365" customWidth="1"/>
    <col min="13316" max="13316" width="0" style="365" hidden="1" customWidth="1"/>
    <col min="13317" max="13317" width="15" style="365" customWidth="1"/>
    <col min="13318" max="13318" width="0" style="365" hidden="1" customWidth="1"/>
    <col min="13319" max="13319" width="13.28515625" style="365" customWidth="1"/>
    <col min="13320" max="13320" width="0" style="365" hidden="1" customWidth="1"/>
    <col min="13321" max="13321" width="20.140625" style="365" customWidth="1"/>
    <col min="13322" max="13322" width="14.42578125" style="365" bestFit="1" customWidth="1"/>
    <col min="13323" max="13323" width="14" style="365" bestFit="1" customWidth="1"/>
    <col min="13324" max="13324" width="12.28515625" style="365" bestFit="1" customWidth="1"/>
    <col min="13325" max="13349" width="9.140625" style="365" customWidth="1"/>
    <col min="13350" max="13544" width="8.85546875" style="365"/>
    <col min="13545" max="13545" width="44.5703125" style="365" customWidth="1"/>
    <col min="13546" max="13546" width="14.28515625" style="365" bestFit="1" customWidth="1"/>
    <col min="13547" max="13547" width="1.7109375" style="365" customWidth="1"/>
    <col min="13548" max="13548" width="14.85546875" style="365" customWidth="1"/>
    <col min="13549" max="13549" width="0" style="365" hidden="1" customWidth="1"/>
    <col min="13550" max="13550" width="17.42578125" style="365" customWidth="1"/>
    <col min="13551" max="13551" width="0" style="365" hidden="1" customWidth="1"/>
    <col min="13552" max="13552" width="12.85546875" style="365" customWidth="1"/>
    <col min="13553" max="13553" width="0" style="365" hidden="1" customWidth="1"/>
    <col min="13554" max="13554" width="14.42578125" style="365" customWidth="1"/>
    <col min="13555" max="13555" width="0" style="365" hidden="1" customWidth="1"/>
    <col min="13556" max="13556" width="17.42578125" style="365" customWidth="1"/>
    <col min="13557" max="13557" width="0" style="365" hidden="1" customWidth="1"/>
    <col min="13558" max="13558" width="14" style="365" customWidth="1"/>
    <col min="13559" max="13559" width="14.28515625" style="365" bestFit="1" customWidth="1"/>
    <col min="13560" max="13560" width="0" style="365" hidden="1" customWidth="1"/>
    <col min="13561" max="13561" width="15.5703125" style="365" customWidth="1"/>
    <col min="13562" max="13562" width="44.5703125" style="365" customWidth="1"/>
    <col min="13563" max="13563" width="14.28515625" style="365" bestFit="1" customWidth="1"/>
    <col min="13564" max="13564" width="0" style="365" hidden="1" customWidth="1"/>
    <col min="13565" max="13565" width="18.140625" style="365" customWidth="1"/>
    <col min="13566" max="13566" width="0" style="365" hidden="1" customWidth="1"/>
    <col min="13567" max="13567" width="14" style="365" customWidth="1"/>
    <col min="13568" max="13568" width="0" style="365" hidden="1" customWidth="1"/>
    <col min="13569" max="13569" width="20.85546875" style="365" customWidth="1"/>
    <col min="13570" max="13570" width="0" style="365" hidden="1" customWidth="1"/>
    <col min="13571" max="13571" width="13.28515625" style="365" customWidth="1"/>
    <col min="13572" max="13572" width="0" style="365" hidden="1" customWidth="1"/>
    <col min="13573" max="13573" width="15" style="365" customWidth="1"/>
    <col min="13574" max="13574" width="0" style="365" hidden="1" customWidth="1"/>
    <col min="13575" max="13575" width="13.28515625" style="365" customWidth="1"/>
    <col min="13576" max="13576" width="0" style="365" hidden="1" customWidth="1"/>
    <col min="13577" max="13577" width="20.140625" style="365" customWidth="1"/>
    <col min="13578" max="13578" width="14.42578125" style="365" bestFit="1" customWidth="1"/>
    <col min="13579" max="13579" width="14" style="365" bestFit="1" customWidth="1"/>
    <col min="13580" max="13580" width="12.28515625" style="365" bestFit="1" customWidth="1"/>
    <col min="13581" max="13605" width="9.140625" style="365" customWidth="1"/>
    <col min="13606" max="13800" width="8.85546875" style="365"/>
    <col min="13801" max="13801" width="44.5703125" style="365" customWidth="1"/>
    <col min="13802" max="13802" width="14.28515625" style="365" bestFit="1" customWidth="1"/>
    <col min="13803" max="13803" width="1.7109375" style="365" customWidth="1"/>
    <col min="13804" max="13804" width="14.85546875" style="365" customWidth="1"/>
    <col min="13805" max="13805" width="0" style="365" hidden="1" customWidth="1"/>
    <col min="13806" max="13806" width="17.42578125" style="365" customWidth="1"/>
    <col min="13807" max="13807" width="0" style="365" hidden="1" customWidth="1"/>
    <col min="13808" max="13808" width="12.85546875" style="365" customWidth="1"/>
    <col min="13809" max="13809" width="0" style="365" hidden="1" customWidth="1"/>
    <col min="13810" max="13810" width="14.42578125" style="365" customWidth="1"/>
    <col min="13811" max="13811" width="0" style="365" hidden="1" customWidth="1"/>
    <col min="13812" max="13812" width="17.42578125" style="365" customWidth="1"/>
    <col min="13813" max="13813" width="0" style="365" hidden="1" customWidth="1"/>
    <col min="13814" max="13814" width="14" style="365" customWidth="1"/>
    <col min="13815" max="13815" width="14.28515625" style="365" bestFit="1" customWidth="1"/>
    <col min="13816" max="13816" width="0" style="365" hidden="1" customWidth="1"/>
    <col min="13817" max="13817" width="15.5703125" style="365" customWidth="1"/>
    <col min="13818" max="13818" width="44.5703125" style="365" customWidth="1"/>
    <col min="13819" max="13819" width="14.28515625" style="365" bestFit="1" customWidth="1"/>
    <col min="13820" max="13820" width="0" style="365" hidden="1" customWidth="1"/>
    <col min="13821" max="13821" width="18.140625" style="365" customWidth="1"/>
    <col min="13822" max="13822" width="0" style="365" hidden="1" customWidth="1"/>
    <col min="13823" max="13823" width="14" style="365" customWidth="1"/>
    <col min="13824" max="13824" width="0" style="365" hidden="1" customWidth="1"/>
    <col min="13825" max="13825" width="20.85546875" style="365" customWidth="1"/>
    <col min="13826" max="13826" width="0" style="365" hidden="1" customWidth="1"/>
    <col min="13827" max="13827" width="13.28515625" style="365" customWidth="1"/>
    <col min="13828" max="13828" width="0" style="365" hidden="1" customWidth="1"/>
    <col min="13829" max="13829" width="15" style="365" customWidth="1"/>
    <col min="13830" max="13830" width="0" style="365" hidden="1" customWidth="1"/>
    <col min="13831" max="13831" width="13.28515625" style="365" customWidth="1"/>
    <col min="13832" max="13832" width="0" style="365" hidden="1" customWidth="1"/>
    <col min="13833" max="13833" width="20.140625" style="365" customWidth="1"/>
    <col min="13834" max="13834" width="14.42578125" style="365" bestFit="1" customWidth="1"/>
    <col min="13835" max="13835" width="14" style="365" bestFit="1" customWidth="1"/>
    <col min="13836" max="13836" width="12.28515625" style="365" bestFit="1" customWidth="1"/>
    <col min="13837" max="13861" width="9.140625" style="365" customWidth="1"/>
    <col min="13862" max="14056" width="8.85546875" style="365"/>
    <col min="14057" max="14057" width="44.5703125" style="365" customWidth="1"/>
    <col min="14058" max="14058" width="14.28515625" style="365" bestFit="1" customWidth="1"/>
    <col min="14059" max="14059" width="1.7109375" style="365" customWidth="1"/>
    <col min="14060" max="14060" width="14.85546875" style="365" customWidth="1"/>
    <col min="14061" max="14061" width="0" style="365" hidden="1" customWidth="1"/>
    <col min="14062" max="14062" width="17.42578125" style="365" customWidth="1"/>
    <col min="14063" max="14063" width="0" style="365" hidden="1" customWidth="1"/>
    <col min="14064" max="14064" width="12.85546875" style="365" customWidth="1"/>
    <col min="14065" max="14065" width="0" style="365" hidden="1" customWidth="1"/>
    <col min="14066" max="14066" width="14.42578125" style="365" customWidth="1"/>
    <col min="14067" max="14067" width="0" style="365" hidden="1" customWidth="1"/>
    <col min="14068" max="14068" width="17.42578125" style="365" customWidth="1"/>
    <col min="14069" max="14069" width="0" style="365" hidden="1" customWidth="1"/>
    <col min="14070" max="14070" width="14" style="365" customWidth="1"/>
    <col min="14071" max="14071" width="14.28515625" style="365" bestFit="1" customWidth="1"/>
    <col min="14072" max="14072" width="0" style="365" hidden="1" customWidth="1"/>
    <col min="14073" max="14073" width="15.5703125" style="365" customWidth="1"/>
    <col min="14074" max="14074" width="44.5703125" style="365" customWidth="1"/>
    <col min="14075" max="14075" width="14.28515625" style="365" bestFit="1" customWidth="1"/>
    <col min="14076" max="14076" width="0" style="365" hidden="1" customWidth="1"/>
    <col min="14077" max="14077" width="18.140625" style="365" customWidth="1"/>
    <col min="14078" max="14078" width="0" style="365" hidden="1" customWidth="1"/>
    <col min="14079" max="14079" width="14" style="365" customWidth="1"/>
    <col min="14080" max="14080" width="0" style="365" hidden="1" customWidth="1"/>
    <col min="14081" max="14081" width="20.85546875" style="365" customWidth="1"/>
    <col min="14082" max="14082" width="0" style="365" hidden="1" customWidth="1"/>
    <col min="14083" max="14083" width="13.28515625" style="365" customWidth="1"/>
    <col min="14084" max="14084" width="0" style="365" hidden="1" customWidth="1"/>
    <col min="14085" max="14085" width="15" style="365" customWidth="1"/>
    <col min="14086" max="14086" width="0" style="365" hidden="1" customWidth="1"/>
    <col min="14087" max="14087" width="13.28515625" style="365" customWidth="1"/>
    <col min="14088" max="14088" width="0" style="365" hidden="1" customWidth="1"/>
    <col min="14089" max="14089" width="20.140625" style="365" customWidth="1"/>
    <col min="14090" max="14090" width="14.42578125" style="365" bestFit="1" customWidth="1"/>
    <col min="14091" max="14091" width="14" style="365" bestFit="1" customWidth="1"/>
    <col min="14092" max="14092" width="12.28515625" style="365" bestFit="1" customWidth="1"/>
    <col min="14093" max="14117" width="9.140625" style="365" customWidth="1"/>
    <col min="14118" max="14312" width="8.85546875" style="365"/>
    <col min="14313" max="14313" width="44.5703125" style="365" customWidth="1"/>
    <col min="14314" max="14314" width="14.28515625" style="365" bestFit="1" customWidth="1"/>
    <col min="14315" max="14315" width="1.7109375" style="365" customWidth="1"/>
    <col min="14316" max="14316" width="14.85546875" style="365" customWidth="1"/>
    <col min="14317" max="14317" width="0" style="365" hidden="1" customWidth="1"/>
    <col min="14318" max="14318" width="17.42578125" style="365" customWidth="1"/>
    <col min="14319" max="14319" width="0" style="365" hidden="1" customWidth="1"/>
    <col min="14320" max="14320" width="12.85546875" style="365" customWidth="1"/>
    <col min="14321" max="14321" width="0" style="365" hidden="1" customWidth="1"/>
    <col min="14322" max="14322" width="14.42578125" style="365" customWidth="1"/>
    <col min="14323" max="14323" width="0" style="365" hidden="1" customWidth="1"/>
    <col min="14324" max="14324" width="17.42578125" style="365" customWidth="1"/>
    <col min="14325" max="14325" width="0" style="365" hidden="1" customWidth="1"/>
    <col min="14326" max="14326" width="14" style="365" customWidth="1"/>
    <col min="14327" max="14327" width="14.28515625" style="365" bestFit="1" customWidth="1"/>
    <col min="14328" max="14328" width="0" style="365" hidden="1" customWidth="1"/>
    <col min="14329" max="14329" width="15.5703125" style="365" customWidth="1"/>
    <col min="14330" max="14330" width="44.5703125" style="365" customWidth="1"/>
    <col min="14331" max="14331" width="14.28515625" style="365" bestFit="1" customWidth="1"/>
    <col min="14332" max="14332" width="0" style="365" hidden="1" customWidth="1"/>
    <col min="14333" max="14333" width="18.140625" style="365" customWidth="1"/>
    <col min="14334" max="14334" width="0" style="365" hidden="1" customWidth="1"/>
    <col min="14335" max="14335" width="14" style="365" customWidth="1"/>
    <col min="14336" max="14336" width="0" style="365" hidden="1" customWidth="1"/>
    <col min="14337" max="14337" width="20.85546875" style="365" customWidth="1"/>
    <col min="14338" max="14338" width="0" style="365" hidden="1" customWidth="1"/>
    <col min="14339" max="14339" width="13.28515625" style="365" customWidth="1"/>
    <col min="14340" max="14340" width="0" style="365" hidden="1" customWidth="1"/>
    <col min="14341" max="14341" width="15" style="365" customWidth="1"/>
    <col min="14342" max="14342" width="0" style="365" hidden="1" customWidth="1"/>
    <col min="14343" max="14343" width="13.28515625" style="365" customWidth="1"/>
    <col min="14344" max="14344" width="0" style="365" hidden="1" customWidth="1"/>
    <col min="14345" max="14345" width="20.140625" style="365" customWidth="1"/>
    <col min="14346" max="14346" width="14.42578125" style="365" bestFit="1" customWidth="1"/>
    <col min="14347" max="14347" width="14" style="365" bestFit="1" customWidth="1"/>
    <col min="14348" max="14348" width="12.28515625" style="365" bestFit="1" customWidth="1"/>
    <col min="14349" max="14373" width="9.140625" style="365" customWidth="1"/>
    <col min="14374" max="14568" width="8.85546875" style="365"/>
    <col min="14569" max="14569" width="44.5703125" style="365" customWidth="1"/>
    <col min="14570" max="14570" width="14.28515625" style="365" bestFit="1" customWidth="1"/>
    <col min="14571" max="14571" width="1.7109375" style="365" customWidth="1"/>
    <col min="14572" max="14572" width="14.85546875" style="365" customWidth="1"/>
    <col min="14573" max="14573" width="0" style="365" hidden="1" customWidth="1"/>
    <col min="14574" max="14574" width="17.42578125" style="365" customWidth="1"/>
    <col min="14575" max="14575" width="0" style="365" hidden="1" customWidth="1"/>
    <col min="14576" max="14576" width="12.85546875" style="365" customWidth="1"/>
    <col min="14577" max="14577" width="0" style="365" hidden="1" customWidth="1"/>
    <col min="14578" max="14578" width="14.42578125" style="365" customWidth="1"/>
    <col min="14579" max="14579" width="0" style="365" hidden="1" customWidth="1"/>
    <col min="14580" max="14580" width="17.42578125" style="365" customWidth="1"/>
    <col min="14581" max="14581" width="0" style="365" hidden="1" customWidth="1"/>
    <col min="14582" max="14582" width="14" style="365" customWidth="1"/>
    <col min="14583" max="14583" width="14.28515625" style="365" bestFit="1" customWidth="1"/>
    <col min="14584" max="14584" width="0" style="365" hidden="1" customWidth="1"/>
    <col min="14585" max="14585" width="15.5703125" style="365" customWidth="1"/>
    <col min="14586" max="14586" width="44.5703125" style="365" customWidth="1"/>
    <col min="14587" max="14587" width="14.28515625" style="365" bestFit="1" customWidth="1"/>
    <col min="14588" max="14588" width="0" style="365" hidden="1" customWidth="1"/>
    <col min="14589" max="14589" width="18.140625" style="365" customWidth="1"/>
    <col min="14590" max="14590" width="0" style="365" hidden="1" customWidth="1"/>
    <col min="14591" max="14591" width="14" style="365" customWidth="1"/>
    <col min="14592" max="14592" width="0" style="365" hidden="1" customWidth="1"/>
    <col min="14593" max="14593" width="20.85546875" style="365" customWidth="1"/>
    <col min="14594" max="14594" width="0" style="365" hidden="1" customWidth="1"/>
    <col min="14595" max="14595" width="13.28515625" style="365" customWidth="1"/>
    <col min="14596" max="14596" width="0" style="365" hidden="1" customWidth="1"/>
    <col min="14597" max="14597" width="15" style="365" customWidth="1"/>
    <col min="14598" max="14598" width="0" style="365" hidden="1" customWidth="1"/>
    <col min="14599" max="14599" width="13.28515625" style="365" customWidth="1"/>
    <col min="14600" max="14600" width="0" style="365" hidden="1" customWidth="1"/>
    <col min="14601" max="14601" width="20.140625" style="365" customWidth="1"/>
    <col min="14602" max="14602" width="14.42578125" style="365" bestFit="1" customWidth="1"/>
    <col min="14603" max="14603" width="14" style="365" bestFit="1" customWidth="1"/>
    <col min="14604" max="14604" width="12.28515625" style="365" bestFit="1" customWidth="1"/>
    <col min="14605" max="14629" width="9.140625" style="365" customWidth="1"/>
    <col min="14630" max="14824" width="8.85546875" style="365"/>
    <col min="14825" max="14825" width="44.5703125" style="365" customWidth="1"/>
    <col min="14826" max="14826" width="14.28515625" style="365" bestFit="1" customWidth="1"/>
    <col min="14827" max="14827" width="1.7109375" style="365" customWidth="1"/>
    <col min="14828" max="14828" width="14.85546875" style="365" customWidth="1"/>
    <col min="14829" max="14829" width="0" style="365" hidden="1" customWidth="1"/>
    <col min="14830" max="14830" width="17.42578125" style="365" customWidth="1"/>
    <col min="14831" max="14831" width="0" style="365" hidden="1" customWidth="1"/>
    <col min="14832" max="14832" width="12.85546875" style="365" customWidth="1"/>
    <col min="14833" max="14833" width="0" style="365" hidden="1" customWidth="1"/>
    <col min="14834" max="14834" width="14.42578125" style="365" customWidth="1"/>
    <col min="14835" max="14835" width="0" style="365" hidden="1" customWidth="1"/>
    <col min="14836" max="14836" width="17.42578125" style="365" customWidth="1"/>
    <col min="14837" max="14837" width="0" style="365" hidden="1" customWidth="1"/>
    <col min="14838" max="14838" width="14" style="365" customWidth="1"/>
    <col min="14839" max="14839" width="14.28515625" style="365" bestFit="1" customWidth="1"/>
    <col min="14840" max="14840" width="0" style="365" hidden="1" customWidth="1"/>
    <col min="14841" max="14841" width="15.5703125" style="365" customWidth="1"/>
    <col min="14842" max="14842" width="44.5703125" style="365" customWidth="1"/>
    <col min="14843" max="14843" width="14.28515625" style="365" bestFit="1" customWidth="1"/>
    <col min="14844" max="14844" width="0" style="365" hidden="1" customWidth="1"/>
    <col min="14845" max="14845" width="18.140625" style="365" customWidth="1"/>
    <col min="14846" max="14846" width="0" style="365" hidden="1" customWidth="1"/>
    <col min="14847" max="14847" width="14" style="365" customWidth="1"/>
    <col min="14848" max="14848" width="0" style="365" hidden="1" customWidth="1"/>
    <col min="14849" max="14849" width="20.85546875" style="365" customWidth="1"/>
    <col min="14850" max="14850" width="0" style="365" hidden="1" customWidth="1"/>
    <col min="14851" max="14851" width="13.28515625" style="365" customWidth="1"/>
    <col min="14852" max="14852" width="0" style="365" hidden="1" customWidth="1"/>
    <col min="14853" max="14853" width="15" style="365" customWidth="1"/>
    <col min="14854" max="14854" width="0" style="365" hidden="1" customWidth="1"/>
    <col min="14855" max="14855" width="13.28515625" style="365" customWidth="1"/>
    <col min="14856" max="14856" width="0" style="365" hidden="1" customWidth="1"/>
    <col min="14857" max="14857" width="20.140625" style="365" customWidth="1"/>
    <col min="14858" max="14858" width="14.42578125" style="365" bestFit="1" customWidth="1"/>
    <col min="14859" max="14859" width="14" style="365" bestFit="1" customWidth="1"/>
    <col min="14860" max="14860" width="12.28515625" style="365" bestFit="1" customWidth="1"/>
    <col min="14861" max="14885" width="9.140625" style="365" customWidth="1"/>
    <col min="14886" max="15080" width="8.85546875" style="365"/>
    <col min="15081" max="15081" width="44.5703125" style="365" customWidth="1"/>
    <col min="15082" max="15082" width="14.28515625" style="365" bestFit="1" customWidth="1"/>
    <col min="15083" max="15083" width="1.7109375" style="365" customWidth="1"/>
    <col min="15084" max="15084" width="14.85546875" style="365" customWidth="1"/>
    <col min="15085" max="15085" width="0" style="365" hidden="1" customWidth="1"/>
    <col min="15086" max="15086" width="17.42578125" style="365" customWidth="1"/>
    <col min="15087" max="15087" width="0" style="365" hidden="1" customWidth="1"/>
    <col min="15088" max="15088" width="12.85546875" style="365" customWidth="1"/>
    <col min="15089" max="15089" width="0" style="365" hidden="1" customWidth="1"/>
    <col min="15090" max="15090" width="14.42578125" style="365" customWidth="1"/>
    <col min="15091" max="15091" width="0" style="365" hidden="1" customWidth="1"/>
    <col min="15092" max="15092" width="17.42578125" style="365" customWidth="1"/>
    <col min="15093" max="15093" width="0" style="365" hidden="1" customWidth="1"/>
    <col min="15094" max="15094" width="14" style="365" customWidth="1"/>
    <col min="15095" max="15095" width="14.28515625" style="365" bestFit="1" customWidth="1"/>
    <col min="15096" max="15096" width="0" style="365" hidden="1" customWidth="1"/>
    <col min="15097" max="15097" width="15.5703125" style="365" customWidth="1"/>
    <col min="15098" max="15098" width="44.5703125" style="365" customWidth="1"/>
    <col min="15099" max="15099" width="14.28515625" style="365" bestFit="1" customWidth="1"/>
    <col min="15100" max="15100" width="0" style="365" hidden="1" customWidth="1"/>
    <col min="15101" max="15101" width="18.140625" style="365" customWidth="1"/>
    <col min="15102" max="15102" width="0" style="365" hidden="1" customWidth="1"/>
    <col min="15103" max="15103" width="14" style="365" customWidth="1"/>
    <col min="15104" max="15104" width="0" style="365" hidden="1" customWidth="1"/>
    <col min="15105" max="15105" width="20.85546875" style="365" customWidth="1"/>
    <col min="15106" max="15106" width="0" style="365" hidden="1" customWidth="1"/>
    <col min="15107" max="15107" width="13.28515625" style="365" customWidth="1"/>
    <col min="15108" max="15108" width="0" style="365" hidden="1" customWidth="1"/>
    <col min="15109" max="15109" width="15" style="365" customWidth="1"/>
    <col min="15110" max="15110" width="0" style="365" hidden="1" customWidth="1"/>
    <col min="15111" max="15111" width="13.28515625" style="365" customWidth="1"/>
    <col min="15112" max="15112" width="0" style="365" hidden="1" customWidth="1"/>
    <col min="15113" max="15113" width="20.140625" style="365" customWidth="1"/>
    <col min="15114" max="15114" width="14.42578125" style="365" bestFit="1" customWidth="1"/>
    <col min="15115" max="15115" width="14" style="365" bestFit="1" customWidth="1"/>
    <col min="15116" max="15116" width="12.28515625" style="365" bestFit="1" customWidth="1"/>
    <col min="15117" max="15141" width="9.140625" style="365" customWidth="1"/>
    <col min="15142" max="15336" width="8.85546875" style="365"/>
    <col min="15337" max="15337" width="44.5703125" style="365" customWidth="1"/>
    <col min="15338" max="15338" width="14.28515625" style="365" bestFit="1" customWidth="1"/>
    <col min="15339" max="15339" width="1.7109375" style="365" customWidth="1"/>
    <col min="15340" max="15340" width="14.85546875" style="365" customWidth="1"/>
    <col min="15341" max="15341" width="0" style="365" hidden="1" customWidth="1"/>
    <col min="15342" max="15342" width="17.42578125" style="365" customWidth="1"/>
    <col min="15343" max="15343" width="0" style="365" hidden="1" customWidth="1"/>
    <col min="15344" max="15344" width="12.85546875" style="365" customWidth="1"/>
    <col min="15345" max="15345" width="0" style="365" hidden="1" customWidth="1"/>
    <col min="15346" max="15346" width="14.42578125" style="365" customWidth="1"/>
    <col min="15347" max="15347" width="0" style="365" hidden="1" customWidth="1"/>
    <col min="15348" max="15348" width="17.42578125" style="365" customWidth="1"/>
    <col min="15349" max="15349" width="0" style="365" hidden="1" customWidth="1"/>
    <col min="15350" max="15350" width="14" style="365" customWidth="1"/>
    <col min="15351" max="15351" width="14.28515625" style="365" bestFit="1" customWidth="1"/>
    <col min="15352" max="15352" width="0" style="365" hidden="1" customWidth="1"/>
    <col min="15353" max="15353" width="15.5703125" style="365" customWidth="1"/>
    <col min="15354" max="15354" width="44.5703125" style="365" customWidth="1"/>
    <col min="15355" max="15355" width="14.28515625" style="365" bestFit="1" customWidth="1"/>
    <col min="15356" max="15356" width="0" style="365" hidden="1" customWidth="1"/>
    <col min="15357" max="15357" width="18.140625" style="365" customWidth="1"/>
    <col min="15358" max="15358" width="0" style="365" hidden="1" customWidth="1"/>
    <col min="15359" max="15359" width="14" style="365" customWidth="1"/>
    <col min="15360" max="15360" width="0" style="365" hidden="1" customWidth="1"/>
    <col min="15361" max="15361" width="20.85546875" style="365" customWidth="1"/>
    <col min="15362" max="15362" width="0" style="365" hidden="1" customWidth="1"/>
    <col min="15363" max="15363" width="13.28515625" style="365" customWidth="1"/>
    <col min="15364" max="15364" width="0" style="365" hidden="1" customWidth="1"/>
    <col min="15365" max="15365" width="15" style="365" customWidth="1"/>
    <col min="15366" max="15366" width="0" style="365" hidden="1" customWidth="1"/>
    <col min="15367" max="15367" width="13.28515625" style="365" customWidth="1"/>
    <col min="15368" max="15368" width="0" style="365" hidden="1" customWidth="1"/>
    <col min="15369" max="15369" width="20.140625" style="365" customWidth="1"/>
    <col min="15370" max="15370" width="14.42578125" style="365" bestFit="1" customWidth="1"/>
    <col min="15371" max="15371" width="14" style="365" bestFit="1" customWidth="1"/>
    <col min="15372" max="15372" width="12.28515625" style="365" bestFit="1" customWidth="1"/>
    <col min="15373" max="15397" width="9.140625" style="365" customWidth="1"/>
    <col min="15398" max="15592" width="8.85546875" style="365"/>
    <col min="15593" max="15593" width="44.5703125" style="365" customWidth="1"/>
    <col min="15594" max="15594" width="14.28515625" style="365" bestFit="1" customWidth="1"/>
    <col min="15595" max="15595" width="1.7109375" style="365" customWidth="1"/>
    <col min="15596" max="15596" width="14.85546875" style="365" customWidth="1"/>
    <col min="15597" max="15597" width="0" style="365" hidden="1" customWidth="1"/>
    <col min="15598" max="15598" width="17.42578125" style="365" customWidth="1"/>
    <col min="15599" max="15599" width="0" style="365" hidden="1" customWidth="1"/>
    <col min="15600" max="15600" width="12.85546875" style="365" customWidth="1"/>
    <col min="15601" max="15601" width="0" style="365" hidden="1" customWidth="1"/>
    <col min="15602" max="15602" width="14.42578125" style="365" customWidth="1"/>
    <col min="15603" max="15603" width="0" style="365" hidden="1" customWidth="1"/>
    <col min="15604" max="15604" width="17.42578125" style="365" customWidth="1"/>
    <col min="15605" max="15605" width="0" style="365" hidden="1" customWidth="1"/>
    <col min="15606" max="15606" width="14" style="365" customWidth="1"/>
    <col min="15607" max="15607" width="14.28515625" style="365" bestFit="1" customWidth="1"/>
    <col min="15608" max="15608" width="0" style="365" hidden="1" customWidth="1"/>
    <col min="15609" max="15609" width="15.5703125" style="365" customWidth="1"/>
    <col min="15610" max="15610" width="44.5703125" style="365" customWidth="1"/>
    <col min="15611" max="15611" width="14.28515625" style="365" bestFit="1" customWidth="1"/>
    <col min="15612" max="15612" width="0" style="365" hidden="1" customWidth="1"/>
    <col min="15613" max="15613" width="18.140625" style="365" customWidth="1"/>
    <col min="15614" max="15614" width="0" style="365" hidden="1" customWidth="1"/>
    <col min="15615" max="15615" width="14" style="365" customWidth="1"/>
    <col min="15616" max="15616" width="0" style="365" hidden="1" customWidth="1"/>
    <col min="15617" max="15617" width="20.85546875" style="365" customWidth="1"/>
    <col min="15618" max="15618" width="0" style="365" hidden="1" customWidth="1"/>
    <col min="15619" max="15619" width="13.28515625" style="365" customWidth="1"/>
    <col min="15620" max="15620" width="0" style="365" hidden="1" customWidth="1"/>
    <col min="15621" max="15621" width="15" style="365" customWidth="1"/>
    <col min="15622" max="15622" width="0" style="365" hidden="1" customWidth="1"/>
    <col min="15623" max="15623" width="13.28515625" style="365" customWidth="1"/>
    <col min="15624" max="15624" width="0" style="365" hidden="1" customWidth="1"/>
    <col min="15625" max="15625" width="20.140625" style="365" customWidth="1"/>
    <col min="15626" max="15626" width="14.42578125" style="365" bestFit="1" customWidth="1"/>
    <col min="15627" max="15627" width="14" style="365" bestFit="1" customWidth="1"/>
    <col min="15628" max="15628" width="12.28515625" style="365" bestFit="1" customWidth="1"/>
    <col min="15629" max="15653" width="9.140625" style="365" customWidth="1"/>
    <col min="15654" max="15848" width="8.85546875" style="365"/>
    <col min="15849" max="15849" width="44.5703125" style="365" customWidth="1"/>
    <col min="15850" max="15850" width="14.28515625" style="365" bestFit="1" customWidth="1"/>
    <col min="15851" max="15851" width="1.7109375" style="365" customWidth="1"/>
    <col min="15852" max="15852" width="14.85546875" style="365" customWidth="1"/>
    <col min="15853" max="15853" width="0" style="365" hidden="1" customWidth="1"/>
    <col min="15854" max="15854" width="17.42578125" style="365" customWidth="1"/>
    <col min="15855" max="15855" width="0" style="365" hidden="1" customWidth="1"/>
    <col min="15856" max="15856" width="12.85546875" style="365" customWidth="1"/>
    <col min="15857" max="15857" width="0" style="365" hidden="1" customWidth="1"/>
    <col min="15858" max="15858" width="14.42578125" style="365" customWidth="1"/>
    <col min="15859" max="15859" width="0" style="365" hidden="1" customWidth="1"/>
    <col min="15860" max="15860" width="17.42578125" style="365" customWidth="1"/>
    <col min="15861" max="15861" width="0" style="365" hidden="1" customWidth="1"/>
    <col min="15862" max="15862" width="14" style="365" customWidth="1"/>
    <col min="15863" max="15863" width="14.28515625" style="365" bestFit="1" customWidth="1"/>
    <col min="15864" max="15864" width="0" style="365" hidden="1" customWidth="1"/>
    <col min="15865" max="15865" width="15.5703125" style="365" customWidth="1"/>
    <col min="15866" max="15866" width="44.5703125" style="365" customWidth="1"/>
    <col min="15867" max="15867" width="14.28515625" style="365" bestFit="1" customWidth="1"/>
    <col min="15868" max="15868" width="0" style="365" hidden="1" customWidth="1"/>
    <col min="15869" max="15869" width="18.140625" style="365" customWidth="1"/>
    <col min="15870" max="15870" width="0" style="365" hidden="1" customWidth="1"/>
    <col min="15871" max="15871" width="14" style="365" customWidth="1"/>
    <col min="15872" max="15872" width="0" style="365" hidden="1" customWidth="1"/>
    <col min="15873" max="15873" width="20.85546875" style="365" customWidth="1"/>
    <col min="15874" max="15874" width="0" style="365" hidden="1" customWidth="1"/>
    <col min="15875" max="15875" width="13.28515625" style="365" customWidth="1"/>
    <col min="15876" max="15876" width="0" style="365" hidden="1" customWidth="1"/>
    <col min="15877" max="15877" width="15" style="365" customWidth="1"/>
    <col min="15878" max="15878" width="0" style="365" hidden="1" customWidth="1"/>
    <col min="15879" max="15879" width="13.28515625" style="365" customWidth="1"/>
    <col min="15880" max="15880" width="0" style="365" hidden="1" customWidth="1"/>
    <col min="15881" max="15881" width="20.140625" style="365" customWidth="1"/>
    <col min="15882" max="15882" width="14.42578125" style="365" bestFit="1" customWidth="1"/>
    <col min="15883" max="15883" width="14" style="365" bestFit="1" customWidth="1"/>
    <col min="15884" max="15884" width="12.28515625" style="365" bestFit="1" customWidth="1"/>
    <col min="15885" max="15909" width="9.140625" style="365" customWidth="1"/>
    <col min="15910" max="16104" width="8.85546875" style="365"/>
    <col min="16105" max="16105" width="44.5703125" style="365" customWidth="1"/>
    <col min="16106" max="16106" width="14.28515625" style="365" bestFit="1" customWidth="1"/>
    <col min="16107" max="16107" width="1.7109375" style="365" customWidth="1"/>
    <col min="16108" max="16108" width="14.85546875" style="365" customWidth="1"/>
    <col min="16109" max="16109" width="0" style="365" hidden="1" customWidth="1"/>
    <col min="16110" max="16110" width="17.42578125" style="365" customWidth="1"/>
    <col min="16111" max="16111" width="0" style="365" hidden="1" customWidth="1"/>
    <col min="16112" max="16112" width="12.85546875" style="365" customWidth="1"/>
    <col min="16113" max="16113" width="0" style="365" hidden="1" customWidth="1"/>
    <col min="16114" max="16114" width="14.42578125" style="365" customWidth="1"/>
    <col min="16115" max="16115" width="0" style="365" hidden="1" customWidth="1"/>
    <col min="16116" max="16116" width="17.42578125" style="365" customWidth="1"/>
    <col min="16117" max="16117" width="0" style="365" hidden="1" customWidth="1"/>
    <col min="16118" max="16118" width="14" style="365" customWidth="1"/>
    <col min="16119" max="16119" width="14.28515625" style="365" bestFit="1" customWidth="1"/>
    <col min="16120" max="16120" width="0" style="365" hidden="1" customWidth="1"/>
    <col min="16121" max="16121" width="15.5703125" style="365" customWidth="1"/>
    <col min="16122" max="16122" width="44.5703125" style="365" customWidth="1"/>
    <col min="16123" max="16123" width="14.28515625" style="365" bestFit="1" customWidth="1"/>
    <col min="16124" max="16124" width="0" style="365" hidden="1" customWidth="1"/>
    <col min="16125" max="16125" width="18.140625" style="365" customWidth="1"/>
    <col min="16126" max="16126" width="0" style="365" hidden="1" customWidth="1"/>
    <col min="16127" max="16127" width="14" style="365" customWidth="1"/>
    <col min="16128" max="16128" width="0" style="365" hidden="1" customWidth="1"/>
    <col min="16129" max="16129" width="20.85546875" style="365" customWidth="1"/>
    <col min="16130" max="16130" width="0" style="365" hidden="1" customWidth="1"/>
    <col min="16131" max="16131" width="13.28515625" style="365" customWidth="1"/>
    <col min="16132" max="16132" width="0" style="365" hidden="1" customWidth="1"/>
    <col min="16133" max="16133" width="15" style="365" customWidth="1"/>
    <col min="16134" max="16134" width="0" style="365" hidden="1" customWidth="1"/>
    <col min="16135" max="16135" width="13.28515625" style="365" customWidth="1"/>
    <col min="16136" max="16136" width="0" style="365" hidden="1" customWidth="1"/>
    <col min="16137" max="16137" width="20.140625" style="365" customWidth="1"/>
    <col min="16138" max="16138" width="14.42578125" style="365" bestFit="1" customWidth="1"/>
    <col min="16139" max="16139" width="14" style="365" bestFit="1" customWidth="1"/>
    <col min="16140" max="16140" width="12.28515625" style="365" bestFit="1" customWidth="1"/>
    <col min="16141" max="16165" width="9.140625" style="365" customWidth="1"/>
    <col min="16166" max="16378" width="8.85546875" style="365"/>
    <col min="16379" max="16383" width="8.85546875" style="365" customWidth="1"/>
    <col min="16384" max="16384" width="8.85546875" style="365"/>
  </cols>
  <sheetData>
    <row r="1" spans="1:37" s="354" customFormat="1" ht="19.899999999999999" hidden="1" customHeight="1">
      <c r="A1" s="1632"/>
      <c r="B1" s="1632"/>
      <c r="C1" s="1632"/>
      <c r="D1" s="1632"/>
      <c r="E1" s="1632"/>
      <c r="F1" s="1632"/>
      <c r="G1" s="1632"/>
      <c r="H1" s="1632"/>
      <c r="I1" s="1633"/>
      <c r="J1" s="1633"/>
      <c r="K1" s="1633"/>
      <c r="L1" s="1632"/>
      <c r="M1" s="928"/>
      <c r="N1" s="930"/>
      <c r="O1" s="351"/>
      <c r="P1" s="928"/>
      <c r="Q1" s="351"/>
      <c r="R1" s="928"/>
      <c r="S1" s="353"/>
      <c r="T1" s="911"/>
      <c r="U1" s="353"/>
      <c r="V1" s="911"/>
      <c r="W1" s="353"/>
      <c r="X1" s="911"/>
      <c r="Y1" s="353"/>
      <c r="Z1" s="911"/>
      <c r="AA1" s="353"/>
      <c r="AB1" s="353"/>
      <c r="AC1" s="353"/>
      <c r="AD1" s="353"/>
      <c r="AE1" s="353"/>
      <c r="AF1" s="353"/>
      <c r="AG1" s="353"/>
      <c r="AH1" s="353"/>
      <c r="AI1" s="353"/>
      <c r="AJ1" s="353"/>
      <c r="AK1" s="353"/>
    </row>
    <row r="2" spans="1:37" s="354" customFormat="1" ht="88.9" customHeight="1">
      <c r="A2" s="1690" t="s">
        <v>795</v>
      </c>
      <c r="B2" s="1690"/>
      <c r="C2" s="1690"/>
      <c r="D2" s="1690"/>
      <c r="E2" s="1690"/>
      <c r="F2" s="1690"/>
      <c r="G2" s="1690"/>
      <c r="H2" s="1690"/>
      <c r="I2" s="1690"/>
      <c r="J2" s="1690"/>
      <c r="K2" s="1690"/>
      <c r="L2" s="1690"/>
      <c r="M2" s="1690"/>
      <c r="N2" s="1690"/>
      <c r="O2" s="1690"/>
      <c r="P2" s="1690"/>
      <c r="Q2" s="1690"/>
      <c r="R2" s="1690"/>
      <c r="S2" s="1690"/>
      <c r="T2" s="1690"/>
      <c r="U2" s="1690"/>
      <c r="V2" s="1690"/>
      <c r="W2" s="1690"/>
      <c r="X2" s="1690"/>
      <c r="Y2" s="1690"/>
      <c r="Z2" s="1690"/>
      <c r="AA2" s="353"/>
      <c r="AB2" s="353"/>
      <c r="AC2" s="353"/>
      <c r="AD2" s="353"/>
      <c r="AE2" s="353"/>
      <c r="AF2" s="353"/>
      <c r="AG2" s="353"/>
      <c r="AH2" s="353"/>
      <c r="AI2" s="353"/>
      <c r="AJ2" s="353"/>
      <c r="AK2" s="353"/>
    </row>
    <row r="3" spans="1:37" s="354" customFormat="1" ht="48" hidden="1">
      <c r="A3" s="957"/>
      <c r="B3" s="1636" t="str">
        <f>PROPER(B1)</f>
        <v/>
      </c>
      <c r="C3" s="1636"/>
      <c r="D3" s="1636"/>
      <c r="E3" s="1636"/>
      <c r="F3" s="1636"/>
      <c r="G3" s="1636"/>
      <c r="H3" s="1636"/>
      <c r="I3" s="1636"/>
      <c r="J3" s="940"/>
      <c r="K3" s="940"/>
      <c r="L3" s="935"/>
      <c r="M3" s="911"/>
      <c r="N3" s="931"/>
      <c r="O3" s="353"/>
      <c r="P3" s="911"/>
      <c r="Q3" s="353"/>
      <c r="R3" s="911"/>
      <c r="S3" s="353"/>
      <c r="T3" s="911"/>
      <c r="U3" s="353"/>
      <c r="V3" s="911"/>
      <c r="W3" s="353"/>
      <c r="X3" s="911"/>
      <c r="Y3" s="353"/>
      <c r="Z3" s="911"/>
      <c r="AA3" s="353"/>
      <c r="AB3" s="353"/>
      <c r="AC3" s="353"/>
      <c r="AD3" s="353"/>
      <c r="AE3" s="353"/>
      <c r="AF3" s="353"/>
      <c r="AG3" s="353"/>
      <c r="AH3" s="353"/>
      <c r="AI3" s="353"/>
      <c r="AJ3" s="353"/>
      <c r="AK3" s="353"/>
    </row>
    <row r="4" spans="1:37" s="354" customFormat="1" ht="15.6" hidden="1" customHeight="1">
      <c r="A4" s="1635"/>
      <c r="B4" s="1635"/>
      <c r="C4" s="1635"/>
      <c r="D4" s="1635"/>
      <c r="E4" s="1635"/>
      <c r="F4" s="1635"/>
      <c r="G4" s="1635"/>
      <c r="H4" s="1635"/>
      <c r="I4" s="1635"/>
      <c r="J4" s="1635"/>
      <c r="K4" s="1635"/>
      <c r="L4" s="1635"/>
      <c r="M4" s="911"/>
      <c r="N4" s="931"/>
      <c r="O4" s="353"/>
      <c r="P4" s="911"/>
      <c r="Q4" s="353"/>
      <c r="R4" s="911"/>
      <c r="S4" s="353"/>
      <c r="T4" s="911"/>
      <c r="U4" s="353"/>
      <c r="V4" s="911"/>
      <c r="W4" s="353"/>
      <c r="X4" s="911"/>
      <c r="Y4" s="353"/>
      <c r="Z4" s="911"/>
      <c r="AA4" s="353"/>
      <c r="AB4" s="353"/>
      <c r="AC4" s="353"/>
      <c r="AD4" s="353"/>
      <c r="AE4" s="353"/>
      <c r="AF4" s="353"/>
      <c r="AG4" s="353"/>
      <c r="AH4" s="353"/>
      <c r="AI4" s="353"/>
      <c r="AJ4" s="353"/>
      <c r="AK4" s="353"/>
    </row>
    <row r="5" spans="1:37" s="363" customFormat="1" ht="9.6" customHeight="1" thickBot="1">
      <c r="A5" s="360" t="s">
        <v>58</v>
      </c>
      <c r="B5" s="361"/>
      <c r="C5" s="577"/>
      <c r="D5" s="945"/>
      <c r="E5" s="936"/>
      <c r="F5" s="936"/>
      <c r="G5" s="936"/>
      <c r="H5" s="936"/>
      <c r="I5" s="936"/>
      <c r="J5" s="936"/>
      <c r="K5" s="936"/>
      <c r="L5" s="936"/>
      <c r="M5" s="912"/>
      <c r="N5" s="932"/>
      <c r="P5" s="912"/>
      <c r="R5" s="912"/>
      <c r="T5" s="912"/>
      <c r="V5" s="912"/>
      <c r="X5" s="912"/>
      <c r="Z5" s="912"/>
    </row>
    <row r="6" spans="1:37" s="490" customFormat="1" ht="112.15" customHeight="1" thickTop="1" thickBot="1">
      <c r="A6" s="484"/>
      <c r="B6" s="485"/>
      <c r="C6" s="486"/>
      <c r="D6" s="946" t="s">
        <v>573</v>
      </c>
      <c r="E6" s="923" t="s">
        <v>718</v>
      </c>
      <c r="F6" s="923" t="s">
        <v>154</v>
      </c>
      <c r="G6" s="923" t="s">
        <v>411</v>
      </c>
      <c r="H6" s="923" t="s">
        <v>412</v>
      </c>
      <c r="I6" s="923" t="s">
        <v>413</v>
      </c>
      <c r="J6" s="923" t="s">
        <v>772</v>
      </c>
      <c r="K6" s="923" t="s">
        <v>781</v>
      </c>
      <c r="O6" s="990"/>
      <c r="Q6" s="990"/>
      <c r="S6" s="990"/>
      <c r="U6" s="990"/>
      <c r="W6" s="990"/>
      <c r="Y6" s="990"/>
      <c r="AA6" s="488"/>
      <c r="AB6" s="488"/>
      <c r="AC6" s="488"/>
      <c r="AD6" s="488"/>
      <c r="AE6" s="488"/>
      <c r="AF6" s="488"/>
      <c r="AG6" s="488"/>
      <c r="AH6" s="488"/>
      <c r="AI6" s="488"/>
      <c r="AJ6" s="488"/>
      <c r="AK6" s="488"/>
    </row>
    <row r="7" spans="1:37" ht="13.9" customHeight="1" thickTop="1">
      <c r="A7" s="356"/>
      <c r="B7" s="356"/>
      <c r="C7" s="357"/>
      <c r="D7" s="947"/>
      <c r="E7" s="924"/>
      <c r="F7" s="924"/>
      <c r="G7" s="924"/>
      <c r="H7" s="924"/>
      <c r="I7" s="924"/>
      <c r="J7" s="924"/>
      <c r="K7" s="924"/>
      <c r="O7" s="372"/>
      <c r="Q7" s="372"/>
      <c r="S7" s="372"/>
      <c r="U7" s="372"/>
      <c r="W7" s="372"/>
      <c r="Y7" s="372"/>
    </row>
    <row r="8" spans="1:37" s="417" customFormat="1" ht="15.95" customHeight="1">
      <c r="A8" s="417" t="s">
        <v>423</v>
      </c>
      <c r="C8" s="449"/>
      <c r="D8" s="948"/>
      <c r="E8" s="929"/>
      <c r="F8" s="929"/>
      <c r="G8" s="929"/>
      <c r="H8" s="929"/>
      <c r="I8" s="929"/>
      <c r="J8" s="929"/>
      <c r="K8" s="929"/>
      <c r="O8" s="453"/>
      <c r="Q8" s="453"/>
      <c r="S8" s="453"/>
      <c r="U8" s="453"/>
      <c r="W8" s="453"/>
      <c r="Y8" s="453"/>
      <c r="AA8" s="454"/>
      <c r="AB8" s="454"/>
      <c r="AC8" s="454"/>
      <c r="AD8" s="454"/>
      <c r="AE8" s="454"/>
      <c r="AF8" s="454"/>
      <c r="AG8" s="454"/>
      <c r="AH8" s="454"/>
      <c r="AI8" s="454"/>
      <c r="AJ8" s="454"/>
      <c r="AK8" s="454"/>
    </row>
    <row r="9" spans="1:37" s="417" customFormat="1" ht="20.100000000000001" customHeight="1">
      <c r="A9" s="417" t="s">
        <v>779</v>
      </c>
      <c r="C9" s="417" t="s">
        <v>424</v>
      </c>
      <c r="D9" s="565">
        <f>ROUND('001 General Fund'!K23+'001 General Fund'!K15,2)</f>
        <v>50418790</v>
      </c>
      <c r="E9" s="565">
        <f>ROUND('CRA-Beach'!L15+'CRA-NW Progresso'!L16+'CRA-Central City'!L14,2)</f>
        <v>-24714</v>
      </c>
      <c r="F9" s="565">
        <f>ROUND('Sunrise Key'!L14+'Sunrise Key'!L10,2)</f>
        <v>99940.17</v>
      </c>
      <c r="G9" s="565">
        <f>ROUND('Beach Bus Improv District'!L13+'Beach Bus Improv District'!L9,2)</f>
        <v>399899</v>
      </c>
      <c r="H9" s="565">
        <f>ROUND('Housing and Community Dev'!L15+'Housing and Community Dev'!L11,2)</f>
        <v>38123</v>
      </c>
      <c r="I9" s="458" t="e">
        <f>ROUND(#REF!+#REF!+#REF!+#REF!+#REF!+#REF!,2)</f>
        <v>#REF!</v>
      </c>
      <c r="J9" s="458">
        <v>0</v>
      </c>
      <c r="K9" s="458">
        <f>ROUND(Police!L11+'Drug Enforcement Agency'!L11+Police!L16+'Drug Enforcement Agency'!L16,2)</f>
        <v>1679720</v>
      </c>
      <c r="O9" s="1227"/>
      <c r="Q9" s="1227"/>
      <c r="S9" s="1227"/>
      <c r="U9" s="1227"/>
      <c r="W9" s="1227"/>
      <c r="Y9" s="1229"/>
      <c r="AA9" s="454"/>
      <c r="AB9" s="454"/>
      <c r="AC9" s="454"/>
      <c r="AD9" s="454"/>
      <c r="AE9" s="454"/>
      <c r="AF9" s="454"/>
      <c r="AG9" s="454"/>
      <c r="AH9" s="454"/>
      <c r="AI9" s="454"/>
      <c r="AJ9" s="454"/>
      <c r="AK9" s="454"/>
    </row>
    <row r="10" spans="1:37" s="417" customFormat="1" ht="20.100000000000001" customHeight="1">
      <c r="A10" s="417" t="s">
        <v>690</v>
      </c>
      <c r="D10" s="565">
        <f>ROUND('001 General Fund'!K22,2)</f>
        <v>833479</v>
      </c>
      <c r="E10" s="565">
        <v>0</v>
      </c>
      <c r="F10" s="565">
        <v>0</v>
      </c>
      <c r="G10" s="565">
        <v>0</v>
      </c>
      <c r="H10" s="565">
        <v>0</v>
      </c>
      <c r="I10" s="458">
        <v>0</v>
      </c>
      <c r="J10" s="458">
        <v>0</v>
      </c>
      <c r="K10" s="458">
        <v>0</v>
      </c>
      <c r="O10" s="1227"/>
      <c r="Q10" s="1227"/>
      <c r="S10" s="1227"/>
      <c r="U10" s="1227"/>
      <c r="W10" s="1227"/>
      <c r="Y10" s="1229"/>
      <c r="AA10" s="454"/>
      <c r="AB10" s="454"/>
      <c r="AC10" s="454"/>
      <c r="AD10" s="454"/>
      <c r="AE10" s="454"/>
      <c r="AF10" s="454"/>
      <c r="AG10" s="454"/>
      <c r="AH10" s="454"/>
      <c r="AI10" s="454"/>
      <c r="AJ10" s="454"/>
      <c r="AK10" s="454"/>
    </row>
    <row r="11" spans="1:37" s="417" customFormat="1" ht="18.75">
      <c r="A11" s="417" t="s">
        <v>688</v>
      </c>
      <c r="C11" s="417" t="s">
        <v>424</v>
      </c>
      <c r="D11" s="949">
        <f>SUM(D9:D10)</f>
        <v>51252269</v>
      </c>
      <c r="E11" s="917">
        <f t="shared" ref="E11:K11" si="0">SUM(E9:E9)</f>
        <v>-24714</v>
      </c>
      <c r="F11" s="917">
        <f t="shared" si="0"/>
        <v>99940.17</v>
      </c>
      <c r="G11" s="917">
        <f t="shared" si="0"/>
        <v>399899</v>
      </c>
      <c r="H11" s="917">
        <f t="shared" si="0"/>
        <v>38123</v>
      </c>
      <c r="I11" s="463" t="e">
        <f t="shared" si="0"/>
        <v>#REF!</v>
      </c>
      <c r="J11" s="463">
        <f t="shared" si="0"/>
        <v>0</v>
      </c>
      <c r="K11" s="463">
        <f t="shared" si="0"/>
        <v>1679720</v>
      </c>
      <c r="O11" s="1230">
        <v>0</v>
      </c>
      <c r="Q11" s="1230">
        <v>0</v>
      </c>
      <c r="S11" s="1230">
        <v>0</v>
      </c>
      <c r="U11" s="1230">
        <v>0</v>
      </c>
      <c r="W11" s="1230">
        <v>0</v>
      </c>
      <c r="Y11" s="1230">
        <v>0</v>
      </c>
      <c r="AA11" s="454"/>
      <c r="AB11" s="454"/>
      <c r="AC11" s="454"/>
      <c r="AD11" s="454"/>
      <c r="AE11" s="454"/>
      <c r="AF11" s="454"/>
      <c r="AG11" s="454"/>
      <c r="AH11" s="454"/>
      <c r="AI11" s="454"/>
      <c r="AJ11" s="454"/>
      <c r="AK11" s="454"/>
    </row>
    <row r="12" spans="1:37" s="417" customFormat="1" ht="12" customHeight="1">
      <c r="D12" s="950"/>
      <c r="E12" s="925"/>
      <c r="F12" s="925"/>
      <c r="G12" s="925"/>
      <c r="H12" s="925"/>
      <c r="I12" s="460"/>
      <c r="J12" s="460"/>
      <c r="K12" s="460"/>
      <c r="O12" s="1229"/>
      <c r="Q12" s="1227"/>
      <c r="S12" s="1227"/>
      <c r="U12" s="1227"/>
      <c r="W12" s="1227"/>
      <c r="Y12" s="1229"/>
      <c r="AA12" s="454"/>
      <c r="AB12" s="454"/>
      <c r="AC12" s="454"/>
      <c r="AD12" s="454"/>
      <c r="AE12" s="454"/>
      <c r="AF12" s="454"/>
      <c r="AG12" s="454"/>
      <c r="AH12" s="454"/>
      <c r="AI12" s="454"/>
      <c r="AJ12" s="454"/>
      <c r="AK12" s="454"/>
    </row>
    <row r="13" spans="1:37" s="454" customFormat="1" ht="15.75" customHeight="1">
      <c r="A13" s="454" t="s">
        <v>426</v>
      </c>
      <c r="D13" s="925"/>
      <c r="E13" s="925"/>
      <c r="F13" s="925"/>
      <c r="G13" s="925"/>
      <c r="H13" s="925"/>
      <c r="I13" s="460"/>
      <c r="J13" s="460"/>
      <c r="K13" s="460"/>
      <c r="O13" s="1229"/>
      <c r="Q13" s="1227"/>
      <c r="S13" s="1227"/>
      <c r="U13" s="1227"/>
      <c r="W13" s="1227"/>
      <c r="Y13" s="1229"/>
    </row>
    <row r="14" spans="1:37" s="454" customFormat="1" ht="16.5" customHeight="1">
      <c r="A14" s="454" t="s">
        <v>584</v>
      </c>
      <c r="B14" s="700" t="s">
        <v>585</v>
      </c>
      <c r="D14" s="565"/>
      <c r="E14" s="565"/>
      <c r="F14" s="565"/>
      <c r="G14" s="565"/>
      <c r="H14" s="565"/>
      <c r="I14" s="458"/>
      <c r="J14" s="458"/>
      <c r="K14" s="458"/>
      <c r="O14" s="1229"/>
      <c r="Q14" s="1227"/>
      <c r="S14" s="1227"/>
      <c r="U14" s="1227"/>
      <c r="W14" s="1227"/>
      <c r="Y14" s="1229"/>
    </row>
    <row r="15" spans="1:37" s="454" customFormat="1" ht="20.100000000000001" customHeight="1">
      <c r="A15" s="454" t="s">
        <v>873</v>
      </c>
      <c r="B15" s="468">
        <v>0.21490000000000001</v>
      </c>
      <c r="D15" s="925">
        <f>ROUND('[1]GF Resources'!$G$7,2)</f>
        <v>1107945</v>
      </c>
      <c r="E15" s="925">
        <v>0</v>
      </c>
      <c r="F15" s="925">
        <v>0</v>
      </c>
      <c r="G15" s="925">
        <v>0</v>
      </c>
      <c r="H15" s="925">
        <v>0</v>
      </c>
      <c r="I15" s="460">
        <v>0</v>
      </c>
      <c r="J15" s="460">
        <v>0</v>
      </c>
      <c r="K15" s="460">
        <v>0</v>
      </c>
      <c r="O15" s="1229"/>
      <c r="Q15" s="1227"/>
      <c r="S15" s="1227"/>
      <c r="U15" s="1227"/>
      <c r="W15" s="1227"/>
      <c r="Y15" s="1229"/>
    </row>
    <row r="16" spans="1:37" s="454" customFormat="1" ht="20.100000000000001" hidden="1" customHeight="1">
      <c r="A16" s="454" t="s">
        <v>428</v>
      </c>
      <c r="B16" s="468">
        <v>0.1125</v>
      </c>
      <c r="D16" s="925"/>
      <c r="E16" s="925">
        <v>0</v>
      </c>
      <c r="F16" s="925"/>
      <c r="G16" s="925">
        <v>0</v>
      </c>
      <c r="H16" s="925">
        <v>0</v>
      </c>
      <c r="I16" s="460">
        <v>0</v>
      </c>
      <c r="J16" s="460"/>
      <c r="K16" s="460"/>
      <c r="O16" s="1229"/>
      <c r="Q16" s="1227"/>
      <c r="S16" s="1227"/>
      <c r="U16" s="1227"/>
      <c r="W16" s="1227"/>
      <c r="Y16" s="1229"/>
    </row>
    <row r="17" spans="1:25" s="454" customFormat="1" ht="20.100000000000001" hidden="1" customHeight="1">
      <c r="A17" s="454" t="s">
        <v>429</v>
      </c>
      <c r="B17" s="576">
        <v>5.7000000000000002E-2</v>
      </c>
      <c r="D17" s="925"/>
      <c r="E17" s="925">
        <v>0</v>
      </c>
      <c r="F17" s="925"/>
      <c r="G17" s="925">
        <v>0</v>
      </c>
      <c r="H17" s="925">
        <v>0</v>
      </c>
      <c r="I17" s="460">
        <v>0</v>
      </c>
      <c r="J17" s="460"/>
      <c r="K17" s="460"/>
      <c r="O17" s="1229"/>
      <c r="Q17" s="1227"/>
      <c r="S17" s="1227"/>
      <c r="U17" s="1227"/>
      <c r="W17" s="1227"/>
      <c r="Y17" s="1229"/>
    </row>
    <row r="18" spans="1:25" s="454" customFormat="1" ht="20.100000000000001" hidden="1" customHeight="1">
      <c r="A18" s="454" t="s">
        <v>430</v>
      </c>
      <c r="B18" s="468">
        <v>4.9799999999999997E-2</v>
      </c>
      <c r="D18" s="925"/>
      <c r="E18" s="925">
        <v>0</v>
      </c>
      <c r="F18" s="925"/>
      <c r="G18" s="925">
        <v>0</v>
      </c>
      <c r="H18" s="925">
        <v>0</v>
      </c>
      <c r="I18" s="460">
        <v>0</v>
      </c>
      <c r="J18" s="460"/>
      <c r="K18" s="460"/>
      <c r="O18" s="1229"/>
      <c r="Q18" s="1227"/>
      <c r="S18" s="1227"/>
      <c r="U18" s="1227"/>
      <c r="W18" s="1227"/>
      <c r="Y18" s="1229"/>
    </row>
    <row r="19" spans="1:25" s="454" customFormat="1" ht="20.100000000000001" customHeight="1">
      <c r="A19" s="454" t="s">
        <v>581</v>
      </c>
      <c r="B19" s="576">
        <v>1</v>
      </c>
      <c r="D19" s="916">
        <v>0</v>
      </c>
      <c r="E19" s="925">
        <v>0</v>
      </c>
      <c r="F19" s="565">
        <f>ROUND('Sunrise Key'!L8,2)</f>
        <v>80098.3</v>
      </c>
      <c r="G19" s="925">
        <v>0</v>
      </c>
      <c r="H19" s="925">
        <v>0</v>
      </c>
      <c r="I19" s="460">
        <v>0</v>
      </c>
      <c r="J19" s="460">
        <v>0</v>
      </c>
      <c r="K19" s="460">
        <v>0</v>
      </c>
      <c r="O19" s="1229"/>
      <c r="Q19" s="1227"/>
      <c r="S19" s="1227"/>
      <c r="U19" s="1227"/>
      <c r="W19" s="1227"/>
      <c r="Y19" s="1229"/>
    </row>
    <row r="20" spans="1:25" s="454" customFormat="1" ht="20.100000000000001" customHeight="1">
      <c r="A20" s="454" t="s">
        <v>580</v>
      </c>
      <c r="B20" s="684"/>
      <c r="D20" s="925">
        <f>ROUND('[1]GF Resources'!$G$14,2)</f>
        <v>4882276</v>
      </c>
      <c r="E20" s="925">
        <v>0</v>
      </c>
      <c r="F20" s="925">
        <v>0</v>
      </c>
      <c r="G20" s="925">
        <v>0</v>
      </c>
      <c r="H20" s="925">
        <v>0</v>
      </c>
      <c r="I20" s="460">
        <v>0</v>
      </c>
      <c r="J20" s="460">
        <v>0</v>
      </c>
      <c r="K20" s="460">
        <v>0</v>
      </c>
      <c r="O20" s="1229"/>
      <c r="Q20" s="1227"/>
      <c r="S20" s="1227"/>
      <c r="U20" s="1227"/>
      <c r="W20" s="1227"/>
      <c r="Y20" s="1229"/>
    </row>
    <row r="21" spans="1:25" s="454" customFormat="1" ht="20.100000000000001" customHeight="1">
      <c r="A21" s="454" t="s">
        <v>579</v>
      </c>
      <c r="D21" s="925">
        <f>ROUND('[1]GF Resources'!$G$15,2)</f>
        <v>-1600000</v>
      </c>
      <c r="E21" s="925">
        <v>0</v>
      </c>
      <c r="F21" s="925">
        <v>0</v>
      </c>
      <c r="G21" s="925">
        <v>0</v>
      </c>
      <c r="H21" s="925">
        <v>0</v>
      </c>
      <c r="I21" s="460">
        <v>0</v>
      </c>
      <c r="J21" s="460">
        <v>0</v>
      </c>
      <c r="K21" s="460">
        <v>0</v>
      </c>
      <c r="O21" s="1229"/>
      <c r="Q21" s="1227"/>
      <c r="S21" s="1227"/>
      <c r="U21" s="1227"/>
      <c r="W21" s="1227"/>
      <c r="Y21" s="1229"/>
    </row>
    <row r="22" spans="1:25" s="454" customFormat="1" ht="20.100000000000001" customHeight="1">
      <c r="A22" s="454" t="s">
        <v>578</v>
      </c>
      <c r="D22" s="925">
        <f>ROUND('[1]GF Resources'!$G$16,2)</f>
        <v>551832</v>
      </c>
      <c r="E22" s="925">
        <v>0</v>
      </c>
      <c r="F22" s="925">
        <v>0</v>
      </c>
      <c r="G22" s="925">
        <v>0</v>
      </c>
      <c r="H22" s="925">
        <v>0</v>
      </c>
      <c r="I22" s="460">
        <v>0</v>
      </c>
      <c r="J22" s="460">
        <v>0</v>
      </c>
      <c r="K22" s="460">
        <v>0</v>
      </c>
      <c r="O22" s="1229"/>
      <c r="Q22" s="1227"/>
      <c r="S22" s="1227"/>
      <c r="U22" s="1227"/>
      <c r="W22" s="1227"/>
      <c r="Y22" s="1229"/>
    </row>
    <row r="23" spans="1:25" s="454" customFormat="1" ht="20.100000000000001" customHeight="1">
      <c r="A23" s="454" t="s">
        <v>435</v>
      </c>
      <c r="D23" s="925">
        <f>ROUND('[1]GF Resources'!$G$22,2)</f>
        <v>0</v>
      </c>
      <c r="E23" s="925">
        <v>0</v>
      </c>
      <c r="F23" s="925">
        <v>0</v>
      </c>
      <c r="G23" s="925">
        <v>0</v>
      </c>
      <c r="H23" s="925">
        <v>0</v>
      </c>
      <c r="I23" s="460" t="e">
        <f>ROUND(#REF!+#REF!+#REF!,2)</f>
        <v>#REF!</v>
      </c>
      <c r="J23" s="460">
        <v>0</v>
      </c>
      <c r="K23" s="460">
        <v>0</v>
      </c>
      <c r="O23" s="1229"/>
      <c r="Q23" s="1227"/>
      <c r="S23" s="1227"/>
      <c r="U23" s="1227"/>
      <c r="W23" s="1227"/>
      <c r="Y23" s="1229"/>
    </row>
    <row r="24" spans="1:25" s="454" customFormat="1" ht="20.100000000000001" customHeight="1">
      <c r="A24" s="454" t="s">
        <v>408</v>
      </c>
      <c r="D24" s="925">
        <f>ROUND('[1]GF Resources'!$G$28,2)</f>
        <v>481915</v>
      </c>
      <c r="E24" s="565">
        <f>ROUND('CRA-Beach'!L8+'CRA-NW Progresso'!L8,2)</f>
        <v>8187921</v>
      </c>
      <c r="F24" s="925">
        <v>0</v>
      </c>
      <c r="G24" s="925">
        <v>0</v>
      </c>
      <c r="H24" s="565">
        <f>ROUND('Housing and Community Dev'!L8,2)</f>
        <v>9371773</v>
      </c>
      <c r="I24" s="458">
        <v>0</v>
      </c>
      <c r="J24" s="458">
        <v>0</v>
      </c>
      <c r="K24" s="458">
        <v>0</v>
      </c>
      <c r="O24" s="1229"/>
      <c r="Q24" s="1227"/>
      <c r="S24" s="1227"/>
      <c r="U24" s="1227"/>
      <c r="W24" s="1227"/>
      <c r="Y24" s="1229"/>
    </row>
    <row r="25" spans="1:25" s="454" customFormat="1" ht="20.100000000000001" customHeight="1">
      <c r="A25" s="454" t="s">
        <v>114</v>
      </c>
      <c r="D25" s="925">
        <f>ROUND('[1]GF Resources'!$G$40,2)</f>
        <v>0</v>
      </c>
      <c r="E25" s="925">
        <v>0</v>
      </c>
      <c r="F25" s="925">
        <v>0</v>
      </c>
      <c r="G25" s="925">
        <v>0</v>
      </c>
      <c r="H25" s="925">
        <v>0</v>
      </c>
      <c r="I25" s="460" t="e">
        <f>ROUND(#REF!,2)</f>
        <v>#REF!</v>
      </c>
      <c r="J25" s="460">
        <v>0</v>
      </c>
      <c r="K25" s="460">
        <v>0</v>
      </c>
      <c r="O25" s="1229"/>
      <c r="Q25" s="1227"/>
      <c r="S25" s="1227"/>
      <c r="U25" s="1227"/>
      <c r="W25" s="1227"/>
      <c r="Y25" s="1229"/>
    </row>
    <row r="26" spans="1:25" s="454" customFormat="1" ht="20.100000000000001" customHeight="1">
      <c r="A26" s="454" t="s">
        <v>436</v>
      </c>
      <c r="D26" s="925">
        <f>ROUND('[1]GF Resources'!$G$45,2)</f>
        <v>0</v>
      </c>
      <c r="E26" s="925">
        <v>0</v>
      </c>
      <c r="F26" s="925">
        <v>0</v>
      </c>
      <c r="G26" s="925">
        <v>0</v>
      </c>
      <c r="H26" s="925">
        <v>0</v>
      </c>
      <c r="I26" s="460">
        <v>0</v>
      </c>
      <c r="J26" s="460">
        <f>ROUND('School Crossing Guard'!L8,2)</f>
        <v>872600</v>
      </c>
      <c r="K26" s="460">
        <v>0</v>
      </c>
      <c r="O26" s="1229"/>
      <c r="Q26" s="1227"/>
      <c r="S26" s="1227"/>
      <c r="U26" s="1227"/>
      <c r="W26" s="1227"/>
      <c r="Y26" s="1229"/>
    </row>
    <row r="27" spans="1:25" s="454" customFormat="1" ht="20.100000000000001" customHeight="1">
      <c r="A27" s="454" t="s">
        <v>437</v>
      </c>
      <c r="D27" s="925">
        <f>ROUND('[1]GF Resources'!$G$54,2)</f>
        <v>0</v>
      </c>
      <c r="E27" s="565">
        <f>ROUND('CRA-Beach'!L9+'CRA-NW Progresso'!L10,2)</f>
        <v>191468</v>
      </c>
      <c r="F27" s="565">
        <f>ROUND('Sunrise Key'!L9,2)</f>
        <v>210</v>
      </c>
      <c r="G27" s="565">
        <f>ROUND('Beach Bus Improv District'!L8,2)</f>
        <v>704082</v>
      </c>
      <c r="H27" s="925">
        <v>0</v>
      </c>
      <c r="I27" s="460" t="e">
        <f>ROUND(#REF!+#REF!+#REF!,2)</f>
        <v>#REF!</v>
      </c>
      <c r="J27" s="460">
        <v>0</v>
      </c>
      <c r="K27" s="460">
        <v>0</v>
      </c>
      <c r="O27" s="1229"/>
      <c r="Q27" s="1227"/>
      <c r="S27" s="1227"/>
      <c r="U27" s="1227"/>
      <c r="W27" s="1227"/>
      <c r="Y27" s="1229"/>
    </row>
    <row r="28" spans="1:25" s="454" customFormat="1" ht="20.100000000000001" hidden="1" customHeight="1">
      <c r="A28" s="454" t="s">
        <v>58</v>
      </c>
      <c r="B28" s="454" t="s">
        <v>58</v>
      </c>
      <c r="C28" s="454" t="s">
        <v>58</v>
      </c>
      <c r="D28" s="925" t="s">
        <v>58</v>
      </c>
      <c r="E28" s="565" t="s">
        <v>58</v>
      </c>
      <c r="F28" s="565" t="s">
        <v>58</v>
      </c>
      <c r="G28" s="565" t="s">
        <v>58</v>
      </c>
      <c r="H28" s="925" t="s">
        <v>58</v>
      </c>
      <c r="I28" s="460" t="s">
        <v>58</v>
      </c>
      <c r="J28" s="460" t="s">
        <v>58</v>
      </c>
      <c r="K28" s="460" t="s">
        <v>58</v>
      </c>
      <c r="O28" s="1230">
        <v>0</v>
      </c>
      <c r="Q28" s="1230">
        <v>0</v>
      </c>
      <c r="S28" s="1230">
        <v>0</v>
      </c>
      <c r="U28" s="1230">
        <v>0</v>
      </c>
      <c r="W28" s="1230">
        <v>0</v>
      </c>
      <c r="Y28" s="1230">
        <v>0</v>
      </c>
    </row>
    <row r="29" spans="1:25" s="454" customFormat="1" ht="20.100000000000001" customHeight="1">
      <c r="A29" s="454" t="s">
        <v>438</v>
      </c>
      <c r="C29" s="454" t="s">
        <v>424</v>
      </c>
      <c r="D29" s="917">
        <f>SUM(D14:D28)</f>
        <v>5423968</v>
      </c>
      <c r="E29" s="917">
        <f t="shared" ref="E29:K29" si="1">SUM(E15:E27)</f>
        <v>8379389</v>
      </c>
      <c r="F29" s="917">
        <f t="shared" si="1"/>
        <v>80308.3</v>
      </c>
      <c r="G29" s="917">
        <f t="shared" si="1"/>
        <v>704082</v>
      </c>
      <c r="H29" s="917">
        <f t="shared" si="1"/>
        <v>9371773</v>
      </c>
      <c r="I29" s="463" t="e">
        <f t="shared" si="1"/>
        <v>#REF!</v>
      </c>
      <c r="J29" s="463">
        <f t="shared" si="1"/>
        <v>872600</v>
      </c>
      <c r="K29" s="463">
        <f t="shared" si="1"/>
        <v>0</v>
      </c>
      <c r="O29" s="1230">
        <v>0</v>
      </c>
      <c r="Q29" s="1230">
        <v>0</v>
      </c>
      <c r="S29" s="1230">
        <v>0</v>
      </c>
      <c r="U29" s="1230">
        <v>0</v>
      </c>
      <c r="W29" s="1230">
        <v>0</v>
      </c>
      <c r="Y29" s="1230">
        <v>0</v>
      </c>
    </row>
    <row r="30" spans="1:25" s="454" customFormat="1" ht="15.95" customHeight="1">
      <c r="D30" s="565"/>
      <c r="E30" s="565"/>
      <c r="F30" s="565"/>
      <c r="G30" s="565"/>
      <c r="H30" s="565"/>
      <c r="I30" s="458"/>
      <c r="J30" s="458"/>
      <c r="K30" s="458"/>
      <c r="O30" s="1227"/>
      <c r="Q30" s="1227"/>
      <c r="S30" s="1227"/>
      <c r="U30" s="1227"/>
      <c r="W30" s="1227"/>
      <c r="Y30" s="1227"/>
    </row>
    <row r="31" spans="1:25" s="454" customFormat="1" ht="20.100000000000001" customHeight="1">
      <c r="A31" s="454" t="s">
        <v>439</v>
      </c>
      <c r="C31" s="454" t="s">
        <v>424</v>
      </c>
      <c r="D31" s="926">
        <f>ROUND('[1]GF Resources'!$G$59,2)</f>
        <v>0</v>
      </c>
      <c r="E31" s="926">
        <f>'CRA-Beach'!L10+'CRA-NW Progresso'!L11</f>
        <v>4496529</v>
      </c>
      <c r="F31" s="926">
        <v>0</v>
      </c>
      <c r="G31" s="926">
        <v>0</v>
      </c>
      <c r="H31" s="926">
        <v>0</v>
      </c>
      <c r="I31" s="470">
        <v>0</v>
      </c>
      <c r="J31" s="470">
        <v>0</v>
      </c>
      <c r="K31" s="470"/>
      <c r="O31" s="1229"/>
      <c r="Q31" s="1227"/>
      <c r="S31" s="1227"/>
      <c r="U31" s="1227"/>
      <c r="W31" s="1227"/>
      <c r="Y31" s="1252"/>
    </row>
    <row r="32" spans="1:25" s="454" customFormat="1" ht="10.5" customHeight="1">
      <c r="D32" s="565"/>
      <c r="E32" s="565"/>
      <c r="F32" s="565"/>
      <c r="G32" s="565"/>
      <c r="H32" s="565"/>
      <c r="I32" s="458"/>
      <c r="J32" s="458"/>
      <c r="K32" s="458"/>
      <c r="O32" s="1229"/>
      <c r="Q32" s="1227"/>
      <c r="S32" s="1227"/>
      <c r="U32" s="1227"/>
      <c r="W32" s="1227"/>
      <c r="Y32" s="1229"/>
    </row>
    <row r="33" spans="1:37" s="454" customFormat="1" ht="21.95" customHeight="1" thickBot="1">
      <c r="A33" s="713" t="s">
        <v>21</v>
      </c>
      <c r="B33" s="714"/>
      <c r="C33" s="454" t="s">
        <v>424</v>
      </c>
      <c r="D33" s="919">
        <f t="shared" ref="D33:K33" si="2">D11+D29+D31</f>
        <v>56676237</v>
      </c>
      <c r="E33" s="919">
        <f t="shared" si="2"/>
        <v>12851204</v>
      </c>
      <c r="F33" s="919">
        <f t="shared" si="2"/>
        <v>180248.47</v>
      </c>
      <c r="G33" s="919">
        <f t="shared" si="2"/>
        <v>1103981</v>
      </c>
      <c r="H33" s="919">
        <f t="shared" si="2"/>
        <v>9409896</v>
      </c>
      <c r="I33" s="477" t="e">
        <f t="shared" si="2"/>
        <v>#REF!</v>
      </c>
      <c r="J33" s="477">
        <f t="shared" si="2"/>
        <v>872600</v>
      </c>
      <c r="K33" s="477">
        <f t="shared" si="2"/>
        <v>1679720</v>
      </c>
      <c r="O33" s="1235">
        <v>0</v>
      </c>
      <c r="Q33" s="1235">
        <v>0</v>
      </c>
      <c r="S33" s="1235">
        <v>0</v>
      </c>
      <c r="U33" s="1235">
        <v>0</v>
      </c>
      <c r="W33" s="1235">
        <v>0</v>
      </c>
      <c r="Y33" s="1235">
        <v>0</v>
      </c>
    </row>
    <row r="34" spans="1:37" s="454" customFormat="1" ht="10.5" customHeight="1" thickTop="1">
      <c r="D34" s="565"/>
      <c r="E34" s="565"/>
      <c r="F34" s="565"/>
      <c r="G34" s="565"/>
      <c r="H34" s="565"/>
      <c r="I34" s="458"/>
      <c r="J34" s="458"/>
      <c r="K34" s="458"/>
      <c r="O34" s="1232"/>
      <c r="Q34" s="1227"/>
      <c r="S34" s="1227"/>
      <c r="U34" s="1227"/>
      <c r="W34" s="1227"/>
      <c r="Y34" s="1229"/>
    </row>
    <row r="35" spans="1:37" s="454" customFormat="1" ht="14.1" customHeight="1">
      <c r="A35" s="685"/>
      <c r="D35" s="925" t="s">
        <v>58</v>
      </c>
      <c r="E35" s="565"/>
      <c r="F35" s="565"/>
      <c r="G35" s="565"/>
      <c r="H35" s="565"/>
      <c r="I35" s="458"/>
      <c r="J35" s="458"/>
      <c r="K35" s="458"/>
      <c r="O35" s="1229"/>
      <c r="Q35" s="1227"/>
      <c r="S35" s="1227"/>
      <c r="U35" s="1227"/>
      <c r="W35" s="1227"/>
      <c r="Y35" s="1229"/>
    </row>
    <row r="36" spans="1:37" s="454" customFormat="1" ht="6.95" customHeight="1">
      <c r="D36" s="565"/>
      <c r="E36" s="565"/>
      <c r="F36" s="565"/>
      <c r="G36" s="565"/>
      <c r="H36" s="565"/>
      <c r="I36" s="458"/>
      <c r="J36" s="458"/>
      <c r="K36" s="458"/>
      <c r="O36" s="1229"/>
      <c r="Q36" s="1227"/>
      <c r="S36" s="1227"/>
      <c r="U36" s="1227"/>
      <c r="W36" s="1227"/>
      <c r="Y36" s="1229"/>
    </row>
    <row r="37" spans="1:37" s="454" customFormat="1" ht="17.25" customHeight="1">
      <c r="A37" s="454" t="s">
        <v>811</v>
      </c>
      <c r="D37" s="565"/>
      <c r="E37" s="565"/>
      <c r="F37" s="565"/>
      <c r="G37" s="565"/>
      <c r="H37" s="565"/>
      <c r="I37" s="458"/>
      <c r="J37" s="458"/>
      <c r="K37" s="458"/>
      <c r="O37" s="1229"/>
      <c r="Q37" s="1227"/>
      <c r="S37" s="1227"/>
      <c r="U37" s="1227"/>
      <c r="W37" s="1227"/>
      <c r="Y37" s="1229"/>
    </row>
    <row r="38" spans="1:37" s="454" customFormat="1" ht="20.100000000000001" hidden="1" customHeight="1">
      <c r="A38" s="454" t="s">
        <v>440</v>
      </c>
      <c r="C38" s="454" t="s">
        <v>424</v>
      </c>
      <c r="D38" s="565"/>
      <c r="E38" s="925"/>
      <c r="F38" s="925"/>
      <c r="G38" s="925"/>
      <c r="H38" s="925"/>
      <c r="I38" s="460"/>
      <c r="J38" s="460"/>
      <c r="K38" s="460"/>
      <c r="O38" s="1229"/>
      <c r="Q38" s="1227"/>
      <c r="S38" s="1227"/>
      <c r="U38" s="1227"/>
      <c r="W38" s="1227"/>
      <c r="Y38" s="1229"/>
    </row>
    <row r="39" spans="1:37" s="454" customFormat="1" ht="20.100000000000001" hidden="1" customHeight="1">
      <c r="A39" s="454" t="s">
        <v>441</v>
      </c>
      <c r="D39" s="565"/>
      <c r="E39" s="925"/>
      <c r="F39" s="925"/>
      <c r="G39" s="925"/>
      <c r="H39" s="925"/>
      <c r="I39" s="460"/>
      <c r="J39" s="460"/>
      <c r="K39" s="460"/>
      <c r="O39" s="1229"/>
      <c r="Q39" s="1227"/>
      <c r="S39" s="1227"/>
      <c r="U39" s="1227"/>
      <c r="W39" s="1227"/>
      <c r="Y39" s="1229"/>
    </row>
    <row r="40" spans="1:37" s="454" customFormat="1" ht="20.100000000000001" customHeight="1">
      <c r="A40" s="454" t="s">
        <v>442</v>
      </c>
      <c r="C40" s="454" t="s">
        <v>424</v>
      </c>
      <c r="D40" s="565" t="e">
        <f>ROUND(VLOOKUP(A40,#REF!,3,FALSE),2)</f>
        <v>#REF!</v>
      </c>
      <c r="E40" s="565">
        <v>0</v>
      </c>
      <c r="F40" s="565">
        <v>0</v>
      </c>
      <c r="G40" s="565">
        <v>0</v>
      </c>
      <c r="H40" s="565">
        <v>0</v>
      </c>
      <c r="I40" s="458">
        <v>0</v>
      </c>
      <c r="J40" s="458">
        <v>0</v>
      </c>
      <c r="K40" s="458">
        <v>0</v>
      </c>
      <c r="O40" s="1229"/>
      <c r="Q40" s="1227"/>
      <c r="S40" s="1227"/>
      <c r="U40" s="1227"/>
      <c r="W40" s="1227"/>
      <c r="Y40" s="1229"/>
    </row>
    <row r="41" spans="1:37" s="417" customFormat="1" ht="20.100000000000001" customHeight="1">
      <c r="A41" s="417" t="s">
        <v>443</v>
      </c>
      <c r="D41" s="565" t="e">
        <f>ROUND(VLOOKUP(A41,#REF!,3,FALSE),2)</f>
        <v>#REF!</v>
      </c>
      <c r="E41" s="565">
        <v>0</v>
      </c>
      <c r="F41" s="565">
        <v>0</v>
      </c>
      <c r="G41" s="565">
        <v>0</v>
      </c>
      <c r="H41" s="565">
        <v>0</v>
      </c>
      <c r="I41" s="458">
        <v>0</v>
      </c>
      <c r="J41" s="458">
        <v>0</v>
      </c>
      <c r="K41" s="458">
        <v>0</v>
      </c>
      <c r="O41" s="1229"/>
      <c r="Q41" s="1227"/>
      <c r="S41" s="1227"/>
      <c r="U41" s="1227"/>
      <c r="W41" s="1227"/>
      <c r="Y41" s="1229"/>
      <c r="AA41" s="454"/>
      <c r="AB41" s="454"/>
      <c r="AC41" s="454"/>
      <c r="AD41" s="454"/>
      <c r="AE41" s="454"/>
      <c r="AF41" s="454"/>
      <c r="AG41" s="454"/>
      <c r="AH41" s="454"/>
      <c r="AI41" s="454"/>
      <c r="AJ41" s="454"/>
      <c r="AK41" s="454"/>
    </row>
    <row r="42" spans="1:37" s="417" customFormat="1" ht="20.100000000000001" customHeight="1">
      <c r="A42" s="417" t="s">
        <v>444</v>
      </c>
      <c r="D42" s="565" t="e">
        <f>ROUND(VLOOKUP(A42,#REF!,3,FALSE),2)</f>
        <v>#REF!</v>
      </c>
      <c r="E42" s="565">
        <v>0</v>
      </c>
      <c r="F42" s="565">
        <v>0</v>
      </c>
      <c r="G42" s="565">
        <v>0</v>
      </c>
      <c r="H42" s="565">
        <v>0</v>
      </c>
      <c r="I42" s="458">
        <v>0</v>
      </c>
      <c r="J42" s="458">
        <v>0</v>
      </c>
      <c r="K42" s="458">
        <v>0</v>
      </c>
      <c r="O42" s="1229"/>
      <c r="Q42" s="1227"/>
      <c r="S42" s="1227"/>
      <c r="U42" s="1227"/>
      <c r="W42" s="1227"/>
      <c r="Y42" s="1229"/>
      <c r="AA42" s="454"/>
      <c r="AB42" s="454"/>
      <c r="AC42" s="454"/>
      <c r="AD42" s="454"/>
      <c r="AE42" s="454"/>
      <c r="AF42" s="454"/>
      <c r="AG42" s="454"/>
      <c r="AH42" s="454"/>
      <c r="AI42" s="454"/>
      <c r="AJ42" s="454"/>
      <c r="AK42" s="454"/>
    </row>
    <row r="43" spans="1:37" s="417" customFormat="1" ht="20.100000000000001" customHeight="1">
      <c r="A43" s="417" t="s">
        <v>445</v>
      </c>
      <c r="D43" s="565" t="e">
        <f>ROUND(VLOOKUP(A43,#REF!,3,FALSE),2)</f>
        <v>#REF!</v>
      </c>
      <c r="E43" s="565">
        <v>0</v>
      </c>
      <c r="F43" s="565">
        <v>0</v>
      </c>
      <c r="G43" s="565">
        <v>0</v>
      </c>
      <c r="H43" s="565">
        <v>0</v>
      </c>
      <c r="I43" s="458">
        <v>0</v>
      </c>
      <c r="J43" s="458">
        <v>0</v>
      </c>
      <c r="K43" s="458">
        <v>0</v>
      </c>
      <c r="O43" s="1229"/>
      <c r="Q43" s="1227"/>
      <c r="S43" s="1227"/>
      <c r="U43" s="1227"/>
      <c r="W43" s="1227"/>
      <c r="Y43" s="1229"/>
      <c r="AA43" s="454"/>
      <c r="AB43" s="454"/>
      <c r="AC43" s="454"/>
      <c r="AD43" s="454"/>
      <c r="AE43" s="454"/>
      <c r="AF43" s="454"/>
      <c r="AG43" s="454"/>
      <c r="AH43" s="454"/>
      <c r="AI43" s="454"/>
      <c r="AJ43" s="454"/>
      <c r="AK43" s="454"/>
    </row>
    <row r="44" spans="1:37" s="417" customFormat="1" ht="20.100000000000001" customHeight="1">
      <c r="A44" s="417" t="s">
        <v>446</v>
      </c>
      <c r="D44" s="565" t="e">
        <f>ROUND(VLOOKUP(A44,#REF!,3,FALSE),2)</f>
        <v>#REF!</v>
      </c>
      <c r="E44" s="565">
        <v>0</v>
      </c>
      <c r="F44" s="565">
        <v>0</v>
      </c>
      <c r="G44" s="565">
        <v>0</v>
      </c>
      <c r="H44" s="565">
        <v>0</v>
      </c>
      <c r="I44" s="458">
        <v>0</v>
      </c>
      <c r="J44" s="458">
        <v>0</v>
      </c>
      <c r="K44" s="458">
        <v>0</v>
      </c>
      <c r="O44" s="1229"/>
      <c r="Q44" s="1227"/>
      <c r="S44" s="1227"/>
      <c r="U44" s="1227"/>
      <c r="W44" s="1227"/>
      <c r="Y44" s="1229"/>
      <c r="AA44" s="454"/>
      <c r="AB44" s="454"/>
      <c r="AC44" s="454"/>
      <c r="AD44" s="454"/>
      <c r="AE44" s="454"/>
      <c r="AF44" s="454"/>
      <c r="AG44" s="454"/>
      <c r="AH44" s="454"/>
      <c r="AI44" s="454"/>
      <c r="AJ44" s="454"/>
      <c r="AK44" s="454"/>
    </row>
    <row r="45" spans="1:37" ht="18" hidden="1" customHeight="1">
      <c r="A45" s="417" t="s">
        <v>447</v>
      </c>
      <c r="D45" s="565" t="s">
        <v>58</v>
      </c>
      <c r="E45" s="565">
        <v>0</v>
      </c>
      <c r="F45" s="565">
        <v>0</v>
      </c>
      <c r="G45" s="565">
        <v>0</v>
      </c>
      <c r="H45" s="565">
        <v>0</v>
      </c>
      <c r="I45" s="458">
        <v>0</v>
      </c>
      <c r="J45" s="458"/>
      <c r="K45" s="458"/>
      <c r="O45" s="1229"/>
      <c r="Q45" s="1227"/>
      <c r="S45" s="1227"/>
      <c r="U45" s="1227"/>
      <c r="W45" s="1227"/>
      <c r="Y45" s="1226"/>
    </row>
    <row r="46" spans="1:37" ht="18" hidden="1" customHeight="1">
      <c r="A46" s="417" t="s">
        <v>572</v>
      </c>
      <c r="D46" s="565" t="s">
        <v>58</v>
      </c>
      <c r="E46" s="565">
        <v>0</v>
      </c>
      <c r="F46" s="565">
        <v>0</v>
      </c>
      <c r="G46" s="565">
        <v>0</v>
      </c>
      <c r="H46" s="565">
        <v>0</v>
      </c>
      <c r="I46" s="458">
        <v>0</v>
      </c>
      <c r="J46" s="458"/>
      <c r="K46" s="458"/>
      <c r="O46" s="1229"/>
      <c r="Q46" s="1227"/>
      <c r="S46" s="1227"/>
      <c r="U46" s="1227"/>
      <c r="W46" s="1227"/>
      <c r="Y46" s="1226"/>
    </row>
    <row r="47" spans="1:37" ht="13.9" hidden="1" customHeight="1">
      <c r="D47" s="565" t="s">
        <v>58</v>
      </c>
      <c r="I47" s="389"/>
      <c r="J47" s="389"/>
      <c r="K47" s="389"/>
      <c r="O47" s="1226"/>
      <c r="Q47" s="1226"/>
      <c r="S47" s="1226"/>
      <c r="U47" s="1226"/>
      <c r="W47" s="1226"/>
      <c r="Y47" s="1226"/>
    </row>
    <row r="48" spans="1:37" s="417" customFormat="1" ht="20.100000000000001" customHeight="1">
      <c r="A48" s="417" t="s">
        <v>448</v>
      </c>
      <c r="D48" s="565" t="e">
        <f>ROUND(VLOOKUP(A48,#REF!,3,FALSE),2)</f>
        <v>#REF!</v>
      </c>
      <c r="E48" s="565">
        <v>0</v>
      </c>
      <c r="F48" s="565">
        <v>0</v>
      </c>
      <c r="G48" s="565">
        <v>0</v>
      </c>
      <c r="H48" s="565">
        <v>0</v>
      </c>
      <c r="I48" s="458">
        <v>0</v>
      </c>
      <c r="J48" s="458">
        <v>0</v>
      </c>
      <c r="K48" s="458">
        <v>0</v>
      </c>
      <c r="O48" s="1229"/>
      <c r="Q48" s="1227"/>
      <c r="S48" s="1227"/>
      <c r="U48" s="1227"/>
      <c r="W48" s="1227"/>
      <c r="Y48" s="1229"/>
      <c r="AA48" s="454"/>
      <c r="AB48" s="454"/>
      <c r="AC48" s="454"/>
      <c r="AD48" s="454"/>
      <c r="AE48" s="454"/>
      <c r="AF48" s="454"/>
      <c r="AG48" s="454"/>
      <c r="AH48" s="454"/>
      <c r="AI48" s="454"/>
      <c r="AJ48" s="454"/>
      <c r="AK48" s="454"/>
    </row>
    <row r="49" spans="1:37" s="417" customFormat="1" ht="20.100000000000001" customHeight="1">
      <c r="A49" s="417" t="s">
        <v>683</v>
      </c>
      <c r="D49" s="565" t="e">
        <f>ROUND(VLOOKUP(A49,#REF!,3,FALSE),2)</f>
        <v>#REF!</v>
      </c>
      <c r="E49" s="565">
        <v>0</v>
      </c>
      <c r="F49" s="565">
        <v>0</v>
      </c>
      <c r="G49" s="565">
        <v>0</v>
      </c>
      <c r="H49" s="565">
        <v>0</v>
      </c>
      <c r="I49" s="458">
        <v>0</v>
      </c>
      <c r="J49" s="458">
        <v>0</v>
      </c>
      <c r="K49" s="458">
        <v>0</v>
      </c>
      <c r="O49" s="1229"/>
      <c r="Q49" s="1227"/>
      <c r="S49" s="1227"/>
      <c r="U49" s="1227"/>
      <c r="W49" s="1227"/>
      <c r="Y49" s="1229"/>
      <c r="AA49" s="454"/>
      <c r="AB49" s="454"/>
      <c r="AC49" s="454"/>
      <c r="AD49" s="454"/>
      <c r="AE49" s="454"/>
      <c r="AF49" s="454"/>
      <c r="AG49" s="454"/>
      <c r="AH49" s="454"/>
      <c r="AI49" s="454"/>
      <c r="AJ49" s="454"/>
      <c r="AK49" s="454"/>
    </row>
    <row r="50" spans="1:37" s="417" customFormat="1" ht="20.100000000000001" customHeight="1">
      <c r="A50" s="417" t="s">
        <v>450</v>
      </c>
      <c r="D50" s="565" t="e">
        <f>ROUND(VLOOKUP(A50,#REF!,3,FALSE),2)</f>
        <v>#REF!</v>
      </c>
      <c r="E50" s="565">
        <v>0</v>
      </c>
      <c r="F50" s="565">
        <v>0</v>
      </c>
      <c r="G50" s="565">
        <v>0</v>
      </c>
      <c r="H50" s="565">
        <v>0</v>
      </c>
      <c r="I50" s="458">
        <v>0</v>
      </c>
      <c r="J50" s="458">
        <v>0</v>
      </c>
      <c r="K50" s="458">
        <v>0</v>
      </c>
      <c r="O50" s="1229"/>
      <c r="Q50" s="1227"/>
      <c r="S50" s="1227"/>
      <c r="U50" s="1227"/>
      <c r="W50" s="1227"/>
      <c r="Y50" s="1229"/>
      <c r="AA50" s="454"/>
      <c r="AB50" s="454"/>
      <c r="AC50" s="454"/>
      <c r="AD50" s="454"/>
      <c r="AE50" s="454"/>
      <c r="AF50" s="454"/>
      <c r="AG50" s="454"/>
      <c r="AH50" s="454"/>
      <c r="AI50" s="454"/>
      <c r="AJ50" s="454"/>
      <c r="AK50" s="454"/>
    </row>
    <row r="51" spans="1:37" s="417" customFormat="1" ht="20.100000000000001" hidden="1" customHeight="1">
      <c r="A51" s="417" t="s">
        <v>451</v>
      </c>
      <c r="D51" s="565">
        <v>0</v>
      </c>
      <c r="E51" s="565">
        <v>0</v>
      </c>
      <c r="F51" s="565">
        <v>0</v>
      </c>
      <c r="G51" s="565">
        <v>0</v>
      </c>
      <c r="H51" s="565">
        <v>0</v>
      </c>
      <c r="I51" s="458">
        <v>0</v>
      </c>
      <c r="J51" s="458">
        <v>0</v>
      </c>
      <c r="K51" s="458">
        <v>0</v>
      </c>
      <c r="O51" s="1229"/>
      <c r="Q51" s="1227"/>
      <c r="S51" s="1227"/>
      <c r="U51" s="1227"/>
      <c r="W51" s="1227"/>
      <c r="Y51" s="1229"/>
      <c r="AA51" s="454"/>
      <c r="AB51" s="454"/>
      <c r="AC51" s="454"/>
      <c r="AD51" s="454"/>
      <c r="AE51" s="454"/>
      <c r="AF51" s="454"/>
      <c r="AG51" s="454"/>
      <c r="AH51" s="454"/>
      <c r="AI51" s="454"/>
      <c r="AJ51" s="454"/>
      <c r="AK51" s="454"/>
    </row>
    <row r="52" spans="1:37" s="417" customFormat="1" ht="20.100000000000001" hidden="1" customHeight="1">
      <c r="A52" s="417" t="s">
        <v>452</v>
      </c>
      <c r="D52" s="565" t="s">
        <v>58</v>
      </c>
      <c r="E52" s="925"/>
      <c r="F52" s="925"/>
      <c r="G52" s="565">
        <v>0</v>
      </c>
      <c r="H52" s="565">
        <v>0</v>
      </c>
      <c r="I52" s="458">
        <v>0</v>
      </c>
      <c r="J52" s="458"/>
      <c r="K52" s="458"/>
      <c r="O52" s="1229"/>
      <c r="Q52" s="1227"/>
      <c r="S52" s="1227"/>
      <c r="U52" s="1227"/>
      <c r="W52" s="1227"/>
      <c r="Y52" s="1229"/>
      <c r="AA52" s="454"/>
      <c r="AB52" s="454"/>
      <c r="AC52" s="454"/>
      <c r="AD52" s="454"/>
      <c r="AE52" s="454"/>
      <c r="AF52" s="454"/>
      <c r="AG52" s="454"/>
      <c r="AH52" s="454"/>
      <c r="AI52" s="454"/>
      <c r="AJ52" s="454"/>
      <c r="AK52" s="454"/>
    </row>
    <row r="53" spans="1:37" s="417" customFormat="1" ht="20.100000000000001" hidden="1" customHeight="1">
      <c r="A53" s="417" t="s">
        <v>453</v>
      </c>
      <c r="D53" s="565" t="s">
        <v>58</v>
      </c>
      <c r="E53" s="925"/>
      <c r="F53" s="925"/>
      <c r="G53" s="565">
        <v>0</v>
      </c>
      <c r="H53" s="565">
        <v>0</v>
      </c>
      <c r="I53" s="458">
        <v>0</v>
      </c>
      <c r="J53" s="458"/>
      <c r="K53" s="458"/>
      <c r="O53" s="1229"/>
      <c r="Q53" s="1227"/>
      <c r="S53" s="1227"/>
      <c r="U53" s="1227"/>
      <c r="W53" s="1227"/>
      <c r="Y53" s="1229"/>
      <c r="AA53" s="454"/>
      <c r="AB53" s="454"/>
      <c r="AC53" s="454"/>
      <c r="AD53" s="454"/>
      <c r="AE53" s="454"/>
      <c r="AF53" s="454"/>
      <c r="AG53" s="454"/>
      <c r="AH53" s="454"/>
      <c r="AI53" s="454"/>
      <c r="AJ53" s="454"/>
      <c r="AK53" s="454"/>
    </row>
    <row r="54" spans="1:37" ht="13.9" hidden="1" customHeight="1">
      <c r="D54" s="565" t="s">
        <v>58</v>
      </c>
      <c r="I54" s="389"/>
      <c r="J54" s="389"/>
      <c r="K54" s="389"/>
      <c r="O54" s="1226"/>
      <c r="Q54" s="1226"/>
      <c r="S54" s="1226"/>
      <c r="U54" s="1226"/>
      <c r="W54" s="1226"/>
      <c r="Y54" s="1226"/>
    </row>
    <row r="55" spans="1:37" ht="18" hidden="1" customHeight="1">
      <c r="A55" s="417" t="s">
        <v>796</v>
      </c>
      <c r="D55" s="565" t="s">
        <v>58</v>
      </c>
      <c r="E55" s="932"/>
      <c r="F55" s="932"/>
      <c r="G55" s="565">
        <v>0</v>
      </c>
      <c r="H55" s="565">
        <v>0</v>
      </c>
      <c r="I55" s="458">
        <v>0</v>
      </c>
      <c r="J55" s="458"/>
      <c r="K55" s="458"/>
      <c r="O55" s="1229"/>
      <c r="Q55" s="1227"/>
      <c r="S55" s="1227"/>
      <c r="U55" s="1227"/>
      <c r="W55" s="1227"/>
      <c r="Y55" s="1226"/>
    </row>
    <row r="56" spans="1:37" s="417" customFormat="1" ht="20.100000000000001" customHeight="1">
      <c r="A56" s="417" t="s">
        <v>454</v>
      </c>
      <c r="D56" s="565" t="e">
        <f>ROUND(VLOOKUP(A56,#REF!,3,FALSE),2)</f>
        <v>#REF!</v>
      </c>
      <c r="E56" s="565">
        <v>0</v>
      </c>
      <c r="F56" s="565">
        <v>0</v>
      </c>
      <c r="G56" s="565">
        <v>0</v>
      </c>
      <c r="H56" s="565">
        <v>0</v>
      </c>
      <c r="I56" s="458">
        <v>0</v>
      </c>
      <c r="J56" s="458">
        <v>0</v>
      </c>
      <c r="K56" s="458">
        <v>0</v>
      </c>
      <c r="O56" s="1229"/>
      <c r="Q56" s="1227"/>
      <c r="S56" s="1227"/>
      <c r="U56" s="1227"/>
      <c r="W56" s="1227"/>
      <c r="Y56" s="1229"/>
      <c r="AA56" s="454"/>
      <c r="AB56" s="454"/>
      <c r="AC56" s="454"/>
      <c r="AD56" s="454"/>
      <c r="AE56" s="454"/>
      <c r="AF56" s="454"/>
      <c r="AG56" s="454"/>
      <c r="AH56" s="454"/>
      <c r="AI56" s="454"/>
      <c r="AJ56" s="454"/>
      <c r="AK56" s="454"/>
    </row>
    <row r="57" spans="1:37" s="417" customFormat="1" ht="19.5" hidden="1" customHeight="1">
      <c r="A57" s="417" t="s">
        <v>455</v>
      </c>
      <c r="D57" s="565" t="s">
        <v>58</v>
      </c>
      <c r="E57" s="925"/>
      <c r="F57" s="925"/>
      <c r="G57" s="925"/>
      <c r="H57" s="565"/>
      <c r="I57" s="458"/>
      <c r="J57" s="458"/>
      <c r="K57" s="458"/>
      <c r="O57" s="1229"/>
      <c r="Q57" s="1227"/>
      <c r="S57" s="1227"/>
      <c r="U57" s="1227"/>
      <c r="W57" s="1227"/>
      <c r="Y57" s="1229"/>
      <c r="AA57" s="454"/>
      <c r="AB57" s="454"/>
      <c r="AC57" s="454"/>
      <c r="AD57" s="454"/>
      <c r="AE57" s="454"/>
      <c r="AF57" s="454"/>
      <c r="AG57" s="454"/>
      <c r="AH57" s="454"/>
      <c r="AI57" s="454"/>
      <c r="AJ57" s="454"/>
      <c r="AK57" s="454"/>
    </row>
    <row r="58" spans="1:37" s="417" customFormat="1" ht="20.100000000000001" customHeight="1">
      <c r="A58" s="417" t="s">
        <v>456</v>
      </c>
      <c r="D58" s="565" t="e">
        <f>ROUND(VLOOKUP(A58,#REF!,3,FALSE),2)</f>
        <v>#REF!</v>
      </c>
      <c r="E58" s="565">
        <v>0</v>
      </c>
      <c r="F58" s="565">
        <v>0</v>
      </c>
      <c r="G58" s="565">
        <v>0</v>
      </c>
      <c r="H58" s="565">
        <v>0</v>
      </c>
      <c r="I58" s="458">
        <v>0</v>
      </c>
      <c r="J58" s="458">
        <f>ROUND('School Crossing Guard'!L19,2)</f>
        <v>893012</v>
      </c>
      <c r="K58" s="458">
        <f>ROUND(Police!L27+'Drug Enforcement Agency'!L26-K71,2)</f>
        <v>1359256</v>
      </c>
      <c r="O58" s="1229"/>
      <c r="Q58" s="1227"/>
      <c r="S58" s="1227"/>
      <c r="U58" s="1227"/>
      <c r="W58" s="1227"/>
      <c r="Y58" s="1229"/>
      <c r="AA58" s="454"/>
      <c r="AB58" s="454"/>
      <c r="AC58" s="454"/>
      <c r="AD58" s="454"/>
      <c r="AE58" s="454"/>
      <c r="AF58" s="454"/>
      <c r="AG58" s="454"/>
      <c r="AH58" s="454"/>
      <c r="AI58" s="454"/>
      <c r="AJ58" s="454"/>
      <c r="AK58" s="454"/>
    </row>
    <row r="59" spans="1:37" s="417" customFormat="1" ht="20.100000000000001" hidden="1" customHeight="1">
      <c r="A59" s="417" t="s">
        <v>457</v>
      </c>
      <c r="D59" s="565" t="s">
        <v>58</v>
      </c>
      <c r="E59" s="565">
        <v>0</v>
      </c>
      <c r="F59" s="565">
        <v>0</v>
      </c>
      <c r="G59" s="565">
        <v>0</v>
      </c>
      <c r="H59" s="565">
        <v>0</v>
      </c>
      <c r="I59" s="458">
        <v>0</v>
      </c>
      <c r="J59" s="458"/>
      <c r="K59" s="458"/>
      <c r="O59" s="1229"/>
      <c r="Q59" s="1227"/>
      <c r="S59" s="1227"/>
      <c r="U59" s="1227"/>
      <c r="W59" s="1227"/>
      <c r="Y59" s="1229"/>
      <c r="AA59" s="454"/>
      <c r="AB59" s="454"/>
      <c r="AC59" s="454"/>
      <c r="AD59" s="454"/>
      <c r="AE59" s="454"/>
      <c r="AF59" s="454"/>
      <c r="AG59" s="454"/>
      <c r="AH59" s="454"/>
      <c r="AI59" s="454"/>
      <c r="AJ59" s="454"/>
      <c r="AK59" s="454"/>
    </row>
    <row r="60" spans="1:37" s="417" customFormat="1" ht="20.100000000000001" hidden="1" customHeight="1">
      <c r="A60" s="417" t="s">
        <v>458</v>
      </c>
      <c r="D60" s="565" t="s">
        <v>58</v>
      </c>
      <c r="E60" s="565">
        <v>0</v>
      </c>
      <c r="F60" s="565">
        <v>0</v>
      </c>
      <c r="G60" s="565">
        <v>0</v>
      </c>
      <c r="H60" s="565">
        <v>0</v>
      </c>
      <c r="I60" s="458">
        <v>0</v>
      </c>
      <c r="J60" s="458"/>
      <c r="K60" s="458"/>
      <c r="O60" s="1229"/>
      <c r="Q60" s="1227"/>
      <c r="S60" s="1227"/>
      <c r="U60" s="1227"/>
      <c r="W60" s="1227"/>
      <c r="Y60" s="1229"/>
      <c r="AA60" s="454"/>
      <c r="AB60" s="454"/>
      <c r="AC60" s="454"/>
      <c r="AD60" s="454"/>
      <c r="AE60" s="454"/>
      <c r="AF60" s="454"/>
      <c r="AG60" s="454"/>
      <c r="AH60" s="454"/>
      <c r="AI60" s="454"/>
      <c r="AJ60" s="454"/>
      <c r="AK60" s="454"/>
    </row>
    <row r="61" spans="1:37" s="417" customFormat="1" ht="20.100000000000001" customHeight="1">
      <c r="A61" s="417" t="s">
        <v>459</v>
      </c>
      <c r="D61" s="565" t="e">
        <f>ROUND(VLOOKUP(A61,#REF!,3,FALSE),2)</f>
        <v>#REF!</v>
      </c>
      <c r="E61" s="565">
        <v>0</v>
      </c>
      <c r="F61" s="565">
        <v>0</v>
      </c>
      <c r="G61" s="565">
        <v>0</v>
      </c>
      <c r="H61" s="565">
        <v>0</v>
      </c>
      <c r="I61" s="458">
        <v>0</v>
      </c>
      <c r="J61" s="458">
        <v>0</v>
      </c>
      <c r="K61" s="458">
        <v>0</v>
      </c>
      <c r="O61" s="1229"/>
      <c r="Q61" s="1227"/>
      <c r="S61" s="1227"/>
      <c r="U61" s="1227"/>
      <c r="W61" s="1227"/>
      <c r="Y61" s="1229"/>
      <c r="AA61" s="454"/>
      <c r="AB61" s="454"/>
      <c r="AC61" s="454"/>
      <c r="AD61" s="454"/>
      <c r="AE61" s="454"/>
      <c r="AF61" s="454"/>
      <c r="AG61" s="454"/>
      <c r="AH61" s="454"/>
      <c r="AI61" s="454"/>
      <c r="AJ61" s="454"/>
      <c r="AK61" s="454"/>
    </row>
    <row r="62" spans="1:37" s="417" customFormat="1" ht="20.100000000000001" customHeight="1">
      <c r="A62" s="417" t="s">
        <v>570</v>
      </c>
      <c r="D62" s="565" t="e">
        <f>ROUND(VLOOKUP(A62,#REF!,3,FALSE),2)</f>
        <v>#REF!</v>
      </c>
      <c r="E62" s="565">
        <f>ROUND('CRA-Beach'!L28+'CRA-NW Progresso'!L29-'CRA-Beach'!L27-'CRA-NW Progresso'!L25,2)</f>
        <v>12213467</v>
      </c>
      <c r="F62" s="925">
        <v>0</v>
      </c>
      <c r="G62" s="565">
        <f>ROUND('Beach Bus Improv District'!L21,2)</f>
        <v>699107</v>
      </c>
      <c r="H62" s="925">
        <f>ROUND('Housing and Community Dev'!L27-'Housing and Community Dev'!L26,2)</f>
        <v>9371773</v>
      </c>
      <c r="I62" s="460" t="e">
        <f>ROUND(#REF!+#REF!+#REF!-#REF!,2)</f>
        <v>#REF!</v>
      </c>
      <c r="J62" s="460">
        <v>0</v>
      </c>
      <c r="K62" s="460">
        <v>0</v>
      </c>
      <c r="O62" s="1229"/>
      <c r="Q62" s="1227"/>
      <c r="S62" s="1227"/>
      <c r="U62" s="1227"/>
      <c r="W62" s="1227"/>
      <c r="Y62" s="1229"/>
      <c r="AA62" s="454"/>
      <c r="AB62" s="454"/>
      <c r="AC62" s="454"/>
      <c r="AD62" s="454"/>
      <c r="AE62" s="454"/>
      <c r="AF62" s="454"/>
      <c r="AG62" s="454"/>
      <c r="AH62" s="454"/>
      <c r="AI62" s="454"/>
      <c r="AJ62" s="454"/>
      <c r="AK62" s="454"/>
    </row>
    <row r="63" spans="1:37" s="417" customFormat="1" ht="20.100000000000001" customHeight="1">
      <c r="A63" s="417" t="s">
        <v>476</v>
      </c>
      <c r="D63" s="565" t="e">
        <f>ROUND(VLOOKUP(A63,#REF!,3,FALSE),2)</f>
        <v>#REF!</v>
      </c>
      <c r="E63" s="565">
        <v>0</v>
      </c>
      <c r="F63" s="565">
        <v>0</v>
      </c>
      <c r="G63" s="565">
        <v>0</v>
      </c>
      <c r="H63" s="565">
        <v>0</v>
      </c>
      <c r="I63" s="458">
        <v>0</v>
      </c>
      <c r="J63" s="458">
        <v>0</v>
      </c>
      <c r="K63" s="458">
        <v>0</v>
      </c>
      <c r="O63" s="1229"/>
      <c r="Q63" s="1227"/>
      <c r="S63" s="1227"/>
      <c r="U63" s="1227"/>
      <c r="W63" s="1227"/>
      <c r="Y63" s="1229"/>
      <c r="AA63" s="454"/>
      <c r="AB63" s="454"/>
      <c r="AC63" s="454"/>
      <c r="AD63" s="454"/>
      <c r="AE63" s="454"/>
      <c r="AF63" s="454"/>
      <c r="AG63" s="454"/>
      <c r="AH63" s="454"/>
      <c r="AI63" s="454"/>
      <c r="AJ63" s="454"/>
      <c r="AK63" s="454"/>
    </row>
    <row r="64" spans="1:37" s="417" customFormat="1" ht="20.100000000000001" hidden="1" customHeight="1">
      <c r="A64" s="417" t="s">
        <v>16</v>
      </c>
      <c r="D64" s="565" t="s">
        <v>58</v>
      </c>
      <c r="E64" s="925"/>
      <c r="F64" s="925"/>
      <c r="G64" s="925"/>
      <c r="H64" s="925"/>
      <c r="I64" s="460"/>
      <c r="J64" s="460"/>
      <c r="K64" s="460"/>
      <c r="O64" s="1232"/>
      <c r="Q64" s="1227"/>
      <c r="S64" s="1227"/>
      <c r="U64" s="1227"/>
      <c r="W64" s="1227"/>
      <c r="Y64" s="1229"/>
      <c r="AA64" s="454"/>
      <c r="AB64" s="454"/>
      <c r="AC64" s="454"/>
      <c r="AD64" s="454"/>
      <c r="AE64" s="454"/>
      <c r="AF64" s="454"/>
      <c r="AG64" s="454"/>
      <c r="AH64" s="454"/>
      <c r="AI64" s="454"/>
      <c r="AJ64" s="454"/>
      <c r="AK64" s="454"/>
    </row>
    <row r="65" spans="1:37" s="417" customFormat="1" ht="20.100000000000001" hidden="1" customHeight="1">
      <c r="A65" s="417" t="s">
        <v>461</v>
      </c>
      <c r="D65" s="925" t="s">
        <v>58</v>
      </c>
      <c r="E65" s="925"/>
      <c r="F65" s="925"/>
      <c r="G65" s="925"/>
      <c r="H65" s="925"/>
      <c r="I65" s="460"/>
      <c r="J65" s="460"/>
      <c r="K65" s="460"/>
      <c r="O65" s="1232"/>
      <c r="Q65" s="1227"/>
      <c r="S65" s="1227"/>
      <c r="U65" s="1227"/>
      <c r="W65" s="1227"/>
      <c r="Y65" s="1229"/>
      <c r="AA65" s="454"/>
      <c r="AB65" s="454"/>
      <c r="AC65" s="454"/>
      <c r="AD65" s="454"/>
      <c r="AE65" s="454"/>
      <c r="AF65" s="454"/>
      <c r="AG65" s="454"/>
      <c r="AH65" s="454"/>
      <c r="AI65" s="454"/>
      <c r="AJ65" s="454"/>
      <c r="AK65" s="454"/>
    </row>
    <row r="66" spans="1:37" s="363" customFormat="1" ht="18.75">
      <c r="A66" s="454" t="s">
        <v>16</v>
      </c>
      <c r="D66" s="565" t="e">
        <f>ROUND(VLOOKUP(A66,#REF!,3,FALSE),2)</f>
        <v>#REF!</v>
      </c>
      <c r="E66" s="565">
        <v>0</v>
      </c>
      <c r="F66" s="565">
        <v>0</v>
      </c>
      <c r="G66" s="565">
        <v>0</v>
      </c>
      <c r="H66" s="565">
        <v>0</v>
      </c>
      <c r="I66" s="458">
        <v>0</v>
      </c>
      <c r="J66" s="458">
        <v>0</v>
      </c>
      <c r="K66" s="458">
        <v>0</v>
      </c>
      <c r="O66" s="1229"/>
      <c r="Q66" s="1227"/>
      <c r="S66" s="1227"/>
      <c r="U66" s="1227"/>
      <c r="W66" s="1227"/>
      <c r="Y66" s="1226"/>
    </row>
    <row r="67" spans="1:37" s="417" customFormat="1" ht="20.100000000000001" customHeight="1">
      <c r="A67" s="417" t="s">
        <v>460</v>
      </c>
      <c r="D67" s="565" t="e">
        <f>ROUND(VLOOKUP(A67,#REF!,3,FALSE),2)</f>
        <v>#REF!</v>
      </c>
      <c r="E67" s="925">
        <v>0</v>
      </c>
      <c r="F67" s="565">
        <f>'Sunrise Key'!L21</f>
        <v>80308.3</v>
      </c>
      <c r="G67" s="565">
        <v>0</v>
      </c>
      <c r="H67" s="565">
        <v>0</v>
      </c>
      <c r="I67" s="458">
        <v>0</v>
      </c>
      <c r="J67" s="458">
        <v>0</v>
      </c>
      <c r="K67" s="458">
        <v>0</v>
      </c>
      <c r="O67" s="1229"/>
      <c r="Q67" s="1227"/>
      <c r="S67" s="1227"/>
      <c r="U67" s="1227"/>
      <c r="W67" s="1227"/>
      <c r="Y67" s="1229"/>
      <c r="AA67" s="454"/>
      <c r="AB67" s="454"/>
      <c r="AC67" s="454"/>
      <c r="AD67" s="454"/>
      <c r="AE67" s="454"/>
      <c r="AF67" s="454"/>
      <c r="AG67" s="454"/>
      <c r="AH67" s="454"/>
      <c r="AI67" s="454"/>
      <c r="AJ67" s="454"/>
      <c r="AK67" s="454"/>
    </row>
    <row r="68" spans="1:37" s="417" customFormat="1" ht="20.100000000000001" customHeight="1">
      <c r="A68" s="417" t="s">
        <v>574</v>
      </c>
      <c r="C68" s="417" t="s">
        <v>424</v>
      </c>
      <c r="D68" s="917" t="e">
        <f t="shared" ref="D68:K68" si="3">SUM(D40:D67)</f>
        <v>#REF!</v>
      </c>
      <c r="E68" s="917">
        <f t="shared" si="3"/>
        <v>12213467</v>
      </c>
      <c r="F68" s="917">
        <f t="shared" si="3"/>
        <v>80308.3</v>
      </c>
      <c r="G68" s="917">
        <f t="shared" si="3"/>
        <v>699107</v>
      </c>
      <c r="H68" s="917">
        <f t="shared" si="3"/>
        <v>9371773</v>
      </c>
      <c r="I68" s="463" t="e">
        <f t="shared" si="3"/>
        <v>#REF!</v>
      </c>
      <c r="J68" s="463">
        <f t="shared" si="3"/>
        <v>893012</v>
      </c>
      <c r="K68" s="463">
        <f t="shared" si="3"/>
        <v>1359256</v>
      </c>
      <c r="O68" s="1230">
        <v>0</v>
      </c>
      <c r="Q68" s="1230">
        <v>0</v>
      </c>
      <c r="S68" s="1230">
        <v>0</v>
      </c>
      <c r="U68" s="1230">
        <v>0</v>
      </c>
      <c r="W68" s="1230">
        <v>0</v>
      </c>
      <c r="Y68" s="1230">
        <v>0</v>
      </c>
      <c r="AA68" s="454"/>
      <c r="AB68" s="454"/>
      <c r="AC68" s="454"/>
      <c r="AD68" s="454"/>
      <c r="AE68" s="454"/>
      <c r="AF68" s="454"/>
      <c r="AG68" s="454"/>
      <c r="AH68" s="454"/>
      <c r="AI68" s="454"/>
      <c r="AJ68" s="454"/>
      <c r="AK68" s="454"/>
    </row>
    <row r="69" spans="1:37" s="417" customFormat="1" ht="12.75" customHeight="1">
      <c r="D69" s="951"/>
      <c r="E69" s="565"/>
      <c r="F69" s="565"/>
      <c r="G69" s="565"/>
      <c r="H69" s="565"/>
      <c r="I69" s="458"/>
      <c r="J69" s="458"/>
      <c r="K69" s="458"/>
      <c r="O69" s="1229"/>
      <c r="Q69" s="1227"/>
      <c r="S69" s="1227"/>
      <c r="U69" s="1227"/>
      <c r="W69" s="1227"/>
      <c r="Y69" s="1229"/>
      <c r="AA69" s="454"/>
      <c r="AB69" s="454"/>
      <c r="AC69" s="454"/>
      <c r="AD69" s="454"/>
      <c r="AE69" s="454"/>
      <c r="AF69" s="454"/>
      <c r="AG69" s="454"/>
      <c r="AH69" s="454"/>
      <c r="AI69" s="454"/>
      <c r="AJ69" s="454"/>
      <c r="AK69" s="454"/>
    </row>
    <row r="70" spans="1:37" s="417" customFormat="1" ht="14.25" customHeight="1">
      <c r="A70" s="417" t="s">
        <v>462</v>
      </c>
      <c r="D70" s="951"/>
      <c r="E70" s="565"/>
      <c r="F70" s="565"/>
      <c r="G70" s="565"/>
      <c r="H70" s="565"/>
      <c r="I70" s="458"/>
      <c r="J70" s="458"/>
      <c r="K70" s="458"/>
      <c r="O70" s="1229"/>
      <c r="Q70" s="1227"/>
      <c r="S70" s="1227"/>
      <c r="U70" s="1227"/>
      <c r="W70" s="1227"/>
      <c r="Y70" s="1229"/>
      <c r="AA70" s="454"/>
      <c r="AB70" s="454"/>
      <c r="AC70" s="454"/>
      <c r="AD70" s="454"/>
      <c r="AE70" s="454"/>
      <c r="AF70" s="454"/>
      <c r="AG70" s="454"/>
      <c r="AH70" s="454"/>
      <c r="AI70" s="454"/>
      <c r="AJ70" s="454"/>
      <c r="AK70" s="454"/>
    </row>
    <row r="71" spans="1:37" s="417" customFormat="1" ht="18" customHeight="1">
      <c r="A71" s="417" t="s">
        <v>463</v>
      </c>
      <c r="D71" s="565">
        <f>ROUND('Budget Balancing I&amp;O'!J34-'Budget Balancing I&amp;O'!J31-'Budget Balancing I&amp;O'!J26,2)</f>
        <v>26954467.829999998</v>
      </c>
      <c r="E71" s="565" t="e">
        <f>ROUND(#REF!+#REF!+#REF!,2)</f>
        <v>#REF!</v>
      </c>
      <c r="F71" s="565">
        <v>0</v>
      </c>
      <c r="G71" s="565">
        <v>0</v>
      </c>
      <c r="H71" s="565">
        <v>0</v>
      </c>
      <c r="I71" s="458" t="e">
        <f>ROUND(#REF!,2)</f>
        <v>#REF!</v>
      </c>
      <c r="J71" s="458">
        <v>0</v>
      </c>
      <c r="K71" s="458">
        <f>ROUND(Police!L26,2)</f>
        <v>30229</v>
      </c>
      <c r="O71" s="1229"/>
      <c r="Q71" s="1227">
        <v>0</v>
      </c>
      <c r="S71" s="1227">
        <v>0</v>
      </c>
      <c r="U71" s="1227">
        <v>0</v>
      </c>
      <c r="W71" s="1227">
        <v>0</v>
      </c>
      <c r="Y71" s="1227">
        <v>0</v>
      </c>
      <c r="AA71" s="454"/>
      <c r="AB71" s="454"/>
      <c r="AC71" s="454"/>
      <c r="AD71" s="454"/>
      <c r="AE71" s="454"/>
      <c r="AF71" s="454"/>
      <c r="AG71" s="454"/>
      <c r="AH71" s="454"/>
      <c r="AI71" s="454"/>
      <c r="AJ71" s="454"/>
      <c r="AK71" s="454"/>
    </row>
    <row r="72" spans="1:37" s="417" customFormat="1" ht="18" customHeight="1">
      <c r="A72" s="417" t="s">
        <v>464</v>
      </c>
      <c r="D72" s="565">
        <f>ROUND('[1]GF Expend'!$G$55,2)</f>
        <v>0</v>
      </c>
      <c r="E72" s="565">
        <v>0</v>
      </c>
      <c r="F72" s="565">
        <v>0</v>
      </c>
      <c r="G72" s="565">
        <v>0</v>
      </c>
      <c r="H72" s="565">
        <v>0</v>
      </c>
      <c r="I72" s="458">
        <v>0</v>
      </c>
      <c r="J72" s="458">
        <v>0</v>
      </c>
      <c r="K72" s="458">
        <v>0</v>
      </c>
      <c r="O72" s="1229"/>
      <c r="Q72" s="1227"/>
      <c r="S72" s="1227"/>
      <c r="U72" s="1227"/>
      <c r="W72" s="1227"/>
      <c r="Y72" s="1229"/>
      <c r="AA72" s="454"/>
      <c r="AB72" s="454"/>
      <c r="AC72" s="454"/>
      <c r="AD72" s="454"/>
      <c r="AE72" s="454"/>
      <c r="AF72" s="454"/>
      <c r="AG72" s="454"/>
      <c r="AH72" s="454"/>
      <c r="AI72" s="454"/>
      <c r="AJ72" s="454"/>
      <c r="AK72" s="454"/>
    </row>
    <row r="73" spans="1:37" s="417" customFormat="1" ht="18" customHeight="1">
      <c r="A73" s="417" t="s">
        <v>465</v>
      </c>
      <c r="D73" s="952">
        <f>ROUND('[1]GF Expend'!$G$56,2)</f>
        <v>0</v>
      </c>
      <c r="E73" s="565" t="e">
        <f>ROUND('CRA-Beach'!L27+'CRA-NW Progresso'!L25-E71,2)</f>
        <v>#REF!</v>
      </c>
      <c r="F73" s="565">
        <v>0</v>
      </c>
      <c r="G73" s="565">
        <v>0</v>
      </c>
      <c r="H73" s="565">
        <f>ROUND('Housing and Community Dev'!L26,2)</f>
        <v>0</v>
      </c>
      <c r="I73" s="458">
        <v>0</v>
      </c>
      <c r="J73" s="458">
        <v>0</v>
      </c>
      <c r="K73" s="458">
        <v>0</v>
      </c>
      <c r="O73" s="1229"/>
      <c r="Q73" s="1227"/>
      <c r="S73" s="1227"/>
      <c r="U73" s="1227"/>
      <c r="W73" s="1227"/>
      <c r="Y73" s="1229"/>
      <c r="AA73" s="454"/>
      <c r="AB73" s="454"/>
      <c r="AC73" s="454"/>
      <c r="AD73" s="454"/>
      <c r="AE73" s="454"/>
      <c r="AF73" s="454"/>
      <c r="AG73" s="454"/>
      <c r="AH73" s="454"/>
      <c r="AI73" s="454"/>
      <c r="AJ73" s="454"/>
      <c r="AK73" s="454"/>
    </row>
    <row r="74" spans="1:37" s="417" customFormat="1" ht="18" customHeight="1">
      <c r="A74" s="417" t="s">
        <v>587</v>
      </c>
      <c r="C74" s="417" t="s">
        <v>424</v>
      </c>
      <c r="D74" s="949">
        <f t="shared" ref="D74:K74" si="4">SUM(D71:D73)</f>
        <v>26954467.829999998</v>
      </c>
      <c r="E74" s="917" t="e">
        <f t="shared" si="4"/>
        <v>#REF!</v>
      </c>
      <c r="F74" s="917">
        <f t="shared" si="4"/>
        <v>0</v>
      </c>
      <c r="G74" s="917">
        <f t="shared" si="4"/>
        <v>0</v>
      </c>
      <c r="H74" s="917">
        <f t="shared" si="4"/>
        <v>0</v>
      </c>
      <c r="I74" s="463" t="e">
        <f t="shared" si="4"/>
        <v>#REF!</v>
      </c>
      <c r="J74" s="463">
        <f t="shared" si="4"/>
        <v>0</v>
      </c>
      <c r="K74" s="463">
        <f t="shared" si="4"/>
        <v>30229</v>
      </c>
      <c r="O74" s="1229"/>
      <c r="Q74" s="1227">
        <v>0</v>
      </c>
      <c r="S74" s="1227">
        <v>0</v>
      </c>
      <c r="U74" s="1227">
        <v>0</v>
      </c>
      <c r="W74" s="1227">
        <v>0</v>
      </c>
      <c r="Y74" s="1229">
        <v>0</v>
      </c>
      <c r="AA74" s="454"/>
      <c r="AB74" s="454"/>
      <c r="AC74" s="454"/>
      <c r="AD74" s="454"/>
      <c r="AE74" s="454"/>
      <c r="AF74" s="454"/>
      <c r="AG74" s="454"/>
      <c r="AH74" s="454"/>
      <c r="AI74" s="454"/>
      <c r="AJ74" s="454"/>
      <c r="AK74" s="454"/>
    </row>
    <row r="75" spans="1:37" s="417" customFormat="1" ht="18.75">
      <c r="D75" s="951"/>
      <c r="E75" s="565"/>
      <c r="F75" s="565"/>
      <c r="G75" s="565"/>
      <c r="H75" s="565"/>
      <c r="I75" s="458"/>
      <c r="J75" s="458"/>
      <c r="K75" s="458"/>
      <c r="O75" s="1229"/>
      <c r="Q75" s="1227"/>
      <c r="S75" s="1227"/>
      <c r="U75" s="1227"/>
      <c r="W75" s="1227"/>
      <c r="Y75" s="1229"/>
      <c r="AA75" s="454"/>
      <c r="AB75" s="454"/>
      <c r="AC75" s="454"/>
      <c r="AD75" s="454"/>
      <c r="AE75" s="454"/>
      <c r="AF75" s="454"/>
      <c r="AG75" s="454"/>
      <c r="AH75" s="454"/>
      <c r="AI75" s="454"/>
      <c r="AJ75" s="454"/>
      <c r="AK75" s="454"/>
    </row>
    <row r="76" spans="1:37" s="417" customFormat="1" ht="17.25" customHeight="1">
      <c r="A76" s="417" t="s">
        <v>466</v>
      </c>
      <c r="D76" s="951"/>
      <c r="E76" s="565"/>
      <c r="F76" s="565"/>
      <c r="G76" s="565"/>
      <c r="H76" s="565"/>
      <c r="I76" s="458"/>
      <c r="J76" s="458"/>
      <c r="K76" s="458"/>
      <c r="O76" s="1229"/>
      <c r="Q76" s="1227"/>
      <c r="S76" s="1227"/>
      <c r="U76" s="1227"/>
      <c r="W76" s="1227"/>
      <c r="Y76" s="1229"/>
      <c r="AA76" s="454"/>
      <c r="AB76" s="454"/>
      <c r="AC76" s="454"/>
      <c r="AD76" s="454"/>
      <c r="AE76" s="454"/>
      <c r="AF76" s="454"/>
      <c r="AG76" s="454"/>
      <c r="AH76" s="454"/>
      <c r="AI76" s="454"/>
      <c r="AJ76" s="454"/>
      <c r="AK76" s="454"/>
    </row>
    <row r="77" spans="1:37" s="417" customFormat="1" ht="18" customHeight="1">
      <c r="A77" s="417" t="s">
        <v>36</v>
      </c>
      <c r="D77" s="565">
        <f>ROUND('001 General Fund'!K53,2)</f>
        <v>54350613</v>
      </c>
      <c r="E77" s="565">
        <f>ROUND('CRA-NW Progresso'!L32,2)</f>
        <v>0</v>
      </c>
      <c r="F77" s="565">
        <f>ROUND('Sunrise Key'!L24,2)</f>
        <v>99940.17</v>
      </c>
      <c r="G77" s="565">
        <f>ROUND('Beach Bus Improv District'!L25,2)</f>
        <v>404874</v>
      </c>
      <c r="H77" s="565">
        <v>0</v>
      </c>
      <c r="I77" s="458" t="e">
        <f>ROUND(#REF!+#REF!+#REF!,2)</f>
        <v>#REF!</v>
      </c>
      <c r="J77" s="458">
        <v>0</v>
      </c>
      <c r="K77" s="458">
        <f>ROUND(Police!L31+'Drug Enforcement Agency'!L30,2)</f>
        <v>610487</v>
      </c>
      <c r="O77" s="1229"/>
      <c r="Q77" s="1227"/>
      <c r="S77" s="1227"/>
      <c r="U77" s="1227"/>
      <c r="W77" s="1227"/>
      <c r="Y77" s="1229"/>
      <c r="AA77" s="454"/>
      <c r="AB77" s="454"/>
      <c r="AC77" s="454"/>
      <c r="AD77" s="454"/>
      <c r="AE77" s="454"/>
      <c r="AF77" s="454"/>
      <c r="AG77" s="454"/>
      <c r="AH77" s="454"/>
      <c r="AI77" s="454"/>
      <c r="AJ77" s="454"/>
      <c r="AK77" s="454"/>
    </row>
    <row r="78" spans="1:37" s="417" customFormat="1" ht="18" customHeight="1">
      <c r="A78" s="417" t="s">
        <v>782</v>
      </c>
      <c r="D78" s="565">
        <f>ROUND('001 General Fund'!K52-D79,2)</f>
        <v>-3111321</v>
      </c>
      <c r="E78" s="565">
        <v>0</v>
      </c>
      <c r="F78" s="565">
        <v>0</v>
      </c>
      <c r="G78" s="565">
        <v>0</v>
      </c>
      <c r="H78" s="565">
        <v>0</v>
      </c>
      <c r="I78" s="458">
        <v>0</v>
      </c>
      <c r="J78" s="458">
        <v>0</v>
      </c>
      <c r="K78" s="458">
        <v>0</v>
      </c>
      <c r="O78" s="1227">
        <v>0</v>
      </c>
      <c r="Q78" s="1227">
        <v>0</v>
      </c>
      <c r="S78" s="1227">
        <v>0</v>
      </c>
      <c r="U78" s="1227">
        <v>0</v>
      </c>
      <c r="W78" s="1227">
        <v>0</v>
      </c>
      <c r="Y78" s="1227">
        <v>0</v>
      </c>
      <c r="AA78" s="454"/>
      <c r="AB78" s="454"/>
      <c r="AC78" s="454"/>
      <c r="AD78" s="454"/>
      <c r="AE78" s="454"/>
      <c r="AF78" s="454"/>
      <c r="AG78" s="454"/>
      <c r="AH78" s="454"/>
      <c r="AI78" s="454"/>
      <c r="AJ78" s="454"/>
      <c r="AK78" s="454"/>
    </row>
    <row r="79" spans="1:37" s="417" customFormat="1" ht="18" customHeight="1">
      <c r="A79" s="417" t="s">
        <v>690</v>
      </c>
      <c r="D79" s="565">
        <f>ROUND('Budget Balancing I&amp;O'!J36,2)</f>
        <v>4000000</v>
      </c>
      <c r="E79" s="565">
        <v>0</v>
      </c>
      <c r="F79" s="565">
        <v>0</v>
      </c>
      <c r="G79" s="565">
        <v>0</v>
      </c>
      <c r="H79" s="565">
        <v>0</v>
      </c>
      <c r="I79" s="458">
        <v>0</v>
      </c>
      <c r="J79" s="458">
        <v>0</v>
      </c>
      <c r="K79" s="458">
        <v>0</v>
      </c>
      <c r="O79" s="1227"/>
      <c r="Q79" s="1227"/>
      <c r="S79" s="1227"/>
      <c r="U79" s="1227"/>
      <c r="W79" s="1227"/>
      <c r="Y79" s="1227"/>
      <c r="AA79" s="454"/>
      <c r="AB79" s="454"/>
      <c r="AC79" s="454"/>
      <c r="AD79" s="454"/>
      <c r="AE79" s="454"/>
      <c r="AF79" s="454"/>
      <c r="AG79" s="454"/>
      <c r="AH79" s="454"/>
      <c r="AI79" s="454"/>
      <c r="AJ79" s="454"/>
      <c r="AK79" s="454"/>
    </row>
    <row r="80" spans="1:37" s="417" customFormat="1" ht="18" customHeight="1">
      <c r="A80" s="417" t="s">
        <v>29</v>
      </c>
      <c r="D80" s="926">
        <v>0</v>
      </c>
      <c r="E80" s="926">
        <v>0</v>
      </c>
      <c r="F80" s="565">
        <v>0</v>
      </c>
      <c r="G80" s="565">
        <v>0</v>
      </c>
      <c r="H80" s="565">
        <v>0</v>
      </c>
      <c r="I80" s="458" t="e">
        <f>ROUND(#REF!+#REF!+#REF!,2)</f>
        <v>#REF!</v>
      </c>
      <c r="J80" s="458">
        <v>0</v>
      </c>
      <c r="K80" s="458">
        <v>0</v>
      </c>
      <c r="O80" s="1229"/>
      <c r="Q80" s="1227"/>
      <c r="S80" s="1227"/>
      <c r="U80" s="1227"/>
      <c r="W80" s="1227"/>
      <c r="Y80" s="1229"/>
      <c r="AA80" s="454"/>
      <c r="AB80" s="454"/>
      <c r="AC80" s="454"/>
      <c r="AD80" s="454"/>
      <c r="AE80" s="454"/>
      <c r="AF80" s="454"/>
      <c r="AG80" s="454"/>
      <c r="AH80" s="454"/>
      <c r="AI80" s="454"/>
      <c r="AJ80" s="454"/>
      <c r="AK80" s="454"/>
    </row>
    <row r="81" spans="1:37" s="417" customFormat="1" ht="18" customHeight="1">
      <c r="A81" s="417" t="s">
        <v>468</v>
      </c>
      <c r="C81" s="417" t="s">
        <v>424</v>
      </c>
      <c r="D81" s="949">
        <f>SUM(D77:D80)</f>
        <v>55239292</v>
      </c>
      <c r="E81" s="917">
        <f t="shared" ref="E81:K81" si="5">SUM(E77:E80)</f>
        <v>0</v>
      </c>
      <c r="F81" s="917">
        <f t="shared" si="5"/>
        <v>99940.17</v>
      </c>
      <c r="G81" s="917">
        <f t="shared" si="5"/>
        <v>404874</v>
      </c>
      <c r="H81" s="917">
        <f t="shared" si="5"/>
        <v>0</v>
      </c>
      <c r="I81" s="463" t="e">
        <f t="shared" si="5"/>
        <v>#REF!</v>
      </c>
      <c r="J81" s="463">
        <f t="shared" si="5"/>
        <v>0</v>
      </c>
      <c r="K81" s="463">
        <f t="shared" si="5"/>
        <v>610487</v>
      </c>
      <c r="O81" s="1229"/>
      <c r="Q81" s="1227"/>
      <c r="S81" s="1227"/>
      <c r="U81" s="1227"/>
      <c r="W81" s="1227"/>
      <c r="Y81" s="1229"/>
      <c r="AA81" s="454"/>
      <c r="AB81" s="454"/>
      <c r="AC81" s="454"/>
      <c r="AD81" s="454"/>
      <c r="AE81" s="454"/>
      <c r="AF81" s="454"/>
      <c r="AG81" s="454"/>
      <c r="AH81" s="454"/>
      <c r="AI81" s="454"/>
      <c r="AJ81" s="454"/>
      <c r="AK81" s="454"/>
    </row>
    <row r="82" spans="1:37" s="417" customFormat="1" ht="8.25" customHeight="1">
      <c r="D82" s="953"/>
      <c r="E82" s="927"/>
      <c r="F82" s="927"/>
      <c r="G82" s="927"/>
      <c r="H82" s="927"/>
      <c r="I82" s="461"/>
      <c r="J82" s="461"/>
      <c r="K82" s="461"/>
      <c r="O82" s="1229"/>
      <c r="Q82" s="1229"/>
      <c r="S82" s="1229"/>
      <c r="U82" s="1229"/>
      <c r="W82" s="1229"/>
      <c r="Y82" s="1229"/>
      <c r="AA82" s="454"/>
      <c r="AB82" s="454"/>
      <c r="AC82" s="454"/>
      <c r="AD82" s="454"/>
      <c r="AE82" s="454"/>
      <c r="AF82" s="454"/>
      <c r="AG82" s="454"/>
      <c r="AH82" s="454"/>
      <c r="AI82" s="454"/>
      <c r="AJ82" s="454"/>
      <c r="AK82" s="454"/>
    </row>
    <row r="83" spans="1:37" s="417" customFormat="1" ht="21.95" customHeight="1" thickBot="1">
      <c r="A83" s="476" t="s">
        <v>25</v>
      </c>
      <c r="B83" s="449"/>
      <c r="C83" s="417" t="s">
        <v>424</v>
      </c>
      <c r="D83" s="920" t="e">
        <f>D68+D74+D81</f>
        <v>#REF!</v>
      </c>
      <c r="E83" s="920" t="e">
        <f>E68+E74+E81</f>
        <v>#REF!</v>
      </c>
      <c r="F83" s="920">
        <f t="shared" ref="F83:J83" si="6">F68+F74+F81</f>
        <v>180248.47</v>
      </c>
      <c r="G83" s="920">
        <f t="shared" si="6"/>
        <v>1103981</v>
      </c>
      <c r="H83" s="920">
        <f t="shared" si="6"/>
        <v>9371773</v>
      </c>
      <c r="I83" s="480" t="e">
        <f t="shared" si="6"/>
        <v>#REF!</v>
      </c>
      <c r="J83" s="480">
        <f t="shared" si="6"/>
        <v>893012</v>
      </c>
      <c r="K83" s="480">
        <f>K68+K74+K81</f>
        <v>1999972</v>
      </c>
      <c r="O83" s="1229"/>
      <c r="Q83" s="1237">
        <v>0</v>
      </c>
      <c r="S83" s="1237">
        <v>0</v>
      </c>
      <c r="U83" s="1237">
        <v>0</v>
      </c>
      <c r="W83" s="1237">
        <v>0</v>
      </c>
      <c r="Y83" s="1237">
        <v>0</v>
      </c>
      <c r="AA83" s="454"/>
      <c r="AB83" s="454"/>
      <c r="AC83" s="454"/>
      <c r="AD83" s="454"/>
      <c r="AE83" s="454"/>
      <c r="AF83" s="454"/>
      <c r="AG83" s="454"/>
      <c r="AH83" s="454"/>
      <c r="AI83" s="454"/>
      <c r="AJ83" s="454"/>
      <c r="AK83" s="454"/>
    </row>
    <row r="84" spans="1:37" s="417" customFormat="1" ht="21.95" customHeight="1" thickTop="1">
      <c r="A84" s="476"/>
      <c r="B84" s="449"/>
      <c r="D84" s="918"/>
      <c r="E84" s="918"/>
      <c r="F84" s="918"/>
      <c r="G84" s="918"/>
      <c r="H84" s="918"/>
      <c r="I84" s="467"/>
      <c r="J84" s="467"/>
      <c r="K84" s="467"/>
      <c r="O84" s="705"/>
      <c r="Q84" s="705"/>
      <c r="S84" s="705"/>
      <c r="U84" s="705"/>
      <c r="W84" s="705"/>
      <c r="Y84" s="705"/>
      <c r="AA84" s="454"/>
      <c r="AB84" s="454"/>
      <c r="AC84" s="454"/>
      <c r="AD84" s="454"/>
      <c r="AE84" s="454"/>
      <c r="AF84" s="454"/>
      <c r="AG84" s="454"/>
      <c r="AH84" s="454"/>
      <c r="AI84" s="454"/>
      <c r="AJ84" s="454"/>
      <c r="AK84" s="454"/>
    </row>
    <row r="85" spans="1:37" ht="21" customHeight="1">
      <c r="A85" s="356"/>
      <c r="B85" s="356"/>
      <c r="C85" s="356"/>
      <c r="D85" s="954" t="e">
        <f>ROUND(D83-'001 General Fund'!K56,2)</f>
        <v>#REF!</v>
      </c>
      <c r="E85" s="937"/>
      <c r="F85" s="937"/>
      <c r="G85" s="937"/>
      <c r="H85" s="937"/>
      <c r="I85" s="375"/>
      <c r="J85" s="375"/>
      <c r="K85" s="375"/>
      <c r="O85" s="389"/>
      <c r="Q85" s="389"/>
      <c r="S85" s="389"/>
      <c r="U85" s="389"/>
      <c r="W85" s="389"/>
      <c r="Y85" s="389"/>
    </row>
    <row r="86" spans="1:37" ht="9.9499999999999993" customHeight="1">
      <c r="A86" s="356"/>
      <c r="B86" s="356"/>
      <c r="C86" s="356"/>
      <c r="D86" s="954"/>
      <c r="E86" s="937"/>
      <c r="F86" s="937"/>
      <c r="G86" s="937"/>
      <c r="H86" s="937"/>
      <c r="I86" s="375"/>
      <c r="J86" s="375"/>
      <c r="K86" s="375"/>
      <c r="O86" s="389"/>
      <c r="Q86" s="389"/>
      <c r="S86" s="389"/>
      <c r="U86" s="389"/>
      <c r="W86" s="389"/>
      <c r="Y86" s="389"/>
    </row>
    <row r="87" spans="1:37" ht="21">
      <c r="E87" s="944" t="s">
        <v>58</v>
      </c>
      <c r="I87" s="389"/>
      <c r="J87" s="389"/>
      <c r="K87" s="389"/>
      <c r="O87" s="389"/>
      <c r="Q87" s="389"/>
      <c r="S87" s="389"/>
      <c r="U87" s="389"/>
      <c r="W87" s="389"/>
      <c r="Y87" s="389"/>
    </row>
    <row r="88" spans="1:37">
      <c r="I88" s="389"/>
      <c r="J88" s="389"/>
      <c r="K88" s="389"/>
      <c r="O88" s="389"/>
      <c r="Q88" s="389"/>
      <c r="S88" s="389"/>
      <c r="U88" s="389"/>
      <c r="W88" s="389"/>
      <c r="Y88" s="389"/>
    </row>
    <row r="89" spans="1:37">
      <c r="I89" s="389"/>
      <c r="J89" s="389"/>
      <c r="K89" s="389"/>
      <c r="O89" s="960"/>
      <c r="Q89" s="960"/>
      <c r="S89" s="960"/>
      <c r="U89" s="960"/>
      <c r="W89" s="960"/>
      <c r="Y89" s="960"/>
    </row>
    <row r="90" spans="1:37">
      <c r="I90" s="389"/>
      <c r="J90" s="389"/>
      <c r="K90" s="389"/>
      <c r="O90" s="1288">
        <f>O68/'All Funds Sch A 2013 Page -1'!$X$68</f>
        <v>0</v>
      </c>
      <c r="Q90" s="1288">
        <f>Q68/'All Funds Sch A 2013 Page -1'!$X$68</f>
        <v>0</v>
      </c>
      <c r="S90" s="1288">
        <f>S68/'All Funds Sch A 2013 Page -1'!$X$68</f>
        <v>0</v>
      </c>
      <c r="U90" s="1288">
        <f>U68/'All Funds Sch A 2013 Page -1'!$X$68</f>
        <v>0</v>
      </c>
      <c r="W90" s="1288">
        <f>W68/'All Funds Sch A 2013 Page -1'!$X$68</f>
        <v>0</v>
      </c>
      <c r="Y90" s="1288">
        <f>Y68/'All Funds Sch A 2013 Page -1'!$X$68</f>
        <v>0</v>
      </c>
    </row>
    <row r="91" spans="1:37">
      <c r="I91" s="389"/>
      <c r="J91" s="389"/>
      <c r="K91" s="389"/>
      <c r="L91" s="389"/>
      <c r="M91" s="389"/>
      <c r="O91" s="389"/>
      <c r="Q91" s="389"/>
      <c r="S91" s="389"/>
      <c r="U91" s="389"/>
      <c r="W91" s="389"/>
      <c r="Y91" s="389"/>
    </row>
    <row r="92" spans="1:37" s="394" customFormat="1" ht="18.75">
      <c r="A92" s="393"/>
      <c r="B92" s="393"/>
      <c r="C92" s="393"/>
      <c r="D92" s="941"/>
      <c r="E92" s="941"/>
      <c r="F92" s="941"/>
      <c r="G92" s="941"/>
      <c r="H92" s="938"/>
      <c r="I92" s="961"/>
      <c r="J92" s="961"/>
      <c r="K92" s="961"/>
      <c r="L92" s="961"/>
      <c r="M92" s="389"/>
      <c r="O92" s="389"/>
      <c r="Q92" s="389"/>
      <c r="S92" s="389"/>
      <c r="U92" s="389"/>
      <c r="W92" s="389"/>
      <c r="Y92" s="389"/>
      <c r="AA92" s="396"/>
      <c r="AB92" s="396"/>
      <c r="AC92" s="396"/>
      <c r="AD92" s="396"/>
      <c r="AE92" s="396"/>
      <c r="AF92" s="396"/>
      <c r="AG92" s="396"/>
      <c r="AH92" s="396"/>
      <c r="AI92" s="396"/>
      <c r="AJ92" s="396"/>
      <c r="AK92" s="396"/>
    </row>
    <row r="93" spans="1:37" s="394" customFormat="1" ht="18.75">
      <c r="A93" s="398"/>
      <c r="B93" s="398"/>
      <c r="C93" s="398"/>
      <c r="D93" s="942"/>
      <c r="E93" s="942"/>
      <c r="F93" s="942"/>
      <c r="G93" s="942"/>
      <c r="H93" s="939"/>
      <c r="I93" s="962"/>
      <c r="J93" s="962"/>
      <c r="K93" s="962"/>
      <c r="L93" s="962"/>
      <c r="M93" s="389"/>
      <c r="O93" s="389"/>
      <c r="Q93" s="389"/>
      <c r="S93" s="389"/>
      <c r="U93" s="389"/>
      <c r="W93" s="389"/>
      <c r="Y93" s="389"/>
      <c r="AA93" s="396"/>
      <c r="AB93" s="396"/>
      <c r="AC93" s="396"/>
      <c r="AD93" s="396"/>
      <c r="AE93" s="396"/>
      <c r="AF93" s="396"/>
      <c r="AG93" s="396"/>
      <c r="AH93" s="396"/>
      <c r="AI93" s="396"/>
      <c r="AJ93" s="396"/>
      <c r="AK93" s="396"/>
    </row>
    <row r="94" spans="1:37">
      <c r="I94" s="389"/>
      <c r="J94" s="389"/>
      <c r="K94" s="389"/>
      <c r="L94" s="389"/>
      <c r="M94" s="389"/>
      <c r="O94" s="389"/>
      <c r="Q94" s="389"/>
      <c r="S94" s="389"/>
      <c r="U94" s="389"/>
      <c r="W94" s="389"/>
      <c r="Y94" s="389"/>
    </row>
    <row r="95" spans="1:37">
      <c r="I95" s="389"/>
      <c r="J95" s="389"/>
      <c r="K95" s="389"/>
      <c r="L95" s="389"/>
      <c r="M95" s="389"/>
      <c r="O95" s="389"/>
      <c r="Q95" s="389"/>
      <c r="S95" s="389"/>
      <c r="U95" s="389"/>
      <c r="W95" s="389"/>
      <c r="Y95" s="389"/>
    </row>
    <row r="96" spans="1:37">
      <c r="I96" s="389"/>
      <c r="J96" s="389"/>
      <c r="K96" s="389"/>
      <c r="L96" s="389"/>
      <c r="M96" s="389"/>
      <c r="O96" s="389"/>
      <c r="Q96" s="389"/>
      <c r="S96" s="389"/>
      <c r="U96" s="389"/>
      <c r="W96" s="389"/>
      <c r="Y96" s="389"/>
    </row>
    <row r="97" spans="9:25">
      <c r="I97" s="389"/>
      <c r="J97" s="389"/>
      <c r="K97" s="389"/>
      <c r="L97" s="389"/>
      <c r="M97" s="389"/>
      <c r="O97" s="389"/>
      <c r="Q97" s="389"/>
      <c r="S97" s="389"/>
      <c r="U97" s="389"/>
      <c r="W97" s="389"/>
      <c r="Y97" s="389"/>
    </row>
    <row r="98" spans="9:25">
      <c r="I98" s="389"/>
      <c r="J98" s="389"/>
      <c r="K98" s="389"/>
      <c r="L98" s="389"/>
      <c r="M98" s="389"/>
      <c r="O98" s="389"/>
      <c r="Q98" s="389"/>
      <c r="S98" s="389"/>
      <c r="U98" s="389"/>
      <c r="W98" s="389"/>
      <c r="Y98" s="389"/>
    </row>
    <row r="99" spans="9:25">
      <c r="I99" s="389"/>
      <c r="J99" s="389"/>
      <c r="K99" s="389"/>
      <c r="L99" s="389"/>
      <c r="M99" s="389"/>
      <c r="O99" s="389"/>
      <c r="Q99" s="389"/>
      <c r="S99" s="389"/>
      <c r="U99" s="389"/>
      <c r="W99" s="389"/>
      <c r="Y99" s="389"/>
    </row>
    <row r="100" spans="9:25">
      <c r="I100" s="389"/>
      <c r="J100" s="389"/>
      <c r="K100" s="389"/>
      <c r="L100" s="389"/>
      <c r="M100" s="389"/>
      <c r="O100" s="389"/>
      <c r="Q100" s="389"/>
      <c r="S100" s="389"/>
      <c r="U100" s="389"/>
      <c r="W100" s="389"/>
      <c r="Y100" s="389"/>
    </row>
    <row r="101" spans="9:25">
      <c r="I101" s="389"/>
      <c r="J101" s="389"/>
      <c r="K101" s="389"/>
      <c r="L101" s="389"/>
      <c r="M101" s="389"/>
      <c r="O101" s="389"/>
      <c r="Q101" s="389"/>
      <c r="S101" s="389"/>
      <c r="U101" s="389"/>
      <c r="W101" s="389"/>
      <c r="Y101" s="389"/>
    </row>
    <row r="102" spans="9:25">
      <c r="I102" s="389"/>
      <c r="J102" s="389"/>
      <c r="K102" s="389"/>
      <c r="L102" s="389"/>
      <c r="M102" s="389"/>
      <c r="O102" s="389"/>
      <c r="Q102" s="389"/>
      <c r="S102" s="389"/>
      <c r="U102" s="389"/>
      <c r="W102" s="389"/>
      <c r="Y102" s="389"/>
    </row>
    <row r="103" spans="9:25">
      <c r="I103" s="389"/>
      <c r="J103" s="389"/>
      <c r="K103" s="389"/>
      <c r="L103" s="389"/>
      <c r="M103" s="389"/>
      <c r="O103" s="389"/>
      <c r="Q103" s="389"/>
      <c r="S103" s="389"/>
      <c r="U103" s="389"/>
      <c r="W103" s="389"/>
      <c r="Y103" s="389"/>
    </row>
    <row r="104" spans="9:25">
      <c r="I104" s="389"/>
      <c r="J104" s="389"/>
      <c r="K104" s="389"/>
      <c r="L104" s="389"/>
      <c r="M104" s="389"/>
      <c r="O104" s="389"/>
      <c r="Q104" s="389"/>
      <c r="S104" s="389"/>
      <c r="U104" s="389"/>
      <c r="W104" s="389"/>
      <c r="Y104" s="389"/>
    </row>
    <row r="105" spans="9:25">
      <c r="I105" s="389"/>
      <c r="J105" s="389"/>
      <c r="K105" s="389"/>
      <c r="L105" s="389"/>
      <c r="M105" s="389"/>
      <c r="O105" s="389"/>
      <c r="Q105" s="389"/>
      <c r="S105" s="389"/>
      <c r="U105" s="389"/>
      <c r="W105" s="389"/>
      <c r="Y105" s="389"/>
    </row>
    <row r="106" spans="9:25">
      <c r="I106" s="389"/>
      <c r="J106" s="389"/>
      <c r="K106" s="389"/>
      <c r="L106" s="389"/>
      <c r="M106" s="389"/>
      <c r="O106" s="389"/>
      <c r="Q106" s="389"/>
      <c r="S106" s="389"/>
      <c r="U106" s="389"/>
      <c r="W106" s="389"/>
      <c r="Y106" s="389"/>
    </row>
    <row r="107" spans="9:25">
      <c r="I107" s="389"/>
      <c r="J107" s="389"/>
      <c r="K107" s="389"/>
      <c r="L107" s="389"/>
      <c r="M107" s="389"/>
      <c r="O107" s="389"/>
      <c r="Q107" s="389"/>
      <c r="S107" s="389"/>
      <c r="U107" s="389"/>
      <c r="W107" s="389"/>
      <c r="Y107" s="389"/>
    </row>
    <row r="108" spans="9:25">
      <c r="I108" s="389"/>
      <c r="J108" s="389"/>
      <c r="K108" s="389"/>
      <c r="L108" s="389"/>
      <c r="M108" s="389"/>
      <c r="O108" s="389"/>
      <c r="Q108" s="389"/>
      <c r="S108" s="389"/>
      <c r="U108" s="389"/>
      <c r="W108" s="389"/>
      <c r="Y108" s="389"/>
    </row>
    <row r="109" spans="9:25">
      <c r="I109" s="389"/>
      <c r="J109" s="389"/>
      <c r="K109" s="389"/>
      <c r="L109" s="389"/>
      <c r="M109" s="389"/>
      <c r="O109" s="389"/>
      <c r="Q109" s="389"/>
      <c r="S109" s="389"/>
      <c r="U109" s="389"/>
      <c r="W109" s="389"/>
      <c r="Y109" s="389"/>
    </row>
    <row r="110" spans="9:25">
      <c r="I110" s="389"/>
      <c r="J110" s="389"/>
      <c r="K110" s="389"/>
      <c r="L110" s="389"/>
      <c r="M110" s="389"/>
      <c r="O110" s="389"/>
      <c r="Q110" s="389"/>
      <c r="S110" s="389"/>
      <c r="U110" s="389"/>
      <c r="W110" s="389"/>
      <c r="Y110" s="389"/>
    </row>
    <row r="111" spans="9:25">
      <c r="I111" s="389"/>
      <c r="J111" s="389"/>
      <c r="K111" s="389"/>
      <c r="L111" s="389"/>
      <c r="M111" s="389"/>
      <c r="O111" s="389"/>
      <c r="Q111" s="389"/>
      <c r="S111" s="389"/>
      <c r="U111" s="389"/>
      <c r="W111" s="389"/>
      <c r="Y111" s="389"/>
    </row>
    <row r="112" spans="9:25">
      <c r="I112" s="389"/>
      <c r="J112" s="389"/>
      <c r="K112" s="389"/>
      <c r="L112" s="389"/>
      <c r="M112" s="389"/>
      <c r="O112" s="389"/>
      <c r="Q112" s="389"/>
      <c r="S112" s="389"/>
      <c r="U112" s="389"/>
      <c r="W112" s="389"/>
      <c r="Y112" s="389"/>
    </row>
    <row r="113" spans="9:25">
      <c r="I113" s="389"/>
      <c r="J113" s="389"/>
      <c r="K113" s="389"/>
      <c r="L113" s="389"/>
      <c r="M113" s="389"/>
      <c r="O113" s="389"/>
      <c r="Q113" s="389"/>
      <c r="S113" s="389"/>
      <c r="U113" s="389"/>
      <c r="W113" s="389"/>
      <c r="Y113" s="389"/>
    </row>
    <row r="114" spans="9:25">
      <c r="I114" s="389"/>
      <c r="J114" s="389"/>
      <c r="K114" s="389"/>
      <c r="L114" s="389"/>
      <c r="M114" s="389"/>
      <c r="O114" s="389"/>
      <c r="Q114" s="389"/>
      <c r="S114" s="389"/>
      <c r="U114" s="389"/>
      <c r="W114" s="389"/>
      <c r="Y114" s="389"/>
    </row>
    <row r="115" spans="9:25">
      <c r="I115" s="389"/>
      <c r="J115" s="389"/>
      <c r="K115" s="389"/>
      <c r="L115" s="389"/>
      <c r="M115" s="389"/>
      <c r="O115" s="389"/>
      <c r="Q115" s="389"/>
      <c r="S115" s="389"/>
      <c r="U115" s="389"/>
      <c r="W115" s="389"/>
      <c r="Y115" s="389"/>
    </row>
    <row r="116" spans="9:25">
      <c r="I116" s="389"/>
      <c r="J116" s="389"/>
      <c r="K116" s="389"/>
      <c r="L116" s="389"/>
      <c r="M116" s="389"/>
      <c r="O116" s="389"/>
      <c r="Q116" s="389"/>
      <c r="S116" s="389"/>
      <c r="U116" s="389"/>
      <c r="W116" s="389"/>
      <c r="Y116" s="389"/>
    </row>
    <row r="117" spans="9:25">
      <c r="I117" s="389"/>
      <c r="J117" s="389"/>
      <c r="K117" s="389"/>
      <c r="L117" s="389"/>
      <c r="M117" s="389"/>
      <c r="O117" s="389"/>
      <c r="Q117" s="389"/>
      <c r="S117" s="389"/>
      <c r="U117" s="389"/>
      <c r="W117" s="389"/>
      <c r="Y117" s="389"/>
    </row>
    <row r="118" spans="9:25">
      <c r="I118" s="389"/>
      <c r="J118" s="389"/>
      <c r="K118" s="389"/>
      <c r="L118" s="389"/>
      <c r="M118" s="389"/>
      <c r="O118" s="389"/>
      <c r="Q118" s="389"/>
      <c r="S118" s="389"/>
      <c r="U118" s="389"/>
      <c r="W118" s="389"/>
      <c r="Y118" s="389"/>
    </row>
    <row r="119" spans="9:25">
      <c r="I119" s="389"/>
      <c r="J119" s="389"/>
      <c r="K119" s="389"/>
      <c r="L119" s="389"/>
      <c r="M119" s="389"/>
      <c r="O119" s="389"/>
      <c r="Q119" s="389"/>
      <c r="S119" s="389"/>
      <c r="U119" s="389"/>
      <c r="W119" s="389"/>
      <c r="Y119" s="389"/>
    </row>
    <row r="120" spans="9:25">
      <c r="I120" s="389"/>
      <c r="J120" s="389"/>
      <c r="K120" s="389"/>
      <c r="L120" s="389"/>
      <c r="M120" s="389"/>
      <c r="O120" s="389"/>
      <c r="Q120" s="389"/>
      <c r="S120" s="389"/>
      <c r="U120" s="389"/>
      <c r="W120" s="389"/>
      <c r="Y120" s="389"/>
    </row>
    <row r="121" spans="9:25">
      <c r="I121" s="389"/>
      <c r="J121" s="389"/>
      <c r="K121" s="389"/>
      <c r="L121" s="389"/>
      <c r="M121" s="389"/>
      <c r="O121" s="389"/>
      <c r="Q121" s="389"/>
      <c r="S121" s="389"/>
      <c r="U121" s="389"/>
      <c r="W121" s="389"/>
      <c r="Y121" s="389"/>
    </row>
    <row r="122" spans="9:25">
      <c r="I122" s="389"/>
      <c r="J122" s="389"/>
      <c r="K122" s="389"/>
      <c r="L122" s="389"/>
      <c r="M122" s="389"/>
      <c r="O122" s="389"/>
      <c r="Q122" s="389"/>
      <c r="S122" s="389"/>
      <c r="U122" s="389"/>
      <c r="W122" s="389"/>
      <c r="Y122" s="389"/>
    </row>
    <row r="123" spans="9:25">
      <c r="I123" s="389"/>
      <c r="J123" s="389"/>
      <c r="K123" s="389"/>
      <c r="L123" s="389"/>
      <c r="M123" s="389"/>
      <c r="O123" s="389"/>
      <c r="Q123" s="389"/>
      <c r="S123" s="389"/>
      <c r="U123" s="389"/>
      <c r="W123" s="389"/>
      <c r="Y123" s="389"/>
    </row>
    <row r="124" spans="9:25">
      <c r="I124" s="389"/>
      <c r="J124" s="389"/>
      <c r="K124" s="389"/>
      <c r="L124" s="389"/>
      <c r="M124" s="389"/>
      <c r="O124" s="389"/>
      <c r="Q124" s="389"/>
      <c r="S124" s="389"/>
      <c r="U124" s="389"/>
      <c r="W124" s="389"/>
      <c r="Y124" s="389"/>
    </row>
    <row r="125" spans="9:25">
      <c r="I125" s="389"/>
      <c r="J125" s="389"/>
      <c r="K125" s="389"/>
      <c r="L125" s="389"/>
      <c r="M125" s="389"/>
      <c r="O125" s="389"/>
      <c r="Q125" s="389"/>
      <c r="S125" s="389"/>
      <c r="U125" s="389"/>
      <c r="W125" s="389"/>
      <c r="Y125" s="389"/>
    </row>
    <row r="126" spans="9:25">
      <c r="I126" s="389"/>
      <c r="J126" s="389"/>
      <c r="K126" s="389"/>
      <c r="L126" s="389"/>
      <c r="M126" s="389"/>
      <c r="O126" s="389"/>
      <c r="Q126" s="389"/>
      <c r="S126" s="389"/>
      <c r="U126" s="389"/>
      <c r="W126" s="389"/>
      <c r="Y126" s="389"/>
    </row>
    <row r="127" spans="9:25">
      <c r="I127" s="389"/>
      <c r="J127" s="389"/>
      <c r="K127" s="389"/>
      <c r="L127" s="389"/>
      <c r="M127" s="389"/>
      <c r="O127" s="389"/>
      <c r="Q127" s="389"/>
      <c r="S127" s="389"/>
      <c r="U127" s="389"/>
      <c r="W127" s="389"/>
      <c r="Y127" s="389"/>
    </row>
    <row r="128" spans="9:25">
      <c r="I128" s="389"/>
      <c r="J128" s="389"/>
      <c r="K128" s="389"/>
      <c r="L128" s="389"/>
      <c r="M128" s="389"/>
      <c r="O128" s="389"/>
      <c r="Q128" s="389"/>
      <c r="S128" s="389"/>
      <c r="U128" s="389"/>
      <c r="W128" s="389"/>
      <c r="Y128" s="389"/>
    </row>
    <row r="129" spans="9:25">
      <c r="I129" s="389"/>
      <c r="J129" s="389"/>
      <c r="K129" s="389"/>
      <c r="L129" s="389"/>
      <c r="M129" s="389"/>
      <c r="O129" s="389"/>
      <c r="Q129" s="389"/>
      <c r="S129" s="389"/>
      <c r="U129" s="389"/>
      <c r="W129" s="389"/>
      <c r="Y129" s="389"/>
    </row>
    <row r="130" spans="9:25">
      <c r="I130" s="389"/>
      <c r="J130" s="389"/>
      <c r="K130" s="389"/>
      <c r="L130" s="389"/>
      <c r="M130" s="389"/>
      <c r="O130" s="389"/>
      <c r="Q130" s="389"/>
      <c r="S130" s="389"/>
      <c r="U130" s="389"/>
      <c r="W130" s="389"/>
      <c r="Y130" s="389"/>
    </row>
    <row r="131" spans="9:25">
      <c r="I131" s="389"/>
      <c r="J131" s="389"/>
      <c r="K131" s="389"/>
      <c r="L131" s="389"/>
      <c r="M131" s="389"/>
      <c r="O131" s="389"/>
      <c r="Q131" s="389"/>
      <c r="S131" s="389"/>
      <c r="U131" s="389"/>
      <c r="W131" s="389"/>
      <c r="Y131" s="389"/>
    </row>
    <row r="132" spans="9:25">
      <c r="I132" s="389"/>
      <c r="J132" s="389"/>
      <c r="K132" s="389"/>
      <c r="L132" s="389"/>
      <c r="M132" s="389"/>
      <c r="O132" s="389"/>
      <c r="Q132" s="389"/>
      <c r="S132" s="389"/>
      <c r="U132" s="389"/>
      <c r="W132" s="389"/>
      <c r="Y132" s="389"/>
    </row>
    <row r="133" spans="9:25">
      <c r="I133" s="389"/>
      <c r="J133" s="389"/>
      <c r="K133" s="389"/>
      <c r="L133" s="389"/>
      <c r="M133" s="389"/>
      <c r="O133" s="389"/>
      <c r="Q133" s="389"/>
      <c r="S133" s="389"/>
      <c r="U133" s="389"/>
      <c r="W133" s="389"/>
      <c r="Y133" s="389"/>
    </row>
    <row r="134" spans="9:25">
      <c r="I134" s="389"/>
      <c r="J134" s="389"/>
      <c r="K134" s="389"/>
      <c r="L134" s="389"/>
      <c r="M134" s="389"/>
      <c r="O134" s="389"/>
      <c r="Q134" s="389"/>
      <c r="S134" s="389"/>
      <c r="U134" s="389"/>
      <c r="W134" s="389"/>
      <c r="Y134" s="389"/>
    </row>
    <row r="135" spans="9:25">
      <c r="I135" s="389"/>
      <c r="J135" s="389"/>
      <c r="K135" s="389"/>
      <c r="L135" s="389"/>
      <c r="M135" s="389"/>
      <c r="O135" s="389"/>
      <c r="Q135" s="389"/>
      <c r="S135" s="389"/>
      <c r="U135" s="389"/>
      <c r="W135" s="389"/>
      <c r="X135" s="389"/>
      <c r="Y135" s="389"/>
    </row>
    <row r="136" spans="9:25">
      <c r="I136" s="389"/>
      <c r="J136" s="389"/>
      <c r="K136" s="389"/>
      <c r="L136" s="389"/>
      <c r="M136" s="389"/>
      <c r="O136" s="389"/>
      <c r="Q136" s="389"/>
      <c r="S136" s="389"/>
      <c r="U136" s="389"/>
      <c r="W136" s="389"/>
      <c r="X136" s="389"/>
      <c r="Y136" s="389"/>
    </row>
    <row r="137" spans="9:25">
      <c r="I137" s="389"/>
      <c r="J137" s="389"/>
      <c r="K137" s="389"/>
      <c r="L137" s="389"/>
      <c r="M137" s="389"/>
      <c r="O137" s="389"/>
      <c r="Q137" s="389"/>
      <c r="S137" s="389"/>
      <c r="U137" s="389"/>
      <c r="W137" s="389"/>
      <c r="X137" s="389"/>
      <c r="Y137" s="389"/>
    </row>
    <row r="138" spans="9:25">
      <c r="I138" s="389"/>
      <c r="J138" s="389"/>
      <c r="K138" s="389"/>
      <c r="L138" s="389"/>
      <c r="M138" s="389"/>
      <c r="O138" s="389"/>
      <c r="Q138" s="389"/>
      <c r="S138" s="389"/>
      <c r="U138" s="389"/>
      <c r="W138" s="389"/>
      <c r="X138" s="389"/>
      <c r="Y138" s="389"/>
    </row>
    <row r="139" spans="9:25">
      <c r="I139" s="389"/>
      <c r="J139" s="389"/>
      <c r="K139" s="389"/>
      <c r="L139" s="389"/>
      <c r="M139" s="389"/>
      <c r="O139" s="389"/>
      <c r="Q139" s="389"/>
      <c r="S139" s="389"/>
      <c r="U139" s="389"/>
      <c r="W139" s="389"/>
      <c r="X139" s="389"/>
      <c r="Y139" s="389"/>
    </row>
    <row r="140" spans="9:25">
      <c r="I140" s="389"/>
      <c r="J140" s="389"/>
      <c r="K140" s="389"/>
      <c r="L140" s="389"/>
      <c r="M140" s="389"/>
      <c r="O140" s="389"/>
      <c r="Q140" s="389"/>
      <c r="S140" s="389"/>
      <c r="U140" s="389"/>
      <c r="W140" s="389"/>
      <c r="X140" s="389"/>
      <c r="Y140" s="389"/>
    </row>
    <row r="141" spans="9:25">
      <c r="I141" s="389"/>
      <c r="J141" s="389"/>
      <c r="K141" s="389"/>
      <c r="L141" s="389"/>
      <c r="M141" s="389"/>
      <c r="O141" s="389"/>
      <c r="Q141" s="389"/>
      <c r="S141" s="389"/>
      <c r="U141" s="389"/>
      <c r="W141" s="389"/>
      <c r="X141" s="389"/>
      <c r="Y141" s="389"/>
    </row>
    <row r="142" spans="9:25">
      <c r="I142" s="389"/>
      <c r="J142" s="389"/>
      <c r="K142" s="389"/>
      <c r="L142" s="389"/>
      <c r="M142" s="389"/>
      <c r="O142" s="389"/>
      <c r="Q142" s="389"/>
      <c r="S142" s="389"/>
      <c r="U142" s="389"/>
      <c r="W142" s="389"/>
      <c r="X142" s="389"/>
      <c r="Y142" s="389"/>
    </row>
    <row r="143" spans="9:25">
      <c r="I143" s="389"/>
      <c r="J143" s="389"/>
      <c r="K143" s="389"/>
      <c r="L143" s="389"/>
      <c r="M143" s="389"/>
      <c r="O143" s="389"/>
      <c r="Q143" s="389"/>
      <c r="S143" s="389"/>
      <c r="U143" s="389"/>
      <c r="W143" s="389"/>
      <c r="X143" s="389"/>
      <c r="Y143" s="389"/>
    </row>
    <row r="144" spans="9:25">
      <c r="I144" s="389"/>
      <c r="J144" s="389"/>
      <c r="K144" s="389"/>
      <c r="L144" s="389"/>
      <c r="M144" s="389"/>
      <c r="O144" s="389"/>
      <c r="Q144" s="389"/>
      <c r="S144" s="389"/>
      <c r="U144" s="389"/>
      <c r="W144" s="389"/>
      <c r="X144" s="389"/>
      <c r="Y144" s="389"/>
    </row>
    <row r="145" spans="9:25">
      <c r="I145" s="389"/>
      <c r="J145" s="389"/>
      <c r="K145" s="389"/>
      <c r="L145" s="389"/>
      <c r="M145" s="389"/>
      <c r="O145" s="389"/>
      <c r="Q145" s="389"/>
      <c r="S145" s="389"/>
      <c r="U145" s="389"/>
      <c r="W145" s="389"/>
      <c r="X145" s="389"/>
      <c r="Y145" s="389"/>
    </row>
    <row r="146" spans="9:25">
      <c r="I146" s="389"/>
      <c r="J146" s="389"/>
      <c r="K146" s="389"/>
      <c r="L146" s="389"/>
      <c r="M146" s="389"/>
      <c r="O146" s="389"/>
      <c r="Q146" s="389"/>
      <c r="S146" s="389"/>
      <c r="U146" s="389"/>
      <c r="W146" s="389"/>
      <c r="X146" s="389"/>
      <c r="Y146" s="389"/>
    </row>
    <row r="147" spans="9:25">
      <c r="I147" s="389"/>
      <c r="J147" s="389"/>
      <c r="K147" s="389"/>
      <c r="L147" s="389"/>
      <c r="M147" s="389"/>
      <c r="O147" s="389"/>
      <c r="Q147" s="389"/>
      <c r="S147" s="389"/>
      <c r="U147" s="389"/>
      <c r="W147" s="389"/>
      <c r="X147" s="389"/>
      <c r="Y147" s="389"/>
    </row>
    <row r="148" spans="9:25">
      <c r="I148" s="389"/>
      <c r="J148" s="389"/>
      <c r="K148" s="389"/>
      <c r="L148" s="389"/>
      <c r="M148" s="389"/>
      <c r="O148" s="389"/>
      <c r="Q148" s="389"/>
      <c r="S148" s="389"/>
      <c r="U148" s="389"/>
      <c r="W148" s="389"/>
      <c r="X148" s="389"/>
      <c r="Y148" s="389"/>
    </row>
    <row r="149" spans="9:25">
      <c r="I149" s="389"/>
      <c r="J149" s="389"/>
      <c r="K149" s="389"/>
      <c r="L149" s="389"/>
      <c r="M149" s="389"/>
      <c r="O149" s="389"/>
      <c r="Q149" s="389"/>
      <c r="S149" s="389"/>
      <c r="U149" s="389"/>
      <c r="W149" s="389"/>
      <c r="X149" s="389"/>
      <c r="Y149" s="389"/>
    </row>
    <row r="150" spans="9:25">
      <c r="I150" s="389"/>
      <c r="J150" s="389"/>
      <c r="K150" s="389"/>
      <c r="L150" s="389"/>
      <c r="M150" s="389"/>
      <c r="O150" s="389"/>
      <c r="Q150" s="389"/>
      <c r="S150" s="389"/>
      <c r="U150" s="389"/>
      <c r="W150" s="389"/>
      <c r="X150" s="389"/>
      <c r="Y150" s="389"/>
    </row>
    <row r="151" spans="9:25">
      <c r="I151" s="389"/>
      <c r="J151" s="389"/>
      <c r="K151" s="389"/>
      <c r="L151" s="389"/>
      <c r="M151" s="389"/>
      <c r="O151" s="389"/>
      <c r="Q151" s="389"/>
      <c r="S151" s="389"/>
      <c r="U151" s="389"/>
      <c r="W151" s="389"/>
      <c r="X151" s="389"/>
      <c r="Y151" s="389"/>
    </row>
    <row r="152" spans="9:25">
      <c r="I152" s="389"/>
      <c r="J152" s="389"/>
      <c r="K152" s="389"/>
      <c r="L152" s="389"/>
      <c r="M152" s="389"/>
      <c r="O152" s="389"/>
      <c r="Q152" s="389"/>
      <c r="S152" s="389"/>
      <c r="U152" s="389"/>
      <c r="W152" s="389"/>
      <c r="X152" s="389"/>
      <c r="Y152" s="389"/>
    </row>
    <row r="153" spans="9:25">
      <c r="I153" s="389"/>
      <c r="J153" s="389"/>
      <c r="K153" s="389"/>
      <c r="L153" s="389"/>
      <c r="M153" s="389"/>
      <c r="O153" s="389"/>
      <c r="Q153" s="389"/>
      <c r="S153" s="389"/>
      <c r="U153" s="389"/>
      <c r="W153" s="389"/>
      <c r="X153" s="389"/>
      <c r="Y153" s="389"/>
    </row>
    <row r="154" spans="9:25">
      <c r="I154" s="389"/>
      <c r="J154" s="389"/>
      <c r="K154" s="389"/>
      <c r="L154" s="389"/>
      <c r="M154" s="389"/>
      <c r="O154" s="389"/>
      <c r="Q154" s="389"/>
      <c r="S154" s="389"/>
      <c r="U154" s="389"/>
      <c r="W154" s="389"/>
      <c r="X154" s="389"/>
      <c r="Y154" s="389"/>
    </row>
    <row r="155" spans="9:25">
      <c r="I155" s="389"/>
      <c r="J155" s="389"/>
      <c r="K155" s="389"/>
      <c r="L155" s="389"/>
      <c r="M155" s="389"/>
      <c r="O155" s="389"/>
      <c r="Q155" s="389"/>
      <c r="S155" s="389"/>
      <c r="U155" s="389"/>
      <c r="W155" s="389"/>
      <c r="X155" s="389"/>
      <c r="Y155" s="389"/>
    </row>
    <row r="156" spans="9:25">
      <c r="I156" s="389"/>
      <c r="J156" s="389"/>
      <c r="K156" s="389"/>
      <c r="L156" s="389"/>
      <c r="M156" s="389"/>
      <c r="O156" s="389"/>
      <c r="Q156" s="389"/>
      <c r="S156" s="389"/>
      <c r="U156" s="389"/>
      <c r="W156" s="389"/>
      <c r="X156" s="389"/>
      <c r="Y156" s="389"/>
    </row>
    <row r="157" spans="9:25">
      <c r="I157" s="389"/>
      <c r="J157" s="389"/>
      <c r="K157" s="389"/>
      <c r="L157" s="389"/>
      <c r="M157" s="389"/>
      <c r="O157" s="389"/>
      <c r="Q157" s="389"/>
      <c r="S157" s="389"/>
      <c r="U157" s="389"/>
      <c r="W157" s="389"/>
      <c r="X157" s="389"/>
      <c r="Y157" s="389"/>
    </row>
    <row r="158" spans="9:25">
      <c r="I158" s="389"/>
      <c r="J158" s="389"/>
      <c r="K158" s="389"/>
      <c r="L158" s="389"/>
      <c r="M158" s="389"/>
      <c r="O158" s="389"/>
      <c r="Q158" s="389"/>
      <c r="S158" s="389"/>
      <c r="U158" s="389"/>
      <c r="W158" s="389"/>
      <c r="X158" s="389"/>
      <c r="Y158" s="389"/>
    </row>
    <row r="159" spans="9:25">
      <c r="I159" s="389"/>
      <c r="J159" s="389"/>
      <c r="K159" s="389"/>
      <c r="L159" s="389"/>
      <c r="M159" s="389"/>
      <c r="O159" s="389"/>
      <c r="Q159" s="389"/>
      <c r="S159" s="389"/>
      <c r="U159" s="389"/>
      <c r="W159" s="389"/>
      <c r="X159" s="389"/>
      <c r="Y159" s="389"/>
    </row>
    <row r="160" spans="9:25">
      <c r="I160" s="389"/>
      <c r="J160" s="389"/>
      <c r="K160" s="389"/>
      <c r="L160" s="389"/>
      <c r="M160" s="389"/>
      <c r="O160" s="389"/>
      <c r="Q160" s="389"/>
      <c r="S160" s="389"/>
      <c r="U160" s="389"/>
      <c r="W160" s="389"/>
      <c r="X160" s="389"/>
      <c r="Y160" s="389"/>
    </row>
    <row r="161" spans="9:25">
      <c r="I161" s="389"/>
      <c r="J161" s="389"/>
      <c r="K161" s="389"/>
      <c r="L161" s="389"/>
      <c r="M161" s="389"/>
      <c r="O161" s="389"/>
      <c r="Q161" s="389"/>
      <c r="S161" s="389"/>
      <c r="U161" s="389"/>
      <c r="W161" s="389"/>
      <c r="X161" s="389"/>
      <c r="Y161" s="389"/>
    </row>
    <row r="162" spans="9:25">
      <c r="I162" s="389"/>
      <c r="J162" s="389"/>
      <c r="K162" s="389"/>
      <c r="L162" s="389"/>
      <c r="M162" s="389"/>
      <c r="O162" s="389"/>
      <c r="Q162" s="389"/>
      <c r="S162" s="389"/>
      <c r="U162" s="389"/>
      <c r="W162" s="389"/>
      <c r="X162" s="389"/>
      <c r="Y162" s="389"/>
    </row>
    <row r="163" spans="9:25">
      <c r="I163" s="389"/>
      <c r="J163" s="389"/>
      <c r="K163" s="389"/>
      <c r="L163" s="389"/>
      <c r="M163" s="389"/>
      <c r="O163" s="389"/>
      <c r="Q163" s="389"/>
      <c r="S163" s="389"/>
      <c r="U163" s="389"/>
      <c r="W163" s="389"/>
      <c r="X163" s="389"/>
      <c r="Y163" s="389"/>
    </row>
    <row r="164" spans="9:25">
      <c r="I164" s="389"/>
      <c r="J164" s="389"/>
      <c r="K164" s="389"/>
      <c r="L164" s="389"/>
      <c r="M164" s="389"/>
      <c r="O164" s="389"/>
      <c r="Q164" s="389"/>
      <c r="S164" s="389"/>
      <c r="U164" s="389"/>
      <c r="W164" s="389"/>
      <c r="X164" s="389"/>
      <c r="Y164" s="389"/>
    </row>
    <row r="165" spans="9:25">
      <c r="I165" s="389"/>
      <c r="J165" s="389"/>
      <c r="K165" s="389"/>
      <c r="L165" s="389"/>
      <c r="M165" s="389"/>
      <c r="O165" s="389"/>
      <c r="Q165" s="389"/>
      <c r="S165" s="389"/>
      <c r="U165" s="389"/>
      <c r="W165" s="389"/>
      <c r="X165" s="389"/>
      <c r="Y165" s="389"/>
    </row>
    <row r="166" spans="9:25">
      <c r="I166" s="389"/>
      <c r="J166" s="389"/>
      <c r="K166" s="389"/>
      <c r="L166" s="389"/>
      <c r="M166" s="389"/>
      <c r="O166" s="389"/>
      <c r="Q166" s="389"/>
      <c r="S166" s="389"/>
      <c r="U166" s="389"/>
      <c r="W166" s="389"/>
      <c r="X166" s="389"/>
      <c r="Y166" s="389"/>
    </row>
    <row r="167" spans="9:25">
      <c r="I167" s="389"/>
      <c r="J167" s="389"/>
      <c r="K167" s="389"/>
      <c r="L167" s="389"/>
      <c r="M167" s="389"/>
      <c r="O167" s="389"/>
      <c r="Q167" s="389"/>
      <c r="S167" s="389"/>
      <c r="U167" s="389"/>
      <c r="W167" s="389"/>
      <c r="X167" s="389"/>
      <c r="Y167" s="389"/>
    </row>
    <row r="168" spans="9:25">
      <c r="I168" s="389"/>
      <c r="J168" s="389"/>
      <c r="K168" s="389"/>
      <c r="L168" s="389"/>
      <c r="M168" s="389"/>
      <c r="O168" s="389"/>
      <c r="Q168" s="389"/>
      <c r="S168" s="389"/>
      <c r="U168" s="389"/>
      <c r="W168" s="389"/>
      <c r="X168" s="389"/>
      <c r="Y168" s="389"/>
    </row>
    <row r="169" spans="9:25">
      <c r="I169" s="389"/>
      <c r="J169" s="389"/>
      <c r="K169" s="389"/>
      <c r="L169" s="389"/>
      <c r="M169" s="389"/>
      <c r="O169" s="389"/>
      <c r="Q169" s="389"/>
      <c r="S169" s="389"/>
      <c r="U169" s="389"/>
      <c r="W169" s="389"/>
      <c r="X169" s="389"/>
      <c r="Y169" s="389"/>
    </row>
    <row r="170" spans="9:25">
      <c r="I170" s="389"/>
      <c r="J170" s="389"/>
      <c r="K170" s="389"/>
      <c r="L170" s="389"/>
      <c r="M170" s="389"/>
      <c r="O170" s="389"/>
      <c r="Q170" s="389"/>
      <c r="S170" s="389"/>
      <c r="U170" s="389"/>
      <c r="W170" s="389"/>
      <c r="X170" s="389"/>
      <c r="Y170" s="389"/>
    </row>
    <row r="171" spans="9:25">
      <c r="I171" s="389"/>
      <c r="J171" s="389"/>
      <c r="K171" s="389"/>
      <c r="L171" s="389"/>
      <c r="M171" s="389"/>
      <c r="O171" s="389"/>
      <c r="Q171" s="389"/>
      <c r="S171" s="389"/>
      <c r="U171" s="389"/>
      <c r="W171" s="389"/>
      <c r="X171" s="389"/>
      <c r="Y171" s="389"/>
    </row>
    <row r="172" spans="9:25">
      <c r="I172" s="389"/>
      <c r="J172" s="389"/>
      <c r="K172" s="389"/>
      <c r="L172" s="389"/>
      <c r="M172" s="389"/>
      <c r="O172" s="389"/>
      <c r="Q172" s="389"/>
      <c r="S172" s="389"/>
      <c r="U172" s="389"/>
      <c r="W172" s="389"/>
      <c r="X172" s="389"/>
      <c r="Y172" s="389"/>
    </row>
    <row r="173" spans="9:25">
      <c r="I173" s="389"/>
      <c r="J173" s="389"/>
      <c r="K173" s="389"/>
      <c r="L173" s="389"/>
      <c r="M173" s="389"/>
      <c r="O173" s="389"/>
      <c r="Q173" s="389"/>
      <c r="S173" s="389"/>
      <c r="U173" s="389"/>
      <c r="W173" s="389"/>
      <c r="X173" s="389"/>
      <c r="Y173" s="389"/>
    </row>
    <row r="174" spans="9:25">
      <c r="I174" s="389"/>
      <c r="J174" s="389"/>
      <c r="K174" s="389"/>
      <c r="L174" s="389"/>
      <c r="M174" s="389"/>
      <c r="O174" s="389"/>
      <c r="Q174" s="389"/>
      <c r="S174" s="389"/>
      <c r="U174" s="389"/>
      <c r="W174" s="389"/>
      <c r="X174" s="389"/>
      <c r="Y174" s="389"/>
    </row>
    <row r="175" spans="9:25">
      <c r="I175" s="389"/>
      <c r="J175" s="389"/>
      <c r="K175" s="389"/>
      <c r="L175" s="389"/>
      <c r="M175" s="389"/>
      <c r="O175" s="389"/>
      <c r="Q175" s="389"/>
      <c r="S175" s="389"/>
      <c r="U175" s="389"/>
      <c r="W175" s="389"/>
      <c r="X175" s="389"/>
      <c r="Y175" s="389"/>
    </row>
    <row r="176" spans="9:25">
      <c r="I176" s="389"/>
      <c r="J176" s="389"/>
      <c r="K176" s="389"/>
      <c r="L176" s="389"/>
      <c r="M176" s="389"/>
      <c r="O176" s="389"/>
      <c r="Q176" s="389"/>
      <c r="S176" s="389"/>
      <c r="U176" s="389"/>
      <c r="W176" s="389"/>
      <c r="X176" s="389"/>
      <c r="Y176" s="389"/>
    </row>
    <row r="177" spans="9:25">
      <c r="I177" s="389"/>
      <c r="J177" s="389"/>
      <c r="K177" s="389"/>
      <c r="L177" s="389"/>
      <c r="M177" s="389"/>
      <c r="O177" s="389"/>
      <c r="Q177" s="389"/>
      <c r="S177" s="389"/>
      <c r="U177" s="389"/>
      <c r="W177" s="389"/>
      <c r="X177" s="389"/>
      <c r="Y177" s="389"/>
    </row>
    <row r="178" spans="9:25">
      <c r="I178" s="389"/>
      <c r="J178" s="389"/>
      <c r="K178" s="389"/>
      <c r="L178" s="389"/>
      <c r="M178" s="389"/>
      <c r="O178" s="389"/>
      <c r="Q178" s="389"/>
      <c r="S178" s="389"/>
      <c r="U178" s="389"/>
      <c r="W178" s="389"/>
      <c r="X178" s="389"/>
      <c r="Y178" s="389"/>
    </row>
    <row r="179" spans="9:25">
      <c r="I179" s="389"/>
      <c r="J179" s="389"/>
      <c r="K179" s="389"/>
      <c r="L179" s="389"/>
      <c r="M179" s="389"/>
      <c r="O179" s="389"/>
      <c r="Q179" s="389"/>
      <c r="S179" s="389"/>
      <c r="U179" s="389"/>
      <c r="W179" s="389"/>
      <c r="X179" s="389"/>
      <c r="Y179" s="389"/>
    </row>
    <row r="180" spans="9:25">
      <c r="I180" s="389"/>
      <c r="J180" s="389"/>
      <c r="K180" s="389"/>
      <c r="L180" s="389"/>
      <c r="M180" s="389"/>
      <c r="O180" s="389"/>
      <c r="Q180" s="389"/>
      <c r="S180" s="389"/>
      <c r="U180" s="389"/>
      <c r="W180" s="389"/>
      <c r="X180" s="389"/>
      <c r="Y180" s="389"/>
    </row>
    <row r="181" spans="9:25">
      <c r="I181" s="389"/>
      <c r="J181" s="389"/>
      <c r="K181" s="389"/>
      <c r="L181" s="389"/>
      <c r="M181" s="389"/>
      <c r="O181" s="389"/>
      <c r="Q181" s="389"/>
      <c r="R181" s="389"/>
      <c r="S181" s="389"/>
      <c r="U181" s="389"/>
      <c r="W181" s="389"/>
      <c r="X181" s="389"/>
      <c r="Y181" s="389"/>
    </row>
    <row r="182" spans="9:25">
      <c r="I182" s="389"/>
      <c r="J182" s="389"/>
      <c r="K182" s="389"/>
      <c r="L182" s="389"/>
      <c r="M182" s="389"/>
      <c r="O182" s="389"/>
      <c r="Q182" s="389"/>
      <c r="R182" s="389"/>
      <c r="S182" s="389"/>
      <c r="U182" s="389"/>
      <c r="W182" s="389"/>
      <c r="X182" s="389"/>
      <c r="Y182" s="389"/>
    </row>
    <row r="183" spans="9:25">
      <c r="I183" s="389"/>
      <c r="J183" s="389"/>
      <c r="K183" s="389"/>
      <c r="L183" s="389"/>
      <c r="M183" s="389"/>
      <c r="O183" s="389"/>
      <c r="Q183" s="389"/>
      <c r="R183" s="389"/>
      <c r="S183" s="389"/>
      <c r="U183" s="389"/>
      <c r="W183" s="389"/>
      <c r="X183" s="389"/>
      <c r="Y183" s="389"/>
    </row>
    <row r="184" spans="9:25">
      <c r="I184" s="389"/>
      <c r="J184" s="389"/>
      <c r="K184" s="389"/>
      <c r="L184" s="389"/>
      <c r="M184" s="389"/>
      <c r="O184" s="389"/>
      <c r="Q184" s="389"/>
      <c r="R184" s="389"/>
      <c r="S184" s="389"/>
      <c r="U184" s="389"/>
      <c r="W184" s="389"/>
      <c r="X184" s="389"/>
      <c r="Y184" s="389"/>
    </row>
    <row r="185" spans="9:25">
      <c r="I185" s="389"/>
      <c r="J185" s="389"/>
      <c r="K185" s="389"/>
      <c r="L185" s="389"/>
      <c r="M185" s="389"/>
      <c r="O185" s="389"/>
      <c r="Q185" s="389"/>
      <c r="R185" s="389"/>
      <c r="S185" s="389"/>
      <c r="U185" s="389"/>
      <c r="W185" s="389"/>
      <c r="X185" s="389"/>
      <c r="Y185" s="389"/>
    </row>
    <row r="186" spans="9:25">
      <c r="I186" s="389"/>
      <c r="J186" s="389"/>
      <c r="K186" s="389"/>
      <c r="L186" s="389"/>
      <c r="M186" s="389"/>
      <c r="O186" s="389"/>
      <c r="P186" s="389"/>
      <c r="Q186" s="389"/>
      <c r="R186" s="389"/>
      <c r="S186" s="389"/>
      <c r="U186" s="389"/>
      <c r="W186" s="389"/>
      <c r="X186" s="389"/>
      <c r="Y186" s="389"/>
    </row>
    <row r="187" spans="9:25">
      <c r="I187" s="389"/>
      <c r="J187" s="389"/>
      <c r="K187" s="389"/>
      <c r="L187" s="389"/>
      <c r="M187" s="389"/>
      <c r="O187" s="389"/>
      <c r="P187" s="389"/>
      <c r="Q187" s="389"/>
      <c r="R187" s="389"/>
      <c r="S187" s="389"/>
      <c r="U187" s="389"/>
      <c r="W187" s="389"/>
      <c r="X187" s="389"/>
      <c r="Y187" s="389"/>
    </row>
    <row r="188" spans="9:25">
      <c r="I188" s="389"/>
      <c r="J188" s="389"/>
      <c r="K188" s="389"/>
      <c r="L188" s="389"/>
      <c r="M188" s="389"/>
      <c r="O188" s="389"/>
      <c r="P188" s="389"/>
      <c r="Q188" s="389"/>
      <c r="R188" s="389"/>
      <c r="S188" s="389"/>
      <c r="U188" s="389"/>
      <c r="V188" s="389"/>
      <c r="W188" s="389"/>
      <c r="X188" s="389"/>
      <c r="Y188" s="389"/>
    </row>
    <row r="189" spans="9:25">
      <c r="I189" s="389"/>
      <c r="J189" s="389"/>
      <c r="K189" s="389"/>
      <c r="L189" s="389"/>
      <c r="M189" s="389"/>
      <c r="O189" s="389"/>
      <c r="P189" s="389"/>
      <c r="Q189" s="389"/>
      <c r="R189" s="389"/>
      <c r="S189" s="389"/>
      <c r="U189" s="389"/>
      <c r="V189" s="389"/>
      <c r="W189" s="389"/>
      <c r="X189" s="389"/>
      <c r="Y189" s="389"/>
    </row>
    <row r="190" spans="9:25">
      <c r="I190" s="389"/>
      <c r="J190" s="389"/>
      <c r="K190" s="389"/>
      <c r="L190" s="389"/>
      <c r="M190" s="389"/>
      <c r="O190" s="389"/>
      <c r="P190" s="389"/>
      <c r="Q190" s="389"/>
      <c r="R190" s="389"/>
      <c r="S190" s="389"/>
      <c r="U190" s="389"/>
      <c r="V190" s="389"/>
      <c r="W190" s="389"/>
      <c r="X190" s="389"/>
      <c r="Y190" s="389"/>
    </row>
    <row r="191" spans="9:25">
      <c r="I191" s="389"/>
      <c r="J191" s="389"/>
      <c r="K191" s="389"/>
      <c r="L191" s="389"/>
      <c r="M191" s="389"/>
      <c r="O191" s="389"/>
      <c r="P191" s="389"/>
      <c r="Q191" s="389"/>
      <c r="R191" s="389"/>
      <c r="S191" s="389"/>
      <c r="U191" s="389"/>
      <c r="V191" s="389"/>
      <c r="W191" s="389"/>
      <c r="X191" s="389"/>
      <c r="Y191" s="389"/>
    </row>
    <row r="192" spans="9:25">
      <c r="I192" s="389"/>
      <c r="J192" s="389"/>
      <c r="K192" s="389"/>
      <c r="L192" s="389"/>
      <c r="M192" s="389"/>
      <c r="O192" s="389"/>
      <c r="P192" s="389"/>
      <c r="Q192" s="389"/>
      <c r="R192" s="389"/>
      <c r="S192" s="389"/>
      <c r="U192" s="389"/>
      <c r="V192" s="389"/>
      <c r="W192" s="389"/>
      <c r="X192" s="389"/>
      <c r="Y192" s="389"/>
    </row>
    <row r="193" spans="9:25">
      <c r="I193" s="389"/>
      <c r="J193" s="389"/>
      <c r="K193" s="389"/>
      <c r="L193" s="389"/>
      <c r="M193" s="389"/>
      <c r="O193" s="389"/>
      <c r="P193" s="389"/>
      <c r="Q193" s="389"/>
      <c r="R193" s="389"/>
      <c r="S193" s="389"/>
      <c r="U193" s="389"/>
      <c r="V193" s="389"/>
      <c r="W193" s="389"/>
      <c r="X193" s="389"/>
      <c r="Y193" s="389"/>
    </row>
    <row r="194" spans="9:25">
      <c r="I194" s="389"/>
      <c r="J194" s="389"/>
      <c r="K194" s="389"/>
      <c r="L194" s="389"/>
      <c r="M194" s="389"/>
      <c r="O194" s="389"/>
      <c r="P194" s="389"/>
      <c r="Q194" s="389"/>
      <c r="R194" s="389"/>
      <c r="S194" s="389"/>
      <c r="U194" s="389"/>
      <c r="V194" s="389"/>
      <c r="W194" s="389"/>
      <c r="X194" s="389"/>
      <c r="Y194" s="389"/>
    </row>
    <row r="195" spans="9:25">
      <c r="I195" s="389"/>
      <c r="J195" s="389"/>
      <c r="K195" s="389"/>
      <c r="L195" s="389"/>
      <c r="M195" s="389"/>
      <c r="O195" s="389"/>
      <c r="P195" s="389"/>
      <c r="Q195" s="389"/>
      <c r="R195" s="389"/>
      <c r="S195" s="389"/>
      <c r="U195" s="389"/>
      <c r="V195" s="389"/>
      <c r="W195" s="389"/>
      <c r="X195" s="389"/>
      <c r="Y195" s="389"/>
    </row>
    <row r="196" spans="9:25">
      <c r="I196" s="389"/>
      <c r="J196" s="389"/>
      <c r="K196" s="389"/>
      <c r="L196" s="389"/>
      <c r="M196" s="389"/>
      <c r="O196" s="389"/>
      <c r="P196" s="389"/>
      <c r="Q196" s="389"/>
      <c r="R196" s="389"/>
      <c r="S196" s="389"/>
      <c r="U196" s="389"/>
      <c r="V196" s="389"/>
      <c r="W196" s="389"/>
      <c r="X196" s="389"/>
      <c r="Y196" s="389"/>
    </row>
    <row r="197" spans="9:25">
      <c r="I197" s="389"/>
      <c r="J197" s="389"/>
      <c r="K197" s="389"/>
      <c r="L197" s="389"/>
      <c r="M197" s="389"/>
      <c r="O197" s="389"/>
      <c r="P197" s="389"/>
      <c r="Q197" s="389"/>
      <c r="R197" s="389"/>
      <c r="S197" s="389"/>
      <c r="U197" s="389"/>
      <c r="V197" s="389"/>
      <c r="W197" s="389"/>
      <c r="X197" s="389"/>
      <c r="Y197" s="389"/>
    </row>
    <row r="198" spans="9:25">
      <c r="I198" s="389"/>
      <c r="J198" s="389"/>
      <c r="K198" s="389"/>
      <c r="L198" s="389"/>
      <c r="M198" s="389"/>
      <c r="O198" s="389"/>
      <c r="P198" s="389"/>
      <c r="Q198" s="389"/>
      <c r="R198" s="389"/>
      <c r="S198" s="389"/>
      <c r="U198" s="389"/>
      <c r="V198" s="389"/>
      <c r="W198" s="389"/>
      <c r="X198" s="389"/>
      <c r="Y198" s="389"/>
    </row>
    <row r="199" spans="9:25">
      <c r="I199" s="389"/>
      <c r="J199" s="389"/>
      <c r="K199" s="389"/>
      <c r="L199" s="389"/>
      <c r="M199" s="389"/>
      <c r="O199" s="389"/>
      <c r="P199" s="389"/>
      <c r="Q199" s="389"/>
      <c r="R199" s="389"/>
      <c r="S199" s="389"/>
      <c r="U199" s="389"/>
      <c r="V199" s="389"/>
      <c r="W199" s="389"/>
      <c r="X199" s="389"/>
      <c r="Y199" s="389"/>
    </row>
    <row r="200" spans="9:25">
      <c r="I200" s="389"/>
      <c r="J200" s="389"/>
      <c r="K200" s="389"/>
      <c r="L200" s="389"/>
      <c r="M200" s="389"/>
      <c r="O200" s="389"/>
      <c r="P200" s="389"/>
      <c r="Q200" s="389"/>
      <c r="R200" s="389"/>
      <c r="S200" s="389"/>
      <c r="U200" s="389"/>
      <c r="V200" s="389"/>
      <c r="W200" s="389"/>
      <c r="X200" s="389"/>
      <c r="Y200" s="389"/>
    </row>
    <row r="201" spans="9:25">
      <c r="I201" s="389"/>
      <c r="J201" s="389"/>
      <c r="K201" s="389"/>
      <c r="L201" s="389"/>
      <c r="M201" s="389"/>
      <c r="O201" s="389"/>
      <c r="P201" s="389"/>
      <c r="Q201" s="389"/>
      <c r="R201" s="389"/>
      <c r="S201" s="389"/>
      <c r="U201" s="389"/>
      <c r="V201" s="389"/>
      <c r="W201" s="389"/>
      <c r="X201" s="389"/>
      <c r="Y201" s="389"/>
    </row>
    <row r="202" spans="9:25">
      <c r="I202" s="389"/>
      <c r="J202" s="389"/>
      <c r="K202" s="389"/>
      <c r="L202" s="389"/>
      <c r="M202" s="389"/>
      <c r="O202" s="389"/>
      <c r="P202" s="389"/>
      <c r="Q202" s="389"/>
      <c r="R202" s="389"/>
      <c r="S202" s="389"/>
      <c r="U202" s="389"/>
      <c r="V202" s="389"/>
      <c r="W202" s="389"/>
      <c r="X202" s="389"/>
      <c r="Y202" s="389"/>
    </row>
    <row r="203" spans="9:25">
      <c r="I203" s="389"/>
      <c r="J203" s="389"/>
      <c r="K203" s="389"/>
      <c r="L203" s="389"/>
      <c r="M203" s="389"/>
      <c r="O203" s="389"/>
      <c r="P203" s="389"/>
      <c r="Q203" s="389"/>
      <c r="R203" s="389"/>
      <c r="S203" s="389"/>
      <c r="U203" s="389"/>
      <c r="V203" s="389"/>
      <c r="W203" s="389"/>
      <c r="X203" s="389"/>
      <c r="Y203" s="389"/>
    </row>
    <row r="281" spans="4:4">
      <c r="D281" s="922">
        <v>0</v>
      </c>
    </row>
  </sheetData>
  <mergeCells count="4">
    <mergeCell ref="A1:L1"/>
    <mergeCell ref="A2:Z2"/>
    <mergeCell ref="B3:I3"/>
    <mergeCell ref="A4:L4"/>
  </mergeCells>
  <printOptions horizontalCentered="1"/>
  <pageMargins left="0" right="0" top="0.5" bottom="0.17" header="0.17" footer="0.2"/>
  <pageSetup scale="48"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tabColor rgb="FF92D050"/>
    <pageSetUpPr fitToPage="1"/>
  </sheetPr>
  <dimension ref="A1:R354"/>
  <sheetViews>
    <sheetView showGridLines="0" zoomScaleNormal="100" workbookViewId="0">
      <selection activeCell="I68" sqref="I68"/>
    </sheetView>
  </sheetViews>
  <sheetFormatPr defaultColWidth="9.140625" defaultRowHeight="15.75"/>
  <cols>
    <col min="1" max="1" width="43.140625" style="356" customWidth="1"/>
    <col min="2" max="2" width="5.140625" style="356" customWidth="1"/>
    <col min="3" max="3" width="2.140625" style="356" bestFit="1" customWidth="1"/>
    <col min="4" max="4" width="17.42578125" style="356" bestFit="1" customWidth="1"/>
    <col min="5" max="5" width="1.85546875" style="356" customWidth="1"/>
    <col min="6" max="6" width="14.140625" style="356" bestFit="1" customWidth="1"/>
    <col min="7" max="7" width="1.85546875" style="356" customWidth="1"/>
    <col min="8" max="8" width="13.5703125" style="356" bestFit="1" customWidth="1"/>
    <col min="9" max="9" width="11.28515625" style="356" customWidth="1"/>
    <col min="10" max="10" width="0.85546875" style="356" customWidth="1"/>
    <col min="11" max="11" width="10.28515625" style="356" customWidth="1"/>
    <col min="12" max="12" width="0.85546875" style="356" customWidth="1"/>
    <col min="13" max="13" width="11.28515625" style="356" customWidth="1"/>
    <col min="14" max="14" width="0.7109375" style="356" customWidth="1"/>
    <col min="15" max="15" width="10.28515625" style="356" customWidth="1"/>
    <col min="16" max="16" width="0.7109375" style="356" customWidth="1"/>
    <col min="17" max="17" width="12.28515625" style="356" customWidth="1"/>
    <col min="18" max="248" width="9.140625" style="356"/>
    <col min="249" max="249" width="39.7109375" style="356" bestFit="1" customWidth="1"/>
    <col min="250" max="250" width="5.140625" style="356" customWidth="1"/>
    <col min="251" max="251" width="2.140625" style="356" bestFit="1" customWidth="1"/>
    <col min="252" max="252" width="17.42578125" style="356" bestFit="1" customWidth="1"/>
    <col min="253" max="253" width="1.28515625" style="356" customWidth="1"/>
    <col min="254" max="254" width="13.28515625" style="356" bestFit="1" customWidth="1"/>
    <col min="255" max="255" width="1.140625" style="356" customWidth="1"/>
    <col min="256" max="256" width="13.5703125" style="356" bestFit="1" customWidth="1"/>
    <col min="257" max="257" width="0.7109375" style="356" customWidth="1"/>
    <col min="258" max="258" width="0.85546875" style="356" customWidth="1"/>
    <col min="259" max="259" width="10.28515625" style="356" customWidth="1"/>
    <col min="260" max="260" width="0.7109375" style="356" customWidth="1"/>
    <col min="261" max="261" width="2.5703125" style="356" customWidth="1"/>
    <col min="262" max="262" width="0.5703125" style="356" customWidth="1"/>
    <col min="263" max="263" width="11.28515625" style="356" customWidth="1"/>
    <col min="264" max="264" width="0.5703125" style="356" customWidth="1"/>
    <col min="265" max="265" width="11.28515625" style="356" customWidth="1"/>
    <col min="266" max="266" width="0.85546875" style="356" customWidth="1"/>
    <col min="267" max="267" width="10.28515625" style="356" customWidth="1"/>
    <col min="268" max="268" width="0.85546875" style="356" customWidth="1"/>
    <col min="269" max="269" width="11.28515625" style="356" customWidth="1"/>
    <col min="270" max="270" width="0.7109375" style="356" customWidth="1"/>
    <col min="271" max="271" width="10.28515625" style="356" customWidth="1"/>
    <col min="272" max="272" width="0.7109375" style="356" customWidth="1"/>
    <col min="273" max="273" width="12.28515625" style="356" customWidth="1"/>
    <col min="274" max="504" width="9.140625" style="356"/>
    <col min="505" max="505" width="39.7109375" style="356" bestFit="1" customWidth="1"/>
    <col min="506" max="506" width="5.140625" style="356" customWidth="1"/>
    <col min="507" max="507" width="2.140625" style="356" bestFit="1" customWidth="1"/>
    <col min="508" max="508" width="17.42578125" style="356" bestFit="1" customWidth="1"/>
    <col min="509" max="509" width="1.28515625" style="356" customWidth="1"/>
    <col min="510" max="510" width="13.28515625" style="356" bestFit="1" customWidth="1"/>
    <col min="511" max="511" width="1.140625" style="356" customWidth="1"/>
    <col min="512" max="512" width="13.5703125" style="356" bestFit="1" customWidth="1"/>
    <col min="513" max="513" width="0.7109375" style="356" customWidth="1"/>
    <col min="514" max="514" width="0.85546875" style="356" customWidth="1"/>
    <col min="515" max="515" width="10.28515625" style="356" customWidth="1"/>
    <col min="516" max="516" width="0.7109375" style="356" customWidth="1"/>
    <col min="517" max="517" width="2.5703125" style="356" customWidth="1"/>
    <col min="518" max="518" width="0.5703125" style="356" customWidth="1"/>
    <col min="519" max="519" width="11.28515625" style="356" customWidth="1"/>
    <col min="520" max="520" width="0.5703125" style="356" customWidth="1"/>
    <col min="521" max="521" width="11.28515625" style="356" customWidth="1"/>
    <col min="522" max="522" width="0.85546875" style="356" customWidth="1"/>
    <col min="523" max="523" width="10.28515625" style="356" customWidth="1"/>
    <col min="524" max="524" width="0.85546875" style="356" customWidth="1"/>
    <col min="525" max="525" width="11.28515625" style="356" customWidth="1"/>
    <col min="526" max="526" width="0.7109375" style="356" customWidth="1"/>
    <col min="527" max="527" width="10.28515625" style="356" customWidth="1"/>
    <col min="528" max="528" width="0.7109375" style="356" customWidth="1"/>
    <col min="529" max="529" width="12.28515625" style="356" customWidth="1"/>
    <col min="530" max="760" width="9.140625" style="356"/>
    <col min="761" max="761" width="39.7109375" style="356" bestFit="1" customWidth="1"/>
    <col min="762" max="762" width="5.140625" style="356" customWidth="1"/>
    <col min="763" max="763" width="2.140625" style="356" bestFit="1" customWidth="1"/>
    <col min="764" max="764" width="17.42578125" style="356" bestFit="1" customWidth="1"/>
    <col min="765" max="765" width="1.28515625" style="356" customWidth="1"/>
    <col min="766" max="766" width="13.28515625" style="356" bestFit="1" customWidth="1"/>
    <col min="767" max="767" width="1.140625" style="356" customWidth="1"/>
    <col min="768" max="768" width="13.5703125" style="356" bestFit="1" customWidth="1"/>
    <col min="769" max="769" width="0.7109375" style="356" customWidth="1"/>
    <col min="770" max="770" width="0.85546875" style="356" customWidth="1"/>
    <col min="771" max="771" width="10.28515625" style="356" customWidth="1"/>
    <col min="772" max="772" width="0.7109375" style="356" customWidth="1"/>
    <col min="773" max="773" width="2.5703125" style="356" customWidth="1"/>
    <col min="774" max="774" width="0.5703125" style="356" customWidth="1"/>
    <col min="775" max="775" width="11.28515625" style="356" customWidth="1"/>
    <col min="776" max="776" width="0.5703125" style="356" customWidth="1"/>
    <col min="777" max="777" width="11.28515625" style="356" customWidth="1"/>
    <col min="778" max="778" width="0.85546875" style="356" customWidth="1"/>
    <col min="779" max="779" width="10.28515625" style="356" customWidth="1"/>
    <col min="780" max="780" width="0.85546875" style="356" customWidth="1"/>
    <col min="781" max="781" width="11.28515625" style="356" customWidth="1"/>
    <col min="782" max="782" width="0.7109375" style="356" customWidth="1"/>
    <col min="783" max="783" width="10.28515625" style="356" customWidth="1"/>
    <col min="784" max="784" width="0.7109375" style="356" customWidth="1"/>
    <col min="785" max="785" width="12.28515625" style="356" customWidth="1"/>
    <col min="786" max="1016" width="9.140625" style="356"/>
    <col min="1017" max="1017" width="39.7109375" style="356" bestFit="1" customWidth="1"/>
    <col min="1018" max="1018" width="5.140625" style="356" customWidth="1"/>
    <col min="1019" max="1019" width="2.140625" style="356" bestFit="1" customWidth="1"/>
    <col min="1020" max="1020" width="17.42578125" style="356" bestFit="1" customWidth="1"/>
    <col min="1021" max="1021" width="1.28515625" style="356" customWidth="1"/>
    <col min="1022" max="1022" width="13.28515625" style="356" bestFit="1" customWidth="1"/>
    <col min="1023" max="1023" width="1.140625" style="356" customWidth="1"/>
    <col min="1024" max="1024" width="13.5703125" style="356" bestFit="1" customWidth="1"/>
    <col min="1025" max="1025" width="0.7109375" style="356" customWidth="1"/>
    <col min="1026" max="1026" width="0.85546875" style="356" customWidth="1"/>
    <col min="1027" max="1027" width="10.28515625" style="356" customWidth="1"/>
    <col min="1028" max="1028" width="0.7109375" style="356" customWidth="1"/>
    <col min="1029" max="1029" width="2.5703125" style="356" customWidth="1"/>
    <col min="1030" max="1030" width="0.5703125" style="356" customWidth="1"/>
    <col min="1031" max="1031" width="11.28515625" style="356" customWidth="1"/>
    <col min="1032" max="1032" width="0.5703125" style="356" customWidth="1"/>
    <col min="1033" max="1033" width="11.28515625" style="356" customWidth="1"/>
    <col min="1034" max="1034" width="0.85546875" style="356" customWidth="1"/>
    <col min="1035" max="1035" width="10.28515625" style="356" customWidth="1"/>
    <col min="1036" max="1036" width="0.85546875" style="356" customWidth="1"/>
    <col min="1037" max="1037" width="11.28515625" style="356" customWidth="1"/>
    <col min="1038" max="1038" width="0.7109375" style="356" customWidth="1"/>
    <col min="1039" max="1039" width="10.28515625" style="356" customWidth="1"/>
    <col min="1040" max="1040" width="0.7109375" style="356" customWidth="1"/>
    <col min="1041" max="1041" width="12.28515625" style="356" customWidth="1"/>
    <col min="1042" max="1272" width="9.140625" style="356"/>
    <col min="1273" max="1273" width="39.7109375" style="356" bestFit="1" customWidth="1"/>
    <col min="1274" max="1274" width="5.140625" style="356" customWidth="1"/>
    <col min="1275" max="1275" width="2.140625" style="356" bestFit="1" customWidth="1"/>
    <col min="1276" max="1276" width="17.42578125" style="356" bestFit="1" customWidth="1"/>
    <col min="1277" max="1277" width="1.28515625" style="356" customWidth="1"/>
    <col min="1278" max="1278" width="13.28515625" style="356" bestFit="1" customWidth="1"/>
    <col min="1279" max="1279" width="1.140625" style="356" customWidth="1"/>
    <col min="1280" max="1280" width="13.5703125" style="356" bestFit="1" customWidth="1"/>
    <col min="1281" max="1281" width="0.7109375" style="356" customWidth="1"/>
    <col min="1282" max="1282" width="0.85546875" style="356" customWidth="1"/>
    <col min="1283" max="1283" width="10.28515625" style="356" customWidth="1"/>
    <col min="1284" max="1284" width="0.7109375" style="356" customWidth="1"/>
    <col min="1285" max="1285" width="2.5703125" style="356" customWidth="1"/>
    <col min="1286" max="1286" width="0.5703125" style="356" customWidth="1"/>
    <col min="1287" max="1287" width="11.28515625" style="356" customWidth="1"/>
    <col min="1288" max="1288" width="0.5703125" style="356" customWidth="1"/>
    <col min="1289" max="1289" width="11.28515625" style="356" customWidth="1"/>
    <col min="1290" max="1290" width="0.85546875" style="356" customWidth="1"/>
    <col min="1291" max="1291" width="10.28515625" style="356" customWidth="1"/>
    <col min="1292" max="1292" width="0.85546875" style="356" customWidth="1"/>
    <col min="1293" max="1293" width="11.28515625" style="356" customWidth="1"/>
    <col min="1294" max="1294" width="0.7109375" style="356" customWidth="1"/>
    <col min="1295" max="1295" width="10.28515625" style="356" customWidth="1"/>
    <col min="1296" max="1296" width="0.7109375" style="356" customWidth="1"/>
    <col min="1297" max="1297" width="12.28515625" style="356" customWidth="1"/>
    <col min="1298" max="1528" width="9.140625" style="356"/>
    <col min="1529" max="1529" width="39.7109375" style="356" bestFit="1" customWidth="1"/>
    <col min="1530" max="1530" width="5.140625" style="356" customWidth="1"/>
    <col min="1531" max="1531" width="2.140625" style="356" bestFit="1" customWidth="1"/>
    <col min="1532" max="1532" width="17.42578125" style="356" bestFit="1" customWidth="1"/>
    <col min="1533" max="1533" width="1.28515625" style="356" customWidth="1"/>
    <col min="1534" max="1534" width="13.28515625" style="356" bestFit="1" customWidth="1"/>
    <col min="1535" max="1535" width="1.140625" style="356" customWidth="1"/>
    <col min="1536" max="1536" width="13.5703125" style="356" bestFit="1" customWidth="1"/>
    <col min="1537" max="1537" width="0.7109375" style="356" customWidth="1"/>
    <col min="1538" max="1538" width="0.85546875" style="356" customWidth="1"/>
    <col min="1539" max="1539" width="10.28515625" style="356" customWidth="1"/>
    <col min="1540" max="1540" width="0.7109375" style="356" customWidth="1"/>
    <col min="1541" max="1541" width="2.5703125" style="356" customWidth="1"/>
    <col min="1542" max="1542" width="0.5703125" style="356" customWidth="1"/>
    <col min="1543" max="1543" width="11.28515625" style="356" customWidth="1"/>
    <col min="1544" max="1544" width="0.5703125" style="356" customWidth="1"/>
    <col min="1545" max="1545" width="11.28515625" style="356" customWidth="1"/>
    <col min="1546" max="1546" width="0.85546875" style="356" customWidth="1"/>
    <col min="1547" max="1547" width="10.28515625" style="356" customWidth="1"/>
    <col min="1548" max="1548" width="0.85546875" style="356" customWidth="1"/>
    <col min="1549" max="1549" width="11.28515625" style="356" customWidth="1"/>
    <col min="1550" max="1550" width="0.7109375" style="356" customWidth="1"/>
    <col min="1551" max="1551" width="10.28515625" style="356" customWidth="1"/>
    <col min="1552" max="1552" width="0.7109375" style="356" customWidth="1"/>
    <col min="1553" max="1553" width="12.28515625" style="356" customWidth="1"/>
    <col min="1554" max="1784" width="9.140625" style="356"/>
    <col min="1785" max="1785" width="39.7109375" style="356" bestFit="1" customWidth="1"/>
    <col min="1786" max="1786" width="5.140625" style="356" customWidth="1"/>
    <col min="1787" max="1787" width="2.140625" style="356" bestFit="1" customWidth="1"/>
    <col min="1788" max="1788" width="17.42578125" style="356" bestFit="1" customWidth="1"/>
    <col min="1789" max="1789" width="1.28515625" style="356" customWidth="1"/>
    <col min="1790" max="1790" width="13.28515625" style="356" bestFit="1" customWidth="1"/>
    <col min="1791" max="1791" width="1.140625" style="356" customWidth="1"/>
    <col min="1792" max="1792" width="13.5703125" style="356" bestFit="1" customWidth="1"/>
    <col min="1793" max="1793" width="0.7109375" style="356" customWidth="1"/>
    <col min="1794" max="1794" width="0.85546875" style="356" customWidth="1"/>
    <col min="1795" max="1795" width="10.28515625" style="356" customWidth="1"/>
    <col min="1796" max="1796" width="0.7109375" style="356" customWidth="1"/>
    <col min="1797" max="1797" width="2.5703125" style="356" customWidth="1"/>
    <col min="1798" max="1798" width="0.5703125" style="356" customWidth="1"/>
    <col min="1799" max="1799" width="11.28515625" style="356" customWidth="1"/>
    <col min="1800" max="1800" width="0.5703125" style="356" customWidth="1"/>
    <col min="1801" max="1801" width="11.28515625" style="356" customWidth="1"/>
    <col min="1802" max="1802" width="0.85546875" style="356" customWidth="1"/>
    <col min="1803" max="1803" width="10.28515625" style="356" customWidth="1"/>
    <col min="1804" max="1804" width="0.85546875" style="356" customWidth="1"/>
    <col min="1805" max="1805" width="11.28515625" style="356" customWidth="1"/>
    <col min="1806" max="1806" width="0.7109375" style="356" customWidth="1"/>
    <col min="1807" max="1807" width="10.28515625" style="356" customWidth="1"/>
    <col min="1808" max="1808" width="0.7109375" style="356" customWidth="1"/>
    <col min="1809" max="1809" width="12.28515625" style="356" customWidth="1"/>
    <col min="1810" max="2040" width="9.140625" style="356"/>
    <col min="2041" max="2041" width="39.7109375" style="356" bestFit="1" customWidth="1"/>
    <col min="2042" max="2042" width="5.140625" style="356" customWidth="1"/>
    <col min="2043" max="2043" width="2.140625" style="356" bestFit="1" customWidth="1"/>
    <col min="2044" max="2044" width="17.42578125" style="356" bestFit="1" customWidth="1"/>
    <col min="2045" max="2045" width="1.28515625" style="356" customWidth="1"/>
    <col min="2046" max="2046" width="13.28515625" style="356" bestFit="1" customWidth="1"/>
    <col min="2047" max="2047" width="1.140625" style="356" customWidth="1"/>
    <col min="2048" max="2048" width="13.5703125" style="356" bestFit="1" customWidth="1"/>
    <col min="2049" max="2049" width="0.7109375" style="356" customWidth="1"/>
    <col min="2050" max="2050" width="0.85546875" style="356" customWidth="1"/>
    <col min="2051" max="2051" width="10.28515625" style="356" customWidth="1"/>
    <col min="2052" max="2052" width="0.7109375" style="356" customWidth="1"/>
    <col min="2053" max="2053" width="2.5703125" style="356" customWidth="1"/>
    <col min="2054" max="2054" width="0.5703125" style="356" customWidth="1"/>
    <col min="2055" max="2055" width="11.28515625" style="356" customWidth="1"/>
    <col min="2056" max="2056" width="0.5703125" style="356" customWidth="1"/>
    <col min="2057" max="2057" width="11.28515625" style="356" customWidth="1"/>
    <col min="2058" max="2058" width="0.85546875" style="356" customWidth="1"/>
    <col min="2059" max="2059" width="10.28515625" style="356" customWidth="1"/>
    <col min="2060" max="2060" width="0.85546875" style="356" customWidth="1"/>
    <col min="2061" max="2061" width="11.28515625" style="356" customWidth="1"/>
    <col min="2062" max="2062" width="0.7109375" style="356" customWidth="1"/>
    <col min="2063" max="2063" width="10.28515625" style="356" customWidth="1"/>
    <col min="2064" max="2064" width="0.7109375" style="356" customWidth="1"/>
    <col min="2065" max="2065" width="12.28515625" style="356" customWidth="1"/>
    <col min="2066" max="2296" width="9.140625" style="356"/>
    <col min="2297" max="2297" width="39.7109375" style="356" bestFit="1" customWidth="1"/>
    <col min="2298" max="2298" width="5.140625" style="356" customWidth="1"/>
    <col min="2299" max="2299" width="2.140625" style="356" bestFit="1" customWidth="1"/>
    <col min="2300" max="2300" width="17.42578125" style="356" bestFit="1" customWidth="1"/>
    <col min="2301" max="2301" width="1.28515625" style="356" customWidth="1"/>
    <col min="2302" max="2302" width="13.28515625" style="356" bestFit="1" customWidth="1"/>
    <col min="2303" max="2303" width="1.140625" style="356" customWidth="1"/>
    <col min="2304" max="2304" width="13.5703125" style="356" bestFit="1" customWidth="1"/>
    <col min="2305" max="2305" width="0.7109375" style="356" customWidth="1"/>
    <col min="2306" max="2306" width="0.85546875" style="356" customWidth="1"/>
    <col min="2307" max="2307" width="10.28515625" style="356" customWidth="1"/>
    <col min="2308" max="2308" width="0.7109375" style="356" customWidth="1"/>
    <col min="2309" max="2309" width="2.5703125" style="356" customWidth="1"/>
    <col min="2310" max="2310" width="0.5703125" style="356" customWidth="1"/>
    <col min="2311" max="2311" width="11.28515625" style="356" customWidth="1"/>
    <col min="2312" max="2312" width="0.5703125" style="356" customWidth="1"/>
    <col min="2313" max="2313" width="11.28515625" style="356" customWidth="1"/>
    <col min="2314" max="2314" width="0.85546875" style="356" customWidth="1"/>
    <col min="2315" max="2315" width="10.28515625" style="356" customWidth="1"/>
    <col min="2316" max="2316" width="0.85546875" style="356" customWidth="1"/>
    <col min="2317" max="2317" width="11.28515625" style="356" customWidth="1"/>
    <col min="2318" max="2318" width="0.7109375" style="356" customWidth="1"/>
    <col min="2319" max="2319" width="10.28515625" style="356" customWidth="1"/>
    <col min="2320" max="2320" width="0.7109375" style="356" customWidth="1"/>
    <col min="2321" max="2321" width="12.28515625" style="356" customWidth="1"/>
    <col min="2322" max="2552" width="9.140625" style="356"/>
    <col min="2553" max="2553" width="39.7109375" style="356" bestFit="1" customWidth="1"/>
    <col min="2554" max="2554" width="5.140625" style="356" customWidth="1"/>
    <col min="2555" max="2555" width="2.140625" style="356" bestFit="1" customWidth="1"/>
    <col min="2556" max="2556" width="17.42578125" style="356" bestFit="1" customWidth="1"/>
    <col min="2557" max="2557" width="1.28515625" style="356" customWidth="1"/>
    <col min="2558" max="2558" width="13.28515625" style="356" bestFit="1" customWidth="1"/>
    <col min="2559" max="2559" width="1.140625" style="356" customWidth="1"/>
    <col min="2560" max="2560" width="13.5703125" style="356" bestFit="1" customWidth="1"/>
    <col min="2561" max="2561" width="0.7109375" style="356" customWidth="1"/>
    <col min="2562" max="2562" width="0.85546875" style="356" customWidth="1"/>
    <col min="2563" max="2563" width="10.28515625" style="356" customWidth="1"/>
    <col min="2564" max="2564" width="0.7109375" style="356" customWidth="1"/>
    <col min="2565" max="2565" width="2.5703125" style="356" customWidth="1"/>
    <col min="2566" max="2566" width="0.5703125" style="356" customWidth="1"/>
    <col min="2567" max="2567" width="11.28515625" style="356" customWidth="1"/>
    <col min="2568" max="2568" width="0.5703125" style="356" customWidth="1"/>
    <col min="2569" max="2569" width="11.28515625" style="356" customWidth="1"/>
    <col min="2570" max="2570" width="0.85546875" style="356" customWidth="1"/>
    <col min="2571" max="2571" width="10.28515625" style="356" customWidth="1"/>
    <col min="2572" max="2572" width="0.85546875" style="356" customWidth="1"/>
    <col min="2573" max="2573" width="11.28515625" style="356" customWidth="1"/>
    <col min="2574" max="2574" width="0.7109375" style="356" customWidth="1"/>
    <col min="2575" max="2575" width="10.28515625" style="356" customWidth="1"/>
    <col min="2576" max="2576" width="0.7109375" style="356" customWidth="1"/>
    <col min="2577" max="2577" width="12.28515625" style="356" customWidth="1"/>
    <col min="2578" max="2808" width="9.140625" style="356"/>
    <col min="2809" max="2809" width="39.7109375" style="356" bestFit="1" customWidth="1"/>
    <col min="2810" max="2810" width="5.140625" style="356" customWidth="1"/>
    <col min="2811" max="2811" width="2.140625" style="356" bestFit="1" customWidth="1"/>
    <col min="2812" max="2812" width="17.42578125" style="356" bestFit="1" customWidth="1"/>
    <col min="2813" max="2813" width="1.28515625" style="356" customWidth="1"/>
    <col min="2814" max="2814" width="13.28515625" style="356" bestFit="1" customWidth="1"/>
    <col min="2815" max="2815" width="1.140625" style="356" customWidth="1"/>
    <col min="2816" max="2816" width="13.5703125" style="356" bestFit="1" customWidth="1"/>
    <col min="2817" max="2817" width="0.7109375" style="356" customWidth="1"/>
    <col min="2818" max="2818" width="0.85546875" style="356" customWidth="1"/>
    <col min="2819" max="2819" width="10.28515625" style="356" customWidth="1"/>
    <col min="2820" max="2820" width="0.7109375" style="356" customWidth="1"/>
    <col min="2821" max="2821" width="2.5703125" style="356" customWidth="1"/>
    <col min="2822" max="2822" width="0.5703125" style="356" customWidth="1"/>
    <col min="2823" max="2823" width="11.28515625" style="356" customWidth="1"/>
    <col min="2824" max="2824" width="0.5703125" style="356" customWidth="1"/>
    <col min="2825" max="2825" width="11.28515625" style="356" customWidth="1"/>
    <col min="2826" max="2826" width="0.85546875" style="356" customWidth="1"/>
    <col min="2827" max="2827" width="10.28515625" style="356" customWidth="1"/>
    <col min="2828" max="2828" width="0.85546875" style="356" customWidth="1"/>
    <col min="2829" max="2829" width="11.28515625" style="356" customWidth="1"/>
    <col min="2830" max="2830" width="0.7109375" style="356" customWidth="1"/>
    <col min="2831" max="2831" width="10.28515625" style="356" customWidth="1"/>
    <col min="2832" max="2832" width="0.7109375" style="356" customWidth="1"/>
    <col min="2833" max="2833" width="12.28515625" style="356" customWidth="1"/>
    <col min="2834" max="3064" width="9.140625" style="356"/>
    <col min="3065" max="3065" width="39.7109375" style="356" bestFit="1" customWidth="1"/>
    <col min="3066" max="3066" width="5.140625" style="356" customWidth="1"/>
    <col min="3067" max="3067" width="2.140625" style="356" bestFit="1" customWidth="1"/>
    <col min="3068" max="3068" width="17.42578125" style="356" bestFit="1" customWidth="1"/>
    <col min="3069" max="3069" width="1.28515625" style="356" customWidth="1"/>
    <col min="3070" max="3070" width="13.28515625" style="356" bestFit="1" customWidth="1"/>
    <col min="3071" max="3071" width="1.140625" style="356" customWidth="1"/>
    <col min="3072" max="3072" width="13.5703125" style="356" bestFit="1" customWidth="1"/>
    <col min="3073" max="3073" width="0.7109375" style="356" customWidth="1"/>
    <col min="3074" max="3074" width="0.85546875" style="356" customWidth="1"/>
    <col min="3075" max="3075" width="10.28515625" style="356" customWidth="1"/>
    <col min="3076" max="3076" width="0.7109375" style="356" customWidth="1"/>
    <col min="3077" max="3077" width="2.5703125" style="356" customWidth="1"/>
    <col min="3078" max="3078" width="0.5703125" style="356" customWidth="1"/>
    <col min="3079" max="3079" width="11.28515625" style="356" customWidth="1"/>
    <col min="3080" max="3080" width="0.5703125" style="356" customWidth="1"/>
    <col min="3081" max="3081" width="11.28515625" style="356" customWidth="1"/>
    <col min="3082" max="3082" width="0.85546875" style="356" customWidth="1"/>
    <col min="3083" max="3083" width="10.28515625" style="356" customWidth="1"/>
    <col min="3084" max="3084" width="0.85546875" style="356" customWidth="1"/>
    <col min="3085" max="3085" width="11.28515625" style="356" customWidth="1"/>
    <col min="3086" max="3086" width="0.7109375" style="356" customWidth="1"/>
    <col min="3087" max="3087" width="10.28515625" style="356" customWidth="1"/>
    <col min="3088" max="3088" width="0.7109375" style="356" customWidth="1"/>
    <col min="3089" max="3089" width="12.28515625" style="356" customWidth="1"/>
    <col min="3090" max="3320" width="9.140625" style="356"/>
    <col min="3321" max="3321" width="39.7109375" style="356" bestFit="1" customWidth="1"/>
    <col min="3322" max="3322" width="5.140625" style="356" customWidth="1"/>
    <col min="3323" max="3323" width="2.140625" style="356" bestFit="1" customWidth="1"/>
    <col min="3324" max="3324" width="17.42578125" style="356" bestFit="1" customWidth="1"/>
    <col min="3325" max="3325" width="1.28515625" style="356" customWidth="1"/>
    <col min="3326" max="3326" width="13.28515625" style="356" bestFit="1" customWidth="1"/>
    <col min="3327" max="3327" width="1.140625" style="356" customWidth="1"/>
    <col min="3328" max="3328" width="13.5703125" style="356" bestFit="1" customWidth="1"/>
    <col min="3329" max="3329" width="0.7109375" style="356" customWidth="1"/>
    <col min="3330" max="3330" width="0.85546875" style="356" customWidth="1"/>
    <col min="3331" max="3331" width="10.28515625" style="356" customWidth="1"/>
    <col min="3332" max="3332" width="0.7109375" style="356" customWidth="1"/>
    <col min="3333" max="3333" width="2.5703125" style="356" customWidth="1"/>
    <col min="3334" max="3334" width="0.5703125" style="356" customWidth="1"/>
    <col min="3335" max="3335" width="11.28515625" style="356" customWidth="1"/>
    <col min="3336" max="3336" width="0.5703125" style="356" customWidth="1"/>
    <col min="3337" max="3337" width="11.28515625" style="356" customWidth="1"/>
    <col min="3338" max="3338" width="0.85546875" style="356" customWidth="1"/>
    <col min="3339" max="3339" width="10.28515625" style="356" customWidth="1"/>
    <col min="3340" max="3340" width="0.85546875" style="356" customWidth="1"/>
    <col min="3341" max="3341" width="11.28515625" style="356" customWidth="1"/>
    <col min="3342" max="3342" width="0.7109375" style="356" customWidth="1"/>
    <col min="3343" max="3343" width="10.28515625" style="356" customWidth="1"/>
    <col min="3344" max="3344" width="0.7109375" style="356" customWidth="1"/>
    <col min="3345" max="3345" width="12.28515625" style="356" customWidth="1"/>
    <col min="3346" max="3576" width="9.140625" style="356"/>
    <col min="3577" max="3577" width="39.7109375" style="356" bestFit="1" customWidth="1"/>
    <col min="3578" max="3578" width="5.140625" style="356" customWidth="1"/>
    <col min="3579" max="3579" width="2.140625" style="356" bestFit="1" customWidth="1"/>
    <col min="3580" max="3580" width="17.42578125" style="356" bestFit="1" customWidth="1"/>
    <col min="3581" max="3581" width="1.28515625" style="356" customWidth="1"/>
    <col min="3582" max="3582" width="13.28515625" style="356" bestFit="1" customWidth="1"/>
    <col min="3583" max="3583" width="1.140625" style="356" customWidth="1"/>
    <col min="3584" max="3584" width="13.5703125" style="356" bestFit="1" customWidth="1"/>
    <col min="3585" max="3585" width="0.7109375" style="356" customWidth="1"/>
    <col min="3586" max="3586" width="0.85546875" style="356" customWidth="1"/>
    <col min="3587" max="3587" width="10.28515625" style="356" customWidth="1"/>
    <col min="3588" max="3588" width="0.7109375" style="356" customWidth="1"/>
    <col min="3589" max="3589" width="2.5703125" style="356" customWidth="1"/>
    <col min="3590" max="3590" width="0.5703125" style="356" customWidth="1"/>
    <col min="3591" max="3591" width="11.28515625" style="356" customWidth="1"/>
    <col min="3592" max="3592" width="0.5703125" style="356" customWidth="1"/>
    <col min="3593" max="3593" width="11.28515625" style="356" customWidth="1"/>
    <col min="3594" max="3594" width="0.85546875" style="356" customWidth="1"/>
    <col min="3595" max="3595" width="10.28515625" style="356" customWidth="1"/>
    <col min="3596" max="3596" width="0.85546875" style="356" customWidth="1"/>
    <col min="3597" max="3597" width="11.28515625" style="356" customWidth="1"/>
    <col min="3598" max="3598" width="0.7109375" style="356" customWidth="1"/>
    <col min="3599" max="3599" width="10.28515625" style="356" customWidth="1"/>
    <col min="3600" max="3600" width="0.7109375" style="356" customWidth="1"/>
    <col min="3601" max="3601" width="12.28515625" style="356" customWidth="1"/>
    <col min="3602" max="3832" width="9.140625" style="356"/>
    <col min="3833" max="3833" width="39.7109375" style="356" bestFit="1" customWidth="1"/>
    <col min="3834" max="3834" width="5.140625" style="356" customWidth="1"/>
    <col min="3835" max="3835" width="2.140625" style="356" bestFit="1" customWidth="1"/>
    <col min="3836" max="3836" width="17.42578125" style="356" bestFit="1" customWidth="1"/>
    <col min="3837" max="3837" width="1.28515625" style="356" customWidth="1"/>
    <col min="3838" max="3838" width="13.28515625" style="356" bestFit="1" customWidth="1"/>
    <col min="3839" max="3839" width="1.140625" style="356" customWidth="1"/>
    <col min="3840" max="3840" width="13.5703125" style="356" bestFit="1" customWidth="1"/>
    <col min="3841" max="3841" width="0.7109375" style="356" customWidth="1"/>
    <col min="3842" max="3842" width="0.85546875" style="356" customWidth="1"/>
    <col min="3843" max="3843" width="10.28515625" style="356" customWidth="1"/>
    <col min="3844" max="3844" width="0.7109375" style="356" customWidth="1"/>
    <col min="3845" max="3845" width="2.5703125" style="356" customWidth="1"/>
    <col min="3846" max="3846" width="0.5703125" style="356" customWidth="1"/>
    <col min="3847" max="3847" width="11.28515625" style="356" customWidth="1"/>
    <col min="3848" max="3848" width="0.5703125" style="356" customWidth="1"/>
    <col min="3849" max="3849" width="11.28515625" style="356" customWidth="1"/>
    <col min="3850" max="3850" width="0.85546875" style="356" customWidth="1"/>
    <col min="3851" max="3851" width="10.28515625" style="356" customWidth="1"/>
    <col min="3852" max="3852" width="0.85546875" style="356" customWidth="1"/>
    <col min="3853" max="3853" width="11.28515625" style="356" customWidth="1"/>
    <col min="3854" max="3854" width="0.7109375" style="356" customWidth="1"/>
    <col min="3855" max="3855" width="10.28515625" style="356" customWidth="1"/>
    <col min="3856" max="3856" width="0.7109375" style="356" customWidth="1"/>
    <col min="3857" max="3857" width="12.28515625" style="356" customWidth="1"/>
    <col min="3858" max="4088" width="9.140625" style="356"/>
    <col min="4089" max="4089" width="39.7109375" style="356" bestFit="1" customWidth="1"/>
    <col min="4090" max="4090" width="5.140625" style="356" customWidth="1"/>
    <col min="4091" max="4091" width="2.140625" style="356" bestFit="1" customWidth="1"/>
    <col min="4092" max="4092" width="17.42578125" style="356" bestFit="1" customWidth="1"/>
    <col min="4093" max="4093" width="1.28515625" style="356" customWidth="1"/>
    <col min="4094" max="4094" width="13.28515625" style="356" bestFit="1" customWidth="1"/>
    <col min="4095" max="4095" width="1.140625" style="356" customWidth="1"/>
    <col min="4096" max="4096" width="13.5703125" style="356" bestFit="1" customWidth="1"/>
    <col min="4097" max="4097" width="0.7109375" style="356" customWidth="1"/>
    <col min="4098" max="4098" width="0.85546875" style="356" customWidth="1"/>
    <col min="4099" max="4099" width="10.28515625" style="356" customWidth="1"/>
    <col min="4100" max="4100" width="0.7109375" style="356" customWidth="1"/>
    <col min="4101" max="4101" width="2.5703125" style="356" customWidth="1"/>
    <col min="4102" max="4102" width="0.5703125" style="356" customWidth="1"/>
    <col min="4103" max="4103" width="11.28515625" style="356" customWidth="1"/>
    <col min="4104" max="4104" width="0.5703125" style="356" customWidth="1"/>
    <col min="4105" max="4105" width="11.28515625" style="356" customWidth="1"/>
    <col min="4106" max="4106" width="0.85546875" style="356" customWidth="1"/>
    <col min="4107" max="4107" width="10.28515625" style="356" customWidth="1"/>
    <col min="4108" max="4108" width="0.85546875" style="356" customWidth="1"/>
    <col min="4109" max="4109" width="11.28515625" style="356" customWidth="1"/>
    <col min="4110" max="4110" width="0.7109375" style="356" customWidth="1"/>
    <col min="4111" max="4111" width="10.28515625" style="356" customWidth="1"/>
    <col min="4112" max="4112" width="0.7109375" style="356" customWidth="1"/>
    <col min="4113" max="4113" width="12.28515625" style="356" customWidth="1"/>
    <col min="4114" max="4344" width="9.140625" style="356"/>
    <col min="4345" max="4345" width="39.7109375" style="356" bestFit="1" customWidth="1"/>
    <col min="4346" max="4346" width="5.140625" style="356" customWidth="1"/>
    <col min="4347" max="4347" width="2.140625" style="356" bestFit="1" customWidth="1"/>
    <col min="4348" max="4348" width="17.42578125" style="356" bestFit="1" customWidth="1"/>
    <col min="4349" max="4349" width="1.28515625" style="356" customWidth="1"/>
    <col min="4350" max="4350" width="13.28515625" style="356" bestFit="1" customWidth="1"/>
    <col min="4351" max="4351" width="1.140625" style="356" customWidth="1"/>
    <col min="4352" max="4352" width="13.5703125" style="356" bestFit="1" customWidth="1"/>
    <col min="4353" max="4353" width="0.7109375" style="356" customWidth="1"/>
    <col min="4354" max="4354" width="0.85546875" style="356" customWidth="1"/>
    <col min="4355" max="4355" width="10.28515625" style="356" customWidth="1"/>
    <col min="4356" max="4356" width="0.7109375" style="356" customWidth="1"/>
    <col min="4357" max="4357" width="2.5703125" style="356" customWidth="1"/>
    <col min="4358" max="4358" width="0.5703125" style="356" customWidth="1"/>
    <col min="4359" max="4359" width="11.28515625" style="356" customWidth="1"/>
    <col min="4360" max="4360" width="0.5703125" style="356" customWidth="1"/>
    <col min="4361" max="4361" width="11.28515625" style="356" customWidth="1"/>
    <col min="4362" max="4362" width="0.85546875" style="356" customWidth="1"/>
    <col min="4363" max="4363" width="10.28515625" style="356" customWidth="1"/>
    <col min="4364" max="4364" width="0.85546875" style="356" customWidth="1"/>
    <col min="4365" max="4365" width="11.28515625" style="356" customWidth="1"/>
    <col min="4366" max="4366" width="0.7109375" style="356" customWidth="1"/>
    <col min="4367" max="4367" width="10.28515625" style="356" customWidth="1"/>
    <col min="4368" max="4368" width="0.7109375" style="356" customWidth="1"/>
    <col min="4369" max="4369" width="12.28515625" style="356" customWidth="1"/>
    <col min="4370" max="4600" width="9.140625" style="356"/>
    <col min="4601" max="4601" width="39.7109375" style="356" bestFit="1" customWidth="1"/>
    <col min="4602" max="4602" width="5.140625" style="356" customWidth="1"/>
    <col min="4603" max="4603" width="2.140625" style="356" bestFit="1" customWidth="1"/>
    <col min="4604" max="4604" width="17.42578125" style="356" bestFit="1" customWidth="1"/>
    <col min="4605" max="4605" width="1.28515625" style="356" customWidth="1"/>
    <col min="4606" max="4606" width="13.28515625" style="356" bestFit="1" customWidth="1"/>
    <col min="4607" max="4607" width="1.140625" style="356" customWidth="1"/>
    <col min="4608" max="4608" width="13.5703125" style="356" bestFit="1" customWidth="1"/>
    <col min="4609" max="4609" width="0.7109375" style="356" customWidth="1"/>
    <col min="4610" max="4610" width="0.85546875" style="356" customWidth="1"/>
    <col min="4611" max="4611" width="10.28515625" style="356" customWidth="1"/>
    <col min="4612" max="4612" width="0.7109375" style="356" customWidth="1"/>
    <col min="4613" max="4613" width="2.5703125" style="356" customWidth="1"/>
    <col min="4614" max="4614" width="0.5703125" style="356" customWidth="1"/>
    <col min="4615" max="4615" width="11.28515625" style="356" customWidth="1"/>
    <col min="4616" max="4616" width="0.5703125" style="356" customWidth="1"/>
    <col min="4617" max="4617" width="11.28515625" style="356" customWidth="1"/>
    <col min="4618" max="4618" width="0.85546875" style="356" customWidth="1"/>
    <col min="4619" max="4619" width="10.28515625" style="356" customWidth="1"/>
    <col min="4620" max="4620" width="0.85546875" style="356" customWidth="1"/>
    <col min="4621" max="4621" width="11.28515625" style="356" customWidth="1"/>
    <col min="4622" max="4622" width="0.7109375" style="356" customWidth="1"/>
    <col min="4623" max="4623" width="10.28515625" style="356" customWidth="1"/>
    <col min="4624" max="4624" width="0.7109375" style="356" customWidth="1"/>
    <col min="4625" max="4625" width="12.28515625" style="356" customWidth="1"/>
    <col min="4626" max="4856" width="9.140625" style="356"/>
    <col min="4857" max="4857" width="39.7109375" style="356" bestFit="1" customWidth="1"/>
    <col min="4858" max="4858" width="5.140625" style="356" customWidth="1"/>
    <col min="4859" max="4859" width="2.140625" style="356" bestFit="1" customWidth="1"/>
    <col min="4860" max="4860" width="17.42578125" style="356" bestFit="1" customWidth="1"/>
    <col min="4861" max="4861" width="1.28515625" style="356" customWidth="1"/>
    <col min="4862" max="4862" width="13.28515625" style="356" bestFit="1" customWidth="1"/>
    <col min="4863" max="4863" width="1.140625" style="356" customWidth="1"/>
    <col min="4864" max="4864" width="13.5703125" style="356" bestFit="1" customWidth="1"/>
    <col min="4865" max="4865" width="0.7109375" style="356" customWidth="1"/>
    <col min="4866" max="4866" width="0.85546875" style="356" customWidth="1"/>
    <col min="4867" max="4867" width="10.28515625" style="356" customWidth="1"/>
    <col min="4868" max="4868" width="0.7109375" style="356" customWidth="1"/>
    <col min="4869" max="4869" width="2.5703125" style="356" customWidth="1"/>
    <col min="4870" max="4870" width="0.5703125" style="356" customWidth="1"/>
    <col min="4871" max="4871" width="11.28515625" style="356" customWidth="1"/>
    <col min="4872" max="4872" width="0.5703125" style="356" customWidth="1"/>
    <col min="4873" max="4873" width="11.28515625" style="356" customWidth="1"/>
    <col min="4874" max="4874" width="0.85546875" style="356" customWidth="1"/>
    <col min="4875" max="4875" width="10.28515625" style="356" customWidth="1"/>
    <col min="4876" max="4876" width="0.85546875" style="356" customWidth="1"/>
    <col min="4877" max="4877" width="11.28515625" style="356" customWidth="1"/>
    <col min="4878" max="4878" width="0.7109375" style="356" customWidth="1"/>
    <col min="4879" max="4879" width="10.28515625" style="356" customWidth="1"/>
    <col min="4880" max="4880" width="0.7109375" style="356" customWidth="1"/>
    <col min="4881" max="4881" width="12.28515625" style="356" customWidth="1"/>
    <col min="4882" max="5112" width="9.140625" style="356"/>
    <col min="5113" max="5113" width="39.7109375" style="356" bestFit="1" customWidth="1"/>
    <col min="5114" max="5114" width="5.140625" style="356" customWidth="1"/>
    <col min="5115" max="5115" width="2.140625" style="356" bestFit="1" customWidth="1"/>
    <col min="5116" max="5116" width="17.42578125" style="356" bestFit="1" customWidth="1"/>
    <col min="5117" max="5117" width="1.28515625" style="356" customWidth="1"/>
    <col min="5118" max="5118" width="13.28515625" style="356" bestFit="1" customWidth="1"/>
    <col min="5119" max="5119" width="1.140625" style="356" customWidth="1"/>
    <col min="5120" max="5120" width="13.5703125" style="356" bestFit="1" customWidth="1"/>
    <col min="5121" max="5121" width="0.7109375" style="356" customWidth="1"/>
    <col min="5122" max="5122" width="0.85546875" style="356" customWidth="1"/>
    <col min="5123" max="5123" width="10.28515625" style="356" customWidth="1"/>
    <col min="5124" max="5124" width="0.7109375" style="356" customWidth="1"/>
    <col min="5125" max="5125" width="2.5703125" style="356" customWidth="1"/>
    <col min="5126" max="5126" width="0.5703125" style="356" customWidth="1"/>
    <col min="5127" max="5127" width="11.28515625" style="356" customWidth="1"/>
    <col min="5128" max="5128" width="0.5703125" style="356" customWidth="1"/>
    <col min="5129" max="5129" width="11.28515625" style="356" customWidth="1"/>
    <col min="5130" max="5130" width="0.85546875" style="356" customWidth="1"/>
    <col min="5131" max="5131" width="10.28515625" style="356" customWidth="1"/>
    <col min="5132" max="5132" width="0.85546875" style="356" customWidth="1"/>
    <col min="5133" max="5133" width="11.28515625" style="356" customWidth="1"/>
    <col min="5134" max="5134" width="0.7109375" style="356" customWidth="1"/>
    <col min="5135" max="5135" width="10.28515625" style="356" customWidth="1"/>
    <col min="5136" max="5136" width="0.7109375" style="356" customWidth="1"/>
    <col min="5137" max="5137" width="12.28515625" style="356" customWidth="1"/>
    <col min="5138" max="5368" width="9.140625" style="356"/>
    <col min="5369" max="5369" width="39.7109375" style="356" bestFit="1" customWidth="1"/>
    <col min="5370" max="5370" width="5.140625" style="356" customWidth="1"/>
    <col min="5371" max="5371" width="2.140625" style="356" bestFit="1" customWidth="1"/>
    <col min="5372" max="5372" width="17.42578125" style="356" bestFit="1" customWidth="1"/>
    <col min="5373" max="5373" width="1.28515625" style="356" customWidth="1"/>
    <col min="5374" max="5374" width="13.28515625" style="356" bestFit="1" customWidth="1"/>
    <col min="5375" max="5375" width="1.140625" style="356" customWidth="1"/>
    <col min="5376" max="5376" width="13.5703125" style="356" bestFit="1" customWidth="1"/>
    <col min="5377" max="5377" width="0.7109375" style="356" customWidth="1"/>
    <col min="5378" max="5378" width="0.85546875" style="356" customWidth="1"/>
    <col min="5379" max="5379" width="10.28515625" style="356" customWidth="1"/>
    <col min="5380" max="5380" width="0.7109375" style="356" customWidth="1"/>
    <col min="5381" max="5381" width="2.5703125" style="356" customWidth="1"/>
    <col min="5382" max="5382" width="0.5703125" style="356" customWidth="1"/>
    <col min="5383" max="5383" width="11.28515625" style="356" customWidth="1"/>
    <col min="5384" max="5384" width="0.5703125" style="356" customWidth="1"/>
    <col min="5385" max="5385" width="11.28515625" style="356" customWidth="1"/>
    <col min="5386" max="5386" width="0.85546875" style="356" customWidth="1"/>
    <col min="5387" max="5387" width="10.28515625" style="356" customWidth="1"/>
    <col min="5388" max="5388" width="0.85546875" style="356" customWidth="1"/>
    <col min="5389" max="5389" width="11.28515625" style="356" customWidth="1"/>
    <col min="5390" max="5390" width="0.7109375" style="356" customWidth="1"/>
    <col min="5391" max="5391" width="10.28515625" style="356" customWidth="1"/>
    <col min="5392" max="5392" width="0.7109375" style="356" customWidth="1"/>
    <col min="5393" max="5393" width="12.28515625" style="356" customWidth="1"/>
    <col min="5394" max="5624" width="9.140625" style="356"/>
    <col min="5625" max="5625" width="39.7109375" style="356" bestFit="1" customWidth="1"/>
    <col min="5626" max="5626" width="5.140625" style="356" customWidth="1"/>
    <col min="5627" max="5627" width="2.140625" style="356" bestFit="1" customWidth="1"/>
    <col min="5628" max="5628" width="17.42578125" style="356" bestFit="1" customWidth="1"/>
    <col min="5629" max="5629" width="1.28515625" style="356" customWidth="1"/>
    <col min="5630" max="5630" width="13.28515625" style="356" bestFit="1" customWidth="1"/>
    <col min="5631" max="5631" width="1.140625" style="356" customWidth="1"/>
    <col min="5632" max="5632" width="13.5703125" style="356" bestFit="1" customWidth="1"/>
    <col min="5633" max="5633" width="0.7109375" style="356" customWidth="1"/>
    <col min="5634" max="5634" width="0.85546875" style="356" customWidth="1"/>
    <col min="5635" max="5635" width="10.28515625" style="356" customWidth="1"/>
    <col min="5636" max="5636" width="0.7109375" style="356" customWidth="1"/>
    <col min="5637" max="5637" width="2.5703125" style="356" customWidth="1"/>
    <col min="5638" max="5638" width="0.5703125" style="356" customWidth="1"/>
    <col min="5639" max="5639" width="11.28515625" style="356" customWidth="1"/>
    <col min="5640" max="5640" width="0.5703125" style="356" customWidth="1"/>
    <col min="5641" max="5641" width="11.28515625" style="356" customWidth="1"/>
    <col min="5642" max="5642" width="0.85546875" style="356" customWidth="1"/>
    <col min="5643" max="5643" width="10.28515625" style="356" customWidth="1"/>
    <col min="5644" max="5644" width="0.85546875" style="356" customWidth="1"/>
    <col min="5645" max="5645" width="11.28515625" style="356" customWidth="1"/>
    <col min="5646" max="5646" width="0.7109375" style="356" customWidth="1"/>
    <col min="5647" max="5647" width="10.28515625" style="356" customWidth="1"/>
    <col min="5648" max="5648" width="0.7109375" style="356" customWidth="1"/>
    <col min="5649" max="5649" width="12.28515625" style="356" customWidth="1"/>
    <col min="5650" max="5880" width="9.140625" style="356"/>
    <col min="5881" max="5881" width="39.7109375" style="356" bestFit="1" customWidth="1"/>
    <col min="5882" max="5882" width="5.140625" style="356" customWidth="1"/>
    <col min="5883" max="5883" width="2.140625" style="356" bestFit="1" customWidth="1"/>
    <col min="5884" max="5884" width="17.42578125" style="356" bestFit="1" customWidth="1"/>
    <col min="5885" max="5885" width="1.28515625" style="356" customWidth="1"/>
    <col min="5886" max="5886" width="13.28515625" style="356" bestFit="1" customWidth="1"/>
    <col min="5887" max="5887" width="1.140625" style="356" customWidth="1"/>
    <col min="5888" max="5888" width="13.5703125" style="356" bestFit="1" customWidth="1"/>
    <col min="5889" max="5889" width="0.7109375" style="356" customWidth="1"/>
    <col min="5890" max="5890" width="0.85546875" style="356" customWidth="1"/>
    <col min="5891" max="5891" width="10.28515625" style="356" customWidth="1"/>
    <col min="5892" max="5892" width="0.7109375" style="356" customWidth="1"/>
    <col min="5893" max="5893" width="2.5703125" style="356" customWidth="1"/>
    <col min="5894" max="5894" width="0.5703125" style="356" customWidth="1"/>
    <col min="5895" max="5895" width="11.28515625" style="356" customWidth="1"/>
    <col min="5896" max="5896" width="0.5703125" style="356" customWidth="1"/>
    <col min="5897" max="5897" width="11.28515625" style="356" customWidth="1"/>
    <col min="5898" max="5898" width="0.85546875" style="356" customWidth="1"/>
    <col min="5899" max="5899" width="10.28515625" style="356" customWidth="1"/>
    <col min="5900" max="5900" width="0.85546875" style="356" customWidth="1"/>
    <col min="5901" max="5901" width="11.28515625" style="356" customWidth="1"/>
    <col min="5902" max="5902" width="0.7109375" style="356" customWidth="1"/>
    <col min="5903" max="5903" width="10.28515625" style="356" customWidth="1"/>
    <col min="5904" max="5904" width="0.7109375" style="356" customWidth="1"/>
    <col min="5905" max="5905" width="12.28515625" style="356" customWidth="1"/>
    <col min="5906" max="6136" width="9.140625" style="356"/>
    <col min="6137" max="6137" width="39.7109375" style="356" bestFit="1" customWidth="1"/>
    <col min="6138" max="6138" width="5.140625" style="356" customWidth="1"/>
    <col min="6139" max="6139" width="2.140625" style="356" bestFit="1" customWidth="1"/>
    <col min="6140" max="6140" width="17.42578125" style="356" bestFit="1" customWidth="1"/>
    <col min="6141" max="6141" width="1.28515625" style="356" customWidth="1"/>
    <col min="6142" max="6142" width="13.28515625" style="356" bestFit="1" customWidth="1"/>
    <col min="6143" max="6143" width="1.140625" style="356" customWidth="1"/>
    <col min="6144" max="6144" width="13.5703125" style="356" bestFit="1" customWidth="1"/>
    <col min="6145" max="6145" width="0.7109375" style="356" customWidth="1"/>
    <col min="6146" max="6146" width="0.85546875" style="356" customWidth="1"/>
    <col min="6147" max="6147" width="10.28515625" style="356" customWidth="1"/>
    <col min="6148" max="6148" width="0.7109375" style="356" customWidth="1"/>
    <col min="6149" max="6149" width="2.5703125" style="356" customWidth="1"/>
    <col min="6150" max="6150" width="0.5703125" style="356" customWidth="1"/>
    <col min="6151" max="6151" width="11.28515625" style="356" customWidth="1"/>
    <col min="6152" max="6152" width="0.5703125" style="356" customWidth="1"/>
    <col min="6153" max="6153" width="11.28515625" style="356" customWidth="1"/>
    <col min="6154" max="6154" width="0.85546875" style="356" customWidth="1"/>
    <col min="6155" max="6155" width="10.28515625" style="356" customWidth="1"/>
    <col min="6156" max="6156" width="0.85546875" style="356" customWidth="1"/>
    <col min="6157" max="6157" width="11.28515625" style="356" customWidth="1"/>
    <col min="6158" max="6158" width="0.7109375" style="356" customWidth="1"/>
    <col min="6159" max="6159" width="10.28515625" style="356" customWidth="1"/>
    <col min="6160" max="6160" width="0.7109375" style="356" customWidth="1"/>
    <col min="6161" max="6161" width="12.28515625" style="356" customWidth="1"/>
    <col min="6162" max="6392" width="9.140625" style="356"/>
    <col min="6393" max="6393" width="39.7109375" style="356" bestFit="1" customWidth="1"/>
    <col min="6394" max="6394" width="5.140625" style="356" customWidth="1"/>
    <col min="6395" max="6395" width="2.140625" style="356" bestFit="1" customWidth="1"/>
    <col min="6396" max="6396" width="17.42578125" style="356" bestFit="1" customWidth="1"/>
    <col min="6397" max="6397" width="1.28515625" style="356" customWidth="1"/>
    <col min="6398" max="6398" width="13.28515625" style="356" bestFit="1" customWidth="1"/>
    <col min="6399" max="6399" width="1.140625" style="356" customWidth="1"/>
    <col min="6400" max="6400" width="13.5703125" style="356" bestFit="1" customWidth="1"/>
    <col min="6401" max="6401" width="0.7109375" style="356" customWidth="1"/>
    <col min="6402" max="6402" width="0.85546875" style="356" customWidth="1"/>
    <col min="6403" max="6403" width="10.28515625" style="356" customWidth="1"/>
    <col min="6404" max="6404" width="0.7109375" style="356" customWidth="1"/>
    <col min="6405" max="6405" width="2.5703125" style="356" customWidth="1"/>
    <col min="6406" max="6406" width="0.5703125" style="356" customWidth="1"/>
    <col min="6407" max="6407" width="11.28515625" style="356" customWidth="1"/>
    <col min="6408" max="6408" width="0.5703125" style="356" customWidth="1"/>
    <col min="6409" max="6409" width="11.28515625" style="356" customWidth="1"/>
    <col min="6410" max="6410" width="0.85546875" style="356" customWidth="1"/>
    <col min="6411" max="6411" width="10.28515625" style="356" customWidth="1"/>
    <col min="6412" max="6412" width="0.85546875" style="356" customWidth="1"/>
    <col min="6413" max="6413" width="11.28515625" style="356" customWidth="1"/>
    <col min="6414" max="6414" width="0.7109375" style="356" customWidth="1"/>
    <col min="6415" max="6415" width="10.28515625" style="356" customWidth="1"/>
    <col min="6416" max="6416" width="0.7109375" style="356" customWidth="1"/>
    <col min="6417" max="6417" width="12.28515625" style="356" customWidth="1"/>
    <col min="6418" max="6648" width="9.140625" style="356"/>
    <col min="6649" max="6649" width="39.7109375" style="356" bestFit="1" customWidth="1"/>
    <col min="6650" max="6650" width="5.140625" style="356" customWidth="1"/>
    <col min="6651" max="6651" width="2.140625" style="356" bestFit="1" customWidth="1"/>
    <col min="6652" max="6652" width="17.42578125" style="356" bestFit="1" customWidth="1"/>
    <col min="6653" max="6653" width="1.28515625" style="356" customWidth="1"/>
    <col min="6654" max="6654" width="13.28515625" style="356" bestFit="1" customWidth="1"/>
    <col min="6655" max="6655" width="1.140625" style="356" customWidth="1"/>
    <col min="6656" max="6656" width="13.5703125" style="356" bestFit="1" customWidth="1"/>
    <col min="6657" max="6657" width="0.7109375" style="356" customWidth="1"/>
    <col min="6658" max="6658" width="0.85546875" style="356" customWidth="1"/>
    <col min="6659" max="6659" width="10.28515625" style="356" customWidth="1"/>
    <col min="6660" max="6660" width="0.7109375" style="356" customWidth="1"/>
    <col min="6661" max="6661" width="2.5703125" style="356" customWidth="1"/>
    <col min="6662" max="6662" width="0.5703125" style="356" customWidth="1"/>
    <col min="6663" max="6663" width="11.28515625" style="356" customWidth="1"/>
    <col min="6664" max="6664" width="0.5703125" style="356" customWidth="1"/>
    <col min="6665" max="6665" width="11.28515625" style="356" customWidth="1"/>
    <col min="6666" max="6666" width="0.85546875" style="356" customWidth="1"/>
    <col min="6667" max="6667" width="10.28515625" style="356" customWidth="1"/>
    <col min="6668" max="6668" width="0.85546875" style="356" customWidth="1"/>
    <col min="6669" max="6669" width="11.28515625" style="356" customWidth="1"/>
    <col min="6670" max="6670" width="0.7109375" style="356" customWidth="1"/>
    <col min="6671" max="6671" width="10.28515625" style="356" customWidth="1"/>
    <col min="6672" max="6672" width="0.7109375" style="356" customWidth="1"/>
    <col min="6673" max="6673" width="12.28515625" style="356" customWidth="1"/>
    <col min="6674" max="6904" width="9.140625" style="356"/>
    <col min="6905" max="6905" width="39.7109375" style="356" bestFit="1" customWidth="1"/>
    <col min="6906" max="6906" width="5.140625" style="356" customWidth="1"/>
    <col min="6907" max="6907" width="2.140625" style="356" bestFit="1" customWidth="1"/>
    <col min="6908" max="6908" width="17.42578125" style="356" bestFit="1" customWidth="1"/>
    <col min="6909" max="6909" width="1.28515625" style="356" customWidth="1"/>
    <col min="6910" max="6910" width="13.28515625" style="356" bestFit="1" customWidth="1"/>
    <col min="6911" max="6911" width="1.140625" style="356" customWidth="1"/>
    <col min="6912" max="6912" width="13.5703125" style="356" bestFit="1" customWidth="1"/>
    <col min="6913" max="6913" width="0.7109375" style="356" customWidth="1"/>
    <col min="6914" max="6914" width="0.85546875" style="356" customWidth="1"/>
    <col min="6915" max="6915" width="10.28515625" style="356" customWidth="1"/>
    <col min="6916" max="6916" width="0.7109375" style="356" customWidth="1"/>
    <col min="6917" max="6917" width="2.5703125" style="356" customWidth="1"/>
    <col min="6918" max="6918" width="0.5703125" style="356" customWidth="1"/>
    <col min="6919" max="6919" width="11.28515625" style="356" customWidth="1"/>
    <col min="6920" max="6920" width="0.5703125" style="356" customWidth="1"/>
    <col min="6921" max="6921" width="11.28515625" style="356" customWidth="1"/>
    <col min="6922" max="6922" width="0.85546875" style="356" customWidth="1"/>
    <col min="6923" max="6923" width="10.28515625" style="356" customWidth="1"/>
    <col min="6924" max="6924" width="0.85546875" style="356" customWidth="1"/>
    <col min="6925" max="6925" width="11.28515625" style="356" customWidth="1"/>
    <col min="6926" max="6926" width="0.7109375" style="356" customWidth="1"/>
    <col min="6927" max="6927" width="10.28515625" style="356" customWidth="1"/>
    <col min="6928" max="6928" width="0.7109375" style="356" customWidth="1"/>
    <col min="6929" max="6929" width="12.28515625" style="356" customWidth="1"/>
    <col min="6930" max="7160" width="9.140625" style="356"/>
    <col min="7161" max="7161" width="39.7109375" style="356" bestFit="1" customWidth="1"/>
    <col min="7162" max="7162" width="5.140625" style="356" customWidth="1"/>
    <col min="7163" max="7163" width="2.140625" style="356" bestFit="1" customWidth="1"/>
    <col min="7164" max="7164" width="17.42578125" style="356" bestFit="1" customWidth="1"/>
    <col min="7165" max="7165" width="1.28515625" style="356" customWidth="1"/>
    <col min="7166" max="7166" width="13.28515625" style="356" bestFit="1" customWidth="1"/>
    <col min="7167" max="7167" width="1.140625" style="356" customWidth="1"/>
    <col min="7168" max="7168" width="13.5703125" style="356" bestFit="1" customWidth="1"/>
    <col min="7169" max="7169" width="0.7109375" style="356" customWidth="1"/>
    <col min="7170" max="7170" width="0.85546875" style="356" customWidth="1"/>
    <col min="7171" max="7171" width="10.28515625" style="356" customWidth="1"/>
    <col min="7172" max="7172" width="0.7109375" style="356" customWidth="1"/>
    <col min="7173" max="7173" width="2.5703125" style="356" customWidth="1"/>
    <col min="7174" max="7174" width="0.5703125" style="356" customWidth="1"/>
    <col min="7175" max="7175" width="11.28515625" style="356" customWidth="1"/>
    <col min="7176" max="7176" width="0.5703125" style="356" customWidth="1"/>
    <col min="7177" max="7177" width="11.28515625" style="356" customWidth="1"/>
    <col min="7178" max="7178" width="0.85546875" style="356" customWidth="1"/>
    <col min="7179" max="7179" width="10.28515625" style="356" customWidth="1"/>
    <col min="7180" max="7180" width="0.85546875" style="356" customWidth="1"/>
    <col min="7181" max="7181" width="11.28515625" style="356" customWidth="1"/>
    <col min="7182" max="7182" width="0.7109375" style="356" customWidth="1"/>
    <col min="7183" max="7183" width="10.28515625" style="356" customWidth="1"/>
    <col min="7184" max="7184" width="0.7109375" style="356" customWidth="1"/>
    <col min="7185" max="7185" width="12.28515625" style="356" customWidth="1"/>
    <col min="7186" max="7416" width="9.140625" style="356"/>
    <col min="7417" max="7417" width="39.7109375" style="356" bestFit="1" customWidth="1"/>
    <col min="7418" max="7418" width="5.140625" style="356" customWidth="1"/>
    <col min="7419" max="7419" width="2.140625" style="356" bestFit="1" customWidth="1"/>
    <col min="7420" max="7420" width="17.42578125" style="356" bestFit="1" customWidth="1"/>
    <col min="7421" max="7421" width="1.28515625" style="356" customWidth="1"/>
    <col min="7422" max="7422" width="13.28515625" style="356" bestFit="1" customWidth="1"/>
    <col min="7423" max="7423" width="1.140625" style="356" customWidth="1"/>
    <col min="7424" max="7424" width="13.5703125" style="356" bestFit="1" customWidth="1"/>
    <col min="7425" max="7425" width="0.7109375" style="356" customWidth="1"/>
    <col min="7426" max="7426" width="0.85546875" style="356" customWidth="1"/>
    <col min="7427" max="7427" width="10.28515625" style="356" customWidth="1"/>
    <col min="7428" max="7428" width="0.7109375" style="356" customWidth="1"/>
    <col min="7429" max="7429" width="2.5703125" style="356" customWidth="1"/>
    <col min="7430" max="7430" width="0.5703125" style="356" customWidth="1"/>
    <col min="7431" max="7431" width="11.28515625" style="356" customWidth="1"/>
    <col min="7432" max="7432" width="0.5703125" style="356" customWidth="1"/>
    <col min="7433" max="7433" width="11.28515625" style="356" customWidth="1"/>
    <col min="7434" max="7434" width="0.85546875" style="356" customWidth="1"/>
    <col min="7435" max="7435" width="10.28515625" style="356" customWidth="1"/>
    <col min="7436" max="7436" width="0.85546875" style="356" customWidth="1"/>
    <col min="7437" max="7437" width="11.28515625" style="356" customWidth="1"/>
    <col min="7438" max="7438" width="0.7109375" style="356" customWidth="1"/>
    <col min="7439" max="7439" width="10.28515625" style="356" customWidth="1"/>
    <col min="7440" max="7440" width="0.7109375" style="356" customWidth="1"/>
    <col min="7441" max="7441" width="12.28515625" style="356" customWidth="1"/>
    <col min="7442" max="7672" width="9.140625" style="356"/>
    <col min="7673" max="7673" width="39.7109375" style="356" bestFit="1" customWidth="1"/>
    <col min="7674" max="7674" width="5.140625" style="356" customWidth="1"/>
    <col min="7675" max="7675" width="2.140625" style="356" bestFit="1" customWidth="1"/>
    <col min="7676" max="7676" width="17.42578125" style="356" bestFit="1" customWidth="1"/>
    <col min="7677" max="7677" width="1.28515625" style="356" customWidth="1"/>
    <col min="7678" max="7678" width="13.28515625" style="356" bestFit="1" customWidth="1"/>
    <col min="7679" max="7679" width="1.140625" style="356" customWidth="1"/>
    <col min="7680" max="7680" width="13.5703125" style="356" bestFit="1" customWidth="1"/>
    <col min="7681" max="7681" width="0.7109375" style="356" customWidth="1"/>
    <col min="7682" max="7682" width="0.85546875" style="356" customWidth="1"/>
    <col min="7683" max="7683" width="10.28515625" style="356" customWidth="1"/>
    <col min="7684" max="7684" width="0.7109375" style="356" customWidth="1"/>
    <col min="7685" max="7685" width="2.5703125" style="356" customWidth="1"/>
    <col min="7686" max="7686" width="0.5703125" style="356" customWidth="1"/>
    <col min="7687" max="7687" width="11.28515625" style="356" customWidth="1"/>
    <col min="7688" max="7688" width="0.5703125" style="356" customWidth="1"/>
    <col min="7689" max="7689" width="11.28515625" style="356" customWidth="1"/>
    <col min="7690" max="7690" width="0.85546875" style="356" customWidth="1"/>
    <col min="7691" max="7691" width="10.28515625" style="356" customWidth="1"/>
    <col min="7692" max="7692" width="0.85546875" style="356" customWidth="1"/>
    <col min="7693" max="7693" width="11.28515625" style="356" customWidth="1"/>
    <col min="7694" max="7694" width="0.7109375" style="356" customWidth="1"/>
    <col min="7695" max="7695" width="10.28515625" style="356" customWidth="1"/>
    <col min="7696" max="7696" width="0.7109375" style="356" customWidth="1"/>
    <col min="7697" max="7697" width="12.28515625" style="356" customWidth="1"/>
    <col min="7698" max="7928" width="9.140625" style="356"/>
    <col min="7929" max="7929" width="39.7109375" style="356" bestFit="1" customWidth="1"/>
    <col min="7930" max="7930" width="5.140625" style="356" customWidth="1"/>
    <col min="7931" max="7931" width="2.140625" style="356" bestFit="1" customWidth="1"/>
    <col min="7932" max="7932" width="17.42578125" style="356" bestFit="1" customWidth="1"/>
    <col min="7933" max="7933" width="1.28515625" style="356" customWidth="1"/>
    <col min="7934" max="7934" width="13.28515625" style="356" bestFit="1" customWidth="1"/>
    <col min="7935" max="7935" width="1.140625" style="356" customWidth="1"/>
    <col min="7936" max="7936" width="13.5703125" style="356" bestFit="1" customWidth="1"/>
    <col min="7937" max="7937" width="0.7109375" style="356" customWidth="1"/>
    <col min="7938" max="7938" width="0.85546875" style="356" customWidth="1"/>
    <col min="7939" max="7939" width="10.28515625" style="356" customWidth="1"/>
    <col min="7940" max="7940" width="0.7109375" style="356" customWidth="1"/>
    <col min="7941" max="7941" width="2.5703125" style="356" customWidth="1"/>
    <col min="7942" max="7942" width="0.5703125" style="356" customWidth="1"/>
    <col min="7943" max="7943" width="11.28515625" style="356" customWidth="1"/>
    <col min="7944" max="7944" width="0.5703125" style="356" customWidth="1"/>
    <col min="7945" max="7945" width="11.28515625" style="356" customWidth="1"/>
    <col min="7946" max="7946" width="0.85546875" style="356" customWidth="1"/>
    <col min="7947" max="7947" width="10.28515625" style="356" customWidth="1"/>
    <col min="7948" max="7948" width="0.85546875" style="356" customWidth="1"/>
    <col min="7949" max="7949" width="11.28515625" style="356" customWidth="1"/>
    <col min="7950" max="7950" width="0.7109375" style="356" customWidth="1"/>
    <col min="7951" max="7951" width="10.28515625" style="356" customWidth="1"/>
    <col min="7952" max="7952" width="0.7109375" style="356" customWidth="1"/>
    <col min="7953" max="7953" width="12.28515625" style="356" customWidth="1"/>
    <col min="7954" max="8184" width="9.140625" style="356"/>
    <col min="8185" max="8185" width="39.7109375" style="356" bestFit="1" customWidth="1"/>
    <col min="8186" max="8186" width="5.140625" style="356" customWidth="1"/>
    <col min="8187" max="8187" width="2.140625" style="356" bestFit="1" customWidth="1"/>
    <col min="8188" max="8188" width="17.42578125" style="356" bestFit="1" customWidth="1"/>
    <col min="8189" max="8189" width="1.28515625" style="356" customWidth="1"/>
    <col min="8190" max="8190" width="13.28515625" style="356" bestFit="1" customWidth="1"/>
    <col min="8191" max="8191" width="1.140625" style="356" customWidth="1"/>
    <col min="8192" max="8192" width="13.5703125" style="356" bestFit="1" customWidth="1"/>
    <col min="8193" max="8193" width="0.7109375" style="356" customWidth="1"/>
    <col min="8194" max="8194" width="0.85546875" style="356" customWidth="1"/>
    <col min="8195" max="8195" width="10.28515625" style="356" customWidth="1"/>
    <col min="8196" max="8196" width="0.7109375" style="356" customWidth="1"/>
    <col min="8197" max="8197" width="2.5703125" style="356" customWidth="1"/>
    <col min="8198" max="8198" width="0.5703125" style="356" customWidth="1"/>
    <col min="8199" max="8199" width="11.28515625" style="356" customWidth="1"/>
    <col min="8200" max="8200" width="0.5703125" style="356" customWidth="1"/>
    <col min="8201" max="8201" width="11.28515625" style="356" customWidth="1"/>
    <col min="8202" max="8202" width="0.85546875" style="356" customWidth="1"/>
    <col min="8203" max="8203" width="10.28515625" style="356" customWidth="1"/>
    <col min="8204" max="8204" width="0.85546875" style="356" customWidth="1"/>
    <col min="8205" max="8205" width="11.28515625" style="356" customWidth="1"/>
    <col min="8206" max="8206" width="0.7109375" style="356" customWidth="1"/>
    <col min="8207" max="8207" width="10.28515625" style="356" customWidth="1"/>
    <col min="8208" max="8208" width="0.7109375" style="356" customWidth="1"/>
    <col min="8209" max="8209" width="12.28515625" style="356" customWidth="1"/>
    <col min="8210" max="8440" width="9.140625" style="356"/>
    <col min="8441" max="8441" width="39.7109375" style="356" bestFit="1" customWidth="1"/>
    <col min="8442" max="8442" width="5.140625" style="356" customWidth="1"/>
    <col min="8443" max="8443" width="2.140625" style="356" bestFit="1" customWidth="1"/>
    <col min="8444" max="8444" width="17.42578125" style="356" bestFit="1" customWidth="1"/>
    <col min="8445" max="8445" width="1.28515625" style="356" customWidth="1"/>
    <col min="8446" max="8446" width="13.28515625" style="356" bestFit="1" customWidth="1"/>
    <col min="8447" max="8447" width="1.140625" style="356" customWidth="1"/>
    <col min="8448" max="8448" width="13.5703125" style="356" bestFit="1" customWidth="1"/>
    <col min="8449" max="8449" width="0.7109375" style="356" customWidth="1"/>
    <col min="8450" max="8450" width="0.85546875" style="356" customWidth="1"/>
    <col min="8451" max="8451" width="10.28515625" style="356" customWidth="1"/>
    <col min="8452" max="8452" width="0.7109375" style="356" customWidth="1"/>
    <col min="8453" max="8453" width="2.5703125" style="356" customWidth="1"/>
    <col min="8454" max="8454" width="0.5703125" style="356" customWidth="1"/>
    <col min="8455" max="8455" width="11.28515625" style="356" customWidth="1"/>
    <col min="8456" max="8456" width="0.5703125" style="356" customWidth="1"/>
    <col min="8457" max="8457" width="11.28515625" style="356" customWidth="1"/>
    <col min="8458" max="8458" width="0.85546875" style="356" customWidth="1"/>
    <col min="8459" max="8459" width="10.28515625" style="356" customWidth="1"/>
    <col min="8460" max="8460" width="0.85546875" style="356" customWidth="1"/>
    <col min="8461" max="8461" width="11.28515625" style="356" customWidth="1"/>
    <col min="8462" max="8462" width="0.7109375" style="356" customWidth="1"/>
    <col min="8463" max="8463" width="10.28515625" style="356" customWidth="1"/>
    <col min="8464" max="8464" width="0.7109375" style="356" customWidth="1"/>
    <col min="8465" max="8465" width="12.28515625" style="356" customWidth="1"/>
    <col min="8466" max="8696" width="9.140625" style="356"/>
    <col min="8697" max="8697" width="39.7109375" style="356" bestFit="1" customWidth="1"/>
    <col min="8698" max="8698" width="5.140625" style="356" customWidth="1"/>
    <col min="8699" max="8699" width="2.140625" style="356" bestFit="1" customWidth="1"/>
    <col min="8700" max="8700" width="17.42578125" style="356" bestFit="1" customWidth="1"/>
    <col min="8701" max="8701" width="1.28515625" style="356" customWidth="1"/>
    <col min="8702" max="8702" width="13.28515625" style="356" bestFit="1" customWidth="1"/>
    <col min="8703" max="8703" width="1.140625" style="356" customWidth="1"/>
    <col min="8704" max="8704" width="13.5703125" style="356" bestFit="1" customWidth="1"/>
    <col min="8705" max="8705" width="0.7109375" style="356" customWidth="1"/>
    <col min="8706" max="8706" width="0.85546875" style="356" customWidth="1"/>
    <col min="8707" max="8707" width="10.28515625" style="356" customWidth="1"/>
    <col min="8708" max="8708" width="0.7109375" style="356" customWidth="1"/>
    <col min="8709" max="8709" width="2.5703125" style="356" customWidth="1"/>
    <col min="8710" max="8710" width="0.5703125" style="356" customWidth="1"/>
    <col min="8711" max="8711" width="11.28515625" style="356" customWidth="1"/>
    <col min="8712" max="8712" width="0.5703125" style="356" customWidth="1"/>
    <col min="8713" max="8713" width="11.28515625" style="356" customWidth="1"/>
    <col min="8714" max="8714" width="0.85546875" style="356" customWidth="1"/>
    <col min="8715" max="8715" width="10.28515625" style="356" customWidth="1"/>
    <col min="8716" max="8716" width="0.85546875" style="356" customWidth="1"/>
    <col min="8717" max="8717" width="11.28515625" style="356" customWidth="1"/>
    <col min="8718" max="8718" width="0.7109375" style="356" customWidth="1"/>
    <col min="8719" max="8719" width="10.28515625" style="356" customWidth="1"/>
    <col min="8720" max="8720" width="0.7109375" style="356" customWidth="1"/>
    <col min="8721" max="8721" width="12.28515625" style="356" customWidth="1"/>
    <col min="8722" max="8952" width="9.140625" style="356"/>
    <col min="8953" max="8953" width="39.7109375" style="356" bestFit="1" customWidth="1"/>
    <col min="8954" max="8954" width="5.140625" style="356" customWidth="1"/>
    <col min="8955" max="8955" width="2.140625" style="356" bestFit="1" customWidth="1"/>
    <col min="8956" max="8956" width="17.42578125" style="356" bestFit="1" customWidth="1"/>
    <col min="8957" max="8957" width="1.28515625" style="356" customWidth="1"/>
    <col min="8958" max="8958" width="13.28515625" style="356" bestFit="1" customWidth="1"/>
    <col min="8959" max="8959" width="1.140625" style="356" customWidth="1"/>
    <col min="8960" max="8960" width="13.5703125" style="356" bestFit="1" customWidth="1"/>
    <col min="8961" max="8961" width="0.7109375" style="356" customWidth="1"/>
    <col min="8962" max="8962" width="0.85546875" style="356" customWidth="1"/>
    <col min="8963" max="8963" width="10.28515625" style="356" customWidth="1"/>
    <col min="8964" max="8964" width="0.7109375" style="356" customWidth="1"/>
    <col min="8965" max="8965" width="2.5703125" style="356" customWidth="1"/>
    <col min="8966" max="8966" width="0.5703125" style="356" customWidth="1"/>
    <col min="8967" max="8967" width="11.28515625" style="356" customWidth="1"/>
    <col min="8968" max="8968" width="0.5703125" style="356" customWidth="1"/>
    <col min="8969" max="8969" width="11.28515625" style="356" customWidth="1"/>
    <col min="8970" max="8970" width="0.85546875" style="356" customWidth="1"/>
    <col min="8971" max="8971" width="10.28515625" style="356" customWidth="1"/>
    <col min="8972" max="8972" width="0.85546875" style="356" customWidth="1"/>
    <col min="8973" max="8973" width="11.28515625" style="356" customWidth="1"/>
    <col min="8974" max="8974" width="0.7109375" style="356" customWidth="1"/>
    <col min="8975" max="8975" width="10.28515625" style="356" customWidth="1"/>
    <col min="8976" max="8976" width="0.7109375" style="356" customWidth="1"/>
    <col min="8977" max="8977" width="12.28515625" style="356" customWidth="1"/>
    <col min="8978" max="9208" width="9.140625" style="356"/>
    <col min="9209" max="9209" width="39.7109375" style="356" bestFit="1" customWidth="1"/>
    <col min="9210" max="9210" width="5.140625" style="356" customWidth="1"/>
    <col min="9211" max="9211" width="2.140625" style="356" bestFit="1" customWidth="1"/>
    <col min="9212" max="9212" width="17.42578125" style="356" bestFit="1" customWidth="1"/>
    <col min="9213" max="9213" width="1.28515625" style="356" customWidth="1"/>
    <col min="9214" max="9214" width="13.28515625" style="356" bestFit="1" customWidth="1"/>
    <col min="9215" max="9215" width="1.140625" style="356" customWidth="1"/>
    <col min="9216" max="9216" width="13.5703125" style="356" bestFit="1" customWidth="1"/>
    <col min="9217" max="9217" width="0.7109375" style="356" customWidth="1"/>
    <col min="9218" max="9218" width="0.85546875" style="356" customWidth="1"/>
    <col min="9219" max="9219" width="10.28515625" style="356" customWidth="1"/>
    <col min="9220" max="9220" width="0.7109375" style="356" customWidth="1"/>
    <col min="9221" max="9221" width="2.5703125" style="356" customWidth="1"/>
    <col min="9222" max="9222" width="0.5703125" style="356" customWidth="1"/>
    <col min="9223" max="9223" width="11.28515625" style="356" customWidth="1"/>
    <col min="9224" max="9224" width="0.5703125" style="356" customWidth="1"/>
    <col min="9225" max="9225" width="11.28515625" style="356" customWidth="1"/>
    <col min="9226" max="9226" width="0.85546875" style="356" customWidth="1"/>
    <col min="9227" max="9227" width="10.28515625" style="356" customWidth="1"/>
    <col min="9228" max="9228" width="0.85546875" style="356" customWidth="1"/>
    <col min="9229" max="9229" width="11.28515625" style="356" customWidth="1"/>
    <col min="9230" max="9230" width="0.7109375" style="356" customWidth="1"/>
    <col min="9231" max="9231" width="10.28515625" style="356" customWidth="1"/>
    <col min="9232" max="9232" width="0.7109375" style="356" customWidth="1"/>
    <col min="9233" max="9233" width="12.28515625" style="356" customWidth="1"/>
    <col min="9234" max="9464" width="9.140625" style="356"/>
    <col min="9465" max="9465" width="39.7109375" style="356" bestFit="1" customWidth="1"/>
    <col min="9466" max="9466" width="5.140625" style="356" customWidth="1"/>
    <col min="9467" max="9467" width="2.140625" style="356" bestFit="1" customWidth="1"/>
    <col min="9468" max="9468" width="17.42578125" style="356" bestFit="1" customWidth="1"/>
    <col min="9469" max="9469" width="1.28515625" style="356" customWidth="1"/>
    <col min="9470" max="9470" width="13.28515625" style="356" bestFit="1" customWidth="1"/>
    <col min="9471" max="9471" width="1.140625" style="356" customWidth="1"/>
    <col min="9472" max="9472" width="13.5703125" style="356" bestFit="1" customWidth="1"/>
    <col min="9473" max="9473" width="0.7109375" style="356" customWidth="1"/>
    <col min="9474" max="9474" width="0.85546875" style="356" customWidth="1"/>
    <col min="9475" max="9475" width="10.28515625" style="356" customWidth="1"/>
    <col min="9476" max="9476" width="0.7109375" style="356" customWidth="1"/>
    <col min="9477" max="9477" width="2.5703125" style="356" customWidth="1"/>
    <col min="9478" max="9478" width="0.5703125" style="356" customWidth="1"/>
    <col min="9479" max="9479" width="11.28515625" style="356" customWidth="1"/>
    <col min="9480" max="9480" width="0.5703125" style="356" customWidth="1"/>
    <col min="9481" max="9481" width="11.28515625" style="356" customWidth="1"/>
    <col min="9482" max="9482" width="0.85546875" style="356" customWidth="1"/>
    <col min="9483" max="9483" width="10.28515625" style="356" customWidth="1"/>
    <col min="9484" max="9484" width="0.85546875" style="356" customWidth="1"/>
    <col min="9485" max="9485" width="11.28515625" style="356" customWidth="1"/>
    <col min="9486" max="9486" width="0.7109375" style="356" customWidth="1"/>
    <col min="9487" max="9487" width="10.28515625" style="356" customWidth="1"/>
    <col min="9488" max="9488" width="0.7109375" style="356" customWidth="1"/>
    <col min="9489" max="9489" width="12.28515625" style="356" customWidth="1"/>
    <col min="9490" max="9720" width="9.140625" style="356"/>
    <col min="9721" max="9721" width="39.7109375" style="356" bestFit="1" customWidth="1"/>
    <col min="9722" max="9722" width="5.140625" style="356" customWidth="1"/>
    <col min="9723" max="9723" width="2.140625" style="356" bestFit="1" customWidth="1"/>
    <col min="9724" max="9724" width="17.42578125" style="356" bestFit="1" customWidth="1"/>
    <col min="9725" max="9725" width="1.28515625" style="356" customWidth="1"/>
    <col min="9726" max="9726" width="13.28515625" style="356" bestFit="1" customWidth="1"/>
    <col min="9727" max="9727" width="1.140625" style="356" customWidth="1"/>
    <col min="9728" max="9728" width="13.5703125" style="356" bestFit="1" customWidth="1"/>
    <col min="9729" max="9729" width="0.7109375" style="356" customWidth="1"/>
    <col min="9730" max="9730" width="0.85546875" style="356" customWidth="1"/>
    <col min="9731" max="9731" width="10.28515625" style="356" customWidth="1"/>
    <col min="9732" max="9732" width="0.7109375" style="356" customWidth="1"/>
    <col min="9733" max="9733" width="2.5703125" style="356" customWidth="1"/>
    <col min="9734" max="9734" width="0.5703125" style="356" customWidth="1"/>
    <col min="9735" max="9735" width="11.28515625" style="356" customWidth="1"/>
    <col min="9736" max="9736" width="0.5703125" style="356" customWidth="1"/>
    <col min="9737" max="9737" width="11.28515625" style="356" customWidth="1"/>
    <col min="9738" max="9738" width="0.85546875" style="356" customWidth="1"/>
    <col min="9739" max="9739" width="10.28515625" style="356" customWidth="1"/>
    <col min="9740" max="9740" width="0.85546875" style="356" customWidth="1"/>
    <col min="9741" max="9741" width="11.28515625" style="356" customWidth="1"/>
    <col min="9742" max="9742" width="0.7109375" style="356" customWidth="1"/>
    <col min="9743" max="9743" width="10.28515625" style="356" customWidth="1"/>
    <col min="9744" max="9744" width="0.7109375" style="356" customWidth="1"/>
    <col min="9745" max="9745" width="12.28515625" style="356" customWidth="1"/>
    <col min="9746" max="9976" width="9.140625" style="356"/>
    <col min="9977" max="9977" width="39.7109375" style="356" bestFit="1" customWidth="1"/>
    <col min="9978" max="9978" width="5.140625" style="356" customWidth="1"/>
    <col min="9979" max="9979" width="2.140625" style="356" bestFit="1" customWidth="1"/>
    <col min="9980" max="9980" width="17.42578125" style="356" bestFit="1" customWidth="1"/>
    <col min="9981" max="9981" width="1.28515625" style="356" customWidth="1"/>
    <col min="9982" max="9982" width="13.28515625" style="356" bestFit="1" customWidth="1"/>
    <col min="9983" max="9983" width="1.140625" style="356" customWidth="1"/>
    <col min="9984" max="9984" width="13.5703125" style="356" bestFit="1" customWidth="1"/>
    <col min="9985" max="9985" width="0.7109375" style="356" customWidth="1"/>
    <col min="9986" max="9986" width="0.85546875" style="356" customWidth="1"/>
    <col min="9987" max="9987" width="10.28515625" style="356" customWidth="1"/>
    <col min="9988" max="9988" width="0.7109375" style="356" customWidth="1"/>
    <col min="9989" max="9989" width="2.5703125" style="356" customWidth="1"/>
    <col min="9990" max="9990" width="0.5703125" style="356" customWidth="1"/>
    <col min="9991" max="9991" width="11.28515625" style="356" customWidth="1"/>
    <col min="9992" max="9992" width="0.5703125" style="356" customWidth="1"/>
    <col min="9993" max="9993" width="11.28515625" style="356" customWidth="1"/>
    <col min="9994" max="9994" width="0.85546875" style="356" customWidth="1"/>
    <col min="9995" max="9995" width="10.28515625" style="356" customWidth="1"/>
    <col min="9996" max="9996" width="0.85546875" style="356" customWidth="1"/>
    <col min="9997" max="9997" width="11.28515625" style="356" customWidth="1"/>
    <col min="9998" max="9998" width="0.7109375" style="356" customWidth="1"/>
    <col min="9999" max="9999" width="10.28515625" style="356" customWidth="1"/>
    <col min="10000" max="10000" width="0.7109375" style="356" customWidth="1"/>
    <col min="10001" max="10001" width="12.28515625" style="356" customWidth="1"/>
    <col min="10002" max="10232" width="9.140625" style="356"/>
    <col min="10233" max="10233" width="39.7109375" style="356" bestFit="1" customWidth="1"/>
    <col min="10234" max="10234" width="5.140625" style="356" customWidth="1"/>
    <col min="10235" max="10235" width="2.140625" style="356" bestFit="1" customWidth="1"/>
    <col min="10236" max="10236" width="17.42578125" style="356" bestFit="1" customWidth="1"/>
    <col min="10237" max="10237" width="1.28515625" style="356" customWidth="1"/>
    <col min="10238" max="10238" width="13.28515625" style="356" bestFit="1" customWidth="1"/>
    <col min="10239" max="10239" width="1.140625" style="356" customWidth="1"/>
    <col min="10240" max="10240" width="13.5703125" style="356" bestFit="1" customWidth="1"/>
    <col min="10241" max="10241" width="0.7109375" style="356" customWidth="1"/>
    <col min="10242" max="10242" width="0.85546875" style="356" customWidth="1"/>
    <col min="10243" max="10243" width="10.28515625" style="356" customWidth="1"/>
    <col min="10244" max="10244" width="0.7109375" style="356" customWidth="1"/>
    <col min="10245" max="10245" width="2.5703125" style="356" customWidth="1"/>
    <col min="10246" max="10246" width="0.5703125" style="356" customWidth="1"/>
    <col min="10247" max="10247" width="11.28515625" style="356" customWidth="1"/>
    <col min="10248" max="10248" width="0.5703125" style="356" customWidth="1"/>
    <col min="10249" max="10249" width="11.28515625" style="356" customWidth="1"/>
    <col min="10250" max="10250" width="0.85546875" style="356" customWidth="1"/>
    <col min="10251" max="10251" width="10.28515625" style="356" customWidth="1"/>
    <col min="10252" max="10252" width="0.85546875" style="356" customWidth="1"/>
    <col min="10253" max="10253" width="11.28515625" style="356" customWidth="1"/>
    <col min="10254" max="10254" width="0.7109375" style="356" customWidth="1"/>
    <col min="10255" max="10255" width="10.28515625" style="356" customWidth="1"/>
    <col min="10256" max="10256" width="0.7109375" style="356" customWidth="1"/>
    <col min="10257" max="10257" width="12.28515625" style="356" customWidth="1"/>
    <col min="10258" max="10488" width="9.140625" style="356"/>
    <col min="10489" max="10489" width="39.7109375" style="356" bestFit="1" customWidth="1"/>
    <col min="10490" max="10490" width="5.140625" style="356" customWidth="1"/>
    <col min="10491" max="10491" width="2.140625" style="356" bestFit="1" customWidth="1"/>
    <col min="10492" max="10492" width="17.42578125" style="356" bestFit="1" customWidth="1"/>
    <col min="10493" max="10493" width="1.28515625" style="356" customWidth="1"/>
    <col min="10494" max="10494" width="13.28515625" style="356" bestFit="1" customWidth="1"/>
    <col min="10495" max="10495" width="1.140625" style="356" customWidth="1"/>
    <col min="10496" max="10496" width="13.5703125" style="356" bestFit="1" customWidth="1"/>
    <col min="10497" max="10497" width="0.7109375" style="356" customWidth="1"/>
    <col min="10498" max="10498" width="0.85546875" style="356" customWidth="1"/>
    <col min="10499" max="10499" width="10.28515625" style="356" customWidth="1"/>
    <col min="10500" max="10500" width="0.7109375" style="356" customWidth="1"/>
    <col min="10501" max="10501" width="2.5703125" style="356" customWidth="1"/>
    <col min="10502" max="10502" width="0.5703125" style="356" customWidth="1"/>
    <col min="10503" max="10503" width="11.28515625" style="356" customWidth="1"/>
    <col min="10504" max="10504" width="0.5703125" style="356" customWidth="1"/>
    <col min="10505" max="10505" width="11.28515625" style="356" customWidth="1"/>
    <col min="10506" max="10506" width="0.85546875" style="356" customWidth="1"/>
    <col min="10507" max="10507" width="10.28515625" style="356" customWidth="1"/>
    <col min="10508" max="10508" width="0.85546875" style="356" customWidth="1"/>
    <col min="10509" max="10509" width="11.28515625" style="356" customWidth="1"/>
    <col min="10510" max="10510" width="0.7109375" style="356" customWidth="1"/>
    <col min="10511" max="10511" width="10.28515625" style="356" customWidth="1"/>
    <col min="10512" max="10512" width="0.7109375" style="356" customWidth="1"/>
    <col min="10513" max="10513" width="12.28515625" style="356" customWidth="1"/>
    <col min="10514" max="10744" width="9.140625" style="356"/>
    <col min="10745" max="10745" width="39.7109375" style="356" bestFit="1" customWidth="1"/>
    <col min="10746" max="10746" width="5.140625" style="356" customWidth="1"/>
    <col min="10747" max="10747" width="2.140625" style="356" bestFit="1" customWidth="1"/>
    <col min="10748" max="10748" width="17.42578125" style="356" bestFit="1" customWidth="1"/>
    <col min="10749" max="10749" width="1.28515625" style="356" customWidth="1"/>
    <col min="10750" max="10750" width="13.28515625" style="356" bestFit="1" customWidth="1"/>
    <col min="10751" max="10751" width="1.140625" style="356" customWidth="1"/>
    <col min="10752" max="10752" width="13.5703125" style="356" bestFit="1" customWidth="1"/>
    <col min="10753" max="10753" width="0.7109375" style="356" customWidth="1"/>
    <col min="10754" max="10754" width="0.85546875" style="356" customWidth="1"/>
    <col min="10755" max="10755" width="10.28515625" style="356" customWidth="1"/>
    <col min="10756" max="10756" width="0.7109375" style="356" customWidth="1"/>
    <col min="10757" max="10757" width="2.5703125" style="356" customWidth="1"/>
    <col min="10758" max="10758" width="0.5703125" style="356" customWidth="1"/>
    <col min="10759" max="10759" width="11.28515625" style="356" customWidth="1"/>
    <col min="10760" max="10760" width="0.5703125" style="356" customWidth="1"/>
    <col min="10761" max="10761" width="11.28515625" style="356" customWidth="1"/>
    <col min="10762" max="10762" width="0.85546875" style="356" customWidth="1"/>
    <col min="10763" max="10763" width="10.28515625" style="356" customWidth="1"/>
    <col min="10764" max="10764" width="0.85546875" style="356" customWidth="1"/>
    <col min="10765" max="10765" width="11.28515625" style="356" customWidth="1"/>
    <col min="10766" max="10766" width="0.7109375" style="356" customWidth="1"/>
    <col min="10767" max="10767" width="10.28515625" style="356" customWidth="1"/>
    <col min="10768" max="10768" width="0.7109375" style="356" customWidth="1"/>
    <col min="10769" max="10769" width="12.28515625" style="356" customWidth="1"/>
    <col min="10770" max="11000" width="9.140625" style="356"/>
    <col min="11001" max="11001" width="39.7109375" style="356" bestFit="1" customWidth="1"/>
    <col min="11002" max="11002" width="5.140625" style="356" customWidth="1"/>
    <col min="11003" max="11003" width="2.140625" style="356" bestFit="1" customWidth="1"/>
    <col min="11004" max="11004" width="17.42578125" style="356" bestFit="1" customWidth="1"/>
    <col min="11005" max="11005" width="1.28515625" style="356" customWidth="1"/>
    <col min="11006" max="11006" width="13.28515625" style="356" bestFit="1" customWidth="1"/>
    <col min="11007" max="11007" width="1.140625" style="356" customWidth="1"/>
    <col min="11008" max="11008" width="13.5703125" style="356" bestFit="1" customWidth="1"/>
    <col min="11009" max="11009" width="0.7109375" style="356" customWidth="1"/>
    <col min="11010" max="11010" width="0.85546875" style="356" customWidth="1"/>
    <col min="11011" max="11011" width="10.28515625" style="356" customWidth="1"/>
    <col min="11012" max="11012" width="0.7109375" style="356" customWidth="1"/>
    <col min="11013" max="11013" width="2.5703125" style="356" customWidth="1"/>
    <col min="11014" max="11014" width="0.5703125" style="356" customWidth="1"/>
    <col min="11015" max="11015" width="11.28515625" style="356" customWidth="1"/>
    <col min="11016" max="11016" width="0.5703125" style="356" customWidth="1"/>
    <col min="11017" max="11017" width="11.28515625" style="356" customWidth="1"/>
    <col min="11018" max="11018" width="0.85546875" style="356" customWidth="1"/>
    <col min="11019" max="11019" width="10.28515625" style="356" customWidth="1"/>
    <col min="11020" max="11020" width="0.85546875" style="356" customWidth="1"/>
    <col min="11021" max="11021" width="11.28515625" style="356" customWidth="1"/>
    <col min="11022" max="11022" width="0.7109375" style="356" customWidth="1"/>
    <col min="11023" max="11023" width="10.28515625" style="356" customWidth="1"/>
    <col min="11024" max="11024" width="0.7109375" style="356" customWidth="1"/>
    <col min="11025" max="11025" width="12.28515625" style="356" customWidth="1"/>
    <col min="11026" max="11256" width="9.140625" style="356"/>
    <col min="11257" max="11257" width="39.7109375" style="356" bestFit="1" customWidth="1"/>
    <col min="11258" max="11258" width="5.140625" style="356" customWidth="1"/>
    <col min="11259" max="11259" width="2.140625" style="356" bestFit="1" customWidth="1"/>
    <col min="11260" max="11260" width="17.42578125" style="356" bestFit="1" customWidth="1"/>
    <col min="11261" max="11261" width="1.28515625" style="356" customWidth="1"/>
    <col min="11262" max="11262" width="13.28515625" style="356" bestFit="1" customWidth="1"/>
    <col min="11263" max="11263" width="1.140625" style="356" customWidth="1"/>
    <col min="11264" max="11264" width="13.5703125" style="356" bestFit="1" customWidth="1"/>
    <col min="11265" max="11265" width="0.7109375" style="356" customWidth="1"/>
    <col min="11266" max="11266" width="0.85546875" style="356" customWidth="1"/>
    <col min="11267" max="11267" width="10.28515625" style="356" customWidth="1"/>
    <col min="11268" max="11268" width="0.7109375" style="356" customWidth="1"/>
    <col min="11269" max="11269" width="2.5703125" style="356" customWidth="1"/>
    <col min="11270" max="11270" width="0.5703125" style="356" customWidth="1"/>
    <col min="11271" max="11271" width="11.28515625" style="356" customWidth="1"/>
    <col min="11272" max="11272" width="0.5703125" style="356" customWidth="1"/>
    <col min="11273" max="11273" width="11.28515625" style="356" customWidth="1"/>
    <col min="11274" max="11274" width="0.85546875" style="356" customWidth="1"/>
    <col min="11275" max="11275" width="10.28515625" style="356" customWidth="1"/>
    <col min="11276" max="11276" width="0.85546875" style="356" customWidth="1"/>
    <col min="11277" max="11277" width="11.28515625" style="356" customWidth="1"/>
    <col min="11278" max="11278" width="0.7109375" style="356" customWidth="1"/>
    <col min="11279" max="11279" width="10.28515625" style="356" customWidth="1"/>
    <col min="11280" max="11280" width="0.7109375" style="356" customWidth="1"/>
    <col min="11281" max="11281" width="12.28515625" style="356" customWidth="1"/>
    <col min="11282" max="11512" width="9.140625" style="356"/>
    <col min="11513" max="11513" width="39.7109375" style="356" bestFit="1" customWidth="1"/>
    <col min="11514" max="11514" width="5.140625" style="356" customWidth="1"/>
    <col min="11515" max="11515" width="2.140625" style="356" bestFit="1" customWidth="1"/>
    <col min="11516" max="11516" width="17.42578125" style="356" bestFit="1" customWidth="1"/>
    <col min="11517" max="11517" width="1.28515625" style="356" customWidth="1"/>
    <col min="11518" max="11518" width="13.28515625" style="356" bestFit="1" customWidth="1"/>
    <col min="11519" max="11519" width="1.140625" style="356" customWidth="1"/>
    <col min="11520" max="11520" width="13.5703125" style="356" bestFit="1" customWidth="1"/>
    <col min="11521" max="11521" width="0.7109375" style="356" customWidth="1"/>
    <col min="11522" max="11522" width="0.85546875" style="356" customWidth="1"/>
    <col min="11523" max="11523" width="10.28515625" style="356" customWidth="1"/>
    <col min="11524" max="11524" width="0.7109375" style="356" customWidth="1"/>
    <col min="11525" max="11525" width="2.5703125" style="356" customWidth="1"/>
    <col min="11526" max="11526" width="0.5703125" style="356" customWidth="1"/>
    <col min="11527" max="11527" width="11.28515625" style="356" customWidth="1"/>
    <col min="11528" max="11528" width="0.5703125" style="356" customWidth="1"/>
    <col min="11529" max="11529" width="11.28515625" style="356" customWidth="1"/>
    <col min="11530" max="11530" width="0.85546875" style="356" customWidth="1"/>
    <col min="11531" max="11531" width="10.28515625" style="356" customWidth="1"/>
    <col min="11532" max="11532" width="0.85546875" style="356" customWidth="1"/>
    <col min="11533" max="11533" width="11.28515625" style="356" customWidth="1"/>
    <col min="11534" max="11534" width="0.7109375" style="356" customWidth="1"/>
    <col min="11535" max="11535" width="10.28515625" style="356" customWidth="1"/>
    <col min="11536" max="11536" width="0.7109375" style="356" customWidth="1"/>
    <col min="11537" max="11537" width="12.28515625" style="356" customWidth="1"/>
    <col min="11538" max="11768" width="9.140625" style="356"/>
    <col min="11769" max="11769" width="39.7109375" style="356" bestFit="1" customWidth="1"/>
    <col min="11770" max="11770" width="5.140625" style="356" customWidth="1"/>
    <col min="11771" max="11771" width="2.140625" style="356" bestFit="1" customWidth="1"/>
    <col min="11772" max="11772" width="17.42578125" style="356" bestFit="1" customWidth="1"/>
    <col min="11773" max="11773" width="1.28515625" style="356" customWidth="1"/>
    <col min="11774" max="11774" width="13.28515625" style="356" bestFit="1" customWidth="1"/>
    <col min="11775" max="11775" width="1.140625" style="356" customWidth="1"/>
    <col min="11776" max="11776" width="13.5703125" style="356" bestFit="1" customWidth="1"/>
    <col min="11777" max="11777" width="0.7109375" style="356" customWidth="1"/>
    <col min="11778" max="11778" width="0.85546875" style="356" customWidth="1"/>
    <col min="11779" max="11779" width="10.28515625" style="356" customWidth="1"/>
    <col min="11780" max="11780" width="0.7109375" style="356" customWidth="1"/>
    <col min="11781" max="11781" width="2.5703125" style="356" customWidth="1"/>
    <col min="11782" max="11782" width="0.5703125" style="356" customWidth="1"/>
    <col min="11783" max="11783" width="11.28515625" style="356" customWidth="1"/>
    <col min="11784" max="11784" width="0.5703125" style="356" customWidth="1"/>
    <col min="11785" max="11785" width="11.28515625" style="356" customWidth="1"/>
    <col min="11786" max="11786" width="0.85546875" style="356" customWidth="1"/>
    <col min="11787" max="11787" width="10.28515625" style="356" customWidth="1"/>
    <col min="11788" max="11788" width="0.85546875" style="356" customWidth="1"/>
    <col min="11789" max="11789" width="11.28515625" style="356" customWidth="1"/>
    <col min="11790" max="11790" width="0.7109375" style="356" customWidth="1"/>
    <col min="11791" max="11791" width="10.28515625" style="356" customWidth="1"/>
    <col min="11792" max="11792" width="0.7109375" style="356" customWidth="1"/>
    <col min="11793" max="11793" width="12.28515625" style="356" customWidth="1"/>
    <col min="11794" max="12024" width="9.140625" style="356"/>
    <col min="12025" max="12025" width="39.7109375" style="356" bestFit="1" customWidth="1"/>
    <col min="12026" max="12026" width="5.140625" style="356" customWidth="1"/>
    <col min="12027" max="12027" width="2.140625" style="356" bestFit="1" customWidth="1"/>
    <col min="12028" max="12028" width="17.42578125" style="356" bestFit="1" customWidth="1"/>
    <col min="12029" max="12029" width="1.28515625" style="356" customWidth="1"/>
    <col min="12030" max="12030" width="13.28515625" style="356" bestFit="1" customWidth="1"/>
    <col min="12031" max="12031" width="1.140625" style="356" customWidth="1"/>
    <col min="12032" max="12032" width="13.5703125" style="356" bestFit="1" customWidth="1"/>
    <col min="12033" max="12033" width="0.7109375" style="356" customWidth="1"/>
    <col min="12034" max="12034" width="0.85546875" style="356" customWidth="1"/>
    <col min="12035" max="12035" width="10.28515625" style="356" customWidth="1"/>
    <col min="12036" max="12036" width="0.7109375" style="356" customWidth="1"/>
    <col min="12037" max="12037" width="2.5703125" style="356" customWidth="1"/>
    <col min="12038" max="12038" width="0.5703125" style="356" customWidth="1"/>
    <col min="12039" max="12039" width="11.28515625" style="356" customWidth="1"/>
    <col min="12040" max="12040" width="0.5703125" style="356" customWidth="1"/>
    <col min="12041" max="12041" width="11.28515625" style="356" customWidth="1"/>
    <col min="12042" max="12042" width="0.85546875" style="356" customWidth="1"/>
    <col min="12043" max="12043" width="10.28515625" style="356" customWidth="1"/>
    <col min="12044" max="12044" width="0.85546875" style="356" customWidth="1"/>
    <col min="12045" max="12045" width="11.28515625" style="356" customWidth="1"/>
    <col min="12046" max="12046" width="0.7109375" style="356" customWidth="1"/>
    <col min="12047" max="12047" width="10.28515625" style="356" customWidth="1"/>
    <col min="12048" max="12048" width="0.7109375" style="356" customWidth="1"/>
    <col min="12049" max="12049" width="12.28515625" style="356" customWidth="1"/>
    <col min="12050" max="12280" width="9.140625" style="356"/>
    <col min="12281" max="12281" width="39.7109375" style="356" bestFit="1" customWidth="1"/>
    <col min="12282" max="12282" width="5.140625" style="356" customWidth="1"/>
    <col min="12283" max="12283" width="2.140625" style="356" bestFit="1" customWidth="1"/>
    <col min="12284" max="12284" width="17.42578125" style="356" bestFit="1" customWidth="1"/>
    <col min="12285" max="12285" width="1.28515625" style="356" customWidth="1"/>
    <col min="12286" max="12286" width="13.28515625" style="356" bestFit="1" customWidth="1"/>
    <col min="12287" max="12287" width="1.140625" style="356" customWidth="1"/>
    <col min="12288" max="12288" width="13.5703125" style="356" bestFit="1" customWidth="1"/>
    <col min="12289" max="12289" width="0.7109375" style="356" customWidth="1"/>
    <col min="12290" max="12290" width="0.85546875" style="356" customWidth="1"/>
    <col min="12291" max="12291" width="10.28515625" style="356" customWidth="1"/>
    <col min="12292" max="12292" width="0.7109375" style="356" customWidth="1"/>
    <col min="12293" max="12293" width="2.5703125" style="356" customWidth="1"/>
    <col min="12294" max="12294" width="0.5703125" style="356" customWidth="1"/>
    <col min="12295" max="12295" width="11.28515625" style="356" customWidth="1"/>
    <col min="12296" max="12296" width="0.5703125" style="356" customWidth="1"/>
    <col min="12297" max="12297" width="11.28515625" style="356" customWidth="1"/>
    <col min="12298" max="12298" width="0.85546875" style="356" customWidth="1"/>
    <col min="12299" max="12299" width="10.28515625" style="356" customWidth="1"/>
    <col min="12300" max="12300" width="0.85546875" style="356" customWidth="1"/>
    <col min="12301" max="12301" width="11.28515625" style="356" customWidth="1"/>
    <col min="12302" max="12302" width="0.7109375" style="356" customWidth="1"/>
    <col min="12303" max="12303" width="10.28515625" style="356" customWidth="1"/>
    <col min="12304" max="12304" width="0.7109375" style="356" customWidth="1"/>
    <col min="12305" max="12305" width="12.28515625" style="356" customWidth="1"/>
    <col min="12306" max="12536" width="9.140625" style="356"/>
    <col min="12537" max="12537" width="39.7109375" style="356" bestFit="1" customWidth="1"/>
    <col min="12538" max="12538" width="5.140625" style="356" customWidth="1"/>
    <col min="12539" max="12539" width="2.140625" style="356" bestFit="1" customWidth="1"/>
    <col min="12540" max="12540" width="17.42578125" style="356" bestFit="1" customWidth="1"/>
    <col min="12541" max="12541" width="1.28515625" style="356" customWidth="1"/>
    <col min="12542" max="12542" width="13.28515625" style="356" bestFit="1" customWidth="1"/>
    <col min="12543" max="12543" width="1.140625" style="356" customWidth="1"/>
    <col min="12544" max="12544" width="13.5703125" style="356" bestFit="1" customWidth="1"/>
    <col min="12545" max="12545" width="0.7109375" style="356" customWidth="1"/>
    <col min="12546" max="12546" width="0.85546875" style="356" customWidth="1"/>
    <col min="12547" max="12547" width="10.28515625" style="356" customWidth="1"/>
    <col min="12548" max="12548" width="0.7109375" style="356" customWidth="1"/>
    <col min="12549" max="12549" width="2.5703125" style="356" customWidth="1"/>
    <col min="12550" max="12550" width="0.5703125" style="356" customWidth="1"/>
    <col min="12551" max="12551" width="11.28515625" style="356" customWidth="1"/>
    <col min="12552" max="12552" width="0.5703125" style="356" customWidth="1"/>
    <col min="12553" max="12553" width="11.28515625" style="356" customWidth="1"/>
    <col min="12554" max="12554" width="0.85546875" style="356" customWidth="1"/>
    <col min="12555" max="12555" width="10.28515625" style="356" customWidth="1"/>
    <col min="12556" max="12556" width="0.85546875" style="356" customWidth="1"/>
    <col min="12557" max="12557" width="11.28515625" style="356" customWidth="1"/>
    <col min="12558" max="12558" width="0.7109375" style="356" customWidth="1"/>
    <col min="12559" max="12559" width="10.28515625" style="356" customWidth="1"/>
    <col min="12560" max="12560" width="0.7109375" style="356" customWidth="1"/>
    <col min="12561" max="12561" width="12.28515625" style="356" customWidth="1"/>
    <col min="12562" max="12792" width="9.140625" style="356"/>
    <col min="12793" max="12793" width="39.7109375" style="356" bestFit="1" customWidth="1"/>
    <col min="12794" max="12794" width="5.140625" style="356" customWidth="1"/>
    <col min="12795" max="12795" width="2.140625" style="356" bestFit="1" customWidth="1"/>
    <col min="12796" max="12796" width="17.42578125" style="356" bestFit="1" customWidth="1"/>
    <col min="12797" max="12797" width="1.28515625" style="356" customWidth="1"/>
    <col min="12798" max="12798" width="13.28515625" style="356" bestFit="1" customWidth="1"/>
    <col min="12799" max="12799" width="1.140625" style="356" customWidth="1"/>
    <col min="12800" max="12800" width="13.5703125" style="356" bestFit="1" customWidth="1"/>
    <col min="12801" max="12801" width="0.7109375" style="356" customWidth="1"/>
    <col min="12802" max="12802" width="0.85546875" style="356" customWidth="1"/>
    <col min="12803" max="12803" width="10.28515625" style="356" customWidth="1"/>
    <col min="12804" max="12804" width="0.7109375" style="356" customWidth="1"/>
    <col min="12805" max="12805" width="2.5703125" style="356" customWidth="1"/>
    <col min="12806" max="12806" width="0.5703125" style="356" customWidth="1"/>
    <col min="12807" max="12807" width="11.28515625" style="356" customWidth="1"/>
    <col min="12808" max="12808" width="0.5703125" style="356" customWidth="1"/>
    <col min="12809" max="12809" width="11.28515625" style="356" customWidth="1"/>
    <col min="12810" max="12810" width="0.85546875" style="356" customWidth="1"/>
    <col min="12811" max="12811" width="10.28515625" style="356" customWidth="1"/>
    <col min="12812" max="12812" width="0.85546875" style="356" customWidth="1"/>
    <col min="12813" max="12813" width="11.28515625" style="356" customWidth="1"/>
    <col min="12814" max="12814" width="0.7109375" style="356" customWidth="1"/>
    <col min="12815" max="12815" width="10.28515625" style="356" customWidth="1"/>
    <col min="12816" max="12816" width="0.7109375" style="356" customWidth="1"/>
    <col min="12817" max="12817" width="12.28515625" style="356" customWidth="1"/>
    <col min="12818" max="13048" width="9.140625" style="356"/>
    <col min="13049" max="13049" width="39.7109375" style="356" bestFit="1" customWidth="1"/>
    <col min="13050" max="13050" width="5.140625" style="356" customWidth="1"/>
    <col min="13051" max="13051" width="2.140625" style="356" bestFit="1" customWidth="1"/>
    <col min="13052" max="13052" width="17.42578125" style="356" bestFit="1" customWidth="1"/>
    <col min="13053" max="13053" width="1.28515625" style="356" customWidth="1"/>
    <col min="13054" max="13054" width="13.28515625" style="356" bestFit="1" customWidth="1"/>
    <col min="13055" max="13055" width="1.140625" style="356" customWidth="1"/>
    <col min="13056" max="13056" width="13.5703125" style="356" bestFit="1" customWidth="1"/>
    <col min="13057" max="13057" width="0.7109375" style="356" customWidth="1"/>
    <col min="13058" max="13058" width="0.85546875" style="356" customWidth="1"/>
    <col min="13059" max="13059" width="10.28515625" style="356" customWidth="1"/>
    <col min="13060" max="13060" width="0.7109375" style="356" customWidth="1"/>
    <col min="13061" max="13061" width="2.5703125" style="356" customWidth="1"/>
    <col min="13062" max="13062" width="0.5703125" style="356" customWidth="1"/>
    <col min="13063" max="13063" width="11.28515625" style="356" customWidth="1"/>
    <col min="13064" max="13064" width="0.5703125" style="356" customWidth="1"/>
    <col min="13065" max="13065" width="11.28515625" style="356" customWidth="1"/>
    <col min="13066" max="13066" width="0.85546875" style="356" customWidth="1"/>
    <col min="13067" max="13067" width="10.28515625" style="356" customWidth="1"/>
    <col min="13068" max="13068" width="0.85546875" style="356" customWidth="1"/>
    <col min="13069" max="13069" width="11.28515625" style="356" customWidth="1"/>
    <col min="13070" max="13070" width="0.7109375" style="356" customWidth="1"/>
    <col min="13071" max="13071" width="10.28515625" style="356" customWidth="1"/>
    <col min="13072" max="13072" width="0.7109375" style="356" customWidth="1"/>
    <col min="13073" max="13073" width="12.28515625" style="356" customWidth="1"/>
    <col min="13074" max="13304" width="9.140625" style="356"/>
    <col min="13305" max="13305" width="39.7109375" style="356" bestFit="1" customWidth="1"/>
    <col min="13306" max="13306" width="5.140625" style="356" customWidth="1"/>
    <col min="13307" max="13307" width="2.140625" style="356" bestFit="1" customWidth="1"/>
    <col min="13308" max="13308" width="17.42578125" style="356" bestFit="1" customWidth="1"/>
    <col min="13309" max="13309" width="1.28515625" style="356" customWidth="1"/>
    <col min="13310" max="13310" width="13.28515625" style="356" bestFit="1" customWidth="1"/>
    <col min="13311" max="13311" width="1.140625" style="356" customWidth="1"/>
    <col min="13312" max="13312" width="13.5703125" style="356" bestFit="1" customWidth="1"/>
    <col min="13313" max="13313" width="0.7109375" style="356" customWidth="1"/>
    <col min="13314" max="13314" width="0.85546875" style="356" customWidth="1"/>
    <col min="13315" max="13315" width="10.28515625" style="356" customWidth="1"/>
    <col min="13316" max="13316" width="0.7109375" style="356" customWidth="1"/>
    <col min="13317" max="13317" width="2.5703125" style="356" customWidth="1"/>
    <col min="13318" max="13318" width="0.5703125" style="356" customWidth="1"/>
    <col min="13319" max="13319" width="11.28515625" style="356" customWidth="1"/>
    <col min="13320" max="13320" width="0.5703125" style="356" customWidth="1"/>
    <col min="13321" max="13321" width="11.28515625" style="356" customWidth="1"/>
    <col min="13322" max="13322" width="0.85546875" style="356" customWidth="1"/>
    <col min="13323" max="13323" width="10.28515625" style="356" customWidth="1"/>
    <col min="13324" max="13324" width="0.85546875" style="356" customWidth="1"/>
    <col min="13325" max="13325" width="11.28515625" style="356" customWidth="1"/>
    <col min="13326" max="13326" width="0.7109375" style="356" customWidth="1"/>
    <col min="13327" max="13327" width="10.28515625" style="356" customWidth="1"/>
    <col min="13328" max="13328" width="0.7109375" style="356" customWidth="1"/>
    <col min="13329" max="13329" width="12.28515625" style="356" customWidth="1"/>
    <col min="13330" max="13560" width="9.140625" style="356"/>
    <col min="13561" max="13561" width="39.7109375" style="356" bestFit="1" customWidth="1"/>
    <col min="13562" max="13562" width="5.140625" style="356" customWidth="1"/>
    <col min="13563" max="13563" width="2.140625" style="356" bestFit="1" customWidth="1"/>
    <col min="13564" max="13564" width="17.42578125" style="356" bestFit="1" customWidth="1"/>
    <col min="13565" max="13565" width="1.28515625" style="356" customWidth="1"/>
    <col min="13566" max="13566" width="13.28515625" style="356" bestFit="1" customWidth="1"/>
    <col min="13567" max="13567" width="1.140625" style="356" customWidth="1"/>
    <col min="13568" max="13568" width="13.5703125" style="356" bestFit="1" customWidth="1"/>
    <col min="13569" max="13569" width="0.7109375" style="356" customWidth="1"/>
    <col min="13570" max="13570" width="0.85546875" style="356" customWidth="1"/>
    <col min="13571" max="13571" width="10.28515625" style="356" customWidth="1"/>
    <col min="13572" max="13572" width="0.7109375" style="356" customWidth="1"/>
    <col min="13573" max="13573" width="2.5703125" style="356" customWidth="1"/>
    <col min="13574" max="13574" width="0.5703125" style="356" customWidth="1"/>
    <col min="13575" max="13575" width="11.28515625" style="356" customWidth="1"/>
    <col min="13576" max="13576" width="0.5703125" style="356" customWidth="1"/>
    <col min="13577" max="13577" width="11.28515625" style="356" customWidth="1"/>
    <col min="13578" max="13578" width="0.85546875" style="356" customWidth="1"/>
    <col min="13579" max="13579" width="10.28515625" style="356" customWidth="1"/>
    <col min="13580" max="13580" width="0.85546875" style="356" customWidth="1"/>
    <col min="13581" max="13581" width="11.28515625" style="356" customWidth="1"/>
    <col min="13582" max="13582" width="0.7109375" style="356" customWidth="1"/>
    <col min="13583" max="13583" width="10.28515625" style="356" customWidth="1"/>
    <col min="13584" max="13584" width="0.7109375" style="356" customWidth="1"/>
    <col min="13585" max="13585" width="12.28515625" style="356" customWidth="1"/>
    <col min="13586" max="13816" width="9.140625" style="356"/>
    <col min="13817" max="13817" width="39.7109375" style="356" bestFit="1" customWidth="1"/>
    <col min="13818" max="13818" width="5.140625" style="356" customWidth="1"/>
    <col min="13819" max="13819" width="2.140625" style="356" bestFit="1" customWidth="1"/>
    <col min="13820" max="13820" width="17.42578125" style="356" bestFit="1" customWidth="1"/>
    <col min="13821" max="13821" width="1.28515625" style="356" customWidth="1"/>
    <col min="13822" max="13822" width="13.28515625" style="356" bestFit="1" customWidth="1"/>
    <col min="13823" max="13823" width="1.140625" style="356" customWidth="1"/>
    <col min="13824" max="13824" width="13.5703125" style="356" bestFit="1" customWidth="1"/>
    <col min="13825" max="13825" width="0.7109375" style="356" customWidth="1"/>
    <col min="13826" max="13826" width="0.85546875" style="356" customWidth="1"/>
    <col min="13827" max="13827" width="10.28515625" style="356" customWidth="1"/>
    <col min="13828" max="13828" width="0.7109375" style="356" customWidth="1"/>
    <col min="13829" max="13829" width="2.5703125" style="356" customWidth="1"/>
    <col min="13830" max="13830" width="0.5703125" style="356" customWidth="1"/>
    <col min="13831" max="13831" width="11.28515625" style="356" customWidth="1"/>
    <col min="13832" max="13832" width="0.5703125" style="356" customWidth="1"/>
    <col min="13833" max="13833" width="11.28515625" style="356" customWidth="1"/>
    <col min="13834" max="13834" width="0.85546875" style="356" customWidth="1"/>
    <col min="13835" max="13835" width="10.28515625" style="356" customWidth="1"/>
    <col min="13836" max="13836" width="0.85546875" style="356" customWidth="1"/>
    <col min="13837" max="13837" width="11.28515625" style="356" customWidth="1"/>
    <col min="13838" max="13838" width="0.7109375" style="356" customWidth="1"/>
    <col min="13839" max="13839" width="10.28515625" style="356" customWidth="1"/>
    <col min="13840" max="13840" width="0.7109375" style="356" customWidth="1"/>
    <col min="13841" max="13841" width="12.28515625" style="356" customWidth="1"/>
    <col min="13842" max="14072" width="9.140625" style="356"/>
    <col min="14073" max="14073" width="39.7109375" style="356" bestFit="1" customWidth="1"/>
    <col min="14074" max="14074" width="5.140625" style="356" customWidth="1"/>
    <col min="14075" max="14075" width="2.140625" style="356" bestFit="1" customWidth="1"/>
    <col min="14076" max="14076" width="17.42578125" style="356" bestFit="1" customWidth="1"/>
    <col min="14077" max="14077" width="1.28515625" style="356" customWidth="1"/>
    <col min="14078" max="14078" width="13.28515625" style="356" bestFit="1" customWidth="1"/>
    <col min="14079" max="14079" width="1.140625" style="356" customWidth="1"/>
    <col min="14080" max="14080" width="13.5703125" style="356" bestFit="1" customWidth="1"/>
    <col min="14081" max="14081" width="0.7109375" style="356" customWidth="1"/>
    <col min="14082" max="14082" width="0.85546875" style="356" customWidth="1"/>
    <col min="14083" max="14083" width="10.28515625" style="356" customWidth="1"/>
    <col min="14084" max="14084" width="0.7109375" style="356" customWidth="1"/>
    <col min="14085" max="14085" width="2.5703125" style="356" customWidth="1"/>
    <col min="14086" max="14086" width="0.5703125" style="356" customWidth="1"/>
    <col min="14087" max="14087" width="11.28515625" style="356" customWidth="1"/>
    <col min="14088" max="14088" width="0.5703125" style="356" customWidth="1"/>
    <col min="14089" max="14089" width="11.28515625" style="356" customWidth="1"/>
    <col min="14090" max="14090" width="0.85546875" style="356" customWidth="1"/>
    <col min="14091" max="14091" width="10.28515625" style="356" customWidth="1"/>
    <col min="14092" max="14092" width="0.85546875" style="356" customWidth="1"/>
    <col min="14093" max="14093" width="11.28515625" style="356" customWidth="1"/>
    <col min="14094" max="14094" width="0.7109375" style="356" customWidth="1"/>
    <col min="14095" max="14095" width="10.28515625" style="356" customWidth="1"/>
    <col min="14096" max="14096" width="0.7109375" style="356" customWidth="1"/>
    <col min="14097" max="14097" width="12.28515625" style="356" customWidth="1"/>
    <col min="14098" max="14328" width="9.140625" style="356"/>
    <col min="14329" max="14329" width="39.7109375" style="356" bestFit="1" customWidth="1"/>
    <col min="14330" max="14330" width="5.140625" style="356" customWidth="1"/>
    <col min="14331" max="14331" width="2.140625" style="356" bestFit="1" customWidth="1"/>
    <col min="14332" max="14332" width="17.42578125" style="356" bestFit="1" customWidth="1"/>
    <col min="14333" max="14333" width="1.28515625" style="356" customWidth="1"/>
    <col min="14334" max="14334" width="13.28515625" style="356" bestFit="1" customWidth="1"/>
    <col min="14335" max="14335" width="1.140625" style="356" customWidth="1"/>
    <col min="14336" max="14336" width="13.5703125" style="356" bestFit="1" customWidth="1"/>
    <col min="14337" max="14337" width="0.7109375" style="356" customWidth="1"/>
    <col min="14338" max="14338" width="0.85546875" style="356" customWidth="1"/>
    <col min="14339" max="14339" width="10.28515625" style="356" customWidth="1"/>
    <col min="14340" max="14340" width="0.7109375" style="356" customWidth="1"/>
    <col min="14341" max="14341" width="2.5703125" style="356" customWidth="1"/>
    <col min="14342" max="14342" width="0.5703125" style="356" customWidth="1"/>
    <col min="14343" max="14343" width="11.28515625" style="356" customWidth="1"/>
    <col min="14344" max="14344" width="0.5703125" style="356" customWidth="1"/>
    <col min="14345" max="14345" width="11.28515625" style="356" customWidth="1"/>
    <col min="14346" max="14346" width="0.85546875" style="356" customWidth="1"/>
    <col min="14347" max="14347" width="10.28515625" style="356" customWidth="1"/>
    <col min="14348" max="14348" width="0.85546875" style="356" customWidth="1"/>
    <col min="14349" max="14349" width="11.28515625" style="356" customWidth="1"/>
    <col min="14350" max="14350" width="0.7109375" style="356" customWidth="1"/>
    <col min="14351" max="14351" width="10.28515625" style="356" customWidth="1"/>
    <col min="14352" max="14352" width="0.7109375" style="356" customWidth="1"/>
    <col min="14353" max="14353" width="12.28515625" style="356" customWidth="1"/>
    <col min="14354" max="14584" width="9.140625" style="356"/>
    <col min="14585" max="14585" width="39.7109375" style="356" bestFit="1" customWidth="1"/>
    <col min="14586" max="14586" width="5.140625" style="356" customWidth="1"/>
    <col min="14587" max="14587" width="2.140625" style="356" bestFit="1" customWidth="1"/>
    <col min="14588" max="14588" width="17.42578125" style="356" bestFit="1" customWidth="1"/>
    <col min="14589" max="14589" width="1.28515625" style="356" customWidth="1"/>
    <col min="14590" max="14590" width="13.28515625" style="356" bestFit="1" customWidth="1"/>
    <col min="14591" max="14591" width="1.140625" style="356" customWidth="1"/>
    <col min="14592" max="14592" width="13.5703125" style="356" bestFit="1" customWidth="1"/>
    <col min="14593" max="14593" width="0.7109375" style="356" customWidth="1"/>
    <col min="14594" max="14594" width="0.85546875" style="356" customWidth="1"/>
    <col min="14595" max="14595" width="10.28515625" style="356" customWidth="1"/>
    <col min="14596" max="14596" width="0.7109375" style="356" customWidth="1"/>
    <col min="14597" max="14597" width="2.5703125" style="356" customWidth="1"/>
    <col min="14598" max="14598" width="0.5703125" style="356" customWidth="1"/>
    <col min="14599" max="14599" width="11.28515625" style="356" customWidth="1"/>
    <col min="14600" max="14600" width="0.5703125" style="356" customWidth="1"/>
    <col min="14601" max="14601" width="11.28515625" style="356" customWidth="1"/>
    <col min="14602" max="14602" width="0.85546875" style="356" customWidth="1"/>
    <col min="14603" max="14603" width="10.28515625" style="356" customWidth="1"/>
    <col min="14604" max="14604" width="0.85546875" style="356" customWidth="1"/>
    <col min="14605" max="14605" width="11.28515625" style="356" customWidth="1"/>
    <col min="14606" max="14606" width="0.7109375" style="356" customWidth="1"/>
    <col min="14607" max="14607" width="10.28515625" style="356" customWidth="1"/>
    <col min="14608" max="14608" width="0.7109375" style="356" customWidth="1"/>
    <col min="14609" max="14609" width="12.28515625" style="356" customWidth="1"/>
    <col min="14610" max="14840" width="9.140625" style="356"/>
    <col min="14841" max="14841" width="39.7109375" style="356" bestFit="1" customWidth="1"/>
    <col min="14842" max="14842" width="5.140625" style="356" customWidth="1"/>
    <col min="14843" max="14843" width="2.140625" style="356" bestFit="1" customWidth="1"/>
    <col min="14844" max="14844" width="17.42578125" style="356" bestFit="1" customWidth="1"/>
    <col min="14845" max="14845" width="1.28515625" style="356" customWidth="1"/>
    <col min="14846" max="14846" width="13.28515625" style="356" bestFit="1" customWidth="1"/>
    <col min="14847" max="14847" width="1.140625" style="356" customWidth="1"/>
    <col min="14848" max="14848" width="13.5703125" style="356" bestFit="1" customWidth="1"/>
    <col min="14849" max="14849" width="0.7109375" style="356" customWidth="1"/>
    <col min="14850" max="14850" width="0.85546875" style="356" customWidth="1"/>
    <col min="14851" max="14851" width="10.28515625" style="356" customWidth="1"/>
    <col min="14852" max="14852" width="0.7109375" style="356" customWidth="1"/>
    <col min="14853" max="14853" width="2.5703125" style="356" customWidth="1"/>
    <col min="14854" max="14854" width="0.5703125" style="356" customWidth="1"/>
    <col min="14855" max="14855" width="11.28515625" style="356" customWidth="1"/>
    <col min="14856" max="14856" width="0.5703125" style="356" customWidth="1"/>
    <col min="14857" max="14857" width="11.28515625" style="356" customWidth="1"/>
    <col min="14858" max="14858" width="0.85546875" style="356" customWidth="1"/>
    <col min="14859" max="14859" width="10.28515625" style="356" customWidth="1"/>
    <col min="14860" max="14860" width="0.85546875" style="356" customWidth="1"/>
    <col min="14861" max="14861" width="11.28515625" style="356" customWidth="1"/>
    <col min="14862" max="14862" width="0.7109375" style="356" customWidth="1"/>
    <col min="14863" max="14863" width="10.28515625" style="356" customWidth="1"/>
    <col min="14864" max="14864" width="0.7109375" style="356" customWidth="1"/>
    <col min="14865" max="14865" width="12.28515625" style="356" customWidth="1"/>
    <col min="14866" max="15096" width="9.140625" style="356"/>
    <col min="15097" max="15097" width="39.7109375" style="356" bestFit="1" customWidth="1"/>
    <col min="15098" max="15098" width="5.140625" style="356" customWidth="1"/>
    <col min="15099" max="15099" width="2.140625" style="356" bestFit="1" customWidth="1"/>
    <col min="15100" max="15100" width="17.42578125" style="356" bestFit="1" customWidth="1"/>
    <col min="15101" max="15101" width="1.28515625" style="356" customWidth="1"/>
    <col min="15102" max="15102" width="13.28515625" style="356" bestFit="1" customWidth="1"/>
    <col min="15103" max="15103" width="1.140625" style="356" customWidth="1"/>
    <col min="15104" max="15104" width="13.5703125" style="356" bestFit="1" customWidth="1"/>
    <col min="15105" max="15105" width="0.7109375" style="356" customWidth="1"/>
    <col min="15106" max="15106" width="0.85546875" style="356" customWidth="1"/>
    <col min="15107" max="15107" width="10.28515625" style="356" customWidth="1"/>
    <col min="15108" max="15108" width="0.7109375" style="356" customWidth="1"/>
    <col min="15109" max="15109" width="2.5703125" style="356" customWidth="1"/>
    <col min="15110" max="15110" width="0.5703125" style="356" customWidth="1"/>
    <col min="15111" max="15111" width="11.28515625" style="356" customWidth="1"/>
    <col min="15112" max="15112" width="0.5703125" style="356" customWidth="1"/>
    <col min="15113" max="15113" width="11.28515625" style="356" customWidth="1"/>
    <col min="15114" max="15114" width="0.85546875" style="356" customWidth="1"/>
    <col min="15115" max="15115" width="10.28515625" style="356" customWidth="1"/>
    <col min="15116" max="15116" width="0.85546875" style="356" customWidth="1"/>
    <col min="15117" max="15117" width="11.28515625" style="356" customWidth="1"/>
    <col min="15118" max="15118" width="0.7109375" style="356" customWidth="1"/>
    <col min="15119" max="15119" width="10.28515625" style="356" customWidth="1"/>
    <col min="15120" max="15120" width="0.7109375" style="356" customWidth="1"/>
    <col min="15121" max="15121" width="12.28515625" style="356" customWidth="1"/>
    <col min="15122" max="15352" width="9.140625" style="356"/>
    <col min="15353" max="15353" width="39.7109375" style="356" bestFit="1" customWidth="1"/>
    <col min="15354" max="15354" width="5.140625" style="356" customWidth="1"/>
    <col min="15355" max="15355" width="2.140625" style="356" bestFit="1" customWidth="1"/>
    <col min="15356" max="15356" width="17.42578125" style="356" bestFit="1" customWidth="1"/>
    <col min="15357" max="15357" width="1.28515625" style="356" customWidth="1"/>
    <col min="15358" max="15358" width="13.28515625" style="356" bestFit="1" customWidth="1"/>
    <col min="15359" max="15359" width="1.140625" style="356" customWidth="1"/>
    <col min="15360" max="15360" width="13.5703125" style="356" bestFit="1" customWidth="1"/>
    <col min="15361" max="15361" width="0.7109375" style="356" customWidth="1"/>
    <col min="15362" max="15362" width="0.85546875" style="356" customWidth="1"/>
    <col min="15363" max="15363" width="10.28515625" style="356" customWidth="1"/>
    <col min="15364" max="15364" width="0.7109375" style="356" customWidth="1"/>
    <col min="15365" max="15365" width="2.5703125" style="356" customWidth="1"/>
    <col min="15366" max="15366" width="0.5703125" style="356" customWidth="1"/>
    <col min="15367" max="15367" width="11.28515625" style="356" customWidth="1"/>
    <col min="15368" max="15368" width="0.5703125" style="356" customWidth="1"/>
    <col min="15369" max="15369" width="11.28515625" style="356" customWidth="1"/>
    <col min="15370" max="15370" width="0.85546875" style="356" customWidth="1"/>
    <col min="15371" max="15371" width="10.28515625" style="356" customWidth="1"/>
    <col min="15372" max="15372" width="0.85546875" style="356" customWidth="1"/>
    <col min="15373" max="15373" width="11.28515625" style="356" customWidth="1"/>
    <col min="15374" max="15374" width="0.7109375" style="356" customWidth="1"/>
    <col min="15375" max="15375" width="10.28515625" style="356" customWidth="1"/>
    <col min="15376" max="15376" width="0.7109375" style="356" customWidth="1"/>
    <col min="15377" max="15377" width="12.28515625" style="356" customWidth="1"/>
    <col min="15378" max="15608" width="9.140625" style="356"/>
    <col min="15609" max="15609" width="39.7109375" style="356" bestFit="1" customWidth="1"/>
    <col min="15610" max="15610" width="5.140625" style="356" customWidth="1"/>
    <col min="15611" max="15611" width="2.140625" style="356" bestFit="1" customWidth="1"/>
    <col min="15612" max="15612" width="17.42578125" style="356" bestFit="1" customWidth="1"/>
    <col min="15613" max="15613" width="1.28515625" style="356" customWidth="1"/>
    <col min="15614" max="15614" width="13.28515625" style="356" bestFit="1" customWidth="1"/>
    <col min="15615" max="15615" width="1.140625" style="356" customWidth="1"/>
    <col min="15616" max="15616" width="13.5703125" style="356" bestFit="1" customWidth="1"/>
    <col min="15617" max="15617" width="0.7109375" style="356" customWidth="1"/>
    <col min="15618" max="15618" width="0.85546875" style="356" customWidth="1"/>
    <col min="15619" max="15619" width="10.28515625" style="356" customWidth="1"/>
    <col min="15620" max="15620" width="0.7109375" style="356" customWidth="1"/>
    <col min="15621" max="15621" width="2.5703125" style="356" customWidth="1"/>
    <col min="15622" max="15622" width="0.5703125" style="356" customWidth="1"/>
    <col min="15623" max="15623" width="11.28515625" style="356" customWidth="1"/>
    <col min="15624" max="15624" width="0.5703125" style="356" customWidth="1"/>
    <col min="15625" max="15625" width="11.28515625" style="356" customWidth="1"/>
    <col min="15626" max="15626" width="0.85546875" style="356" customWidth="1"/>
    <col min="15627" max="15627" width="10.28515625" style="356" customWidth="1"/>
    <col min="15628" max="15628" width="0.85546875" style="356" customWidth="1"/>
    <col min="15629" max="15629" width="11.28515625" style="356" customWidth="1"/>
    <col min="15630" max="15630" width="0.7109375" style="356" customWidth="1"/>
    <col min="15631" max="15631" width="10.28515625" style="356" customWidth="1"/>
    <col min="15632" max="15632" width="0.7109375" style="356" customWidth="1"/>
    <col min="15633" max="15633" width="12.28515625" style="356" customWidth="1"/>
    <col min="15634" max="15864" width="9.140625" style="356"/>
    <col min="15865" max="15865" width="39.7109375" style="356" bestFit="1" customWidth="1"/>
    <col min="15866" max="15866" width="5.140625" style="356" customWidth="1"/>
    <col min="15867" max="15867" width="2.140625" style="356" bestFit="1" customWidth="1"/>
    <col min="15868" max="15868" width="17.42578125" style="356" bestFit="1" customWidth="1"/>
    <col min="15869" max="15869" width="1.28515625" style="356" customWidth="1"/>
    <col min="15870" max="15870" width="13.28515625" style="356" bestFit="1" customWidth="1"/>
    <col min="15871" max="15871" width="1.140625" style="356" customWidth="1"/>
    <col min="15872" max="15872" width="13.5703125" style="356" bestFit="1" customWidth="1"/>
    <col min="15873" max="15873" width="0.7109375" style="356" customWidth="1"/>
    <col min="15874" max="15874" width="0.85546875" style="356" customWidth="1"/>
    <col min="15875" max="15875" width="10.28515625" style="356" customWidth="1"/>
    <col min="15876" max="15876" width="0.7109375" style="356" customWidth="1"/>
    <col min="15877" max="15877" width="2.5703125" style="356" customWidth="1"/>
    <col min="15878" max="15878" width="0.5703125" style="356" customWidth="1"/>
    <col min="15879" max="15879" width="11.28515625" style="356" customWidth="1"/>
    <col min="15880" max="15880" width="0.5703125" style="356" customWidth="1"/>
    <col min="15881" max="15881" width="11.28515625" style="356" customWidth="1"/>
    <col min="15882" max="15882" width="0.85546875" style="356" customWidth="1"/>
    <col min="15883" max="15883" width="10.28515625" style="356" customWidth="1"/>
    <col min="15884" max="15884" width="0.85546875" style="356" customWidth="1"/>
    <col min="15885" max="15885" width="11.28515625" style="356" customWidth="1"/>
    <col min="15886" max="15886" width="0.7109375" style="356" customWidth="1"/>
    <col min="15887" max="15887" width="10.28515625" style="356" customWidth="1"/>
    <col min="15888" max="15888" width="0.7109375" style="356" customWidth="1"/>
    <col min="15889" max="15889" width="12.28515625" style="356" customWidth="1"/>
    <col min="15890" max="16120" width="9.140625" style="356"/>
    <col min="16121" max="16121" width="39.7109375" style="356" bestFit="1" customWidth="1"/>
    <col min="16122" max="16122" width="5.140625" style="356" customWidth="1"/>
    <col min="16123" max="16123" width="2.140625" style="356" bestFit="1" customWidth="1"/>
    <col min="16124" max="16124" width="17.42578125" style="356" bestFit="1" customWidth="1"/>
    <col min="16125" max="16125" width="1.28515625" style="356" customWidth="1"/>
    <col min="16126" max="16126" width="13.28515625" style="356" bestFit="1" customWidth="1"/>
    <col min="16127" max="16127" width="1.140625" style="356" customWidth="1"/>
    <col min="16128" max="16128" width="13.5703125" style="356" bestFit="1" customWidth="1"/>
    <col min="16129" max="16129" width="0.7109375" style="356" customWidth="1"/>
    <col min="16130" max="16130" width="0.85546875" style="356" customWidth="1"/>
    <col min="16131" max="16131" width="10.28515625" style="356" customWidth="1"/>
    <col min="16132" max="16132" width="0.7109375" style="356" customWidth="1"/>
    <col min="16133" max="16133" width="2.5703125" style="356" customWidth="1"/>
    <col min="16134" max="16134" width="0.5703125" style="356" customWidth="1"/>
    <col min="16135" max="16135" width="11.28515625" style="356" customWidth="1"/>
    <col min="16136" max="16136" width="0.5703125" style="356" customWidth="1"/>
    <col min="16137" max="16137" width="11.28515625" style="356" customWidth="1"/>
    <col min="16138" max="16138" width="0.85546875" style="356" customWidth="1"/>
    <col min="16139" max="16139" width="10.28515625" style="356" customWidth="1"/>
    <col min="16140" max="16140" width="0.85546875" style="356" customWidth="1"/>
    <col min="16141" max="16141" width="11.28515625" style="356" customWidth="1"/>
    <col min="16142" max="16142" width="0.7109375" style="356" customWidth="1"/>
    <col min="16143" max="16143" width="10.28515625" style="356" customWidth="1"/>
    <col min="16144" max="16144" width="0.7109375" style="356" customWidth="1"/>
    <col min="16145" max="16145" width="12.28515625" style="356" customWidth="1"/>
    <col min="16146" max="16384" width="9.140625" style="356"/>
  </cols>
  <sheetData>
    <row r="1" spans="1:18" ht="38.25">
      <c r="A1" s="1691" t="s">
        <v>809</v>
      </c>
      <c r="B1" s="1691"/>
      <c r="C1" s="1691"/>
      <c r="D1" s="1691"/>
      <c r="E1" s="1691"/>
      <c r="F1" s="1691"/>
      <c r="G1" s="1691"/>
      <c r="H1" s="1691"/>
      <c r="I1" s="400"/>
      <c r="J1" s="400"/>
      <c r="K1" s="400"/>
      <c r="L1" s="400"/>
      <c r="M1" s="400"/>
      <c r="N1" s="400"/>
      <c r="O1" s="400"/>
      <c r="P1" s="400"/>
      <c r="Q1" s="400"/>
    </row>
    <row r="2" spans="1:18" ht="15" hidden="1" customHeight="1">
      <c r="A2" s="1692"/>
      <c r="B2" s="1692"/>
      <c r="C2" s="1692"/>
      <c r="D2" s="1692"/>
      <c r="E2" s="1692"/>
      <c r="F2" s="1692"/>
      <c r="G2" s="1692"/>
      <c r="H2" s="1692"/>
      <c r="I2" s="402"/>
      <c r="J2" s="402"/>
      <c r="K2" s="402"/>
      <c r="L2" s="402"/>
      <c r="M2" s="402"/>
      <c r="N2" s="402"/>
      <c r="O2" s="402"/>
      <c r="P2" s="402"/>
      <c r="Q2" s="402"/>
    </row>
    <row r="3" spans="1:18" ht="16.5" hidden="1" customHeight="1">
      <c r="A3" s="591"/>
      <c r="B3" s="1696" t="str">
        <f>PROPER(B1)</f>
        <v/>
      </c>
      <c r="C3" s="1696"/>
      <c r="D3" s="1696"/>
      <c r="E3" s="1696"/>
      <c r="F3" s="1696"/>
      <c r="G3" s="1696"/>
      <c r="H3" s="1696"/>
      <c r="I3" s="402"/>
      <c r="J3" s="402"/>
      <c r="K3" s="402"/>
      <c r="L3" s="402"/>
      <c r="M3" s="402"/>
      <c r="N3" s="402"/>
      <c r="O3" s="402"/>
      <c r="P3" s="402"/>
      <c r="Q3" s="402"/>
    </row>
    <row r="4" spans="1:18" ht="7.5" hidden="1" customHeight="1"/>
    <row r="5" spans="1:18" s="403" customFormat="1" ht="16.5" customHeight="1" thickBot="1">
      <c r="D5" s="1693" t="s">
        <v>58</v>
      </c>
      <c r="E5" s="1693"/>
      <c r="F5" s="1693"/>
      <c r="G5" s="1693"/>
      <c r="H5" s="1693"/>
      <c r="R5" s="404"/>
    </row>
    <row r="6" spans="1:18" s="403" customFormat="1" ht="12.75" customHeight="1">
      <c r="A6" s="1010"/>
      <c r="B6" s="1010"/>
      <c r="C6" s="1010"/>
      <c r="D6" s="1048"/>
      <c r="E6" s="1048"/>
      <c r="F6" s="1048"/>
      <c r="G6" s="1048"/>
      <c r="H6" s="1048"/>
      <c r="R6" s="404"/>
    </row>
    <row r="7" spans="1:18" s="403" customFormat="1">
      <c r="A7" s="1049"/>
      <c r="B7" s="356"/>
      <c r="C7" s="357"/>
      <c r="D7" s="1694" t="s">
        <v>588</v>
      </c>
      <c r="E7" s="1011"/>
      <c r="F7" s="1011" t="s">
        <v>477</v>
      </c>
      <c r="G7" s="1011"/>
      <c r="H7" s="1011" t="s">
        <v>478</v>
      </c>
    </row>
    <row r="8" spans="1:18" s="403" customFormat="1" ht="16.5" thickBot="1">
      <c r="A8" s="992" t="s">
        <v>804</v>
      </c>
      <c r="B8" s="1050"/>
      <c r="C8" s="1051"/>
      <c r="D8" s="1695"/>
      <c r="E8" s="1012"/>
      <c r="F8" s="991" t="s">
        <v>479</v>
      </c>
      <c r="G8" s="1012"/>
      <c r="H8" s="991" t="s">
        <v>480</v>
      </c>
      <c r="R8" s="408"/>
    </row>
    <row r="9" spans="1:18" s="403" customFormat="1" ht="7.5" customHeight="1">
      <c r="C9" s="406"/>
      <c r="D9" s="409"/>
      <c r="E9" s="407"/>
      <c r="F9" s="409"/>
      <c r="G9" s="407"/>
      <c r="H9" s="409"/>
      <c r="R9" s="408"/>
    </row>
    <row r="10" spans="1:18" s="403" customFormat="1">
      <c r="A10" s="356" t="s">
        <v>423</v>
      </c>
      <c r="C10" s="406"/>
      <c r="D10" s="409"/>
      <c r="E10" s="407"/>
      <c r="F10" s="409"/>
      <c r="G10" s="407"/>
      <c r="H10" s="409"/>
      <c r="R10" s="408"/>
    </row>
    <row r="11" spans="1:18" s="403" customFormat="1">
      <c r="A11" s="356" t="s">
        <v>488</v>
      </c>
      <c r="C11" s="403" t="s">
        <v>424</v>
      </c>
      <c r="D11" s="380">
        <f>ROUND('City Insurance'!L15+'Self-Insured Health'!L14,2)</f>
        <v>2799441.81</v>
      </c>
      <c r="E11" s="380"/>
      <c r="F11" s="380">
        <f>ROUND('Central Service'!L15,2)</f>
        <v>337892</v>
      </c>
      <c r="G11" s="380"/>
      <c r="H11" s="380">
        <f>ROUND('Vehicle Rental'!L14,2)</f>
        <v>8438743.9000000004</v>
      </c>
      <c r="R11" s="408"/>
    </row>
    <row r="12" spans="1:18" s="403" customFormat="1">
      <c r="A12" s="356" t="s">
        <v>425</v>
      </c>
      <c r="C12" s="403" t="s">
        <v>424</v>
      </c>
      <c r="D12" s="997">
        <f>SUM(D11:D11)</f>
        <v>2799441.81</v>
      </c>
      <c r="E12" s="380"/>
      <c r="F12" s="997">
        <f>SUM(F11:F11)</f>
        <v>337892</v>
      </c>
      <c r="G12" s="380"/>
      <c r="H12" s="997">
        <f>SUM(H11:H11)</f>
        <v>8438743.9000000004</v>
      </c>
      <c r="K12" s="403">
        <v>3</v>
      </c>
      <c r="M12" s="403">
        <v>3</v>
      </c>
      <c r="O12" s="403">
        <v>5</v>
      </c>
      <c r="R12" s="408"/>
    </row>
    <row r="13" spans="1:18" s="411" customFormat="1" ht="7.5" customHeight="1">
      <c r="A13" s="361"/>
      <c r="D13" s="998"/>
      <c r="E13" s="375"/>
      <c r="F13" s="998"/>
      <c r="G13" s="375"/>
      <c r="H13" s="998"/>
      <c r="R13" s="682"/>
    </row>
    <row r="14" spans="1:18" s="411" customFormat="1">
      <c r="A14" s="361" t="s">
        <v>426</v>
      </c>
      <c r="D14" s="998"/>
      <c r="E14" s="375"/>
      <c r="F14" s="998"/>
      <c r="G14" s="375"/>
      <c r="H14" s="998"/>
      <c r="R14" s="682"/>
    </row>
    <row r="15" spans="1:18" s="411" customFormat="1">
      <c r="A15" s="361" t="s">
        <v>114</v>
      </c>
      <c r="C15" s="411" t="s">
        <v>424</v>
      </c>
      <c r="D15" s="375">
        <f>ROUND('City Insurance'!L8+'Self-Insured Health'!L8,2)</f>
        <v>38402738</v>
      </c>
      <c r="E15" s="375"/>
      <c r="F15" s="375">
        <f>(ROUND('Central Service'!L8,2))</f>
        <v>16039800</v>
      </c>
      <c r="G15" s="375"/>
      <c r="H15" s="375">
        <f>ROUND('Vehicle Rental'!L8,2)</f>
        <v>16379420</v>
      </c>
      <c r="R15" s="412"/>
    </row>
    <row r="16" spans="1:18" s="411" customFormat="1">
      <c r="A16" s="361" t="s">
        <v>437</v>
      </c>
      <c r="D16" s="375">
        <f>ROUND('City Insurance'!L9+'Self-Insured Health'!L9,2)</f>
        <v>337311</v>
      </c>
      <c r="E16" s="375"/>
      <c r="F16" s="375">
        <f>ROUND('Central Service'!L9,2)</f>
        <v>172753.38</v>
      </c>
      <c r="G16" s="375"/>
      <c r="H16" s="375">
        <f>ROUND('Vehicle Rental'!L9,2)</f>
        <v>114335</v>
      </c>
      <c r="R16" s="412"/>
    </row>
    <row r="17" spans="1:18" s="411" customFormat="1">
      <c r="A17" s="361" t="s">
        <v>319</v>
      </c>
      <c r="D17" s="375">
        <f>ROUND('City Insurance'!L11+'Self-Insured Health'!L10,2)</f>
        <v>878672</v>
      </c>
      <c r="E17" s="375"/>
      <c r="F17" s="1006">
        <f>ROUND('Central Service'!L11,2)</f>
        <v>670291.56999999995</v>
      </c>
      <c r="G17" s="1006"/>
      <c r="H17" s="1006">
        <f>ROUND('Vehicle Rental'!L10,2)</f>
        <v>0</v>
      </c>
      <c r="R17" s="412"/>
    </row>
    <row r="18" spans="1:18" s="411" customFormat="1">
      <c r="A18" s="361" t="s">
        <v>438</v>
      </c>
      <c r="C18" s="411" t="s">
        <v>424</v>
      </c>
      <c r="D18" s="999">
        <f>SUM(D15:D17)</f>
        <v>39618721</v>
      </c>
      <c r="E18" s="361"/>
      <c r="F18" s="999">
        <f>SUM(F15:F17)</f>
        <v>16882844.949999999</v>
      </c>
      <c r="G18" s="361"/>
      <c r="H18" s="999">
        <f>SUM(H15:H17)</f>
        <v>16493755</v>
      </c>
      <c r="K18" s="411">
        <f>1+9</f>
        <v>10</v>
      </c>
      <c r="M18" s="411">
        <v>3</v>
      </c>
      <c r="O18" s="411">
        <v>0</v>
      </c>
      <c r="R18" s="412"/>
    </row>
    <row r="19" spans="1:18" s="411" customFormat="1" ht="7.5" customHeight="1">
      <c r="A19" s="361"/>
      <c r="D19" s="378"/>
      <c r="E19" s="378"/>
      <c r="F19" s="378"/>
      <c r="G19" s="378"/>
      <c r="H19" s="378"/>
      <c r="R19" s="412"/>
    </row>
    <row r="20" spans="1:18" s="411" customFormat="1" hidden="1">
      <c r="A20" s="361" t="s">
        <v>481</v>
      </c>
      <c r="C20" s="411" t="s">
        <v>424</v>
      </c>
      <c r="D20" s="1000">
        <v>0</v>
      </c>
      <c r="E20" s="1001"/>
      <c r="F20" s="1000">
        <v>0</v>
      </c>
      <c r="G20" s="1001"/>
      <c r="H20" s="1000">
        <v>0</v>
      </c>
      <c r="R20" s="412"/>
    </row>
    <row r="21" spans="1:18" s="411" customFormat="1" ht="7.5" hidden="1" customHeight="1">
      <c r="A21" s="361"/>
      <c r="D21" s="375"/>
      <c r="E21" s="375"/>
      <c r="F21" s="375"/>
      <c r="G21" s="375"/>
      <c r="H21" s="375"/>
      <c r="R21" s="412"/>
    </row>
    <row r="22" spans="1:18" s="411" customFormat="1" ht="18.75" thickBot="1">
      <c r="A22" s="1052" t="s">
        <v>21</v>
      </c>
      <c r="B22" s="683"/>
      <c r="C22" s="411" t="s">
        <v>424</v>
      </c>
      <c r="D22" s="1002">
        <f>D12+D18+D20</f>
        <v>42418162.810000002</v>
      </c>
      <c r="E22" s="1003"/>
      <c r="F22" s="1002">
        <f>F12+F18+F20</f>
        <v>17220736.949999999</v>
      </c>
      <c r="G22" s="375"/>
      <c r="H22" s="1002">
        <f>H12+H18+H20</f>
        <v>24932498.899999999</v>
      </c>
      <c r="K22" s="411">
        <f>SUM(K12:K19)</f>
        <v>13</v>
      </c>
      <c r="M22" s="411">
        <f>SUM(M12:M19)</f>
        <v>6</v>
      </c>
      <c r="O22" s="411">
        <f>SUM(O12:O19)</f>
        <v>5</v>
      </c>
      <c r="R22" s="412"/>
    </row>
    <row r="23" spans="1:18" s="411" customFormat="1" ht="7.5" customHeight="1" thickTop="1">
      <c r="A23" s="361"/>
      <c r="D23" s="375"/>
      <c r="E23" s="375"/>
      <c r="F23" s="375"/>
      <c r="G23" s="375"/>
      <c r="H23" s="375"/>
      <c r="R23" s="412"/>
    </row>
    <row r="24" spans="1:18" s="411" customFormat="1">
      <c r="A24" s="360" t="s">
        <v>482</v>
      </c>
      <c r="D24" s="361"/>
      <c r="E24" s="361"/>
      <c r="F24" s="994"/>
      <c r="G24" s="361"/>
      <c r="H24" s="361"/>
    </row>
    <row r="25" spans="1:18" s="411" customFormat="1" ht="7.5" customHeight="1">
      <c r="A25" s="361"/>
      <c r="D25" s="361"/>
      <c r="E25" s="361"/>
      <c r="F25" s="361"/>
      <c r="G25" s="361"/>
      <c r="H25" s="361"/>
    </row>
    <row r="26" spans="1:18" s="411" customFormat="1" hidden="1">
      <c r="A26" s="361" t="s">
        <v>440</v>
      </c>
      <c r="C26" s="411" t="s">
        <v>424</v>
      </c>
      <c r="D26" s="995"/>
      <c r="E26" s="361"/>
      <c r="F26" s="995"/>
      <c r="G26" s="361"/>
      <c r="H26" s="995"/>
    </row>
    <row r="27" spans="1:18" s="411" customFormat="1" hidden="1">
      <c r="A27" s="361" t="s">
        <v>441</v>
      </c>
      <c r="D27" s="995"/>
      <c r="E27" s="361"/>
      <c r="F27" s="995"/>
      <c r="G27" s="361"/>
      <c r="H27" s="995"/>
    </row>
    <row r="28" spans="1:18" s="411" customFormat="1" hidden="1">
      <c r="A28" s="361" t="s">
        <v>442</v>
      </c>
      <c r="D28" s="995"/>
      <c r="E28" s="361"/>
      <c r="F28" s="995"/>
      <c r="G28" s="361"/>
      <c r="H28" s="995"/>
    </row>
    <row r="29" spans="1:18" s="411" customFormat="1" hidden="1">
      <c r="A29" s="361" t="s">
        <v>443</v>
      </c>
      <c r="D29" s="995"/>
      <c r="E29" s="361"/>
      <c r="F29" s="995"/>
      <c r="G29" s="361"/>
      <c r="H29" s="995"/>
    </row>
    <row r="30" spans="1:18" s="411" customFormat="1" hidden="1">
      <c r="A30" s="361" t="s">
        <v>444</v>
      </c>
      <c r="D30" s="995"/>
      <c r="E30" s="361"/>
      <c r="F30" s="995"/>
      <c r="G30" s="361"/>
      <c r="H30" s="995"/>
    </row>
    <row r="31" spans="1:18" s="411" customFormat="1" hidden="1">
      <c r="A31" s="361" t="s">
        <v>445</v>
      </c>
      <c r="D31" s="995"/>
      <c r="E31" s="361"/>
      <c r="F31" s="995"/>
      <c r="G31" s="361"/>
      <c r="H31" s="995"/>
    </row>
    <row r="32" spans="1:18" s="411" customFormat="1" hidden="1">
      <c r="A32" s="361" t="s">
        <v>446</v>
      </c>
      <c r="D32" s="995"/>
      <c r="E32" s="361"/>
      <c r="F32" s="995"/>
      <c r="G32" s="361"/>
      <c r="H32" s="995"/>
    </row>
    <row r="33" spans="1:15" s="411" customFormat="1" hidden="1">
      <c r="A33" s="361" t="s">
        <v>447</v>
      </c>
      <c r="D33" s="995"/>
      <c r="E33" s="361"/>
      <c r="F33" s="995"/>
      <c r="G33" s="361"/>
      <c r="H33" s="995"/>
    </row>
    <row r="34" spans="1:15" s="411" customFormat="1" hidden="1">
      <c r="A34" s="361" t="s">
        <v>448</v>
      </c>
      <c r="D34" s="995">
        <v>0</v>
      </c>
      <c r="E34" s="361"/>
      <c r="F34" s="995"/>
      <c r="G34" s="361"/>
      <c r="H34" s="995"/>
    </row>
    <row r="35" spans="1:15" s="411" customFormat="1" hidden="1">
      <c r="A35" s="361" t="s">
        <v>449</v>
      </c>
      <c r="D35" s="995"/>
      <c r="E35" s="361"/>
      <c r="F35" s="995"/>
      <c r="G35" s="361"/>
      <c r="H35" s="995"/>
    </row>
    <row r="36" spans="1:15" s="411" customFormat="1">
      <c r="A36" s="361" t="s">
        <v>450</v>
      </c>
      <c r="C36" s="411" t="s">
        <v>424</v>
      </c>
      <c r="D36" s="995">
        <f>ROUNDDOWN('City Insurance'!L20+'City Insurance'!L21+'City Insurance'!L22+'City Insurance'!L23+'Self-Insured Health'!L22-'City Insurance'!L73,0)</f>
        <v>20912758</v>
      </c>
      <c r="E36" s="361"/>
      <c r="F36" s="1007">
        <v>0</v>
      </c>
      <c r="G36" s="1006"/>
      <c r="H36" s="1007">
        <v>0</v>
      </c>
    </row>
    <row r="37" spans="1:15" s="411" customFormat="1">
      <c r="A37" s="361" t="s">
        <v>483</v>
      </c>
      <c r="D37" s="1007">
        <v>0</v>
      </c>
      <c r="E37" s="361"/>
      <c r="F37" s="995" t="e">
        <f>ROUND('Central Service'!L20+'Central Service'!L21+'Central Service'!L22+'Central Service'!L23+'Central Service'!L24+'Central Service'!#REF!,2)</f>
        <v>#REF!</v>
      </c>
      <c r="G37" s="361"/>
      <c r="H37" s="1007">
        <v>0</v>
      </c>
    </row>
    <row r="38" spans="1:15" s="411" customFormat="1" hidden="1">
      <c r="A38" s="361" t="s">
        <v>452</v>
      </c>
      <c r="D38" s="1007"/>
      <c r="E38" s="361"/>
      <c r="F38" s="995"/>
      <c r="G38" s="361"/>
      <c r="H38" s="995"/>
    </row>
    <row r="39" spans="1:15" s="411" customFormat="1" hidden="1">
      <c r="A39" s="361" t="s">
        <v>453</v>
      </c>
      <c r="D39" s="1007"/>
      <c r="E39" s="361"/>
      <c r="F39" s="995"/>
      <c r="G39" s="361"/>
      <c r="H39" s="995"/>
    </row>
    <row r="40" spans="1:15" s="411" customFormat="1" hidden="1">
      <c r="A40" s="361" t="s">
        <v>484</v>
      </c>
      <c r="D40" s="1007"/>
      <c r="E40" s="361"/>
      <c r="F40" s="995"/>
      <c r="G40" s="361"/>
      <c r="H40" s="995"/>
    </row>
    <row r="41" spans="1:15" s="403" customFormat="1" hidden="1">
      <c r="A41" s="356" t="s">
        <v>454</v>
      </c>
      <c r="D41" s="1008"/>
      <c r="E41" s="356"/>
      <c r="F41" s="996"/>
      <c r="G41" s="356"/>
      <c r="H41" s="996"/>
    </row>
    <row r="42" spans="1:15" s="403" customFormat="1" hidden="1">
      <c r="A42" s="356" t="s">
        <v>455</v>
      </c>
      <c r="D42" s="1008"/>
      <c r="E42" s="356"/>
      <c r="F42" s="996"/>
      <c r="G42" s="356"/>
      <c r="H42" s="996"/>
    </row>
    <row r="43" spans="1:15" s="403" customFormat="1" hidden="1">
      <c r="A43" s="356" t="s">
        <v>456</v>
      </c>
      <c r="D43" s="1008"/>
      <c r="E43" s="356"/>
      <c r="F43" s="996"/>
      <c r="G43" s="356"/>
      <c r="H43" s="996"/>
    </row>
    <row r="44" spans="1:15" s="403" customFormat="1" hidden="1">
      <c r="A44" s="356" t="s">
        <v>457</v>
      </c>
      <c r="D44" s="1008"/>
      <c r="E44" s="356"/>
      <c r="F44" s="996"/>
      <c r="G44" s="356"/>
      <c r="H44" s="996"/>
    </row>
    <row r="45" spans="1:15" s="403" customFormat="1" hidden="1">
      <c r="A45" s="356" t="s">
        <v>458</v>
      </c>
      <c r="D45" s="1008"/>
      <c r="E45" s="356"/>
      <c r="F45" s="996"/>
      <c r="G45" s="356"/>
      <c r="H45" s="996"/>
    </row>
    <row r="46" spans="1:15" s="403" customFormat="1">
      <c r="A46" s="356" t="s">
        <v>459</v>
      </c>
      <c r="D46" s="1008">
        <v>0</v>
      </c>
      <c r="E46" s="356"/>
      <c r="F46" s="1008">
        <v>0</v>
      </c>
      <c r="G46" s="356"/>
      <c r="H46" s="996">
        <f>ROUND('Vehicle Rental'!L19+'Vehicle Rental'!L20+'Vehicle Rental'!L21+'Vehicle Rental'!L22+'Vehicle Rental'!L74+'Vehicle Rental'!L23+'Vehicle Rental'!L24,2)</f>
        <v>15285932.01</v>
      </c>
      <c r="K46" s="403">
        <v>0</v>
      </c>
      <c r="M46" s="403">
        <v>2</v>
      </c>
      <c r="O46" s="403">
        <v>2</v>
      </c>
    </row>
    <row r="47" spans="1:15" s="403" customFormat="1" hidden="1">
      <c r="A47" s="356" t="s">
        <v>460</v>
      </c>
      <c r="D47" s="996"/>
      <c r="E47" s="356"/>
      <c r="F47" s="996"/>
      <c r="G47" s="356"/>
      <c r="H47" s="996"/>
    </row>
    <row r="48" spans="1:15" s="403" customFormat="1" hidden="1">
      <c r="A48" s="356" t="s">
        <v>16</v>
      </c>
      <c r="D48" s="996"/>
      <c r="E48" s="356"/>
      <c r="F48" s="996"/>
      <c r="G48" s="356"/>
      <c r="H48" s="995"/>
    </row>
    <row r="49" spans="1:15" s="403" customFormat="1" hidden="1">
      <c r="A49" s="356" t="s">
        <v>16</v>
      </c>
      <c r="D49" s="996">
        <v>0</v>
      </c>
      <c r="E49" s="356"/>
      <c r="F49" s="996" t="e">
        <f>ROUND('Central Service'!#REF!,2)</f>
        <v>#REF!</v>
      </c>
      <c r="G49" s="356"/>
      <c r="H49" s="995">
        <v>0</v>
      </c>
    </row>
    <row r="50" spans="1:15" s="403" customFormat="1">
      <c r="A50" s="357" t="s">
        <v>131</v>
      </c>
      <c r="C50" s="403" t="s">
        <v>424</v>
      </c>
      <c r="D50" s="997">
        <f>SUM(D36:D49)</f>
        <v>20912758</v>
      </c>
      <c r="E50" s="380"/>
      <c r="F50" s="997" t="e">
        <f>SUM(F36:F49)</f>
        <v>#REF!</v>
      </c>
      <c r="G50" s="380"/>
      <c r="H50" s="997">
        <f>SUM(H36:H49)</f>
        <v>15285932.01</v>
      </c>
    </row>
    <row r="51" spans="1:15" s="403" customFormat="1" ht="7.5" customHeight="1">
      <c r="A51" s="356"/>
      <c r="D51" s="380"/>
      <c r="E51" s="380"/>
      <c r="F51" s="380"/>
      <c r="G51" s="380"/>
      <c r="H51" s="380"/>
    </row>
    <row r="52" spans="1:15" s="411" customFormat="1">
      <c r="A52" s="361" t="s">
        <v>485</v>
      </c>
      <c r="C52" s="411" t="s">
        <v>424</v>
      </c>
      <c r="D52" s="375">
        <f>ROUND('City Insurance'!L30+'Self-Insured Health'!L29,2)</f>
        <v>3781379.81</v>
      </c>
      <c r="E52" s="375"/>
      <c r="F52" s="375">
        <f>ROUND('Central Service'!L31,2)</f>
        <v>283304</v>
      </c>
      <c r="G52" s="375"/>
      <c r="H52" s="375">
        <f>ROUND('Vehicle Rental'!L32,2)</f>
        <v>2636193.89</v>
      </c>
    </row>
    <row r="53" spans="1:15" s="403" customFormat="1">
      <c r="A53" s="356" t="s">
        <v>486</v>
      </c>
      <c r="D53" s="380">
        <f>'City Insurance'!L73+'Self-Insured Health'!L23</f>
        <v>17912232</v>
      </c>
      <c r="E53" s="380"/>
      <c r="F53" s="768">
        <v>0</v>
      </c>
      <c r="G53" s="768"/>
      <c r="H53" s="768">
        <v>0</v>
      </c>
    </row>
    <row r="54" spans="1:15" s="403" customFormat="1">
      <c r="A54" s="356" t="s">
        <v>487</v>
      </c>
      <c r="D54" s="1004" t="e">
        <f>ROUNDUP('City Insurance'!L25+'Self-Insured Health'!#REF!,0)</f>
        <v>#REF!</v>
      </c>
      <c r="E54" s="380"/>
      <c r="F54" s="380" t="e">
        <f>ROUND('Central Service'!#REF!,2)</f>
        <v>#REF!</v>
      </c>
      <c r="G54" s="380"/>
      <c r="H54" s="380">
        <f>ROUND('Vehicle Rental'!L26,2)</f>
        <v>0</v>
      </c>
    </row>
    <row r="55" spans="1:15" s="403" customFormat="1">
      <c r="A55" s="356" t="s">
        <v>29</v>
      </c>
      <c r="D55" s="1009">
        <v>0</v>
      </c>
      <c r="E55" s="768"/>
      <c r="F55" s="1009">
        <v>0</v>
      </c>
      <c r="G55" s="380"/>
      <c r="H55" s="380">
        <f>ROUND('Vehicle Rental'!L31,2)</f>
        <v>6915913</v>
      </c>
    </row>
    <row r="56" spans="1:15" s="403" customFormat="1">
      <c r="A56" s="356" t="s">
        <v>808</v>
      </c>
      <c r="C56" s="403" t="s">
        <v>424</v>
      </c>
      <c r="D56" s="997" t="e">
        <f>SUM(D52:D55)</f>
        <v>#REF!</v>
      </c>
      <c r="E56" s="1004"/>
      <c r="F56" s="997" t="e">
        <f>SUM(F52:F55)</f>
        <v>#REF!</v>
      </c>
      <c r="G56" s="1004"/>
      <c r="H56" s="997">
        <f>SUM(H52:H55)</f>
        <v>9552106.8900000006</v>
      </c>
      <c r="K56" s="403">
        <f>3+7+3</f>
        <v>13</v>
      </c>
      <c r="M56" s="403">
        <f>9+5</f>
        <v>14</v>
      </c>
      <c r="O56" s="403">
        <f>7+7+9</f>
        <v>23</v>
      </c>
    </row>
    <row r="57" spans="1:15" s="403" customFormat="1" ht="7.5" customHeight="1">
      <c r="A57" s="356"/>
      <c r="D57" s="380"/>
      <c r="E57" s="380"/>
      <c r="F57" s="380"/>
      <c r="G57" s="380"/>
      <c r="H57" s="380"/>
    </row>
    <row r="58" spans="1:15" s="403" customFormat="1" ht="16.5" thickBot="1">
      <c r="A58" s="1053" t="s">
        <v>25</v>
      </c>
      <c r="C58" s="403" t="s">
        <v>424</v>
      </c>
      <c r="D58" s="1005" t="e">
        <f>D50+D56</f>
        <v>#REF!</v>
      </c>
      <c r="E58" s="380"/>
      <c r="F58" s="1005" t="e">
        <f>F50+F56</f>
        <v>#REF!</v>
      </c>
      <c r="G58" s="380"/>
      <c r="H58" s="1005">
        <f>H50+H56</f>
        <v>24838038.899999999</v>
      </c>
      <c r="K58" s="403">
        <f>SUM(K46:K56)</f>
        <v>13</v>
      </c>
      <c r="M58" s="403">
        <f>SUM(M46:M56)</f>
        <v>16</v>
      </c>
      <c r="O58" s="403">
        <f>SUM(O46:O56)</f>
        <v>25</v>
      </c>
    </row>
    <row r="59" spans="1:15" s="403" customFormat="1" thickTop="1"/>
    <row r="60" spans="1:15" s="403" customFormat="1" ht="15"/>
    <row r="61" spans="1:15" s="403" customFormat="1" ht="15">
      <c r="A61" s="414" t="s">
        <v>58</v>
      </c>
      <c r="B61" s="405"/>
      <c r="C61" s="405"/>
      <c r="D61" s="1057" t="e">
        <f>'City Insurance'!L32+'Self-Insured Health'!L31-'Internal Service'!D58</f>
        <v>#REF!</v>
      </c>
      <c r="E61" s="415"/>
      <c r="F61" s="415" t="e">
        <f>'Central Service'!L33-'Internal Service'!F58</f>
        <v>#REF!</v>
      </c>
      <c r="G61" s="415"/>
      <c r="H61" s="415">
        <f>H22-H58</f>
        <v>94460</v>
      </c>
    </row>
    <row r="62" spans="1:15" s="403" customFormat="1" ht="15"/>
    <row r="63" spans="1:15" s="403" customFormat="1" ht="15">
      <c r="B63" s="403">
        <v>543</v>
      </c>
      <c r="D63" s="413">
        <f>'City Insurance'!L32</f>
        <v>24515379.809999999</v>
      </c>
    </row>
    <row r="64" spans="1:15" s="403" customFormat="1" ht="15">
      <c r="B64" s="403">
        <v>545</v>
      </c>
      <c r="D64" s="413">
        <f>'Self-Insured Health'!L31</f>
        <v>18231232</v>
      </c>
      <c r="F64" s="413">
        <f>SUM(D63:D64)</f>
        <v>42746611.810000002</v>
      </c>
      <c r="H64" s="413" t="s">
        <v>58</v>
      </c>
    </row>
    <row r="65" spans="1:8" s="403" customFormat="1" ht="15">
      <c r="B65" s="403">
        <v>581</v>
      </c>
      <c r="D65" s="413">
        <f>'Central Service'!L33</f>
        <v>17220736.949999999</v>
      </c>
      <c r="E65" s="403" t="s">
        <v>58</v>
      </c>
    </row>
    <row r="66" spans="1:8">
      <c r="B66" s="403">
        <v>583</v>
      </c>
      <c r="C66" s="403"/>
      <c r="D66" s="413">
        <f>'Vehicle Rental'!L34</f>
        <v>24932498.899999999</v>
      </c>
      <c r="E66" s="403"/>
      <c r="F66" s="413" t="s">
        <v>58</v>
      </c>
      <c r="G66" s="403"/>
      <c r="H66" s="403"/>
    </row>
    <row r="67" spans="1:8" s="403" customFormat="1" thickBot="1">
      <c r="A67" s="403" t="s">
        <v>58</v>
      </c>
      <c r="D67" s="416">
        <f>SUM(D63:D66)</f>
        <v>84899847.659999996</v>
      </c>
    </row>
    <row r="68" spans="1:8" s="403" customFormat="1" thickTop="1">
      <c r="D68" s="413" t="e">
        <f>SUM(D58:H58)-D67</f>
        <v>#REF!</v>
      </c>
    </row>
    <row r="69" spans="1:8" s="403" customFormat="1" ht="15"/>
    <row r="70" spans="1:8" s="403" customFormat="1" ht="15"/>
    <row r="71" spans="1:8" s="403" customFormat="1" ht="15"/>
    <row r="72" spans="1:8" s="403" customFormat="1" ht="15"/>
    <row r="73" spans="1:8" s="403" customFormat="1" ht="15"/>
    <row r="74" spans="1:8" s="403" customFormat="1" ht="15"/>
    <row r="75" spans="1:8" s="403" customFormat="1" ht="15"/>
    <row r="76" spans="1:8" s="403" customFormat="1" ht="15"/>
    <row r="77" spans="1:8" s="403" customFormat="1" ht="15"/>
    <row r="78" spans="1:8" s="403" customFormat="1" ht="15"/>
    <row r="79" spans="1:8" s="403" customFormat="1" ht="15"/>
    <row r="80" spans="1:8" s="403" customFormat="1" ht="15"/>
    <row r="81" s="403" customFormat="1" ht="15"/>
    <row r="82" s="403" customFormat="1" ht="15"/>
    <row r="83" s="403" customFormat="1" ht="15"/>
    <row r="84" s="403" customFormat="1" ht="15"/>
    <row r="85" s="403" customFormat="1" ht="15"/>
    <row r="86" s="403" customFormat="1" ht="15"/>
    <row r="87" s="403" customFormat="1" ht="15"/>
    <row r="88" s="403" customFormat="1" ht="15"/>
    <row r="89" s="403" customFormat="1" ht="15"/>
    <row r="90" s="403" customFormat="1" ht="15"/>
    <row r="91" s="403" customFormat="1" ht="15"/>
    <row r="92" s="403" customFormat="1" ht="15"/>
    <row r="93" s="403" customFormat="1" ht="15"/>
    <row r="94" s="403" customFormat="1" ht="15"/>
    <row r="95" s="403" customFormat="1" ht="15"/>
    <row r="96" s="403" customFormat="1" ht="15"/>
    <row r="97" s="403" customFormat="1" ht="15"/>
    <row r="98" s="403" customFormat="1" ht="15"/>
    <row r="99" s="403" customFormat="1" ht="15"/>
    <row r="100" s="403" customFormat="1" ht="15"/>
    <row r="101" s="403" customFormat="1" ht="15"/>
    <row r="102" s="403" customFormat="1" ht="15"/>
    <row r="103" s="403" customFormat="1" ht="15"/>
    <row r="104" s="403" customFormat="1" ht="15"/>
    <row r="105" s="403" customFormat="1" ht="15"/>
    <row r="106" s="403" customFormat="1" ht="15"/>
    <row r="107" s="403" customFormat="1" ht="15"/>
    <row r="108" s="403" customFormat="1" ht="15"/>
    <row r="109" s="403" customFormat="1" ht="15"/>
    <row r="110" s="403" customFormat="1" ht="15"/>
    <row r="111" s="403" customFormat="1" ht="15"/>
    <row r="112" s="403" customFormat="1" ht="15"/>
    <row r="113" s="403" customFormat="1" ht="15"/>
    <row r="114" s="403" customFormat="1" ht="15"/>
    <row r="115" s="403" customFormat="1" ht="15"/>
    <row r="116" s="403" customFormat="1" ht="15"/>
    <row r="117" s="403" customFormat="1" ht="15"/>
    <row r="118" s="403" customFormat="1" ht="15"/>
    <row r="119" s="403" customFormat="1" ht="15"/>
    <row r="120" s="403" customFormat="1" ht="15"/>
    <row r="121" s="403" customFormat="1" ht="15"/>
    <row r="122" s="403" customFormat="1" ht="15"/>
    <row r="123" s="403" customFormat="1" ht="15"/>
    <row r="124" s="403" customFormat="1" ht="15"/>
    <row r="125" s="403" customFormat="1" ht="15"/>
    <row r="126" s="403" customFormat="1" ht="15"/>
    <row r="127" s="403" customFormat="1" ht="15"/>
    <row r="128" s="403" customFormat="1" ht="15"/>
    <row r="129" s="403" customFormat="1" ht="15"/>
    <row r="130" s="403" customFormat="1" ht="15"/>
    <row r="131" s="403" customFormat="1" ht="15"/>
    <row r="132" s="403" customFormat="1" ht="15"/>
    <row r="133" s="403" customFormat="1" ht="15"/>
    <row r="134" s="403" customFormat="1" ht="15"/>
    <row r="135" s="403" customFormat="1" ht="15"/>
    <row r="136" s="403" customFormat="1" ht="15"/>
    <row r="137" s="403" customFormat="1" ht="15"/>
    <row r="138" s="403" customFormat="1" ht="15"/>
    <row r="139" s="403" customFormat="1" ht="15"/>
    <row r="140" s="403" customFormat="1" ht="15"/>
    <row r="141" s="403" customFormat="1" ht="15"/>
    <row r="142" s="403" customFormat="1" ht="15"/>
    <row r="143" s="403" customFormat="1" ht="15"/>
    <row r="144" s="403" customFormat="1" ht="15"/>
    <row r="145" s="403" customFormat="1" ht="15"/>
    <row r="146" s="403" customFormat="1" ht="15"/>
    <row r="147" s="403" customFormat="1" ht="15"/>
    <row r="148" s="403" customFormat="1" ht="15"/>
    <row r="149" s="403" customFormat="1" ht="15"/>
    <row r="150" s="403" customFormat="1" ht="15"/>
    <row r="151" s="403" customFormat="1" ht="15"/>
    <row r="152" s="403" customFormat="1" ht="15"/>
    <row r="153" s="403" customFormat="1" ht="15"/>
    <row r="154" s="403" customFormat="1" ht="15"/>
    <row r="155" s="403" customFormat="1" ht="15"/>
    <row r="156" s="403" customFormat="1" ht="15"/>
    <row r="157" s="403" customFormat="1" ht="15"/>
    <row r="158" s="403" customFormat="1" ht="15"/>
    <row r="159" s="403" customFormat="1" ht="15"/>
    <row r="160" s="403" customFormat="1" ht="15"/>
    <row r="161" s="403" customFormat="1" ht="15"/>
    <row r="162" s="403" customFormat="1" ht="15"/>
    <row r="163" s="403" customFormat="1" ht="15"/>
    <row r="164" s="403" customFormat="1" ht="15"/>
    <row r="165" s="403" customFormat="1" ht="15"/>
    <row r="166" s="403" customFormat="1" ht="15"/>
    <row r="167" s="403" customFormat="1" ht="15"/>
    <row r="168" s="403" customFormat="1" ht="15"/>
    <row r="169" s="403" customFormat="1" ht="15"/>
    <row r="170" s="403" customFormat="1" ht="15"/>
    <row r="171" s="403" customFormat="1" ht="15"/>
    <row r="172" s="403" customFormat="1" ht="15"/>
    <row r="173" s="403" customFormat="1" ht="15"/>
    <row r="174" s="403" customFormat="1" ht="15"/>
    <row r="175" s="403" customFormat="1" ht="15"/>
    <row r="176" s="403" customFormat="1" ht="15"/>
    <row r="177" s="403" customFormat="1" ht="15"/>
    <row r="178" s="403" customFormat="1" ht="15"/>
    <row r="179" s="403" customFormat="1" ht="15"/>
    <row r="180" s="403" customFormat="1" ht="15"/>
    <row r="181" s="403" customFormat="1" ht="15"/>
    <row r="182" s="403" customFormat="1" ht="15"/>
    <row r="183" s="403" customFormat="1" ht="15"/>
    <row r="184" s="403" customFormat="1" ht="15"/>
    <row r="185" s="403" customFormat="1" ht="15"/>
    <row r="186" s="403" customFormat="1" ht="15"/>
    <row r="187" s="403" customFormat="1" ht="15"/>
    <row r="188" s="403" customFormat="1" ht="15"/>
    <row r="189" s="403" customFormat="1" ht="15"/>
    <row r="190" s="403" customFormat="1" ht="15"/>
    <row r="191" s="403" customFormat="1" ht="15"/>
    <row r="192" s="403" customFormat="1" ht="15"/>
    <row r="193" s="403" customFormat="1" ht="15"/>
    <row r="194" s="403" customFormat="1" ht="15"/>
    <row r="195" s="403" customFormat="1" ht="15"/>
    <row r="196" s="403" customFormat="1" ht="15"/>
    <row r="197" s="403" customFormat="1" ht="15"/>
    <row r="198" s="403" customFormat="1" ht="15"/>
    <row r="199" s="403" customFormat="1" ht="15"/>
    <row r="200" s="403" customFormat="1" ht="15"/>
    <row r="201" s="403" customFormat="1" ht="15"/>
    <row r="202" s="403" customFormat="1" ht="15"/>
    <row r="203" s="403" customFormat="1" ht="15"/>
    <row r="204" s="403" customFormat="1" ht="15"/>
    <row r="205" s="403" customFormat="1" ht="15"/>
    <row r="206" s="403" customFormat="1" ht="15"/>
    <row r="207" s="403" customFormat="1" ht="15"/>
    <row r="208" s="403" customFormat="1" ht="15"/>
    <row r="209" s="403" customFormat="1" ht="15"/>
    <row r="210" s="403" customFormat="1" ht="15"/>
    <row r="211" s="403" customFormat="1" ht="15"/>
    <row r="212" s="403" customFormat="1" ht="15"/>
    <row r="213" s="403" customFormat="1" ht="15"/>
    <row r="214" s="403" customFormat="1" ht="15"/>
    <row r="215" s="403" customFormat="1" ht="15"/>
    <row r="216" s="403" customFormat="1" ht="15"/>
    <row r="217" s="403" customFormat="1" ht="15"/>
    <row r="218" s="403" customFormat="1" ht="15"/>
    <row r="219" s="403" customFormat="1" ht="15"/>
    <row r="220" s="403" customFormat="1" ht="15"/>
    <row r="221" s="403" customFormat="1" ht="15"/>
    <row r="222" s="403" customFormat="1" ht="15"/>
    <row r="223" s="403" customFormat="1" ht="15"/>
    <row r="224" s="403" customFormat="1" ht="15"/>
    <row r="225" s="403" customFormat="1" ht="15"/>
    <row r="226" s="403" customFormat="1" ht="15"/>
    <row r="227" s="403" customFormat="1" ht="15"/>
    <row r="228" s="403" customFormat="1" ht="15"/>
    <row r="229" s="403" customFormat="1" ht="15"/>
    <row r="230" s="403" customFormat="1" ht="15"/>
    <row r="231" s="403" customFormat="1" ht="15"/>
    <row r="232" s="403" customFormat="1" ht="15"/>
    <row r="233" s="403" customFormat="1" ht="15"/>
    <row r="234" s="403" customFormat="1" ht="15"/>
    <row r="235" s="403" customFormat="1" ht="15"/>
    <row r="236" s="403" customFormat="1" ht="15"/>
    <row r="237" s="403" customFormat="1" ht="15"/>
    <row r="238" s="403" customFormat="1" ht="15"/>
    <row r="239" s="403" customFormat="1" ht="15"/>
    <row r="240" s="403" customFormat="1" ht="15"/>
    <row r="241" s="403" customFormat="1" ht="15"/>
    <row r="242" s="403" customFormat="1" ht="15"/>
    <row r="243" s="403" customFormat="1" ht="15"/>
    <row r="244" s="403" customFormat="1" ht="15"/>
    <row r="245" s="403" customFormat="1" ht="15"/>
    <row r="246" s="403" customFormat="1" ht="15"/>
    <row r="247" s="403" customFormat="1" ht="15"/>
    <row r="248" s="403" customFormat="1" ht="15"/>
    <row r="249" s="403" customFormat="1" ht="15"/>
    <row r="250" s="403" customFormat="1" ht="15"/>
    <row r="251" s="403" customFormat="1" ht="15"/>
    <row r="252" s="403" customFormat="1" ht="15"/>
    <row r="253" s="403" customFormat="1" ht="15"/>
    <row r="254" s="403" customFormat="1" ht="15"/>
    <row r="255" s="403" customFormat="1" ht="15"/>
    <row r="256" s="403" customFormat="1" ht="15"/>
    <row r="257" s="403" customFormat="1" ht="15"/>
    <row r="258" s="403" customFormat="1" ht="15"/>
    <row r="259" s="403" customFormat="1" ht="15"/>
    <row r="260" s="403" customFormat="1" ht="15"/>
    <row r="261" s="403" customFormat="1" ht="15"/>
    <row r="262" s="403" customFormat="1" ht="15"/>
    <row r="263" s="403" customFormat="1" ht="15"/>
    <row r="264" s="403" customFormat="1" ht="15"/>
    <row r="265" s="403" customFormat="1" ht="15"/>
    <row r="266" s="403" customFormat="1" ht="15"/>
    <row r="267" s="403" customFormat="1" ht="15"/>
    <row r="268" s="403" customFormat="1" ht="15"/>
    <row r="269" s="403" customFormat="1" ht="15"/>
    <row r="270" s="403" customFormat="1" ht="15"/>
    <row r="271" s="403" customFormat="1" ht="15"/>
    <row r="272" s="403" customFormat="1" ht="15"/>
    <row r="273" s="403" customFormat="1" ht="15"/>
    <row r="274" s="403" customFormat="1" ht="15"/>
    <row r="275" s="403" customFormat="1" ht="15"/>
    <row r="276" s="403" customFormat="1" ht="15"/>
    <row r="277" s="403" customFormat="1" ht="15"/>
    <row r="278" s="403" customFormat="1" ht="15"/>
    <row r="279" s="403" customFormat="1" ht="15"/>
    <row r="280" s="403" customFormat="1" ht="15"/>
    <row r="281" s="403" customFormat="1" ht="15"/>
    <row r="282" s="403" customFormat="1" ht="15"/>
    <row r="283" s="403" customFormat="1" ht="15"/>
    <row r="284" s="403" customFormat="1" ht="15"/>
    <row r="285" s="403" customFormat="1" ht="15"/>
    <row r="286" s="403" customFormat="1" ht="15"/>
    <row r="287" s="403" customFormat="1" ht="15"/>
    <row r="288" s="403" customFormat="1" ht="15"/>
    <row r="289" s="403" customFormat="1" ht="15"/>
    <row r="290" s="403" customFormat="1" ht="15"/>
    <row r="291" s="403" customFormat="1" ht="15"/>
    <row r="292" s="403" customFormat="1" ht="15"/>
    <row r="293" s="403" customFormat="1" ht="15"/>
    <row r="294" s="403" customFormat="1" ht="15"/>
    <row r="295" s="403" customFormat="1" ht="15"/>
    <row r="296" s="403" customFormat="1" ht="15"/>
    <row r="297" s="403" customFormat="1" ht="15"/>
    <row r="298" s="403" customFormat="1" ht="15"/>
    <row r="299" s="403" customFormat="1" ht="15"/>
    <row r="300" s="403" customFormat="1" ht="15"/>
    <row r="301" s="403" customFormat="1" ht="15"/>
    <row r="302" s="403" customFormat="1" ht="15"/>
    <row r="303" s="403" customFormat="1" ht="15"/>
    <row r="304" s="403" customFormat="1" ht="15"/>
    <row r="305" s="403" customFormat="1" ht="15"/>
    <row r="306" s="403" customFormat="1" ht="15"/>
    <row r="307" s="403" customFormat="1" ht="15"/>
    <row r="308" s="403" customFormat="1" ht="15"/>
    <row r="309" s="403" customFormat="1" ht="15"/>
    <row r="310" s="403" customFormat="1" ht="15"/>
    <row r="311" s="403" customFormat="1" ht="15"/>
    <row r="312" s="403" customFormat="1" ht="15"/>
    <row r="313" s="403" customFormat="1" ht="15"/>
    <row r="314" s="403" customFormat="1" ht="15"/>
    <row r="315" s="403" customFormat="1" ht="15"/>
    <row r="316" s="403" customFormat="1" ht="15"/>
    <row r="317" s="403" customFormat="1" ht="15"/>
    <row r="318" s="403" customFormat="1" ht="15"/>
    <row r="319" s="403" customFormat="1" ht="15"/>
    <row r="320" s="403" customFormat="1" ht="15"/>
    <row r="321" s="403" customFormat="1" ht="15"/>
    <row r="322" s="403" customFormat="1" ht="15"/>
    <row r="323" s="403" customFormat="1" ht="15"/>
    <row r="324" s="403" customFormat="1" ht="15"/>
    <row r="325" s="403" customFormat="1" ht="15"/>
    <row r="326" s="403" customFormat="1" ht="15"/>
    <row r="327" s="403" customFormat="1" ht="15"/>
    <row r="328" s="403" customFormat="1" ht="15"/>
    <row r="329" s="403" customFormat="1" ht="15"/>
    <row r="330" s="403" customFormat="1" ht="15"/>
    <row r="331" s="403" customFormat="1" ht="15"/>
    <row r="332" s="403" customFormat="1" ht="15"/>
    <row r="333" s="403" customFormat="1" ht="15"/>
    <row r="334" s="403" customFormat="1" ht="15"/>
    <row r="335" s="403" customFormat="1" ht="15"/>
    <row r="336" s="403" customFormat="1" ht="15"/>
    <row r="337" s="403" customFormat="1" ht="15"/>
    <row r="338" s="403" customFormat="1" ht="15"/>
    <row r="339" s="403" customFormat="1" ht="15"/>
    <row r="340" s="403" customFormat="1" ht="15"/>
    <row r="341" s="403" customFormat="1" ht="15"/>
    <row r="342" s="403" customFormat="1" ht="15"/>
    <row r="343" s="403" customFormat="1" ht="15"/>
    <row r="344" s="403" customFormat="1" ht="15"/>
    <row r="345" s="403" customFormat="1" ht="15"/>
    <row r="346" s="403" customFormat="1" ht="15"/>
    <row r="347" s="403" customFormat="1" ht="15"/>
    <row r="348" s="403" customFormat="1" ht="15"/>
    <row r="349" s="403" customFormat="1" ht="15"/>
    <row r="350" s="403" customFormat="1" ht="15"/>
    <row r="351" s="403" customFormat="1" ht="15"/>
    <row r="352" s="403" customFormat="1" ht="15"/>
    <row r="353" s="403" customFormat="1" ht="15"/>
    <row r="354" s="403" customFormat="1" ht="15"/>
  </sheetData>
  <mergeCells count="5">
    <mergeCell ref="A1:H1"/>
    <mergeCell ref="A2:H2"/>
    <mergeCell ref="D5:H5"/>
    <mergeCell ref="D7:D8"/>
    <mergeCell ref="B3:H3"/>
  </mergeCells>
  <pageMargins left="0.7" right="0.7" top="0.75" bottom="0.75" header="0.3" footer="0.3"/>
  <pageSetup scale="94"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Y293"/>
  <sheetViews>
    <sheetView showGridLines="0" topLeftCell="A2" zoomScale="75" zoomScaleNormal="75" workbookViewId="0">
      <pane xSplit="3" ySplit="7" topLeftCell="D80" activePane="bottomRight" state="frozen"/>
      <selection activeCell="A2" sqref="A2:AN2"/>
      <selection pane="topRight" activeCell="A2" sqref="A2:AN2"/>
      <selection pane="bottomLeft" activeCell="A2" sqref="A2:AN2"/>
      <selection pane="bottomRight" activeCell="A2" sqref="A2:AN2"/>
    </sheetView>
  </sheetViews>
  <sheetFormatPr defaultRowHeight="12.75"/>
  <cols>
    <col min="1" max="1" width="36.85546875" style="365" customWidth="1"/>
    <col min="2" max="2" width="9" style="365" customWidth="1"/>
    <col min="3" max="3" width="2.28515625" style="418" bestFit="1" customWidth="1"/>
    <col min="4" max="4" width="16.85546875" style="377" hidden="1" customWidth="1"/>
    <col min="5" max="5" width="16.7109375" style="377" hidden="1" customWidth="1"/>
    <col min="6" max="8" width="17.85546875" style="377" hidden="1" customWidth="1"/>
    <col min="9" max="9" width="15.28515625" style="377" hidden="1" customWidth="1"/>
    <col min="10" max="10" width="17.28515625" style="377" hidden="1" customWidth="1"/>
    <col min="11" max="14" width="15.28515625" style="377" hidden="1" customWidth="1"/>
    <col min="15" max="15" width="19.140625" style="377" bestFit="1" customWidth="1"/>
    <col min="16" max="16" width="17.5703125" style="377" customWidth="1"/>
    <col min="17" max="17" width="21.7109375" style="377" customWidth="1"/>
    <col min="18" max="18" width="23.85546875" style="912" customWidth="1"/>
    <col min="19" max="19" width="19.85546875" style="912" customWidth="1"/>
    <col min="20" max="20" width="17" style="912" customWidth="1"/>
    <col min="21" max="21" width="13.85546875" style="912" customWidth="1"/>
    <col min="22" max="22" width="20.42578125" style="912" customWidth="1"/>
    <col min="23" max="23" width="17.5703125" style="912" customWidth="1"/>
    <col min="24" max="24" width="18.42578125" style="912" customWidth="1"/>
    <col min="25" max="25" width="16" style="912" hidden="1" customWidth="1"/>
    <col min="26" max="26" width="20.7109375" style="912" hidden="1" customWidth="1"/>
    <col min="27" max="27" width="19.42578125" style="912" hidden="1" customWidth="1"/>
    <col min="28" max="28" width="19.5703125" style="1222" hidden="1" customWidth="1"/>
    <col min="29" max="29" width="16" style="363" hidden="1" customWidth="1"/>
    <col min="30" max="30" width="20.28515625" style="912" hidden="1" customWidth="1"/>
    <col min="31" max="31" width="6" style="363" hidden="1" customWidth="1"/>
    <col min="32" max="32" width="22" style="912" hidden="1" customWidth="1"/>
    <col min="33" max="33" width="6" style="363" hidden="1" customWidth="1"/>
    <col min="34" max="34" width="19.42578125" style="912" hidden="1" customWidth="1"/>
    <col min="35" max="35" width="6" style="363" hidden="1" customWidth="1"/>
    <col min="36" max="36" width="19.42578125" style="912" hidden="1" customWidth="1"/>
    <col min="37" max="37" width="9.140625" style="363" hidden="1" customWidth="1"/>
    <col min="38" max="38" width="19.42578125" style="912" hidden="1" customWidth="1"/>
    <col min="39" max="39" width="6" style="363" hidden="1" customWidth="1"/>
    <col min="40" max="40" width="23.42578125" style="912" hidden="1" customWidth="1"/>
    <col min="41" max="51" width="9.140625" style="363" customWidth="1"/>
    <col min="52" max="246" width="8.85546875" style="365"/>
    <col min="247" max="247" width="44.5703125" style="365" customWidth="1"/>
    <col min="248" max="248" width="14.28515625" style="365" bestFit="1" customWidth="1"/>
    <col min="249" max="249" width="1.7109375" style="365" customWidth="1"/>
    <col min="250" max="250" width="14.85546875" style="365" customWidth="1"/>
    <col min="251" max="251" width="0" style="365" hidden="1" customWidth="1"/>
    <col min="252" max="252" width="17.42578125" style="365" customWidth="1"/>
    <col min="253" max="253" width="0" style="365" hidden="1" customWidth="1"/>
    <col min="254" max="254" width="12.85546875" style="365" customWidth="1"/>
    <col min="255" max="255" width="0" style="365" hidden="1" customWidth="1"/>
    <col min="256" max="256" width="14.42578125" style="365" customWidth="1"/>
    <col min="257" max="257" width="0" style="365" hidden="1" customWidth="1"/>
    <col min="258" max="258" width="17.42578125" style="365" customWidth="1"/>
    <col min="259" max="259" width="0" style="365" hidden="1" customWidth="1"/>
    <col min="260" max="260" width="14" style="365" customWidth="1"/>
    <col min="261" max="261" width="14.28515625" style="365" bestFit="1" customWidth="1"/>
    <col min="262" max="262" width="0" style="365" hidden="1" customWidth="1"/>
    <col min="263" max="263" width="15.5703125" style="365" customWidth="1"/>
    <col min="264" max="264" width="44.5703125" style="365" customWidth="1"/>
    <col min="265" max="265" width="14.28515625" style="365" bestFit="1" customWidth="1"/>
    <col min="266" max="266" width="0" style="365" hidden="1" customWidth="1"/>
    <col min="267" max="267" width="18.140625" style="365" customWidth="1"/>
    <col min="268" max="268" width="0" style="365" hidden="1" customWidth="1"/>
    <col min="269" max="269" width="14" style="365" customWidth="1"/>
    <col min="270" max="270" width="0" style="365" hidden="1" customWidth="1"/>
    <col min="271" max="271" width="20.85546875" style="365" customWidth="1"/>
    <col min="272" max="272" width="0" style="365" hidden="1" customWidth="1"/>
    <col min="273" max="273" width="13.28515625" style="365" customWidth="1"/>
    <col min="274" max="274" width="0" style="365" hidden="1" customWidth="1"/>
    <col min="275" max="275" width="15" style="365" customWidth="1"/>
    <col min="276" max="276" width="0" style="365" hidden="1" customWidth="1"/>
    <col min="277" max="277" width="13.28515625" style="365" customWidth="1"/>
    <col min="278" max="278" width="0" style="365" hidden="1" customWidth="1"/>
    <col min="279" max="279" width="20.140625" style="365" customWidth="1"/>
    <col min="280" max="280" width="14.42578125" style="365" bestFit="1" customWidth="1"/>
    <col min="281" max="281" width="14" style="365" bestFit="1" customWidth="1"/>
    <col min="282" max="282" width="12.28515625" style="365" bestFit="1" customWidth="1"/>
    <col min="283" max="307" width="9.140625" style="365" customWidth="1"/>
    <col min="308" max="502" width="8.85546875" style="365"/>
    <col min="503" max="503" width="44.5703125" style="365" customWidth="1"/>
    <col min="504" max="504" width="14.28515625" style="365" bestFit="1" customWidth="1"/>
    <col min="505" max="505" width="1.7109375" style="365" customWidth="1"/>
    <col min="506" max="506" width="14.85546875" style="365" customWidth="1"/>
    <col min="507" max="507" width="0" style="365" hidden="1" customWidth="1"/>
    <col min="508" max="508" width="17.42578125" style="365" customWidth="1"/>
    <col min="509" max="509" width="0" style="365" hidden="1" customWidth="1"/>
    <col min="510" max="510" width="12.85546875" style="365" customWidth="1"/>
    <col min="511" max="511" width="0" style="365" hidden="1" customWidth="1"/>
    <col min="512" max="512" width="14.42578125" style="365" customWidth="1"/>
    <col min="513" max="513" width="0" style="365" hidden="1" customWidth="1"/>
    <col min="514" max="514" width="17.42578125" style="365" customWidth="1"/>
    <col min="515" max="515" width="0" style="365" hidden="1" customWidth="1"/>
    <col min="516" max="516" width="14" style="365" customWidth="1"/>
    <col min="517" max="517" width="14.28515625" style="365" bestFit="1" customWidth="1"/>
    <col min="518" max="518" width="0" style="365" hidden="1" customWidth="1"/>
    <col min="519" max="519" width="15.5703125" style="365" customWidth="1"/>
    <col min="520" max="520" width="44.5703125" style="365" customWidth="1"/>
    <col min="521" max="521" width="14.28515625" style="365" bestFit="1" customWidth="1"/>
    <col min="522" max="522" width="0" style="365" hidden="1" customWidth="1"/>
    <col min="523" max="523" width="18.140625" style="365" customWidth="1"/>
    <col min="524" max="524" width="0" style="365" hidden="1" customWidth="1"/>
    <col min="525" max="525" width="14" style="365" customWidth="1"/>
    <col min="526" max="526" width="0" style="365" hidden="1" customWidth="1"/>
    <col min="527" max="527" width="20.85546875" style="365" customWidth="1"/>
    <col min="528" max="528" width="0" style="365" hidden="1" customWidth="1"/>
    <col min="529" max="529" width="13.28515625" style="365" customWidth="1"/>
    <col min="530" max="530" width="0" style="365" hidden="1" customWidth="1"/>
    <col min="531" max="531" width="15" style="365" customWidth="1"/>
    <col min="532" max="532" width="0" style="365" hidden="1" customWidth="1"/>
    <col min="533" max="533" width="13.28515625" style="365" customWidth="1"/>
    <col min="534" max="534" width="0" style="365" hidden="1" customWidth="1"/>
    <col min="535" max="535" width="20.140625" style="365" customWidth="1"/>
    <col min="536" max="536" width="14.42578125" style="365" bestFit="1" customWidth="1"/>
    <col min="537" max="537" width="14" style="365" bestFit="1" customWidth="1"/>
    <col min="538" max="538" width="12.28515625" style="365" bestFit="1" customWidth="1"/>
    <col min="539" max="563" width="9.140625" style="365" customWidth="1"/>
    <col min="564" max="758" width="8.85546875" style="365"/>
    <col min="759" max="759" width="44.5703125" style="365" customWidth="1"/>
    <col min="760" max="760" width="14.28515625" style="365" bestFit="1" customWidth="1"/>
    <col min="761" max="761" width="1.7109375" style="365" customWidth="1"/>
    <col min="762" max="762" width="14.85546875" style="365" customWidth="1"/>
    <col min="763" max="763" width="0" style="365" hidden="1" customWidth="1"/>
    <col min="764" max="764" width="17.42578125" style="365" customWidth="1"/>
    <col min="765" max="765" width="0" style="365" hidden="1" customWidth="1"/>
    <col min="766" max="766" width="12.85546875" style="365" customWidth="1"/>
    <col min="767" max="767" width="0" style="365" hidden="1" customWidth="1"/>
    <col min="768" max="768" width="14.42578125" style="365" customWidth="1"/>
    <col min="769" max="769" width="0" style="365" hidden="1" customWidth="1"/>
    <col min="770" max="770" width="17.42578125" style="365" customWidth="1"/>
    <col min="771" max="771" width="0" style="365" hidden="1" customWidth="1"/>
    <col min="772" max="772" width="14" style="365" customWidth="1"/>
    <col min="773" max="773" width="14.28515625" style="365" bestFit="1" customWidth="1"/>
    <col min="774" max="774" width="0" style="365" hidden="1" customWidth="1"/>
    <col min="775" max="775" width="15.5703125" style="365" customWidth="1"/>
    <col min="776" max="776" width="44.5703125" style="365" customWidth="1"/>
    <col min="777" max="777" width="14.28515625" style="365" bestFit="1" customWidth="1"/>
    <col min="778" max="778" width="0" style="365" hidden="1" customWidth="1"/>
    <col min="779" max="779" width="18.140625" style="365" customWidth="1"/>
    <col min="780" max="780" width="0" style="365" hidden="1" customWidth="1"/>
    <col min="781" max="781" width="14" style="365" customWidth="1"/>
    <col min="782" max="782" width="0" style="365" hidden="1" customWidth="1"/>
    <col min="783" max="783" width="20.85546875" style="365" customWidth="1"/>
    <col min="784" max="784" width="0" style="365" hidden="1" customWidth="1"/>
    <col min="785" max="785" width="13.28515625" style="365" customWidth="1"/>
    <col min="786" max="786" width="0" style="365" hidden="1" customWidth="1"/>
    <col min="787" max="787" width="15" style="365" customWidth="1"/>
    <col min="788" max="788" width="0" style="365" hidden="1" customWidth="1"/>
    <col min="789" max="789" width="13.28515625" style="365" customWidth="1"/>
    <col min="790" max="790" width="0" style="365" hidden="1" customWidth="1"/>
    <col min="791" max="791" width="20.140625" style="365" customWidth="1"/>
    <col min="792" max="792" width="14.42578125" style="365" bestFit="1" customWidth="1"/>
    <col min="793" max="793" width="14" style="365" bestFit="1" customWidth="1"/>
    <col min="794" max="794" width="12.28515625" style="365" bestFit="1" customWidth="1"/>
    <col min="795" max="819" width="9.140625" style="365" customWidth="1"/>
    <col min="820" max="1014" width="8.85546875" style="365"/>
    <col min="1015" max="1015" width="44.5703125" style="365" customWidth="1"/>
    <col min="1016" max="1016" width="14.28515625" style="365" bestFit="1" customWidth="1"/>
    <col min="1017" max="1017" width="1.7109375" style="365" customWidth="1"/>
    <col min="1018" max="1018" width="14.85546875" style="365" customWidth="1"/>
    <col min="1019" max="1019" width="0" style="365" hidden="1" customWidth="1"/>
    <col min="1020" max="1020" width="17.42578125" style="365" customWidth="1"/>
    <col min="1021" max="1021" width="0" style="365" hidden="1" customWidth="1"/>
    <col min="1022" max="1022" width="12.85546875" style="365" customWidth="1"/>
    <col min="1023" max="1023" width="0" style="365" hidden="1" customWidth="1"/>
    <col min="1024" max="1024" width="14.42578125" style="365" customWidth="1"/>
    <col min="1025" max="1025" width="0" style="365" hidden="1" customWidth="1"/>
    <col min="1026" max="1026" width="17.42578125" style="365" customWidth="1"/>
    <col min="1027" max="1027" width="0" style="365" hidden="1" customWidth="1"/>
    <col min="1028" max="1028" width="14" style="365" customWidth="1"/>
    <col min="1029" max="1029" width="14.28515625" style="365" bestFit="1" customWidth="1"/>
    <col min="1030" max="1030" width="0" style="365" hidden="1" customWidth="1"/>
    <col min="1031" max="1031" width="15.5703125" style="365" customWidth="1"/>
    <col min="1032" max="1032" width="44.5703125" style="365" customWidth="1"/>
    <col min="1033" max="1033" width="14.28515625" style="365" bestFit="1" customWidth="1"/>
    <col min="1034" max="1034" width="0" style="365" hidden="1" customWidth="1"/>
    <col min="1035" max="1035" width="18.140625" style="365" customWidth="1"/>
    <col min="1036" max="1036" width="0" style="365" hidden="1" customWidth="1"/>
    <col min="1037" max="1037" width="14" style="365" customWidth="1"/>
    <col min="1038" max="1038" width="0" style="365" hidden="1" customWidth="1"/>
    <col min="1039" max="1039" width="20.85546875" style="365" customWidth="1"/>
    <col min="1040" max="1040" width="0" style="365" hidden="1" customWidth="1"/>
    <col min="1041" max="1041" width="13.28515625" style="365" customWidth="1"/>
    <col min="1042" max="1042" width="0" style="365" hidden="1" customWidth="1"/>
    <col min="1043" max="1043" width="15" style="365" customWidth="1"/>
    <col min="1044" max="1044" width="0" style="365" hidden="1" customWidth="1"/>
    <col min="1045" max="1045" width="13.28515625" style="365" customWidth="1"/>
    <col min="1046" max="1046" width="0" style="365" hidden="1" customWidth="1"/>
    <col min="1047" max="1047" width="20.140625" style="365" customWidth="1"/>
    <col min="1048" max="1048" width="14.42578125" style="365" bestFit="1" customWidth="1"/>
    <col min="1049" max="1049" width="14" style="365" bestFit="1" customWidth="1"/>
    <col min="1050" max="1050" width="12.28515625" style="365" bestFit="1" customWidth="1"/>
    <col min="1051" max="1075" width="9.140625" style="365" customWidth="1"/>
    <col min="1076" max="1270" width="8.85546875" style="365"/>
    <col min="1271" max="1271" width="44.5703125" style="365" customWidth="1"/>
    <col min="1272" max="1272" width="14.28515625" style="365" bestFit="1" customWidth="1"/>
    <col min="1273" max="1273" width="1.7109375" style="365" customWidth="1"/>
    <col min="1274" max="1274" width="14.85546875" style="365" customWidth="1"/>
    <col min="1275" max="1275" width="0" style="365" hidden="1" customWidth="1"/>
    <col min="1276" max="1276" width="17.42578125" style="365" customWidth="1"/>
    <col min="1277" max="1277" width="0" style="365" hidden="1" customWidth="1"/>
    <col min="1278" max="1278" width="12.85546875" style="365" customWidth="1"/>
    <col min="1279" max="1279" width="0" style="365" hidden="1" customWidth="1"/>
    <col min="1280" max="1280" width="14.42578125" style="365" customWidth="1"/>
    <col min="1281" max="1281" width="0" style="365" hidden="1" customWidth="1"/>
    <col min="1282" max="1282" width="17.42578125" style="365" customWidth="1"/>
    <col min="1283" max="1283" width="0" style="365" hidden="1" customWidth="1"/>
    <col min="1284" max="1284" width="14" style="365" customWidth="1"/>
    <col min="1285" max="1285" width="14.28515625" style="365" bestFit="1" customWidth="1"/>
    <col min="1286" max="1286" width="0" style="365" hidden="1" customWidth="1"/>
    <col min="1287" max="1287" width="15.5703125" style="365" customWidth="1"/>
    <col min="1288" max="1288" width="44.5703125" style="365" customWidth="1"/>
    <col min="1289" max="1289" width="14.28515625" style="365" bestFit="1" customWidth="1"/>
    <col min="1290" max="1290" width="0" style="365" hidden="1" customWidth="1"/>
    <col min="1291" max="1291" width="18.140625" style="365" customWidth="1"/>
    <col min="1292" max="1292" width="0" style="365" hidden="1" customWidth="1"/>
    <col min="1293" max="1293" width="14" style="365" customWidth="1"/>
    <col min="1294" max="1294" width="0" style="365" hidden="1" customWidth="1"/>
    <col min="1295" max="1295" width="20.85546875" style="365" customWidth="1"/>
    <col min="1296" max="1296" width="0" style="365" hidden="1" customWidth="1"/>
    <col min="1297" max="1297" width="13.28515625" style="365" customWidth="1"/>
    <col min="1298" max="1298" width="0" style="365" hidden="1" customWidth="1"/>
    <col min="1299" max="1299" width="15" style="365" customWidth="1"/>
    <col min="1300" max="1300" width="0" style="365" hidden="1" customWidth="1"/>
    <col min="1301" max="1301" width="13.28515625" style="365" customWidth="1"/>
    <col min="1302" max="1302" width="0" style="365" hidden="1" customWidth="1"/>
    <col min="1303" max="1303" width="20.140625" style="365" customWidth="1"/>
    <col min="1304" max="1304" width="14.42578125" style="365" bestFit="1" customWidth="1"/>
    <col min="1305" max="1305" width="14" style="365" bestFit="1" customWidth="1"/>
    <col min="1306" max="1306" width="12.28515625" style="365" bestFit="1" customWidth="1"/>
    <col min="1307" max="1331" width="9.140625" style="365" customWidth="1"/>
    <col min="1332" max="1526" width="8.85546875" style="365"/>
    <col min="1527" max="1527" width="44.5703125" style="365" customWidth="1"/>
    <col min="1528" max="1528" width="14.28515625" style="365" bestFit="1" customWidth="1"/>
    <col min="1529" max="1529" width="1.7109375" style="365" customWidth="1"/>
    <col min="1530" max="1530" width="14.85546875" style="365" customWidth="1"/>
    <col min="1531" max="1531" width="0" style="365" hidden="1" customWidth="1"/>
    <col min="1532" max="1532" width="17.42578125" style="365" customWidth="1"/>
    <col min="1533" max="1533" width="0" style="365" hidden="1" customWidth="1"/>
    <col min="1534" max="1534" width="12.85546875" style="365" customWidth="1"/>
    <col min="1535" max="1535" width="0" style="365" hidden="1" customWidth="1"/>
    <col min="1536" max="1536" width="14.42578125" style="365" customWidth="1"/>
    <col min="1537" max="1537" width="0" style="365" hidden="1" customWidth="1"/>
    <col min="1538" max="1538" width="17.42578125" style="365" customWidth="1"/>
    <col min="1539" max="1539" width="0" style="365" hidden="1" customWidth="1"/>
    <col min="1540" max="1540" width="14" style="365" customWidth="1"/>
    <col min="1541" max="1541" width="14.28515625" style="365" bestFit="1" customWidth="1"/>
    <col min="1542" max="1542" width="0" style="365" hidden="1" customWidth="1"/>
    <col min="1543" max="1543" width="15.5703125" style="365" customWidth="1"/>
    <col min="1544" max="1544" width="44.5703125" style="365" customWidth="1"/>
    <col min="1545" max="1545" width="14.28515625" style="365" bestFit="1" customWidth="1"/>
    <col min="1546" max="1546" width="0" style="365" hidden="1" customWidth="1"/>
    <col min="1547" max="1547" width="18.140625" style="365" customWidth="1"/>
    <col min="1548" max="1548" width="0" style="365" hidden="1" customWidth="1"/>
    <col min="1549" max="1549" width="14" style="365" customWidth="1"/>
    <col min="1550" max="1550" width="0" style="365" hidden="1" customWidth="1"/>
    <col min="1551" max="1551" width="20.85546875" style="365" customWidth="1"/>
    <col min="1552" max="1552" width="0" style="365" hidden="1" customWidth="1"/>
    <col min="1553" max="1553" width="13.28515625" style="365" customWidth="1"/>
    <col min="1554" max="1554" width="0" style="365" hidden="1" customWidth="1"/>
    <col min="1555" max="1555" width="15" style="365" customWidth="1"/>
    <col min="1556" max="1556" width="0" style="365" hidden="1" customWidth="1"/>
    <col min="1557" max="1557" width="13.28515625" style="365" customWidth="1"/>
    <col min="1558" max="1558" width="0" style="365" hidden="1" customWidth="1"/>
    <col min="1559" max="1559" width="20.140625" style="365" customWidth="1"/>
    <col min="1560" max="1560" width="14.42578125" style="365" bestFit="1" customWidth="1"/>
    <col min="1561" max="1561" width="14" style="365" bestFit="1" customWidth="1"/>
    <col min="1562" max="1562" width="12.28515625" style="365" bestFit="1" customWidth="1"/>
    <col min="1563" max="1587" width="9.140625" style="365" customWidth="1"/>
    <col min="1588" max="1782" width="8.85546875" style="365"/>
    <col min="1783" max="1783" width="44.5703125" style="365" customWidth="1"/>
    <col min="1784" max="1784" width="14.28515625" style="365" bestFit="1" customWidth="1"/>
    <col min="1785" max="1785" width="1.7109375" style="365" customWidth="1"/>
    <col min="1786" max="1786" width="14.85546875" style="365" customWidth="1"/>
    <col min="1787" max="1787" width="0" style="365" hidden="1" customWidth="1"/>
    <col min="1788" max="1788" width="17.42578125" style="365" customWidth="1"/>
    <col min="1789" max="1789" width="0" style="365" hidden="1" customWidth="1"/>
    <col min="1790" max="1790" width="12.85546875" style="365" customWidth="1"/>
    <col min="1791" max="1791" width="0" style="365" hidden="1" customWidth="1"/>
    <col min="1792" max="1792" width="14.42578125" style="365" customWidth="1"/>
    <col min="1793" max="1793" width="0" style="365" hidden="1" customWidth="1"/>
    <col min="1794" max="1794" width="17.42578125" style="365" customWidth="1"/>
    <col min="1795" max="1795" width="0" style="365" hidden="1" customWidth="1"/>
    <col min="1796" max="1796" width="14" style="365" customWidth="1"/>
    <col min="1797" max="1797" width="14.28515625" style="365" bestFit="1" customWidth="1"/>
    <col min="1798" max="1798" width="0" style="365" hidden="1" customWidth="1"/>
    <col min="1799" max="1799" width="15.5703125" style="365" customWidth="1"/>
    <col min="1800" max="1800" width="44.5703125" style="365" customWidth="1"/>
    <col min="1801" max="1801" width="14.28515625" style="365" bestFit="1" customWidth="1"/>
    <col min="1802" max="1802" width="0" style="365" hidden="1" customWidth="1"/>
    <col min="1803" max="1803" width="18.140625" style="365" customWidth="1"/>
    <col min="1804" max="1804" width="0" style="365" hidden="1" customWidth="1"/>
    <col min="1805" max="1805" width="14" style="365" customWidth="1"/>
    <col min="1806" max="1806" width="0" style="365" hidden="1" customWidth="1"/>
    <col min="1807" max="1807" width="20.85546875" style="365" customWidth="1"/>
    <col min="1808" max="1808" width="0" style="365" hidden="1" customWidth="1"/>
    <col min="1809" max="1809" width="13.28515625" style="365" customWidth="1"/>
    <col min="1810" max="1810" width="0" style="365" hidden="1" customWidth="1"/>
    <col min="1811" max="1811" width="15" style="365" customWidth="1"/>
    <col min="1812" max="1812" width="0" style="365" hidden="1" customWidth="1"/>
    <col min="1813" max="1813" width="13.28515625" style="365" customWidth="1"/>
    <col min="1814" max="1814" width="0" style="365" hidden="1" customWidth="1"/>
    <col min="1815" max="1815" width="20.140625" style="365" customWidth="1"/>
    <col min="1816" max="1816" width="14.42578125" style="365" bestFit="1" customWidth="1"/>
    <col min="1817" max="1817" width="14" style="365" bestFit="1" customWidth="1"/>
    <col min="1818" max="1818" width="12.28515625" style="365" bestFit="1" customWidth="1"/>
    <col min="1819" max="1843" width="9.140625" style="365" customWidth="1"/>
    <col min="1844" max="2038" width="8.85546875" style="365"/>
    <col min="2039" max="2039" width="44.5703125" style="365" customWidth="1"/>
    <col min="2040" max="2040" width="14.28515625" style="365" bestFit="1" customWidth="1"/>
    <col min="2041" max="2041" width="1.7109375" style="365" customWidth="1"/>
    <col min="2042" max="2042" width="14.85546875" style="365" customWidth="1"/>
    <col min="2043" max="2043" width="0" style="365" hidden="1" customWidth="1"/>
    <col min="2044" max="2044" width="17.42578125" style="365" customWidth="1"/>
    <col min="2045" max="2045" width="0" style="365" hidden="1" customWidth="1"/>
    <col min="2046" max="2046" width="12.85546875" style="365" customWidth="1"/>
    <col min="2047" max="2047" width="0" style="365" hidden="1" customWidth="1"/>
    <col min="2048" max="2048" width="14.42578125" style="365" customWidth="1"/>
    <col min="2049" max="2049" width="0" style="365" hidden="1" customWidth="1"/>
    <col min="2050" max="2050" width="17.42578125" style="365" customWidth="1"/>
    <col min="2051" max="2051" width="0" style="365" hidden="1" customWidth="1"/>
    <col min="2052" max="2052" width="14" style="365" customWidth="1"/>
    <col min="2053" max="2053" width="14.28515625" style="365" bestFit="1" customWidth="1"/>
    <col min="2054" max="2054" width="0" style="365" hidden="1" customWidth="1"/>
    <col min="2055" max="2055" width="15.5703125" style="365" customWidth="1"/>
    <col min="2056" max="2056" width="44.5703125" style="365" customWidth="1"/>
    <col min="2057" max="2057" width="14.28515625" style="365" bestFit="1" customWidth="1"/>
    <col min="2058" max="2058" width="0" style="365" hidden="1" customWidth="1"/>
    <col min="2059" max="2059" width="18.140625" style="365" customWidth="1"/>
    <col min="2060" max="2060" width="0" style="365" hidden="1" customWidth="1"/>
    <col min="2061" max="2061" width="14" style="365" customWidth="1"/>
    <col min="2062" max="2062" width="0" style="365" hidden="1" customWidth="1"/>
    <col min="2063" max="2063" width="20.85546875" style="365" customWidth="1"/>
    <col min="2064" max="2064" width="0" style="365" hidden="1" customWidth="1"/>
    <col min="2065" max="2065" width="13.28515625" style="365" customWidth="1"/>
    <col min="2066" max="2066" width="0" style="365" hidden="1" customWidth="1"/>
    <col min="2067" max="2067" width="15" style="365" customWidth="1"/>
    <col min="2068" max="2068" width="0" style="365" hidden="1" customWidth="1"/>
    <col min="2069" max="2069" width="13.28515625" style="365" customWidth="1"/>
    <col min="2070" max="2070" width="0" style="365" hidden="1" customWidth="1"/>
    <col min="2071" max="2071" width="20.140625" style="365" customWidth="1"/>
    <col min="2072" max="2072" width="14.42578125" style="365" bestFit="1" customWidth="1"/>
    <col min="2073" max="2073" width="14" style="365" bestFit="1" customWidth="1"/>
    <col min="2074" max="2074" width="12.28515625" style="365" bestFit="1" customWidth="1"/>
    <col min="2075" max="2099" width="9.140625" style="365" customWidth="1"/>
    <col min="2100" max="2294" width="8.85546875" style="365"/>
    <col min="2295" max="2295" width="44.5703125" style="365" customWidth="1"/>
    <col min="2296" max="2296" width="14.28515625" style="365" bestFit="1" customWidth="1"/>
    <col min="2297" max="2297" width="1.7109375" style="365" customWidth="1"/>
    <col min="2298" max="2298" width="14.85546875" style="365" customWidth="1"/>
    <col min="2299" max="2299" width="0" style="365" hidden="1" customWidth="1"/>
    <col min="2300" max="2300" width="17.42578125" style="365" customWidth="1"/>
    <col min="2301" max="2301" width="0" style="365" hidden="1" customWidth="1"/>
    <col min="2302" max="2302" width="12.85546875" style="365" customWidth="1"/>
    <col min="2303" max="2303" width="0" style="365" hidden="1" customWidth="1"/>
    <col min="2304" max="2304" width="14.42578125" style="365" customWidth="1"/>
    <col min="2305" max="2305" width="0" style="365" hidden="1" customWidth="1"/>
    <col min="2306" max="2306" width="17.42578125" style="365" customWidth="1"/>
    <col min="2307" max="2307" width="0" style="365" hidden="1" customWidth="1"/>
    <col min="2308" max="2308" width="14" style="365" customWidth="1"/>
    <col min="2309" max="2309" width="14.28515625" style="365" bestFit="1" customWidth="1"/>
    <col min="2310" max="2310" width="0" style="365" hidden="1" customWidth="1"/>
    <col min="2311" max="2311" width="15.5703125" style="365" customWidth="1"/>
    <col min="2312" max="2312" width="44.5703125" style="365" customWidth="1"/>
    <col min="2313" max="2313" width="14.28515625" style="365" bestFit="1" customWidth="1"/>
    <col min="2314" max="2314" width="0" style="365" hidden="1" customWidth="1"/>
    <col min="2315" max="2315" width="18.140625" style="365" customWidth="1"/>
    <col min="2316" max="2316" width="0" style="365" hidden="1" customWidth="1"/>
    <col min="2317" max="2317" width="14" style="365" customWidth="1"/>
    <col min="2318" max="2318" width="0" style="365" hidden="1" customWidth="1"/>
    <col min="2319" max="2319" width="20.85546875" style="365" customWidth="1"/>
    <col min="2320" max="2320" width="0" style="365" hidden="1" customWidth="1"/>
    <col min="2321" max="2321" width="13.28515625" style="365" customWidth="1"/>
    <col min="2322" max="2322" width="0" style="365" hidden="1" customWidth="1"/>
    <col min="2323" max="2323" width="15" style="365" customWidth="1"/>
    <col min="2324" max="2324" width="0" style="365" hidden="1" customWidth="1"/>
    <col min="2325" max="2325" width="13.28515625" style="365" customWidth="1"/>
    <col min="2326" max="2326" width="0" style="365" hidden="1" customWidth="1"/>
    <col min="2327" max="2327" width="20.140625" style="365" customWidth="1"/>
    <col min="2328" max="2328" width="14.42578125" style="365" bestFit="1" customWidth="1"/>
    <col min="2329" max="2329" width="14" style="365" bestFit="1" customWidth="1"/>
    <col min="2330" max="2330" width="12.28515625" style="365" bestFit="1" customWidth="1"/>
    <col min="2331" max="2355" width="9.140625" style="365" customWidth="1"/>
    <col min="2356" max="2550" width="8.85546875" style="365"/>
    <col min="2551" max="2551" width="44.5703125" style="365" customWidth="1"/>
    <col min="2552" max="2552" width="14.28515625" style="365" bestFit="1" customWidth="1"/>
    <col min="2553" max="2553" width="1.7109375" style="365" customWidth="1"/>
    <col min="2554" max="2554" width="14.85546875" style="365" customWidth="1"/>
    <col min="2555" max="2555" width="0" style="365" hidden="1" customWidth="1"/>
    <col min="2556" max="2556" width="17.42578125" style="365" customWidth="1"/>
    <col min="2557" max="2557" width="0" style="365" hidden="1" customWidth="1"/>
    <col min="2558" max="2558" width="12.85546875" style="365" customWidth="1"/>
    <col min="2559" max="2559" width="0" style="365" hidden="1" customWidth="1"/>
    <col min="2560" max="2560" width="14.42578125" style="365" customWidth="1"/>
    <col min="2561" max="2561" width="0" style="365" hidden="1" customWidth="1"/>
    <col min="2562" max="2562" width="17.42578125" style="365" customWidth="1"/>
    <col min="2563" max="2563" width="0" style="365" hidden="1" customWidth="1"/>
    <col min="2564" max="2564" width="14" style="365" customWidth="1"/>
    <col min="2565" max="2565" width="14.28515625" style="365" bestFit="1" customWidth="1"/>
    <col min="2566" max="2566" width="0" style="365" hidden="1" customWidth="1"/>
    <col min="2567" max="2567" width="15.5703125" style="365" customWidth="1"/>
    <col min="2568" max="2568" width="44.5703125" style="365" customWidth="1"/>
    <col min="2569" max="2569" width="14.28515625" style="365" bestFit="1" customWidth="1"/>
    <col min="2570" max="2570" width="0" style="365" hidden="1" customWidth="1"/>
    <col min="2571" max="2571" width="18.140625" style="365" customWidth="1"/>
    <col min="2572" max="2572" width="0" style="365" hidden="1" customWidth="1"/>
    <col min="2573" max="2573" width="14" style="365" customWidth="1"/>
    <col min="2574" max="2574" width="0" style="365" hidden="1" customWidth="1"/>
    <col min="2575" max="2575" width="20.85546875" style="365" customWidth="1"/>
    <col min="2576" max="2576" width="0" style="365" hidden="1" customWidth="1"/>
    <col min="2577" max="2577" width="13.28515625" style="365" customWidth="1"/>
    <col min="2578" max="2578" width="0" style="365" hidden="1" customWidth="1"/>
    <col min="2579" max="2579" width="15" style="365" customWidth="1"/>
    <col min="2580" max="2580" width="0" style="365" hidden="1" customWidth="1"/>
    <col min="2581" max="2581" width="13.28515625" style="365" customWidth="1"/>
    <col min="2582" max="2582" width="0" style="365" hidden="1" customWidth="1"/>
    <col min="2583" max="2583" width="20.140625" style="365" customWidth="1"/>
    <col min="2584" max="2584" width="14.42578125" style="365" bestFit="1" customWidth="1"/>
    <col min="2585" max="2585" width="14" style="365" bestFit="1" customWidth="1"/>
    <col min="2586" max="2586" width="12.28515625" style="365" bestFit="1" customWidth="1"/>
    <col min="2587" max="2611" width="9.140625" style="365" customWidth="1"/>
    <col min="2612" max="2806" width="8.85546875" style="365"/>
    <col min="2807" max="2807" width="44.5703125" style="365" customWidth="1"/>
    <col min="2808" max="2808" width="14.28515625" style="365" bestFit="1" customWidth="1"/>
    <col min="2809" max="2809" width="1.7109375" style="365" customWidth="1"/>
    <col min="2810" max="2810" width="14.85546875" style="365" customWidth="1"/>
    <col min="2811" max="2811" width="0" style="365" hidden="1" customWidth="1"/>
    <col min="2812" max="2812" width="17.42578125" style="365" customWidth="1"/>
    <col min="2813" max="2813" width="0" style="365" hidden="1" customWidth="1"/>
    <col min="2814" max="2814" width="12.85546875" style="365" customWidth="1"/>
    <col min="2815" max="2815" width="0" style="365" hidden="1" customWidth="1"/>
    <col min="2816" max="2816" width="14.42578125" style="365" customWidth="1"/>
    <col min="2817" max="2817" width="0" style="365" hidden="1" customWidth="1"/>
    <col min="2818" max="2818" width="17.42578125" style="365" customWidth="1"/>
    <col min="2819" max="2819" width="0" style="365" hidden="1" customWidth="1"/>
    <col min="2820" max="2820" width="14" style="365" customWidth="1"/>
    <col min="2821" max="2821" width="14.28515625" style="365" bestFit="1" customWidth="1"/>
    <col min="2822" max="2822" width="0" style="365" hidden="1" customWidth="1"/>
    <col min="2823" max="2823" width="15.5703125" style="365" customWidth="1"/>
    <col min="2824" max="2824" width="44.5703125" style="365" customWidth="1"/>
    <col min="2825" max="2825" width="14.28515625" style="365" bestFit="1" customWidth="1"/>
    <col min="2826" max="2826" width="0" style="365" hidden="1" customWidth="1"/>
    <col min="2827" max="2827" width="18.140625" style="365" customWidth="1"/>
    <col min="2828" max="2828" width="0" style="365" hidden="1" customWidth="1"/>
    <col min="2829" max="2829" width="14" style="365" customWidth="1"/>
    <col min="2830" max="2830" width="0" style="365" hidden="1" customWidth="1"/>
    <col min="2831" max="2831" width="20.85546875" style="365" customWidth="1"/>
    <col min="2832" max="2832" width="0" style="365" hidden="1" customWidth="1"/>
    <col min="2833" max="2833" width="13.28515625" style="365" customWidth="1"/>
    <col min="2834" max="2834" width="0" style="365" hidden="1" customWidth="1"/>
    <col min="2835" max="2835" width="15" style="365" customWidth="1"/>
    <col min="2836" max="2836" width="0" style="365" hidden="1" customWidth="1"/>
    <col min="2837" max="2837" width="13.28515625" style="365" customWidth="1"/>
    <col min="2838" max="2838" width="0" style="365" hidden="1" customWidth="1"/>
    <col min="2839" max="2839" width="20.140625" style="365" customWidth="1"/>
    <col min="2840" max="2840" width="14.42578125" style="365" bestFit="1" customWidth="1"/>
    <col min="2841" max="2841" width="14" style="365" bestFit="1" customWidth="1"/>
    <col min="2842" max="2842" width="12.28515625" style="365" bestFit="1" customWidth="1"/>
    <col min="2843" max="2867" width="9.140625" style="365" customWidth="1"/>
    <col min="2868" max="3062" width="8.85546875" style="365"/>
    <col min="3063" max="3063" width="44.5703125" style="365" customWidth="1"/>
    <col min="3064" max="3064" width="14.28515625" style="365" bestFit="1" customWidth="1"/>
    <col min="3065" max="3065" width="1.7109375" style="365" customWidth="1"/>
    <col min="3066" max="3066" width="14.85546875" style="365" customWidth="1"/>
    <col min="3067" max="3067" width="0" style="365" hidden="1" customWidth="1"/>
    <col min="3068" max="3068" width="17.42578125" style="365" customWidth="1"/>
    <col min="3069" max="3069" width="0" style="365" hidden="1" customWidth="1"/>
    <col min="3070" max="3070" width="12.85546875" style="365" customWidth="1"/>
    <col min="3071" max="3071" width="0" style="365" hidden="1" customWidth="1"/>
    <col min="3072" max="3072" width="14.42578125" style="365" customWidth="1"/>
    <col min="3073" max="3073" width="0" style="365" hidden="1" customWidth="1"/>
    <col min="3074" max="3074" width="17.42578125" style="365" customWidth="1"/>
    <col min="3075" max="3075" width="0" style="365" hidden="1" customWidth="1"/>
    <col min="3076" max="3076" width="14" style="365" customWidth="1"/>
    <col min="3077" max="3077" width="14.28515625" style="365" bestFit="1" customWidth="1"/>
    <col min="3078" max="3078" width="0" style="365" hidden="1" customWidth="1"/>
    <col min="3079" max="3079" width="15.5703125" style="365" customWidth="1"/>
    <col min="3080" max="3080" width="44.5703125" style="365" customWidth="1"/>
    <col min="3081" max="3081" width="14.28515625" style="365" bestFit="1" customWidth="1"/>
    <col min="3082" max="3082" width="0" style="365" hidden="1" customWidth="1"/>
    <col min="3083" max="3083" width="18.140625" style="365" customWidth="1"/>
    <col min="3084" max="3084" width="0" style="365" hidden="1" customWidth="1"/>
    <col min="3085" max="3085" width="14" style="365" customWidth="1"/>
    <col min="3086" max="3086" width="0" style="365" hidden="1" customWidth="1"/>
    <col min="3087" max="3087" width="20.85546875" style="365" customWidth="1"/>
    <col min="3088" max="3088" width="0" style="365" hidden="1" customWidth="1"/>
    <col min="3089" max="3089" width="13.28515625" style="365" customWidth="1"/>
    <col min="3090" max="3090" width="0" style="365" hidden="1" customWidth="1"/>
    <col min="3091" max="3091" width="15" style="365" customWidth="1"/>
    <col min="3092" max="3092" width="0" style="365" hidden="1" customWidth="1"/>
    <col min="3093" max="3093" width="13.28515625" style="365" customWidth="1"/>
    <col min="3094" max="3094" width="0" style="365" hidden="1" customWidth="1"/>
    <col min="3095" max="3095" width="20.140625" style="365" customWidth="1"/>
    <col min="3096" max="3096" width="14.42578125" style="365" bestFit="1" customWidth="1"/>
    <col min="3097" max="3097" width="14" style="365" bestFit="1" customWidth="1"/>
    <col min="3098" max="3098" width="12.28515625" style="365" bestFit="1" customWidth="1"/>
    <col min="3099" max="3123" width="9.140625" style="365" customWidth="1"/>
    <col min="3124" max="3318" width="8.85546875" style="365"/>
    <col min="3319" max="3319" width="44.5703125" style="365" customWidth="1"/>
    <col min="3320" max="3320" width="14.28515625" style="365" bestFit="1" customWidth="1"/>
    <col min="3321" max="3321" width="1.7109375" style="365" customWidth="1"/>
    <col min="3322" max="3322" width="14.85546875" style="365" customWidth="1"/>
    <col min="3323" max="3323" width="0" style="365" hidden="1" customWidth="1"/>
    <col min="3324" max="3324" width="17.42578125" style="365" customWidth="1"/>
    <col min="3325" max="3325" width="0" style="365" hidden="1" customWidth="1"/>
    <col min="3326" max="3326" width="12.85546875" style="365" customWidth="1"/>
    <col min="3327" max="3327" width="0" style="365" hidden="1" customWidth="1"/>
    <col min="3328" max="3328" width="14.42578125" style="365" customWidth="1"/>
    <col min="3329" max="3329" width="0" style="365" hidden="1" customWidth="1"/>
    <col min="3330" max="3330" width="17.42578125" style="365" customWidth="1"/>
    <col min="3331" max="3331" width="0" style="365" hidden="1" customWidth="1"/>
    <col min="3332" max="3332" width="14" style="365" customWidth="1"/>
    <col min="3333" max="3333" width="14.28515625" style="365" bestFit="1" customWidth="1"/>
    <col min="3334" max="3334" width="0" style="365" hidden="1" customWidth="1"/>
    <col min="3335" max="3335" width="15.5703125" style="365" customWidth="1"/>
    <col min="3336" max="3336" width="44.5703125" style="365" customWidth="1"/>
    <col min="3337" max="3337" width="14.28515625" style="365" bestFit="1" customWidth="1"/>
    <col min="3338" max="3338" width="0" style="365" hidden="1" customWidth="1"/>
    <col min="3339" max="3339" width="18.140625" style="365" customWidth="1"/>
    <col min="3340" max="3340" width="0" style="365" hidden="1" customWidth="1"/>
    <col min="3341" max="3341" width="14" style="365" customWidth="1"/>
    <col min="3342" max="3342" width="0" style="365" hidden="1" customWidth="1"/>
    <col min="3343" max="3343" width="20.85546875" style="365" customWidth="1"/>
    <col min="3344" max="3344" width="0" style="365" hidden="1" customWidth="1"/>
    <col min="3345" max="3345" width="13.28515625" style="365" customWidth="1"/>
    <col min="3346" max="3346" width="0" style="365" hidden="1" customWidth="1"/>
    <col min="3347" max="3347" width="15" style="365" customWidth="1"/>
    <col min="3348" max="3348" width="0" style="365" hidden="1" customWidth="1"/>
    <col min="3349" max="3349" width="13.28515625" style="365" customWidth="1"/>
    <col min="3350" max="3350" width="0" style="365" hidden="1" customWidth="1"/>
    <col min="3351" max="3351" width="20.140625" style="365" customWidth="1"/>
    <col min="3352" max="3352" width="14.42578125" style="365" bestFit="1" customWidth="1"/>
    <col min="3353" max="3353" width="14" style="365" bestFit="1" customWidth="1"/>
    <col min="3354" max="3354" width="12.28515625" style="365" bestFit="1" customWidth="1"/>
    <col min="3355" max="3379" width="9.140625" style="365" customWidth="1"/>
    <col min="3380" max="3574" width="8.85546875" style="365"/>
    <col min="3575" max="3575" width="44.5703125" style="365" customWidth="1"/>
    <col min="3576" max="3576" width="14.28515625" style="365" bestFit="1" customWidth="1"/>
    <col min="3577" max="3577" width="1.7109375" style="365" customWidth="1"/>
    <col min="3578" max="3578" width="14.85546875" style="365" customWidth="1"/>
    <col min="3579" max="3579" width="0" style="365" hidden="1" customWidth="1"/>
    <col min="3580" max="3580" width="17.42578125" style="365" customWidth="1"/>
    <col min="3581" max="3581" width="0" style="365" hidden="1" customWidth="1"/>
    <col min="3582" max="3582" width="12.85546875" style="365" customWidth="1"/>
    <col min="3583" max="3583" width="0" style="365" hidden="1" customWidth="1"/>
    <col min="3584" max="3584" width="14.42578125" style="365" customWidth="1"/>
    <col min="3585" max="3585" width="0" style="365" hidden="1" customWidth="1"/>
    <col min="3586" max="3586" width="17.42578125" style="365" customWidth="1"/>
    <col min="3587" max="3587" width="0" style="365" hidden="1" customWidth="1"/>
    <col min="3588" max="3588" width="14" style="365" customWidth="1"/>
    <col min="3589" max="3589" width="14.28515625" style="365" bestFit="1" customWidth="1"/>
    <col min="3590" max="3590" width="0" style="365" hidden="1" customWidth="1"/>
    <col min="3591" max="3591" width="15.5703125" style="365" customWidth="1"/>
    <col min="3592" max="3592" width="44.5703125" style="365" customWidth="1"/>
    <col min="3593" max="3593" width="14.28515625" style="365" bestFit="1" customWidth="1"/>
    <col min="3594" max="3594" width="0" style="365" hidden="1" customWidth="1"/>
    <col min="3595" max="3595" width="18.140625" style="365" customWidth="1"/>
    <col min="3596" max="3596" width="0" style="365" hidden="1" customWidth="1"/>
    <col min="3597" max="3597" width="14" style="365" customWidth="1"/>
    <col min="3598" max="3598" width="0" style="365" hidden="1" customWidth="1"/>
    <col min="3599" max="3599" width="20.85546875" style="365" customWidth="1"/>
    <col min="3600" max="3600" width="0" style="365" hidden="1" customWidth="1"/>
    <col min="3601" max="3601" width="13.28515625" style="365" customWidth="1"/>
    <col min="3602" max="3602" width="0" style="365" hidden="1" customWidth="1"/>
    <col min="3603" max="3603" width="15" style="365" customWidth="1"/>
    <col min="3604" max="3604" width="0" style="365" hidden="1" customWidth="1"/>
    <col min="3605" max="3605" width="13.28515625" style="365" customWidth="1"/>
    <col min="3606" max="3606" width="0" style="365" hidden="1" customWidth="1"/>
    <col min="3607" max="3607" width="20.140625" style="365" customWidth="1"/>
    <col min="3608" max="3608" width="14.42578125" style="365" bestFit="1" customWidth="1"/>
    <col min="3609" max="3609" width="14" style="365" bestFit="1" customWidth="1"/>
    <col min="3610" max="3610" width="12.28515625" style="365" bestFit="1" customWidth="1"/>
    <col min="3611" max="3635" width="9.140625" style="365" customWidth="1"/>
    <col min="3636" max="3830" width="8.85546875" style="365"/>
    <col min="3831" max="3831" width="44.5703125" style="365" customWidth="1"/>
    <col min="3832" max="3832" width="14.28515625" style="365" bestFit="1" customWidth="1"/>
    <col min="3833" max="3833" width="1.7109375" style="365" customWidth="1"/>
    <col min="3834" max="3834" width="14.85546875" style="365" customWidth="1"/>
    <col min="3835" max="3835" width="0" style="365" hidden="1" customWidth="1"/>
    <col min="3836" max="3836" width="17.42578125" style="365" customWidth="1"/>
    <col min="3837" max="3837" width="0" style="365" hidden="1" customWidth="1"/>
    <col min="3838" max="3838" width="12.85546875" style="365" customWidth="1"/>
    <col min="3839" max="3839" width="0" style="365" hidden="1" customWidth="1"/>
    <col min="3840" max="3840" width="14.42578125" style="365" customWidth="1"/>
    <col min="3841" max="3841" width="0" style="365" hidden="1" customWidth="1"/>
    <col min="3842" max="3842" width="17.42578125" style="365" customWidth="1"/>
    <col min="3843" max="3843" width="0" style="365" hidden="1" customWidth="1"/>
    <col min="3844" max="3844" width="14" style="365" customWidth="1"/>
    <col min="3845" max="3845" width="14.28515625" style="365" bestFit="1" customWidth="1"/>
    <col min="3846" max="3846" width="0" style="365" hidden="1" customWidth="1"/>
    <col min="3847" max="3847" width="15.5703125" style="365" customWidth="1"/>
    <col min="3848" max="3848" width="44.5703125" style="365" customWidth="1"/>
    <col min="3849" max="3849" width="14.28515625" style="365" bestFit="1" customWidth="1"/>
    <col min="3850" max="3850" width="0" style="365" hidden="1" customWidth="1"/>
    <col min="3851" max="3851" width="18.140625" style="365" customWidth="1"/>
    <col min="3852" max="3852" width="0" style="365" hidden="1" customWidth="1"/>
    <col min="3853" max="3853" width="14" style="365" customWidth="1"/>
    <col min="3854" max="3854" width="0" style="365" hidden="1" customWidth="1"/>
    <col min="3855" max="3855" width="20.85546875" style="365" customWidth="1"/>
    <col min="3856" max="3856" width="0" style="365" hidden="1" customWidth="1"/>
    <col min="3857" max="3857" width="13.28515625" style="365" customWidth="1"/>
    <col min="3858" max="3858" width="0" style="365" hidden="1" customWidth="1"/>
    <col min="3859" max="3859" width="15" style="365" customWidth="1"/>
    <col min="3860" max="3860" width="0" style="365" hidden="1" customWidth="1"/>
    <col min="3861" max="3861" width="13.28515625" style="365" customWidth="1"/>
    <col min="3862" max="3862" width="0" style="365" hidden="1" customWidth="1"/>
    <col min="3863" max="3863" width="20.140625" style="365" customWidth="1"/>
    <col min="3864" max="3864" width="14.42578125" style="365" bestFit="1" customWidth="1"/>
    <col min="3865" max="3865" width="14" style="365" bestFit="1" customWidth="1"/>
    <col min="3866" max="3866" width="12.28515625" style="365" bestFit="1" customWidth="1"/>
    <col min="3867" max="3891" width="9.140625" style="365" customWidth="1"/>
    <col min="3892" max="4086" width="8.85546875" style="365"/>
    <col min="4087" max="4087" width="44.5703125" style="365" customWidth="1"/>
    <col min="4088" max="4088" width="14.28515625" style="365" bestFit="1" customWidth="1"/>
    <col min="4089" max="4089" width="1.7109375" style="365" customWidth="1"/>
    <col min="4090" max="4090" width="14.85546875" style="365" customWidth="1"/>
    <col min="4091" max="4091" width="0" style="365" hidden="1" customWidth="1"/>
    <col min="4092" max="4092" width="17.42578125" style="365" customWidth="1"/>
    <col min="4093" max="4093" width="0" style="365" hidden="1" customWidth="1"/>
    <col min="4094" max="4094" width="12.85546875" style="365" customWidth="1"/>
    <col min="4095" max="4095" width="0" style="365" hidden="1" customWidth="1"/>
    <col min="4096" max="4096" width="14.42578125" style="365" customWidth="1"/>
    <col min="4097" max="4097" width="0" style="365" hidden="1" customWidth="1"/>
    <col min="4098" max="4098" width="17.42578125" style="365" customWidth="1"/>
    <col min="4099" max="4099" width="0" style="365" hidden="1" customWidth="1"/>
    <col min="4100" max="4100" width="14" style="365" customWidth="1"/>
    <col min="4101" max="4101" width="14.28515625" style="365" bestFit="1" customWidth="1"/>
    <col min="4102" max="4102" width="0" style="365" hidden="1" customWidth="1"/>
    <col min="4103" max="4103" width="15.5703125" style="365" customWidth="1"/>
    <col min="4104" max="4104" width="44.5703125" style="365" customWidth="1"/>
    <col min="4105" max="4105" width="14.28515625" style="365" bestFit="1" customWidth="1"/>
    <col min="4106" max="4106" width="0" style="365" hidden="1" customWidth="1"/>
    <col min="4107" max="4107" width="18.140625" style="365" customWidth="1"/>
    <col min="4108" max="4108" width="0" style="365" hidden="1" customWidth="1"/>
    <col min="4109" max="4109" width="14" style="365" customWidth="1"/>
    <col min="4110" max="4110" width="0" style="365" hidden="1" customWidth="1"/>
    <col min="4111" max="4111" width="20.85546875" style="365" customWidth="1"/>
    <col min="4112" max="4112" width="0" style="365" hidden="1" customWidth="1"/>
    <col min="4113" max="4113" width="13.28515625" style="365" customWidth="1"/>
    <col min="4114" max="4114" width="0" style="365" hidden="1" customWidth="1"/>
    <col min="4115" max="4115" width="15" style="365" customWidth="1"/>
    <col min="4116" max="4116" width="0" style="365" hidden="1" customWidth="1"/>
    <col min="4117" max="4117" width="13.28515625" style="365" customWidth="1"/>
    <col min="4118" max="4118" width="0" style="365" hidden="1" customWidth="1"/>
    <col min="4119" max="4119" width="20.140625" style="365" customWidth="1"/>
    <col min="4120" max="4120" width="14.42578125" style="365" bestFit="1" customWidth="1"/>
    <col min="4121" max="4121" width="14" style="365" bestFit="1" customWidth="1"/>
    <col min="4122" max="4122" width="12.28515625" style="365" bestFit="1" customWidth="1"/>
    <col min="4123" max="4147" width="9.140625" style="365" customWidth="1"/>
    <col min="4148" max="4342" width="8.85546875" style="365"/>
    <col min="4343" max="4343" width="44.5703125" style="365" customWidth="1"/>
    <col min="4344" max="4344" width="14.28515625" style="365" bestFit="1" customWidth="1"/>
    <col min="4345" max="4345" width="1.7109375" style="365" customWidth="1"/>
    <col min="4346" max="4346" width="14.85546875" style="365" customWidth="1"/>
    <col min="4347" max="4347" width="0" style="365" hidden="1" customWidth="1"/>
    <col min="4348" max="4348" width="17.42578125" style="365" customWidth="1"/>
    <col min="4349" max="4349" width="0" style="365" hidden="1" customWidth="1"/>
    <col min="4350" max="4350" width="12.85546875" style="365" customWidth="1"/>
    <col min="4351" max="4351" width="0" style="365" hidden="1" customWidth="1"/>
    <col min="4352" max="4352" width="14.42578125" style="365" customWidth="1"/>
    <col min="4353" max="4353" width="0" style="365" hidden="1" customWidth="1"/>
    <col min="4354" max="4354" width="17.42578125" style="365" customWidth="1"/>
    <col min="4355" max="4355" width="0" style="365" hidden="1" customWidth="1"/>
    <col min="4356" max="4356" width="14" style="365" customWidth="1"/>
    <col min="4357" max="4357" width="14.28515625" style="365" bestFit="1" customWidth="1"/>
    <col min="4358" max="4358" width="0" style="365" hidden="1" customWidth="1"/>
    <col min="4359" max="4359" width="15.5703125" style="365" customWidth="1"/>
    <col min="4360" max="4360" width="44.5703125" style="365" customWidth="1"/>
    <col min="4361" max="4361" width="14.28515625" style="365" bestFit="1" customWidth="1"/>
    <col min="4362" max="4362" width="0" style="365" hidden="1" customWidth="1"/>
    <col min="4363" max="4363" width="18.140625" style="365" customWidth="1"/>
    <col min="4364" max="4364" width="0" style="365" hidden="1" customWidth="1"/>
    <col min="4365" max="4365" width="14" style="365" customWidth="1"/>
    <col min="4366" max="4366" width="0" style="365" hidden="1" customWidth="1"/>
    <col min="4367" max="4367" width="20.85546875" style="365" customWidth="1"/>
    <col min="4368" max="4368" width="0" style="365" hidden="1" customWidth="1"/>
    <col min="4369" max="4369" width="13.28515625" style="365" customWidth="1"/>
    <col min="4370" max="4370" width="0" style="365" hidden="1" customWidth="1"/>
    <col min="4371" max="4371" width="15" style="365" customWidth="1"/>
    <col min="4372" max="4372" width="0" style="365" hidden="1" customWidth="1"/>
    <col min="4373" max="4373" width="13.28515625" style="365" customWidth="1"/>
    <col min="4374" max="4374" width="0" style="365" hidden="1" customWidth="1"/>
    <col min="4375" max="4375" width="20.140625" style="365" customWidth="1"/>
    <col min="4376" max="4376" width="14.42578125" style="365" bestFit="1" customWidth="1"/>
    <col min="4377" max="4377" width="14" style="365" bestFit="1" customWidth="1"/>
    <col min="4378" max="4378" width="12.28515625" style="365" bestFit="1" customWidth="1"/>
    <col min="4379" max="4403" width="9.140625" style="365" customWidth="1"/>
    <col min="4404" max="4598" width="8.85546875" style="365"/>
    <col min="4599" max="4599" width="44.5703125" style="365" customWidth="1"/>
    <col min="4600" max="4600" width="14.28515625" style="365" bestFit="1" customWidth="1"/>
    <col min="4601" max="4601" width="1.7109375" style="365" customWidth="1"/>
    <col min="4602" max="4602" width="14.85546875" style="365" customWidth="1"/>
    <col min="4603" max="4603" width="0" style="365" hidden="1" customWidth="1"/>
    <col min="4604" max="4604" width="17.42578125" style="365" customWidth="1"/>
    <col min="4605" max="4605" width="0" style="365" hidden="1" customWidth="1"/>
    <col min="4606" max="4606" width="12.85546875" style="365" customWidth="1"/>
    <col min="4607" max="4607" width="0" style="365" hidden="1" customWidth="1"/>
    <col min="4608" max="4608" width="14.42578125" style="365" customWidth="1"/>
    <col min="4609" max="4609" width="0" style="365" hidden="1" customWidth="1"/>
    <col min="4610" max="4610" width="17.42578125" style="365" customWidth="1"/>
    <col min="4611" max="4611" width="0" style="365" hidden="1" customWidth="1"/>
    <col min="4612" max="4612" width="14" style="365" customWidth="1"/>
    <col min="4613" max="4613" width="14.28515625" style="365" bestFit="1" customWidth="1"/>
    <col min="4614" max="4614" width="0" style="365" hidden="1" customWidth="1"/>
    <col min="4615" max="4615" width="15.5703125" style="365" customWidth="1"/>
    <col min="4616" max="4616" width="44.5703125" style="365" customWidth="1"/>
    <col min="4617" max="4617" width="14.28515625" style="365" bestFit="1" customWidth="1"/>
    <col min="4618" max="4618" width="0" style="365" hidden="1" customWidth="1"/>
    <col min="4619" max="4619" width="18.140625" style="365" customWidth="1"/>
    <col min="4620" max="4620" width="0" style="365" hidden="1" customWidth="1"/>
    <col min="4621" max="4621" width="14" style="365" customWidth="1"/>
    <col min="4622" max="4622" width="0" style="365" hidden="1" customWidth="1"/>
    <col min="4623" max="4623" width="20.85546875" style="365" customWidth="1"/>
    <col min="4624" max="4624" width="0" style="365" hidden="1" customWidth="1"/>
    <col min="4625" max="4625" width="13.28515625" style="365" customWidth="1"/>
    <col min="4626" max="4626" width="0" style="365" hidden="1" customWidth="1"/>
    <col min="4627" max="4627" width="15" style="365" customWidth="1"/>
    <col min="4628" max="4628" width="0" style="365" hidden="1" customWidth="1"/>
    <col min="4629" max="4629" width="13.28515625" style="365" customWidth="1"/>
    <col min="4630" max="4630" width="0" style="365" hidden="1" customWidth="1"/>
    <col min="4631" max="4631" width="20.140625" style="365" customWidth="1"/>
    <col min="4632" max="4632" width="14.42578125" style="365" bestFit="1" customWidth="1"/>
    <col min="4633" max="4633" width="14" style="365" bestFit="1" customWidth="1"/>
    <col min="4634" max="4634" width="12.28515625" style="365" bestFit="1" customWidth="1"/>
    <col min="4635" max="4659" width="9.140625" style="365" customWidth="1"/>
    <col min="4660" max="4854" width="8.85546875" style="365"/>
    <col min="4855" max="4855" width="44.5703125" style="365" customWidth="1"/>
    <col min="4856" max="4856" width="14.28515625" style="365" bestFit="1" customWidth="1"/>
    <col min="4857" max="4857" width="1.7109375" style="365" customWidth="1"/>
    <col min="4858" max="4858" width="14.85546875" style="365" customWidth="1"/>
    <col min="4859" max="4859" width="0" style="365" hidden="1" customWidth="1"/>
    <col min="4860" max="4860" width="17.42578125" style="365" customWidth="1"/>
    <col min="4861" max="4861" width="0" style="365" hidden="1" customWidth="1"/>
    <col min="4862" max="4862" width="12.85546875" style="365" customWidth="1"/>
    <col min="4863" max="4863" width="0" style="365" hidden="1" customWidth="1"/>
    <col min="4864" max="4864" width="14.42578125" style="365" customWidth="1"/>
    <col min="4865" max="4865" width="0" style="365" hidden="1" customWidth="1"/>
    <col min="4866" max="4866" width="17.42578125" style="365" customWidth="1"/>
    <col min="4867" max="4867" width="0" style="365" hidden="1" customWidth="1"/>
    <col min="4868" max="4868" width="14" style="365" customWidth="1"/>
    <col min="4869" max="4869" width="14.28515625" style="365" bestFit="1" customWidth="1"/>
    <col min="4870" max="4870" width="0" style="365" hidden="1" customWidth="1"/>
    <col min="4871" max="4871" width="15.5703125" style="365" customWidth="1"/>
    <col min="4872" max="4872" width="44.5703125" style="365" customWidth="1"/>
    <col min="4873" max="4873" width="14.28515625" style="365" bestFit="1" customWidth="1"/>
    <col min="4874" max="4874" width="0" style="365" hidden="1" customWidth="1"/>
    <col min="4875" max="4875" width="18.140625" style="365" customWidth="1"/>
    <col min="4876" max="4876" width="0" style="365" hidden="1" customWidth="1"/>
    <col min="4877" max="4877" width="14" style="365" customWidth="1"/>
    <col min="4878" max="4878" width="0" style="365" hidden="1" customWidth="1"/>
    <col min="4879" max="4879" width="20.85546875" style="365" customWidth="1"/>
    <col min="4880" max="4880" width="0" style="365" hidden="1" customWidth="1"/>
    <col min="4881" max="4881" width="13.28515625" style="365" customWidth="1"/>
    <col min="4882" max="4882" width="0" style="365" hidden="1" customWidth="1"/>
    <col min="4883" max="4883" width="15" style="365" customWidth="1"/>
    <col min="4884" max="4884" width="0" style="365" hidden="1" customWidth="1"/>
    <col min="4885" max="4885" width="13.28515625" style="365" customWidth="1"/>
    <col min="4886" max="4886" width="0" style="365" hidden="1" customWidth="1"/>
    <col min="4887" max="4887" width="20.140625" style="365" customWidth="1"/>
    <col min="4888" max="4888" width="14.42578125" style="365" bestFit="1" customWidth="1"/>
    <col min="4889" max="4889" width="14" style="365" bestFit="1" customWidth="1"/>
    <col min="4890" max="4890" width="12.28515625" style="365" bestFit="1" customWidth="1"/>
    <col min="4891" max="4915" width="9.140625" style="365" customWidth="1"/>
    <col min="4916" max="5110" width="8.85546875" style="365"/>
    <col min="5111" max="5111" width="44.5703125" style="365" customWidth="1"/>
    <col min="5112" max="5112" width="14.28515625" style="365" bestFit="1" customWidth="1"/>
    <col min="5113" max="5113" width="1.7109375" style="365" customWidth="1"/>
    <col min="5114" max="5114" width="14.85546875" style="365" customWidth="1"/>
    <col min="5115" max="5115" width="0" style="365" hidden="1" customWidth="1"/>
    <col min="5116" max="5116" width="17.42578125" style="365" customWidth="1"/>
    <col min="5117" max="5117" width="0" style="365" hidden="1" customWidth="1"/>
    <col min="5118" max="5118" width="12.85546875" style="365" customWidth="1"/>
    <col min="5119" max="5119" width="0" style="365" hidden="1" customWidth="1"/>
    <col min="5120" max="5120" width="14.42578125" style="365" customWidth="1"/>
    <col min="5121" max="5121" width="0" style="365" hidden="1" customWidth="1"/>
    <col min="5122" max="5122" width="17.42578125" style="365" customWidth="1"/>
    <col min="5123" max="5123" width="0" style="365" hidden="1" customWidth="1"/>
    <col min="5124" max="5124" width="14" style="365" customWidth="1"/>
    <col min="5125" max="5125" width="14.28515625" style="365" bestFit="1" customWidth="1"/>
    <col min="5126" max="5126" width="0" style="365" hidden="1" customWidth="1"/>
    <col min="5127" max="5127" width="15.5703125" style="365" customWidth="1"/>
    <col min="5128" max="5128" width="44.5703125" style="365" customWidth="1"/>
    <col min="5129" max="5129" width="14.28515625" style="365" bestFit="1" customWidth="1"/>
    <col min="5130" max="5130" width="0" style="365" hidden="1" customWidth="1"/>
    <col min="5131" max="5131" width="18.140625" style="365" customWidth="1"/>
    <col min="5132" max="5132" width="0" style="365" hidden="1" customWidth="1"/>
    <col min="5133" max="5133" width="14" style="365" customWidth="1"/>
    <col min="5134" max="5134" width="0" style="365" hidden="1" customWidth="1"/>
    <col min="5135" max="5135" width="20.85546875" style="365" customWidth="1"/>
    <col min="5136" max="5136" width="0" style="365" hidden="1" customWidth="1"/>
    <col min="5137" max="5137" width="13.28515625" style="365" customWidth="1"/>
    <col min="5138" max="5138" width="0" style="365" hidden="1" customWidth="1"/>
    <col min="5139" max="5139" width="15" style="365" customWidth="1"/>
    <col min="5140" max="5140" width="0" style="365" hidden="1" customWidth="1"/>
    <col min="5141" max="5141" width="13.28515625" style="365" customWidth="1"/>
    <col min="5142" max="5142" width="0" style="365" hidden="1" customWidth="1"/>
    <col min="5143" max="5143" width="20.140625" style="365" customWidth="1"/>
    <col min="5144" max="5144" width="14.42578125" style="365" bestFit="1" customWidth="1"/>
    <col min="5145" max="5145" width="14" style="365" bestFit="1" customWidth="1"/>
    <col min="5146" max="5146" width="12.28515625" style="365" bestFit="1" customWidth="1"/>
    <col min="5147" max="5171" width="9.140625" style="365" customWidth="1"/>
    <col min="5172" max="5366" width="8.85546875" style="365"/>
    <col min="5367" max="5367" width="44.5703125" style="365" customWidth="1"/>
    <col min="5368" max="5368" width="14.28515625" style="365" bestFit="1" customWidth="1"/>
    <col min="5369" max="5369" width="1.7109375" style="365" customWidth="1"/>
    <col min="5370" max="5370" width="14.85546875" style="365" customWidth="1"/>
    <col min="5371" max="5371" width="0" style="365" hidden="1" customWidth="1"/>
    <col min="5372" max="5372" width="17.42578125" style="365" customWidth="1"/>
    <col min="5373" max="5373" width="0" style="365" hidden="1" customWidth="1"/>
    <col min="5374" max="5374" width="12.85546875" style="365" customWidth="1"/>
    <col min="5375" max="5375" width="0" style="365" hidden="1" customWidth="1"/>
    <col min="5376" max="5376" width="14.42578125" style="365" customWidth="1"/>
    <col min="5377" max="5377" width="0" style="365" hidden="1" customWidth="1"/>
    <col min="5378" max="5378" width="17.42578125" style="365" customWidth="1"/>
    <col min="5379" max="5379" width="0" style="365" hidden="1" customWidth="1"/>
    <col min="5380" max="5380" width="14" style="365" customWidth="1"/>
    <col min="5381" max="5381" width="14.28515625" style="365" bestFit="1" customWidth="1"/>
    <col min="5382" max="5382" width="0" style="365" hidden="1" customWidth="1"/>
    <col min="5383" max="5383" width="15.5703125" style="365" customWidth="1"/>
    <col min="5384" max="5384" width="44.5703125" style="365" customWidth="1"/>
    <col min="5385" max="5385" width="14.28515625" style="365" bestFit="1" customWidth="1"/>
    <col min="5386" max="5386" width="0" style="365" hidden="1" customWidth="1"/>
    <col min="5387" max="5387" width="18.140625" style="365" customWidth="1"/>
    <col min="5388" max="5388" width="0" style="365" hidden="1" customWidth="1"/>
    <col min="5389" max="5389" width="14" style="365" customWidth="1"/>
    <col min="5390" max="5390" width="0" style="365" hidden="1" customWidth="1"/>
    <col min="5391" max="5391" width="20.85546875" style="365" customWidth="1"/>
    <col min="5392" max="5392" width="0" style="365" hidden="1" customWidth="1"/>
    <col min="5393" max="5393" width="13.28515625" style="365" customWidth="1"/>
    <col min="5394" max="5394" width="0" style="365" hidden="1" customWidth="1"/>
    <col min="5395" max="5395" width="15" style="365" customWidth="1"/>
    <col min="5396" max="5396" width="0" style="365" hidden="1" customWidth="1"/>
    <col min="5397" max="5397" width="13.28515625" style="365" customWidth="1"/>
    <col min="5398" max="5398" width="0" style="365" hidden="1" customWidth="1"/>
    <col min="5399" max="5399" width="20.140625" style="365" customWidth="1"/>
    <col min="5400" max="5400" width="14.42578125" style="365" bestFit="1" customWidth="1"/>
    <col min="5401" max="5401" width="14" style="365" bestFit="1" customWidth="1"/>
    <col min="5402" max="5402" width="12.28515625" style="365" bestFit="1" customWidth="1"/>
    <col min="5403" max="5427" width="9.140625" style="365" customWidth="1"/>
    <col min="5428" max="5622" width="8.85546875" style="365"/>
    <col min="5623" max="5623" width="44.5703125" style="365" customWidth="1"/>
    <col min="5624" max="5624" width="14.28515625" style="365" bestFit="1" customWidth="1"/>
    <col min="5625" max="5625" width="1.7109375" style="365" customWidth="1"/>
    <col min="5626" max="5626" width="14.85546875" style="365" customWidth="1"/>
    <col min="5627" max="5627" width="0" style="365" hidden="1" customWidth="1"/>
    <col min="5628" max="5628" width="17.42578125" style="365" customWidth="1"/>
    <col min="5629" max="5629" width="0" style="365" hidden="1" customWidth="1"/>
    <col min="5630" max="5630" width="12.85546875" style="365" customWidth="1"/>
    <col min="5631" max="5631" width="0" style="365" hidden="1" customWidth="1"/>
    <col min="5632" max="5632" width="14.42578125" style="365" customWidth="1"/>
    <col min="5633" max="5633" width="0" style="365" hidden="1" customWidth="1"/>
    <col min="5634" max="5634" width="17.42578125" style="365" customWidth="1"/>
    <col min="5635" max="5635" width="0" style="365" hidden="1" customWidth="1"/>
    <col min="5636" max="5636" width="14" style="365" customWidth="1"/>
    <col min="5637" max="5637" width="14.28515625" style="365" bestFit="1" customWidth="1"/>
    <col min="5638" max="5638" width="0" style="365" hidden="1" customWidth="1"/>
    <col min="5639" max="5639" width="15.5703125" style="365" customWidth="1"/>
    <col min="5640" max="5640" width="44.5703125" style="365" customWidth="1"/>
    <col min="5641" max="5641" width="14.28515625" style="365" bestFit="1" customWidth="1"/>
    <col min="5642" max="5642" width="0" style="365" hidden="1" customWidth="1"/>
    <col min="5643" max="5643" width="18.140625" style="365" customWidth="1"/>
    <col min="5644" max="5644" width="0" style="365" hidden="1" customWidth="1"/>
    <col min="5645" max="5645" width="14" style="365" customWidth="1"/>
    <col min="5646" max="5646" width="0" style="365" hidden="1" customWidth="1"/>
    <col min="5647" max="5647" width="20.85546875" style="365" customWidth="1"/>
    <col min="5648" max="5648" width="0" style="365" hidden="1" customWidth="1"/>
    <col min="5649" max="5649" width="13.28515625" style="365" customWidth="1"/>
    <col min="5650" max="5650" width="0" style="365" hidden="1" customWidth="1"/>
    <col min="5651" max="5651" width="15" style="365" customWidth="1"/>
    <col min="5652" max="5652" width="0" style="365" hidden="1" customWidth="1"/>
    <col min="5653" max="5653" width="13.28515625" style="365" customWidth="1"/>
    <col min="5654" max="5654" width="0" style="365" hidden="1" customWidth="1"/>
    <col min="5655" max="5655" width="20.140625" style="365" customWidth="1"/>
    <col min="5656" max="5656" width="14.42578125" style="365" bestFit="1" customWidth="1"/>
    <col min="5657" max="5657" width="14" style="365" bestFit="1" customWidth="1"/>
    <col min="5658" max="5658" width="12.28515625" style="365" bestFit="1" customWidth="1"/>
    <col min="5659" max="5683" width="9.140625" style="365" customWidth="1"/>
    <col min="5684" max="5878" width="8.85546875" style="365"/>
    <col min="5879" max="5879" width="44.5703125" style="365" customWidth="1"/>
    <col min="5880" max="5880" width="14.28515625" style="365" bestFit="1" customWidth="1"/>
    <col min="5881" max="5881" width="1.7109375" style="365" customWidth="1"/>
    <col min="5882" max="5882" width="14.85546875" style="365" customWidth="1"/>
    <col min="5883" max="5883" width="0" style="365" hidden="1" customWidth="1"/>
    <col min="5884" max="5884" width="17.42578125" style="365" customWidth="1"/>
    <col min="5885" max="5885" width="0" style="365" hidden="1" customWidth="1"/>
    <col min="5886" max="5886" width="12.85546875" style="365" customWidth="1"/>
    <col min="5887" max="5887" width="0" style="365" hidden="1" customWidth="1"/>
    <col min="5888" max="5888" width="14.42578125" style="365" customWidth="1"/>
    <col min="5889" max="5889" width="0" style="365" hidden="1" customWidth="1"/>
    <col min="5890" max="5890" width="17.42578125" style="365" customWidth="1"/>
    <col min="5891" max="5891" width="0" style="365" hidden="1" customWidth="1"/>
    <col min="5892" max="5892" width="14" style="365" customWidth="1"/>
    <col min="5893" max="5893" width="14.28515625" style="365" bestFit="1" customWidth="1"/>
    <col min="5894" max="5894" width="0" style="365" hidden="1" customWidth="1"/>
    <col min="5895" max="5895" width="15.5703125" style="365" customWidth="1"/>
    <col min="5896" max="5896" width="44.5703125" style="365" customWidth="1"/>
    <col min="5897" max="5897" width="14.28515625" style="365" bestFit="1" customWidth="1"/>
    <col min="5898" max="5898" width="0" style="365" hidden="1" customWidth="1"/>
    <col min="5899" max="5899" width="18.140625" style="365" customWidth="1"/>
    <col min="5900" max="5900" width="0" style="365" hidden="1" customWidth="1"/>
    <col min="5901" max="5901" width="14" style="365" customWidth="1"/>
    <col min="5902" max="5902" width="0" style="365" hidden="1" customWidth="1"/>
    <col min="5903" max="5903" width="20.85546875" style="365" customWidth="1"/>
    <col min="5904" max="5904" width="0" style="365" hidden="1" customWidth="1"/>
    <col min="5905" max="5905" width="13.28515625" style="365" customWidth="1"/>
    <col min="5906" max="5906" width="0" style="365" hidden="1" customWidth="1"/>
    <col min="5907" max="5907" width="15" style="365" customWidth="1"/>
    <col min="5908" max="5908" width="0" style="365" hidden="1" customWidth="1"/>
    <col min="5909" max="5909" width="13.28515625" style="365" customWidth="1"/>
    <col min="5910" max="5910" width="0" style="365" hidden="1" customWidth="1"/>
    <col min="5911" max="5911" width="20.140625" style="365" customWidth="1"/>
    <col min="5912" max="5912" width="14.42578125" style="365" bestFit="1" customWidth="1"/>
    <col min="5913" max="5913" width="14" style="365" bestFit="1" customWidth="1"/>
    <col min="5914" max="5914" width="12.28515625" style="365" bestFit="1" customWidth="1"/>
    <col min="5915" max="5939" width="9.140625" style="365" customWidth="1"/>
    <col min="5940" max="6134" width="8.85546875" style="365"/>
    <col min="6135" max="6135" width="44.5703125" style="365" customWidth="1"/>
    <col min="6136" max="6136" width="14.28515625" style="365" bestFit="1" customWidth="1"/>
    <col min="6137" max="6137" width="1.7109375" style="365" customWidth="1"/>
    <col min="6138" max="6138" width="14.85546875" style="365" customWidth="1"/>
    <col min="6139" max="6139" width="0" style="365" hidden="1" customWidth="1"/>
    <col min="6140" max="6140" width="17.42578125" style="365" customWidth="1"/>
    <col min="6141" max="6141" width="0" style="365" hidden="1" customWidth="1"/>
    <col min="6142" max="6142" width="12.85546875" style="365" customWidth="1"/>
    <col min="6143" max="6143" width="0" style="365" hidden="1" customWidth="1"/>
    <col min="6144" max="6144" width="14.42578125" style="365" customWidth="1"/>
    <col min="6145" max="6145" width="0" style="365" hidden="1" customWidth="1"/>
    <col min="6146" max="6146" width="17.42578125" style="365" customWidth="1"/>
    <col min="6147" max="6147" width="0" style="365" hidden="1" customWidth="1"/>
    <col min="6148" max="6148" width="14" style="365" customWidth="1"/>
    <col min="6149" max="6149" width="14.28515625" style="365" bestFit="1" customWidth="1"/>
    <col min="6150" max="6150" width="0" style="365" hidden="1" customWidth="1"/>
    <col min="6151" max="6151" width="15.5703125" style="365" customWidth="1"/>
    <col min="6152" max="6152" width="44.5703125" style="365" customWidth="1"/>
    <col min="6153" max="6153" width="14.28515625" style="365" bestFit="1" customWidth="1"/>
    <col min="6154" max="6154" width="0" style="365" hidden="1" customWidth="1"/>
    <col min="6155" max="6155" width="18.140625" style="365" customWidth="1"/>
    <col min="6156" max="6156" width="0" style="365" hidden="1" customWidth="1"/>
    <col min="6157" max="6157" width="14" style="365" customWidth="1"/>
    <col min="6158" max="6158" width="0" style="365" hidden="1" customWidth="1"/>
    <col min="6159" max="6159" width="20.85546875" style="365" customWidth="1"/>
    <col min="6160" max="6160" width="0" style="365" hidden="1" customWidth="1"/>
    <col min="6161" max="6161" width="13.28515625" style="365" customWidth="1"/>
    <col min="6162" max="6162" width="0" style="365" hidden="1" customWidth="1"/>
    <col min="6163" max="6163" width="15" style="365" customWidth="1"/>
    <col min="6164" max="6164" width="0" style="365" hidden="1" customWidth="1"/>
    <col min="6165" max="6165" width="13.28515625" style="365" customWidth="1"/>
    <col min="6166" max="6166" width="0" style="365" hidden="1" customWidth="1"/>
    <col min="6167" max="6167" width="20.140625" style="365" customWidth="1"/>
    <col min="6168" max="6168" width="14.42578125" style="365" bestFit="1" customWidth="1"/>
    <col min="6169" max="6169" width="14" style="365" bestFit="1" customWidth="1"/>
    <col min="6170" max="6170" width="12.28515625" style="365" bestFit="1" customWidth="1"/>
    <col min="6171" max="6195" width="9.140625" style="365" customWidth="1"/>
    <col min="6196" max="6390" width="8.85546875" style="365"/>
    <col min="6391" max="6391" width="44.5703125" style="365" customWidth="1"/>
    <col min="6392" max="6392" width="14.28515625" style="365" bestFit="1" customWidth="1"/>
    <col min="6393" max="6393" width="1.7109375" style="365" customWidth="1"/>
    <col min="6394" max="6394" width="14.85546875" style="365" customWidth="1"/>
    <col min="6395" max="6395" width="0" style="365" hidden="1" customWidth="1"/>
    <col min="6396" max="6396" width="17.42578125" style="365" customWidth="1"/>
    <col min="6397" max="6397" width="0" style="365" hidden="1" customWidth="1"/>
    <col min="6398" max="6398" width="12.85546875" style="365" customWidth="1"/>
    <col min="6399" max="6399" width="0" style="365" hidden="1" customWidth="1"/>
    <col min="6400" max="6400" width="14.42578125" style="365" customWidth="1"/>
    <col min="6401" max="6401" width="0" style="365" hidden="1" customWidth="1"/>
    <col min="6402" max="6402" width="17.42578125" style="365" customWidth="1"/>
    <col min="6403" max="6403" width="0" style="365" hidden="1" customWidth="1"/>
    <col min="6404" max="6404" width="14" style="365" customWidth="1"/>
    <col min="6405" max="6405" width="14.28515625" style="365" bestFit="1" customWidth="1"/>
    <col min="6406" max="6406" width="0" style="365" hidden="1" customWidth="1"/>
    <col min="6407" max="6407" width="15.5703125" style="365" customWidth="1"/>
    <col min="6408" max="6408" width="44.5703125" style="365" customWidth="1"/>
    <col min="6409" max="6409" width="14.28515625" style="365" bestFit="1" customWidth="1"/>
    <col min="6410" max="6410" width="0" style="365" hidden="1" customWidth="1"/>
    <col min="6411" max="6411" width="18.140625" style="365" customWidth="1"/>
    <col min="6412" max="6412" width="0" style="365" hidden="1" customWidth="1"/>
    <col min="6413" max="6413" width="14" style="365" customWidth="1"/>
    <col min="6414" max="6414" width="0" style="365" hidden="1" customWidth="1"/>
    <col min="6415" max="6415" width="20.85546875" style="365" customWidth="1"/>
    <col min="6416" max="6416" width="0" style="365" hidden="1" customWidth="1"/>
    <col min="6417" max="6417" width="13.28515625" style="365" customWidth="1"/>
    <col min="6418" max="6418" width="0" style="365" hidden="1" customWidth="1"/>
    <col min="6419" max="6419" width="15" style="365" customWidth="1"/>
    <col min="6420" max="6420" width="0" style="365" hidden="1" customWidth="1"/>
    <col min="6421" max="6421" width="13.28515625" style="365" customWidth="1"/>
    <col min="6422" max="6422" width="0" style="365" hidden="1" customWidth="1"/>
    <col min="6423" max="6423" width="20.140625" style="365" customWidth="1"/>
    <col min="6424" max="6424" width="14.42578125" style="365" bestFit="1" customWidth="1"/>
    <col min="6425" max="6425" width="14" style="365" bestFit="1" customWidth="1"/>
    <col min="6426" max="6426" width="12.28515625" style="365" bestFit="1" customWidth="1"/>
    <col min="6427" max="6451" width="9.140625" style="365" customWidth="1"/>
    <col min="6452" max="6646" width="8.85546875" style="365"/>
    <col min="6647" max="6647" width="44.5703125" style="365" customWidth="1"/>
    <col min="6648" max="6648" width="14.28515625" style="365" bestFit="1" customWidth="1"/>
    <col min="6649" max="6649" width="1.7109375" style="365" customWidth="1"/>
    <col min="6650" max="6650" width="14.85546875" style="365" customWidth="1"/>
    <col min="6651" max="6651" width="0" style="365" hidden="1" customWidth="1"/>
    <col min="6652" max="6652" width="17.42578125" style="365" customWidth="1"/>
    <col min="6653" max="6653" width="0" style="365" hidden="1" customWidth="1"/>
    <col min="6654" max="6654" width="12.85546875" style="365" customWidth="1"/>
    <col min="6655" max="6655" width="0" style="365" hidden="1" customWidth="1"/>
    <col min="6656" max="6656" width="14.42578125" style="365" customWidth="1"/>
    <col min="6657" max="6657" width="0" style="365" hidden="1" customWidth="1"/>
    <col min="6658" max="6658" width="17.42578125" style="365" customWidth="1"/>
    <col min="6659" max="6659" width="0" style="365" hidden="1" customWidth="1"/>
    <col min="6660" max="6660" width="14" style="365" customWidth="1"/>
    <col min="6661" max="6661" width="14.28515625" style="365" bestFit="1" customWidth="1"/>
    <col min="6662" max="6662" width="0" style="365" hidden="1" customWidth="1"/>
    <col min="6663" max="6663" width="15.5703125" style="365" customWidth="1"/>
    <col min="6664" max="6664" width="44.5703125" style="365" customWidth="1"/>
    <col min="6665" max="6665" width="14.28515625" style="365" bestFit="1" customWidth="1"/>
    <col min="6666" max="6666" width="0" style="365" hidden="1" customWidth="1"/>
    <col min="6667" max="6667" width="18.140625" style="365" customWidth="1"/>
    <col min="6668" max="6668" width="0" style="365" hidden="1" customWidth="1"/>
    <col min="6669" max="6669" width="14" style="365" customWidth="1"/>
    <col min="6670" max="6670" width="0" style="365" hidden="1" customWidth="1"/>
    <col min="6671" max="6671" width="20.85546875" style="365" customWidth="1"/>
    <col min="6672" max="6672" width="0" style="365" hidden="1" customWidth="1"/>
    <col min="6673" max="6673" width="13.28515625" style="365" customWidth="1"/>
    <col min="6674" max="6674" width="0" style="365" hidden="1" customWidth="1"/>
    <col min="6675" max="6675" width="15" style="365" customWidth="1"/>
    <col min="6676" max="6676" width="0" style="365" hidden="1" customWidth="1"/>
    <col min="6677" max="6677" width="13.28515625" style="365" customWidth="1"/>
    <col min="6678" max="6678" width="0" style="365" hidden="1" customWidth="1"/>
    <col min="6679" max="6679" width="20.140625" style="365" customWidth="1"/>
    <col min="6680" max="6680" width="14.42578125" style="365" bestFit="1" customWidth="1"/>
    <col min="6681" max="6681" width="14" style="365" bestFit="1" customWidth="1"/>
    <col min="6682" max="6682" width="12.28515625" style="365" bestFit="1" customWidth="1"/>
    <col min="6683" max="6707" width="9.140625" style="365" customWidth="1"/>
    <col min="6708" max="6902" width="8.85546875" style="365"/>
    <col min="6903" max="6903" width="44.5703125" style="365" customWidth="1"/>
    <col min="6904" max="6904" width="14.28515625" style="365" bestFit="1" customWidth="1"/>
    <col min="6905" max="6905" width="1.7109375" style="365" customWidth="1"/>
    <col min="6906" max="6906" width="14.85546875" style="365" customWidth="1"/>
    <col min="6907" max="6907" width="0" style="365" hidden="1" customWidth="1"/>
    <col min="6908" max="6908" width="17.42578125" style="365" customWidth="1"/>
    <col min="6909" max="6909" width="0" style="365" hidden="1" customWidth="1"/>
    <col min="6910" max="6910" width="12.85546875" style="365" customWidth="1"/>
    <col min="6911" max="6911" width="0" style="365" hidden="1" customWidth="1"/>
    <col min="6912" max="6912" width="14.42578125" style="365" customWidth="1"/>
    <col min="6913" max="6913" width="0" style="365" hidden="1" customWidth="1"/>
    <col min="6914" max="6914" width="17.42578125" style="365" customWidth="1"/>
    <col min="6915" max="6915" width="0" style="365" hidden="1" customWidth="1"/>
    <col min="6916" max="6916" width="14" style="365" customWidth="1"/>
    <col min="6917" max="6917" width="14.28515625" style="365" bestFit="1" customWidth="1"/>
    <col min="6918" max="6918" width="0" style="365" hidden="1" customWidth="1"/>
    <col min="6919" max="6919" width="15.5703125" style="365" customWidth="1"/>
    <col min="6920" max="6920" width="44.5703125" style="365" customWidth="1"/>
    <col min="6921" max="6921" width="14.28515625" style="365" bestFit="1" customWidth="1"/>
    <col min="6922" max="6922" width="0" style="365" hidden="1" customWidth="1"/>
    <col min="6923" max="6923" width="18.140625" style="365" customWidth="1"/>
    <col min="6924" max="6924" width="0" style="365" hidden="1" customWidth="1"/>
    <col min="6925" max="6925" width="14" style="365" customWidth="1"/>
    <col min="6926" max="6926" width="0" style="365" hidden="1" customWidth="1"/>
    <col min="6927" max="6927" width="20.85546875" style="365" customWidth="1"/>
    <col min="6928" max="6928" width="0" style="365" hidden="1" customWidth="1"/>
    <col min="6929" max="6929" width="13.28515625" style="365" customWidth="1"/>
    <col min="6930" max="6930" width="0" style="365" hidden="1" customWidth="1"/>
    <col min="6931" max="6931" width="15" style="365" customWidth="1"/>
    <col min="6932" max="6932" width="0" style="365" hidden="1" customWidth="1"/>
    <col min="6933" max="6933" width="13.28515625" style="365" customWidth="1"/>
    <col min="6934" max="6934" width="0" style="365" hidden="1" customWidth="1"/>
    <col min="6935" max="6935" width="20.140625" style="365" customWidth="1"/>
    <col min="6936" max="6936" width="14.42578125" style="365" bestFit="1" customWidth="1"/>
    <col min="6937" max="6937" width="14" style="365" bestFit="1" customWidth="1"/>
    <col min="6938" max="6938" width="12.28515625" style="365" bestFit="1" customWidth="1"/>
    <col min="6939" max="6963" width="9.140625" style="365" customWidth="1"/>
    <col min="6964" max="7158" width="8.85546875" style="365"/>
    <col min="7159" max="7159" width="44.5703125" style="365" customWidth="1"/>
    <col min="7160" max="7160" width="14.28515625" style="365" bestFit="1" customWidth="1"/>
    <col min="7161" max="7161" width="1.7109375" style="365" customWidth="1"/>
    <col min="7162" max="7162" width="14.85546875" style="365" customWidth="1"/>
    <col min="7163" max="7163" width="0" style="365" hidden="1" customWidth="1"/>
    <col min="7164" max="7164" width="17.42578125" style="365" customWidth="1"/>
    <col min="7165" max="7165" width="0" style="365" hidden="1" customWidth="1"/>
    <col min="7166" max="7166" width="12.85546875" style="365" customWidth="1"/>
    <col min="7167" max="7167" width="0" style="365" hidden="1" customWidth="1"/>
    <col min="7168" max="7168" width="14.42578125" style="365" customWidth="1"/>
    <col min="7169" max="7169" width="0" style="365" hidden="1" customWidth="1"/>
    <col min="7170" max="7170" width="17.42578125" style="365" customWidth="1"/>
    <col min="7171" max="7171" width="0" style="365" hidden="1" customWidth="1"/>
    <col min="7172" max="7172" width="14" style="365" customWidth="1"/>
    <col min="7173" max="7173" width="14.28515625" style="365" bestFit="1" customWidth="1"/>
    <col min="7174" max="7174" width="0" style="365" hidden="1" customWidth="1"/>
    <col min="7175" max="7175" width="15.5703125" style="365" customWidth="1"/>
    <col min="7176" max="7176" width="44.5703125" style="365" customWidth="1"/>
    <col min="7177" max="7177" width="14.28515625" style="365" bestFit="1" customWidth="1"/>
    <col min="7178" max="7178" width="0" style="365" hidden="1" customWidth="1"/>
    <col min="7179" max="7179" width="18.140625" style="365" customWidth="1"/>
    <col min="7180" max="7180" width="0" style="365" hidden="1" customWidth="1"/>
    <col min="7181" max="7181" width="14" style="365" customWidth="1"/>
    <col min="7182" max="7182" width="0" style="365" hidden="1" customWidth="1"/>
    <col min="7183" max="7183" width="20.85546875" style="365" customWidth="1"/>
    <col min="7184" max="7184" width="0" style="365" hidden="1" customWidth="1"/>
    <col min="7185" max="7185" width="13.28515625" style="365" customWidth="1"/>
    <col min="7186" max="7186" width="0" style="365" hidden="1" customWidth="1"/>
    <col min="7187" max="7187" width="15" style="365" customWidth="1"/>
    <col min="7188" max="7188" width="0" style="365" hidden="1" customWidth="1"/>
    <col min="7189" max="7189" width="13.28515625" style="365" customWidth="1"/>
    <col min="7190" max="7190" width="0" style="365" hidden="1" customWidth="1"/>
    <col min="7191" max="7191" width="20.140625" style="365" customWidth="1"/>
    <col min="7192" max="7192" width="14.42578125" style="365" bestFit="1" customWidth="1"/>
    <col min="7193" max="7193" width="14" style="365" bestFit="1" customWidth="1"/>
    <col min="7194" max="7194" width="12.28515625" style="365" bestFit="1" customWidth="1"/>
    <col min="7195" max="7219" width="9.140625" style="365" customWidth="1"/>
    <col min="7220" max="7414" width="8.85546875" style="365"/>
    <col min="7415" max="7415" width="44.5703125" style="365" customWidth="1"/>
    <col min="7416" max="7416" width="14.28515625" style="365" bestFit="1" customWidth="1"/>
    <col min="7417" max="7417" width="1.7109375" style="365" customWidth="1"/>
    <col min="7418" max="7418" width="14.85546875" style="365" customWidth="1"/>
    <col min="7419" max="7419" width="0" style="365" hidden="1" customWidth="1"/>
    <col min="7420" max="7420" width="17.42578125" style="365" customWidth="1"/>
    <col min="7421" max="7421" width="0" style="365" hidden="1" customWidth="1"/>
    <col min="7422" max="7422" width="12.85546875" style="365" customWidth="1"/>
    <col min="7423" max="7423" width="0" style="365" hidden="1" customWidth="1"/>
    <col min="7424" max="7424" width="14.42578125" style="365" customWidth="1"/>
    <col min="7425" max="7425" width="0" style="365" hidden="1" customWidth="1"/>
    <col min="7426" max="7426" width="17.42578125" style="365" customWidth="1"/>
    <col min="7427" max="7427" width="0" style="365" hidden="1" customWidth="1"/>
    <col min="7428" max="7428" width="14" style="365" customWidth="1"/>
    <col min="7429" max="7429" width="14.28515625" style="365" bestFit="1" customWidth="1"/>
    <col min="7430" max="7430" width="0" style="365" hidden="1" customWidth="1"/>
    <col min="7431" max="7431" width="15.5703125" style="365" customWidth="1"/>
    <col min="7432" max="7432" width="44.5703125" style="365" customWidth="1"/>
    <col min="7433" max="7433" width="14.28515625" style="365" bestFit="1" customWidth="1"/>
    <col min="7434" max="7434" width="0" style="365" hidden="1" customWidth="1"/>
    <col min="7435" max="7435" width="18.140625" style="365" customWidth="1"/>
    <col min="7436" max="7436" width="0" style="365" hidden="1" customWidth="1"/>
    <col min="7437" max="7437" width="14" style="365" customWidth="1"/>
    <col min="7438" max="7438" width="0" style="365" hidden="1" customWidth="1"/>
    <col min="7439" max="7439" width="20.85546875" style="365" customWidth="1"/>
    <col min="7440" max="7440" width="0" style="365" hidden="1" customWidth="1"/>
    <col min="7441" max="7441" width="13.28515625" style="365" customWidth="1"/>
    <col min="7442" max="7442" width="0" style="365" hidden="1" customWidth="1"/>
    <col min="7443" max="7443" width="15" style="365" customWidth="1"/>
    <col min="7444" max="7444" width="0" style="365" hidden="1" customWidth="1"/>
    <col min="7445" max="7445" width="13.28515625" style="365" customWidth="1"/>
    <col min="7446" max="7446" width="0" style="365" hidden="1" customWidth="1"/>
    <col min="7447" max="7447" width="20.140625" style="365" customWidth="1"/>
    <col min="7448" max="7448" width="14.42578125" style="365" bestFit="1" customWidth="1"/>
    <col min="7449" max="7449" width="14" style="365" bestFit="1" customWidth="1"/>
    <col min="7450" max="7450" width="12.28515625" style="365" bestFit="1" customWidth="1"/>
    <col min="7451" max="7475" width="9.140625" style="365" customWidth="1"/>
    <col min="7476" max="7670" width="8.85546875" style="365"/>
    <col min="7671" max="7671" width="44.5703125" style="365" customWidth="1"/>
    <col min="7672" max="7672" width="14.28515625" style="365" bestFit="1" customWidth="1"/>
    <col min="7673" max="7673" width="1.7109375" style="365" customWidth="1"/>
    <col min="7674" max="7674" width="14.85546875" style="365" customWidth="1"/>
    <col min="7675" max="7675" width="0" style="365" hidden="1" customWidth="1"/>
    <col min="7676" max="7676" width="17.42578125" style="365" customWidth="1"/>
    <col min="7677" max="7677" width="0" style="365" hidden="1" customWidth="1"/>
    <col min="7678" max="7678" width="12.85546875" style="365" customWidth="1"/>
    <col min="7679" max="7679" width="0" style="365" hidden="1" customWidth="1"/>
    <col min="7680" max="7680" width="14.42578125" style="365" customWidth="1"/>
    <col min="7681" max="7681" width="0" style="365" hidden="1" customWidth="1"/>
    <col min="7682" max="7682" width="17.42578125" style="365" customWidth="1"/>
    <col min="7683" max="7683" width="0" style="365" hidden="1" customWidth="1"/>
    <col min="7684" max="7684" width="14" style="365" customWidth="1"/>
    <col min="7685" max="7685" width="14.28515625" style="365" bestFit="1" customWidth="1"/>
    <col min="7686" max="7686" width="0" style="365" hidden="1" customWidth="1"/>
    <col min="7687" max="7687" width="15.5703125" style="365" customWidth="1"/>
    <col min="7688" max="7688" width="44.5703125" style="365" customWidth="1"/>
    <col min="7689" max="7689" width="14.28515625" style="365" bestFit="1" customWidth="1"/>
    <col min="7690" max="7690" width="0" style="365" hidden="1" customWidth="1"/>
    <col min="7691" max="7691" width="18.140625" style="365" customWidth="1"/>
    <col min="7692" max="7692" width="0" style="365" hidden="1" customWidth="1"/>
    <col min="7693" max="7693" width="14" style="365" customWidth="1"/>
    <col min="7694" max="7694" width="0" style="365" hidden="1" customWidth="1"/>
    <col min="7695" max="7695" width="20.85546875" style="365" customWidth="1"/>
    <col min="7696" max="7696" width="0" style="365" hidden="1" customWidth="1"/>
    <col min="7697" max="7697" width="13.28515625" style="365" customWidth="1"/>
    <col min="7698" max="7698" width="0" style="365" hidden="1" customWidth="1"/>
    <col min="7699" max="7699" width="15" style="365" customWidth="1"/>
    <col min="7700" max="7700" width="0" style="365" hidden="1" customWidth="1"/>
    <col min="7701" max="7701" width="13.28515625" style="365" customWidth="1"/>
    <col min="7702" max="7702" width="0" style="365" hidden="1" customWidth="1"/>
    <col min="7703" max="7703" width="20.140625" style="365" customWidth="1"/>
    <col min="7704" max="7704" width="14.42578125" style="365" bestFit="1" customWidth="1"/>
    <col min="7705" max="7705" width="14" style="365" bestFit="1" customWidth="1"/>
    <col min="7706" max="7706" width="12.28515625" style="365" bestFit="1" customWidth="1"/>
    <col min="7707" max="7731" width="9.140625" style="365" customWidth="1"/>
    <col min="7732" max="7926" width="8.85546875" style="365"/>
    <col min="7927" max="7927" width="44.5703125" style="365" customWidth="1"/>
    <col min="7928" max="7928" width="14.28515625" style="365" bestFit="1" customWidth="1"/>
    <col min="7929" max="7929" width="1.7109375" style="365" customWidth="1"/>
    <col min="7930" max="7930" width="14.85546875" style="365" customWidth="1"/>
    <col min="7931" max="7931" width="0" style="365" hidden="1" customWidth="1"/>
    <col min="7932" max="7932" width="17.42578125" style="365" customWidth="1"/>
    <col min="7933" max="7933" width="0" style="365" hidden="1" customWidth="1"/>
    <col min="7934" max="7934" width="12.85546875" style="365" customWidth="1"/>
    <col min="7935" max="7935" width="0" style="365" hidden="1" customWidth="1"/>
    <col min="7936" max="7936" width="14.42578125" style="365" customWidth="1"/>
    <col min="7937" max="7937" width="0" style="365" hidden="1" customWidth="1"/>
    <col min="7938" max="7938" width="17.42578125" style="365" customWidth="1"/>
    <col min="7939" max="7939" width="0" style="365" hidden="1" customWidth="1"/>
    <col min="7940" max="7940" width="14" style="365" customWidth="1"/>
    <col min="7941" max="7941" width="14.28515625" style="365" bestFit="1" customWidth="1"/>
    <col min="7942" max="7942" width="0" style="365" hidden="1" customWidth="1"/>
    <col min="7943" max="7943" width="15.5703125" style="365" customWidth="1"/>
    <col min="7944" max="7944" width="44.5703125" style="365" customWidth="1"/>
    <col min="7945" max="7945" width="14.28515625" style="365" bestFit="1" customWidth="1"/>
    <col min="7946" max="7946" width="0" style="365" hidden="1" customWidth="1"/>
    <col min="7947" max="7947" width="18.140625" style="365" customWidth="1"/>
    <col min="7948" max="7948" width="0" style="365" hidden="1" customWidth="1"/>
    <col min="7949" max="7949" width="14" style="365" customWidth="1"/>
    <col min="7950" max="7950" width="0" style="365" hidden="1" customWidth="1"/>
    <col min="7951" max="7951" width="20.85546875" style="365" customWidth="1"/>
    <col min="7952" max="7952" width="0" style="365" hidden="1" customWidth="1"/>
    <col min="7953" max="7953" width="13.28515625" style="365" customWidth="1"/>
    <col min="7954" max="7954" width="0" style="365" hidden="1" customWidth="1"/>
    <col min="7955" max="7955" width="15" style="365" customWidth="1"/>
    <col min="7956" max="7956" width="0" style="365" hidden="1" customWidth="1"/>
    <col min="7957" max="7957" width="13.28515625" style="365" customWidth="1"/>
    <col min="7958" max="7958" width="0" style="365" hidden="1" customWidth="1"/>
    <col min="7959" max="7959" width="20.140625" style="365" customWidth="1"/>
    <col min="7960" max="7960" width="14.42578125" style="365" bestFit="1" customWidth="1"/>
    <col min="7961" max="7961" width="14" style="365" bestFit="1" customWidth="1"/>
    <col min="7962" max="7962" width="12.28515625" style="365" bestFit="1" customWidth="1"/>
    <col min="7963" max="7987" width="9.140625" style="365" customWidth="1"/>
    <col min="7988" max="8182" width="8.85546875" style="365"/>
    <col min="8183" max="8183" width="44.5703125" style="365" customWidth="1"/>
    <col min="8184" max="8184" width="14.28515625" style="365" bestFit="1" customWidth="1"/>
    <col min="8185" max="8185" width="1.7109375" style="365" customWidth="1"/>
    <col min="8186" max="8186" width="14.85546875" style="365" customWidth="1"/>
    <col min="8187" max="8187" width="0" style="365" hidden="1" customWidth="1"/>
    <col min="8188" max="8188" width="17.42578125" style="365" customWidth="1"/>
    <col min="8189" max="8189" width="0" style="365" hidden="1" customWidth="1"/>
    <col min="8190" max="8190" width="12.85546875" style="365" customWidth="1"/>
    <col min="8191" max="8191" width="0" style="365" hidden="1" customWidth="1"/>
    <col min="8192" max="8192" width="14.42578125" style="365" customWidth="1"/>
    <col min="8193" max="8193" width="0" style="365" hidden="1" customWidth="1"/>
    <col min="8194" max="8194" width="17.42578125" style="365" customWidth="1"/>
    <col min="8195" max="8195" width="0" style="365" hidden="1" customWidth="1"/>
    <col min="8196" max="8196" width="14" style="365" customWidth="1"/>
    <col min="8197" max="8197" width="14.28515625" style="365" bestFit="1" customWidth="1"/>
    <col min="8198" max="8198" width="0" style="365" hidden="1" customWidth="1"/>
    <col min="8199" max="8199" width="15.5703125" style="365" customWidth="1"/>
    <col min="8200" max="8200" width="44.5703125" style="365" customWidth="1"/>
    <col min="8201" max="8201" width="14.28515625" style="365" bestFit="1" customWidth="1"/>
    <col min="8202" max="8202" width="0" style="365" hidden="1" customWidth="1"/>
    <col min="8203" max="8203" width="18.140625" style="365" customWidth="1"/>
    <col min="8204" max="8204" width="0" style="365" hidden="1" customWidth="1"/>
    <col min="8205" max="8205" width="14" style="365" customWidth="1"/>
    <col min="8206" max="8206" width="0" style="365" hidden="1" customWidth="1"/>
    <col min="8207" max="8207" width="20.85546875" style="365" customWidth="1"/>
    <col min="8208" max="8208" width="0" style="365" hidden="1" customWidth="1"/>
    <col min="8209" max="8209" width="13.28515625" style="365" customWidth="1"/>
    <col min="8210" max="8210" width="0" style="365" hidden="1" customWidth="1"/>
    <col min="8211" max="8211" width="15" style="365" customWidth="1"/>
    <col min="8212" max="8212" width="0" style="365" hidden="1" customWidth="1"/>
    <col min="8213" max="8213" width="13.28515625" style="365" customWidth="1"/>
    <col min="8214" max="8214" width="0" style="365" hidden="1" customWidth="1"/>
    <col min="8215" max="8215" width="20.140625" style="365" customWidth="1"/>
    <col min="8216" max="8216" width="14.42578125" style="365" bestFit="1" customWidth="1"/>
    <col min="8217" max="8217" width="14" style="365" bestFit="1" customWidth="1"/>
    <col min="8218" max="8218" width="12.28515625" style="365" bestFit="1" customWidth="1"/>
    <col min="8219" max="8243" width="9.140625" style="365" customWidth="1"/>
    <col min="8244" max="8438" width="8.85546875" style="365"/>
    <col min="8439" max="8439" width="44.5703125" style="365" customWidth="1"/>
    <col min="8440" max="8440" width="14.28515625" style="365" bestFit="1" customWidth="1"/>
    <col min="8441" max="8441" width="1.7109375" style="365" customWidth="1"/>
    <col min="8442" max="8442" width="14.85546875" style="365" customWidth="1"/>
    <col min="8443" max="8443" width="0" style="365" hidden="1" customWidth="1"/>
    <col min="8444" max="8444" width="17.42578125" style="365" customWidth="1"/>
    <col min="8445" max="8445" width="0" style="365" hidden="1" customWidth="1"/>
    <col min="8446" max="8446" width="12.85546875" style="365" customWidth="1"/>
    <col min="8447" max="8447" width="0" style="365" hidden="1" customWidth="1"/>
    <col min="8448" max="8448" width="14.42578125" style="365" customWidth="1"/>
    <col min="8449" max="8449" width="0" style="365" hidden="1" customWidth="1"/>
    <col min="8450" max="8450" width="17.42578125" style="365" customWidth="1"/>
    <col min="8451" max="8451" width="0" style="365" hidden="1" customWidth="1"/>
    <col min="8452" max="8452" width="14" style="365" customWidth="1"/>
    <col min="8453" max="8453" width="14.28515625" style="365" bestFit="1" customWidth="1"/>
    <col min="8454" max="8454" width="0" style="365" hidden="1" customWidth="1"/>
    <col min="8455" max="8455" width="15.5703125" style="365" customWidth="1"/>
    <col min="8456" max="8456" width="44.5703125" style="365" customWidth="1"/>
    <col min="8457" max="8457" width="14.28515625" style="365" bestFit="1" customWidth="1"/>
    <col min="8458" max="8458" width="0" style="365" hidden="1" customWidth="1"/>
    <col min="8459" max="8459" width="18.140625" style="365" customWidth="1"/>
    <col min="8460" max="8460" width="0" style="365" hidden="1" customWidth="1"/>
    <col min="8461" max="8461" width="14" style="365" customWidth="1"/>
    <col min="8462" max="8462" width="0" style="365" hidden="1" customWidth="1"/>
    <col min="8463" max="8463" width="20.85546875" style="365" customWidth="1"/>
    <col min="8464" max="8464" width="0" style="365" hidden="1" customWidth="1"/>
    <col min="8465" max="8465" width="13.28515625" style="365" customWidth="1"/>
    <col min="8466" max="8466" width="0" style="365" hidden="1" customWidth="1"/>
    <col min="8467" max="8467" width="15" style="365" customWidth="1"/>
    <col min="8468" max="8468" width="0" style="365" hidden="1" customWidth="1"/>
    <col min="8469" max="8469" width="13.28515625" style="365" customWidth="1"/>
    <col min="8470" max="8470" width="0" style="365" hidden="1" customWidth="1"/>
    <col min="8471" max="8471" width="20.140625" style="365" customWidth="1"/>
    <col min="8472" max="8472" width="14.42578125" style="365" bestFit="1" customWidth="1"/>
    <col min="8473" max="8473" width="14" style="365" bestFit="1" customWidth="1"/>
    <col min="8474" max="8474" width="12.28515625" style="365" bestFit="1" customWidth="1"/>
    <col min="8475" max="8499" width="9.140625" style="365" customWidth="1"/>
    <col min="8500" max="8694" width="8.85546875" style="365"/>
    <col min="8695" max="8695" width="44.5703125" style="365" customWidth="1"/>
    <col min="8696" max="8696" width="14.28515625" style="365" bestFit="1" customWidth="1"/>
    <col min="8697" max="8697" width="1.7109375" style="365" customWidth="1"/>
    <col min="8698" max="8698" width="14.85546875" style="365" customWidth="1"/>
    <col min="8699" max="8699" width="0" style="365" hidden="1" customWidth="1"/>
    <col min="8700" max="8700" width="17.42578125" style="365" customWidth="1"/>
    <col min="8701" max="8701" width="0" style="365" hidden="1" customWidth="1"/>
    <col min="8702" max="8702" width="12.85546875" style="365" customWidth="1"/>
    <col min="8703" max="8703" width="0" style="365" hidden="1" customWidth="1"/>
    <col min="8704" max="8704" width="14.42578125" style="365" customWidth="1"/>
    <col min="8705" max="8705" width="0" style="365" hidden="1" customWidth="1"/>
    <col min="8706" max="8706" width="17.42578125" style="365" customWidth="1"/>
    <col min="8707" max="8707" width="0" style="365" hidden="1" customWidth="1"/>
    <col min="8708" max="8708" width="14" style="365" customWidth="1"/>
    <col min="8709" max="8709" width="14.28515625" style="365" bestFit="1" customWidth="1"/>
    <col min="8710" max="8710" width="0" style="365" hidden="1" customWidth="1"/>
    <col min="8711" max="8711" width="15.5703125" style="365" customWidth="1"/>
    <col min="8712" max="8712" width="44.5703125" style="365" customWidth="1"/>
    <col min="8713" max="8713" width="14.28515625" style="365" bestFit="1" customWidth="1"/>
    <col min="8714" max="8714" width="0" style="365" hidden="1" customWidth="1"/>
    <col min="8715" max="8715" width="18.140625" style="365" customWidth="1"/>
    <col min="8716" max="8716" width="0" style="365" hidden="1" customWidth="1"/>
    <col min="8717" max="8717" width="14" style="365" customWidth="1"/>
    <col min="8718" max="8718" width="0" style="365" hidden="1" customWidth="1"/>
    <col min="8719" max="8719" width="20.85546875" style="365" customWidth="1"/>
    <col min="8720" max="8720" width="0" style="365" hidden="1" customWidth="1"/>
    <col min="8721" max="8721" width="13.28515625" style="365" customWidth="1"/>
    <col min="8722" max="8722" width="0" style="365" hidden="1" customWidth="1"/>
    <col min="8723" max="8723" width="15" style="365" customWidth="1"/>
    <col min="8724" max="8724" width="0" style="365" hidden="1" customWidth="1"/>
    <col min="8725" max="8725" width="13.28515625" style="365" customWidth="1"/>
    <col min="8726" max="8726" width="0" style="365" hidden="1" customWidth="1"/>
    <col min="8727" max="8727" width="20.140625" style="365" customWidth="1"/>
    <col min="8728" max="8728" width="14.42578125" style="365" bestFit="1" customWidth="1"/>
    <col min="8729" max="8729" width="14" style="365" bestFit="1" customWidth="1"/>
    <col min="8730" max="8730" width="12.28515625" style="365" bestFit="1" customWidth="1"/>
    <col min="8731" max="8755" width="9.140625" style="365" customWidth="1"/>
    <col min="8756" max="8950" width="8.85546875" style="365"/>
    <col min="8951" max="8951" width="44.5703125" style="365" customWidth="1"/>
    <col min="8952" max="8952" width="14.28515625" style="365" bestFit="1" customWidth="1"/>
    <col min="8953" max="8953" width="1.7109375" style="365" customWidth="1"/>
    <col min="8954" max="8954" width="14.85546875" style="365" customWidth="1"/>
    <col min="8955" max="8955" width="0" style="365" hidden="1" customWidth="1"/>
    <col min="8956" max="8956" width="17.42578125" style="365" customWidth="1"/>
    <col min="8957" max="8957" width="0" style="365" hidden="1" customWidth="1"/>
    <col min="8958" max="8958" width="12.85546875" style="365" customWidth="1"/>
    <col min="8959" max="8959" width="0" style="365" hidden="1" customWidth="1"/>
    <col min="8960" max="8960" width="14.42578125" style="365" customWidth="1"/>
    <col min="8961" max="8961" width="0" style="365" hidden="1" customWidth="1"/>
    <col min="8962" max="8962" width="17.42578125" style="365" customWidth="1"/>
    <col min="8963" max="8963" width="0" style="365" hidden="1" customWidth="1"/>
    <col min="8964" max="8964" width="14" style="365" customWidth="1"/>
    <col min="8965" max="8965" width="14.28515625" style="365" bestFit="1" customWidth="1"/>
    <col min="8966" max="8966" width="0" style="365" hidden="1" customWidth="1"/>
    <col min="8967" max="8967" width="15.5703125" style="365" customWidth="1"/>
    <col min="8968" max="8968" width="44.5703125" style="365" customWidth="1"/>
    <col min="8969" max="8969" width="14.28515625" style="365" bestFit="1" customWidth="1"/>
    <col min="8970" max="8970" width="0" style="365" hidden="1" customWidth="1"/>
    <col min="8971" max="8971" width="18.140625" style="365" customWidth="1"/>
    <col min="8972" max="8972" width="0" style="365" hidden="1" customWidth="1"/>
    <col min="8973" max="8973" width="14" style="365" customWidth="1"/>
    <col min="8974" max="8974" width="0" style="365" hidden="1" customWidth="1"/>
    <col min="8975" max="8975" width="20.85546875" style="365" customWidth="1"/>
    <col min="8976" max="8976" width="0" style="365" hidden="1" customWidth="1"/>
    <col min="8977" max="8977" width="13.28515625" style="365" customWidth="1"/>
    <col min="8978" max="8978" width="0" style="365" hidden="1" customWidth="1"/>
    <col min="8979" max="8979" width="15" style="365" customWidth="1"/>
    <col min="8980" max="8980" width="0" style="365" hidden="1" customWidth="1"/>
    <col min="8981" max="8981" width="13.28515625" style="365" customWidth="1"/>
    <col min="8982" max="8982" width="0" style="365" hidden="1" customWidth="1"/>
    <col min="8983" max="8983" width="20.140625" style="365" customWidth="1"/>
    <col min="8984" max="8984" width="14.42578125" style="365" bestFit="1" customWidth="1"/>
    <col min="8985" max="8985" width="14" style="365" bestFit="1" customWidth="1"/>
    <col min="8986" max="8986" width="12.28515625" style="365" bestFit="1" customWidth="1"/>
    <col min="8987" max="9011" width="9.140625" style="365" customWidth="1"/>
    <col min="9012" max="9206" width="8.85546875" style="365"/>
    <col min="9207" max="9207" width="44.5703125" style="365" customWidth="1"/>
    <col min="9208" max="9208" width="14.28515625" style="365" bestFit="1" customWidth="1"/>
    <col min="9209" max="9209" width="1.7109375" style="365" customWidth="1"/>
    <col min="9210" max="9210" width="14.85546875" style="365" customWidth="1"/>
    <col min="9211" max="9211" width="0" style="365" hidden="1" customWidth="1"/>
    <col min="9212" max="9212" width="17.42578125" style="365" customWidth="1"/>
    <col min="9213" max="9213" width="0" style="365" hidden="1" customWidth="1"/>
    <col min="9214" max="9214" width="12.85546875" style="365" customWidth="1"/>
    <col min="9215" max="9215" width="0" style="365" hidden="1" customWidth="1"/>
    <col min="9216" max="9216" width="14.42578125" style="365" customWidth="1"/>
    <col min="9217" max="9217" width="0" style="365" hidden="1" customWidth="1"/>
    <col min="9218" max="9218" width="17.42578125" style="365" customWidth="1"/>
    <col min="9219" max="9219" width="0" style="365" hidden="1" customWidth="1"/>
    <col min="9220" max="9220" width="14" style="365" customWidth="1"/>
    <col min="9221" max="9221" width="14.28515625" style="365" bestFit="1" customWidth="1"/>
    <col min="9222" max="9222" width="0" style="365" hidden="1" customWidth="1"/>
    <col min="9223" max="9223" width="15.5703125" style="365" customWidth="1"/>
    <col min="9224" max="9224" width="44.5703125" style="365" customWidth="1"/>
    <col min="9225" max="9225" width="14.28515625" style="365" bestFit="1" customWidth="1"/>
    <col min="9226" max="9226" width="0" style="365" hidden="1" customWidth="1"/>
    <col min="9227" max="9227" width="18.140625" style="365" customWidth="1"/>
    <col min="9228" max="9228" width="0" style="365" hidden="1" customWidth="1"/>
    <col min="9229" max="9229" width="14" style="365" customWidth="1"/>
    <col min="9230" max="9230" width="0" style="365" hidden="1" customWidth="1"/>
    <col min="9231" max="9231" width="20.85546875" style="365" customWidth="1"/>
    <col min="9232" max="9232" width="0" style="365" hidden="1" customWidth="1"/>
    <col min="9233" max="9233" width="13.28515625" style="365" customWidth="1"/>
    <col min="9234" max="9234" width="0" style="365" hidden="1" customWidth="1"/>
    <col min="9235" max="9235" width="15" style="365" customWidth="1"/>
    <col min="9236" max="9236" width="0" style="365" hidden="1" customWidth="1"/>
    <col min="9237" max="9237" width="13.28515625" style="365" customWidth="1"/>
    <col min="9238" max="9238" width="0" style="365" hidden="1" customWidth="1"/>
    <col min="9239" max="9239" width="20.140625" style="365" customWidth="1"/>
    <col min="9240" max="9240" width="14.42578125" style="365" bestFit="1" customWidth="1"/>
    <col min="9241" max="9241" width="14" style="365" bestFit="1" customWidth="1"/>
    <col min="9242" max="9242" width="12.28515625" style="365" bestFit="1" customWidth="1"/>
    <col min="9243" max="9267" width="9.140625" style="365" customWidth="1"/>
    <col min="9268" max="9462" width="8.85546875" style="365"/>
    <col min="9463" max="9463" width="44.5703125" style="365" customWidth="1"/>
    <col min="9464" max="9464" width="14.28515625" style="365" bestFit="1" customWidth="1"/>
    <col min="9465" max="9465" width="1.7109375" style="365" customWidth="1"/>
    <col min="9466" max="9466" width="14.85546875" style="365" customWidth="1"/>
    <col min="9467" max="9467" width="0" style="365" hidden="1" customWidth="1"/>
    <col min="9468" max="9468" width="17.42578125" style="365" customWidth="1"/>
    <col min="9469" max="9469" width="0" style="365" hidden="1" customWidth="1"/>
    <col min="9470" max="9470" width="12.85546875" style="365" customWidth="1"/>
    <col min="9471" max="9471" width="0" style="365" hidden="1" customWidth="1"/>
    <col min="9472" max="9472" width="14.42578125" style="365" customWidth="1"/>
    <col min="9473" max="9473" width="0" style="365" hidden="1" customWidth="1"/>
    <col min="9474" max="9474" width="17.42578125" style="365" customWidth="1"/>
    <col min="9475" max="9475" width="0" style="365" hidden="1" customWidth="1"/>
    <col min="9476" max="9476" width="14" style="365" customWidth="1"/>
    <col min="9477" max="9477" width="14.28515625" style="365" bestFit="1" customWidth="1"/>
    <col min="9478" max="9478" width="0" style="365" hidden="1" customWidth="1"/>
    <col min="9479" max="9479" width="15.5703125" style="365" customWidth="1"/>
    <col min="9480" max="9480" width="44.5703125" style="365" customWidth="1"/>
    <col min="9481" max="9481" width="14.28515625" style="365" bestFit="1" customWidth="1"/>
    <col min="9482" max="9482" width="0" style="365" hidden="1" customWidth="1"/>
    <col min="9483" max="9483" width="18.140625" style="365" customWidth="1"/>
    <col min="9484" max="9484" width="0" style="365" hidden="1" customWidth="1"/>
    <col min="9485" max="9485" width="14" style="365" customWidth="1"/>
    <col min="9486" max="9486" width="0" style="365" hidden="1" customWidth="1"/>
    <col min="9487" max="9487" width="20.85546875" style="365" customWidth="1"/>
    <col min="9488" max="9488" width="0" style="365" hidden="1" customWidth="1"/>
    <col min="9489" max="9489" width="13.28515625" style="365" customWidth="1"/>
    <col min="9490" max="9490" width="0" style="365" hidden="1" customWidth="1"/>
    <col min="9491" max="9491" width="15" style="365" customWidth="1"/>
    <col min="9492" max="9492" width="0" style="365" hidden="1" customWidth="1"/>
    <col min="9493" max="9493" width="13.28515625" style="365" customWidth="1"/>
    <col min="9494" max="9494" width="0" style="365" hidden="1" customWidth="1"/>
    <col min="9495" max="9495" width="20.140625" style="365" customWidth="1"/>
    <col min="9496" max="9496" width="14.42578125" style="365" bestFit="1" customWidth="1"/>
    <col min="9497" max="9497" width="14" style="365" bestFit="1" customWidth="1"/>
    <col min="9498" max="9498" width="12.28515625" style="365" bestFit="1" customWidth="1"/>
    <col min="9499" max="9523" width="9.140625" style="365" customWidth="1"/>
    <col min="9524" max="9718" width="8.85546875" style="365"/>
    <col min="9719" max="9719" width="44.5703125" style="365" customWidth="1"/>
    <col min="9720" max="9720" width="14.28515625" style="365" bestFit="1" customWidth="1"/>
    <col min="9721" max="9721" width="1.7109375" style="365" customWidth="1"/>
    <col min="9722" max="9722" width="14.85546875" style="365" customWidth="1"/>
    <col min="9723" max="9723" width="0" style="365" hidden="1" customWidth="1"/>
    <col min="9724" max="9724" width="17.42578125" style="365" customWidth="1"/>
    <col min="9725" max="9725" width="0" style="365" hidden="1" customWidth="1"/>
    <col min="9726" max="9726" width="12.85546875" style="365" customWidth="1"/>
    <col min="9727" max="9727" width="0" style="365" hidden="1" customWidth="1"/>
    <col min="9728" max="9728" width="14.42578125" style="365" customWidth="1"/>
    <col min="9729" max="9729" width="0" style="365" hidden="1" customWidth="1"/>
    <col min="9730" max="9730" width="17.42578125" style="365" customWidth="1"/>
    <col min="9731" max="9731" width="0" style="365" hidden="1" customWidth="1"/>
    <col min="9732" max="9732" width="14" style="365" customWidth="1"/>
    <col min="9733" max="9733" width="14.28515625" style="365" bestFit="1" customWidth="1"/>
    <col min="9734" max="9734" width="0" style="365" hidden="1" customWidth="1"/>
    <col min="9735" max="9735" width="15.5703125" style="365" customWidth="1"/>
    <col min="9736" max="9736" width="44.5703125" style="365" customWidth="1"/>
    <col min="9737" max="9737" width="14.28515625" style="365" bestFit="1" customWidth="1"/>
    <col min="9738" max="9738" width="0" style="365" hidden="1" customWidth="1"/>
    <col min="9739" max="9739" width="18.140625" style="365" customWidth="1"/>
    <col min="9740" max="9740" width="0" style="365" hidden="1" customWidth="1"/>
    <col min="9741" max="9741" width="14" style="365" customWidth="1"/>
    <col min="9742" max="9742" width="0" style="365" hidden="1" customWidth="1"/>
    <col min="9743" max="9743" width="20.85546875" style="365" customWidth="1"/>
    <col min="9744" max="9744" width="0" style="365" hidden="1" customWidth="1"/>
    <col min="9745" max="9745" width="13.28515625" style="365" customWidth="1"/>
    <col min="9746" max="9746" width="0" style="365" hidden="1" customWidth="1"/>
    <col min="9747" max="9747" width="15" style="365" customWidth="1"/>
    <col min="9748" max="9748" width="0" style="365" hidden="1" customWidth="1"/>
    <col min="9749" max="9749" width="13.28515625" style="365" customWidth="1"/>
    <col min="9750" max="9750" width="0" style="365" hidden="1" customWidth="1"/>
    <col min="9751" max="9751" width="20.140625" style="365" customWidth="1"/>
    <col min="9752" max="9752" width="14.42578125" style="365" bestFit="1" customWidth="1"/>
    <col min="9753" max="9753" width="14" style="365" bestFit="1" customWidth="1"/>
    <col min="9754" max="9754" width="12.28515625" style="365" bestFit="1" customWidth="1"/>
    <col min="9755" max="9779" width="9.140625" style="365" customWidth="1"/>
    <col min="9780" max="9974" width="8.85546875" style="365"/>
    <col min="9975" max="9975" width="44.5703125" style="365" customWidth="1"/>
    <col min="9976" max="9976" width="14.28515625" style="365" bestFit="1" customWidth="1"/>
    <col min="9977" max="9977" width="1.7109375" style="365" customWidth="1"/>
    <col min="9978" max="9978" width="14.85546875" style="365" customWidth="1"/>
    <col min="9979" max="9979" width="0" style="365" hidden="1" customWidth="1"/>
    <col min="9980" max="9980" width="17.42578125" style="365" customWidth="1"/>
    <col min="9981" max="9981" width="0" style="365" hidden="1" customWidth="1"/>
    <col min="9982" max="9982" width="12.85546875" style="365" customWidth="1"/>
    <col min="9983" max="9983" width="0" style="365" hidden="1" customWidth="1"/>
    <col min="9984" max="9984" width="14.42578125" style="365" customWidth="1"/>
    <col min="9985" max="9985" width="0" style="365" hidden="1" customWidth="1"/>
    <col min="9986" max="9986" width="17.42578125" style="365" customWidth="1"/>
    <col min="9987" max="9987" width="0" style="365" hidden="1" customWidth="1"/>
    <col min="9988" max="9988" width="14" style="365" customWidth="1"/>
    <col min="9989" max="9989" width="14.28515625" style="365" bestFit="1" customWidth="1"/>
    <col min="9990" max="9990" width="0" style="365" hidden="1" customWidth="1"/>
    <col min="9991" max="9991" width="15.5703125" style="365" customWidth="1"/>
    <col min="9992" max="9992" width="44.5703125" style="365" customWidth="1"/>
    <col min="9993" max="9993" width="14.28515625" style="365" bestFit="1" customWidth="1"/>
    <col min="9994" max="9994" width="0" style="365" hidden="1" customWidth="1"/>
    <col min="9995" max="9995" width="18.140625" style="365" customWidth="1"/>
    <col min="9996" max="9996" width="0" style="365" hidden="1" customWidth="1"/>
    <col min="9997" max="9997" width="14" style="365" customWidth="1"/>
    <col min="9998" max="9998" width="0" style="365" hidden="1" customWidth="1"/>
    <col min="9999" max="9999" width="20.85546875" style="365" customWidth="1"/>
    <col min="10000" max="10000" width="0" style="365" hidden="1" customWidth="1"/>
    <col min="10001" max="10001" width="13.28515625" style="365" customWidth="1"/>
    <col min="10002" max="10002" width="0" style="365" hidden="1" customWidth="1"/>
    <col min="10003" max="10003" width="15" style="365" customWidth="1"/>
    <col min="10004" max="10004" width="0" style="365" hidden="1" customWidth="1"/>
    <col min="10005" max="10005" width="13.28515625" style="365" customWidth="1"/>
    <col min="10006" max="10006" width="0" style="365" hidden="1" customWidth="1"/>
    <col min="10007" max="10007" width="20.140625" style="365" customWidth="1"/>
    <col min="10008" max="10008" width="14.42578125" style="365" bestFit="1" customWidth="1"/>
    <col min="10009" max="10009" width="14" style="365" bestFit="1" customWidth="1"/>
    <col min="10010" max="10010" width="12.28515625" style="365" bestFit="1" customWidth="1"/>
    <col min="10011" max="10035" width="9.140625" style="365" customWidth="1"/>
    <col min="10036" max="10230" width="8.85546875" style="365"/>
    <col min="10231" max="10231" width="44.5703125" style="365" customWidth="1"/>
    <col min="10232" max="10232" width="14.28515625" style="365" bestFit="1" customWidth="1"/>
    <col min="10233" max="10233" width="1.7109375" style="365" customWidth="1"/>
    <col min="10234" max="10234" width="14.85546875" style="365" customWidth="1"/>
    <col min="10235" max="10235" width="0" style="365" hidden="1" customWidth="1"/>
    <col min="10236" max="10236" width="17.42578125" style="365" customWidth="1"/>
    <col min="10237" max="10237" width="0" style="365" hidden="1" customWidth="1"/>
    <col min="10238" max="10238" width="12.85546875" style="365" customWidth="1"/>
    <col min="10239" max="10239" width="0" style="365" hidden="1" customWidth="1"/>
    <col min="10240" max="10240" width="14.42578125" style="365" customWidth="1"/>
    <col min="10241" max="10241" width="0" style="365" hidden="1" customWidth="1"/>
    <col min="10242" max="10242" width="17.42578125" style="365" customWidth="1"/>
    <col min="10243" max="10243" width="0" style="365" hidden="1" customWidth="1"/>
    <col min="10244" max="10244" width="14" style="365" customWidth="1"/>
    <col min="10245" max="10245" width="14.28515625" style="365" bestFit="1" customWidth="1"/>
    <col min="10246" max="10246" width="0" style="365" hidden="1" customWidth="1"/>
    <col min="10247" max="10247" width="15.5703125" style="365" customWidth="1"/>
    <col min="10248" max="10248" width="44.5703125" style="365" customWidth="1"/>
    <col min="10249" max="10249" width="14.28515625" style="365" bestFit="1" customWidth="1"/>
    <col min="10250" max="10250" width="0" style="365" hidden="1" customWidth="1"/>
    <col min="10251" max="10251" width="18.140625" style="365" customWidth="1"/>
    <col min="10252" max="10252" width="0" style="365" hidden="1" customWidth="1"/>
    <col min="10253" max="10253" width="14" style="365" customWidth="1"/>
    <col min="10254" max="10254" width="0" style="365" hidden="1" customWidth="1"/>
    <col min="10255" max="10255" width="20.85546875" style="365" customWidth="1"/>
    <col min="10256" max="10256" width="0" style="365" hidden="1" customWidth="1"/>
    <col min="10257" max="10257" width="13.28515625" style="365" customWidth="1"/>
    <col min="10258" max="10258" width="0" style="365" hidden="1" customWidth="1"/>
    <col min="10259" max="10259" width="15" style="365" customWidth="1"/>
    <col min="10260" max="10260" width="0" style="365" hidden="1" customWidth="1"/>
    <col min="10261" max="10261" width="13.28515625" style="365" customWidth="1"/>
    <col min="10262" max="10262" width="0" style="365" hidden="1" customWidth="1"/>
    <col min="10263" max="10263" width="20.140625" style="365" customWidth="1"/>
    <col min="10264" max="10264" width="14.42578125" style="365" bestFit="1" customWidth="1"/>
    <col min="10265" max="10265" width="14" style="365" bestFit="1" customWidth="1"/>
    <col min="10266" max="10266" width="12.28515625" style="365" bestFit="1" customWidth="1"/>
    <col min="10267" max="10291" width="9.140625" style="365" customWidth="1"/>
    <col min="10292" max="10486" width="8.85546875" style="365"/>
    <col min="10487" max="10487" width="44.5703125" style="365" customWidth="1"/>
    <col min="10488" max="10488" width="14.28515625" style="365" bestFit="1" customWidth="1"/>
    <col min="10489" max="10489" width="1.7109375" style="365" customWidth="1"/>
    <col min="10490" max="10490" width="14.85546875" style="365" customWidth="1"/>
    <col min="10491" max="10491" width="0" style="365" hidden="1" customWidth="1"/>
    <col min="10492" max="10492" width="17.42578125" style="365" customWidth="1"/>
    <col min="10493" max="10493" width="0" style="365" hidden="1" customWidth="1"/>
    <col min="10494" max="10494" width="12.85546875" style="365" customWidth="1"/>
    <col min="10495" max="10495" width="0" style="365" hidden="1" customWidth="1"/>
    <col min="10496" max="10496" width="14.42578125" style="365" customWidth="1"/>
    <col min="10497" max="10497" width="0" style="365" hidden="1" customWidth="1"/>
    <col min="10498" max="10498" width="17.42578125" style="365" customWidth="1"/>
    <col min="10499" max="10499" width="0" style="365" hidden="1" customWidth="1"/>
    <col min="10500" max="10500" width="14" style="365" customWidth="1"/>
    <col min="10501" max="10501" width="14.28515625" style="365" bestFit="1" customWidth="1"/>
    <col min="10502" max="10502" width="0" style="365" hidden="1" customWidth="1"/>
    <col min="10503" max="10503" width="15.5703125" style="365" customWidth="1"/>
    <col min="10504" max="10504" width="44.5703125" style="365" customWidth="1"/>
    <col min="10505" max="10505" width="14.28515625" style="365" bestFit="1" customWidth="1"/>
    <col min="10506" max="10506" width="0" style="365" hidden="1" customWidth="1"/>
    <col min="10507" max="10507" width="18.140625" style="365" customWidth="1"/>
    <col min="10508" max="10508" width="0" style="365" hidden="1" customWidth="1"/>
    <col min="10509" max="10509" width="14" style="365" customWidth="1"/>
    <col min="10510" max="10510" width="0" style="365" hidden="1" customWidth="1"/>
    <col min="10511" max="10511" width="20.85546875" style="365" customWidth="1"/>
    <col min="10512" max="10512" width="0" style="365" hidden="1" customWidth="1"/>
    <col min="10513" max="10513" width="13.28515625" style="365" customWidth="1"/>
    <col min="10514" max="10514" width="0" style="365" hidden="1" customWidth="1"/>
    <col min="10515" max="10515" width="15" style="365" customWidth="1"/>
    <col min="10516" max="10516" width="0" style="365" hidden="1" customWidth="1"/>
    <col min="10517" max="10517" width="13.28515625" style="365" customWidth="1"/>
    <col min="10518" max="10518" width="0" style="365" hidden="1" customWidth="1"/>
    <col min="10519" max="10519" width="20.140625" style="365" customWidth="1"/>
    <col min="10520" max="10520" width="14.42578125" style="365" bestFit="1" customWidth="1"/>
    <col min="10521" max="10521" width="14" style="365" bestFit="1" customWidth="1"/>
    <col min="10522" max="10522" width="12.28515625" style="365" bestFit="1" customWidth="1"/>
    <col min="10523" max="10547" width="9.140625" style="365" customWidth="1"/>
    <col min="10548" max="10742" width="8.85546875" style="365"/>
    <col min="10743" max="10743" width="44.5703125" style="365" customWidth="1"/>
    <col min="10744" max="10744" width="14.28515625" style="365" bestFit="1" customWidth="1"/>
    <col min="10745" max="10745" width="1.7109375" style="365" customWidth="1"/>
    <col min="10746" max="10746" width="14.85546875" style="365" customWidth="1"/>
    <col min="10747" max="10747" width="0" style="365" hidden="1" customWidth="1"/>
    <col min="10748" max="10748" width="17.42578125" style="365" customWidth="1"/>
    <col min="10749" max="10749" width="0" style="365" hidden="1" customWidth="1"/>
    <col min="10750" max="10750" width="12.85546875" style="365" customWidth="1"/>
    <col min="10751" max="10751" width="0" style="365" hidden="1" customWidth="1"/>
    <col min="10752" max="10752" width="14.42578125" style="365" customWidth="1"/>
    <col min="10753" max="10753" width="0" style="365" hidden="1" customWidth="1"/>
    <col min="10754" max="10754" width="17.42578125" style="365" customWidth="1"/>
    <col min="10755" max="10755" width="0" style="365" hidden="1" customWidth="1"/>
    <col min="10756" max="10756" width="14" style="365" customWidth="1"/>
    <col min="10757" max="10757" width="14.28515625" style="365" bestFit="1" customWidth="1"/>
    <col min="10758" max="10758" width="0" style="365" hidden="1" customWidth="1"/>
    <col min="10759" max="10759" width="15.5703125" style="365" customWidth="1"/>
    <col min="10760" max="10760" width="44.5703125" style="365" customWidth="1"/>
    <col min="10761" max="10761" width="14.28515625" style="365" bestFit="1" customWidth="1"/>
    <col min="10762" max="10762" width="0" style="365" hidden="1" customWidth="1"/>
    <col min="10763" max="10763" width="18.140625" style="365" customWidth="1"/>
    <col min="10764" max="10764" width="0" style="365" hidden="1" customWidth="1"/>
    <col min="10765" max="10765" width="14" style="365" customWidth="1"/>
    <col min="10766" max="10766" width="0" style="365" hidden="1" customWidth="1"/>
    <col min="10767" max="10767" width="20.85546875" style="365" customWidth="1"/>
    <col min="10768" max="10768" width="0" style="365" hidden="1" customWidth="1"/>
    <col min="10769" max="10769" width="13.28515625" style="365" customWidth="1"/>
    <col min="10770" max="10770" width="0" style="365" hidden="1" customWidth="1"/>
    <col min="10771" max="10771" width="15" style="365" customWidth="1"/>
    <col min="10772" max="10772" width="0" style="365" hidden="1" customWidth="1"/>
    <col min="10773" max="10773" width="13.28515625" style="365" customWidth="1"/>
    <col min="10774" max="10774" width="0" style="365" hidden="1" customWidth="1"/>
    <col min="10775" max="10775" width="20.140625" style="365" customWidth="1"/>
    <col min="10776" max="10776" width="14.42578125" style="365" bestFit="1" customWidth="1"/>
    <col min="10777" max="10777" width="14" style="365" bestFit="1" customWidth="1"/>
    <col min="10778" max="10778" width="12.28515625" style="365" bestFit="1" customWidth="1"/>
    <col min="10779" max="10803" width="9.140625" style="365" customWidth="1"/>
    <col min="10804" max="10998" width="8.85546875" style="365"/>
    <col min="10999" max="10999" width="44.5703125" style="365" customWidth="1"/>
    <col min="11000" max="11000" width="14.28515625" style="365" bestFit="1" customWidth="1"/>
    <col min="11001" max="11001" width="1.7109375" style="365" customWidth="1"/>
    <col min="11002" max="11002" width="14.85546875" style="365" customWidth="1"/>
    <col min="11003" max="11003" width="0" style="365" hidden="1" customWidth="1"/>
    <col min="11004" max="11004" width="17.42578125" style="365" customWidth="1"/>
    <col min="11005" max="11005" width="0" style="365" hidden="1" customWidth="1"/>
    <col min="11006" max="11006" width="12.85546875" style="365" customWidth="1"/>
    <col min="11007" max="11007" width="0" style="365" hidden="1" customWidth="1"/>
    <col min="11008" max="11008" width="14.42578125" style="365" customWidth="1"/>
    <col min="11009" max="11009" width="0" style="365" hidden="1" customWidth="1"/>
    <col min="11010" max="11010" width="17.42578125" style="365" customWidth="1"/>
    <col min="11011" max="11011" width="0" style="365" hidden="1" customWidth="1"/>
    <col min="11012" max="11012" width="14" style="365" customWidth="1"/>
    <col min="11013" max="11013" width="14.28515625" style="365" bestFit="1" customWidth="1"/>
    <col min="11014" max="11014" width="0" style="365" hidden="1" customWidth="1"/>
    <col min="11015" max="11015" width="15.5703125" style="365" customWidth="1"/>
    <col min="11016" max="11016" width="44.5703125" style="365" customWidth="1"/>
    <col min="11017" max="11017" width="14.28515625" style="365" bestFit="1" customWidth="1"/>
    <col min="11018" max="11018" width="0" style="365" hidden="1" customWidth="1"/>
    <col min="11019" max="11019" width="18.140625" style="365" customWidth="1"/>
    <col min="11020" max="11020" width="0" style="365" hidden="1" customWidth="1"/>
    <col min="11021" max="11021" width="14" style="365" customWidth="1"/>
    <col min="11022" max="11022" width="0" style="365" hidden="1" customWidth="1"/>
    <col min="11023" max="11023" width="20.85546875" style="365" customWidth="1"/>
    <col min="11024" max="11024" width="0" style="365" hidden="1" customWidth="1"/>
    <col min="11025" max="11025" width="13.28515625" style="365" customWidth="1"/>
    <col min="11026" max="11026" width="0" style="365" hidden="1" customWidth="1"/>
    <col min="11027" max="11027" width="15" style="365" customWidth="1"/>
    <col min="11028" max="11028" width="0" style="365" hidden="1" customWidth="1"/>
    <col min="11029" max="11029" width="13.28515625" style="365" customWidth="1"/>
    <col min="11030" max="11030" width="0" style="365" hidden="1" customWidth="1"/>
    <col min="11031" max="11031" width="20.140625" style="365" customWidth="1"/>
    <col min="11032" max="11032" width="14.42578125" style="365" bestFit="1" customWidth="1"/>
    <col min="11033" max="11033" width="14" style="365" bestFit="1" customWidth="1"/>
    <col min="11034" max="11034" width="12.28515625" style="365" bestFit="1" customWidth="1"/>
    <col min="11035" max="11059" width="9.140625" style="365" customWidth="1"/>
    <col min="11060" max="11254" width="8.85546875" style="365"/>
    <col min="11255" max="11255" width="44.5703125" style="365" customWidth="1"/>
    <col min="11256" max="11256" width="14.28515625" style="365" bestFit="1" customWidth="1"/>
    <col min="11257" max="11257" width="1.7109375" style="365" customWidth="1"/>
    <col min="11258" max="11258" width="14.85546875" style="365" customWidth="1"/>
    <col min="11259" max="11259" width="0" style="365" hidden="1" customWidth="1"/>
    <col min="11260" max="11260" width="17.42578125" style="365" customWidth="1"/>
    <col min="11261" max="11261" width="0" style="365" hidden="1" customWidth="1"/>
    <col min="11262" max="11262" width="12.85546875" style="365" customWidth="1"/>
    <col min="11263" max="11263" width="0" style="365" hidden="1" customWidth="1"/>
    <col min="11264" max="11264" width="14.42578125" style="365" customWidth="1"/>
    <col min="11265" max="11265" width="0" style="365" hidden="1" customWidth="1"/>
    <col min="11266" max="11266" width="17.42578125" style="365" customWidth="1"/>
    <col min="11267" max="11267" width="0" style="365" hidden="1" customWidth="1"/>
    <col min="11268" max="11268" width="14" style="365" customWidth="1"/>
    <col min="11269" max="11269" width="14.28515625" style="365" bestFit="1" customWidth="1"/>
    <col min="11270" max="11270" width="0" style="365" hidden="1" customWidth="1"/>
    <col min="11271" max="11271" width="15.5703125" style="365" customWidth="1"/>
    <col min="11272" max="11272" width="44.5703125" style="365" customWidth="1"/>
    <col min="11273" max="11273" width="14.28515625" style="365" bestFit="1" customWidth="1"/>
    <col min="11274" max="11274" width="0" style="365" hidden="1" customWidth="1"/>
    <col min="11275" max="11275" width="18.140625" style="365" customWidth="1"/>
    <col min="11276" max="11276" width="0" style="365" hidden="1" customWidth="1"/>
    <col min="11277" max="11277" width="14" style="365" customWidth="1"/>
    <col min="11278" max="11278" width="0" style="365" hidden="1" customWidth="1"/>
    <col min="11279" max="11279" width="20.85546875" style="365" customWidth="1"/>
    <col min="11280" max="11280" width="0" style="365" hidden="1" customWidth="1"/>
    <col min="11281" max="11281" width="13.28515625" style="365" customWidth="1"/>
    <col min="11282" max="11282" width="0" style="365" hidden="1" customWidth="1"/>
    <col min="11283" max="11283" width="15" style="365" customWidth="1"/>
    <col min="11284" max="11284" width="0" style="365" hidden="1" customWidth="1"/>
    <col min="11285" max="11285" width="13.28515625" style="365" customWidth="1"/>
    <col min="11286" max="11286" width="0" style="365" hidden="1" customWidth="1"/>
    <col min="11287" max="11287" width="20.140625" style="365" customWidth="1"/>
    <col min="11288" max="11288" width="14.42578125" style="365" bestFit="1" customWidth="1"/>
    <col min="11289" max="11289" width="14" style="365" bestFit="1" customWidth="1"/>
    <col min="11290" max="11290" width="12.28515625" style="365" bestFit="1" customWidth="1"/>
    <col min="11291" max="11315" width="9.140625" style="365" customWidth="1"/>
    <col min="11316" max="11510" width="8.85546875" style="365"/>
    <col min="11511" max="11511" width="44.5703125" style="365" customWidth="1"/>
    <col min="11512" max="11512" width="14.28515625" style="365" bestFit="1" customWidth="1"/>
    <col min="11513" max="11513" width="1.7109375" style="365" customWidth="1"/>
    <col min="11514" max="11514" width="14.85546875" style="365" customWidth="1"/>
    <col min="11515" max="11515" width="0" style="365" hidden="1" customWidth="1"/>
    <col min="11516" max="11516" width="17.42578125" style="365" customWidth="1"/>
    <col min="11517" max="11517" width="0" style="365" hidden="1" customWidth="1"/>
    <col min="11518" max="11518" width="12.85546875" style="365" customWidth="1"/>
    <col min="11519" max="11519" width="0" style="365" hidden="1" customWidth="1"/>
    <col min="11520" max="11520" width="14.42578125" style="365" customWidth="1"/>
    <col min="11521" max="11521" width="0" style="365" hidden="1" customWidth="1"/>
    <col min="11522" max="11522" width="17.42578125" style="365" customWidth="1"/>
    <col min="11523" max="11523" width="0" style="365" hidden="1" customWidth="1"/>
    <col min="11524" max="11524" width="14" style="365" customWidth="1"/>
    <col min="11525" max="11525" width="14.28515625" style="365" bestFit="1" customWidth="1"/>
    <col min="11526" max="11526" width="0" style="365" hidden="1" customWidth="1"/>
    <col min="11527" max="11527" width="15.5703125" style="365" customWidth="1"/>
    <col min="11528" max="11528" width="44.5703125" style="365" customWidth="1"/>
    <col min="11529" max="11529" width="14.28515625" style="365" bestFit="1" customWidth="1"/>
    <col min="11530" max="11530" width="0" style="365" hidden="1" customWidth="1"/>
    <col min="11531" max="11531" width="18.140625" style="365" customWidth="1"/>
    <col min="11532" max="11532" width="0" style="365" hidden="1" customWidth="1"/>
    <col min="11533" max="11533" width="14" style="365" customWidth="1"/>
    <col min="11534" max="11534" width="0" style="365" hidden="1" customWidth="1"/>
    <col min="11535" max="11535" width="20.85546875" style="365" customWidth="1"/>
    <col min="11536" max="11536" width="0" style="365" hidden="1" customWidth="1"/>
    <col min="11537" max="11537" width="13.28515625" style="365" customWidth="1"/>
    <col min="11538" max="11538" width="0" style="365" hidden="1" customWidth="1"/>
    <col min="11539" max="11539" width="15" style="365" customWidth="1"/>
    <col min="11540" max="11540" width="0" style="365" hidden="1" customWidth="1"/>
    <col min="11541" max="11541" width="13.28515625" style="365" customWidth="1"/>
    <col min="11542" max="11542" width="0" style="365" hidden="1" customWidth="1"/>
    <col min="11543" max="11543" width="20.140625" style="365" customWidth="1"/>
    <col min="11544" max="11544" width="14.42578125" style="365" bestFit="1" customWidth="1"/>
    <col min="11545" max="11545" width="14" style="365" bestFit="1" customWidth="1"/>
    <col min="11546" max="11546" width="12.28515625" style="365" bestFit="1" customWidth="1"/>
    <col min="11547" max="11571" width="9.140625" style="365" customWidth="1"/>
    <col min="11572" max="11766" width="8.85546875" style="365"/>
    <col min="11767" max="11767" width="44.5703125" style="365" customWidth="1"/>
    <col min="11768" max="11768" width="14.28515625" style="365" bestFit="1" customWidth="1"/>
    <col min="11769" max="11769" width="1.7109375" style="365" customWidth="1"/>
    <col min="11770" max="11770" width="14.85546875" style="365" customWidth="1"/>
    <col min="11771" max="11771" width="0" style="365" hidden="1" customWidth="1"/>
    <col min="11772" max="11772" width="17.42578125" style="365" customWidth="1"/>
    <col min="11773" max="11773" width="0" style="365" hidden="1" customWidth="1"/>
    <col min="11774" max="11774" width="12.85546875" style="365" customWidth="1"/>
    <col min="11775" max="11775" width="0" style="365" hidden="1" customWidth="1"/>
    <col min="11776" max="11776" width="14.42578125" style="365" customWidth="1"/>
    <col min="11777" max="11777" width="0" style="365" hidden="1" customWidth="1"/>
    <col min="11778" max="11778" width="17.42578125" style="365" customWidth="1"/>
    <col min="11779" max="11779" width="0" style="365" hidden="1" customWidth="1"/>
    <col min="11780" max="11780" width="14" style="365" customWidth="1"/>
    <col min="11781" max="11781" width="14.28515625" style="365" bestFit="1" customWidth="1"/>
    <col min="11782" max="11782" width="0" style="365" hidden="1" customWidth="1"/>
    <col min="11783" max="11783" width="15.5703125" style="365" customWidth="1"/>
    <col min="11784" max="11784" width="44.5703125" style="365" customWidth="1"/>
    <col min="11785" max="11785" width="14.28515625" style="365" bestFit="1" customWidth="1"/>
    <col min="11786" max="11786" width="0" style="365" hidden="1" customWidth="1"/>
    <col min="11787" max="11787" width="18.140625" style="365" customWidth="1"/>
    <col min="11788" max="11788" width="0" style="365" hidden="1" customWidth="1"/>
    <col min="11789" max="11789" width="14" style="365" customWidth="1"/>
    <col min="11790" max="11790" width="0" style="365" hidden="1" customWidth="1"/>
    <col min="11791" max="11791" width="20.85546875" style="365" customWidth="1"/>
    <col min="11792" max="11792" width="0" style="365" hidden="1" customWidth="1"/>
    <col min="11793" max="11793" width="13.28515625" style="365" customWidth="1"/>
    <col min="11794" max="11794" width="0" style="365" hidden="1" customWidth="1"/>
    <col min="11795" max="11795" width="15" style="365" customWidth="1"/>
    <col min="11796" max="11796" width="0" style="365" hidden="1" customWidth="1"/>
    <col min="11797" max="11797" width="13.28515625" style="365" customWidth="1"/>
    <col min="11798" max="11798" width="0" style="365" hidden="1" customWidth="1"/>
    <col min="11799" max="11799" width="20.140625" style="365" customWidth="1"/>
    <col min="11800" max="11800" width="14.42578125" style="365" bestFit="1" customWidth="1"/>
    <col min="11801" max="11801" width="14" style="365" bestFit="1" customWidth="1"/>
    <col min="11802" max="11802" width="12.28515625" style="365" bestFit="1" customWidth="1"/>
    <col min="11803" max="11827" width="9.140625" style="365" customWidth="1"/>
    <col min="11828" max="12022" width="8.85546875" style="365"/>
    <col min="12023" max="12023" width="44.5703125" style="365" customWidth="1"/>
    <col min="12024" max="12024" width="14.28515625" style="365" bestFit="1" customWidth="1"/>
    <col min="12025" max="12025" width="1.7109375" style="365" customWidth="1"/>
    <col min="12026" max="12026" width="14.85546875" style="365" customWidth="1"/>
    <col min="12027" max="12027" width="0" style="365" hidden="1" customWidth="1"/>
    <col min="12028" max="12028" width="17.42578125" style="365" customWidth="1"/>
    <col min="12029" max="12029" width="0" style="365" hidden="1" customWidth="1"/>
    <col min="12030" max="12030" width="12.85546875" style="365" customWidth="1"/>
    <col min="12031" max="12031" width="0" style="365" hidden="1" customWidth="1"/>
    <col min="12032" max="12032" width="14.42578125" style="365" customWidth="1"/>
    <col min="12033" max="12033" width="0" style="365" hidden="1" customWidth="1"/>
    <col min="12034" max="12034" width="17.42578125" style="365" customWidth="1"/>
    <col min="12035" max="12035" width="0" style="365" hidden="1" customWidth="1"/>
    <col min="12036" max="12036" width="14" style="365" customWidth="1"/>
    <col min="12037" max="12037" width="14.28515625" style="365" bestFit="1" customWidth="1"/>
    <col min="12038" max="12038" width="0" style="365" hidden="1" customWidth="1"/>
    <col min="12039" max="12039" width="15.5703125" style="365" customWidth="1"/>
    <col min="12040" max="12040" width="44.5703125" style="365" customWidth="1"/>
    <col min="12041" max="12041" width="14.28515625" style="365" bestFit="1" customWidth="1"/>
    <col min="12042" max="12042" width="0" style="365" hidden="1" customWidth="1"/>
    <col min="12043" max="12043" width="18.140625" style="365" customWidth="1"/>
    <col min="12044" max="12044" width="0" style="365" hidden="1" customWidth="1"/>
    <col min="12045" max="12045" width="14" style="365" customWidth="1"/>
    <col min="12046" max="12046" width="0" style="365" hidden="1" customWidth="1"/>
    <col min="12047" max="12047" width="20.85546875" style="365" customWidth="1"/>
    <col min="12048" max="12048" width="0" style="365" hidden="1" customWidth="1"/>
    <col min="12049" max="12049" width="13.28515625" style="365" customWidth="1"/>
    <col min="12050" max="12050" width="0" style="365" hidden="1" customWidth="1"/>
    <col min="12051" max="12051" width="15" style="365" customWidth="1"/>
    <col min="12052" max="12052" width="0" style="365" hidden="1" customWidth="1"/>
    <col min="12053" max="12053" width="13.28515625" style="365" customWidth="1"/>
    <col min="12054" max="12054" width="0" style="365" hidden="1" customWidth="1"/>
    <col min="12055" max="12055" width="20.140625" style="365" customWidth="1"/>
    <col min="12056" max="12056" width="14.42578125" style="365" bestFit="1" customWidth="1"/>
    <col min="12057" max="12057" width="14" style="365" bestFit="1" customWidth="1"/>
    <col min="12058" max="12058" width="12.28515625" style="365" bestFit="1" customWidth="1"/>
    <col min="12059" max="12083" width="9.140625" style="365" customWidth="1"/>
    <col min="12084" max="12278" width="8.85546875" style="365"/>
    <col min="12279" max="12279" width="44.5703125" style="365" customWidth="1"/>
    <col min="12280" max="12280" width="14.28515625" style="365" bestFit="1" customWidth="1"/>
    <col min="12281" max="12281" width="1.7109375" style="365" customWidth="1"/>
    <col min="12282" max="12282" width="14.85546875" style="365" customWidth="1"/>
    <col min="12283" max="12283" width="0" style="365" hidden="1" customWidth="1"/>
    <col min="12284" max="12284" width="17.42578125" style="365" customWidth="1"/>
    <col min="12285" max="12285" width="0" style="365" hidden="1" customWidth="1"/>
    <col min="12286" max="12286" width="12.85546875" style="365" customWidth="1"/>
    <col min="12287" max="12287" width="0" style="365" hidden="1" customWidth="1"/>
    <col min="12288" max="12288" width="14.42578125" style="365" customWidth="1"/>
    <col min="12289" max="12289" width="0" style="365" hidden="1" customWidth="1"/>
    <col min="12290" max="12290" width="17.42578125" style="365" customWidth="1"/>
    <col min="12291" max="12291" width="0" style="365" hidden="1" customWidth="1"/>
    <col min="12292" max="12292" width="14" style="365" customWidth="1"/>
    <col min="12293" max="12293" width="14.28515625" style="365" bestFit="1" customWidth="1"/>
    <col min="12294" max="12294" width="0" style="365" hidden="1" customWidth="1"/>
    <col min="12295" max="12295" width="15.5703125" style="365" customWidth="1"/>
    <col min="12296" max="12296" width="44.5703125" style="365" customWidth="1"/>
    <col min="12297" max="12297" width="14.28515625" style="365" bestFit="1" customWidth="1"/>
    <col min="12298" max="12298" width="0" style="365" hidden="1" customWidth="1"/>
    <col min="12299" max="12299" width="18.140625" style="365" customWidth="1"/>
    <col min="12300" max="12300" width="0" style="365" hidden="1" customWidth="1"/>
    <col min="12301" max="12301" width="14" style="365" customWidth="1"/>
    <col min="12302" max="12302" width="0" style="365" hidden="1" customWidth="1"/>
    <col min="12303" max="12303" width="20.85546875" style="365" customWidth="1"/>
    <col min="12304" max="12304" width="0" style="365" hidden="1" customWidth="1"/>
    <col min="12305" max="12305" width="13.28515625" style="365" customWidth="1"/>
    <col min="12306" max="12306" width="0" style="365" hidden="1" customWidth="1"/>
    <col min="12307" max="12307" width="15" style="365" customWidth="1"/>
    <col min="12308" max="12308" width="0" style="365" hidden="1" customWidth="1"/>
    <col min="12309" max="12309" width="13.28515625" style="365" customWidth="1"/>
    <col min="12310" max="12310" width="0" style="365" hidden="1" customWidth="1"/>
    <col min="12311" max="12311" width="20.140625" style="365" customWidth="1"/>
    <col min="12312" max="12312" width="14.42578125" style="365" bestFit="1" customWidth="1"/>
    <col min="12313" max="12313" width="14" style="365" bestFit="1" customWidth="1"/>
    <col min="12314" max="12314" width="12.28515625" style="365" bestFit="1" customWidth="1"/>
    <col min="12315" max="12339" width="9.140625" style="365" customWidth="1"/>
    <col min="12340" max="12534" width="8.85546875" style="365"/>
    <col min="12535" max="12535" width="44.5703125" style="365" customWidth="1"/>
    <col min="12536" max="12536" width="14.28515625" style="365" bestFit="1" customWidth="1"/>
    <col min="12537" max="12537" width="1.7109375" style="365" customWidth="1"/>
    <col min="12538" max="12538" width="14.85546875" style="365" customWidth="1"/>
    <col min="12539" max="12539" width="0" style="365" hidden="1" customWidth="1"/>
    <col min="12540" max="12540" width="17.42578125" style="365" customWidth="1"/>
    <col min="12541" max="12541" width="0" style="365" hidden="1" customWidth="1"/>
    <col min="12542" max="12542" width="12.85546875" style="365" customWidth="1"/>
    <col min="12543" max="12543" width="0" style="365" hidden="1" customWidth="1"/>
    <col min="12544" max="12544" width="14.42578125" style="365" customWidth="1"/>
    <col min="12545" max="12545" width="0" style="365" hidden="1" customWidth="1"/>
    <col min="12546" max="12546" width="17.42578125" style="365" customWidth="1"/>
    <col min="12547" max="12547" width="0" style="365" hidden="1" customWidth="1"/>
    <col min="12548" max="12548" width="14" style="365" customWidth="1"/>
    <col min="12549" max="12549" width="14.28515625" style="365" bestFit="1" customWidth="1"/>
    <col min="12550" max="12550" width="0" style="365" hidden="1" customWidth="1"/>
    <col min="12551" max="12551" width="15.5703125" style="365" customWidth="1"/>
    <col min="12552" max="12552" width="44.5703125" style="365" customWidth="1"/>
    <col min="12553" max="12553" width="14.28515625" style="365" bestFit="1" customWidth="1"/>
    <col min="12554" max="12554" width="0" style="365" hidden="1" customWidth="1"/>
    <col min="12555" max="12555" width="18.140625" style="365" customWidth="1"/>
    <col min="12556" max="12556" width="0" style="365" hidden="1" customWidth="1"/>
    <col min="12557" max="12557" width="14" style="365" customWidth="1"/>
    <col min="12558" max="12558" width="0" style="365" hidden="1" customWidth="1"/>
    <col min="12559" max="12559" width="20.85546875" style="365" customWidth="1"/>
    <col min="12560" max="12560" width="0" style="365" hidden="1" customWidth="1"/>
    <col min="12561" max="12561" width="13.28515625" style="365" customWidth="1"/>
    <col min="12562" max="12562" width="0" style="365" hidden="1" customWidth="1"/>
    <col min="12563" max="12563" width="15" style="365" customWidth="1"/>
    <col min="12564" max="12564" width="0" style="365" hidden="1" customWidth="1"/>
    <col min="12565" max="12565" width="13.28515625" style="365" customWidth="1"/>
    <col min="12566" max="12566" width="0" style="365" hidden="1" customWidth="1"/>
    <col min="12567" max="12567" width="20.140625" style="365" customWidth="1"/>
    <col min="12568" max="12568" width="14.42578125" style="365" bestFit="1" customWidth="1"/>
    <col min="12569" max="12569" width="14" style="365" bestFit="1" customWidth="1"/>
    <col min="12570" max="12570" width="12.28515625" style="365" bestFit="1" customWidth="1"/>
    <col min="12571" max="12595" width="9.140625" style="365" customWidth="1"/>
    <col min="12596" max="12790" width="8.85546875" style="365"/>
    <col min="12791" max="12791" width="44.5703125" style="365" customWidth="1"/>
    <col min="12792" max="12792" width="14.28515625" style="365" bestFit="1" customWidth="1"/>
    <col min="12793" max="12793" width="1.7109375" style="365" customWidth="1"/>
    <col min="12794" max="12794" width="14.85546875" style="365" customWidth="1"/>
    <col min="12795" max="12795" width="0" style="365" hidden="1" customWidth="1"/>
    <col min="12796" max="12796" width="17.42578125" style="365" customWidth="1"/>
    <col min="12797" max="12797" width="0" style="365" hidden="1" customWidth="1"/>
    <col min="12798" max="12798" width="12.85546875" style="365" customWidth="1"/>
    <col min="12799" max="12799" width="0" style="365" hidden="1" customWidth="1"/>
    <col min="12800" max="12800" width="14.42578125" style="365" customWidth="1"/>
    <col min="12801" max="12801" width="0" style="365" hidden="1" customWidth="1"/>
    <col min="12802" max="12802" width="17.42578125" style="365" customWidth="1"/>
    <col min="12803" max="12803" width="0" style="365" hidden="1" customWidth="1"/>
    <col min="12804" max="12804" width="14" style="365" customWidth="1"/>
    <col min="12805" max="12805" width="14.28515625" style="365" bestFit="1" customWidth="1"/>
    <col min="12806" max="12806" width="0" style="365" hidden="1" customWidth="1"/>
    <col min="12807" max="12807" width="15.5703125" style="365" customWidth="1"/>
    <col min="12808" max="12808" width="44.5703125" style="365" customWidth="1"/>
    <col min="12809" max="12809" width="14.28515625" style="365" bestFit="1" customWidth="1"/>
    <col min="12810" max="12810" width="0" style="365" hidden="1" customWidth="1"/>
    <col min="12811" max="12811" width="18.140625" style="365" customWidth="1"/>
    <col min="12812" max="12812" width="0" style="365" hidden="1" customWidth="1"/>
    <col min="12813" max="12813" width="14" style="365" customWidth="1"/>
    <col min="12814" max="12814" width="0" style="365" hidden="1" customWidth="1"/>
    <col min="12815" max="12815" width="20.85546875" style="365" customWidth="1"/>
    <col min="12816" max="12816" width="0" style="365" hidden="1" customWidth="1"/>
    <col min="12817" max="12817" width="13.28515625" style="365" customWidth="1"/>
    <col min="12818" max="12818" width="0" style="365" hidden="1" customWidth="1"/>
    <col min="12819" max="12819" width="15" style="365" customWidth="1"/>
    <col min="12820" max="12820" width="0" style="365" hidden="1" customWidth="1"/>
    <col min="12821" max="12821" width="13.28515625" style="365" customWidth="1"/>
    <col min="12822" max="12822" width="0" style="365" hidden="1" customWidth="1"/>
    <col min="12823" max="12823" width="20.140625" style="365" customWidth="1"/>
    <col min="12824" max="12824" width="14.42578125" style="365" bestFit="1" customWidth="1"/>
    <col min="12825" max="12825" width="14" style="365" bestFit="1" customWidth="1"/>
    <col min="12826" max="12826" width="12.28515625" style="365" bestFit="1" customWidth="1"/>
    <col min="12827" max="12851" width="9.140625" style="365" customWidth="1"/>
    <col min="12852" max="13046" width="8.85546875" style="365"/>
    <col min="13047" max="13047" width="44.5703125" style="365" customWidth="1"/>
    <col min="13048" max="13048" width="14.28515625" style="365" bestFit="1" customWidth="1"/>
    <col min="13049" max="13049" width="1.7109375" style="365" customWidth="1"/>
    <col min="13050" max="13050" width="14.85546875" style="365" customWidth="1"/>
    <col min="13051" max="13051" width="0" style="365" hidden="1" customWidth="1"/>
    <col min="13052" max="13052" width="17.42578125" style="365" customWidth="1"/>
    <col min="13053" max="13053" width="0" style="365" hidden="1" customWidth="1"/>
    <col min="13054" max="13054" width="12.85546875" style="365" customWidth="1"/>
    <col min="13055" max="13055" width="0" style="365" hidden="1" customWidth="1"/>
    <col min="13056" max="13056" width="14.42578125" style="365" customWidth="1"/>
    <col min="13057" max="13057" width="0" style="365" hidden="1" customWidth="1"/>
    <col min="13058" max="13058" width="17.42578125" style="365" customWidth="1"/>
    <col min="13059" max="13059" width="0" style="365" hidden="1" customWidth="1"/>
    <col min="13060" max="13060" width="14" style="365" customWidth="1"/>
    <col min="13061" max="13061" width="14.28515625" style="365" bestFit="1" customWidth="1"/>
    <col min="13062" max="13062" width="0" style="365" hidden="1" customWidth="1"/>
    <col min="13063" max="13063" width="15.5703125" style="365" customWidth="1"/>
    <col min="13064" max="13064" width="44.5703125" style="365" customWidth="1"/>
    <col min="13065" max="13065" width="14.28515625" style="365" bestFit="1" customWidth="1"/>
    <col min="13066" max="13066" width="0" style="365" hidden="1" customWidth="1"/>
    <col min="13067" max="13067" width="18.140625" style="365" customWidth="1"/>
    <col min="13068" max="13068" width="0" style="365" hidden="1" customWidth="1"/>
    <col min="13069" max="13069" width="14" style="365" customWidth="1"/>
    <col min="13070" max="13070" width="0" style="365" hidden="1" customWidth="1"/>
    <col min="13071" max="13071" width="20.85546875" style="365" customWidth="1"/>
    <col min="13072" max="13072" width="0" style="365" hidden="1" customWidth="1"/>
    <col min="13073" max="13073" width="13.28515625" style="365" customWidth="1"/>
    <col min="13074" max="13074" width="0" style="365" hidden="1" customWidth="1"/>
    <col min="13075" max="13075" width="15" style="365" customWidth="1"/>
    <col min="13076" max="13076" width="0" style="365" hidden="1" customWidth="1"/>
    <col min="13077" max="13077" width="13.28515625" style="365" customWidth="1"/>
    <col min="13078" max="13078" width="0" style="365" hidden="1" customWidth="1"/>
    <col min="13079" max="13079" width="20.140625" style="365" customWidth="1"/>
    <col min="13080" max="13080" width="14.42578125" style="365" bestFit="1" customWidth="1"/>
    <col min="13081" max="13081" width="14" style="365" bestFit="1" customWidth="1"/>
    <col min="13082" max="13082" width="12.28515625" style="365" bestFit="1" customWidth="1"/>
    <col min="13083" max="13107" width="9.140625" style="365" customWidth="1"/>
    <col min="13108" max="13302" width="8.85546875" style="365"/>
    <col min="13303" max="13303" width="44.5703125" style="365" customWidth="1"/>
    <col min="13304" max="13304" width="14.28515625" style="365" bestFit="1" customWidth="1"/>
    <col min="13305" max="13305" width="1.7109375" style="365" customWidth="1"/>
    <col min="13306" max="13306" width="14.85546875" style="365" customWidth="1"/>
    <col min="13307" max="13307" width="0" style="365" hidden="1" customWidth="1"/>
    <col min="13308" max="13308" width="17.42578125" style="365" customWidth="1"/>
    <col min="13309" max="13309" width="0" style="365" hidden="1" customWidth="1"/>
    <col min="13310" max="13310" width="12.85546875" style="365" customWidth="1"/>
    <col min="13311" max="13311" width="0" style="365" hidden="1" customWidth="1"/>
    <col min="13312" max="13312" width="14.42578125" style="365" customWidth="1"/>
    <col min="13313" max="13313" width="0" style="365" hidden="1" customWidth="1"/>
    <col min="13314" max="13314" width="17.42578125" style="365" customWidth="1"/>
    <col min="13315" max="13315" width="0" style="365" hidden="1" customWidth="1"/>
    <col min="13316" max="13316" width="14" style="365" customWidth="1"/>
    <col min="13317" max="13317" width="14.28515625" style="365" bestFit="1" customWidth="1"/>
    <col min="13318" max="13318" width="0" style="365" hidden="1" customWidth="1"/>
    <col min="13319" max="13319" width="15.5703125" style="365" customWidth="1"/>
    <col min="13320" max="13320" width="44.5703125" style="365" customWidth="1"/>
    <col min="13321" max="13321" width="14.28515625" style="365" bestFit="1" customWidth="1"/>
    <col min="13322" max="13322" width="0" style="365" hidden="1" customWidth="1"/>
    <col min="13323" max="13323" width="18.140625" style="365" customWidth="1"/>
    <col min="13324" max="13324" width="0" style="365" hidden="1" customWidth="1"/>
    <col min="13325" max="13325" width="14" style="365" customWidth="1"/>
    <col min="13326" max="13326" width="0" style="365" hidden="1" customWidth="1"/>
    <col min="13327" max="13327" width="20.85546875" style="365" customWidth="1"/>
    <col min="13328" max="13328" width="0" style="365" hidden="1" customWidth="1"/>
    <col min="13329" max="13329" width="13.28515625" style="365" customWidth="1"/>
    <col min="13330" max="13330" width="0" style="365" hidden="1" customWidth="1"/>
    <col min="13331" max="13331" width="15" style="365" customWidth="1"/>
    <col min="13332" max="13332" width="0" style="365" hidden="1" customWidth="1"/>
    <col min="13333" max="13333" width="13.28515625" style="365" customWidth="1"/>
    <col min="13334" max="13334" width="0" style="365" hidden="1" customWidth="1"/>
    <col min="13335" max="13335" width="20.140625" style="365" customWidth="1"/>
    <col min="13336" max="13336" width="14.42578125" style="365" bestFit="1" customWidth="1"/>
    <col min="13337" max="13337" width="14" style="365" bestFit="1" customWidth="1"/>
    <col min="13338" max="13338" width="12.28515625" style="365" bestFit="1" customWidth="1"/>
    <col min="13339" max="13363" width="9.140625" style="365" customWidth="1"/>
    <col min="13364" max="13558" width="8.85546875" style="365"/>
    <col min="13559" max="13559" width="44.5703125" style="365" customWidth="1"/>
    <col min="13560" max="13560" width="14.28515625" style="365" bestFit="1" customWidth="1"/>
    <col min="13561" max="13561" width="1.7109375" style="365" customWidth="1"/>
    <col min="13562" max="13562" width="14.85546875" style="365" customWidth="1"/>
    <col min="13563" max="13563" width="0" style="365" hidden="1" customWidth="1"/>
    <col min="13564" max="13564" width="17.42578125" style="365" customWidth="1"/>
    <col min="13565" max="13565" width="0" style="365" hidden="1" customWidth="1"/>
    <col min="13566" max="13566" width="12.85546875" style="365" customWidth="1"/>
    <col min="13567" max="13567" width="0" style="365" hidden="1" customWidth="1"/>
    <col min="13568" max="13568" width="14.42578125" style="365" customWidth="1"/>
    <col min="13569" max="13569" width="0" style="365" hidden="1" customWidth="1"/>
    <col min="13570" max="13570" width="17.42578125" style="365" customWidth="1"/>
    <col min="13571" max="13571" width="0" style="365" hidden="1" customWidth="1"/>
    <col min="13572" max="13572" width="14" style="365" customWidth="1"/>
    <col min="13573" max="13573" width="14.28515625" style="365" bestFit="1" customWidth="1"/>
    <col min="13574" max="13574" width="0" style="365" hidden="1" customWidth="1"/>
    <col min="13575" max="13575" width="15.5703125" style="365" customWidth="1"/>
    <col min="13576" max="13576" width="44.5703125" style="365" customWidth="1"/>
    <col min="13577" max="13577" width="14.28515625" style="365" bestFit="1" customWidth="1"/>
    <col min="13578" max="13578" width="0" style="365" hidden="1" customWidth="1"/>
    <col min="13579" max="13579" width="18.140625" style="365" customWidth="1"/>
    <col min="13580" max="13580" width="0" style="365" hidden="1" customWidth="1"/>
    <col min="13581" max="13581" width="14" style="365" customWidth="1"/>
    <col min="13582" max="13582" width="0" style="365" hidden="1" customWidth="1"/>
    <col min="13583" max="13583" width="20.85546875" style="365" customWidth="1"/>
    <col min="13584" max="13584" width="0" style="365" hidden="1" customWidth="1"/>
    <col min="13585" max="13585" width="13.28515625" style="365" customWidth="1"/>
    <col min="13586" max="13586" width="0" style="365" hidden="1" customWidth="1"/>
    <col min="13587" max="13587" width="15" style="365" customWidth="1"/>
    <col min="13588" max="13588" width="0" style="365" hidden="1" customWidth="1"/>
    <col min="13589" max="13589" width="13.28515625" style="365" customWidth="1"/>
    <col min="13590" max="13590" width="0" style="365" hidden="1" customWidth="1"/>
    <col min="13591" max="13591" width="20.140625" style="365" customWidth="1"/>
    <col min="13592" max="13592" width="14.42578125" style="365" bestFit="1" customWidth="1"/>
    <col min="13593" max="13593" width="14" style="365" bestFit="1" customWidth="1"/>
    <col min="13594" max="13594" width="12.28515625" style="365" bestFit="1" customWidth="1"/>
    <col min="13595" max="13619" width="9.140625" style="365" customWidth="1"/>
    <col min="13620" max="13814" width="8.85546875" style="365"/>
    <col min="13815" max="13815" width="44.5703125" style="365" customWidth="1"/>
    <col min="13816" max="13816" width="14.28515625" style="365" bestFit="1" customWidth="1"/>
    <col min="13817" max="13817" width="1.7109375" style="365" customWidth="1"/>
    <col min="13818" max="13818" width="14.85546875" style="365" customWidth="1"/>
    <col min="13819" max="13819" width="0" style="365" hidden="1" customWidth="1"/>
    <col min="13820" max="13820" width="17.42578125" style="365" customWidth="1"/>
    <col min="13821" max="13821" width="0" style="365" hidden="1" customWidth="1"/>
    <col min="13822" max="13822" width="12.85546875" style="365" customWidth="1"/>
    <col min="13823" max="13823" width="0" style="365" hidden="1" customWidth="1"/>
    <col min="13824" max="13824" width="14.42578125" style="365" customWidth="1"/>
    <col min="13825" max="13825" width="0" style="365" hidden="1" customWidth="1"/>
    <col min="13826" max="13826" width="17.42578125" style="365" customWidth="1"/>
    <col min="13827" max="13827" width="0" style="365" hidden="1" customWidth="1"/>
    <col min="13828" max="13828" width="14" style="365" customWidth="1"/>
    <col min="13829" max="13829" width="14.28515625" style="365" bestFit="1" customWidth="1"/>
    <col min="13830" max="13830" width="0" style="365" hidden="1" customWidth="1"/>
    <col min="13831" max="13831" width="15.5703125" style="365" customWidth="1"/>
    <col min="13832" max="13832" width="44.5703125" style="365" customWidth="1"/>
    <col min="13833" max="13833" width="14.28515625" style="365" bestFit="1" customWidth="1"/>
    <col min="13834" max="13834" width="0" style="365" hidden="1" customWidth="1"/>
    <col min="13835" max="13835" width="18.140625" style="365" customWidth="1"/>
    <col min="13836" max="13836" width="0" style="365" hidden="1" customWidth="1"/>
    <col min="13837" max="13837" width="14" style="365" customWidth="1"/>
    <col min="13838" max="13838" width="0" style="365" hidden="1" customWidth="1"/>
    <col min="13839" max="13839" width="20.85546875" style="365" customWidth="1"/>
    <col min="13840" max="13840" width="0" style="365" hidden="1" customWidth="1"/>
    <col min="13841" max="13841" width="13.28515625" style="365" customWidth="1"/>
    <col min="13842" max="13842" width="0" style="365" hidden="1" customWidth="1"/>
    <col min="13843" max="13843" width="15" style="365" customWidth="1"/>
    <col min="13844" max="13844" width="0" style="365" hidden="1" customWidth="1"/>
    <col min="13845" max="13845" width="13.28515625" style="365" customWidth="1"/>
    <col min="13846" max="13846" width="0" style="365" hidden="1" customWidth="1"/>
    <col min="13847" max="13847" width="20.140625" style="365" customWidth="1"/>
    <col min="13848" max="13848" width="14.42578125" style="365" bestFit="1" customWidth="1"/>
    <col min="13849" max="13849" width="14" style="365" bestFit="1" customWidth="1"/>
    <col min="13850" max="13850" width="12.28515625" style="365" bestFit="1" customWidth="1"/>
    <col min="13851" max="13875" width="9.140625" style="365" customWidth="1"/>
    <col min="13876" max="14070" width="8.85546875" style="365"/>
    <col min="14071" max="14071" width="44.5703125" style="365" customWidth="1"/>
    <col min="14072" max="14072" width="14.28515625" style="365" bestFit="1" customWidth="1"/>
    <col min="14073" max="14073" width="1.7109375" style="365" customWidth="1"/>
    <col min="14074" max="14074" width="14.85546875" style="365" customWidth="1"/>
    <col min="14075" max="14075" width="0" style="365" hidden="1" customWidth="1"/>
    <col min="14076" max="14076" width="17.42578125" style="365" customWidth="1"/>
    <col min="14077" max="14077" width="0" style="365" hidden="1" customWidth="1"/>
    <col min="14078" max="14078" width="12.85546875" style="365" customWidth="1"/>
    <col min="14079" max="14079" width="0" style="365" hidden="1" customWidth="1"/>
    <col min="14080" max="14080" width="14.42578125" style="365" customWidth="1"/>
    <col min="14081" max="14081" width="0" style="365" hidden="1" customWidth="1"/>
    <col min="14082" max="14082" width="17.42578125" style="365" customWidth="1"/>
    <col min="14083" max="14083" width="0" style="365" hidden="1" customWidth="1"/>
    <col min="14084" max="14084" width="14" style="365" customWidth="1"/>
    <col min="14085" max="14085" width="14.28515625" style="365" bestFit="1" customWidth="1"/>
    <col min="14086" max="14086" width="0" style="365" hidden="1" customWidth="1"/>
    <col min="14087" max="14087" width="15.5703125" style="365" customWidth="1"/>
    <col min="14088" max="14088" width="44.5703125" style="365" customWidth="1"/>
    <col min="14089" max="14089" width="14.28515625" style="365" bestFit="1" customWidth="1"/>
    <col min="14090" max="14090" width="0" style="365" hidden="1" customWidth="1"/>
    <col min="14091" max="14091" width="18.140625" style="365" customWidth="1"/>
    <col min="14092" max="14092" width="0" style="365" hidden="1" customWidth="1"/>
    <col min="14093" max="14093" width="14" style="365" customWidth="1"/>
    <col min="14094" max="14094" width="0" style="365" hidden="1" customWidth="1"/>
    <col min="14095" max="14095" width="20.85546875" style="365" customWidth="1"/>
    <col min="14096" max="14096" width="0" style="365" hidden="1" customWidth="1"/>
    <col min="14097" max="14097" width="13.28515625" style="365" customWidth="1"/>
    <col min="14098" max="14098" width="0" style="365" hidden="1" customWidth="1"/>
    <col min="14099" max="14099" width="15" style="365" customWidth="1"/>
    <col min="14100" max="14100" width="0" style="365" hidden="1" customWidth="1"/>
    <col min="14101" max="14101" width="13.28515625" style="365" customWidth="1"/>
    <col min="14102" max="14102" width="0" style="365" hidden="1" customWidth="1"/>
    <col min="14103" max="14103" width="20.140625" style="365" customWidth="1"/>
    <col min="14104" max="14104" width="14.42578125" style="365" bestFit="1" customWidth="1"/>
    <col min="14105" max="14105" width="14" style="365" bestFit="1" customWidth="1"/>
    <col min="14106" max="14106" width="12.28515625" style="365" bestFit="1" customWidth="1"/>
    <col min="14107" max="14131" width="9.140625" style="365" customWidth="1"/>
    <col min="14132" max="14326" width="8.85546875" style="365"/>
    <col min="14327" max="14327" width="44.5703125" style="365" customWidth="1"/>
    <col min="14328" max="14328" width="14.28515625" style="365" bestFit="1" customWidth="1"/>
    <col min="14329" max="14329" width="1.7109375" style="365" customWidth="1"/>
    <col min="14330" max="14330" width="14.85546875" style="365" customWidth="1"/>
    <col min="14331" max="14331" width="0" style="365" hidden="1" customWidth="1"/>
    <col min="14332" max="14332" width="17.42578125" style="365" customWidth="1"/>
    <col min="14333" max="14333" width="0" style="365" hidden="1" customWidth="1"/>
    <col min="14334" max="14334" width="12.85546875" style="365" customWidth="1"/>
    <col min="14335" max="14335" width="0" style="365" hidden="1" customWidth="1"/>
    <col min="14336" max="14336" width="14.42578125" style="365" customWidth="1"/>
    <col min="14337" max="14337" width="0" style="365" hidden="1" customWidth="1"/>
    <col min="14338" max="14338" width="17.42578125" style="365" customWidth="1"/>
    <col min="14339" max="14339" width="0" style="365" hidden="1" customWidth="1"/>
    <col min="14340" max="14340" width="14" style="365" customWidth="1"/>
    <col min="14341" max="14341" width="14.28515625" style="365" bestFit="1" customWidth="1"/>
    <col min="14342" max="14342" width="0" style="365" hidden="1" customWidth="1"/>
    <col min="14343" max="14343" width="15.5703125" style="365" customWidth="1"/>
    <col min="14344" max="14344" width="44.5703125" style="365" customWidth="1"/>
    <col min="14345" max="14345" width="14.28515625" style="365" bestFit="1" customWidth="1"/>
    <col min="14346" max="14346" width="0" style="365" hidden="1" customWidth="1"/>
    <col min="14347" max="14347" width="18.140625" style="365" customWidth="1"/>
    <col min="14348" max="14348" width="0" style="365" hidden="1" customWidth="1"/>
    <col min="14349" max="14349" width="14" style="365" customWidth="1"/>
    <col min="14350" max="14350" width="0" style="365" hidden="1" customWidth="1"/>
    <col min="14351" max="14351" width="20.85546875" style="365" customWidth="1"/>
    <col min="14352" max="14352" width="0" style="365" hidden="1" customWidth="1"/>
    <col min="14353" max="14353" width="13.28515625" style="365" customWidth="1"/>
    <col min="14354" max="14354" width="0" style="365" hidden="1" customWidth="1"/>
    <col min="14355" max="14355" width="15" style="365" customWidth="1"/>
    <col min="14356" max="14356" width="0" style="365" hidden="1" customWidth="1"/>
    <col min="14357" max="14357" width="13.28515625" style="365" customWidth="1"/>
    <col min="14358" max="14358" width="0" style="365" hidden="1" customWidth="1"/>
    <col min="14359" max="14359" width="20.140625" style="365" customWidth="1"/>
    <col min="14360" max="14360" width="14.42578125" style="365" bestFit="1" customWidth="1"/>
    <col min="14361" max="14361" width="14" style="365" bestFit="1" customWidth="1"/>
    <col min="14362" max="14362" width="12.28515625" style="365" bestFit="1" customWidth="1"/>
    <col min="14363" max="14387" width="9.140625" style="365" customWidth="1"/>
    <col min="14388" max="14582" width="8.85546875" style="365"/>
    <col min="14583" max="14583" width="44.5703125" style="365" customWidth="1"/>
    <col min="14584" max="14584" width="14.28515625" style="365" bestFit="1" customWidth="1"/>
    <col min="14585" max="14585" width="1.7109375" style="365" customWidth="1"/>
    <col min="14586" max="14586" width="14.85546875" style="365" customWidth="1"/>
    <col min="14587" max="14587" width="0" style="365" hidden="1" customWidth="1"/>
    <col min="14588" max="14588" width="17.42578125" style="365" customWidth="1"/>
    <col min="14589" max="14589" width="0" style="365" hidden="1" customWidth="1"/>
    <col min="14590" max="14590" width="12.85546875" style="365" customWidth="1"/>
    <col min="14591" max="14591" width="0" style="365" hidden="1" customWidth="1"/>
    <col min="14592" max="14592" width="14.42578125" style="365" customWidth="1"/>
    <col min="14593" max="14593" width="0" style="365" hidden="1" customWidth="1"/>
    <col min="14594" max="14594" width="17.42578125" style="365" customWidth="1"/>
    <col min="14595" max="14595" width="0" style="365" hidden="1" customWidth="1"/>
    <col min="14596" max="14596" width="14" style="365" customWidth="1"/>
    <col min="14597" max="14597" width="14.28515625" style="365" bestFit="1" customWidth="1"/>
    <col min="14598" max="14598" width="0" style="365" hidden="1" customWidth="1"/>
    <col min="14599" max="14599" width="15.5703125" style="365" customWidth="1"/>
    <col min="14600" max="14600" width="44.5703125" style="365" customWidth="1"/>
    <col min="14601" max="14601" width="14.28515625" style="365" bestFit="1" customWidth="1"/>
    <col min="14602" max="14602" width="0" style="365" hidden="1" customWidth="1"/>
    <col min="14603" max="14603" width="18.140625" style="365" customWidth="1"/>
    <col min="14604" max="14604" width="0" style="365" hidden="1" customWidth="1"/>
    <col min="14605" max="14605" width="14" style="365" customWidth="1"/>
    <col min="14606" max="14606" width="0" style="365" hidden="1" customWidth="1"/>
    <col min="14607" max="14607" width="20.85546875" style="365" customWidth="1"/>
    <col min="14608" max="14608" width="0" style="365" hidden="1" customWidth="1"/>
    <col min="14609" max="14609" width="13.28515625" style="365" customWidth="1"/>
    <col min="14610" max="14610" width="0" style="365" hidden="1" customWidth="1"/>
    <col min="14611" max="14611" width="15" style="365" customWidth="1"/>
    <col min="14612" max="14612" width="0" style="365" hidden="1" customWidth="1"/>
    <col min="14613" max="14613" width="13.28515625" style="365" customWidth="1"/>
    <col min="14614" max="14614" width="0" style="365" hidden="1" customWidth="1"/>
    <col min="14615" max="14615" width="20.140625" style="365" customWidth="1"/>
    <col min="14616" max="14616" width="14.42578125" style="365" bestFit="1" customWidth="1"/>
    <col min="14617" max="14617" width="14" style="365" bestFit="1" customWidth="1"/>
    <col min="14618" max="14618" width="12.28515625" style="365" bestFit="1" customWidth="1"/>
    <col min="14619" max="14643" width="9.140625" style="365" customWidth="1"/>
    <col min="14644" max="14838" width="8.85546875" style="365"/>
    <col min="14839" max="14839" width="44.5703125" style="365" customWidth="1"/>
    <col min="14840" max="14840" width="14.28515625" style="365" bestFit="1" customWidth="1"/>
    <col min="14841" max="14841" width="1.7109375" style="365" customWidth="1"/>
    <col min="14842" max="14842" width="14.85546875" style="365" customWidth="1"/>
    <col min="14843" max="14843" width="0" style="365" hidden="1" customWidth="1"/>
    <col min="14844" max="14844" width="17.42578125" style="365" customWidth="1"/>
    <col min="14845" max="14845" width="0" style="365" hidden="1" customWidth="1"/>
    <col min="14846" max="14846" width="12.85546875" style="365" customWidth="1"/>
    <col min="14847" max="14847" width="0" style="365" hidden="1" customWidth="1"/>
    <col min="14848" max="14848" width="14.42578125" style="365" customWidth="1"/>
    <col min="14849" max="14849" width="0" style="365" hidden="1" customWidth="1"/>
    <col min="14850" max="14850" width="17.42578125" style="365" customWidth="1"/>
    <col min="14851" max="14851" width="0" style="365" hidden="1" customWidth="1"/>
    <col min="14852" max="14852" width="14" style="365" customWidth="1"/>
    <col min="14853" max="14853" width="14.28515625" style="365" bestFit="1" customWidth="1"/>
    <col min="14854" max="14854" width="0" style="365" hidden="1" customWidth="1"/>
    <col min="14855" max="14855" width="15.5703125" style="365" customWidth="1"/>
    <col min="14856" max="14856" width="44.5703125" style="365" customWidth="1"/>
    <col min="14857" max="14857" width="14.28515625" style="365" bestFit="1" customWidth="1"/>
    <col min="14858" max="14858" width="0" style="365" hidden="1" customWidth="1"/>
    <col min="14859" max="14859" width="18.140625" style="365" customWidth="1"/>
    <col min="14860" max="14860" width="0" style="365" hidden="1" customWidth="1"/>
    <col min="14861" max="14861" width="14" style="365" customWidth="1"/>
    <col min="14862" max="14862" width="0" style="365" hidden="1" customWidth="1"/>
    <col min="14863" max="14863" width="20.85546875" style="365" customWidth="1"/>
    <col min="14864" max="14864" width="0" style="365" hidden="1" customWidth="1"/>
    <col min="14865" max="14865" width="13.28515625" style="365" customWidth="1"/>
    <col min="14866" max="14866" width="0" style="365" hidden="1" customWidth="1"/>
    <col min="14867" max="14867" width="15" style="365" customWidth="1"/>
    <col min="14868" max="14868" width="0" style="365" hidden="1" customWidth="1"/>
    <col min="14869" max="14869" width="13.28515625" style="365" customWidth="1"/>
    <col min="14870" max="14870" width="0" style="365" hidden="1" customWidth="1"/>
    <col min="14871" max="14871" width="20.140625" style="365" customWidth="1"/>
    <col min="14872" max="14872" width="14.42578125" style="365" bestFit="1" customWidth="1"/>
    <col min="14873" max="14873" width="14" style="365" bestFit="1" customWidth="1"/>
    <col min="14874" max="14874" width="12.28515625" style="365" bestFit="1" customWidth="1"/>
    <col min="14875" max="14899" width="9.140625" style="365" customWidth="1"/>
    <col min="14900" max="15094" width="8.85546875" style="365"/>
    <col min="15095" max="15095" width="44.5703125" style="365" customWidth="1"/>
    <col min="15096" max="15096" width="14.28515625" style="365" bestFit="1" customWidth="1"/>
    <col min="15097" max="15097" width="1.7109375" style="365" customWidth="1"/>
    <col min="15098" max="15098" width="14.85546875" style="365" customWidth="1"/>
    <col min="15099" max="15099" width="0" style="365" hidden="1" customWidth="1"/>
    <col min="15100" max="15100" width="17.42578125" style="365" customWidth="1"/>
    <col min="15101" max="15101" width="0" style="365" hidden="1" customWidth="1"/>
    <col min="15102" max="15102" width="12.85546875" style="365" customWidth="1"/>
    <col min="15103" max="15103" width="0" style="365" hidden="1" customWidth="1"/>
    <col min="15104" max="15104" width="14.42578125" style="365" customWidth="1"/>
    <col min="15105" max="15105" width="0" style="365" hidden="1" customWidth="1"/>
    <col min="15106" max="15106" width="17.42578125" style="365" customWidth="1"/>
    <col min="15107" max="15107" width="0" style="365" hidden="1" customWidth="1"/>
    <col min="15108" max="15108" width="14" style="365" customWidth="1"/>
    <col min="15109" max="15109" width="14.28515625" style="365" bestFit="1" customWidth="1"/>
    <col min="15110" max="15110" width="0" style="365" hidden="1" customWidth="1"/>
    <col min="15111" max="15111" width="15.5703125" style="365" customWidth="1"/>
    <col min="15112" max="15112" width="44.5703125" style="365" customWidth="1"/>
    <col min="15113" max="15113" width="14.28515625" style="365" bestFit="1" customWidth="1"/>
    <col min="15114" max="15114" width="0" style="365" hidden="1" customWidth="1"/>
    <col min="15115" max="15115" width="18.140625" style="365" customWidth="1"/>
    <col min="15116" max="15116" width="0" style="365" hidden="1" customWidth="1"/>
    <col min="15117" max="15117" width="14" style="365" customWidth="1"/>
    <col min="15118" max="15118" width="0" style="365" hidden="1" customWidth="1"/>
    <col min="15119" max="15119" width="20.85546875" style="365" customWidth="1"/>
    <col min="15120" max="15120" width="0" style="365" hidden="1" customWidth="1"/>
    <col min="15121" max="15121" width="13.28515625" style="365" customWidth="1"/>
    <col min="15122" max="15122" width="0" style="365" hidden="1" customWidth="1"/>
    <col min="15123" max="15123" width="15" style="365" customWidth="1"/>
    <col min="15124" max="15124" width="0" style="365" hidden="1" customWidth="1"/>
    <col min="15125" max="15125" width="13.28515625" style="365" customWidth="1"/>
    <col min="15126" max="15126" width="0" style="365" hidden="1" customWidth="1"/>
    <col min="15127" max="15127" width="20.140625" style="365" customWidth="1"/>
    <col min="15128" max="15128" width="14.42578125" style="365" bestFit="1" customWidth="1"/>
    <col min="15129" max="15129" width="14" style="365" bestFit="1" customWidth="1"/>
    <col min="15130" max="15130" width="12.28515625" style="365" bestFit="1" customWidth="1"/>
    <col min="15131" max="15155" width="9.140625" style="365" customWidth="1"/>
    <col min="15156" max="15350" width="8.85546875" style="365"/>
    <col min="15351" max="15351" width="44.5703125" style="365" customWidth="1"/>
    <col min="15352" max="15352" width="14.28515625" style="365" bestFit="1" customWidth="1"/>
    <col min="15353" max="15353" width="1.7109375" style="365" customWidth="1"/>
    <col min="15354" max="15354" width="14.85546875" style="365" customWidth="1"/>
    <col min="15355" max="15355" width="0" style="365" hidden="1" customWidth="1"/>
    <col min="15356" max="15356" width="17.42578125" style="365" customWidth="1"/>
    <col min="15357" max="15357" width="0" style="365" hidden="1" customWidth="1"/>
    <col min="15358" max="15358" width="12.85546875" style="365" customWidth="1"/>
    <col min="15359" max="15359" width="0" style="365" hidden="1" customWidth="1"/>
    <col min="15360" max="15360" width="14.42578125" style="365" customWidth="1"/>
    <col min="15361" max="15361" width="0" style="365" hidden="1" customWidth="1"/>
    <col min="15362" max="15362" width="17.42578125" style="365" customWidth="1"/>
    <col min="15363" max="15363" width="0" style="365" hidden="1" customWidth="1"/>
    <col min="15364" max="15364" width="14" style="365" customWidth="1"/>
    <col min="15365" max="15365" width="14.28515625" style="365" bestFit="1" customWidth="1"/>
    <col min="15366" max="15366" width="0" style="365" hidden="1" customWidth="1"/>
    <col min="15367" max="15367" width="15.5703125" style="365" customWidth="1"/>
    <col min="15368" max="15368" width="44.5703125" style="365" customWidth="1"/>
    <col min="15369" max="15369" width="14.28515625" style="365" bestFit="1" customWidth="1"/>
    <col min="15370" max="15370" width="0" style="365" hidden="1" customWidth="1"/>
    <col min="15371" max="15371" width="18.140625" style="365" customWidth="1"/>
    <col min="15372" max="15372" width="0" style="365" hidden="1" customWidth="1"/>
    <col min="15373" max="15373" width="14" style="365" customWidth="1"/>
    <col min="15374" max="15374" width="0" style="365" hidden="1" customWidth="1"/>
    <col min="15375" max="15375" width="20.85546875" style="365" customWidth="1"/>
    <col min="15376" max="15376" width="0" style="365" hidden="1" customWidth="1"/>
    <col min="15377" max="15377" width="13.28515625" style="365" customWidth="1"/>
    <col min="15378" max="15378" width="0" style="365" hidden="1" customWidth="1"/>
    <col min="15379" max="15379" width="15" style="365" customWidth="1"/>
    <col min="15380" max="15380" width="0" style="365" hidden="1" customWidth="1"/>
    <col min="15381" max="15381" width="13.28515625" style="365" customWidth="1"/>
    <col min="15382" max="15382" width="0" style="365" hidden="1" customWidth="1"/>
    <col min="15383" max="15383" width="20.140625" style="365" customWidth="1"/>
    <col min="15384" max="15384" width="14.42578125" style="365" bestFit="1" customWidth="1"/>
    <col min="15385" max="15385" width="14" style="365" bestFit="1" customWidth="1"/>
    <col min="15386" max="15386" width="12.28515625" style="365" bestFit="1" customWidth="1"/>
    <col min="15387" max="15411" width="9.140625" style="365" customWidth="1"/>
    <col min="15412" max="15606" width="8.85546875" style="365"/>
    <col min="15607" max="15607" width="44.5703125" style="365" customWidth="1"/>
    <col min="15608" max="15608" width="14.28515625" style="365" bestFit="1" customWidth="1"/>
    <col min="15609" max="15609" width="1.7109375" style="365" customWidth="1"/>
    <col min="15610" max="15610" width="14.85546875" style="365" customWidth="1"/>
    <col min="15611" max="15611" width="0" style="365" hidden="1" customWidth="1"/>
    <col min="15612" max="15612" width="17.42578125" style="365" customWidth="1"/>
    <col min="15613" max="15613" width="0" style="365" hidden="1" customWidth="1"/>
    <col min="15614" max="15614" width="12.85546875" style="365" customWidth="1"/>
    <col min="15615" max="15615" width="0" style="365" hidden="1" customWidth="1"/>
    <col min="15616" max="15616" width="14.42578125" style="365" customWidth="1"/>
    <col min="15617" max="15617" width="0" style="365" hidden="1" customWidth="1"/>
    <col min="15618" max="15618" width="17.42578125" style="365" customWidth="1"/>
    <col min="15619" max="15619" width="0" style="365" hidden="1" customWidth="1"/>
    <col min="15620" max="15620" width="14" style="365" customWidth="1"/>
    <col min="15621" max="15621" width="14.28515625" style="365" bestFit="1" customWidth="1"/>
    <col min="15622" max="15622" width="0" style="365" hidden="1" customWidth="1"/>
    <col min="15623" max="15623" width="15.5703125" style="365" customWidth="1"/>
    <col min="15624" max="15624" width="44.5703125" style="365" customWidth="1"/>
    <col min="15625" max="15625" width="14.28515625" style="365" bestFit="1" customWidth="1"/>
    <col min="15626" max="15626" width="0" style="365" hidden="1" customWidth="1"/>
    <col min="15627" max="15627" width="18.140625" style="365" customWidth="1"/>
    <col min="15628" max="15628" width="0" style="365" hidden="1" customWidth="1"/>
    <col min="15629" max="15629" width="14" style="365" customWidth="1"/>
    <col min="15630" max="15630" width="0" style="365" hidden="1" customWidth="1"/>
    <col min="15631" max="15631" width="20.85546875" style="365" customWidth="1"/>
    <col min="15632" max="15632" width="0" style="365" hidden="1" customWidth="1"/>
    <col min="15633" max="15633" width="13.28515625" style="365" customWidth="1"/>
    <col min="15634" max="15634" width="0" style="365" hidden="1" customWidth="1"/>
    <col min="15635" max="15635" width="15" style="365" customWidth="1"/>
    <col min="15636" max="15636" width="0" style="365" hidden="1" customWidth="1"/>
    <col min="15637" max="15637" width="13.28515625" style="365" customWidth="1"/>
    <col min="15638" max="15638" width="0" style="365" hidden="1" customWidth="1"/>
    <col min="15639" max="15639" width="20.140625" style="365" customWidth="1"/>
    <col min="15640" max="15640" width="14.42578125" style="365" bestFit="1" customWidth="1"/>
    <col min="15641" max="15641" width="14" style="365" bestFit="1" customWidth="1"/>
    <col min="15642" max="15642" width="12.28515625" style="365" bestFit="1" customWidth="1"/>
    <col min="15643" max="15667" width="9.140625" style="365" customWidth="1"/>
    <col min="15668" max="15862" width="8.85546875" style="365"/>
    <col min="15863" max="15863" width="44.5703125" style="365" customWidth="1"/>
    <col min="15864" max="15864" width="14.28515625" style="365" bestFit="1" customWidth="1"/>
    <col min="15865" max="15865" width="1.7109375" style="365" customWidth="1"/>
    <col min="15866" max="15866" width="14.85546875" style="365" customWidth="1"/>
    <col min="15867" max="15867" width="0" style="365" hidden="1" customWidth="1"/>
    <col min="15868" max="15868" width="17.42578125" style="365" customWidth="1"/>
    <col min="15869" max="15869" width="0" style="365" hidden="1" customWidth="1"/>
    <col min="15870" max="15870" width="12.85546875" style="365" customWidth="1"/>
    <col min="15871" max="15871" width="0" style="365" hidden="1" customWidth="1"/>
    <col min="15872" max="15872" width="14.42578125" style="365" customWidth="1"/>
    <col min="15873" max="15873" width="0" style="365" hidden="1" customWidth="1"/>
    <col min="15874" max="15874" width="17.42578125" style="365" customWidth="1"/>
    <col min="15875" max="15875" width="0" style="365" hidden="1" customWidth="1"/>
    <col min="15876" max="15876" width="14" style="365" customWidth="1"/>
    <col min="15877" max="15877" width="14.28515625" style="365" bestFit="1" customWidth="1"/>
    <col min="15878" max="15878" width="0" style="365" hidden="1" customWidth="1"/>
    <col min="15879" max="15879" width="15.5703125" style="365" customWidth="1"/>
    <col min="15880" max="15880" width="44.5703125" style="365" customWidth="1"/>
    <col min="15881" max="15881" width="14.28515625" style="365" bestFit="1" customWidth="1"/>
    <col min="15882" max="15882" width="0" style="365" hidden="1" customWidth="1"/>
    <col min="15883" max="15883" width="18.140625" style="365" customWidth="1"/>
    <col min="15884" max="15884" width="0" style="365" hidden="1" customWidth="1"/>
    <col min="15885" max="15885" width="14" style="365" customWidth="1"/>
    <col min="15886" max="15886" width="0" style="365" hidden="1" customWidth="1"/>
    <col min="15887" max="15887" width="20.85546875" style="365" customWidth="1"/>
    <col min="15888" max="15888" width="0" style="365" hidden="1" customWidth="1"/>
    <col min="15889" max="15889" width="13.28515625" style="365" customWidth="1"/>
    <col min="15890" max="15890" width="0" style="365" hidden="1" customWidth="1"/>
    <col min="15891" max="15891" width="15" style="365" customWidth="1"/>
    <col min="15892" max="15892" width="0" style="365" hidden="1" customWidth="1"/>
    <col min="15893" max="15893" width="13.28515625" style="365" customWidth="1"/>
    <col min="15894" max="15894" width="0" style="365" hidden="1" customWidth="1"/>
    <col min="15895" max="15895" width="20.140625" style="365" customWidth="1"/>
    <col min="15896" max="15896" width="14.42578125" style="365" bestFit="1" customWidth="1"/>
    <col min="15897" max="15897" width="14" style="365" bestFit="1" customWidth="1"/>
    <col min="15898" max="15898" width="12.28515625" style="365" bestFit="1" customWidth="1"/>
    <col min="15899" max="15923" width="9.140625" style="365" customWidth="1"/>
    <col min="15924" max="16118" width="8.85546875" style="365"/>
    <col min="16119" max="16119" width="44.5703125" style="365" customWidth="1"/>
    <col min="16120" max="16120" width="14.28515625" style="365" bestFit="1" customWidth="1"/>
    <col min="16121" max="16121" width="1.7109375" style="365" customWidth="1"/>
    <col min="16122" max="16122" width="14.85546875" style="365" customWidth="1"/>
    <col min="16123" max="16123" width="0" style="365" hidden="1" customWidth="1"/>
    <col min="16124" max="16124" width="17.42578125" style="365" customWidth="1"/>
    <col min="16125" max="16125" width="0" style="365" hidden="1" customWidth="1"/>
    <col min="16126" max="16126" width="12.85546875" style="365" customWidth="1"/>
    <col min="16127" max="16127" width="0" style="365" hidden="1" customWidth="1"/>
    <col min="16128" max="16128" width="14.42578125" style="365" customWidth="1"/>
    <col min="16129" max="16129" width="0" style="365" hidden="1" customWidth="1"/>
    <col min="16130" max="16130" width="17.42578125" style="365" customWidth="1"/>
    <col min="16131" max="16131" width="0" style="365" hidden="1" customWidth="1"/>
    <col min="16132" max="16132" width="14" style="365" customWidth="1"/>
    <col min="16133" max="16133" width="14.28515625" style="365" bestFit="1" customWidth="1"/>
    <col min="16134" max="16134" width="0" style="365" hidden="1" customWidth="1"/>
    <col min="16135" max="16135" width="15.5703125" style="365" customWidth="1"/>
    <col min="16136" max="16136" width="44.5703125" style="365" customWidth="1"/>
    <col min="16137" max="16137" width="14.28515625" style="365" bestFit="1" customWidth="1"/>
    <col min="16138" max="16138" width="0" style="365" hidden="1" customWidth="1"/>
    <col min="16139" max="16139" width="18.140625" style="365" customWidth="1"/>
    <col min="16140" max="16140" width="0" style="365" hidden="1" customWidth="1"/>
    <col min="16141" max="16141" width="14" style="365" customWidth="1"/>
    <col min="16142" max="16142" width="0" style="365" hidden="1" customWidth="1"/>
    <col min="16143" max="16143" width="20.85546875" style="365" customWidth="1"/>
    <col min="16144" max="16144" width="0" style="365" hidden="1" customWidth="1"/>
    <col min="16145" max="16145" width="13.28515625" style="365" customWidth="1"/>
    <col min="16146" max="16146" width="0" style="365" hidden="1" customWidth="1"/>
    <col min="16147" max="16147" width="15" style="365" customWidth="1"/>
    <col min="16148" max="16148" width="0" style="365" hidden="1" customWidth="1"/>
    <col min="16149" max="16149" width="13.28515625" style="365" customWidth="1"/>
    <col min="16150" max="16150" width="0" style="365" hidden="1" customWidth="1"/>
    <col min="16151" max="16151" width="20.140625" style="365" customWidth="1"/>
    <col min="16152" max="16152" width="14.42578125" style="365" bestFit="1" customWidth="1"/>
    <col min="16153" max="16153" width="14" style="365" bestFit="1" customWidth="1"/>
    <col min="16154" max="16154" width="12.28515625" style="365" bestFit="1" customWidth="1"/>
    <col min="16155" max="16179" width="9.140625" style="365" customWidth="1"/>
    <col min="16180" max="16384" width="8.85546875" style="365"/>
  </cols>
  <sheetData>
    <row r="1" spans="1:51" s="354" customFormat="1" ht="19.899999999999999" hidden="1" customHeight="1">
      <c r="A1" s="1632"/>
      <c r="B1" s="1632"/>
      <c r="C1" s="1632"/>
      <c r="D1" s="1632"/>
      <c r="E1" s="1632"/>
      <c r="F1" s="1632"/>
      <c r="G1" s="1632"/>
      <c r="H1" s="1632"/>
      <c r="I1" s="1632"/>
      <c r="J1" s="1632"/>
      <c r="K1" s="1632"/>
      <c r="L1" s="1632"/>
      <c r="M1" s="1632"/>
      <c r="N1" s="1632"/>
      <c r="O1" s="1632"/>
      <c r="P1" s="1632"/>
      <c r="Q1" s="1632"/>
      <c r="R1" s="1632"/>
      <c r="S1" s="1632"/>
      <c r="T1" s="1632"/>
      <c r="U1" s="1632"/>
      <c r="V1" s="1632"/>
      <c r="W1" s="1632"/>
      <c r="X1" s="1632"/>
      <c r="Y1" s="1633"/>
      <c r="Z1" s="1632"/>
      <c r="AA1" s="928"/>
      <c r="AB1" s="930"/>
      <c r="AC1" s="351"/>
      <c r="AD1" s="928"/>
      <c r="AE1" s="351"/>
      <c r="AF1" s="928"/>
      <c r="AG1" s="353"/>
      <c r="AH1" s="911"/>
      <c r="AI1" s="353"/>
      <c r="AJ1" s="911"/>
      <c r="AK1" s="353"/>
      <c r="AL1" s="911"/>
      <c r="AM1" s="353"/>
      <c r="AN1" s="911"/>
      <c r="AO1" s="353"/>
      <c r="AP1" s="353"/>
      <c r="AQ1" s="353"/>
      <c r="AR1" s="353"/>
      <c r="AS1" s="353"/>
      <c r="AT1" s="353"/>
      <c r="AU1" s="353"/>
      <c r="AV1" s="353"/>
      <c r="AW1" s="353"/>
      <c r="AX1" s="353"/>
      <c r="AY1" s="353"/>
    </row>
    <row r="2" spans="1:51" s="354" customFormat="1" ht="88.9" customHeight="1">
      <c r="A2" s="1690" t="s">
        <v>795</v>
      </c>
      <c r="B2" s="1690"/>
      <c r="C2" s="1690"/>
      <c r="D2" s="1690"/>
      <c r="E2" s="1690"/>
      <c r="F2" s="1690"/>
      <c r="G2" s="1690"/>
      <c r="H2" s="1690"/>
      <c r="I2" s="1690"/>
      <c r="J2" s="1690"/>
      <c r="K2" s="1690"/>
      <c r="L2" s="1690"/>
      <c r="M2" s="1690"/>
      <c r="N2" s="1690"/>
      <c r="O2" s="1690"/>
      <c r="P2" s="1690"/>
      <c r="Q2" s="1690"/>
      <c r="R2" s="1690"/>
      <c r="S2" s="1690"/>
      <c r="T2" s="1690"/>
      <c r="U2" s="1690"/>
      <c r="V2" s="1690"/>
      <c r="W2" s="1690"/>
      <c r="X2" s="1690"/>
      <c r="Y2" s="1690"/>
      <c r="Z2" s="1690"/>
      <c r="AA2" s="1690"/>
      <c r="AB2" s="1690"/>
      <c r="AC2" s="1690"/>
      <c r="AD2" s="1690"/>
      <c r="AE2" s="1690"/>
      <c r="AF2" s="1690"/>
      <c r="AG2" s="1690"/>
      <c r="AH2" s="1690"/>
      <c r="AI2" s="1690"/>
      <c r="AJ2" s="1690"/>
      <c r="AK2" s="1690"/>
      <c r="AL2" s="1690"/>
      <c r="AM2" s="1690"/>
      <c r="AN2" s="1690"/>
      <c r="AO2" s="353"/>
      <c r="AP2" s="353"/>
      <c r="AQ2" s="353"/>
      <c r="AR2" s="353"/>
      <c r="AS2" s="353"/>
      <c r="AT2" s="353"/>
      <c r="AU2" s="353"/>
      <c r="AV2" s="353"/>
      <c r="AW2" s="353"/>
      <c r="AX2" s="353"/>
      <c r="AY2" s="353"/>
    </row>
    <row r="3" spans="1:51" s="354" customFormat="1" ht="48" hidden="1">
      <c r="A3" s="1441"/>
      <c r="B3" s="1636" t="str">
        <f>PROPER(B1)</f>
        <v/>
      </c>
      <c r="C3" s="1636"/>
      <c r="D3" s="1636"/>
      <c r="E3" s="1636"/>
      <c r="F3" s="1636"/>
      <c r="G3" s="1636"/>
      <c r="H3" s="1636"/>
      <c r="I3" s="1636"/>
      <c r="J3" s="1636"/>
      <c r="K3" s="1636"/>
      <c r="L3" s="1636"/>
      <c r="M3" s="1636"/>
      <c r="N3" s="1636"/>
      <c r="O3" s="1636"/>
      <c r="P3" s="1636"/>
      <c r="Q3" s="1636"/>
      <c r="R3" s="1636"/>
      <c r="S3" s="1636"/>
      <c r="T3" s="1636"/>
      <c r="U3" s="1636"/>
      <c r="V3" s="1636"/>
      <c r="W3" s="1636"/>
      <c r="X3" s="1636"/>
      <c r="Y3" s="940"/>
      <c r="Z3" s="935"/>
      <c r="AA3" s="911"/>
      <c r="AB3" s="931"/>
      <c r="AC3" s="353"/>
      <c r="AD3" s="911"/>
      <c r="AE3" s="353"/>
      <c r="AF3" s="911"/>
      <c r="AG3" s="353"/>
      <c r="AH3" s="911"/>
      <c r="AI3" s="353"/>
      <c r="AJ3" s="911"/>
      <c r="AK3" s="353"/>
      <c r="AL3" s="911"/>
      <c r="AM3" s="353"/>
      <c r="AN3" s="911"/>
      <c r="AO3" s="353"/>
      <c r="AP3" s="353"/>
      <c r="AQ3" s="353"/>
      <c r="AR3" s="353"/>
      <c r="AS3" s="353"/>
      <c r="AT3" s="353"/>
      <c r="AU3" s="353"/>
      <c r="AV3" s="353"/>
      <c r="AW3" s="353"/>
      <c r="AX3" s="353"/>
      <c r="AY3" s="353"/>
    </row>
    <row r="4" spans="1:51" s="354" customFormat="1" ht="15.6" hidden="1" customHeight="1">
      <c r="A4" s="1635"/>
      <c r="B4" s="1635"/>
      <c r="C4" s="1635"/>
      <c r="D4" s="1635"/>
      <c r="E4" s="1635"/>
      <c r="F4" s="1635"/>
      <c r="G4" s="1635"/>
      <c r="H4" s="1635"/>
      <c r="I4" s="1635"/>
      <c r="J4" s="1635"/>
      <c r="K4" s="1635"/>
      <c r="L4" s="1635"/>
      <c r="M4" s="1635"/>
      <c r="N4" s="1635"/>
      <c r="O4" s="1635"/>
      <c r="P4" s="1635"/>
      <c r="Q4" s="1635"/>
      <c r="R4" s="1635"/>
      <c r="S4" s="1635"/>
      <c r="T4" s="1635"/>
      <c r="U4" s="1635"/>
      <c r="V4" s="1635"/>
      <c r="W4" s="1635"/>
      <c r="X4" s="1635"/>
      <c r="Y4" s="1635"/>
      <c r="Z4" s="1635"/>
      <c r="AA4" s="911"/>
      <c r="AB4" s="931"/>
      <c r="AC4" s="353"/>
      <c r="AD4" s="911"/>
      <c r="AE4" s="353"/>
      <c r="AF4" s="911"/>
      <c r="AG4" s="353"/>
      <c r="AH4" s="911"/>
      <c r="AI4" s="353"/>
      <c r="AJ4" s="911"/>
      <c r="AK4" s="353"/>
      <c r="AL4" s="911"/>
      <c r="AM4" s="353"/>
      <c r="AN4" s="911"/>
      <c r="AO4" s="353"/>
      <c r="AP4" s="353"/>
      <c r="AQ4" s="353"/>
      <c r="AR4" s="353"/>
      <c r="AS4" s="353"/>
      <c r="AT4" s="353"/>
      <c r="AU4" s="353"/>
      <c r="AV4" s="353"/>
      <c r="AW4" s="353"/>
      <c r="AX4" s="353"/>
      <c r="AY4" s="353"/>
    </row>
    <row r="5" spans="1:51" s="363" customFormat="1" ht="9.6" customHeight="1" thickBot="1">
      <c r="A5" s="360" t="s">
        <v>58</v>
      </c>
      <c r="B5" s="361"/>
      <c r="C5" s="360"/>
      <c r="D5" s="362"/>
      <c r="E5" s="362"/>
      <c r="F5" s="362"/>
      <c r="G5" s="362"/>
      <c r="H5" s="362"/>
      <c r="I5" s="362"/>
      <c r="J5" s="362"/>
      <c r="K5" s="362"/>
      <c r="L5" s="362"/>
      <c r="M5" s="362"/>
      <c r="N5" s="362"/>
      <c r="O5" s="362"/>
      <c r="P5" s="362"/>
      <c r="Q5" s="362"/>
      <c r="R5" s="936"/>
      <c r="S5" s="936"/>
      <c r="T5" s="936"/>
      <c r="U5" s="936"/>
      <c r="V5" s="936"/>
      <c r="W5" s="936"/>
      <c r="X5" s="936"/>
      <c r="Y5" s="936"/>
      <c r="Z5" s="936"/>
      <c r="AA5" s="912"/>
      <c r="AB5" s="1222"/>
      <c r="AD5" s="912"/>
      <c r="AF5" s="912"/>
      <c r="AH5" s="912"/>
      <c r="AJ5" s="912"/>
      <c r="AL5" s="912"/>
      <c r="AN5" s="912"/>
    </row>
    <row r="6" spans="1:51" s="1449" customFormat="1" ht="112.15" customHeight="1" thickTop="1" thickBot="1">
      <c r="A6" s="1444"/>
      <c r="B6" s="1445"/>
      <c r="C6" s="1456"/>
      <c r="D6" s="1446" t="s">
        <v>573</v>
      </c>
      <c r="E6" s="1447" t="s">
        <v>414</v>
      </c>
      <c r="F6" s="1447" t="s">
        <v>575</v>
      </c>
      <c r="G6" s="1447" t="s">
        <v>963</v>
      </c>
      <c r="H6" s="1447" t="s">
        <v>964</v>
      </c>
      <c r="I6" s="1447" t="s">
        <v>420</v>
      </c>
      <c r="J6" s="1447" t="s">
        <v>417</v>
      </c>
      <c r="K6" s="1447" t="s">
        <v>926</v>
      </c>
      <c r="L6" s="1447" t="s">
        <v>965</v>
      </c>
      <c r="M6" s="1447" t="s">
        <v>421</v>
      </c>
      <c r="N6" s="1447" t="s">
        <v>413</v>
      </c>
      <c r="O6" s="1447" t="s">
        <v>419</v>
      </c>
      <c r="P6" s="1447" t="s">
        <v>925</v>
      </c>
      <c r="Q6" s="1447" t="s">
        <v>412</v>
      </c>
      <c r="R6" s="1447" t="s">
        <v>718</v>
      </c>
      <c r="S6" s="1447" t="s">
        <v>781</v>
      </c>
      <c r="T6" s="1447" t="s">
        <v>416</v>
      </c>
      <c r="U6" s="1447" t="s">
        <v>866</v>
      </c>
      <c r="V6" s="1447" t="s">
        <v>411</v>
      </c>
      <c r="W6" s="1447" t="s">
        <v>154</v>
      </c>
      <c r="X6" s="1448" t="s">
        <v>422</v>
      </c>
      <c r="Z6" s="1450" t="s">
        <v>414</v>
      </c>
      <c r="AA6" s="1450" t="s">
        <v>415</v>
      </c>
      <c r="AB6" s="1450" t="s">
        <v>416</v>
      </c>
      <c r="AC6" s="1451"/>
      <c r="AD6" s="1450" t="s">
        <v>417</v>
      </c>
      <c r="AE6" s="1451"/>
      <c r="AF6" s="1450" t="s">
        <v>575</v>
      </c>
      <c r="AG6" s="1451"/>
      <c r="AH6" s="1450" t="s">
        <v>419</v>
      </c>
      <c r="AI6" s="1451"/>
      <c r="AJ6" s="1450" t="s">
        <v>420</v>
      </c>
      <c r="AK6" s="1451"/>
      <c r="AL6" s="1450" t="s">
        <v>421</v>
      </c>
      <c r="AM6" s="1451"/>
      <c r="AN6" s="1452" t="s">
        <v>422</v>
      </c>
      <c r="AO6" s="1453"/>
      <c r="AP6" s="1453"/>
      <c r="AQ6" s="1453"/>
      <c r="AR6" s="1453"/>
      <c r="AS6" s="1453"/>
      <c r="AT6" s="1453"/>
      <c r="AU6" s="1453"/>
      <c r="AV6" s="1453"/>
      <c r="AW6" s="1453"/>
      <c r="AX6" s="1453"/>
      <c r="AY6" s="1453"/>
    </row>
    <row r="7" spans="1:51" ht="13.9" customHeight="1" thickTop="1">
      <c r="A7" s="356"/>
      <c r="B7" s="356"/>
      <c r="C7" s="1049"/>
      <c r="D7" s="369"/>
      <c r="E7" s="933"/>
      <c r="F7" s="924"/>
      <c r="G7" s="924"/>
      <c r="H7" s="924"/>
      <c r="I7" s="924"/>
      <c r="J7" s="924"/>
      <c r="K7" s="933"/>
      <c r="L7" s="924"/>
      <c r="M7" s="924"/>
      <c r="N7" s="924"/>
      <c r="O7" s="924"/>
      <c r="P7" s="924"/>
      <c r="Q7" s="924"/>
      <c r="R7" s="924"/>
      <c r="S7" s="924"/>
      <c r="T7" s="924"/>
      <c r="U7" s="924"/>
      <c r="V7" s="924"/>
      <c r="W7" s="924"/>
      <c r="X7" s="914"/>
      <c r="Z7" s="933"/>
      <c r="AA7" s="933"/>
      <c r="AB7" s="924"/>
      <c r="AC7" s="372"/>
      <c r="AD7" s="924"/>
      <c r="AE7" s="372"/>
      <c r="AF7" s="924"/>
      <c r="AG7" s="372"/>
      <c r="AH7" s="924"/>
      <c r="AI7" s="372"/>
      <c r="AJ7" s="924"/>
      <c r="AK7" s="372"/>
      <c r="AL7" s="924"/>
      <c r="AM7" s="372"/>
      <c r="AN7" s="914"/>
    </row>
    <row r="8" spans="1:51" s="417" customFormat="1" ht="15.95" customHeight="1">
      <c r="A8" s="1305" t="s">
        <v>423</v>
      </c>
      <c r="C8" s="1305"/>
      <c r="D8" s="450"/>
      <c r="E8" s="934"/>
      <c r="F8" s="915" t="s">
        <v>58</v>
      </c>
      <c r="G8" s="915"/>
      <c r="H8" s="915"/>
      <c r="I8" s="915" t="s">
        <v>58</v>
      </c>
      <c r="J8" s="929"/>
      <c r="K8" s="934"/>
      <c r="L8" s="915"/>
      <c r="M8" s="915" t="s">
        <v>58</v>
      </c>
      <c r="N8" s="929"/>
      <c r="O8" s="915" t="s">
        <v>58</v>
      </c>
      <c r="P8" s="915"/>
      <c r="Q8" s="929"/>
      <c r="R8" s="929"/>
      <c r="S8" s="929"/>
      <c r="T8" s="929"/>
      <c r="U8" s="929"/>
      <c r="V8" s="929"/>
      <c r="W8" s="969"/>
      <c r="X8" s="915"/>
      <c r="Z8" s="934"/>
      <c r="AA8" s="934"/>
      <c r="AB8" s="929"/>
      <c r="AC8" s="453"/>
      <c r="AD8" s="929"/>
      <c r="AE8" s="453"/>
      <c r="AF8" s="915" t="s">
        <v>58</v>
      </c>
      <c r="AG8" s="453"/>
      <c r="AH8" s="915" t="s">
        <v>58</v>
      </c>
      <c r="AI8" s="453"/>
      <c r="AJ8" s="915" t="s">
        <v>58</v>
      </c>
      <c r="AK8" s="453"/>
      <c r="AL8" s="915" t="s">
        <v>58</v>
      </c>
      <c r="AM8" s="453"/>
      <c r="AN8" s="915"/>
      <c r="AO8" s="454"/>
      <c r="AP8" s="454"/>
      <c r="AQ8" s="454"/>
      <c r="AR8" s="454"/>
      <c r="AS8" s="454"/>
      <c r="AT8" s="454"/>
      <c r="AU8" s="454"/>
      <c r="AV8" s="454"/>
      <c r="AW8" s="454"/>
      <c r="AX8" s="454"/>
      <c r="AY8" s="454"/>
    </row>
    <row r="9" spans="1:51" s="417" customFormat="1" ht="20.100000000000001" customHeight="1">
      <c r="A9" s="417" t="s">
        <v>779</v>
      </c>
      <c r="C9" s="1305" t="s">
        <v>424</v>
      </c>
      <c r="D9" s="1227">
        <v>51136182.670000002</v>
      </c>
      <c r="E9" s="1227">
        <v>12643997.800000001</v>
      </c>
      <c r="F9" s="1227">
        <v>55176535.100000001</v>
      </c>
      <c r="G9" s="1227">
        <f>2061811.44+11801844</f>
        <v>13863655.439999999</v>
      </c>
      <c r="H9" s="1227">
        <v>11887357.470000001</v>
      </c>
      <c r="I9" s="1227">
        <v>10616485.59</v>
      </c>
      <c r="J9" s="1227">
        <v>3441496.84</v>
      </c>
      <c r="K9" s="1227">
        <v>19552625</v>
      </c>
      <c r="L9" s="1227">
        <v>2979515</v>
      </c>
      <c r="M9" s="1227">
        <v>12581583.01</v>
      </c>
      <c r="N9" s="1227">
        <v>8196920</v>
      </c>
      <c r="O9" s="1227">
        <v>11894915.34</v>
      </c>
      <c r="P9" s="1227">
        <v>1156422.8899999999</v>
      </c>
      <c r="Q9" s="1227">
        <v>0</v>
      </c>
      <c r="R9" s="1227">
        <v>0</v>
      </c>
      <c r="S9" s="1227">
        <v>2713933</v>
      </c>
      <c r="T9" s="1227">
        <v>0</v>
      </c>
      <c r="U9" s="1227">
        <v>0</v>
      </c>
      <c r="V9" s="1227">
        <v>71403</v>
      </c>
      <c r="W9" s="1227">
        <v>79584</v>
      </c>
      <c r="X9" s="1229">
        <f>SUM(D9:W9)</f>
        <v>217992612.14999998</v>
      </c>
      <c r="Y9" s="901">
        <f>SUM(D9:W9)-X9</f>
        <v>0</v>
      </c>
      <c r="Z9" s="1227" t="e">
        <f>ROUND(#REF!+#REF!+#REF!+#REF!+#REF!+#REF!+#REF!+#REF!+#REF!+#REF!,2)</f>
        <v>#REF!</v>
      </c>
      <c r="AA9" s="1227">
        <f>ROUND(Cemtery!L13+Cemtery!L9,2)</f>
        <v>23929746.120000001</v>
      </c>
      <c r="AB9" s="1227">
        <f>ROUND('Arts Science District Garage'!L14+Cemtery!L9,2)</f>
        <v>0</v>
      </c>
      <c r="AC9" s="1227"/>
      <c r="AD9" s="1227">
        <f>ROUND(Sanitation!L16+Sanitation!L12,2)</f>
        <v>7903598.3099999996</v>
      </c>
      <c r="AE9" s="1227"/>
      <c r="AF9" s="1227">
        <f>ROUND('Water and Sewer'!L15+'Central Region'!L15+'Water and Sewer'!L11+'Central Region'!L11,2)</f>
        <v>56639343</v>
      </c>
      <c r="AG9" s="1227"/>
      <c r="AH9" s="1227">
        <f>ROUND(Stormwater!L16+Stormwater!L12,2)</f>
        <v>12213219</v>
      </c>
      <c r="AI9" s="1227"/>
      <c r="AJ9" s="1227">
        <f>ROUND('Parking System'!L16+'Parking System'!L12,2)</f>
        <v>13737004</v>
      </c>
      <c r="AK9" s="1227"/>
      <c r="AL9" s="1227">
        <f>ROUND(Airport!L16+Airport!L12,2)</f>
        <v>13880782</v>
      </c>
      <c r="AM9" s="1229"/>
      <c r="AN9" s="1229" t="e">
        <f>SUM(D9:AL9)</f>
        <v>#REF!</v>
      </c>
      <c r="AO9" s="454"/>
      <c r="AP9" s="454"/>
      <c r="AQ9" s="454"/>
      <c r="AR9" s="454"/>
      <c r="AS9" s="454"/>
      <c r="AT9" s="454"/>
      <c r="AU9" s="454"/>
      <c r="AV9" s="454"/>
      <c r="AW9" s="454"/>
      <c r="AX9" s="454"/>
      <c r="AY9" s="454"/>
    </row>
    <row r="10" spans="1:51" s="417" customFormat="1" ht="20.100000000000001" customHeight="1">
      <c r="A10" s="417" t="s">
        <v>690</v>
      </c>
      <c r="C10" s="1305"/>
      <c r="D10" s="1227">
        <v>3000000</v>
      </c>
      <c r="E10" s="1227">
        <v>0</v>
      </c>
      <c r="F10" s="1227">
        <v>0</v>
      </c>
      <c r="G10" s="1227"/>
      <c r="H10" s="1227">
        <v>0</v>
      </c>
      <c r="I10" s="1227">
        <v>0</v>
      </c>
      <c r="J10" s="1227">
        <v>0</v>
      </c>
      <c r="K10" s="1227">
        <v>0</v>
      </c>
      <c r="L10" s="1227">
        <v>0</v>
      </c>
      <c r="M10" s="1227">
        <v>0</v>
      </c>
      <c r="N10" s="1227">
        <v>0</v>
      </c>
      <c r="O10" s="1227">
        <v>0</v>
      </c>
      <c r="P10" s="1227">
        <v>0</v>
      </c>
      <c r="Q10" s="1227">
        <v>0</v>
      </c>
      <c r="R10" s="1227">
        <v>0</v>
      </c>
      <c r="S10" s="1227">
        <v>0</v>
      </c>
      <c r="T10" s="1227">
        <v>0</v>
      </c>
      <c r="U10" s="1227">
        <v>0</v>
      </c>
      <c r="V10" s="1227">
        <v>0</v>
      </c>
      <c r="W10" s="1227">
        <v>0</v>
      </c>
      <c r="X10" s="1229">
        <f>SUM(D10:W10)</f>
        <v>3000000</v>
      </c>
      <c r="Y10" s="901">
        <f>SUM(D10:W10)-X10</f>
        <v>0</v>
      </c>
      <c r="Z10" s="1227">
        <v>0</v>
      </c>
      <c r="AA10" s="1227">
        <v>0</v>
      </c>
      <c r="AB10" s="1227">
        <v>0</v>
      </c>
      <c r="AC10" s="1227"/>
      <c r="AD10" s="1227">
        <v>0</v>
      </c>
      <c r="AE10" s="1227"/>
      <c r="AF10" s="1227">
        <v>0</v>
      </c>
      <c r="AG10" s="1227"/>
      <c r="AH10" s="1227">
        <v>0</v>
      </c>
      <c r="AI10" s="1227"/>
      <c r="AJ10" s="1227">
        <v>0</v>
      </c>
      <c r="AK10" s="1227"/>
      <c r="AL10" s="1227">
        <v>0</v>
      </c>
      <c r="AM10" s="1229"/>
      <c r="AN10" s="1229">
        <f>SUM(D10:AM10)</f>
        <v>6000000</v>
      </c>
      <c r="AO10" s="454"/>
      <c r="AP10" s="454"/>
      <c r="AQ10" s="454"/>
      <c r="AR10" s="454"/>
      <c r="AS10" s="454"/>
      <c r="AT10" s="454"/>
      <c r="AU10" s="454"/>
      <c r="AV10" s="454"/>
      <c r="AW10" s="454"/>
      <c r="AX10" s="454"/>
      <c r="AY10" s="454"/>
    </row>
    <row r="11" spans="1:51" s="1305" customFormat="1" ht="18.75">
      <c r="A11" s="1305" t="s">
        <v>688</v>
      </c>
      <c r="C11" s="1305" t="s">
        <v>58</v>
      </c>
      <c r="D11" s="1306">
        <v>54136182.670000002</v>
      </c>
      <c r="E11" s="1307">
        <v>12643997.800000001</v>
      </c>
      <c r="F11" s="1307">
        <v>55176535.100000001</v>
      </c>
      <c r="G11" s="1307">
        <f>SUM(G9:G10)</f>
        <v>13863655.439999999</v>
      </c>
      <c r="H11" s="1307">
        <f>SUM(H9:H10)</f>
        <v>11887357.470000001</v>
      </c>
      <c r="I11" s="1307">
        <v>10616485.59</v>
      </c>
      <c r="J11" s="1307">
        <v>3441496.84</v>
      </c>
      <c r="K11" s="1307">
        <v>19552625</v>
      </c>
      <c r="L11" s="1307">
        <f>SUM(L9:L10)</f>
        <v>2979515</v>
      </c>
      <c r="M11" s="1307">
        <v>12581583.01</v>
      </c>
      <c r="N11" s="1307">
        <v>8196920</v>
      </c>
      <c r="O11" s="1307">
        <v>11894915.34</v>
      </c>
      <c r="P11" s="1307">
        <f>SUM(P9:P10)</f>
        <v>1156422.8899999999</v>
      </c>
      <c r="Q11" s="1307">
        <v>0</v>
      </c>
      <c r="R11" s="1307">
        <v>0</v>
      </c>
      <c r="S11" s="1307">
        <v>2713933</v>
      </c>
      <c r="T11" s="1307">
        <v>0</v>
      </c>
      <c r="U11" s="1307">
        <v>0</v>
      </c>
      <c r="V11" s="1307">
        <v>71403</v>
      </c>
      <c r="W11" s="1307">
        <v>79584</v>
      </c>
      <c r="X11" s="1307">
        <f>SUM(X9:X10)</f>
        <v>220992612.14999998</v>
      </c>
      <c r="Y11" s="1309">
        <f>SUM(D11:W11)-X11</f>
        <v>0</v>
      </c>
      <c r="Z11" s="1307" t="e">
        <f t="shared" ref="Z11" si="0">SUM(Z9:Z9)</f>
        <v>#REF!</v>
      </c>
      <c r="AA11" s="1307">
        <f t="shared" ref="AA11:AN11" si="1">SUM(AA9:AA10)</f>
        <v>23929746.120000001</v>
      </c>
      <c r="AB11" s="1307">
        <f t="shared" si="1"/>
        <v>0</v>
      </c>
      <c r="AC11" s="1307">
        <f t="shared" si="1"/>
        <v>0</v>
      </c>
      <c r="AD11" s="1307">
        <f t="shared" si="1"/>
        <v>7903598.3099999996</v>
      </c>
      <c r="AE11" s="1307">
        <f t="shared" si="1"/>
        <v>0</v>
      </c>
      <c r="AF11" s="1307">
        <f t="shared" si="1"/>
        <v>56639343</v>
      </c>
      <c r="AG11" s="1307">
        <f t="shared" si="1"/>
        <v>0</v>
      </c>
      <c r="AH11" s="1307">
        <f t="shared" si="1"/>
        <v>12213219</v>
      </c>
      <c r="AI11" s="1307">
        <f t="shared" si="1"/>
        <v>0</v>
      </c>
      <c r="AJ11" s="1307">
        <f t="shared" si="1"/>
        <v>13737004</v>
      </c>
      <c r="AK11" s="1307">
        <f t="shared" si="1"/>
        <v>0</v>
      </c>
      <c r="AL11" s="1307">
        <f t="shared" si="1"/>
        <v>13880782</v>
      </c>
      <c r="AM11" s="1307">
        <f t="shared" si="1"/>
        <v>0</v>
      </c>
      <c r="AN11" s="1307" t="e">
        <f t="shared" si="1"/>
        <v>#REF!</v>
      </c>
      <c r="AO11" s="685"/>
      <c r="AP11" s="685"/>
      <c r="AQ11" s="685"/>
      <c r="AR11" s="685"/>
      <c r="AS11" s="685"/>
      <c r="AT11" s="685"/>
      <c r="AU11" s="685"/>
      <c r="AV11" s="685"/>
      <c r="AW11" s="685"/>
      <c r="AX11" s="685"/>
      <c r="AY11" s="685"/>
    </row>
    <row r="12" spans="1:51" s="417" customFormat="1" ht="12" customHeight="1">
      <c r="C12" s="1305"/>
      <c r="D12" s="1215"/>
      <c r="E12" s="1227"/>
      <c r="F12" s="1228"/>
      <c r="G12" s="1228"/>
      <c r="H12" s="1228"/>
      <c r="I12" s="1228"/>
      <c r="J12" s="1228"/>
      <c r="K12" s="1227"/>
      <c r="L12" s="1228"/>
      <c r="M12" s="1228"/>
      <c r="N12" s="1228"/>
      <c r="O12" s="1228"/>
      <c r="P12" s="1228"/>
      <c r="Q12" s="1228"/>
      <c r="R12" s="1228"/>
      <c r="S12" s="1228"/>
      <c r="T12" s="1228"/>
      <c r="U12" s="1228"/>
      <c r="V12" s="1228"/>
      <c r="W12" s="1228"/>
      <c r="X12" s="1232"/>
      <c r="Z12" s="1227"/>
      <c r="AA12" s="1227"/>
      <c r="AB12" s="1228"/>
      <c r="AC12" s="1229"/>
      <c r="AD12" s="1228"/>
      <c r="AE12" s="1227"/>
      <c r="AF12" s="1228"/>
      <c r="AG12" s="1227"/>
      <c r="AH12" s="1228"/>
      <c r="AI12" s="1227"/>
      <c r="AJ12" s="1228"/>
      <c r="AK12" s="1227"/>
      <c r="AL12" s="1228"/>
      <c r="AM12" s="1229"/>
      <c r="AN12" s="1232"/>
      <c r="AO12" s="454"/>
      <c r="AP12" s="454"/>
      <c r="AQ12" s="454"/>
      <c r="AR12" s="454"/>
      <c r="AS12" s="454"/>
      <c r="AT12" s="454"/>
      <c r="AU12" s="454"/>
      <c r="AV12" s="454"/>
      <c r="AW12" s="454"/>
      <c r="AX12" s="454"/>
      <c r="AY12" s="454"/>
    </row>
    <row r="13" spans="1:51" s="454" customFormat="1" ht="15.75" customHeight="1">
      <c r="A13" s="685" t="s">
        <v>426</v>
      </c>
      <c r="C13" s="685"/>
      <c r="D13" s="1228"/>
      <c r="E13" s="1227"/>
      <c r="F13" s="1228"/>
      <c r="G13" s="1228"/>
      <c r="H13" s="1228"/>
      <c r="I13" s="1228"/>
      <c r="J13" s="1228"/>
      <c r="K13" s="1227"/>
      <c r="L13" s="1228"/>
      <c r="M13" s="1228"/>
      <c r="N13" s="1228"/>
      <c r="O13" s="1228"/>
      <c r="P13" s="1228"/>
      <c r="Q13" s="1228"/>
      <c r="R13" s="1228"/>
      <c r="S13" s="1228"/>
      <c r="T13" s="1228"/>
      <c r="U13" s="1228"/>
      <c r="V13" s="1228"/>
      <c r="W13" s="1228"/>
      <c r="X13" s="1232"/>
      <c r="Z13" s="1227"/>
      <c r="AA13" s="1227"/>
      <c r="AB13" s="1228"/>
      <c r="AC13" s="1229"/>
      <c r="AD13" s="1228"/>
      <c r="AE13" s="1227"/>
      <c r="AF13" s="1228"/>
      <c r="AG13" s="1227"/>
      <c r="AH13" s="1228"/>
      <c r="AI13" s="1227"/>
      <c r="AJ13" s="1228"/>
      <c r="AK13" s="1227"/>
      <c r="AL13" s="1228"/>
      <c r="AM13" s="1229"/>
      <c r="AN13" s="1232"/>
    </row>
    <row r="14" spans="1:51" s="454" customFormat="1" ht="16.5" customHeight="1">
      <c r="A14" s="1454" t="s">
        <v>584</v>
      </c>
      <c r="B14" s="1455" t="s">
        <v>585</v>
      </c>
      <c r="C14" s="685"/>
      <c r="D14" s="1227"/>
      <c r="E14" s="1227"/>
      <c r="F14" s="1227"/>
      <c r="G14" s="1227"/>
      <c r="H14" s="1227"/>
      <c r="I14" s="1227"/>
      <c r="J14" s="1227"/>
      <c r="K14" s="1227"/>
      <c r="L14" s="1227"/>
      <c r="M14" s="1227"/>
      <c r="N14" s="1227"/>
      <c r="O14" s="1227"/>
      <c r="P14" s="1227"/>
      <c r="Q14" s="1227"/>
      <c r="R14" s="1227"/>
      <c r="S14" s="1227"/>
      <c r="T14" s="1227"/>
      <c r="U14" s="1227"/>
      <c r="V14" s="1227"/>
      <c r="W14" s="1227"/>
      <c r="X14" s="1229"/>
      <c r="Z14" s="1227"/>
      <c r="AA14" s="1227"/>
      <c r="AB14" s="1227"/>
      <c r="AC14" s="1229"/>
      <c r="AD14" s="1227"/>
      <c r="AE14" s="1227"/>
      <c r="AF14" s="1227"/>
      <c r="AG14" s="1227"/>
      <c r="AH14" s="1227"/>
      <c r="AI14" s="1227"/>
      <c r="AJ14" s="1227"/>
      <c r="AK14" s="1227"/>
      <c r="AL14" s="1227"/>
      <c r="AM14" s="1229"/>
      <c r="AN14" s="1229"/>
    </row>
    <row r="15" spans="1:51" s="454" customFormat="1" ht="20.100000000000001" customHeight="1">
      <c r="A15" s="454" t="s">
        <v>582</v>
      </c>
      <c r="B15" s="468">
        <v>4.1193</v>
      </c>
      <c r="C15" s="685"/>
      <c r="D15" s="1228">
        <v>93930068</v>
      </c>
      <c r="E15" s="1228">
        <v>0</v>
      </c>
      <c r="F15" s="1227">
        <v>0</v>
      </c>
      <c r="G15" s="1227">
        <v>0</v>
      </c>
      <c r="H15" s="1227">
        <v>0</v>
      </c>
      <c r="I15" s="1227">
        <v>0</v>
      </c>
      <c r="J15" s="1228">
        <v>0</v>
      </c>
      <c r="K15" s="1228">
        <v>0</v>
      </c>
      <c r="L15" s="1227">
        <v>0</v>
      </c>
      <c r="M15" s="1227">
        <v>0</v>
      </c>
      <c r="N15" s="1228">
        <v>0</v>
      </c>
      <c r="O15" s="1227">
        <v>0</v>
      </c>
      <c r="P15" s="1227">
        <v>0</v>
      </c>
      <c r="Q15" s="1228">
        <v>0</v>
      </c>
      <c r="R15" s="1228">
        <v>0</v>
      </c>
      <c r="S15" s="1228">
        <v>0</v>
      </c>
      <c r="T15" s="1228">
        <v>0</v>
      </c>
      <c r="U15" s="1228">
        <v>0</v>
      </c>
      <c r="V15" s="1228">
        <v>0</v>
      </c>
      <c r="W15" s="1228">
        <v>0</v>
      </c>
      <c r="X15" s="1229">
        <f t="shared" ref="X15:X25" si="2">SUM(D15:W15)</f>
        <v>93930068</v>
      </c>
      <c r="Y15" s="901">
        <f t="shared" ref="Y15:Y27" si="3">SUM(D15:W15)-X15</f>
        <v>0</v>
      </c>
      <c r="Z15" s="1228" t="e">
        <f>ROUND(#REF!+#REF!+#REF!,2)</f>
        <v>#REF!</v>
      </c>
      <c r="AA15" s="1228">
        <v>0</v>
      </c>
      <c r="AB15" s="1228">
        <v>0</v>
      </c>
      <c r="AC15" s="1229"/>
      <c r="AD15" s="1228">
        <v>0</v>
      </c>
      <c r="AE15" s="1227"/>
      <c r="AF15" s="1227">
        <v>0</v>
      </c>
      <c r="AG15" s="1227"/>
      <c r="AH15" s="1227">
        <v>0</v>
      </c>
      <c r="AI15" s="1227"/>
      <c r="AJ15" s="1227">
        <v>0</v>
      </c>
      <c r="AK15" s="1227"/>
      <c r="AL15" s="1227">
        <v>0</v>
      </c>
      <c r="AM15" s="1229"/>
      <c r="AN15" s="1229" t="e">
        <f t="shared" ref="AN15:AN25" si="4">SUM(D15:AL15)</f>
        <v>#REF!</v>
      </c>
    </row>
    <row r="16" spans="1:51" s="454" customFormat="1" ht="20.100000000000001" customHeight="1">
      <c r="A16" s="454" t="s">
        <v>873</v>
      </c>
      <c r="B16" s="468">
        <v>0.21490000000000001</v>
      </c>
      <c r="C16" s="685"/>
      <c r="D16" s="1228"/>
      <c r="E16" s="1228">
        <v>4849199</v>
      </c>
      <c r="F16" s="1227">
        <v>0</v>
      </c>
      <c r="G16" s="1227"/>
      <c r="H16" s="1227"/>
      <c r="I16" s="1227">
        <v>0</v>
      </c>
      <c r="J16" s="1228">
        <v>0</v>
      </c>
      <c r="K16" s="1228">
        <v>0</v>
      </c>
      <c r="L16" s="1227"/>
      <c r="M16" s="1227">
        <v>0</v>
      </c>
      <c r="N16" s="1228">
        <v>0</v>
      </c>
      <c r="O16" s="1227">
        <v>0</v>
      </c>
      <c r="P16" s="1227"/>
      <c r="Q16" s="1228">
        <v>0</v>
      </c>
      <c r="R16" s="1228">
        <v>0</v>
      </c>
      <c r="S16" s="1228"/>
      <c r="T16" s="1228">
        <v>0</v>
      </c>
      <c r="U16" s="1228"/>
      <c r="V16" s="1228">
        <v>0</v>
      </c>
      <c r="W16" s="1228"/>
      <c r="X16" s="1229">
        <f t="shared" si="2"/>
        <v>4849199</v>
      </c>
      <c r="Y16" s="901">
        <f t="shared" si="3"/>
        <v>0</v>
      </c>
      <c r="Z16" s="1228">
        <v>0</v>
      </c>
      <c r="AA16" s="1228">
        <v>0</v>
      </c>
      <c r="AB16" s="1228">
        <v>0</v>
      </c>
      <c r="AC16" s="1229"/>
      <c r="AD16" s="1228">
        <v>0</v>
      </c>
      <c r="AE16" s="1227"/>
      <c r="AF16" s="1227">
        <v>0</v>
      </c>
      <c r="AG16" s="1227"/>
      <c r="AH16" s="1227">
        <v>0</v>
      </c>
      <c r="AI16" s="1227"/>
      <c r="AJ16" s="1227">
        <v>0</v>
      </c>
      <c r="AK16" s="1227"/>
      <c r="AL16" s="1227">
        <v>0</v>
      </c>
      <c r="AM16" s="1229"/>
      <c r="AN16" s="1229">
        <f t="shared" si="4"/>
        <v>9698398</v>
      </c>
    </row>
    <row r="17" spans="1:40" s="454" customFormat="1" ht="20.100000000000001" customHeight="1">
      <c r="A17" s="454" t="s">
        <v>581</v>
      </c>
      <c r="B17" s="576">
        <v>1</v>
      </c>
      <c r="C17" s="685"/>
      <c r="D17" s="1229">
        <v>0</v>
      </c>
      <c r="E17" s="1228">
        <v>0</v>
      </c>
      <c r="F17" s="1228">
        <v>0</v>
      </c>
      <c r="G17" s="1228">
        <v>0</v>
      </c>
      <c r="H17" s="1228">
        <v>0</v>
      </c>
      <c r="I17" s="1228">
        <v>0</v>
      </c>
      <c r="J17" s="1228">
        <v>0</v>
      </c>
      <c r="K17" s="1228">
        <v>0</v>
      </c>
      <c r="L17" s="1228">
        <v>0</v>
      </c>
      <c r="M17" s="1228">
        <v>0</v>
      </c>
      <c r="N17" s="1228">
        <v>0</v>
      </c>
      <c r="O17" s="1228">
        <v>0</v>
      </c>
      <c r="P17" s="1228">
        <v>0</v>
      </c>
      <c r="Q17" s="1228">
        <v>0</v>
      </c>
      <c r="R17" s="1228">
        <v>0</v>
      </c>
      <c r="S17" s="1228">
        <v>0</v>
      </c>
      <c r="T17" s="1228">
        <v>0</v>
      </c>
      <c r="U17" s="1228">
        <v>0</v>
      </c>
      <c r="V17" s="1228">
        <v>0</v>
      </c>
      <c r="W17" s="1227">
        <v>71289</v>
      </c>
      <c r="X17" s="1229">
        <f t="shared" si="2"/>
        <v>71289</v>
      </c>
      <c r="Y17" s="901">
        <f t="shared" si="3"/>
        <v>0</v>
      </c>
      <c r="Z17" s="1228">
        <v>0</v>
      </c>
      <c r="AA17" s="1228">
        <v>0</v>
      </c>
      <c r="AB17" s="1228">
        <v>0</v>
      </c>
      <c r="AC17" s="1229"/>
      <c r="AD17" s="1228">
        <v>0</v>
      </c>
      <c r="AE17" s="1227"/>
      <c r="AF17" s="1228">
        <v>0</v>
      </c>
      <c r="AG17" s="1227"/>
      <c r="AH17" s="1228">
        <v>0</v>
      </c>
      <c r="AI17" s="1227"/>
      <c r="AJ17" s="1228">
        <v>0</v>
      </c>
      <c r="AK17" s="1227"/>
      <c r="AL17" s="1228">
        <v>0</v>
      </c>
      <c r="AM17" s="1229"/>
      <c r="AN17" s="1229">
        <f t="shared" si="4"/>
        <v>142578</v>
      </c>
    </row>
    <row r="18" spans="1:40" s="454" customFormat="1" ht="20.100000000000001" customHeight="1">
      <c r="A18" s="454" t="s">
        <v>580</v>
      </c>
      <c r="B18" s="684"/>
      <c r="C18" s="685"/>
      <c r="D18" s="1228">
        <v>4882276</v>
      </c>
      <c r="E18" s="1228">
        <v>0</v>
      </c>
      <c r="F18" s="1228">
        <v>0</v>
      </c>
      <c r="G18" s="1228">
        <v>0</v>
      </c>
      <c r="H18" s="1228">
        <v>0</v>
      </c>
      <c r="I18" s="1228">
        <v>0</v>
      </c>
      <c r="J18" s="1228">
        <v>0</v>
      </c>
      <c r="K18" s="1228">
        <v>0</v>
      </c>
      <c r="L18" s="1228">
        <v>0</v>
      </c>
      <c r="M18" s="1228">
        <v>0</v>
      </c>
      <c r="N18" s="1228">
        <v>0</v>
      </c>
      <c r="O18" s="1228">
        <v>0</v>
      </c>
      <c r="P18" s="1228">
        <v>0</v>
      </c>
      <c r="Q18" s="1228">
        <v>0</v>
      </c>
      <c r="R18" s="1228">
        <v>0</v>
      </c>
      <c r="S18" s="1228">
        <v>0</v>
      </c>
      <c r="T18" s="1228">
        <v>0</v>
      </c>
      <c r="U18" s="1228">
        <v>0</v>
      </c>
      <c r="V18" s="1228">
        <v>0</v>
      </c>
      <c r="W18" s="1228">
        <v>0</v>
      </c>
      <c r="X18" s="1229">
        <f t="shared" si="2"/>
        <v>4882276</v>
      </c>
      <c r="Y18" s="901">
        <f t="shared" si="3"/>
        <v>0</v>
      </c>
      <c r="Z18" s="1228">
        <v>0</v>
      </c>
      <c r="AA18" s="1228">
        <v>0</v>
      </c>
      <c r="AB18" s="1228">
        <v>0</v>
      </c>
      <c r="AC18" s="1229"/>
      <c r="AD18" s="1228">
        <v>0</v>
      </c>
      <c r="AE18" s="1227"/>
      <c r="AF18" s="1228">
        <v>0</v>
      </c>
      <c r="AG18" s="1227"/>
      <c r="AH18" s="1228">
        <v>0</v>
      </c>
      <c r="AI18" s="1227"/>
      <c r="AJ18" s="1228">
        <v>0</v>
      </c>
      <c r="AK18" s="1227"/>
      <c r="AL18" s="1228">
        <v>0</v>
      </c>
      <c r="AM18" s="1229"/>
      <c r="AN18" s="1229">
        <f t="shared" si="4"/>
        <v>9764552</v>
      </c>
    </row>
    <row r="19" spans="1:40" s="454" customFormat="1" ht="20.100000000000001" customHeight="1">
      <c r="A19" s="454" t="s">
        <v>579</v>
      </c>
      <c r="C19" s="685"/>
      <c r="D19" s="1228">
        <v>16400000</v>
      </c>
      <c r="E19" s="1228">
        <v>0</v>
      </c>
      <c r="F19" s="1227">
        <v>0</v>
      </c>
      <c r="G19" s="1227">
        <v>0</v>
      </c>
      <c r="H19" s="1227">
        <v>0</v>
      </c>
      <c r="I19" s="1227">
        <v>0</v>
      </c>
      <c r="J19" s="1228">
        <v>0</v>
      </c>
      <c r="K19" s="1228">
        <v>0</v>
      </c>
      <c r="L19" s="1227">
        <v>0</v>
      </c>
      <c r="M19" s="1227">
        <v>0</v>
      </c>
      <c r="N19" s="1228">
        <v>0</v>
      </c>
      <c r="O19" s="1227">
        <v>0</v>
      </c>
      <c r="P19" s="1227">
        <v>0</v>
      </c>
      <c r="Q19" s="1228">
        <v>0</v>
      </c>
      <c r="R19" s="1228">
        <v>0</v>
      </c>
      <c r="S19" s="1228">
        <v>0</v>
      </c>
      <c r="T19" s="1228">
        <v>0</v>
      </c>
      <c r="U19" s="1228">
        <v>0</v>
      </c>
      <c r="V19" s="1228">
        <v>0</v>
      </c>
      <c r="W19" s="1228">
        <v>0</v>
      </c>
      <c r="X19" s="1229">
        <f t="shared" si="2"/>
        <v>16400000</v>
      </c>
      <c r="Y19" s="901">
        <f t="shared" si="3"/>
        <v>0</v>
      </c>
      <c r="Z19" s="1228">
        <v>0</v>
      </c>
      <c r="AA19" s="1228">
        <v>0</v>
      </c>
      <c r="AB19" s="1228">
        <v>0</v>
      </c>
      <c r="AC19" s="1229"/>
      <c r="AD19" s="1228">
        <v>0</v>
      </c>
      <c r="AE19" s="1227"/>
      <c r="AF19" s="1227">
        <v>0</v>
      </c>
      <c r="AG19" s="1227"/>
      <c r="AH19" s="1227">
        <v>0</v>
      </c>
      <c r="AI19" s="1227"/>
      <c r="AJ19" s="1227">
        <v>0</v>
      </c>
      <c r="AK19" s="1227"/>
      <c r="AL19" s="1227">
        <v>0</v>
      </c>
      <c r="AM19" s="1229"/>
      <c r="AN19" s="1229">
        <f t="shared" si="4"/>
        <v>32800000</v>
      </c>
    </row>
    <row r="20" spans="1:40" s="454" customFormat="1" ht="20.100000000000001" customHeight="1">
      <c r="A20" s="454" t="s">
        <v>578</v>
      </c>
      <c r="C20" s="685"/>
      <c r="D20" s="1228">
        <v>35346075</v>
      </c>
      <c r="E20" s="1228">
        <v>0</v>
      </c>
      <c r="F20" s="1227">
        <v>0</v>
      </c>
      <c r="G20" s="1227">
        <v>0</v>
      </c>
      <c r="H20" s="1227">
        <v>0</v>
      </c>
      <c r="I20" s="1227">
        <v>0</v>
      </c>
      <c r="J20" s="1228">
        <v>0</v>
      </c>
      <c r="K20" s="1228">
        <v>0</v>
      </c>
      <c r="L20" s="1227">
        <v>0</v>
      </c>
      <c r="M20" s="1227">
        <v>0</v>
      </c>
      <c r="N20" s="1228">
        <v>0</v>
      </c>
      <c r="O20" s="1227">
        <v>0</v>
      </c>
      <c r="P20" s="1227">
        <v>0</v>
      </c>
      <c r="Q20" s="1228">
        <v>0</v>
      </c>
      <c r="R20" s="1228">
        <v>0</v>
      </c>
      <c r="S20" s="1228">
        <v>0</v>
      </c>
      <c r="T20" s="1228">
        <v>0</v>
      </c>
      <c r="U20" s="1228">
        <v>0</v>
      </c>
      <c r="V20" s="1228">
        <v>0</v>
      </c>
      <c r="W20" s="1228">
        <v>0</v>
      </c>
      <c r="X20" s="1229">
        <f t="shared" si="2"/>
        <v>35346075</v>
      </c>
      <c r="Y20" s="901">
        <f t="shared" si="3"/>
        <v>0</v>
      </c>
      <c r="Z20" s="1228">
        <v>0</v>
      </c>
      <c r="AA20" s="1228">
        <v>0</v>
      </c>
      <c r="AB20" s="1228">
        <v>0</v>
      </c>
      <c r="AC20" s="1229"/>
      <c r="AD20" s="1228">
        <v>0</v>
      </c>
      <c r="AE20" s="1227"/>
      <c r="AF20" s="1227">
        <v>0</v>
      </c>
      <c r="AG20" s="1227"/>
      <c r="AH20" s="1227">
        <v>0</v>
      </c>
      <c r="AI20" s="1227"/>
      <c r="AJ20" s="1227">
        <v>0</v>
      </c>
      <c r="AK20" s="1227"/>
      <c r="AL20" s="1227">
        <v>0</v>
      </c>
      <c r="AM20" s="1229"/>
      <c r="AN20" s="1229">
        <f t="shared" si="4"/>
        <v>70692150</v>
      </c>
    </row>
    <row r="21" spans="1:40" s="454" customFormat="1" ht="20.100000000000001" customHeight="1">
      <c r="A21" s="454" t="s">
        <v>435</v>
      </c>
      <c r="C21" s="685"/>
      <c r="D21" s="1228">
        <v>3100670</v>
      </c>
      <c r="E21" s="1228">
        <v>0</v>
      </c>
      <c r="F21" s="1227">
        <v>0</v>
      </c>
      <c r="G21" s="1227">
        <v>0</v>
      </c>
      <c r="H21" s="1227">
        <v>0</v>
      </c>
      <c r="I21" s="1227">
        <v>0</v>
      </c>
      <c r="J21" s="1228">
        <v>0</v>
      </c>
      <c r="K21" s="1228">
        <v>0</v>
      </c>
      <c r="L21" s="1227">
        <v>0</v>
      </c>
      <c r="M21" s="1227">
        <v>0</v>
      </c>
      <c r="N21" s="1228">
        <v>10841785</v>
      </c>
      <c r="O21" s="1227">
        <v>0</v>
      </c>
      <c r="P21" s="1227">
        <v>0</v>
      </c>
      <c r="Q21" s="1228">
        <v>0</v>
      </c>
      <c r="R21" s="1228">
        <v>0</v>
      </c>
      <c r="S21" s="1228">
        <v>0</v>
      </c>
      <c r="T21" s="1228">
        <v>0</v>
      </c>
      <c r="U21" s="1228">
        <v>0</v>
      </c>
      <c r="V21" s="1228">
        <v>0</v>
      </c>
      <c r="W21" s="1228">
        <v>0</v>
      </c>
      <c r="X21" s="1229">
        <f t="shared" si="2"/>
        <v>13942455</v>
      </c>
      <c r="Y21" s="901">
        <f t="shared" si="3"/>
        <v>0</v>
      </c>
      <c r="Z21" s="1228">
        <v>0</v>
      </c>
      <c r="AA21" s="1228">
        <v>0</v>
      </c>
      <c r="AB21" s="1228">
        <v>0</v>
      </c>
      <c r="AC21" s="1229"/>
      <c r="AD21" s="1228">
        <v>0</v>
      </c>
      <c r="AE21" s="1227"/>
      <c r="AF21" s="1227">
        <v>0</v>
      </c>
      <c r="AG21" s="1227"/>
      <c r="AH21" s="1227">
        <v>0</v>
      </c>
      <c r="AI21" s="1227"/>
      <c r="AJ21" s="1227">
        <v>0</v>
      </c>
      <c r="AK21" s="1227"/>
      <c r="AL21" s="1227">
        <v>0</v>
      </c>
      <c r="AM21" s="1229"/>
      <c r="AN21" s="1229">
        <f t="shared" si="4"/>
        <v>27884910</v>
      </c>
    </row>
    <row r="22" spans="1:40" s="454" customFormat="1" ht="20.100000000000001" customHeight="1">
      <c r="A22" s="454" t="s">
        <v>408</v>
      </c>
      <c r="C22" s="685"/>
      <c r="D22" s="1228">
        <v>18780975</v>
      </c>
      <c r="E22" s="1228">
        <v>0</v>
      </c>
      <c r="F22" s="1227">
        <v>0</v>
      </c>
      <c r="G22" s="1227">
        <v>0</v>
      </c>
      <c r="H22" s="1227">
        <v>0</v>
      </c>
      <c r="I22" s="1227">
        <v>0</v>
      </c>
      <c r="J22" s="1228">
        <v>0</v>
      </c>
      <c r="K22" s="1228">
        <v>0</v>
      </c>
      <c r="L22" s="1227">
        <v>0</v>
      </c>
      <c r="M22" s="1227">
        <v>0</v>
      </c>
      <c r="N22" s="1227">
        <v>0</v>
      </c>
      <c r="O22" s="1227">
        <v>0</v>
      </c>
      <c r="P22" s="1227">
        <v>0</v>
      </c>
      <c r="Q22" s="1227">
        <v>11732668</v>
      </c>
      <c r="R22" s="1227">
        <v>7169593</v>
      </c>
      <c r="S22" s="1227">
        <v>0</v>
      </c>
      <c r="T22" s="1228">
        <v>0</v>
      </c>
      <c r="U22" s="1227">
        <v>0</v>
      </c>
      <c r="V22" s="1228">
        <v>0</v>
      </c>
      <c r="W22" s="1228">
        <v>0</v>
      </c>
      <c r="X22" s="1229">
        <f t="shared" si="2"/>
        <v>37683236</v>
      </c>
      <c r="Y22" s="901">
        <f t="shared" si="3"/>
        <v>0</v>
      </c>
      <c r="Z22" s="1228">
        <v>0</v>
      </c>
      <c r="AA22" s="1228">
        <v>0</v>
      </c>
      <c r="AB22" s="1228">
        <v>0</v>
      </c>
      <c r="AC22" s="1229"/>
      <c r="AD22" s="1228">
        <v>0</v>
      </c>
      <c r="AE22" s="1227"/>
      <c r="AF22" s="1227">
        <v>0</v>
      </c>
      <c r="AG22" s="1227"/>
      <c r="AH22" s="1227">
        <v>0</v>
      </c>
      <c r="AI22" s="1227"/>
      <c r="AJ22" s="1227">
        <v>0</v>
      </c>
      <c r="AK22" s="1227"/>
      <c r="AL22" s="1227">
        <v>0</v>
      </c>
      <c r="AM22" s="1229"/>
      <c r="AN22" s="1229">
        <f t="shared" si="4"/>
        <v>75366472</v>
      </c>
    </row>
    <row r="23" spans="1:40" s="454" customFormat="1" ht="20.100000000000001" customHeight="1">
      <c r="A23" s="454" t="s">
        <v>114</v>
      </c>
      <c r="C23" s="685"/>
      <c r="D23" s="1228">
        <v>20096159</v>
      </c>
      <c r="E23" s="1228">
        <v>0</v>
      </c>
      <c r="F23" s="1227">
        <v>112973591</v>
      </c>
      <c r="G23" s="1227">
        <v>18200000</v>
      </c>
      <c r="H23" s="1227">
        <v>12604351</v>
      </c>
      <c r="I23" s="1227">
        <v>10671427</v>
      </c>
      <c r="J23" s="1227">
        <v>19105722</v>
      </c>
      <c r="K23" s="1228">
        <v>0</v>
      </c>
      <c r="L23" s="1227">
        <v>17200000</v>
      </c>
      <c r="M23" s="1227">
        <v>3104336</v>
      </c>
      <c r="N23" s="1228">
        <v>55500</v>
      </c>
      <c r="O23" s="1227">
        <v>5781000</v>
      </c>
      <c r="P23" s="1227">
        <v>15351063</v>
      </c>
      <c r="Q23" s="1228">
        <v>0</v>
      </c>
      <c r="R23" s="1228">
        <v>0</v>
      </c>
      <c r="S23" s="1228">
        <v>0</v>
      </c>
      <c r="T23" s="1227">
        <v>1451345</v>
      </c>
      <c r="U23" s="1228">
        <v>0</v>
      </c>
      <c r="V23" s="1228">
        <v>0</v>
      </c>
      <c r="W23" s="1228">
        <v>0</v>
      </c>
      <c r="X23" s="1229">
        <f t="shared" si="2"/>
        <v>236594494</v>
      </c>
      <c r="Y23" s="901">
        <f t="shared" si="3"/>
        <v>0</v>
      </c>
      <c r="Z23" s="1228">
        <v>0</v>
      </c>
      <c r="AA23" s="1228">
        <v>0</v>
      </c>
      <c r="AB23" s="1227">
        <f>ROUND('Arts Science District Garage'!L8,2)</f>
        <v>1155994.8400000001</v>
      </c>
      <c r="AC23" s="1229"/>
      <c r="AD23" s="1227">
        <f>ROUND(Sanitation!L9,2)</f>
        <v>15162899</v>
      </c>
      <c r="AE23" s="1227"/>
      <c r="AF23" s="1227">
        <f>ROUND('Water and Sewer'!L8+'Central Region'!L8,2)</f>
        <v>122220191</v>
      </c>
      <c r="AG23" s="1227"/>
      <c r="AH23" s="1227">
        <f>ROUND(Stormwater!L8,2)</f>
        <v>0</v>
      </c>
      <c r="AI23" s="1227"/>
      <c r="AJ23" s="1227">
        <f>ROUND('Parking System'!L8,2)</f>
        <v>11903785</v>
      </c>
      <c r="AK23" s="1227"/>
      <c r="AL23" s="1227">
        <f>ROUND(Airport!L9,2)</f>
        <v>3796401.65</v>
      </c>
      <c r="AM23" s="1229"/>
      <c r="AN23" s="1229">
        <f t="shared" si="4"/>
        <v>627428259.48999989</v>
      </c>
    </row>
    <row r="24" spans="1:40" s="454" customFormat="1" ht="20.100000000000001" customHeight="1">
      <c r="A24" s="454" t="s">
        <v>436</v>
      </c>
      <c r="C24" s="685"/>
      <c r="D24" s="1228">
        <v>2133961</v>
      </c>
      <c r="E24" s="1228">
        <v>0</v>
      </c>
      <c r="F24" s="1227">
        <v>0</v>
      </c>
      <c r="G24" s="1227">
        <v>0</v>
      </c>
      <c r="H24" s="1227">
        <v>0</v>
      </c>
      <c r="I24" s="1227">
        <v>2807000</v>
      </c>
      <c r="J24" s="1228">
        <v>0</v>
      </c>
      <c r="K24" s="1228">
        <v>0</v>
      </c>
      <c r="L24" s="1227">
        <v>0</v>
      </c>
      <c r="M24" s="1227">
        <v>0</v>
      </c>
      <c r="N24" s="1228">
        <v>0</v>
      </c>
      <c r="O24" s="1227">
        <v>0</v>
      </c>
      <c r="P24" s="1227">
        <v>0</v>
      </c>
      <c r="Q24" s="1228">
        <v>0</v>
      </c>
      <c r="R24" s="1228">
        <v>0</v>
      </c>
      <c r="S24" s="1228">
        <v>0</v>
      </c>
      <c r="T24" s="1228">
        <v>0</v>
      </c>
      <c r="U24" s="1228">
        <v>800000</v>
      </c>
      <c r="V24" s="1228">
        <v>0</v>
      </c>
      <c r="W24" s="1228">
        <v>0</v>
      </c>
      <c r="X24" s="1229">
        <f t="shared" si="2"/>
        <v>5740961</v>
      </c>
      <c r="Y24" s="901">
        <f t="shared" si="3"/>
        <v>0</v>
      </c>
      <c r="Z24" s="1228">
        <v>0</v>
      </c>
      <c r="AA24" s="1228">
        <v>0</v>
      </c>
      <c r="AB24" s="1228">
        <v>0</v>
      </c>
      <c r="AC24" s="1229"/>
      <c r="AD24" s="1228">
        <v>0</v>
      </c>
      <c r="AE24" s="1227"/>
      <c r="AF24" s="1227">
        <v>0</v>
      </c>
      <c r="AG24" s="1227"/>
      <c r="AH24" s="1227">
        <v>0</v>
      </c>
      <c r="AI24" s="1227"/>
      <c r="AJ24" s="1227">
        <f>ROUND('Parking System'!L9,2)</f>
        <v>3038435</v>
      </c>
      <c r="AK24" s="1227"/>
      <c r="AL24" s="1227">
        <v>0</v>
      </c>
      <c r="AM24" s="1229"/>
      <c r="AN24" s="1229">
        <f t="shared" si="4"/>
        <v>14520357</v>
      </c>
    </row>
    <row r="25" spans="1:40" s="454" customFormat="1" ht="20.100000000000001" customHeight="1">
      <c r="A25" s="454" t="s">
        <v>437</v>
      </c>
      <c r="C25" s="685"/>
      <c r="D25" s="1228">
        <v>67769547</v>
      </c>
      <c r="E25" s="1228">
        <v>0</v>
      </c>
      <c r="F25" s="1227">
        <v>5910219</v>
      </c>
      <c r="G25" s="1227">
        <v>146100</v>
      </c>
      <c r="H25" s="1227">
        <v>112000</v>
      </c>
      <c r="I25" s="1227">
        <v>357749</v>
      </c>
      <c r="J25" s="1228">
        <v>44000</v>
      </c>
      <c r="K25" s="1227">
        <v>1965000</v>
      </c>
      <c r="L25" s="1227">
        <v>12000</v>
      </c>
      <c r="M25" s="1227">
        <v>3688536</v>
      </c>
      <c r="N25" s="1228">
        <v>17000</v>
      </c>
      <c r="O25" s="1227">
        <v>150000</v>
      </c>
      <c r="P25" s="1227">
        <v>172070</v>
      </c>
      <c r="Q25" s="1228">
        <v>0</v>
      </c>
      <c r="R25" s="1227">
        <v>35263</v>
      </c>
      <c r="S25" s="1228">
        <v>0</v>
      </c>
      <c r="T25" s="1227">
        <v>0</v>
      </c>
      <c r="U25" s="1228">
        <v>0</v>
      </c>
      <c r="V25" s="1227">
        <v>634723</v>
      </c>
      <c r="W25" s="1227">
        <v>300</v>
      </c>
      <c r="X25" s="1229">
        <f t="shared" si="2"/>
        <v>81014507</v>
      </c>
      <c r="Y25" s="901">
        <f t="shared" si="3"/>
        <v>0</v>
      </c>
      <c r="Z25" s="1228">
        <v>0</v>
      </c>
      <c r="AA25" s="1227">
        <f>ROUND(Cemtery!L8,2)</f>
        <v>2200000</v>
      </c>
      <c r="AB25" s="1227">
        <v>0</v>
      </c>
      <c r="AC25" s="1229"/>
      <c r="AD25" s="1228" t="e">
        <f>ROUND(Sanitation!#REF!,2)</f>
        <v>#REF!</v>
      </c>
      <c r="AE25" s="1227"/>
      <c r="AF25" s="1227">
        <f>ROUND('Water and Sewer'!L9+'Central Region'!L9,2)</f>
        <v>6500315</v>
      </c>
      <c r="AG25" s="1227"/>
      <c r="AH25" s="1227">
        <f>ROUND(Stormwater!L10,2)</f>
        <v>170400</v>
      </c>
      <c r="AI25" s="1227"/>
      <c r="AJ25" s="1227">
        <f>ROUND('Parking System'!L10,2)</f>
        <v>382891.66</v>
      </c>
      <c r="AK25" s="1227"/>
      <c r="AL25" s="1227">
        <f>ROUND(Airport!L10,2)</f>
        <v>3899193.27</v>
      </c>
      <c r="AM25" s="1229"/>
      <c r="AN25" s="1229" t="e">
        <f t="shared" si="4"/>
        <v>#REF!</v>
      </c>
    </row>
    <row r="26" spans="1:40" s="454" customFormat="1" ht="20.100000000000001" hidden="1" customHeight="1">
      <c r="A26" s="454" t="s">
        <v>58</v>
      </c>
      <c r="B26" s="454" t="s">
        <v>58</v>
      </c>
      <c r="C26" s="685" t="s">
        <v>58</v>
      </c>
      <c r="D26" s="1228" t="s">
        <v>58</v>
      </c>
      <c r="E26" s="1227" t="s">
        <v>58</v>
      </c>
      <c r="F26" s="1230" t="s">
        <v>58</v>
      </c>
      <c r="G26" s="1228"/>
      <c r="H26" s="1228"/>
      <c r="I26" s="1230" t="s">
        <v>58</v>
      </c>
      <c r="J26" s="1230" t="s">
        <v>58</v>
      </c>
      <c r="K26" s="1230" t="s">
        <v>58</v>
      </c>
      <c r="L26" s="1228"/>
      <c r="M26" s="1230" t="s">
        <v>58</v>
      </c>
      <c r="N26" s="1228" t="s">
        <v>58</v>
      </c>
      <c r="O26" s="1230" t="s">
        <v>58</v>
      </c>
      <c r="P26" s="1228"/>
      <c r="Q26" s="1228" t="s">
        <v>58</v>
      </c>
      <c r="R26" s="1227" t="s">
        <v>58</v>
      </c>
      <c r="S26" s="1228" t="s">
        <v>58</v>
      </c>
      <c r="T26" s="1230" t="s">
        <v>58</v>
      </c>
      <c r="U26" s="1228" t="s">
        <v>58</v>
      </c>
      <c r="V26" s="1227" t="s">
        <v>58</v>
      </c>
      <c r="W26" s="1227" t="s">
        <v>58</v>
      </c>
      <c r="X26" s="1229" t="s">
        <v>58</v>
      </c>
      <c r="Y26" s="901" t="e">
        <f t="shared" si="3"/>
        <v>#VALUE!</v>
      </c>
      <c r="Z26" s="1227" t="s">
        <v>58</v>
      </c>
      <c r="AA26" s="1230" t="s">
        <v>58</v>
      </c>
      <c r="AB26" s="1230" t="s">
        <v>58</v>
      </c>
      <c r="AC26" s="1230">
        <f>SUM(AC14:AC25)</f>
        <v>0</v>
      </c>
      <c r="AD26" s="1230" t="s">
        <v>58</v>
      </c>
      <c r="AE26" s="1230">
        <f>SUM(AE14:AE25)</f>
        <v>0</v>
      </c>
      <c r="AF26" s="1230" t="s">
        <v>58</v>
      </c>
      <c r="AG26" s="1230">
        <f>SUM(AG14:AG25)</f>
        <v>0</v>
      </c>
      <c r="AH26" s="1230" t="s">
        <v>58</v>
      </c>
      <c r="AI26" s="1230">
        <f>SUM(AI14:AI25)</f>
        <v>0</v>
      </c>
      <c r="AJ26" s="1230" t="s">
        <v>58</v>
      </c>
      <c r="AK26" s="1230">
        <f>SUM(AK14:AK25)</f>
        <v>0</v>
      </c>
      <c r="AL26" s="1230" t="s">
        <v>58</v>
      </c>
      <c r="AM26" s="1230">
        <f>SUM(AM14:AM25)</f>
        <v>0</v>
      </c>
      <c r="AN26" s="1229" t="s">
        <v>58</v>
      </c>
    </row>
    <row r="27" spans="1:40" s="454" customFormat="1" ht="20.100000000000001" customHeight="1">
      <c r="A27" s="1398" t="s">
        <v>9</v>
      </c>
      <c r="B27" s="454" t="s">
        <v>58</v>
      </c>
      <c r="C27" s="685" t="s">
        <v>58</v>
      </c>
      <c r="D27" s="1230">
        <v>262439731</v>
      </c>
      <c r="E27" s="1230">
        <v>4849199</v>
      </c>
      <c r="F27" s="1230">
        <v>118883810</v>
      </c>
      <c r="G27" s="1230">
        <f>SUM(G15:G25)</f>
        <v>18346100</v>
      </c>
      <c r="H27" s="1230">
        <f>SUM(H15:H25)</f>
        <v>12716351</v>
      </c>
      <c r="I27" s="1230">
        <v>13836176</v>
      </c>
      <c r="J27" s="1230">
        <v>19149722</v>
      </c>
      <c r="K27" s="1230">
        <v>1965000</v>
      </c>
      <c r="L27" s="1230">
        <f>SUM(L15:L25)</f>
        <v>17212000</v>
      </c>
      <c r="M27" s="1230">
        <v>6792872</v>
      </c>
      <c r="N27" s="1230">
        <v>10914285</v>
      </c>
      <c r="O27" s="1230">
        <v>5931000</v>
      </c>
      <c r="P27" s="1230">
        <f>SUM(P15:P25)</f>
        <v>15523133</v>
      </c>
      <c r="Q27" s="1230">
        <v>11732668</v>
      </c>
      <c r="R27" s="1230">
        <v>7204856</v>
      </c>
      <c r="S27" s="1230">
        <v>0</v>
      </c>
      <c r="T27" s="1230">
        <v>1451345</v>
      </c>
      <c r="U27" s="1230">
        <v>800000</v>
      </c>
      <c r="V27" s="1230">
        <v>634723</v>
      </c>
      <c r="W27" s="1230">
        <v>71589</v>
      </c>
      <c r="X27" s="1231">
        <f>SUM(X15:X25)</f>
        <v>530454560</v>
      </c>
      <c r="Y27" s="901">
        <f t="shared" si="3"/>
        <v>0</v>
      </c>
      <c r="Z27" s="1230" t="e">
        <f t="shared" ref="Z27:AL27" si="5">SUM(Z15:Z25)</f>
        <v>#REF!</v>
      </c>
      <c r="AA27" s="1230">
        <f t="shared" si="5"/>
        <v>2200000</v>
      </c>
      <c r="AB27" s="1230">
        <f t="shared" si="5"/>
        <v>1155994.8400000001</v>
      </c>
      <c r="AC27" s="1230">
        <f t="shared" si="5"/>
        <v>0</v>
      </c>
      <c r="AD27" s="1230" t="e">
        <f t="shared" si="5"/>
        <v>#REF!</v>
      </c>
      <c r="AE27" s="1230">
        <f t="shared" si="5"/>
        <v>0</v>
      </c>
      <c r="AF27" s="1230">
        <f t="shared" si="5"/>
        <v>128720506</v>
      </c>
      <c r="AG27" s="1230">
        <f t="shared" si="5"/>
        <v>0</v>
      </c>
      <c r="AH27" s="1230">
        <f t="shared" si="5"/>
        <v>170400</v>
      </c>
      <c r="AI27" s="1230">
        <f t="shared" si="5"/>
        <v>0</v>
      </c>
      <c r="AJ27" s="1230">
        <f t="shared" si="5"/>
        <v>15325111.66</v>
      </c>
      <c r="AK27" s="1230">
        <f t="shared" si="5"/>
        <v>0</v>
      </c>
      <c r="AL27" s="1230">
        <f t="shared" si="5"/>
        <v>7695594.9199999999</v>
      </c>
      <c r="AM27" s="1230">
        <f>SUM(AM14:AM26)</f>
        <v>0</v>
      </c>
      <c r="AN27" s="1231" t="e">
        <f>SUM(AN15:AN25)</f>
        <v>#REF!</v>
      </c>
    </row>
    <row r="28" spans="1:40" s="454" customFormat="1" ht="15.95" customHeight="1">
      <c r="C28" s="685"/>
      <c r="D28" s="1227"/>
      <c r="E28" s="1227"/>
      <c r="F28" s="1227"/>
      <c r="G28" s="1227"/>
      <c r="H28" s="1227"/>
      <c r="I28" s="1227"/>
      <c r="J28" s="1227"/>
      <c r="K28" s="1227"/>
      <c r="L28" s="1227"/>
      <c r="M28" s="1227"/>
      <c r="N28" s="1227"/>
      <c r="O28" s="1227"/>
      <c r="P28" s="1227"/>
      <c r="Q28" s="1219"/>
      <c r="R28" s="1227"/>
      <c r="S28" s="1227"/>
      <c r="T28" s="1227"/>
      <c r="U28" s="1227"/>
      <c r="V28" s="1227"/>
      <c r="W28" s="1227"/>
      <c r="X28" s="1227"/>
      <c r="Z28" s="1227"/>
      <c r="AA28" s="1227"/>
      <c r="AB28" s="1227"/>
      <c r="AC28" s="1227"/>
      <c r="AD28" s="1227"/>
      <c r="AE28" s="1227"/>
      <c r="AF28" s="1227"/>
      <c r="AG28" s="1227"/>
      <c r="AH28" s="1227"/>
      <c r="AI28" s="1227"/>
      <c r="AJ28" s="1227"/>
      <c r="AK28" s="1227"/>
      <c r="AL28" s="1227"/>
      <c r="AM28" s="1227"/>
      <c r="AN28" s="1227"/>
    </row>
    <row r="29" spans="1:40" s="454" customFormat="1" ht="20.100000000000001" customHeight="1">
      <c r="A29" s="1398" t="s">
        <v>941</v>
      </c>
      <c r="C29" s="685" t="s">
        <v>58</v>
      </c>
      <c r="D29" s="1233">
        <v>16792792</v>
      </c>
      <c r="E29" s="1233">
        <v>368388527.81999999</v>
      </c>
      <c r="F29" s="1233">
        <v>31114097</v>
      </c>
      <c r="G29" s="1233">
        <v>0</v>
      </c>
      <c r="H29" s="1233">
        <v>0</v>
      </c>
      <c r="I29" s="1233">
        <v>0</v>
      </c>
      <c r="J29" s="1233">
        <v>0</v>
      </c>
      <c r="K29" s="1233">
        <v>0</v>
      </c>
      <c r="L29" s="1233">
        <v>0</v>
      </c>
      <c r="M29" s="1233">
        <v>0</v>
      </c>
      <c r="N29" s="1233">
        <v>0</v>
      </c>
      <c r="O29" s="1233">
        <v>0</v>
      </c>
      <c r="P29" s="1233">
        <v>0</v>
      </c>
      <c r="Q29" s="1221">
        <v>0</v>
      </c>
      <c r="R29" s="1233">
        <v>3914956</v>
      </c>
      <c r="S29" s="1233"/>
      <c r="T29" s="1233">
        <v>0</v>
      </c>
      <c r="U29" s="1233">
        <v>0</v>
      </c>
      <c r="V29" s="1233">
        <v>0</v>
      </c>
      <c r="W29" s="1233">
        <v>0</v>
      </c>
      <c r="X29" s="1234">
        <f>SUM(D29:W29)</f>
        <v>420210372.81999999</v>
      </c>
      <c r="Y29" s="901">
        <f>SUM(D29:W29)-X29</f>
        <v>0</v>
      </c>
      <c r="Z29" s="1233" t="e">
        <f>#REF!+#REF!+#REF!+#REF!</f>
        <v>#REF!</v>
      </c>
      <c r="AA29" s="1233">
        <v>0</v>
      </c>
      <c r="AB29" s="1233">
        <v>0</v>
      </c>
      <c r="AC29" s="1229"/>
      <c r="AD29" s="1233">
        <v>0</v>
      </c>
      <c r="AE29" s="1227"/>
      <c r="AF29" s="1233">
        <f>'Water and Sewer'!L10</f>
        <v>0</v>
      </c>
      <c r="AG29" s="1227"/>
      <c r="AH29" s="1233">
        <v>0</v>
      </c>
      <c r="AI29" s="1227"/>
      <c r="AJ29" s="1233">
        <v>0</v>
      </c>
      <c r="AK29" s="1227"/>
      <c r="AL29" s="1233">
        <v>0</v>
      </c>
      <c r="AM29" s="1252"/>
      <c r="AN29" s="1234" t="e">
        <f>SUM(D29:AL29)</f>
        <v>#REF!</v>
      </c>
    </row>
    <row r="30" spans="1:40" s="454" customFormat="1" ht="10.5" customHeight="1">
      <c r="C30" s="685"/>
      <c r="D30" s="1227"/>
      <c r="E30" s="1227"/>
      <c r="F30" s="1227"/>
      <c r="G30" s="1227"/>
      <c r="H30" s="1227"/>
      <c r="I30" s="1227"/>
      <c r="J30" s="1227"/>
      <c r="K30" s="1227"/>
      <c r="L30" s="1227"/>
      <c r="M30" s="1227"/>
      <c r="N30" s="1227"/>
      <c r="O30" s="1227"/>
      <c r="P30" s="1227"/>
      <c r="Q30" s="1219"/>
      <c r="R30" s="1227"/>
      <c r="S30" s="1227"/>
      <c r="T30" s="1227"/>
      <c r="U30" s="1227"/>
      <c r="V30" s="1227"/>
      <c r="W30" s="1227"/>
      <c r="X30" s="1229"/>
      <c r="Z30" s="1227"/>
      <c r="AA30" s="1227"/>
      <c r="AB30" s="1227"/>
      <c r="AC30" s="1229"/>
      <c r="AD30" s="1227"/>
      <c r="AE30" s="1227"/>
      <c r="AF30" s="1227"/>
      <c r="AG30" s="1227"/>
      <c r="AH30" s="1227"/>
      <c r="AI30" s="1227"/>
      <c r="AJ30" s="1227"/>
      <c r="AK30" s="1227"/>
      <c r="AL30" s="1227"/>
      <c r="AM30" s="1229"/>
      <c r="AN30" s="1229"/>
    </row>
    <row r="31" spans="1:40" s="454" customFormat="1" ht="30" customHeight="1">
      <c r="A31" s="1398" t="s">
        <v>940</v>
      </c>
      <c r="C31" s="685"/>
      <c r="D31" s="1395">
        <f>D27+D29</f>
        <v>279232523</v>
      </c>
      <c r="E31" s="1395">
        <f t="shared" ref="E31:X31" si="6">E27+E29</f>
        <v>373237726.81999999</v>
      </c>
      <c r="F31" s="1395">
        <f t="shared" si="6"/>
        <v>149997907</v>
      </c>
      <c r="G31" s="1395">
        <f t="shared" si="6"/>
        <v>18346100</v>
      </c>
      <c r="H31" s="1395">
        <f t="shared" si="6"/>
        <v>12716351</v>
      </c>
      <c r="I31" s="1395">
        <f t="shared" si="6"/>
        <v>13836176</v>
      </c>
      <c r="J31" s="1395">
        <f t="shared" si="6"/>
        <v>19149722</v>
      </c>
      <c r="K31" s="1395">
        <f t="shared" si="6"/>
        <v>1965000</v>
      </c>
      <c r="L31" s="1395">
        <f t="shared" si="6"/>
        <v>17212000</v>
      </c>
      <c r="M31" s="1395">
        <f t="shared" si="6"/>
        <v>6792872</v>
      </c>
      <c r="N31" s="1395">
        <f t="shared" si="6"/>
        <v>10914285</v>
      </c>
      <c r="O31" s="1395">
        <f t="shared" si="6"/>
        <v>5931000</v>
      </c>
      <c r="P31" s="1395">
        <f t="shared" si="6"/>
        <v>15523133</v>
      </c>
      <c r="Q31" s="1395">
        <f t="shared" si="6"/>
        <v>11732668</v>
      </c>
      <c r="R31" s="1395">
        <f t="shared" si="6"/>
        <v>11119812</v>
      </c>
      <c r="S31" s="1395">
        <f t="shared" si="6"/>
        <v>0</v>
      </c>
      <c r="T31" s="1395">
        <f t="shared" si="6"/>
        <v>1451345</v>
      </c>
      <c r="U31" s="1395">
        <f t="shared" si="6"/>
        <v>800000</v>
      </c>
      <c r="V31" s="1395">
        <f t="shared" si="6"/>
        <v>634723</v>
      </c>
      <c r="W31" s="1395">
        <f t="shared" si="6"/>
        <v>71589</v>
      </c>
      <c r="X31" s="1395">
        <f t="shared" si="6"/>
        <v>950664932.81999993</v>
      </c>
      <c r="Z31" s="1227"/>
      <c r="AA31" s="1227"/>
      <c r="AB31" s="1227"/>
      <c r="AC31" s="1229"/>
      <c r="AD31" s="1227"/>
      <c r="AE31" s="1227"/>
      <c r="AF31" s="1227"/>
      <c r="AG31" s="1227"/>
      <c r="AH31" s="1227"/>
      <c r="AI31" s="1227"/>
      <c r="AJ31" s="1227"/>
      <c r="AK31" s="1227"/>
      <c r="AL31" s="1227"/>
      <c r="AM31" s="1229"/>
      <c r="AN31" s="1229"/>
    </row>
    <row r="32" spans="1:40" s="454" customFormat="1" ht="10.5" customHeight="1">
      <c r="C32" s="685"/>
      <c r="D32" s="1227"/>
      <c r="E32" s="1227"/>
      <c r="F32" s="1227"/>
      <c r="G32" s="1227"/>
      <c r="H32" s="1227"/>
      <c r="I32" s="1227"/>
      <c r="J32" s="1227"/>
      <c r="K32" s="1227"/>
      <c r="L32" s="1227"/>
      <c r="M32" s="1227"/>
      <c r="N32" s="1227"/>
      <c r="O32" s="1227"/>
      <c r="P32" s="1227"/>
      <c r="Q32" s="1219"/>
      <c r="R32" s="1227"/>
      <c r="S32" s="1227"/>
      <c r="T32" s="1227"/>
      <c r="U32" s="1227"/>
      <c r="V32" s="1227"/>
      <c r="W32" s="1227"/>
      <c r="X32" s="1229"/>
      <c r="Z32" s="1227"/>
      <c r="AA32" s="1227"/>
      <c r="AB32" s="1227"/>
      <c r="AC32" s="1229"/>
      <c r="AD32" s="1227"/>
      <c r="AE32" s="1227"/>
      <c r="AF32" s="1227"/>
      <c r="AG32" s="1227"/>
      <c r="AH32" s="1227"/>
      <c r="AI32" s="1227"/>
      <c r="AJ32" s="1227"/>
      <c r="AK32" s="1227"/>
      <c r="AL32" s="1227"/>
      <c r="AM32" s="1229"/>
      <c r="AN32" s="1229"/>
    </row>
    <row r="33" spans="1:51" s="685" customFormat="1" ht="30" customHeight="1" thickBot="1">
      <c r="A33" s="713" t="s">
        <v>946</v>
      </c>
      <c r="B33" s="713"/>
      <c r="C33" s="685" t="s">
        <v>424</v>
      </c>
      <c r="D33" s="800">
        <v>333368705.67000002</v>
      </c>
      <c r="E33" s="800">
        <v>385881724.62</v>
      </c>
      <c r="F33" s="800">
        <v>205174442.09999999</v>
      </c>
      <c r="G33" s="800">
        <f>G11+G27+G29</f>
        <v>32209755.439999998</v>
      </c>
      <c r="H33" s="800">
        <f>H11+H27</f>
        <v>24603708.469999999</v>
      </c>
      <c r="I33" s="800">
        <v>24452661.59</v>
      </c>
      <c r="J33" s="800">
        <v>22591218.84</v>
      </c>
      <c r="K33" s="800">
        <v>21517625</v>
      </c>
      <c r="L33" s="800">
        <f>L11+L27</f>
        <v>20191515</v>
      </c>
      <c r="M33" s="800">
        <v>19374455.009999998</v>
      </c>
      <c r="N33" s="800">
        <v>19111205</v>
      </c>
      <c r="O33" s="800">
        <v>17825915.34</v>
      </c>
      <c r="P33" s="800">
        <f>P11+P27</f>
        <v>16679555.890000001</v>
      </c>
      <c r="Q33" s="800">
        <v>11732668</v>
      </c>
      <c r="R33" s="800">
        <v>11119812</v>
      </c>
      <c r="S33" s="800">
        <v>2713933</v>
      </c>
      <c r="T33" s="800">
        <v>1451345</v>
      </c>
      <c r="U33" s="800">
        <v>800000</v>
      </c>
      <c r="V33" s="800">
        <v>706126</v>
      </c>
      <c r="W33" s="800">
        <v>151173</v>
      </c>
      <c r="X33" s="800">
        <f>X11+X27+X29</f>
        <v>1171657544.97</v>
      </c>
      <c r="Y33" s="685">
        <f>SUM(D33:W33)-X33</f>
        <v>0</v>
      </c>
      <c r="Z33" s="685" t="e">
        <f t="shared" ref="Z33:AN33" si="7">Z11+Z27+Z29</f>
        <v>#REF!</v>
      </c>
      <c r="AA33" s="685">
        <f t="shared" si="7"/>
        <v>26129746.120000001</v>
      </c>
      <c r="AB33" s="685">
        <f t="shared" si="7"/>
        <v>1155994.8400000001</v>
      </c>
      <c r="AC33" s="685">
        <f t="shared" si="7"/>
        <v>0</v>
      </c>
      <c r="AD33" s="685" t="e">
        <f t="shared" si="7"/>
        <v>#REF!</v>
      </c>
      <c r="AE33" s="685">
        <f t="shared" si="7"/>
        <v>0</v>
      </c>
      <c r="AF33" s="685">
        <f t="shared" si="7"/>
        <v>185359849</v>
      </c>
      <c r="AG33" s="685">
        <f t="shared" si="7"/>
        <v>0</v>
      </c>
      <c r="AH33" s="685">
        <f t="shared" si="7"/>
        <v>12383619</v>
      </c>
      <c r="AI33" s="685">
        <f t="shared" si="7"/>
        <v>0</v>
      </c>
      <c r="AJ33" s="685">
        <f t="shared" si="7"/>
        <v>29062115.66</v>
      </c>
      <c r="AK33" s="685">
        <f t="shared" si="7"/>
        <v>0</v>
      </c>
      <c r="AL33" s="685">
        <f t="shared" si="7"/>
        <v>21576376.920000002</v>
      </c>
      <c r="AM33" s="685">
        <f t="shared" si="7"/>
        <v>0</v>
      </c>
      <c r="AN33" s="685" t="e">
        <f t="shared" si="7"/>
        <v>#REF!</v>
      </c>
    </row>
    <row r="34" spans="1:51" s="454" customFormat="1" ht="10.5" customHeight="1" thickTop="1">
      <c r="C34" s="685"/>
      <c r="D34" s="1227"/>
      <c r="E34" s="1227"/>
      <c r="F34" s="1227"/>
      <c r="G34" s="1227"/>
      <c r="H34" s="1227"/>
      <c r="I34" s="1227"/>
      <c r="J34" s="1227"/>
      <c r="K34" s="1227"/>
      <c r="L34" s="1227"/>
      <c r="M34" s="1227"/>
      <c r="N34" s="1227"/>
      <c r="O34" s="1227"/>
      <c r="P34" s="1227"/>
      <c r="Q34" s="1219"/>
      <c r="R34" s="1227"/>
      <c r="S34" s="1227"/>
      <c r="T34" s="1227"/>
      <c r="U34" s="1227"/>
      <c r="V34" s="1227"/>
      <c r="W34" s="1219"/>
      <c r="X34" s="1229"/>
      <c r="Z34" s="1227"/>
      <c r="AA34" s="1227"/>
      <c r="AB34" s="1227"/>
      <c r="AC34" s="1232"/>
      <c r="AD34" s="1227"/>
      <c r="AE34" s="1227"/>
      <c r="AF34" s="1227"/>
      <c r="AG34" s="1227"/>
      <c r="AH34" s="1227"/>
      <c r="AI34" s="1227"/>
      <c r="AJ34" s="1227"/>
      <c r="AK34" s="1227"/>
      <c r="AL34" s="1227"/>
      <c r="AM34" s="1229"/>
      <c r="AN34" s="1229"/>
    </row>
    <row r="35" spans="1:51" s="454" customFormat="1" ht="14.1" customHeight="1">
      <c r="A35" s="685"/>
      <c r="C35" s="685"/>
      <c r="D35" s="1228" t="s">
        <v>58</v>
      </c>
      <c r="E35" s="1227"/>
      <c r="F35" s="1227"/>
      <c r="G35" s="1227"/>
      <c r="H35" s="1227"/>
      <c r="I35" s="1227"/>
      <c r="J35" s="1227"/>
      <c r="K35" s="1227"/>
      <c r="L35" s="1227"/>
      <c r="M35" s="1227"/>
      <c r="N35" s="1227"/>
      <c r="O35" s="1227"/>
      <c r="P35" s="1227"/>
      <c r="Q35" s="1219"/>
      <c r="R35" s="1227"/>
      <c r="S35" s="1227"/>
      <c r="T35" s="1227"/>
      <c r="U35" s="1227"/>
      <c r="V35" s="1227"/>
      <c r="W35" s="1219"/>
      <c r="X35" s="1229"/>
      <c r="Z35" s="1227"/>
      <c r="AA35" s="1227"/>
      <c r="AB35" s="1227"/>
      <c r="AC35" s="1229"/>
      <c r="AD35" s="1227"/>
      <c r="AE35" s="1227"/>
      <c r="AF35" s="1227"/>
      <c r="AG35" s="1227"/>
      <c r="AH35" s="1227"/>
      <c r="AI35" s="1227"/>
      <c r="AJ35" s="1227"/>
      <c r="AK35" s="1227"/>
      <c r="AL35" s="1227"/>
      <c r="AM35" s="1229"/>
      <c r="AN35" s="1229"/>
    </row>
    <row r="36" spans="1:51" s="454" customFormat="1" ht="6.95" customHeight="1">
      <c r="C36" s="685"/>
      <c r="D36" s="1227"/>
      <c r="E36" s="1227"/>
      <c r="F36" s="1227"/>
      <c r="G36" s="1227"/>
      <c r="H36" s="1227"/>
      <c r="I36" s="1227"/>
      <c r="J36" s="1227"/>
      <c r="K36" s="1227"/>
      <c r="L36" s="1227"/>
      <c r="M36" s="1227"/>
      <c r="N36" s="1227"/>
      <c r="O36" s="1227"/>
      <c r="P36" s="1227"/>
      <c r="Q36" s="1219"/>
      <c r="R36" s="1227"/>
      <c r="S36" s="1227"/>
      <c r="T36" s="1227"/>
      <c r="U36" s="1227"/>
      <c r="V36" s="1227"/>
      <c r="W36" s="1219"/>
      <c r="X36" s="1229"/>
      <c r="Z36" s="1227"/>
      <c r="AA36" s="1227"/>
      <c r="AB36" s="1227"/>
      <c r="AC36" s="1229"/>
      <c r="AD36" s="1227"/>
      <c r="AE36" s="1227"/>
      <c r="AF36" s="1227"/>
      <c r="AG36" s="1227"/>
      <c r="AH36" s="1227"/>
      <c r="AI36" s="1227"/>
      <c r="AJ36" s="1227"/>
      <c r="AK36" s="1227"/>
      <c r="AL36" s="1227"/>
      <c r="AM36" s="1229"/>
      <c r="AN36" s="1229"/>
    </row>
    <row r="37" spans="1:51" s="454" customFormat="1" ht="17.25" customHeight="1">
      <c r="A37" s="685" t="s">
        <v>811</v>
      </c>
      <c r="C37" s="685"/>
      <c r="D37" s="1227"/>
      <c r="E37" s="1227"/>
      <c r="F37" s="1227"/>
      <c r="G37" s="1227"/>
      <c r="H37" s="1227"/>
      <c r="I37" s="1227"/>
      <c r="J37" s="1227"/>
      <c r="K37" s="1227"/>
      <c r="L37" s="1227"/>
      <c r="M37" s="1227"/>
      <c r="N37" s="1227"/>
      <c r="O37" s="1227"/>
      <c r="P37" s="1227"/>
      <c r="Q37" s="1219"/>
      <c r="R37" s="1227"/>
      <c r="S37" s="1227"/>
      <c r="T37" s="1227"/>
      <c r="U37" s="1227"/>
      <c r="V37" s="1227"/>
      <c r="W37" s="1219"/>
      <c r="X37" s="1229"/>
      <c r="Z37" s="1227"/>
      <c r="AA37" s="1227"/>
      <c r="AB37" s="1227"/>
      <c r="AC37" s="1229"/>
      <c r="AD37" s="1227"/>
      <c r="AE37" s="1227"/>
      <c r="AF37" s="1227"/>
      <c r="AG37" s="1227"/>
      <c r="AH37" s="1227"/>
      <c r="AI37" s="1227"/>
      <c r="AJ37" s="1227"/>
      <c r="AK37" s="1227"/>
      <c r="AL37" s="1227"/>
      <c r="AM37" s="1229"/>
      <c r="AN37" s="1229"/>
    </row>
    <row r="38" spans="1:51" s="454" customFormat="1" ht="20.100000000000001" hidden="1" customHeight="1">
      <c r="A38" s="454" t="s">
        <v>440</v>
      </c>
      <c r="C38" s="685" t="s">
        <v>424</v>
      </c>
      <c r="D38" s="1227"/>
      <c r="E38" s="1228"/>
      <c r="F38" s="1227">
        <v>0</v>
      </c>
      <c r="G38" s="1227"/>
      <c r="H38" s="1227"/>
      <c r="I38" s="1227">
        <v>0</v>
      </c>
      <c r="J38" s="1227">
        <v>0</v>
      </c>
      <c r="K38" s="1228"/>
      <c r="L38" s="1227"/>
      <c r="M38" s="1227">
        <v>0</v>
      </c>
      <c r="N38" s="1228"/>
      <c r="O38" s="1227">
        <v>0</v>
      </c>
      <c r="P38" s="1227"/>
      <c r="Q38" s="1220"/>
      <c r="R38" s="1228"/>
      <c r="S38" s="1228"/>
      <c r="T38" s="1227">
        <v>0</v>
      </c>
      <c r="U38" s="1228"/>
      <c r="V38" s="1228"/>
      <c r="W38" s="1220"/>
      <c r="X38" s="1232">
        <v>0</v>
      </c>
      <c r="Z38" s="1228"/>
      <c r="AA38" s="1228"/>
      <c r="AB38" s="1227">
        <v>0</v>
      </c>
      <c r="AC38" s="1229"/>
      <c r="AD38" s="1227">
        <v>0</v>
      </c>
      <c r="AE38" s="1227"/>
      <c r="AF38" s="1227">
        <v>0</v>
      </c>
      <c r="AG38" s="1227"/>
      <c r="AH38" s="1227">
        <v>0</v>
      </c>
      <c r="AI38" s="1227"/>
      <c r="AJ38" s="1227">
        <v>0</v>
      </c>
      <c r="AK38" s="1227"/>
      <c r="AL38" s="1227">
        <v>0</v>
      </c>
      <c r="AM38" s="1229"/>
      <c r="AN38" s="1232">
        <f>SUM(AA38:AA38,AB38:AL38)</f>
        <v>0</v>
      </c>
    </row>
    <row r="39" spans="1:51" s="454" customFormat="1" ht="20.100000000000001" hidden="1" customHeight="1">
      <c r="A39" s="454" t="s">
        <v>441</v>
      </c>
      <c r="C39" s="685"/>
      <c r="D39" s="1227"/>
      <c r="E39" s="1228"/>
      <c r="F39" s="1227">
        <v>0</v>
      </c>
      <c r="G39" s="1227"/>
      <c r="H39" s="1227"/>
      <c r="I39" s="1227">
        <v>0</v>
      </c>
      <c r="J39" s="1227">
        <v>0</v>
      </c>
      <c r="K39" s="1227"/>
      <c r="L39" s="1227"/>
      <c r="M39" s="1227"/>
      <c r="N39" s="1228"/>
      <c r="O39" s="1227">
        <v>0</v>
      </c>
      <c r="P39" s="1227"/>
      <c r="Q39" s="1220"/>
      <c r="R39" s="1228"/>
      <c r="S39" s="1228"/>
      <c r="T39" s="1227">
        <v>0</v>
      </c>
      <c r="U39" s="1228"/>
      <c r="V39" s="1228"/>
      <c r="W39" s="1220"/>
      <c r="X39" s="1232">
        <v>0</v>
      </c>
      <c r="Z39" s="1228"/>
      <c r="AA39" s="1227"/>
      <c r="AB39" s="1227">
        <v>0</v>
      </c>
      <c r="AC39" s="1229"/>
      <c r="AD39" s="1227">
        <v>0</v>
      </c>
      <c r="AE39" s="1227"/>
      <c r="AF39" s="1227">
        <v>0</v>
      </c>
      <c r="AG39" s="1227"/>
      <c r="AH39" s="1227">
        <v>0</v>
      </c>
      <c r="AI39" s="1227"/>
      <c r="AJ39" s="1227">
        <v>0</v>
      </c>
      <c r="AK39" s="1227"/>
      <c r="AL39" s="1227"/>
      <c r="AM39" s="1229"/>
      <c r="AN39" s="1232">
        <f>SUM(AA39:AA39,AB39:AL39)</f>
        <v>0</v>
      </c>
    </row>
    <row r="40" spans="1:51" s="454" customFormat="1" ht="20.100000000000001" customHeight="1">
      <c r="A40" s="454" t="s">
        <v>442</v>
      </c>
      <c r="C40" s="685" t="s">
        <v>424</v>
      </c>
      <c r="D40" s="1227">
        <v>3371963.24</v>
      </c>
      <c r="E40" s="1227">
        <v>0</v>
      </c>
      <c r="F40" s="1227">
        <v>0</v>
      </c>
      <c r="G40" s="1227">
        <v>0</v>
      </c>
      <c r="H40" s="1227">
        <v>0</v>
      </c>
      <c r="I40" s="1227">
        <v>0</v>
      </c>
      <c r="J40" s="1227">
        <v>0</v>
      </c>
      <c r="K40" s="1227">
        <v>0</v>
      </c>
      <c r="L40" s="1227">
        <v>0</v>
      </c>
      <c r="M40" s="1227">
        <v>0</v>
      </c>
      <c r="N40" s="1227">
        <v>0</v>
      </c>
      <c r="O40" s="1227">
        <v>0</v>
      </c>
      <c r="P40" s="1227">
        <v>0</v>
      </c>
      <c r="Q40" s="1219">
        <v>0</v>
      </c>
      <c r="R40" s="1227">
        <v>0</v>
      </c>
      <c r="S40" s="1227">
        <v>0</v>
      </c>
      <c r="T40" s="1227">
        <v>0</v>
      </c>
      <c r="U40" s="1227">
        <v>0</v>
      </c>
      <c r="V40" s="1227">
        <v>0</v>
      </c>
      <c r="W40" s="1219">
        <v>0</v>
      </c>
      <c r="X40" s="1229">
        <f t="shared" ref="X40:X67" si="8">SUM(D40:W40)</f>
        <v>3371963.24</v>
      </c>
      <c r="Y40" s="901">
        <f t="shared" ref="Y40:Y68" si="9">SUM(D40:W40)-X40</f>
        <v>0</v>
      </c>
      <c r="Z40" s="1227">
        <v>0</v>
      </c>
      <c r="AA40" s="1227">
        <v>0</v>
      </c>
      <c r="AB40" s="1227">
        <v>0</v>
      </c>
      <c r="AC40" s="1229"/>
      <c r="AD40" s="1227">
        <v>0</v>
      </c>
      <c r="AE40" s="1227"/>
      <c r="AF40" s="1227">
        <v>0</v>
      </c>
      <c r="AG40" s="1227"/>
      <c r="AH40" s="1227">
        <v>0</v>
      </c>
      <c r="AI40" s="1227"/>
      <c r="AJ40" s="1227">
        <v>0</v>
      </c>
      <c r="AK40" s="1227"/>
      <c r="AL40" s="1227">
        <v>0</v>
      </c>
      <c r="AM40" s="1229"/>
      <c r="AN40" s="1229">
        <f t="shared" ref="AN40:AN67" si="10">SUM(D40:AL40)</f>
        <v>6743926.4800000004</v>
      </c>
    </row>
    <row r="41" spans="1:51" s="417" customFormat="1" ht="20.100000000000001" customHeight="1">
      <c r="A41" s="417" t="s">
        <v>443</v>
      </c>
      <c r="C41" s="1305"/>
      <c r="D41" s="1227">
        <v>825823.2</v>
      </c>
      <c r="E41" s="1227">
        <v>0</v>
      </c>
      <c r="F41" s="1227">
        <v>0</v>
      </c>
      <c r="G41" s="1227">
        <v>0</v>
      </c>
      <c r="H41" s="1227">
        <v>0</v>
      </c>
      <c r="I41" s="1227">
        <v>0</v>
      </c>
      <c r="J41" s="1227">
        <v>0</v>
      </c>
      <c r="K41" s="1227">
        <v>0</v>
      </c>
      <c r="L41" s="1227">
        <v>0</v>
      </c>
      <c r="M41" s="1227">
        <v>0</v>
      </c>
      <c r="N41" s="1227">
        <v>0</v>
      </c>
      <c r="O41" s="1227">
        <v>0</v>
      </c>
      <c r="P41" s="1227">
        <v>0</v>
      </c>
      <c r="Q41" s="1219">
        <v>0</v>
      </c>
      <c r="R41" s="1227">
        <v>0</v>
      </c>
      <c r="S41" s="1227">
        <v>0</v>
      </c>
      <c r="T41" s="1227">
        <v>0</v>
      </c>
      <c r="U41" s="1227">
        <v>0</v>
      </c>
      <c r="V41" s="1227">
        <v>0</v>
      </c>
      <c r="W41" s="1219">
        <v>0</v>
      </c>
      <c r="X41" s="1229">
        <f t="shared" si="8"/>
        <v>825823.2</v>
      </c>
      <c r="Y41" s="901">
        <f t="shared" si="9"/>
        <v>0</v>
      </c>
      <c r="Z41" s="1227">
        <v>0</v>
      </c>
      <c r="AA41" s="1227">
        <v>0</v>
      </c>
      <c r="AB41" s="1227">
        <v>0</v>
      </c>
      <c r="AC41" s="1229"/>
      <c r="AD41" s="1227">
        <v>0</v>
      </c>
      <c r="AE41" s="1227"/>
      <c r="AF41" s="1227">
        <v>0</v>
      </c>
      <c r="AG41" s="1227"/>
      <c r="AH41" s="1227">
        <v>0</v>
      </c>
      <c r="AI41" s="1227"/>
      <c r="AJ41" s="1227">
        <v>0</v>
      </c>
      <c r="AK41" s="1227"/>
      <c r="AL41" s="1227">
        <v>0</v>
      </c>
      <c r="AM41" s="1229"/>
      <c r="AN41" s="1229">
        <f t="shared" si="10"/>
        <v>1651646.4</v>
      </c>
      <c r="AO41" s="454"/>
      <c r="AP41" s="454"/>
      <c r="AQ41" s="454"/>
      <c r="AR41" s="454"/>
      <c r="AS41" s="454"/>
      <c r="AT41" s="454"/>
      <c r="AU41" s="454"/>
      <c r="AV41" s="454"/>
      <c r="AW41" s="454"/>
      <c r="AX41" s="454"/>
      <c r="AY41" s="454"/>
    </row>
    <row r="42" spans="1:51" s="417" customFormat="1" ht="20.100000000000001" customHeight="1">
      <c r="A42" s="417" t="s">
        <v>444</v>
      </c>
      <c r="C42" s="1305"/>
      <c r="D42" s="1227">
        <v>1139562.57</v>
      </c>
      <c r="E42" s="1227">
        <v>0</v>
      </c>
      <c r="F42" s="1227">
        <v>0</v>
      </c>
      <c r="G42" s="1227">
        <v>0</v>
      </c>
      <c r="H42" s="1227">
        <v>0</v>
      </c>
      <c r="I42" s="1227">
        <v>0</v>
      </c>
      <c r="J42" s="1227">
        <v>0</v>
      </c>
      <c r="K42" s="1227">
        <v>0</v>
      </c>
      <c r="L42" s="1227">
        <v>0</v>
      </c>
      <c r="M42" s="1227">
        <v>0</v>
      </c>
      <c r="N42" s="1227">
        <v>0</v>
      </c>
      <c r="O42" s="1227">
        <v>0</v>
      </c>
      <c r="P42" s="1227">
        <v>0</v>
      </c>
      <c r="Q42" s="1219">
        <v>0</v>
      </c>
      <c r="R42" s="1227">
        <v>0</v>
      </c>
      <c r="S42" s="1227">
        <v>0</v>
      </c>
      <c r="T42" s="1227">
        <v>0</v>
      </c>
      <c r="U42" s="1227">
        <v>0</v>
      </c>
      <c r="V42" s="1227">
        <v>0</v>
      </c>
      <c r="W42" s="1219">
        <v>0</v>
      </c>
      <c r="X42" s="1229">
        <f t="shared" si="8"/>
        <v>1139562.57</v>
      </c>
      <c r="Y42" s="901">
        <f t="shared" si="9"/>
        <v>0</v>
      </c>
      <c r="Z42" s="1227">
        <v>0</v>
      </c>
      <c r="AA42" s="1227">
        <v>0</v>
      </c>
      <c r="AB42" s="1227">
        <v>0</v>
      </c>
      <c r="AC42" s="1229"/>
      <c r="AD42" s="1227">
        <v>0</v>
      </c>
      <c r="AE42" s="1227"/>
      <c r="AF42" s="1227">
        <v>0</v>
      </c>
      <c r="AG42" s="1227"/>
      <c r="AH42" s="1227">
        <v>0</v>
      </c>
      <c r="AI42" s="1227"/>
      <c r="AJ42" s="1227">
        <v>0</v>
      </c>
      <c r="AK42" s="1227"/>
      <c r="AL42" s="1227">
        <v>0</v>
      </c>
      <c r="AM42" s="1229"/>
      <c r="AN42" s="1229">
        <f t="shared" si="10"/>
        <v>2279125.14</v>
      </c>
      <c r="AO42" s="454"/>
      <c r="AP42" s="454"/>
      <c r="AQ42" s="454"/>
      <c r="AR42" s="454"/>
      <c r="AS42" s="454"/>
      <c r="AT42" s="454"/>
      <c r="AU42" s="454"/>
      <c r="AV42" s="454"/>
      <c r="AW42" s="454"/>
      <c r="AX42" s="454"/>
      <c r="AY42" s="454"/>
    </row>
    <row r="43" spans="1:51" s="417" customFormat="1" ht="20.100000000000001" customHeight="1">
      <c r="A43" s="417" t="s">
        <v>445</v>
      </c>
      <c r="C43" s="1305"/>
      <c r="D43" s="1227">
        <v>1065220.1599999999</v>
      </c>
      <c r="E43" s="1227">
        <v>0</v>
      </c>
      <c r="F43" s="1227">
        <v>0</v>
      </c>
      <c r="G43" s="1227">
        <v>0</v>
      </c>
      <c r="H43" s="1227">
        <v>0</v>
      </c>
      <c r="I43" s="1227">
        <v>0</v>
      </c>
      <c r="J43" s="1227">
        <v>0</v>
      </c>
      <c r="K43" s="1227">
        <v>0</v>
      </c>
      <c r="L43" s="1227">
        <v>0</v>
      </c>
      <c r="M43" s="1227">
        <v>0</v>
      </c>
      <c r="N43" s="1227">
        <v>0</v>
      </c>
      <c r="O43" s="1227">
        <v>0</v>
      </c>
      <c r="P43" s="1227">
        <v>0</v>
      </c>
      <c r="Q43" s="1219">
        <v>0</v>
      </c>
      <c r="R43" s="1227">
        <v>0</v>
      </c>
      <c r="S43" s="1227">
        <v>0</v>
      </c>
      <c r="T43" s="1227">
        <v>0</v>
      </c>
      <c r="U43" s="1227">
        <v>0</v>
      </c>
      <c r="V43" s="1227">
        <v>0</v>
      </c>
      <c r="W43" s="1219">
        <v>0</v>
      </c>
      <c r="X43" s="1229">
        <f t="shared" si="8"/>
        <v>1065220.1599999999</v>
      </c>
      <c r="Y43" s="901">
        <f t="shared" si="9"/>
        <v>0</v>
      </c>
      <c r="Z43" s="1227">
        <v>0</v>
      </c>
      <c r="AA43" s="1227">
        <v>0</v>
      </c>
      <c r="AB43" s="1227">
        <v>0</v>
      </c>
      <c r="AC43" s="1229"/>
      <c r="AD43" s="1227">
        <v>0</v>
      </c>
      <c r="AE43" s="1227"/>
      <c r="AF43" s="1227">
        <v>0</v>
      </c>
      <c r="AG43" s="1227"/>
      <c r="AH43" s="1227">
        <v>0</v>
      </c>
      <c r="AI43" s="1227"/>
      <c r="AJ43" s="1227">
        <v>0</v>
      </c>
      <c r="AK43" s="1227"/>
      <c r="AL43" s="1227">
        <v>0</v>
      </c>
      <c r="AM43" s="1229"/>
      <c r="AN43" s="1229">
        <f t="shared" si="10"/>
        <v>2130440.3199999998</v>
      </c>
      <c r="AO43" s="454"/>
      <c r="AP43" s="454"/>
      <c r="AQ43" s="454"/>
      <c r="AR43" s="454"/>
      <c r="AS43" s="454"/>
      <c r="AT43" s="454"/>
      <c r="AU43" s="454"/>
      <c r="AV43" s="454"/>
      <c r="AW43" s="454"/>
      <c r="AX43" s="454"/>
      <c r="AY43" s="454"/>
    </row>
    <row r="44" spans="1:51" s="417" customFormat="1" ht="20.100000000000001" customHeight="1">
      <c r="A44" s="417" t="s">
        <v>446</v>
      </c>
      <c r="C44" s="1305"/>
      <c r="D44" s="1227">
        <v>4284719.87</v>
      </c>
      <c r="E44" s="1227">
        <v>0</v>
      </c>
      <c r="F44" s="1227">
        <v>0</v>
      </c>
      <c r="G44" s="1227">
        <v>0</v>
      </c>
      <c r="H44" s="1227">
        <v>0</v>
      </c>
      <c r="I44" s="1227">
        <v>0</v>
      </c>
      <c r="J44" s="1227">
        <v>0</v>
      </c>
      <c r="K44" s="1227">
        <v>0</v>
      </c>
      <c r="L44" s="1227">
        <v>0</v>
      </c>
      <c r="M44" s="1227">
        <v>0</v>
      </c>
      <c r="N44" s="1227">
        <v>0</v>
      </c>
      <c r="O44" s="1227">
        <v>0</v>
      </c>
      <c r="P44" s="1227">
        <v>0</v>
      </c>
      <c r="Q44" s="1219">
        <v>0</v>
      </c>
      <c r="R44" s="1227">
        <v>0</v>
      </c>
      <c r="S44" s="1227">
        <v>0</v>
      </c>
      <c r="T44" s="1227">
        <v>0</v>
      </c>
      <c r="U44" s="1227">
        <v>0</v>
      </c>
      <c r="V44" s="1227">
        <v>0</v>
      </c>
      <c r="W44" s="1219">
        <v>0</v>
      </c>
      <c r="X44" s="1229">
        <f t="shared" si="8"/>
        <v>4284719.87</v>
      </c>
      <c r="Y44" s="901">
        <f t="shared" si="9"/>
        <v>0</v>
      </c>
      <c r="Z44" s="1227">
        <v>0</v>
      </c>
      <c r="AA44" s="1227">
        <v>0</v>
      </c>
      <c r="AB44" s="1227">
        <v>0</v>
      </c>
      <c r="AC44" s="1229"/>
      <c r="AD44" s="1227">
        <v>0</v>
      </c>
      <c r="AE44" s="1227"/>
      <c r="AF44" s="1227">
        <v>0</v>
      </c>
      <c r="AG44" s="1227"/>
      <c r="AH44" s="1227">
        <v>0</v>
      </c>
      <c r="AI44" s="1227"/>
      <c r="AJ44" s="1227">
        <v>0</v>
      </c>
      <c r="AK44" s="1227"/>
      <c r="AL44" s="1227">
        <v>0</v>
      </c>
      <c r="AM44" s="1229"/>
      <c r="AN44" s="1229">
        <f t="shared" si="10"/>
        <v>8569439.7400000002</v>
      </c>
      <c r="AO44" s="454"/>
      <c r="AP44" s="454"/>
      <c r="AQ44" s="454"/>
      <c r="AR44" s="454"/>
      <c r="AS44" s="454"/>
      <c r="AT44" s="454"/>
      <c r="AU44" s="454"/>
      <c r="AV44" s="454"/>
      <c r="AW44" s="454"/>
      <c r="AX44" s="454"/>
      <c r="AY44" s="454"/>
    </row>
    <row r="45" spans="1:51" ht="18" hidden="1" customHeight="1">
      <c r="A45" s="417" t="s">
        <v>447</v>
      </c>
      <c r="D45" s="1227" t="s">
        <v>58</v>
      </c>
      <c r="E45" s="1227">
        <v>0</v>
      </c>
      <c r="F45" s="1227">
        <v>0</v>
      </c>
      <c r="G45" s="1227"/>
      <c r="H45" s="1227"/>
      <c r="I45" s="1227">
        <v>0</v>
      </c>
      <c r="J45" s="1227">
        <v>0</v>
      </c>
      <c r="K45" s="1227">
        <v>0</v>
      </c>
      <c r="L45" s="1227"/>
      <c r="M45" s="1227">
        <v>0</v>
      </c>
      <c r="N45" s="1227">
        <v>0</v>
      </c>
      <c r="O45" s="1227">
        <v>0</v>
      </c>
      <c r="P45" s="1227"/>
      <c r="Q45" s="1219">
        <v>0</v>
      </c>
      <c r="R45" s="1227">
        <v>0</v>
      </c>
      <c r="S45" s="1227"/>
      <c r="T45" s="1227">
        <v>0</v>
      </c>
      <c r="U45" s="1227"/>
      <c r="V45" s="1227">
        <v>0</v>
      </c>
      <c r="W45" s="1219">
        <v>0</v>
      </c>
      <c r="X45" s="1229">
        <f t="shared" si="8"/>
        <v>0</v>
      </c>
      <c r="Y45" s="901">
        <f t="shared" si="9"/>
        <v>0</v>
      </c>
      <c r="Z45" s="1227">
        <v>0</v>
      </c>
      <c r="AA45" s="1227">
        <v>0</v>
      </c>
      <c r="AB45" s="1227">
        <v>0</v>
      </c>
      <c r="AC45" s="1229"/>
      <c r="AD45" s="1227">
        <v>0</v>
      </c>
      <c r="AE45" s="1227"/>
      <c r="AF45" s="1227">
        <v>0</v>
      </c>
      <c r="AG45" s="1227"/>
      <c r="AH45" s="1227">
        <v>0</v>
      </c>
      <c r="AI45" s="1227"/>
      <c r="AJ45" s="1227">
        <v>0</v>
      </c>
      <c r="AK45" s="1227"/>
      <c r="AL45" s="1227">
        <v>0</v>
      </c>
      <c r="AM45" s="1226"/>
      <c r="AN45" s="1229">
        <f t="shared" si="10"/>
        <v>0</v>
      </c>
    </row>
    <row r="46" spans="1:51" ht="18" hidden="1" customHeight="1">
      <c r="A46" s="417" t="s">
        <v>572</v>
      </c>
      <c r="D46" s="1227" t="s">
        <v>58</v>
      </c>
      <c r="E46" s="1227">
        <v>0</v>
      </c>
      <c r="F46" s="1227">
        <v>0</v>
      </c>
      <c r="G46" s="1227"/>
      <c r="H46" s="1227"/>
      <c r="I46" s="1227">
        <v>0</v>
      </c>
      <c r="J46" s="1227">
        <v>0</v>
      </c>
      <c r="K46" s="1227">
        <v>0</v>
      </c>
      <c r="L46" s="1227"/>
      <c r="M46" s="1227">
        <v>0</v>
      </c>
      <c r="N46" s="1227">
        <v>0</v>
      </c>
      <c r="O46" s="1227">
        <v>0</v>
      </c>
      <c r="P46" s="1227"/>
      <c r="Q46" s="1219">
        <v>0</v>
      </c>
      <c r="R46" s="1227">
        <v>0</v>
      </c>
      <c r="S46" s="1227"/>
      <c r="T46" s="1227">
        <v>0</v>
      </c>
      <c r="U46" s="1227"/>
      <c r="V46" s="1227">
        <v>0</v>
      </c>
      <c r="W46" s="1219">
        <v>0</v>
      </c>
      <c r="X46" s="1229">
        <f t="shared" si="8"/>
        <v>0</v>
      </c>
      <c r="Y46" s="901">
        <f t="shared" si="9"/>
        <v>0</v>
      </c>
      <c r="Z46" s="1227">
        <v>0</v>
      </c>
      <c r="AA46" s="1227">
        <v>0</v>
      </c>
      <c r="AB46" s="1227">
        <v>0</v>
      </c>
      <c r="AC46" s="1229"/>
      <c r="AD46" s="1227">
        <v>0</v>
      </c>
      <c r="AE46" s="1227"/>
      <c r="AF46" s="1227">
        <v>0</v>
      </c>
      <c r="AG46" s="1227"/>
      <c r="AH46" s="1227">
        <v>0</v>
      </c>
      <c r="AI46" s="1227"/>
      <c r="AJ46" s="1227">
        <v>0</v>
      </c>
      <c r="AK46" s="1227"/>
      <c r="AL46" s="1227">
        <v>0</v>
      </c>
      <c r="AM46" s="1226"/>
      <c r="AN46" s="1229">
        <f t="shared" si="10"/>
        <v>0</v>
      </c>
    </row>
    <row r="47" spans="1:51" ht="13.9" hidden="1" customHeight="1">
      <c r="D47" s="1227" t="s">
        <v>58</v>
      </c>
      <c r="E47" s="1226"/>
      <c r="F47" s="1226"/>
      <c r="G47" s="1226"/>
      <c r="H47" s="1226"/>
      <c r="I47" s="1226"/>
      <c r="J47" s="1226"/>
      <c r="K47" s="1226"/>
      <c r="L47" s="1226"/>
      <c r="M47" s="1226"/>
      <c r="N47" s="1226"/>
      <c r="O47" s="1226"/>
      <c r="P47" s="1226"/>
      <c r="Q47" s="1205"/>
      <c r="R47" s="1206"/>
      <c r="S47" s="1226"/>
      <c r="T47" s="1226"/>
      <c r="U47" s="1226"/>
      <c r="V47" s="1206"/>
      <c r="W47" s="1205"/>
      <c r="X47" s="1229">
        <f t="shared" si="8"/>
        <v>0</v>
      </c>
      <c r="Y47" s="901">
        <f t="shared" si="9"/>
        <v>0</v>
      </c>
      <c r="Z47" s="1226"/>
      <c r="AA47" s="1226"/>
      <c r="AB47" s="1226"/>
      <c r="AC47" s="1226"/>
      <c r="AD47" s="1226"/>
      <c r="AE47" s="1226"/>
      <c r="AF47" s="1226"/>
      <c r="AG47" s="1226"/>
      <c r="AH47" s="1226"/>
      <c r="AI47" s="1226"/>
      <c r="AJ47" s="1226"/>
      <c r="AK47" s="1226"/>
      <c r="AL47" s="1226"/>
      <c r="AM47" s="1226"/>
      <c r="AN47" s="1229">
        <f t="shared" si="10"/>
        <v>0</v>
      </c>
    </row>
    <row r="48" spans="1:51" s="417" customFormat="1" ht="20.100000000000001" customHeight="1">
      <c r="A48" s="417" t="s">
        <v>448</v>
      </c>
      <c r="C48" s="1305"/>
      <c r="D48" s="1227">
        <v>6693540.9000000004</v>
      </c>
      <c r="E48" s="1227">
        <v>0</v>
      </c>
      <c r="F48" s="1227">
        <v>0</v>
      </c>
      <c r="G48" s="1227">
        <v>0</v>
      </c>
      <c r="H48" s="1227">
        <v>0</v>
      </c>
      <c r="I48" s="1227">
        <v>0</v>
      </c>
      <c r="J48" s="1227">
        <v>0</v>
      </c>
      <c r="K48" s="1227">
        <v>0</v>
      </c>
      <c r="L48" s="1227">
        <v>0</v>
      </c>
      <c r="M48" s="1227">
        <v>0</v>
      </c>
      <c r="N48" s="1227">
        <v>0</v>
      </c>
      <c r="O48" s="1227">
        <v>0</v>
      </c>
      <c r="P48" s="1227">
        <v>0</v>
      </c>
      <c r="Q48" s="1219">
        <v>0</v>
      </c>
      <c r="R48" s="1227">
        <v>0</v>
      </c>
      <c r="S48" s="1227">
        <v>0</v>
      </c>
      <c r="T48" s="1227">
        <v>0</v>
      </c>
      <c r="U48" s="1227">
        <v>0</v>
      </c>
      <c r="V48" s="1227">
        <v>0</v>
      </c>
      <c r="W48" s="1219">
        <v>0</v>
      </c>
      <c r="X48" s="1229">
        <f t="shared" si="8"/>
        <v>6693540.9000000004</v>
      </c>
      <c r="Y48" s="901">
        <f t="shared" si="9"/>
        <v>0</v>
      </c>
      <c r="Z48" s="1227">
        <v>0</v>
      </c>
      <c r="AA48" s="1227">
        <v>0</v>
      </c>
      <c r="AB48" s="1227">
        <v>0</v>
      </c>
      <c r="AC48" s="1229"/>
      <c r="AD48" s="1227">
        <v>0</v>
      </c>
      <c r="AE48" s="1227"/>
      <c r="AF48" s="1227">
        <v>0</v>
      </c>
      <c r="AG48" s="1227"/>
      <c r="AH48" s="1227">
        <v>0</v>
      </c>
      <c r="AI48" s="1227"/>
      <c r="AJ48" s="1227">
        <v>0</v>
      </c>
      <c r="AK48" s="1227"/>
      <c r="AL48" s="1227">
        <v>0</v>
      </c>
      <c r="AM48" s="1229"/>
      <c r="AN48" s="1229">
        <f t="shared" si="10"/>
        <v>13387081.800000001</v>
      </c>
      <c r="AO48" s="454"/>
      <c r="AP48" s="454"/>
      <c r="AQ48" s="454"/>
      <c r="AR48" s="454"/>
      <c r="AS48" s="454"/>
      <c r="AT48" s="454"/>
      <c r="AU48" s="454"/>
      <c r="AV48" s="454"/>
      <c r="AW48" s="454"/>
      <c r="AX48" s="454"/>
      <c r="AY48" s="454"/>
    </row>
    <row r="49" spans="1:51" s="417" customFormat="1" ht="20.100000000000001" customHeight="1">
      <c r="A49" s="417" t="s">
        <v>683</v>
      </c>
      <c r="C49" s="1305"/>
      <c r="D49" s="1227">
        <v>65488672.020000003</v>
      </c>
      <c r="E49" s="1250">
        <v>0</v>
      </c>
      <c r="F49" s="1227">
        <v>0</v>
      </c>
      <c r="G49" s="1227">
        <v>0</v>
      </c>
      <c r="H49" s="1227">
        <v>0</v>
      </c>
      <c r="I49" s="1227">
        <v>0</v>
      </c>
      <c r="J49" s="1227">
        <v>0</v>
      </c>
      <c r="K49" s="1227">
        <v>0</v>
      </c>
      <c r="L49" s="1227">
        <v>0</v>
      </c>
      <c r="M49" s="1227">
        <v>0</v>
      </c>
      <c r="N49" s="1227">
        <v>0</v>
      </c>
      <c r="O49" s="1227">
        <v>0</v>
      </c>
      <c r="P49" s="1227">
        <v>0</v>
      </c>
      <c r="Q49" s="1219">
        <v>0</v>
      </c>
      <c r="R49" s="1227">
        <v>0</v>
      </c>
      <c r="S49" s="1227">
        <v>0</v>
      </c>
      <c r="T49" s="1227">
        <v>0</v>
      </c>
      <c r="U49" s="1227">
        <v>0</v>
      </c>
      <c r="V49" s="1227">
        <v>0</v>
      </c>
      <c r="W49" s="1219">
        <v>0</v>
      </c>
      <c r="X49" s="1229">
        <f t="shared" si="8"/>
        <v>65488672.020000003</v>
      </c>
      <c r="Y49" s="901">
        <f t="shared" si="9"/>
        <v>0</v>
      </c>
      <c r="Z49" s="1250">
        <v>0</v>
      </c>
      <c r="AA49" s="1227">
        <v>0</v>
      </c>
      <c r="AB49" s="1227">
        <v>0</v>
      </c>
      <c r="AC49" s="1229"/>
      <c r="AD49" s="1227">
        <v>0</v>
      </c>
      <c r="AE49" s="1227"/>
      <c r="AF49" s="1227">
        <v>0</v>
      </c>
      <c r="AG49" s="1227"/>
      <c r="AH49" s="1227">
        <v>0</v>
      </c>
      <c r="AI49" s="1227"/>
      <c r="AJ49" s="1227">
        <v>0</v>
      </c>
      <c r="AK49" s="1227"/>
      <c r="AL49" s="1227">
        <v>0</v>
      </c>
      <c r="AM49" s="1229"/>
      <c r="AN49" s="1229">
        <f t="shared" si="10"/>
        <v>130977344.04000001</v>
      </c>
      <c r="AO49" s="454"/>
      <c r="AP49" s="454"/>
      <c r="AQ49" s="454"/>
      <c r="AR49" s="454"/>
      <c r="AS49" s="454"/>
      <c r="AT49" s="454"/>
      <c r="AU49" s="454"/>
      <c r="AV49" s="454"/>
      <c r="AW49" s="454"/>
      <c r="AX49" s="454"/>
      <c r="AY49" s="454"/>
    </row>
    <row r="50" spans="1:51" s="417" customFormat="1" ht="20.100000000000001" customHeight="1">
      <c r="A50" s="417" t="s">
        <v>450</v>
      </c>
      <c r="C50" s="1305"/>
      <c r="D50" s="1227">
        <v>2133163.38</v>
      </c>
      <c r="E50" s="1227">
        <v>0</v>
      </c>
      <c r="F50" s="1227">
        <v>0</v>
      </c>
      <c r="G50" s="1227">
        <v>0</v>
      </c>
      <c r="H50" s="1227">
        <v>23344447.620000001</v>
      </c>
      <c r="I50" s="1227">
        <v>0</v>
      </c>
      <c r="J50" s="1227">
        <v>0</v>
      </c>
      <c r="K50" s="1227">
        <v>0</v>
      </c>
      <c r="L50" s="1227">
        <v>19104500</v>
      </c>
      <c r="M50" s="1227">
        <v>0</v>
      </c>
      <c r="N50" s="1227">
        <v>0</v>
      </c>
      <c r="O50" s="1227">
        <v>0</v>
      </c>
      <c r="P50" s="1227">
        <v>0</v>
      </c>
      <c r="Q50" s="1219">
        <v>0</v>
      </c>
      <c r="R50" s="1227">
        <v>0</v>
      </c>
      <c r="S50" s="1227">
        <v>0</v>
      </c>
      <c r="T50" s="1227">
        <v>0</v>
      </c>
      <c r="U50" s="1227">
        <v>0</v>
      </c>
      <c r="V50" s="1227">
        <v>0</v>
      </c>
      <c r="W50" s="1219">
        <v>0</v>
      </c>
      <c r="X50" s="1229">
        <f t="shared" si="8"/>
        <v>44582111</v>
      </c>
      <c r="Y50" s="901">
        <f t="shared" si="9"/>
        <v>0</v>
      </c>
      <c r="Z50" s="1227">
        <v>0</v>
      </c>
      <c r="AA50" s="1227">
        <v>0</v>
      </c>
      <c r="AB50" s="1227">
        <v>0</v>
      </c>
      <c r="AC50" s="1229"/>
      <c r="AD50" s="1227">
        <v>0</v>
      </c>
      <c r="AE50" s="1227"/>
      <c r="AF50" s="1227">
        <v>0</v>
      </c>
      <c r="AG50" s="1227"/>
      <c r="AH50" s="1227">
        <v>0</v>
      </c>
      <c r="AI50" s="1227"/>
      <c r="AJ50" s="1227">
        <v>0</v>
      </c>
      <c r="AK50" s="1227"/>
      <c r="AL50" s="1227">
        <v>0</v>
      </c>
      <c r="AM50" s="1229"/>
      <c r="AN50" s="1229">
        <f t="shared" si="10"/>
        <v>89164222</v>
      </c>
      <c r="AO50" s="454"/>
      <c r="AP50" s="454"/>
      <c r="AQ50" s="454"/>
      <c r="AR50" s="454"/>
      <c r="AS50" s="454"/>
      <c r="AT50" s="454"/>
      <c r="AU50" s="454"/>
      <c r="AV50" s="454"/>
      <c r="AW50" s="454"/>
      <c r="AX50" s="454"/>
      <c r="AY50" s="454"/>
    </row>
    <row r="51" spans="1:51" s="417" customFormat="1" ht="20.100000000000001" customHeight="1">
      <c r="A51" s="417" t="s">
        <v>451</v>
      </c>
      <c r="C51" s="1305"/>
      <c r="D51" s="1227">
        <v>0</v>
      </c>
      <c r="E51" s="1227">
        <v>0</v>
      </c>
      <c r="F51" s="1227">
        <v>0</v>
      </c>
      <c r="G51" s="1227"/>
      <c r="H51" s="1227"/>
      <c r="I51" s="1227">
        <v>0</v>
      </c>
      <c r="J51" s="1227">
        <v>0</v>
      </c>
      <c r="K51" s="1227">
        <v>0</v>
      </c>
      <c r="L51" s="1227"/>
      <c r="M51" s="1227">
        <v>0</v>
      </c>
      <c r="N51" s="1227">
        <v>0</v>
      </c>
      <c r="O51" s="1227">
        <v>0</v>
      </c>
      <c r="P51" s="1227">
        <v>13830832.15</v>
      </c>
      <c r="Q51" s="1219">
        <v>0</v>
      </c>
      <c r="R51" s="1227">
        <v>0</v>
      </c>
      <c r="S51" s="1227">
        <v>0</v>
      </c>
      <c r="T51" s="1227">
        <v>0</v>
      </c>
      <c r="U51" s="1227">
        <v>0</v>
      </c>
      <c r="V51" s="1227">
        <v>0</v>
      </c>
      <c r="W51" s="1219">
        <v>0</v>
      </c>
      <c r="X51" s="1229">
        <f t="shared" si="8"/>
        <v>13830832.15</v>
      </c>
      <c r="Y51" s="901">
        <f t="shared" si="9"/>
        <v>0</v>
      </c>
      <c r="Z51" s="1227">
        <v>0</v>
      </c>
      <c r="AA51" s="1227">
        <v>0</v>
      </c>
      <c r="AB51" s="1227">
        <v>0</v>
      </c>
      <c r="AC51" s="1229"/>
      <c r="AD51" s="1227">
        <v>0</v>
      </c>
      <c r="AE51" s="1227"/>
      <c r="AF51" s="1227">
        <v>0</v>
      </c>
      <c r="AG51" s="1227"/>
      <c r="AH51" s="1227">
        <v>0</v>
      </c>
      <c r="AI51" s="1227"/>
      <c r="AJ51" s="1227">
        <v>0</v>
      </c>
      <c r="AK51" s="1227"/>
      <c r="AL51" s="1227">
        <v>0</v>
      </c>
      <c r="AM51" s="1229"/>
      <c r="AN51" s="1229">
        <f t="shared" si="10"/>
        <v>27661664.300000001</v>
      </c>
      <c r="AO51" s="454"/>
      <c r="AP51" s="454"/>
      <c r="AQ51" s="454"/>
      <c r="AR51" s="454"/>
      <c r="AS51" s="454"/>
      <c r="AT51" s="454"/>
      <c r="AU51" s="454"/>
      <c r="AV51" s="454"/>
      <c r="AW51" s="454"/>
      <c r="AX51" s="454"/>
      <c r="AY51" s="454"/>
    </row>
    <row r="52" spans="1:51" s="417" customFormat="1" ht="20.100000000000001" hidden="1" customHeight="1">
      <c r="A52" s="417" t="s">
        <v>452</v>
      </c>
      <c r="C52" s="1305"/>
      <c r="D52" s="1227" t="s">
        <v>58</v>
      </c>
      <c r="E52" s="1227">
        <v>0</v>
      </c>
      <c r="F52" s="1227">
        <v>0</v>
      </c>
      <c r="G52" s="1227"/>
      <c r="H52" s="1227"/>
      <c r="I52" s="1227">
        <v>0</v>
      </c>
      <c r="J52" s="1227">
        <v>0</v>
      </c>
      <c r="K52" s="1228"/>
      <c r="L52" s="1227"/>
      <c r="M52" s="1227">
        <v>0</v>
      </c>
      <c r="N52" s="1227">
        <v>0</v>
      </c>
      <c r="O52" s="1227">
        <v>0</v>
      </c>
      <c r="P52" s="1227"/>
      <c r="Q52" s="1219">
        <v>0</v>
      </c>
      <c r="R52" s="1228"/>
      <c r="S52" s="1227"/>
      <c r="T52" s="1227">
        <v>0</v>
      </c>
      <c r="U52" s="1227"/>
      <c r="V52" s="1227">
        <v>0</v>
      </c>
      <c r="W52" s="1220"/>
      <c r="X52" s="1229">
        <f t="shared" si="8"/>
        <v>0</v>
      </c>
      <c r="Y52" s="901">
        <f t="shared" si="9"/>
        <v>0</v>
      </c>
      <c r="Z52" s="1227">
        <v>0</v>
      </c>
      <c r="AA52" s="1228"/>
      <c r="AB52" s="1227">
        <v>0</v>
      </c>
      <c r="AC52" s="1229"/>
      <c r="AD52" s="1227">
        <v>0</v>
      </c>
      <c r="AE52" s="1227"/>
      <c r="AF52" s="1227">
        <v>0</v>
      </c>
      <c r="AG52" s="1227"/>
      <c r="AH52" s="1227">
        <v>0</v>
      </c>
      <c r="AI52" s="1227"/>
      <c r="AJ52" s="1227">
        <v>0</v>
      </c>
      <c r="AK52" s="1227"/>
      <c r="AL52" s="1227">
        <v>0</v>
      </c>
      <c r="AM52" s="1229"/>
      <c r="AN52" s="1229">
        <f t="shared" si="10"/>
        <v>0</v>
      </c>
      <c r="AO52" s="454"/>
      <c r="AP52" s="454"/>
      <c r="AQ52" s="454"/>
      <c r="AR52" s="454"/>
      <c r="AS52" s="454"/>
      <c r="AT52" s="454"/>
      <c r="AU52" s="454"/>
      <c r="AV52" s="454"/>
      <c r="AW52" s="454"/>
      <c r="AX52" s="454"/>
      <c r="AY52" s="454"/>
    </row>
    <row r="53" spans="1:51" s="417" customFormat="1" ht="20.100000000000001" hidden="1" customHeight="1">
      <c r="A53" s="417" t="s">
        <v>453</v>
      </c>
      <c r="C53" s="1305"/>
      <c r="D53" s="1227" t="s">
        <v>58</v>
      </c>
      <c r="E53" s="1227">
        <v>0</v>
      </c>
      <c r="F53" s="1227">
        <v>0</v>
      </c>
      <c r="G53" s="1227"/>
      <c r="H53" s="1227"/>
      <c r="I53" s="1227">
        <v>0</v>
      </c>
      <c r="J53" s="1227">
        <v>0</v>
      </c>
      <c r="K53" s="1228"/>
      <c r="L53" s="1227"/>
      <c r="M53" s="1227">
        <v>0</v>
      </c>
      <c r="N53" s="1227">
        <v>0</v>
      </c>
      <c r="O53" s="1227">
        <v>0</v>
      </c>
      <c r="P53" s="1227"/>
      <c r="Q53" s="1219">
        <v>0</v>
      </c>
      <c r="R53" s="1228"/>
      <c r="S53" s="1227"/>
      <c r="T53" s="1227">
        <v>0</v>
      </c>
      <c r="U53" s="1227"/>
      <c r="V53" s="1227">
        <v>0</v>
      </c>
      <c r="W53" s="1220"/>
      <c r="X53" s="1229">
        <f t="shared" si="8"/>
        <v>0</v>
      </c>
      <c r="Y53" s="901">
        <f t="shared" si="9"/>
        <v>0</v>
      </c>
      <c r="Z53" s="1227">
        <v>0</v>
      </c>
      <c r="AA53" s="1228"/>
      <c r="AB53" s="1227">
        <v>0</v>
      </c>
      <c r="AC53" s="1229"/>
      <c r="AD53" s="1227">
        <v>0</v>
      </c>
      <c r="AE53" s="1227"/>
      <c r="AF53" s="1227">
        <v>0</v>
      </c>
      <c r="AG53" s="1227"/>
      <c r="AH53" s="1227">
        <v>0</v>
      </c>
      <c r="AI53" s="1227"/>
      <c r="AJ53" s="1227">
        <v>0</v>
      </c>
      <c r="AK53" s="1227"/>
      <c r="AL53" s="1227">
        <v>0</v>
      </c>
      <c r="AM53" s="1229"/>
      <c r="AN53" s="1229">
        <f t="shared" si="10"/>
        <v>0</v>
      </c>
      <c r="AO53" s="454"/>
      <c r="AP53" s="454"/>
      <c r="AQ53" s="454"/>
      <c r="AR53" s="454"/>
      <c r="AS53" s="454"/>
      <c r="AT53" s="454"/>
      <c r="AU53" s="454"/>
      <c r="AV53" s="454"/>
      <c r="AW53" s="454"/>
      <c r="AX53" s="454"/>
      <c r="AY53" s="454"/>
    </row>
    <row r="54" spans="1:51" ht="13.9" hidden="1" customHeight="1">
      <c r="D54" s="1227" t="s">
        <v>58</v>
      </c>
      <c r="E54" s="1226"/>
      <c r="F54" s="1226"/>
      <c r="G54" s="1226"/>
      <c r="H54" s="1226"/>
      <c r="I54" s="1226"/>
      <c r="J54" s="1226"/>
      <c r="K54" s="1226"/>
      <c r="L54" s="1226"/>
      <c r="M54" s="1226"/>
      <c r="N54" s="1226"/>
      <c r="O54" s="1226"/>
      <c r="P54" s="1226"/>
      <c r="Q54" s="1205"/>
      <c r="R54" s="1206"/>
      <c r="S54" s="1226"/>
      <c r="T54" s="1226"/>
      <c r="U54" s="1226"/>
      <c r="V54" s="1206"/>
      <c r="W54" s="1205"/>
      <c r="X54" s="1229">
        <f t="shared" si="8"/>
        <v>0</v>
      </c>
      <c r="Y54" s="901">
        <f t="shared" si="9"/>
        <v>0</v>
      </c>
      <c r="Z54" s="1226"/>
      <c r="AA54" s="1226"/>
      <c r="AB54" s="1226"/>
      <c r="AC54" s="1226"/>
      <c r="AD54" s="1226"/>
      <c r="AE54" s="1226"/>
      <c r="AF54" s="1226"/>
      <c r="AG54" s="1226"/>
      <c r="AH54" s="1226"/>
      <c r="AI54" s="1226"/>
      <c r="AJ54" s="1226"/>
      <c r="AK54" s="1226"/>
      <c r="AL54" s="1226"/>
      <c r="AM54" s="1226"/>
      <c r="AN54" s="1229">
        <f t="shared" si="10"/>
        <v>0</v>
      </c>
    </row>
    <row r="55" spans="1:51" ht="18" hidden="1" customHeight="1">
      <c r="A55" s="417" t="s">
        <v>796</v>
      </c>
      <c r="D55" s="1227" t="s">
        <v>58</v>
      </c>
      <c r="E55" s="1227">
        <v>0</v>
      </c>
      <c r="F55" s="1227">
        <v>0</v>
      </c>
      <c r="G55" s="1227"/>
      <c r="H55" s="1227"/>
      <c r="I55" s="1227">
        <v>0</v>
      </c>
      <c r="J55" s="1227">
        <v>0</v>
      </c>
      <c r="K55" s="1226"/>
      <c r="L55" s="1227"/>
      <c r="M55" s="1227">
        <v>0</v>
      </c>
      <c r="N55" s="1227">
        <v>0</v>
      </c>
      <c r="O55" s="1227">
        <v>0</v>
      </c>
      <c r="P55" s="1227"/>
      <c r="Q55" s="1219">
        <v>0</v>
      </c>
      <c r="R55" s="1226"/>
      <c r="S55" s="1227"/>
      <c r="T55" s="1227">
        <v>0</v>
      </c>
      <c r="U55" s="1227"/>
      <c r="V55" s="1227">
        <v>0</v>
      </c>
      <c r="W55" s="1222"/>
      <c r="X55" s="1229">
        <f t="shared" si="8"/>
        <v>0</v>
      </c>
      <c r="Y55" s="901">
        <f t="shared" si="9"/>
        <v>0</v>
      </c>
      <c r="Z55" s="1227">
        <v>0</v>
      </c>
      <c r="AA55" s="1226"/>
      <c r="AB55" s="1227">
        <v>0</v>
      </c>
      <c r="AC55" s="1229"/>
      <c r="AD55" s="1227">
        <v>0</v>
      </c>
      <c r="AE55" s="1227"/>
      <c r="AF55" s="1227">
        <v>0</v>
      </c>
      <c r="AG55" s="1227"/>
      <c r="AH55" s="1227">
        <v>0</v>
      </c>
      <c r="AI55" s="1227"/>
      <c r="AJ55" s="1227">
        <v>0</v>
      </c>
      <c r="AK55" s="1227"/>
      <c r="AL55" s="1227">
        <v>0</v>
      </c>
      <c r="AM55" s="1226"/>
      <c r="AN55" s="1229">
        <f t="shared" si="10"/>
        <v>0</v>
      </c>
    </row>
    <row r="56" spans="1:51" s="417" customFormat="1" ht="20.100000000000001" customHeight="1">
      <c r="A56" s="417" t="s">
        <v>454</v>
      </c>
      <c r="C56" s="1305"/>
      <c r="D56" s="1227">
        <v>38126459.609999999</v>
      </c>
      <c r="E56" s="1227">
        <v>0</v>
      </c>
      <c r="F56" s="1227">
        <v>0</v>
      </c>
      <c r="G56" s="1227">
        <v>0</v>
      </c>
      <c r="H56" s="1227">
        <v>0</v>
      </c>
      <c r="I56" s="1227">
        <v>0</v>
      </c>
      <c r="J56" s="1227">
        <v>8438617.6400000006</v>
      </c>
      <c r="K56" s="1228">
        <v>889492</v>
      </c>
      <c r="L56" s="1227">
        <v>0</v>
      </c>
      <c r="M56" s="1227">
        <v>0</v>
      </c>
      <c r="N56" s="1227">
        <v>0</v>
      </c>
      <c r="O56" s="1227">
        <v>0</v>
      </c>
      <c r="P56" s="1227">
        <v>0</v>
      </c>
      <c r="Q56" s="1219">
        <v>0</v>
      </c>
      <c r="R56" s="1227">
        <v>0</v>
      </c>
      <c r="S56" s="1227">
        <v>0</v>
      </c>
      <c r="T56" s="1227">
        <v>0</v>
      </c>
      <c r="U56" s="1227">
        <v>0</v>
      </c>
      <c r="V56" s="1227">
        <v>0</v>
      </c>
      <c r="W56" s="1219">
        <v>0</v>
      </c>
      <c r="X56" s="1229">
        <f t="shared" si="8"/>
        <v>47454569.25</v>
      </c>
      <c r="Y56" s="901">
        <f t="shared" si="9"/>
        <v>0</v>
      </c>
      <c r="Z56" s="1227">
        <v>0</v>
      </c>
      <c r="AA56" s="1228">
        <f>ROUND(Cemtery!L22,2)</f>
        <v>1250259</v>
      </c>
      <c r="AB56" s="1227">
        <v>0</v>
      </c>
      <c r="AC56" s="1229"/>
      <c r="AD56" s="1227" t="e">
        <f>ROUND(#REF!,2)</f>
        <v>#REF!</v>
      </c>
      <c r="AE56" s="1227"/>
      <c r="AF56" s="1227">
        <v>0</v>
      </c>
      <c r="AG56" s="1227"/>
      <c r="AH56" s="1227">
        <v>0</v>
      </c>
      <c r="AI56" s="1227"/>
      <c r="AJ56" s="1227">
        <v>0</v>
      </c>
      <c r="AK56" s="1227"/>
      <c r="AL56" s="1227">
        <v>0</v>
      </c>
      <c r="AM56" s="1229"/>
      <c r="AN56" s="1229" t="e">
        <f t="shared" si="10"/>
        <v>#REF!</v>
      </c>
      <c r="AO56" s="454"/>
      <c r="AP56" s="454"/>
      <c r="AQ56" s="454"/>
      <c r="AR56" s="454"/>
      <c r="AS56" s="454"/>
      <c r="AT56" s="454"/>
      <c r="AU56" s="454"/>
      <c r="AV56" s="454"/>
      <c r="AW56" s="454"/>
      <c r="AX56" s="454"/>
      <c r="AY56" s="454"/>
    </row>
    <row r="57" spans="1:51" s="417" customFormat="1" ht="19.5" hidden="1" customHeight="1">
      <c r="A57" s="417" t="s">
        <v>455</v>
      </c>
      <c r="C57" s="1305"/>
      <c r="D57" s="1227" t="s">
        <v>58</v>
      </c>
      <c r="E57" s="1228"/>
      <c r="F57" s="1227">
        <v>0</v>
      </c>
      <c r="G57" s="1227"/>
      <c r="H57" s="1227"/>
      <c r="I57" s="1227">
        <v>0</v>
      </c>
      <c r="J57" s="1227">
        <v>0</v>
      </c>
      <c r="K57" s="1228"/>
      <c r="L57" s="1227"/>
      <c r="M57" s="1227">
        <v>0</v>
      </c>
      <c r="N57" s="1227"/>
      <c r="O57" s="1227">
        <v>0</v>
      </c>
      <c r="P57" s="1227"/>
      <c r="Q57" s="1219"/>
      <c r="R57" s="1228"/>
      <c r="S57" s="1227"/>
      <c r="T57" s="1227">
        <v>0</v>
      </c>
      <c r="U57" s="1227"/>
      <c r="V57" s="1228"/>
      <c r="W57" s="1220"/>
      <c r="X57" s="1229">
        <f t="shared" si="8"/>
        <v>0</v>
      </c>
      <c r="Y57" s="901">
        <f t="shared" si="9"/>
        <v>0</v>
      </c>
      <c r="Z57" s="1228"/>
      <c r="AA57" s="1228"/>
      <c r="AB57" s="1227">
        <v>0</v>
      </c>
      <c r="AC57" s="1229"/>
      <c r="AD57" s="1227">
        <v>0</v>
      </c>
      <c r="AE57" s="1227"/>
      <c r="AF57" s="1227">
        <v>0</v>
      </c>
      <c r="AG57" s="1227"/>
      <c r="AH57" s="1227">
        <v>0</v>
      </c>
      <c r="AI57" s="1227"/>
      <c r="AJ57" s="1227">
        <v>0</v>
      </c>
      <c r="AK57" s="1227"/>
      <c r="AL57" s="1227">
        <v>0</v>
      </c>
      <c r="AM57" s="1229"/>
      <c r="AN57" s="1229">
        <f t="shared" si="10"/>
        <v>0</v>
      </c>
      <c r="AO57" s="454"/>
      <c r="AP57" s="454"/>
      <c r="AQ57" s="454"/>
      <c r="AR57" s="454"/>
      <c r="AS57" s="454"/>
      <c r="AT57" s="454"/>
      <c r="AU57" s="454"/>
      <c r="AV57" s="454"/>
      <c r="AW57" s="454"/>
      <c r="AX57" s="454"/>
      <c r="AY57" s="454"/>
    </row>
    <row r="58" spans="1:51" s="417" customFormat="1" ht="20.100000000000001" customHeight="1">
      <c r="A58" s="417" t="s">
        <v>456</v>
      </c>
      <c r="C58" s="1305"/>
      <c r="D58" s="1227">
        <v>88918541.209999993</v>
      </c>
      <c r="E58" s="1227">
        <v>0</v>
      </c>
      <c r="F58" s="1227">
        <v>0</v>
      </c>
      <c r="G58" s="1227">
        <v>0</v>
      </c>
      <c r="H58" s="1227">
        <v>0</v>
      </c>
      <c r="I58" s="1227">
        <v>0</v>
      </c>
      <c r="J58" s="1227">
        <v>0</v>
      </c>
      <c r="K58" s="1227">
        <v>0</v>
      </c>
      <c r="L58" s="1227">
        <v>0</v>
      </c>
      <c r="M58" s="1227">
        <v>0</v>
      </c>
      <c r="N58" s="1227">
        <v>0</v>
      </c>
      <c r="O58" s="1227">
        <v>0</v>
      </c>
      <c r="P58" s="1227">
        <v>0</v>
      </c>
      <c r="Q58" s="1219">
        <v>0</v>
      </c>
      <c r="R58" s="1227">
        <v>0</v>
      </c>
      <c r="S58" s="1227">
        <v>1741096.49</v>
      </c>
      <c r="T58" s="1227">
        <v>0</v>
      </c>
      <c r="U58" s="1227">
        <v>800000</v>
      </c>
      <c r="V58" s="1227">
        <v>0</v>
      </c>
      <c r="W58" s="1219">
        <v>0</v>
      </c>
      <c r="X58" s="1229">
        <f t="shared" si="8"/>
        <v>91459637.699999988</v>
      </c>
      <c r="Y58" s="901">
        <f t="shared" si="9"/>
        <v>0</v>
      </c>
      <c r="Z58" s="1227">
        <v>0</v>
      </c>
      <c r="AA58" s="1227">
        <v>0</v>
      </c>
      <c r="AB58" s="1227">
        <v>0</v>
      </c>
      <c r="AC58" s="1229"/>
      <c r="AD58" s="1227">
        <v>0</v>
      </c>
      <c r="AE58" s="1227"/>
      <c r="AF58" s="1227">
        <v>0</v>
      </c>
      <c r="AG58" s="1227"/>
      <c r="AH58" s="1227">
        <v>0</v>
      </c>
      <c r="AI58" s="1227"/>
      <c r="AJ58" s="1227">
        <v>0</v>
      </c>
      <c r="AK58" s="1227"/>
      <c r="AL58" s="1227">
        <v>0</v>
      </c>
      <c r="AM58" s="1229"/>
      <c r="AN58" s="1229">
        <f t="shared" si="10"/>
        <v>182919275.39999998</v>
      </c>
      <c r="AO58" s="454"/>
      <c r="AP58" s="454"/>
      <c r="AQ58" s="454"/>
      <c r="AR58" s="454"/>
      <c r="AS58" s="454"/>
      <c r="AT58" s="454"/>
      <c r="AU58" s="454"/>
      <c r="AV58" s="454"/>
      <c r="AW58" s="454"/>
      <c r="AX58" s="454"/>
      <c r="AY58" s="454"/>
    </row>
    <row r="59" spans="1:51" s="417" customFormat="1" ht="20.100000000000001" hidden="1" customHeight="1">
      <c r="A59" s="417" t="s">
        <v>457</v>
      </c>
      <c r="C59" s="1305"/>
      <c r="D59" s="1227" t="s">
        <v>58</v>
      </c>
      <c r="E59" s="1227">
        <v>0</v>
      </c>
      <c r="F59" s="1227"/>
      <c r="G59" s="1227"/>
      <c r="H59" s="1227"/>
      <c r="I59" s="1227"/>
      <c r="J59" s="1227"/>
      <c r="K59" s="1227">
        <v>0</v>
      </c>
      <c r="L59" s="1227"/>
      <c r="M59" s="1227"/>
      <c r="N59" s="1227">
        <v>0</v>
      </c>
      <c r="O59" s="1227"/>
      <c r="P59" s="1227"/>
      <c r="Q59" s="1219">
        <v>0</v>
      </c>
      <c r="R59" s="1227">
        <v>0</v>
      </c>
      <c r="S59" s="1227"/>
      <c r="T59" s="1227"/>
      <c r="U59" s="1227"/>
      <c r="V59" s="1227">
        <v>0</v>
      </c>
      <c r="W59" s="1219">
        <v>0</v>
      </c>
      <c r="X59" s="1229">
        <f t="shared" si="8"/>
        <v>0</v>
      </c>
      <c r="Y59" s="901">
        <f t="shared" si="9"/>
        <v>0</v>
      </c>
      <c r="Z59" s="1227">
        <v>0</v>
      </c>
      <c r="AA59" s="1227">
        <v>0</v>
      </c>
      <c r="AB59" s="1227"/>
      <c r="AC59" s="1229"/>
      <c r="AD59" s="1227"/>
      <c r="AE59" s="1227"/>
      <c r="AF59" s="1227"/>
      <c r="AG59" s="1227"/>
      <c r="AH59" s="1227"/>
      <c r="AI59" s="1227"/>
      <c r="AJ59" s="1227"/>
      <c r="AK59" s="1227"/>
      <c r="AL59" s="1227"/>
      <c r="AM59" s="1229"/>
      <c r="AN59" s="1229">
        <f t="shared" si="10"/>
        <v>0</v>
      </c>
      <c r="AO59" s="454"/>
      <c r="AP59" s="454"/>
      <c r="AQ59" s="454"/>
      <c r="AR59" s="454"/>
      <c r="AS59" s="454"/>
      <c r="AT59" s="454"/>
      <c r="AU59" s="454"/>
      <c r="AV59" s="454"/>
      <c r="AW59" s="454"/>
      <c r="AX59" s="454"/>
      <c r="AY59" s="454"/>
    </row>
    <row r="60" spans="1:51" s="417" customFormat="1" ht="20.100000000000001" hidden="1" customHeight="1">
      <c r="A60" s="417" t="s">
        <v>458</v>
      </c>
      <c r="C60" s="1305"/>
      <c r="D60" s="1227" t="s">
        <v>58</v>
      </c>
      <c r="E60" s="1227">
        <v>0</v>
      </c>
      <c r="F60" s="1227"/>
      <c r="G60" s="1227"/>
      <c r="H60" s="1227"/>
      <c r="I60" s="1227"/>
      <c r="J60" s="1227"/>
      <c r="K60" s="1227">
        <v>0</v>
      </c>
      <c r="L60" s="1227"/>
      <c r="M60" s="1227"/>
      <c r="N60" s="1227">
        <v>0</v>
      </c>
      <c r="O60" s="1227"/>
      <c r="P60" s="1227"/>
      <c r="Q60" s="1219">
        <v>0</v>
      </c>
      <c r="R60" s="1227">
        <v>0</v>
      </c>
      <c r="S60" s="1227"/>
      <c r="T60" s="1227"/>
      <c r="U60" s="1227"/>
      <c r="V60" s="1227">
        <v>0</v>
      </c>
      <c r="W60" s="1219">
        <v>0</v>
      </c>
      <c r="X60" s="1229">
        <f t="shared" si="8"/>
        <v>0</v>
      </c>
      <c r="Y60" s="901">
        <f t="shared" si="9"/>
        <v>0</v>
      </c>
      <c r="Z60" s="1227">
        <v>0</v>
      </c>
      <c r="AA60" s="1227">
        <v>0</v>
      </c>
      <c r="AB60" s="1227"/>
      <c r="AC60" s="1229"/>
      <c r="AD60" s="1227"/>
      <c r="AE60" s="1227"/>
      <c r="AF60" s="1227"/>
      <c r="AG60" s="1227"/>
      <c r="AH60" s="1227"/>
      <c r="AI60" s="1227"/>
      <c r="AJ60" s="1227"/>
      <c r="AK60" s="1227"/>
      <c r="AL60" s="1227"/>
      <c r="AM60" s="1229"/>
      <c r="AN60" s="1229">
        <f t="shared" si="10"/>
        <v>0</v>
      </c>
      <c r="AO60" s="454"/>
      <c r="AP60" s="454"/>
      <c r="AQ60" s="454"/>
      <c r="AR60" s="454"/>
      <c r="AS60" s="454"/>
      <c r="AT60" s="454"/>
      <c r="AU60" s="454"/>
      <c r="AV60" s="454"/>
      <c r="AW60" s="454"/>
      <c r="AX60" s="454"/>
      <c r="AY60" s="454"/>
    </row>
    <row r="61" spans="1:51" s="417" customFormat="1" ht="20.100000000000001" customHeight="1">
      <c r="A61" s="417" t="s">
        <v>459</v>
      </c>
      <c r="C61" s="1305"/>
      <c r="D61" s="1227">
        <v>5626843.0899999999</v>
      </c>
      <c r="E61" s="1227">
        <v>0</v>
      </c>
      <c r="F61" s="1227">
        <v>83518005</v>
      </c>
      <c r="G61" s="1227">
        <f>18178462.03</f>
        <v>18178462.030000001</v>
      </c>
      <c r="H61" s="1227">
        <v>0</v>
      </c>
      <c r="I61" s="1227">
        <v>0</v>
      </c>
      <c r="J61" s="1227">
        <v>11697822.220000001</v>
      </c>
      <c r="K61" s="1227">
        <v>0</v>
      </c>
      <c r="L61" s="1227">
        <v>0</v>
      </c>
      <c r="M61" s="1227">
        <v>0</v>
      </c>
      <c r="N61" s="1227">
        <v>0</v>
      </c>
      <c r="O61" s="1227">
        <v>5186261.63</v>
      </c>
      <c r="P61" s="1227">
        <v>0</v>
      </c>
      <c r="Q61" s="1219">
        <v>0</v>
      </c>
      <c r="R61" s="1227">
        <v>0</v>
      </c>
      <c r="S61" s="1227">
        <v>0</v>
      </c>
      <c r="T61" s="1227">
        <v>0</v>
      </c>
      <c r="U61" s="1227">
        <v>0</v>
      </c>
      <c r="V61" s="1227">
        <v>0</v>
      </c>
      <c r="W61" s="1219">
        <v>0</v>
      </c>
      <c r="X61" s="1229">
        <f t="shared" si="8"/>
        <v>124207393.97</v>
      </c>
      <c r="Y61" s="901">
        <f t="shared" si="9"/>
        <v>0</v>
      </c>
      <c r="Z61" s="1227">
        <v>0</v>
      </c>
      <c r="AA61" s="1227">
        <v>0</v>
      </c>
      <c r="AB61" s="1227">
        <v>0</v>
      </c>
      <c r="AC61" s="1229"/>
      <c r="AD61" s="1227" t="e">
        <f>ROUND(#REF!,2)</f>
        <v>#REF!</v>
      </c>
      <c r="AE61" s="1227"/>
      <c r="AF61" s="1227">
        <f>ROUND('Water and Sewer'!L29+'Central Region'!L28-'Water and Sewer'!L27-'Central Region'!L26-'Water and Sewer'!L25-'Central Region'!L25,2)</f>
        <v>98641940.849999994</v>
      </c>
      <c r="AG61" s="1227"/>
      <c r="AH61" s="1227">
        <f>ROUND(Stormwater!L28-Stormwater!L26,2)</f>
        <v>6029886.1600000001</v>
      </c>
      <c r="AI61" s="1227"/>
      <c r="AJ61" s="1227">
        <v>0</v>
      </c>
      <c r="AK61" s="1227"/>
      <c r="AL61" s="1227">
        <v>0</v>
      </c>
      <c r="AM61" s="1229"/>
      <c r="AN61" s="1229" t="e">
        <f t="shared" si="10"/>
        <v>#REF!</v>
      </c>
      <c r="AO61" s="454"/>
      <c r="AP61" s="454"/>
      <c r="AQ61" s="454"/>
      <c r="AR61" s="454"/>
      <c r="AS61" s="454"/>
      <c r="AT61" s="454"/>
      <c r="AU61" s="454"/>
      <c r="AV61" s="454"/>
      <c r="AW61" s="454"/>
      <c r="AX61" s="454"/>
      <c r="AY61" s="454"/>
    </row>
    <row r="62" spans="1:51" s="417" customFormat="1" ht="20.100000000000001" customHeight="1">
      <c r="A62" s="417" t="s">
        <v>570</v>
      </c>
      <c r="C62" s="1305"/>
      <c r="D62" s="1227">
        <v>6362018.1299999999</v>
      </c>
      <c r="E62" s="1228">
        <v>0</v>
      </c>
      <c r="F62" s="1227">
        <v>0</v>
      </c>
      <c r="G62" s="1227">
        <v>0</v>
      </c>
      <c r="H62" s="1227">
        <v>0</v>
      </c>
      <c r="I62" s="1227">
        <v>0</v>
      </c>
      <c r="J62" s="1227">
        <v>0</v>
      </c>
      <c r="K62" s="1228">
        <v>0</v>
      </c>
      <c r="L62" s="1227">
        <v>0</v>
      </c>
      <c r="M62" s="1227">
        <v>0</v>
      </c>
      <c r="N62" s="1228">
        <v>6352542.7000000002</v>
      </c>
      <c r="O62" s="1227">
        <v>0</v>
      </c>
      <c r="P62" s="1227">
        <v>0</v>
      </c>
      <c r="Q62" s="1228">
        <v>11632668</v>
      </c>
      <c r="R62" s="1227">
        <v>3273952.21</v>
      </c>
      <c r="S62" s="1228">
        <v>0</v>
      </c>
      <c r="T62" s="1227">
        <v>0</v>
      </c>
      <c r="U62" s="1228">
        <v>0</v>
      </c>
      <c r="V62" s="1227">
        <v>684031.91</v>
      </c>
      <c r="W62" s="1220">
        <v>0</v>
      </c>
      <c r="X62" s="1229">
        <f t="shared" si="8"/>
        <v>28305212.949999999</v>
      </c>
      <c r="Y62" s="901">
        <f t="shared" si="9"/>
        <v>0</v>
      </c>
      <c r="Z62" s="1228">
        <v>0</v>
      </c>
      <c r="AA62" s="1228">
        <v>0</v>
      </c>
      <c r="AB62" s="1227">
        <v>0</v>
      </c>
      <c r="AC62" s="1229"/>
      <c r="AD62" s="1227">
        <v>0</v>
      </c>
      <c r="AE62" s="1227"/>
      <c r="AF62" s="1227">
        <v>0</v>
      </c>
      <c r="AG62" s="1227"/>
      <c r="AH62" s="1227">
        <v>0</v>
      </c>
      <c r="AI62" s="1227"/>
      <c r="AJ62" s="1227">
        <v>0</v>
      </c>
      <c r="AK62" s="1227"/>
      <c r="AL62" s="1227">
        <v>0</v>
      </c>
      <c r="AM62" s="1229"/>
      <c r="AN62" s="1229">
        <f t="shared" si="10"/>
        <v>56610425.899999999</v>
      </c>
      <c r="AO62" s="454"/>
      <c r="AP62" s="454"/>
      <c r="AQ62" s="454"/>
      <c r="AR62" s="454"/>
      <c r="AS62" s="454"/>
      <c r="AT62" s="454"/>
      <c r="AU62" s="454"/>
      <c r="AV62" s="454"/>
      <c r="AW62" s="454"/>
      <c r="AX62" s="454"/>
      <c r="AY62" s="454"/>
    </row>
    <row r="63" spans="1:51" s="417" customFormat="1" ht="20.100000000000001" customHeight="1">
      <c r="A63" s="417" t="s">
        <v>476</v>
      </c>
      <c r="C63" s="1305"/>
      <c r="D63" s="1227">
        <v>1282571.5</v>
      </c>
      <c r="E63" s="1227">
        <v>0</v>
      </c>
      <c r="F63" s="1227">
        <v>0</v>
      </c>
      <c r="G63" s="1227">
        <v>0</v>
      </c>
      <c r="H63" s="1227">
        <v>0</v>
      </c>
      <c r="I63" s="1227">
        <v>14050869.43</v>
      </c>
      <c r="J63" s="1227">
        <v>0</v>
      </c>
      <c r="K63" s="1227">
        <v>0</v>
      </c>
      <c r="L63" s="1227">
        <v>0</v>
      </c>
      <c r="M63" s="1227">
        <v>7160710.6100000003</v>
      </c>
      <c r="N63" s="1227">
        <v>0</v>
      </c>
      <c r="O63" s="1227">
        <v>0</v>
      </c>
      <c r="P63" s="1227">
        <v>0</v>
      </c>
      <c r="Q63" s="1227">
        <v>0</v>
      </c>
      <c r="R63" s="1227">
        <v>0</v>
      </c>
      <c r="S63" s="1227">
        <v>0</v>
      </c>
      <c r="T63" s="1227">
        <v>1451345</v>
      </c>
      <c r="U63" s="1227">
        <v>0</v>
      </c>
      <c r="V63" s="1227">
        <v>0</v>
      </c>
      <c r="W63" s="1219">
        <v>0</v>
      </c>
      <c r="X63" s="1229">
        <f t="shared" si="8"/>
        <v>23945496.539999999</v>
      </c>
      <c r="Y63" s="901">
        <f t="shared" si="9"/>
        <v>0</v>
      </c>
      <c r="Z63" s="1227">
        <v>0</v>
      </c>
      <c r="AA63" s="1227">
        <v>0</v>
      </c>
      <c r="AB63" s="1227">
        <f>ROUND('Arts Science District Garage'!L25,2)</f>
        <v>1160554.8400000001</v>
      </c>
      <c r="AC63" s="1229"/>
      <c r="AD63" s="1227">
        <v>0</v>
      </c>
      <c r="AE63" s="1227"/>
      <c r="AF63" s="1227">
        <v>0</v>
      </c>
      <c r="AG63" s="1227"/>
      <c r="AH63" s="1227">
        <v>0</v>
      </c>
      <c r="AI63" s="1227"/>
      <c r="AJ63" s="1227">
        <f>ROUND('Parking System'!L29-'Parking System'!L27,2)</f>
        <v>21750117.719999999</v>
      </c>
      <c r="AK63" s="1227"/>
      <c r="AL63" s="1227">
        <f>ROUND(Airport!L28-Airport!L26,2)</f>
        <v>7966110.5999999996</v>
      </c>
      <c r="AM63" s="1229"/>
      <c r="AN63" s="1229">
        <f t="shared" si="10"/>
        <v>78767776.239999995</v>
      </c>
      <c r="AO63" s="454"/>
      <c r="AP63" s="454"/>
      <c r="AQ63" s="454"/>
      <c r="AR63" s="454"/>
      <c r="AS63" s="454"/>
      <c r="AT63" s="454"/>
      <c r="AU63" s="454"/>
      <c r="AV63" s="454"/>
      <c r="AW63" s="454"/>
      <c r="AX63" s="454"/>
      <c r="AY63" s="454"/>
    </row>
    <row r="64" spans="1:51" s="417" customFormat="1" ht="25.15" hidden="1" customHeight="1">
      <c r="A64" s="417" t="s">
        <v>16</v>
      </c>
      <c r="C64" s="1305"/>
      <c r="D64" s="1227" t="s">
        <v>58</v>
      </c>
      <c r="E64" s="1227"/>
      <c r="F64" s="1227"/>
      <c r="G64" s="1227"/>
      <c r="H64" s="1227"/>
      <c r="I64" s="1227"/>
      <c r="J64" s="1227"/>
      <c r="K64" s="1227"/>
      <c r="L64" s="1227"/>
      <c r="M64" s="1227"/>
      <c r="N64" s="1228"/>
      <c r="O64" s="1227"/>
      <c r="P64" s="1227"/>
      <c r="Q64" s="1228"/>
      <c r="R64" s="1228"/>
      <c r="S64" s="1228"/>
      <c r="T64" s="1227"/>
      <c r="U64" s="1228"/>
      <c r="V64" s="1228"/>
      <c r="W64" s="1220"/>
      <c r="X64" s="1229">
        <f t="shared" si="8"/>
        <v>0</v>
      </c>
      <c r="Y64" s="901">
        <f t="shared" si="9"/>
        <v>0</v>
      </c>
      <c r="Z64" s="1227" t="s">
        <v>58</v>
      </c>
      <c r="AA64" s="1227"/>
      <c r="AB64" s="1227"/>
      <c r="AC64" s="1232"/>
      <c r="AD64" s="1227"/>
      <c r="AE64" s="1227"/>
      <c r="AF64" s="1227"/>
      <c r="AG64" s="1227"/>
      <c r="AH64" s="1227"/>
      <c r="AI64" s="1227"/>
      <c r="AJ64" s="1227"/>
      <c r="AK64" s="1227"/>
      <c r="AL64" s="1227"/>
      <c r="AM64" s="1229"/>
      <c r="AN64" s="1229">
        <f t="shared" si="10"/>
        <v>0</v>
      </c>
      <c r="AO64" s="454"/>
      <c r="AP64" s="454"/>
      <c r="AQ64" s="454"/>
      <c r="AR64" s="454"/>
      <c r="AS64" s="454"/>
      <c r="AT64" s="454"/>
      <c r="AU64" s="454"/>
      <c r="AV64" s="454"/>
      <c r="AW64" s="454"/>
      <c r="AX64" s="454"/>
      <c r="AY64" s="454"/>
    </row>
    <row r="65" spans="1:51" s="417" customFormat="1" ht="20.100000000000001" hidden="1" customHeight="1">
      <c r="A65" s="417" t="s">
        <v>461</v>
      </c>
      <c r="C65" s="1305"/>
      <c r="D65" s="1228" t="s">
        <v>58</v>
      </c>
      <c r="E65" s="1227"/>
      <c r="F65" s="1227"/>
      <c r="G65" s="1227"/>
      <c r="H65" s="1227"/>
      <c r="I65" s="1227"/>
      <c r="J65" s="1227"/>
      <c r="K65" s="1227"/>
      <c r="L65" s="1227"/>
      <c r="M65" s="1227"/>
      <c r="N65" s="1228"/>
      <c r="O65" s="1227"/>
      <c r="P65" s="1227"/>
      <c r="Q65" s="1228"/>
      <c r="R65" s="1228"/>
      <c r="S65" s="1228"/>
      <c r="T65" s="1227"/>
      <c r="U65" s="1228"/>
      <c r="V65" s="1228"/>
      <c r="W65" s="1220"/>
      <c r="X65" s="1229">
        <f t="shared" si="8"/>
        <v>0</v>
      </c>
      <c r="Y65" s="901">
        <f t="shared" si="9"/>
        <v>0</v>
      </c>
      <c r="Z65" s="1227"/>
      <c r="AA65" s="1227"/>
      <c r="AB65" s="1227"/>
      <c r="AC65" s="1232"/>
      <c r="AD65" s="1227"/>
      <c r="AE65" s="1227"/>
      <c r="AF65" s="1227"/>
      <c r="AG65" s="1227"/>
      <c r="AH65" s="1227"/>
      <c r="AI65" s="1227"/>
      <c r="AJ65" s="1227"/>
      <c r="AK65" s="1227"/>
      <c r="AL65" s="1227"/>
      <c r="AM65" s="1229"/>
      <c r="AN65" s="1229">
        <f t="shared" si="10"/>
        <v>0</v>
      </c>
      <c r="AO65" s="454"/>
      <c r="AP65" s="454"/>
      <c r="AQ65" s="454"/>
      <c r="AR65" s="454"/>
      <c r="AS65" s="454"/>
      <c r="AT65" s="454"/>
      <c r="AU65" s="454"/>
      <c r="AV65" s="454"/>
      <c r="AW65" s="454"/>
      <c r="AX65" s="454"/>
      <c r="AY65" s="454"/>
    </row>
    <row r="66" spans="1:51" s="363" customFormat="1" ht="18.75">
      <c r="A66" s="454" t="s">
        <v>16</v>
      </c>
      <c r="C66" s="710"/>
      <c r="D66" s="1227">
        <v>0</v>
      </c>
      <c r="E66" s="1227">
        <v>47393158</v>
      </c>
      <c r="F66" s="1227">
        <v>33198284</v>
      </c>
      <c r="G66" s="1227">
        <v>0</v>
      </c>
      <c r="H66" s="1227">
        <v>0</v>
      </c>
      <c r="I66" s="1227">
        <v>0</v>
      </c>
      <c r="J66" s="1227">
        <v>0</v>
      </c>
      <c r="K66" s="1227">
        <v>0</v>
      </c>
      <c r="L66" s="1227">
        <v>0</v>
      </c>
      <c r="M66" s="1227">
        <v>0</v>
      </c>
      <c r="N66" s="1227">
        <v>0</v>
      </c>
      <c r="O66" s="1227">
        <v>0</v>
      </c>
      <c r="P66" s="1227">
        <v>0</v>
      </c>
      <c r="Q66" s="1227">
        <v>0</v>
      </c>
      <c r="R66" s="1227">
        <v>0</v>
      </c>
      <c r="S66" s="1227">
        <v>0</v>
      </c>
      <c r="T66" s="1227">
        <v>0</v>
      </c>
      <c r="U66" s="1227">
        <v>0</v>
      </c>
      <c r="V66" s="1227">
        <v>0</v>
      </c>
      <c r="W66" s="1219">
        <v>0</v>
      </c>
      <c r="X66" s="1229">
        <f t="shared" si="8"/>
        <v>80591442</v>
      </c>
      <c r="Y66" s="901">
        <f t="shared" si="9"/>
        <v>0</v>
      </c>
      <c r="Z66" s="1227" t="e">
        <f>ROUND(#REF!+#REF!+#REF!+#REF!+#REF!+#REF!+#REF!,2)</f>
        <v>#REF!</v>
      </c>
      <c r="AA66" s="1227">
        <v>0</v>
      </c>
      <c r="AB66" s="1227">
        <v>0</v>
      </c>
      <c r="AC66" s="1229"/>
      <c r="AD66" s="1227">
        <v>0</v>
      </c>
      <c r="AE66" s="1227"/>
      <c r="AF66" s="1227">
        <f>ROUND('Water and Sewer'!L25+'Central Region'!L25,2)</f>
        <v>33116202</v>
      </c>
      <c r="AG66" s="1227"/>
      <c r="AH66" s="1227">
        <v>0</v>
      </c>
      <c r="AI66" s="1227"/>
      <c r="AJ66" s="1227">
        <v>0</v>
      </c>
      <c r="AK66" s="1227"/>
      <c r="AL66" s="1227">
        <v>0</v>
      </c>
      <c r="AM66" s="1226"/>
      <c r="AN66" s="1229" t="e">
        <f t="shared" si="10"/>
        <v>#REF!</v>
      </c>
    </row>
    <row r="67" spans="1:51" s="417" customFormat="1" ht="20.100000000000001" customHeight="1">
      <c r="A67" s="417" t="s">
        <v>460</v>
      </c>
      <c r="C67" s="1305"/>
      <c r="D67" s="1227">
        <v>13282670.199999999</v>
      </c>
      <c r="E67" s="1227">
        <v>0</v>
      </c>
      <c r="F67" s="1227">
        <v>0</v>
      </c>
      <c r="G67" s="1227">
        <v>0</v>
      </c>
      <c r="H67" s="1227">
        <v>0</v>
      </c>
      <c r="I67" s="1227">
        <v>0</v>
      </c>
      <c r="J67" s="1227">
        <v>0</v>
      </c>
      <c r="K67" s="1228">
        <v>0</v>
      </c>
      <c r="L67" s="1227">
        <v>0</v>
      </c>
      <c r="M67" s="1227">
        <v>0</v>
      </c>
      <c r="N67" s="1227">
        <v>0</v>
      </c>
      <c r="O67" s="1227">
        <v>0</v>
      </c>
      <c r="P67" s="1227">
        <v>0</v>
      </c>
      <c r="Q67" s="1227">
        <v>0</v>
      </c>
      <c r="R67" s="1228">
        <v>0</v>
      </c>
      <c r="S67" s="1227">
        <v>0</v>
      </c>
      <c r="T67" s="1227">
        <v>0</v>
      </c>
      <c r="U67" s="1227">
        <v>0</v>
      </c>
      <c r="V67" s="1227">
        <v>0</v>
      </c>
      <c r="W67" s="1227">
        <v>79500</v>
      </c>
      <c r="X67" s="1229">
        <f t="shared" si="8"/>
        <v>13362170.199999999</v>
      </c>
      <c r="Y67" s="901">
        <f t="shared" si="9"/>
        <v>0</v>
      </c>
      <c r="Z67" s="1227">
        <v>0</v>
      </c>
      <c r="AA67" s="1228">
        <v>0</v>
      </c>
      <c r="AB67" s="1227">
        <v>0</v>
      </c>
      <c r="AC67" s="1229"/>
      <c r="AD67" s="1227">
        <v>0</v>
      </c>
      <c r="AE67" s="1227"/>
      <c r="AF67" s="1227">
        <v>0</v>
      </c>
      <c r="AG67" s="1227"/>
      <c r="AH67" s="1227">
        <v>0</v>
      </c>
      <c r="AI67" s="1227"/>
      <c r="AJ67" s="1227">
        <v>0</v>
      </c>
      <c r="AK67" s="1227"/>
      <c r="AL67" s="1227">
        <v>0</v>
      </c>
      <c r="AM67" s="1229"/>
      <c r="AN67" s="1229">
        <f t="shared" si="10"/>
        <v>26724340.399999999</v>
      </c>
      <c r="AO67" s="454"/>
      <c r="AP67" s="454"/>
      <c r="AQ67" s="454"/>
      <c r="AR67" s="454"/>
      <c r="AS67" s="454"/>
      <c r="AT67" s="454"/>
      <c r="AU67" s="454"/>
      <c r="AV67" s="454"/>
      <c r="AW67" s="454"/>
      <c r="AX67" s="454"/>
      <c r="AY67" s="454"/>
    </row>
    <row r="68" spans="1:51" s="1305" customFormat="1" ht="20.100000000000001" customHeight="1">
      <c r="A68" s="1305" t="s">
        <v>574</v>
      </c>
      <c r="C68" s="1305" t="s">
        <v>58</v>
      </c>
      <c r="D68" s="1307">
        <v>238601769.07999998</v>
      </c>
      <c r="E68" s="1307">
        <v>47393158</v>
      </c>
      <c r="F68" s="1307">
        <v>116716289</v>
      </c>
      <c r="G68" s="1307">
        <f>SUM(G40:G67)</f>
        <v>18178462.030000001</v>
      </c>
      <c r="H68" s="1307">
        <f>SUM(H40:H67)</f>
        <v>23344447.620000001</v>
      </c>
      <c r="I68" s="1307">
        <v>14050869.43</v>
      </c>
      <c r="J68" s="1307">
        <v>20136439.859999999</v>
      </c>
      <c r="K68" s="1307">
        <v>889492</v>
      </c>
      <c r="L68" s="1307">
        <f>SUM(L40:L67)</f>
        <v>19104500</v>
      </c>
      <c r="M68" s="1307">
        <v>7160710.6100000003</v>
      </c>
      <c r="N68" s="1307">
        <v>6352542.7000000002</v>
      </c>
      <c r="O68" s="1307">
        <v>5186261.63</v>
      </c>
      <c r="P68" s="1307">
        <f>SUM(P40:P67)</f>
        <v>13830832.15</v>
      </c>
      <c r="Q68" s="1307">
        <v>11632668</v>
      </c>
      <c r="R68" s="1307">
        <v>3273952.21</v>
      </c>
      <c r="S68" s="1307">
        <v>1741096.49</v>
      </c>
      <c r="T68" s="1307">
        <v>1451345</v>
      </c>
      <c r="U68" s="1307">
        <v>800000</v>
      </c>
      <c r="V68" s="1307">
        <v>684031.91</v>
      </c>
      <c r="W68" s="1307">
        <v>79500</v>
      </c>
      <c r="X68" s="1307">
        <f>SUM(X38:X67)</f>
        <v>550608367.72000003</v>
      </c>
      <c r="Y68" s="1309">
        <f t="shared" si="9"/>
        <v>0</v>
      </c>
      <c r="Z68" s="1307" t="e">
        <f t="shared" ref="Z68:AN68" si="11">SUM(Z40:Z67)</f>
        <v>#REF!</v>
      </c>
      <c r="AA68" s="1307">
        <f t="shared" si="11"/>
        <v>1250259</v>
      </c>
      <c r="AB68" s="1307">
        <f t="shared" si="11"/>
        <v>1160554.8400000001</v>
      </c>
      <c r="AC68" s="1307">
        <f t="shared" si="11"/>
        <v>0</v>
      </c>
      <c r="AD68" s="1307" t="e">
        <f t="shared" si="11"/>
        <v>#REF!</v>
      </c>
      <c r="AE68" s="1307">
        <f t="shared" si="11"/>
        <v>0</v>
      </c>
      <c r="AF68" s="1307">
        <f t="shared" si="11"/>
        <v>131758142.84999999</v>
      </c>
      <c r="AG68" s="1307">
        <f t="shared" si="11"/>
        <v>0</v>
      </c>
      <c r="AH68" s="1307">
        <f t="shared" si="11"/>
        <v>6029886.1600000001</v>
      </c>
      <c r="AI68" s="1307">
        <f t="shared" si="11"/>
        <v>0</v>
      </c>
      <c r="AJ68" s="1307">
        <f t="shared" si="11"/>
        <v>21750117.719999999</v>
      </c>
      <c r="AK68" s="1307">
        <f t="shared" si="11"/>
        <v>0</v>
      </c>
      <c r="AL68" s="1307">
        <f t="shared" si="11"/>
        <v>7966110.5999999996</v>
      </c>
      <c r="AM68" s="1307">
        <f t="shared" si="11"/>
        <v>0</v>
      </c>
      <c r="AN68" s="1307" t="e">
        <f t="shared" si="11"/>
        <v>#REF!</v>
      </c>
      <c r="AO68" s="685"/>
      <c r="AP68" s="685"/>
      <c r="AQ68" s="685"/>
      <c r="AR68" s="685"/>
      <c r="AS68" s="685"/>
      <c r="AT68" s="685"/>
      <c r="AU68" s="685"/>
      <c r="AV68" s="685"/>
      <c r="AW68" s="685"/>
      <c r="AX68" s="685"/>
      <c r="AY68" s="685"/>
    </row>
    <row r="69" spans="1:51" s="417" customFormat="1" ht="12.75" customHeight="1">
      <c r="C69" s="1305"/>
      <c r="D69" s="1209"/>
      <c r="E69" s="1227"/>
      <c r="F69" s="1227"/>
      <c r="G69" s="1227"/>
      <c r="H69" s="1227"/>
      <c r="I69" s="1227"/>
      <c r="J69" s="1227"/>
      <c r="K69" s="1227"/>
      <c r="L69" s="1227"/>
      <c r="M69" s="1227"/>
      <c r="N69" s="1227"/>
      <c r="O69" s="1227"/>
      <c r="P69" s="1227"/>
      <c r="Q69" s="1227"/>
      <c r="R69" s="1227"/>
      <c r="S69" s="1227"/>
      <c r="T69" s="1227"/>
      <c r="U69" s="1227"/>
      <c r="V69" s="1227"/>
      <c r="W69" s="1227"/>
      <c r="X69" s="1229"/>
      <c r="Z69" s="1227"/>
      <c r="AA69" s="1227"/>
      <c r="AB69" s="1227"/>
      <c r="AC69" s="1229"/>
      <c r="AD69" s="1227"/>
      <c r="AE69" s="1227"/>
      <c r="AF69" s="1227"/>
      <c r="AG69" s="1227"/>
      <c r="AH69" s="1227"/>
      <c r="AI69" s="1227"/>
      <c r="AJ69" s="1227"/>
      <c r="AK69" s="1227"/>
      <c r="AL69" s="1227"/>
      <c r="AM69" s="1229"/>
      <c r="AN69" s="1229"/>
      <c r="AO69" s="454"/>
      <c r="AP69" s="454"/>
      <c r="AQ69" s="454"/>
      <c r="AR69" s="454"/>
      <c r="AS69" s="454"/>
      <c r="AT69" s="454"/>
      <c r="AU69" s="454"/>
      <c r="AV69" s="454"/>
      <c r="AW69" s="454"/>
      <c r="AX69" s="454"/>
      <c r="AY69" s="454"/>
    </row>
    <row r="70" spans="1:51" s="417" customFormat="1" ht="18.75">
      <c r="A70" s="1305" t="s">
        <v>462</v>
      </c>
      <c r="C70" s="1305"/>
      <c r="D70" s="1209"/>
      <c r="E70" s="1227"/>
      <c r="F70" s="1227"/>
      <c r="G70" s="1227"/>
      <c r="H70" s="1227"/>
      <c r="I70" s="1227"/>
      <c r="J70" s="1227"/>
      <c r="K70" s="1227"/>
      <c r="L70" s="1227"/>
      <c r="M70" s="1227"/>
      <c r="N70" s="1227"/>
      <c r="O70" s="1227"/>
      <c r="P70" s="1227"/>
      <c r="Q70" s="1227"/>
      <c r="R70" s="1227"/>
      <c r="S70" s="1227"/>
      <c r="T70" s="1227"/>
      <c r="U70" s="1227"/>
      <c r="V70" s="1227"/>
      <c r="W70" s="1227"/>
      <c r="X70" s="1229"/>
      <c r="Z70" s="1227"/>
      <c r="AA70" s="1227"/>
      <c r="AB70" s="1227"/>
      <c r="AC70" s="1229"/>
      <c r="AD70" s="1227"/>
      <c r="AE70" s="1227"/>
      <c r="AF70" s="1227"/>
      <c r="AG70" s="1227"/>
      <c r="AH70" s="1227"/>
      <c r="AI70" s="1227"/>
      <c r="AJ70" s="1227"/>
      <c r="AK70" s="1227"/>
      <c r="AL70" s="1227"/>
      <c r="AM70" s="1229"/>
      <c r="AN70" s="1229"/>
      <c r="AO70" s="454"/>
      <c r="AP70" s="454"/>
      <c r="AQ70" s="454"/>
      <c r="AR70" s="454"/>
      <c r="AS70" s="454"/>
      <c r="AT70" s="454"/>
      <c r="AU70" s="454"/>
      <c r="AV70" s="454"/>
      <c r="AW70" s="454"/>
      <c r="AX70" s="454"/>
      <c r="AY70" s="454"/>
    </row>
    <row r="71" spans="1:51" s="417" customFormat="1" ht="18" customHeight="1">
      <c r="A71" s="417" t="s">
        <v>463</v>
      </c>
      <c r="C71" s="1305"/>
      <c r="D71" s="1227">
        <v>26954467.829999998</v>
      </c>
      <c r="E71" s="1227">
        <v>335953947</v>
      </c>
      <c r="F71" s="1227">
        <v>2663601.85</v>
      </c>
      <c r="G71" s="1227">
        <v>35237.120000000003</v>
      </c>
      <c r="H71" s="1227">
        <v>100792.38</v>
      </c>
      <c r="I71" s="1227">
        <v>404903.6</v>
      </c>
      <c r="J71" s="1227">
        <v>467895.92</v>
      </c>
      <c r="K71" s="1227">
        <v>0</v>
      </c>
      <c r="L71" s="1227">
        <v>0</v>
      </c>
      <c r="M71" s="1227">
        <v>115733.36</v>
      </c>
      <c r="N71" s="1227">
        <v>1162768.27</v>
      </c>
      <c r="O71" s="1227">
        <v>189993.63</v>
      </c>
      <c r="P71" s="1227">
        <v>1395674.51</v>
      </c>
      <c r="Q71" s="1227">
        <v>0</v>
      </c>
      <c r="R71" s="1227">
        <v>2624656.15</v>
      </c>
      <c r="S71" s="1227">
        <v>12093.09</v>
      </c>
      <c r="T71" s="1227">
        <v>0</v>
      </c>
      <c r="U71" s="1227">
        <v>0</v>
      </c>
      <c r="V71" s="1227">
        <v>0</v>
      </c>
      <c r="W71" s="1227">
        <v>0</v>
      </c>
      <c r="X71" s="1229">
        <f t="shared" ref="X71:X73" si="12">SUM(D71:W71)</f>
        <v>372081764.70999998</v>
      </c>
      <c r="Y71" s="901">
        <f>SUM(D71:W71)-X71</f>
        <v>0</v>
      </c>
      <c r="Z71" s="1227" t="e">
        <f>ROUND(#REF!,2)</f>
        <v>#REF!</v>
      </c>
      <c r="AA71" s="1227">
        <v>0</v>
      </c>
      <c r="AB71" s="1227">
        <v>0</v>
      </c>
      <c r="AC71" s="1229"/>
      <c r="AD71" s="1227">
        <f>ROUND(Sanitation!L26,2)</f>
        <v>534730</v>
      </c>
      <c r="AE71" s="1227">
        <v>0</v>
      </c>
      <c r="AF71" s="1227">
        <f>ROUND('Budget Balancing I&amp;O'!J76+'Budget Balancing I&amp;O'!J89,2)</f>
        <v>2663601.85</v>
      </c>
      <c r="AG71" s="1227">
        <v>0</v>
      </c>
      <c r="AH71" s="1227">
        <f>ROUND('Budget Balancing I&amp;O'!J142,2)</f>
        <v>189993.63</v>
      </c>
      <c r="AI71" s="1227">
        <v>0</v>
      </c>
      <c r="AJ71" s="1227">
        <f>ROUND('Parking System'!L27,2)</f>
        <v>0</v>
      </c>
      <c r="AK71" s="1227">
        <v>0</v>
      </c>
      <c r="AL71" s="1227">
        <f>ROUND('Budget Balancing I&amp;O'!J128,2)</f>
        <v>115733.36</v>
      </c>
      <c r="AM71" s="1227">
        <v>0</v>
      </c>
      <c r="AN71" s="1229" t="e">
        <f>ROUNDDOWN(SUM('All Funds Sch A 2014 Page (1)'!D56:K56)+SUM('All Funds Sch A 2014 Page (2)'!L56:X56),0)</f>
        <v>#REF!</v>
      </c>
      <c r="AO71" s="454"/>
      <c r="AP71" s="454"/>
      <c r="AQ71" s="454"/>
      <c r="AR71" s="454"/>
      <c r="AS71" s="454"/>
      <c r="AT71" s="454"/>
      <c r="AU71" s="454"/>
      <c r="AV71" s="454"/>
      <c r="AW71" s="454"/>
      <c r="AX71" s="454"/>
      <c r="AY71" s="454"/>
    </row>
    <row r="72" spans="1:51" s="417" customFormat="1" ht="18" customHeight="1">
      <c r="A72" s="417" t="s">
        <v>464</v>
      </c>
      <c r="C72" s="1305"/>
      <c r="D72" s="1227">
        <v>455656</v>
      </c>
      <c r="E72" s="1227">
        <v>0</v>
      </c>
      <c r="F72" s="1227">
        <v>0</v>
      </c>
      <c r="G72" s="1227">
        <v>0</v>
      </c>
      <c r="H72" s="1227">
        <v>0</v>
      </c>
      <c r="I72" s="1227">
        <v>0</v>
      </c>
      <c r="J72" s="1227">
        <v>0</v>
      </c>
      <c r="K72" s="1227">
        <v>0</v>
      </c>
      <c r="L72" s="1227">
        <v>0</v>
      </c>
      <c r="M72" s="1227">
        <v>0</v>
      </c>
      <c r="N72" s="1227">
        <v>0</v>
      </c>
      <c r="O72" s="1227">
        <v>0</v>
      </c>
      <c r="P72" s="1227">
        <v>0</v>
      </c>
      <c r="Q72" s="1227">
        <v>0</v>
      </c>
      <c r="R72" s="1227">
        <v>0</v>
      </c>
      <c r="S72" s="1227">
        <v>0</v>
      </c>
      <c r="T72" s="1227">
        <v>0</v>
      </c>
      <c r="U72" s="1227">
        <v>0</v>
      </c>
      <c r="V72" s="1227">
        <v>0</v>
      </c>
      <c r="W72" s="1227">
        <v>0</v>
      </c>
      <c r="X72" s="1229">
        <f t="shared" si="12"/>
        <v>455656</v>
      </c>
      <c r="Y72" s="901">
        <f>SUM(D72:W72)-X72</f>
        <v>0</v>
      </c>
      <c r="Z72" s="1227">
        <v>0</v>
      </c>
      <c r="AA72" s="1227">
        <v>0</v>
      </c>
      <c r="AB72" s="1227">
        <v>0</v>
      </c>
      <c r="AC72" s="1229"/>
      <c r="AD72" s="1227">
        <v>0</v>
      </c>
      <c r="AE72" s="1227"/>
      <c r="AF72" s="1227">
        <v>0</v>
      </c>
      <c r="AG72" s="1227"/>
      <c r="AH72" s="1227">
        <v>0</v>
      </c>
      <c r="AI72" s="1227"/>
      <c r="AJ72" s="1227">
        <v>0</v>
      </c>
      <c r="AK72" s="1227"/>
      <c r="AL72" s="1227">
        <v>0</v>
      </c>
      <c r="AM72" s="1229"/>
      <c r="AN72" s="1229">
        <f>ROUNDUP(SUM('All Funds Sch A 2014 Page (1)'!D57:K57)+SUM('All Funds Sch A 2014 Page (2)'!L57:X57),2)</f>
        <v>450000</v>
      </c>
      <c r="AO72" s="454"/>
      <c r="AP72" s="454"/>
      <c r="AQ72" s="454"/>
      <c r="AR72" s="454"/>
      <c r="AS72" s="454"/>
      <c r="AT72" s="454"/>
      <c r="AU72" s="454"/>
      <c r="AV72" s="454"/>
      <c r="AW72" s="454"/>
      <c r="AX72" s="454"/>
      <c r="AY72" s="454"/>
    </row>
    <row r="73" spans="1:51" s="417" customFormat="1" ht="18" customHeight="1">
      <c r="A73" s="417" t="s">
        <v>465</v>
      </c>
      <c r="C73" s="1305"/>
      <c r="D73" s="1218">
        <v>884000</v>
      </c>
      <c r="E73" s="1227">
        <v>0</v>
      </c>
      <c r="F73" s="1233">
        <v>12294506</v>
      </c>
      <c r="G73" s="1228">
        <v>0</v>
      </c>
      <c r="H73" s="1228">
        <v>0</v>
      </c>
      <c r="I73" s="1233">
        <v>0</v>
      </c>
      <c r="J73" s="1233">
        <v>0</v>
      </c>
      <c r="K73" s="1227">
        <v>0</v>
      </c>
      <c r="L73" s="1228">
        <v>0</v>
      </c>
      <c r="M73" s="1233">
        <v>1230500.01</v>
      </c>
      <c r="N73" s="1227">
        <v>0</v>
      </c>
      <c r="O73" s="1233">
        <v>1925000</v>
      </c>
      <c r="P73" s="1228">
        <v>0</v>
      </c>
      <c r="Q73" s="1227">
        <v>100000</v>
      </c>
      <c r="R73" s="1227">
        <v>5221203.6399999997</v>
      </c>
      <c r="S73" s="1227">
        <v>0</v>
      </c>
      <c r="T73" s="1233">
        <v>0</v>
      </c>
      <c r="U73" s="1227">
        <v>0</v>
      </c>
      <c r="V73" s="1227">
        <v>0</v>
      </c>
      <c r="W73" s="1227">
        <v>0</v>
      </c>
      <c r="X73" s="1229">
        <f t="shared" si="12"/>
        <v>21655209.649999999</v>
      </c>
      <c r="Y73" s="901">
        <f>SUM(D73:W73)-X73</f>
        <v>0</v>
      </c>
      <c r="Z73" s="1227">
        <v>0</v>
      </c>
      <c r="AA73" s="1227">
        <v>0</v>
      </c>
      <c r="AB73" s="1233">
        <v>0</v>
      </c>
      <c r="AC73" s="1229"/>
      <c r="AD73" s="1233">
        <v>0</v>
      </c>
      <c r="AE73" s="1227"/>
      <c r="AF73" s="1233">
        <f>ROUND('Water and Sewer'!L27+'Central Region'!L26-AF71,2)</f>
        <v>3563666.15</v>
      </c>
      <c r="AG73" s="1227"/>
      <c r="AH73" s="1233">
        <f>ROUND(Stormwater!L26-AH71,2)</f>
        <v>-189993.63</v>
      </c>
      <c r="AI73" s="1227"/>
      <c r="AJ73" s="1233">
        <v>0</v>
      </c>
      <c r="AK73" s="1227"/>
      <c r="AL73" s="1233">
        <f>ROUND(Airport!L26-AL71,2)</f>
        <v>470134.64</v>
      </c>
      <c r="AM73" s="1229"/>
      <c r="AN73" s="1229">
        <f>ROUND(SUM('All Funds Sch A 2014 Page (1)'!D59:K59)+SUM('All Funds Sch A 2014 Page (2)'!L59:X59),2)</f>
        <v>11867864</v>
      </c>
      <c r="AO73" s="454"/>
      <c r="AP73" s="454"/>
      <c r="AQ73" s="454"/>
      <c r="AR73" s="454"/>
      <c r="AS73" s="454"/>
      <c r="AT73" s="454"/>
      <c r="AU73" s="454"/>
      <c r="AV73" s="454"/>
      <c r="AW73" s="454"/>
      <c r="AX73" s="454"/>
      <c r="AY73" s="454"/>
    </row>
    <row r="74" spans="1:51" s="1305" customFormat="1" ht="18" customHeight="1">
      <c r="A74" s="1397" t="s">
        <v>20</v>
      </c>
      <c r="C74" s="1305" t="s">
        <v>58</v>
      </c>
      <c r="D74" s="1306">
        <v>28294123.829999998</v>
      </c>
      <c r="E74" s="1307">
        <v>335953947</v>
      </c>
      <c r="F74" s="1307">
        <v>14958107.85</v>
      </c>
      <c r="G74" s="1307">
        <f>SUM(G71:G73)</f>
        <v>35237.120000000003</v>
      </c>
      <c r="H74" s="1307">
        <f>SUM(H71:H73)</f>
        <v>100792.38</v>
      </c>
      <c r="I74" s="1307">
        <v>404903.6</v>
      </c>
      <c r="J74" s="1307">
        <v>467895.92</v>
      </c>
      <c r="K74" s="1307">
        <v>0</v>
      </c>
      <c r="L74" s="1307">
        <f>SUM(L71:L73)</f>
        <v>0</v>
      </c>
      <c r="M74" s="1307">
        <v>1346233.37</v>
      </c>
      <c r="N74" s="1307">
        <v>1162768.27</v>
      </c>
      <c r="O74" s="1307">
        <v>2114993.63</v>
      </c>
      <c r="P74" s="1307">
        <f>SUM(P71:P73)</f>
        <v>1395674.51</v>
      </c>
      <c r="Q74" s="1307">
        <v>100000</v>
      </c>
      <c r="R74" s="1307">
        <v>7845859.7899999991</v>
      </c>
      <c r="S74" s="1307">
        <v>12093.09</v>
      </c>
      <c r="T74" s="1307">
        <v>0</v>
      </c>
      <c r="U74" s="1307">
        <v>0</v>
      </c>
      <c r="V74" s="1307">
        <v>0</v>
      </c>
      <c r="W74" s="1307">
        <v>0</v>
      </c>
      <c r="X74" s="1308">
        <f>SUM(X71:X73)</f>
        <v>394192630.35999995</v>
      </c>
      <c r="Y74" s="1309">
        <f>SUM(D74:W74)-X74</f>
        <v>0</v>
      </c>
      <c r="Z74" s="1307" t="e">
        <f t="shared" ref="Z74" si="13">SUM(Z71:Z73)</f>
        <v>#REF!</v>
      </c>
      <c r="AA74" s="1307">
        <f>SUM(AA71:AA73)</f>
        <v>0</v>
      </c>
      <c r="AB74" s="1307">
        <f>SUM(AB71:AB73)</f>
        <v>0</v>
      </c>
      <c r="AC74" s="1457"/>
      <c r="AD74" s="1307">
        <f>SUM(AD71:AD73)</f>
        <v>534730</v>
      </c>
      <c r="AE74" s="1250">
        <f>SUM(AE38:AE73)</f>
        <v>0</v>
      </c>
      <c r="AF74" s="1307">
        <f>SUM(AF71:AF73)</f>
        <v>6227268</v>
      </c>
      <c r="AG74" s="1250">
        <f>SUM(AG38:AG73)</f>
        <v>0</v>
      </c>
      <c r="AH74" s="1307">
        <f>SUM(AH71:AH73)</f>
        <v>0</v>
      </c>
      <c r="AI74" s="1250">
        <f>SUM(AI38:AI73)</f>
        <v>0</v>
      </c>
      <c r="AJ74" s="1307">
        <f>SUM(AJ71:AJ73)</f>
        <v>0</v>
      </c>
      <c r="AK74" s="1250">
        <f>SUM(AK38:AK73)</f>
        <v>0</v>
      </c>
      <c r="AL74" s="1307">
        <f>SUM(AL71:AL73)</f>
        <v>585868</v>
      </c>
      <c r="AM74" s="1457">
        <f>SUM(AM38:AM73)</f>
        <v>0</v>
      </c>
      <c r="AN74" s="1308" t="e">
        <f>SUM(AN71:AN73)</f>
        <v>#REF!</v>
      </c>
      <c r="AO74" s="685"/>
      <c r="AP74" s="685"/>
      <c r="AQ74" s="685"/>
      <c r="AR74" s="685"/>
      <c r="AS74" s="685"/>
      <c r="AT74" s="685"/>
      <c r="AU74" s="685"/>
      <c r="AV74" s="685"/>
      <c r="AW74" s="685"/>
      <c r="AX74" s="685"/>
      <c r="AY74" s="685"/>
    </row>
    <row r="75" spans="1:51" s="417" customFormat="1" ht="18.75">
      <c r="C75" s="1305"/>
      <c r="D75" s="1209"/>
      <c r="E75" s="1227"/>
      <c r="F75" s="1227"/>
      <c r="G75" s="1227"/>
      <c r="H75" s="1227"/>
      <c r="I75" s="1227"/>
      <c r="J75" s="1227"/>
      <c r="K75" s="1227"/>
      <c r="L75" s="1227"/>
      <c r="M75" s="1227"/>
      <c r="N75" s="1227"/>
      <c r="O75" s="1227"/>
      <c r="P75" s="1227"/>
      <c r="Q75" s="1227"/>
      <c r="R75" s="1227"/>
      <c r="S75" s="1227"/>
      <c r="T75" s="1227"/>
      <c r="U75" s="1227"/>
      <c r="V75" s="1227"/>
      <c r="W75" s="1227"/>
      <c r="X75" s="1229"/>
      <c r="Z75" s="1227"/>
      <c r="AA75" s="1227"/>
      <c r="AB75" s="1227"/>
      <c r="AC75" s="1229"/>
      <c r="AD75" s="1227"/>
      <c r="AE75" s="1227"/>
      <c r="AF75" s="1227"/>
      <c r="AG75" s="1227"/>
      <c r="AH75" s="1227"/>
      <c r="AI75" s="1227"/>
      <c r="AJ75" s="1227"/>
      <c r="AK75" s="1227"/>
      <c r="AL75" s="1227"/>
      <c r="AM75" s="1229"/>
      <c r="AN75" s="1229"/>
      <c r="AO75" s="454"/>
      <c r="AP75" s="454"/>
      <c r="AQ75" s="454"/>
      <c r="AR75" s="454"/>
      <c r="AS75" s="454"/>
      <c r="AT75" s="454"/>
      <c r="AU75" s="454"/>
      <c r="AV75" s="454"/>
      <c r="AW75" s="454"/>
      <c r="AX75" s="454"/>
      <c r="AY75" s="454"/>
    </row>
    <row r="76" spans="1:51" s="417" customFormat="1" ht="18.75">
      <c r="A76" s="1397" t="s">
        <v>944</v>
      </c>
      <c r="C76" s="1305"/>
      <c r="D76" s="1396">
        <f>D68+D74</f>
        <v>266895892.90999997</v>
      </c>
      <c r="E76" s="1396">
        <f t="shared" ref="E76:X76" si="14">E68+E74</f>
        <v>383347105</v>
      </c>
      <c r="F76" s="1396">
        <f t="shared" si="14"/>
        <v>131674396.84999999</v>
      </c>
      <c r="G76" s="1396">
        <f t="shared" si="14"/>
        <v>18213699.150000002</v>
      </c>
      <c r="H76" s="1396">
        <f t="shared" si="14"/>
        <v>23445240</v>
      </c>
      <c r="I76" s="1396">
        <f t="shared" si="14"/>
        <v>14455773.029999999</v>
      </c>
      <c r="J76" s="1396">
        <f t="shared" si="14"/>
        <v>20604335.780000001</v>
      </c>
      <c r="K76" s="1396">
        <f t="shared" si="14"/>
        <v>889492</v>
      </c>
      <c r="L76" s="1396">
        <f t="shared" si="14"/>
        <v>19104500</v>
      </c>
      <c r="M76" s="1396">
        <f t="shared" si="14"/>
        <v>8506943.9800000004</v>
      </c>
      <c r="N76" s="1396">
        <f t="shared" si="14"/>
        <v>7515310.9700000007</v>
      </c>
      <c r="O76" s="1396">
        <f t="shared" si="14"/>
        <v>7301255.2599999998</v>
      </c>
      <c r="P76" s="1396">
        <f t="shared" si="14"/>
        <v>15226506.66</v>
      </c>
      <c r="Q76" s="1396">
        <f t="shared" si="14"/>
        <v>11732668</v>
      </c>
      <c r="R76" s="1396">
        <f t="shared" si="14"/>
        <v>11119812</v>
      </c>
      <c r="S76" s="1396">
        <f t="shared" si="14"/>
        <v>1753189.58</v>
      </c>
      <c r="T76" s="1396">
        <f t="shared" si="14"/>
        <v>1451345</v>
      </c>
      <c r="U76" s="1396">
        <f t="shared" si="14"/>
        <v>800000</v>
      </c>
      <c r="V76" s="1396">
        <f t="shared" si="14"/>
        <v>684031.91</v>
      </c>
      <c r="W76" s="1396">
        <f t="shared" si="14"/>
        <v>79500</v>
      </c>
      <c r="X76" s="1396">
        <f t="shared" si="14"/>
        <v>944800998.07999992</v>
      </c>
      <c r="Z76" s="1227"/>
      <c r="AA76" s="1227"/>
      <c r="AB76" s="1227"/>
      <c r="AC76" s="1229"/>
      <c r="AD76" s="1227"/>
      <c r="AE76" s="1227"/>
      <c r="AF76" s="1227"/>
      <c r="AG76" s="1227"/>
      <c r="AH76" s="1227"/>
      <c r="AI76" s="1227"/>
      <c r="AJ76" s="1227"/>
      <c r="AK76" s="1227"/>
      <c r="AL76" s="1227"/>
      <c r="AM76" s="1229"/>
      <c r="AN76" s="1229"/>
      <c r="AO76" s="454"/>
      <c r="AP76" s="454"/>
      <c r="AQ76" s="454"/>
      <c r="AR76" s="454"/>
      <c r="AS76" s="454"/>
      <c r="AT76" s="454"/>
      <c r="AU76" s="454"/>
      <c r="AV76" s="454"/>
      <c r="AW76" s="454"/>
      <c r="AX76" s="454"/>
      <c r="AY76" s="454"/>
    </row>
    <row r="77" spans="1:51" s="417" customFormat="1" ht="18.75">
      <c r="A77" s="1397"/>
      <c r="C77" s="1305"/>
      <c r="D77" s="1458"/>
      <c r="E77" s="1458"/>
      <c r="F77" s="1458"/>
      <c r="G77" s="1458"/>
      <c r="H77" s="1458"/>
      <c r="I77" s="1458"/>
      <c r="J77" s="1458"/>
      <c r="K77" s="1458"/>
      <c r="L77" s="1458"/>
      <c r="M77" s="1458"/>
      <c r="N77" s="1458"/>
      <c r="O77" s="1458"/>
      <c r="P77" s="1458"/>
      <c r="Q77" s="1458"/>
      <c r="R77" s="1458"/>
      <c r="S77" s="1458"/>
      <c r="T77" s="1458"/>
      <c r="U77" s="1458"/>
      <c r="V77" s="1458"/>
      <c r="W77" s="1458"/>
      <c r="X77" s="1458"/>
      <c r="Z77" s="1227"/>
      <c r="AA77" s="1227"/>
      <c r="AB77" s="1227"/>
      <c r="AC77" s="1229"/>
      <c r="AD77" s="1227"/>
      <c r="AE77" s="1227"/>
      <c r="AF77" s="1227"/>
      <c r="AG77" s="1227"/>
      <c r="AH77" s="1227"/>
      <c r="AI77" s="1227"/>
      <c r="AJ77" s="1227"/>
      <c r="AK77" s="1227"/>
      <c r="AL77" s="1227"/>
      <c r="AM77" s="1229"/>
      <c r="AN77" s="1229"/>
      <c r="AO77" s="454"/>
      <c r="AP77" s="454"/>
      <c r="AQ77" s="454"/>
      <c r="AR77" s="454"/>
      <c r="AS77" s="454"/>
      <c r="AT77" s="454"/>
      <c r="AU77" s="454"/>
      <c r="AV77" s="454"/>
      <c r="AW77" s="454"/>
      <c r="AX77" s="454"/>
      <c r="AY77" s="454"/>
    </row>
    <row r="78" spans="1:51" s="417" customFormat="1" ht="17.25" customHeight="1">
      <c r="A78" s="1305" t="s">
        <v>466</v>
      </c>
      <c r="C78" s="1305"/>
      <c r="D78" s="1209"/>
      <c r="E78" s="1227"/>
      <c r="F78" s="1227"/>
      <c r="G78" s="1227"/>
      <c r="H78" s="1227"/>
      <c r="I78" s="1227"/>
      <c r="J78" s="1227"/>
      <c r="K78" s="1227"/>
      <c r="L78" s="1227"/>
      <c r="M78" s="1227"/>
      <c r="N78" s="1227"/>
      <c r="O78" s="1227"/>
      <c r="P78" s="1227"/>
      <c r="Q78" s="1227"/>
      <c r="R78" s="1227"/>
      <c r="S78" s="1227"/>
      <c r="T78" s="1227"/>
      <c r="U78" s="1227"/>
      <c r="V78" s="1227"/>
      <c r="W78" s="1227"/>
      <c r="X78" s="1229"/>
      <c r="Z78" s="1227"/>
      <c r="AA78" s="1227"/>
      <c r="AB78" s="1227"/>
      <c r="AC78" s="1229"/>
      <c r="AD78" s="1227"/>
      <c r="AE78" s="1227"/>
      <c r="AF78" s="1227"/>
      <c r="AG78" s="1227"/>
      <c r="AH78" s="1227"/>
      <c r="AI78" s="1227"/>
      <c r="AJ78" s="1227"/>
      <c r="AK78" s="1227"/>
      <c r="AL78" s="1227"/>
      <c r="AM78" s="1229"/>
      <c r="AN78" s="1229"/>
      <c r="AO78" s="454"/>
      <c r="AP78" s="454"/>
      <c r="AQ78" s="454"/>
      <c r="AR78" s="454"/>
      <c r="AS78" s="454"/>
      <c r="AT78" s="454"/>
      <c r="AU78" s="454"/>
      <c r="AV78" s="454"/>
      <c r="AW78" s="454"/>
      <c r="AX78" s="454"/>
      <c r="AY78" s="454"/>
    </row>
    <row r="79" spans="1:51" s="417" customFormat="1" ht="18" customHeight="1">
      <c r="A79" s="417" t="s">
        <v>36</v>
      </c>
      <c r="C79" s="1305"/>
      <c r="D79" s="1227">
        <v>46328274.810000002</v>
      </c>
      <c r="E79" s="1227">
        <v>0</v>
      </c>
      <c r="F79" s="1227">
        <v>35409491.740000002</v>
      </c>
      <c r="G79" s="1227">
        <v>1445137.29</v>
      </c>
      <c r="H79" s="1227">
        <v>1158468.47</v>
      </c>
      <c r="I79" s="1227">
        <v>6803671.5599999996</v>
      </c>
      <c r="J79" s="1227">
        <v>0</v>
      </c>
      <c r="K79" s="1227">
        <v>0</v>
      </c>
      <c r="L79" s="1227">
        <v>1087015</v>
      </c>
      <c r="M79" s="1228">
        <v>10867511.029999999</v>
      </c>
      <c r="N79" s="1227">
        <v>0</v>
      </c>
      <c r="O79" s="1227">
        <v>10524660.08</v>
      </c>
      <c r="P79" s="1227">
        <v>1453049.23</v>
      </c>
      <c r="Q79" s="1227">
        <v>0</v>
      </c>
      <c r="R79" s="1227">
        <v>0</v>
      </c>
      <c r="S79" s="1227">
        <v>960743.42</v>
      </c>
      <c r="T79" s="1227">
        <v>0</v>
      </c>
      <c r="U79" s="1227">
        <v>0</v>
      </c>
      <c r="V79" s="1227">
        <v>22094.09</v>
      </c>
      <c r="W79" s="1227">
        <v>71673</v>
      </c>
      <c r="X79" s="1229">
        <f t="shared" ref="X79:X82" si="15">SUM(D79:W79)</f>
        <v>116131789.72000003</v>
      </c>
      <c r="Y79" s="901">
        <f>SUM(D79:W79)-X79</f>
        <v>0</v>
      </c>
      <c r="Z79" s="1227">
        <v>0</v>
      </c>
      <c r="AA79" s="1227">
        <v>0</v>
      </c>
      <c r="AB79" s="1227">
        <v>0</v>
      </c>
      <c r="AC79" s="1229"/>
      <c r="AD79" s="1227">
        <f>ROUND(Sanitation!L31,2)</f>
        <v>0</v>
      </c>
      <c r="AE79" s="1227"/>
      <c r="AF79" s="1227">
        <f>ROUND('Water and Sewer'!L33+'Central Region'!L32,2)</f>
        <v>0</v>
      </c>
      <c r="AG79" s="1227"/>
      <c r="AH79" s="1227">
        <f>ROUND(Stormwater!L32,2)</f>
        <v>13107307</v>
      </c>
      <c r="AI79" s="1227"/>
      <c r="AJ79" s="1227">
        <f>ROUND('Parking System'!L33,2)</f>
        <v>3533101.86</v>
      </c>
      <c r="AK79" s="1227"/>
      <c r="AL79" s="1228">
        <f>ROUND(Airport!L31,2)</f>
        <v>13024398</v>
      </c>
      <c r="AM79" s="1229"/>
      <c r="AN79" s="1229" t="e">
        <f>ROUNDUP(SUM('All Funds Sch A 2014 Page (1)'!D63:K63)+SUM('All Funds Sch A 2014 Page (2)'!L63:X63),0)</f>
        <v>#REF!</v>
      </c>
      <c r="AO79" s="454"/>
      <c r="AP79" s="454"/>
      <c r="AQ79" s="454"/>
      <c r="AR79" s="454"/>
      <c r="AS79" s="454"/>
      <c r="AT79" s="454"/>
      <c r="AU79" s="454"/>
      <c r="AV79" s="454"/>
      <c r="AW79" s="454"/>
      <c r="AX79" s="454"/>
      <c r="AY79" s="454"/>
    </row>
    <row r="80" spans="1:51" s="417" customFormat="1" ht="18" customHeight="1">
      <c r="A80" s="417" t="s">
        <v>782</v>
      </c>
      <c r="C80" s="1305"/>
      <c r="D80" s="1227">
        <v>16144538</v>
      </c>
      <c r="E80" s="1227">
        <v>0</v>
      </c>
      <c r="F80" s="1227">
        <v>0</v>
      </c>
      <c r="G80" s="1227">
        <v>0</v>
      </c>
      <c r="H80" s="1227">
        <v>0</v>
      </c>
      <c r="I80" s="1227">
        <v>0</v>
      </c>
      <c r="J80" s="1227">
        <v>0</v>
      </c>
      <c r="K80" s="1227">
        <v>0</v>
      </c>
      <c r="L80" s="1227">
        <v>0</v>
      </c>
      <c r="M80" s="1227">
        <v>0</v>
      </c>
      <c r="N80" s="1227">
        <v>0</v>
      </c>
      <c r="O80" s="1227">
        <v>0</v>
      </c>
      <c r="P80" s="1227">
        <v>0</v>
      </c>
      <c r="Q80" s="1227">
        <v>0</v>
      </c>
      <c r="R80" s="1227">
        <v>0</v>
      </c>
      <c r="S80" s="1227">
        <v>0</v>
      </c>
      <c r="T80" s="1227">
        <v>0</v>
      </c>
      <c r="U80" s="1227">
        <v>0</v>
      </c>
      <c r="V80" s="1227">
        <v>0</v>
      </c>
      <c r="W80" s="1227">
        <v>0</v>
      </c>
      <c r="X80" s="1229">
        <f t="shared" si="15"/>
        <v>16144538</v>
      </c>
      <c r="Y80" s="901">
        <f>SUM(D80:W80)-X80</f>
        <v>0</v>
      </c>
      <c r="Z80" s="1227">
        <v>0</v>
      </c>
      <c r="AA80" s="1227">
        <v>0</v>
      </c>
      <c r="AB80" s="1227">
        <f>0</f>
        <v>0</v>
      </c>
      <c r="AC80" s="1227">
        <f>0</f>
        <v>0</v>
      </c>
      <c r="AD80" s="1227">
        <f>0</f>
        <v>0</v>
      </c>
      <c r="AE80" s="1227">
        <f>0</f>
        <v>0</v>
      </c>
      <c r="AF80" s="1227">
        <f>0</f>
        <v>0</v>
      </c>
      <c r="AG80" s="1227">
        <f>0</f>
        <v>0</v>
      </c>
      <c r="AH80" s="1227">
        <f>0</f>
        <v>0</v>
      </c>
      <c r="AI80" s="1227">
        <f>0</f>
        <v>0</v>
      </c>
      <c r="AJ80" s="1227">
        <f>0</f>
        <v>0</v>
      </c>
      <c r="AK80" s="1227">
        <f>0</f>
        <v>0</v>
      </c>
      <c r="AL80" s="1227">
        <f>0</f>
        <v>0</v>
      </c>
      <c r="AM80" s="1227">
        <f>0</f>
        <v>0</v>
      </c>
      <c r="AN80" s="1229">
        <f>SUM(D80:AL80)</f>
        <v>32289076</v>
      </c>
      <c r="AO80" s="454"/>
      <c r="AP80" s="454"/>
      <c r="AQ80" s="454"/>
      <c r="AR80" s="454"/>
      <c r="AS80" s="454"/>
      <c r="AT80" s="454"/>
      <c r="AU80" s="454"/>
      <c r="AV80" s="454"/>
      <c r="AW80" s="454"/>
      <c r="AX80" s="454"/>
      <c r="AY80" s="454"/>
    </row>
    <row r="81" spans="1:51" s="417" customFormat="1" ht="18" customHeight="1">
      <c r="A81" s="417" t="s">
        <v>690</v>
      </c>
      <c r="C81" s="1305"/>
      <c r="D81" s="1227">
        <v>4000000</v>
      </c>
      <c r="E81" s="1227">
        <v>0</v>
      </c>
      <c r="F81" s="1227">
        <v>0</v>
      </c>
      <c r="G81" s="1227">
        <v>0</v>
      </c>
      <c r="H81" s="1227">
        <v>0</v>
      </c>
      <c r="I81" s="1227">
        <v>0</v>
      </c>
      <c r="J81" s="1227">
        <v>0</v>
      </c>
      <c r="K81" s="1227">
        <v>0</v>
      </c>
      <c r="L81" s="1227">
        <v>0</v>
      </c>
      <c r="M81" s="1227">
        <v>0</v>
      </c>
      <c r="N81" s="1227">
        <v>0</v>
      </c>
      <c r="O81" s="1227">
        <v>0</v>
      </c>
      <c r="P81" s="1227">
        <v>0</v>
      </c>
      <c r="Q81" s="1227">
        <v>0</v>
      </c>
      <c r="R81" s="1227">
        <v>0</v>
      </c>
      <c r="S81" s="1227">
        <v>0</v>
      </c>
      <c r="T81" s="1227">
        <v>0</v>
      </c>
      <c r="U81" s="1227">
        <v>0</v>
      </c>
      <c r="V81" s="1227">
        <v>0</v>
      </c>
      <c r="W81" s="1227">
        <v>0</v>
      </c>
      <c r="X81" s="1229">
        <f t="shared" si="15"/>
        <v>4000000</v>
      </c>
      <c r="Y81" s="901">
        <f>SUM(D81:W81)-X81</f>
        <v>0</v>
      </c>
      <c r="Z81" s="1227">
        <v>0</v>
      </c>
      <c r="AA81" s="1227">
        <v>0</v>
      </c>
      <c r="AB81" s="1227">
        <v>0</v>
      </c>
      <c r="AC81" s="1227"/>
      <c r="AD81" s="1227">
        <v>0</v>
      </c>
      <c r="AE81" s="1227"/>
      <c r="AF81" s="1227">
        <v>0</v>
      </c>
      <c r="AG81" s="1227"/>
      <c r="AH81" s="1227">
        <v>0</v>
      </c>
      <c r="AI81" s="1227"/>
      <c r="AJ81" s="1227">
        <v>0</v>
      </c>
      <c r="AK81" s="1227"/>
      <c r="AL81" s="1227">
        <v>0</v>
      </c>
      <c r="AM81" s="1227"/>
      <c r="AN81" s="1229">
        <f>SUM(D81:AL81)</f>
        <v>8000000</v>
      </c>
      <c r="AO81" s="454"/>
      <c r="AP81" s="454"/>
      <c r="AQ81" s="454"/>
      <c r="AR81" s="454"/>
      <c r="AS81" s="454"/>
      <c r="AT81" s="454"/>
      <c r="AU81" s="454"/>
      <c r="AV81" s="454"/>
      <c r="AW81" s="454"/>
      <c r="AX81" s="454"/>
      <c r="AY81" s="454"/>
    </row>
    <row r="82" spans="1:51" s="417" customFormat="1" ht="18" customHeight="1">
      <c r="A82" s="417" t="s">
        <v>29</v>
      </c>
      <c r="C82" s="1305"/>
      <c r="D82" s="1233">
        <v>0</v>
      </c>
      <c r="E82" s="1233">
        <v>2534619.62</v>
      </c>
      <c r="F82" s="1233">
        <v>38090553</v>
      </c>
      <c r="G82" s="1227">
        <v>12550919</v>
      </c>
      <c r="H82" s="1227">
        <v>0</v>
      </c>
      <c r="I82" s="1227">
        <v>3193217</v>
      </c>
      <c r="J82" s="1227">
        <v>1986883.06</v>
      </c>
      <c r="K82" s="1227">
        <v>20628133</v>
      </c>
      <c r="L82" s="1227">
        <v>0</v>
      </c>
      <c r="M82" s="1233">
        <v>0</v>
      </c>
      <c r="N82" s="1227">
        <v>11595894.02</v>
      </c>
      <c r="O82" s="1233">
        <v>0</v>
      </c>
      <c r="P82" s="1233">
        <v>0</v>
      </c>
      <c r="Q82" s="1227">
        <v>0</v>
      </c>
      <c r="R82" s="1233">
        <v>0</v>
      </c>
      <c r="S82" s="1227">
        <v>0</v>
      </c>
      <c r="T82" s="1233">
        <v>0</v>
      </c>
      <c r="U82" s="1227">
        <v>0</v>
      </c>
      <c r="V82" s="1227">
        <v>0</v>
      </c>
      <c r="W82" s="1227">
        <v>0</v>
      </c>
      <c r="X82" s="1229">
        <f t="shared" si="15"/>
        <v>90580218.700000003</v>
      </c>
      <c r="Y82" s="901">
        <f>SUM(D82:W82)-X82</f>
        <v>0</v>
      </c>
      <c r="Z82" s="1233" t="e">
        <f>ROUND(#REF!+#REF!+#REF!+#REF!,2)</f>
        <v>#REF!</v>
      </c>
      <c r="AA82" s="1227">
        <f>ROUND(Cemtery!L25,2)</f>
        <v>24879487.120000001</v>
      </c>
      <c r="AB82" s="1233">
        <v>0</v>
      </c>
      <c r="AC82" s="1229"/>
      <c r="AD82" s="1227">
        <f>ROUND(Sanitation!L30,2)</f>
        <v>2310762.31</v>
      </c>
      <c r="AE82" s="1227"/>
      <c r="AF82" s="1233">
        <f>ROUND('Water and Sewer'!L32+'Central Region'!L31,2)</f>
        <v>47374438.149999999</v>
      </c>
      <c r="AG82" s="1227"/>
      <c r="AH82" s="1233">
        <v>0</v>
      </c>
      <c r="AI82" s="1227"/>
      <c r="AJ82" s="1227">
        <f>ROUND('Parking System'!L32,2)</f>
        <v>3778896.08</v>
      </c>
      <c r="AK82" s="1227"/>
      <c r="AL82" s="1233">
        <v>0</v>
      </c>
      <c r="AM82" s="1229"/>
      <c r="AN82" s="1229" t="e">
        <f>ROUNDUP(SUM('All Funds Sch A 2014 Page (1)'!D66:K66)+SUM('All Funds Sch A 2014 Page (2)'!L66:X66),2)</f>
        <v>#REF!</v>
      </c>
      <c r="AO82" s="454"/>
      <c r="AP82" s="454"/>
      <c r="AQ82" s="454"/>
      <c r="AR82" s="454"/>
      <c r="AS82" s="454"/>
      <c r="AT82" s="454"/>
      <c r="AU82" s="454"/>
      <c r="AV82" s="454"/>
      <c r="AW82" s="454"/>
      <c r="AX82" s="454"/>
      <c r="AY82" s="454"/>
    </row>
    <row r="83" spans="1:51" s="1305" customFormat="1" ht="18" customHeight="1">
      <c r="A83" s="1305" t="s">
        <v>468</v>
      </c>
      <c r="C83" s="1305" t="s">
        <v>58</v>
      </c>
      <c r="D83" s="1306">
        <v>66472812.810000002</v>
      </c>
      <c r="E83" s="1307">
        <v>2534619.62</v>
      </c>
      <c r="F83" s="1307">
        <v>73500044.74000001</v>
      </c>
      <c r="G83" s="1307">
        <f>SUM(G79:G82)</f>
        <v>13996056.289999999</v>
      </c>
      <c r="H83" s="1307">
        <f>SUM(H79:H82)</f>
        <v>1158468.47</v>
      </c>
      <c r="I83" s="1307">
        <v>9996888.5599999987</v>
      </c>
      <c r="J83" s="1307">
        <v>1986883.06</v>
      </c>
      <c r="K83" s="1307">
        <v>20628133</v>
      </c>
      <c r="L83" s="1307">
        <f>SUM(L79:L82)</f>
        <v>1087015</v>
      </c>
      <c r="M83" s="1307">
        <v>10867511.029999999</v>
      </c>
      <c r="N83" s="1307">
        <v>11595894.02</v>
      </c>
      <c r="O83" s="1307">
        <v>10524660.08</v>
      </c>
      <c r="P83" s="1307">
        <f>SUM(P79:P82)</f>
        <v>1453049.23</v>
      </c>
      <c r="Q83" s="1307">
        <v>0</v>
      </c>
      <c r="R83" s="1307">
        <v>0</v>
      </c>
      <c r="S83" s="1307">
        <v>960743.42</v>
      </c>
      <c r="T83" s="1307">
        <v>0</v>
      </c>
      <c r="U83" s="1307">
        <v>0</v>
      </c>
      <c r="V83" s="1307">
        <v>22094.09</v>
      </c>
      <c r="W83" s="1307">
        <v>71673</v>
      </c>
      <c r="X83" s="1308">
        <f>SUM(X79:X82)</f>
        <v>226856546.42000002</v>
      </c>
      <c r="Y83" s="1309">
        <f>SUM(D83:W83)-X83</f>
        <v>0</v>
      </c>
      <c r="Z83" s="1307" t="e">
        <f t="shared" ref="Z83" si="16">SUM(Z79:Z82)</f>
        <v>#REF!</v>
      </c>
      <c r="AA83" s="1307">
        <f>SUM(AA79:AA82)</f>
        <v>24879487.120000001</v>
      </c>
      <c r="AB83" s="1307">
        <f>SUM(AB79:AB82)</f>
        <v>0</v>
      </c>
      <c r="AC83" s="1457"/>
      <c r="AD83" s="1307">
        <f>SUM(AD79:AD82)</f>
        <v>2310762.31</v>
      </c>
      <c r="AE83" s="1250"/>
      <c r="AF83" s="1307">
        <f>SUM(AF79:AF82)</f>
        <v>47374438.149999999</v>
      </c>
      <c r="AG83" s="1250"/>
      <c r="AH83" s="1307">
        <f>SUM(AH79:AH82)</f>
        <v>13107307</v>
      </c>
      <c r="AI83" s="1250"/>
      <c r="AJ83" s="1307">
        <f>SUM(AJ79:AJ82)</f>
        <v>7311997.9399999995</v>
      </c>
      <c r="AK83" s="1250"/>
      <c r="AL83" s="1307">
        <f>SUM(AL79:AL82)</f>
        <v>13024398</v>
      </c>
      <c r="AM83" s="1457"/>
      <c r="AN83" s="1308" t="e">
        <f>SUM(AN79:AN82)</f>
        <v>#REF!</v>
      </c>
      <c r="AO83" s="685"/>
      <c r="AP83" s="685"/>
      <c r="AQ83" s="685"/>
      <c r="AR83" s="685"/>
      <c r="AS83" s="685"/>
      <c r="AT83" s="685"/>
      <c r="AU83" s="685"/>
      <c r="AV83" s="685"/>
      <c r="AW83" s="685"/>
      <c r="AX83" s="685"/>
      <c r="AY83" s="685"/>
    </row>
    <row r="84" spans="1:51" s="417" customFormat="1" ht="8.25" customHeight="1">
      <c r="C84" s="1305"/>
      <c r="D84" s="1216"/>
      <c r="E84" s="1229"/>
      <c r="F84" s="1229"/>
      <c r="G84" s="1229"/>
      <c r="H84" s="1229"/>
      <c r="I84" s="1229"/>
      <c r="J84" s="1229"/>
      <c r="K84" s="1229"/>
      <c r="L84" s="1229"/>
      <c r="M84" s="1229"/>
      <c r="N84" s="1229"/>
      <c r="O84" s="1229"/>
      <c r="P84" s="1229"/>
      <c r="Q84" s="1214"/>
      <c r="R84" s="1214"/>
      <c r="S84" s="1229"/>
      <c r="T84" s="1229"/>
      <c r="U84" s="1229"/>
      <c r="V84" s="1214"/>
      <c r="W84" s="1214"/>
      <c r="X84" s="1232"/>
      <c r="Z84" s="1229"/>
      <c r="AA84" s="1229"/>
      <c r="AB84" s="1229"/>
      <c r="AC84" s="1229"/>
      <c r="AD84" s="1229"/>
      <c r="AE84" s="1229"/>
      <c r="AF84" s="1229"/>
      <c r="AG84" s="1229"/>
      <c r="AH84" s="1229"/>
      <c r="AI84" s="1229"/>
      <c r="AJ84" s="1229"/>
      <c r="AK84" s="1229"/>
      <c r="AL84" s="1229"/>
      <c r="AM84" s="1229"/>
      <c r="AN84" s="1232"/>
      <c r="AO84" s="454"/>
      <c r="AP84" s="454"/>
      <c r="AQ84" s="454"/>
      <c r="AR84" s="454"/>
      <c r="AS84" s="454"/>
      <c r="AT84" s="454"/>
      <c r="AU84" s="454"/>
      <c r="AV84" s="454"/>
      <c r="AW84" s="454"/>
      <c r="AX84" s="454"/>
      <c r="AY84" s="454"/>
    </row>
    <row r="85" spans="1:51" s="685" customFormat="1" ht="30" customHeight="1" thickBot="1">
      <c r="A85" s="713" t="s">
        <v>942</v>
      </c>
      <c r="B85" s="713"/>
      <c r="C85" s="685" t="s">
        <v>424</v>
      </c>
      <c r="D85" s="832">
        <v>333368705.71999997</v>
      </c>
      <c r="E85" s="832">
        <v>385881724.62</v>
      </c>
      <c r="F85" s="832">
        <v>205174441.59</v>
      </c>
      <c r="G85" s="832">
        <f>G68+G74+G83</f>
        <v>32209755.440000001</v>
      </c>
      <c r="H85" s="832">
        <f>H68+H74+H83</f>
        <v>24603708.469999999</v>
      </c>
      <c r="I85" s="832">
        <v>24452661.589999996</v>
      </c>
      <c r="J85" s="832">
        <v>22591218.84</v>
      </c>
      <c r="K85" s="832">
        <v>21517625</v>
      </c>
      <c r="L85" s="832">
        <f>L68+L74+L83</f>
        <v>20191515</v>
      </c>
      <c r="M85" s="832">
        <v>19374455.009999998</v>
      </c>
      <c r="N85" s="832">
        <v>19111204.990000002</v>
      </c>
      <c r="O85" s="832">
        <v>17825915.34</v>
      </c>
      <c r="P85" s="832">
        <f>P68+P74+P83</f>
        <v>16679555.890000001</v>
      </c>
      <c r="Q85" s="832">
        <v>11732668</v>
      </c>
      <c r="R85" s="832">
        <v>11119812</v>
      </c>
      <c r="S85" s="832">
        <v>2713933</v>
      </c>
      <c r="T85" s="832">
        <v>1451345</v>
      </c>
      <c r="U85" s="832">
        <v>800000</v>
      </c>
      <c r="V85" s="832">
        <v>706126</v>
      </c>
      <c r="W85" s="832">
        <v>151173</v>
      </c>
      <c r="X85" s="832">
        <f>X68+X74+X83</f>
        <v>1171657544.5</v>
      </c>
      <c r="Y85" s="685">
        <f>SUM(D85:W85)-X85</f>
        <v>0</v>
      </c>
      <c r="Z85" s="685" t="e">
        <f t="shared" ref="Z85" si="17">Z68+Z74+Z83</f>
        <v>#REF!</v>
      </c>
      <c r="AA85" s="685">
        <f>AA68+AA74+AA83</f>
        <v>26129746.120000001</v>
      </c>
      <c r="AB85" s="685">
        <f>AB68+AB74+AB83</f>
        <v>1160554.8400000001</v>
      </c>
      <c r="AD85" s="685" t="e">
        <f>AD68+AD74+AD83</f>
        <v>#REF!</v>
      </c>
      <c r="AE85" s="685">
        <f>AE73+AE79</f>
        <v>0</v>
      </c>
      <c r="AF85" s="685">
        <f>AF68+AF74+AF83</f>
        <v>185359849</v>
      </c>
      <c r="AG85" s="685">
        <f>AG73+AG79</f>
        <v>0</v>
      </c>
      <c r="AH85" s="685">
        <f>AH68+AH74+AH83</f>
        <v>19137193.16</v>
      </c>
      <c r="AI85" s="685">
        <f>AI73+AI79</f>
        <v>0</v>
      </c>
      <c r="AJ85" s="685">
        <f>AJ68+AJ74+AJ83</f>
        <v>29062115.659999996</v>
      </c>
      <c r="AK85" s="685">
        <f>AK73+AK79</f>
        <v>0</v>
      </c>
      <c r="AL85" s="685">
        <f>AL68+AL74+AL83</f>
        <v>21576376.600000001</v>
      </c>
      <c r="AM85" s="685">
        <f>AM74+AM82</f>
        <v>0</v>
      </c>
      <c r="AN85" s="685" t="e">
        <f>ROUNDUP(AN68+AN74+AN83,0)</f>
        <v>#REF!</v>
      </c>
    </row>
    <row r="86" spans="1:51" s="417" customFormat="1" ht="21.95" customHeight="1" thickTop="1">
      <c r="A86" s="476"/>
      <c r="B86" s="449"/>
      <c r="C86" s="1305"/>
      <c r="D86" s="1232"/>
      <c r="E86" s="483"/>
      <c r="F86" s="705"/>
      <c r="G86" s="705"/>
      <c r="H86" s="705"/>
      <c r="I86" s="705"/>
      <c r="J86" s="705"/>
      <c r="K86" s="705" t="s">
        <v>58</v>
      </c>
      <c r="L86" s="705"/>
      <c r="M86" s="705"/>
      <c r="N86" s="1232"/>
      <c r="O86" s="705"/>
      <c r="P86" s="705"/>
      <c r="Q86" s="918"/>
      <c r="R86" s="918"/>
      <c r="S86" s="1232"/>
      <c r="T86" s="705"/>
      <c r="U86" s="1232"/>
      <c r="V86" s="918"/>
      <c r="W86" s="1232"/>
      <c r="X86" s="705"/>
      <c r="Z86" s="483"/>
      <c r="AA86" s="705" t="s">
        <v>58</v>
      </c>
      <c r="AB86" s="705"/>
      <c r="AC86" s="705"/>
      <c r="AD86" s="705"/>
      <c r="AE86" s="705"/>
      <c r="AF86" s="705"/>
      <c r="AG86" s="705"/>
      <c r="AH86" s="705"/>
      <c r="AI86" s="705"/>
      <c r="AJ86" s="705"/>
      <c r="AK86" s="705"/>
      <c r="AL86" s="705"/>
      <c r="AM86" s="705"/>
      <c r="AN86" s="705"/>
      <c r="AO86" s="454"/>
      <c r="AP86" s="454"/>
      <c r="AQ86" s="454"/>
      <c r="AR86" s="454"/>
      <c r="AS86" s="454"/>
      <c r="AT86" s="454"/>
      <c r="AU86" s="454"/>
      <c r="AV86" s="454"/>
      <c r="AW86" s="454"/>
      <c r="AX86" s="454"/>
      <c r="AY86" s="454"/>
    </row>
    <row r="87" spans="1:51" ht="21" customHeight="1">
      <c r="A87" s="356"/>
      <c r="B87" s="356"/>
      <c r="C87" s="1049"/>
      <c r="D87" s="380" t="s">
        <v>58</v>
      </c>
      <c r="E87" s="375"/>
      <c r="F87" s="1226"/>
      <c r="G87" s="1226"/>
      <c r="H87" s="1226"/>
      <c r="I87" s="1226"/>
      <c r="J87" s="1226"/>
      <c r="K87" s="1226"/>
      <c r="L87" s="1226"/>
      <c r="M87" s="1226"/>
      <c r="N87" s="375"/>
      <c r="O87" s="1226"/>
      <c r="P87" s="1226"/>
      <c r="Q87" s="937"/>
      <c r="R87" s="937"/>
      <c r="S87" s="375"/>
      <c r="T87" s="1226"/>
      <c r="U87" s="375"/>
      <c r="V87" s="937"/>
      <c r="W87" s="970"/>
      <c r="X87" s="1226"/>
      <c r="Z87" s="375"/>
      <c r="AA87" s="1226"/>
      <c r="AB87" s="1226"/>
      <c r="AC87" s="1226"/>
      <c r="AD87" s="1226"/>
      <c r="AE87" s="1226"/>
      <c r="AF87" s="1226"/>
      <c r="AG87" s="1226"/>
      <c r="AH87" s="1226"/>
      <c r="AI87" s="1226"/>
      <c r="AJ87" s="1226"/>
      <c r="AK87" s="1226"/>
      <c r="AL87" s="1226"/>
      <c r="AM87" s="1226"/>
      <c r="AN87" s="1226"/>
    </row>
    <row r="88" spans="1:51" ht="15.75">
      <c r="E88" s="375"/>
      <c r="F88" s="1226"/>
      <c r="G88" s="1226"/>
      <c r="H88" s="1226"/>
      <c r="I88" s="1226"/>
      <c r="J88" s="1226"/>
      <c r="K88" s="1226"/>
      <c r="L88" s="1226"/>
      <c r="M88" s="1226"/>
      <c r="N88" s="1226"/>
      <c r="O88" s="1226"/>
      <c r="P88" s="1226"/>
      <c r="Q88" s="912"/>
      <c r="S88" s="1226"/>
      <c r="T88" s="1226"/>
      <c r="U88" s="1226"/>
      <c r="W88" s="376"/>
      <c r="X88" s="1226"/>
      <c r="Z88" s="1226"/>
      <c r="AA88" s="1226"/>
      <c r="AB88" s="1226"/>
      <c r="AC88" s="1226"/>
      <c r="AD88" s="1226"/>
      <c r="AE88" s="1226"/>
      <c r="AF88" s="1226"/>
      <c r="AG88" s="1226"/>
      <c r="AH88" s="1226"/>
      <c r="AI88" s="1226"/>
      <c r="AJ88" s="1226"/>
      <c r="AK88" s="1226"/>
      <c r="AL88" s="1226"/>
      <c r="AM88" s="1226"/>
      <c r="AN88" s="1226"/>
    </row>
    <row r="89" spans="1:51">
      <c r="D89" s="567" t="s">
        <v>58</v>
      </c>
      <c r="E89" s="1226"/>
      <c r="F89" s="1226"/>
      <c r="G89" s="1226"/>
      <c r="H89" s="1226"/>
      <c r="I89" s="1226"/>
      <c r="J89" s="1226"/>
      <c r="K89" s="1226"/>
      <c r="L89" s="1226"/>
      <c r="M89" s="1226"/>
      <c r="N89" s="1226"/>
      <c r="O89" s="1226"/>
      <c r="P89" s="1226"/>
      <c r="Q89" s="912"/>
      <c r="R89" s="912" t="s">
        <v>58</v>
      </c>
      <c r="S89" s="1226"/>
      <c r="T89" s="1226"/>
      <c r="U89" s="1226"/>
      <c r="W89" s="376"/>
      <c r="X89" s="1226"/>
      <c r="Z89" s="1226"/>
      <c r="AA89" s="1226"/>
      <c r="AB89" s="1226"/>
      <c r="AC89" s="1226"/>
      <c r="AD89" s="1226"/>
      <c r="AE89" s="1226"/>
      <c r="AF89" s="1226"/>
      <c r="AG89" s="1226"/>
      <c r="AH89" s="1226"/>
      <c r="AI89" s="1226"/>
      <c r="AJ89" s="1226"/>
      <c r="AK89" s="1226"/>
      <c r="AL89" s="1226"/>
      <c r="AM89" s="1226"/>
      <c r="AN89" s="1226"/>
    </row>
    <row r="90" spans="1:51">
      <c r="D90" s="377" t="s">
        <v>58</v>
      </c>
      <c r="E90" s="1226"/>
      <c r="F90" s="1226"/>
      <c r="G90" s="1226"/>
      <c r="H90" s="1226"/>
      <c r="I90" s="1226"/>
      <c r="J90" s="1226"/>
      <c r="K90" s="1226"/>
      <c r="L90" s="1226"/>
      <c r="M90" s="1226"/>
      <c r="N90" s="1226"/>
      <c r="O90" s="1226"/>
      <c r="P90" s="1226"/>
      <c r="Q90" s="912"/>
      <c r="S90" s="1226"/>
      <c r="T90" s="1226"/>
      <c r="U90" s="1226"/>
      <c r="W90" s="376"/>
      <c r="X90" s="1226"/>
      <c r="Z90" s="1226"/>
      <c r="AA90" s="1226"/>
      <c r="AB90" s="1226"/>
      <c r="AC90" s="1226"/>
      <c r="AD90" s="1226"/>
      <c r="AE90" s="1226"/>
      <c r="AF90" s="1226"/>
      <c r="AG90" s="1226"/>
      <c r="AH90" s="1226"/>
      <c r="AI90" s="1226"/>
      <c r="AJ90" s="1226"/>
      <c r="AK90" s="1226"/>
      <c r="AL90" s="1226"/>
      <c r="AM90" s="1226"/>
      <c r="AN90" s="1226"/>
    </row>
    <row r="91" spans="1:51">
      <c r="D91" s="377" t="s">
        <v>58</v>
      </c>
      <c r="E91" s="1226"/>
      <c r="F91" s="960"/>
      <c r="G91" s="960"/>
      <c r="H91" s="960"/>
      <c r="I91" s="960"/>
      <c r="J91" s="960"/>
      <c r="K91" s="960"/>
      <c r="L91" s="960"/>
      <c r="M91" s="960"/>
      <c r="N91" s="1226"/>
      <c r="O91" s="960"/>
      <c r="P91" s="960"/>
      <c r="Q91" s="912"/>
      <c r="S91" s="1226"/>
      <c r="T91" s="960"/>
      <c r="U91" s="1226"/>
      <c r="W91" s="376"/>
      <c r="X91" s="960"/>
      <c r="Z91" s="1226"/>
      <c r="AA91" s="1226"/>
      <c r="AB91" s="1226"/>
      <c r="AC91" s="1226"/>
      <c r="AD91" s="1226"/>
      <c r="AE91" s="1226"/>
      <c r="AF91" s="1226"/>
      <c r="AG91" s="1226"/>
      <c r="AH91" s="1226"/>
      <c r="AI91" s="1226"/>
      <c r="AJ91" s="1226"/>
      <c r="AK91" s="1226"/>
      <c r="AL91" s="1226"/>
      <c r="AM91" s="1226"/>
      <c r="AN91" s="1226"/>
    </row>
    <row r="92" spans="1:51">
      <c r="E92" s="1288">
        <f>E68/'All Funds Sch A 2013 Page - 2'!$X$68</f>
        <v>8.6074169552215682E-2</v>
      </c>
      <c r="F92" s="1288">
        <f>F68/'All Funds Sch A 2013 Page - 2'!$X$68</f>
        <v>0.21197696192541982</v>
      </c>
      <c r="G92" s="1288"/>
      <c r="H92" s="1288"/>
      <c r="I92" s="1288">
        <f>I68/'All Funds Sch A 2013 Page - 2'!$X$68</f>
        <v>2.5518808383139694E-2</v>
      </c>
      <c r="J92" s="1288">
        <f>J68/'All Funds Sch A 2013 Page - 2'!$X$68</f>
        <v>3.6571256523729313E-2</v>
      </c>
      <c r="K92" s="1288">
        <f>K68/'All Funds Sch A 2013 Page - 2'!$X$68</f>
        <v>1.6154712716831283E-3</v>
      </c>
      <c r="L92" s="1288"/>
      <c r="M92" s="1288">
        <f>M68/'All Funds Sch A 2013 Page - 2'!$X$68</f>
        <v>1.3005088607083111E-2</v>
      </c>
      <c r="N92" s="1226"/>
      <c r="O92" s="1288">
        <f>O68/'All Funds Sch A 2013 Page - 2'!$X$68</f>
        <v>9.4191478627098542E-3</v>
      </c>
      <c r="P92" s="1288"/>
      <c r="Q92" s="912"/>
      <c r="R92" s="912" t="s">
        <v>58</v>
      </c>
      <c r="S92" s="1226"/>
      <c r="T92" s="1288">
        <f>T68/'All Funds Sch A 2013 Page - 2'!$X$68</f>
        <v>2.6358934681829063E-3</v>
      </c>
      <c r="U92" s="1226"/>
      <c r="W92" s="376"/>
      <c r="X92" s="1288">
        <f>X68/'All Funds Sch A 2013 Page - 2'!$X$68</f>
        <v>1</v>
      </c>
      <c r="Z92" s="1226"/>
      <c r="AA92" s="1226"/>
      <c r="AB92" s="1226"/>
      <c r="AC92" s="1226"/>
      <c r="AD92" s="1226"/>
      <c r="AE92" s="1226"/>
      <c r="AF92" s="1226"/>
      <c r="AG92" s="1226"/>
      <c r="AH92" s="1226"/>
      <c r="AI92" s="1226"/>
      <c r="AJ92" s="1226"/>
      <c r="AK92" s="1226"/>
      <c r="AL92" s="1226"/>
      <c r="AM92" s="1226"/>
      <c r="AN92" s="1226"/>
    </row>
    <row r="93" spans="1:51" s="417" customFormat="1" ht="21.95" customHeight="1" thickBot="1">
      <c r="A93" s="476" t="s">
        <v>783</v>
      </c>
      <c r="B93" s="449"/>
      <c r="C93" s="1305" t="s">
        <v>424</v>
      </c>
      <c r="D93" s="1236">
        <v>315782855.67000002</v>
      </c>
      <c r="E93" s="1236"/>
      <c r="F93" s="1226"/>
      <c r="G93" s="364">
        <f>G85-G33</f>
        <v>0</v>
      </c>
      <c r="H93" s="364"/>
      <c r="I93" s="1226"/>
      <c r="J93" s="1226"/>
      <c r="K93" s="1236"/>
      <c r="L93" s="364">
        <f>L85-L33</f>
        <v>0</v>
      </c>
      <c r="M93" s="1226"/>
      <c r="N93" s="1236">
        <v>19111205</v>
      </c>
      <c r="O93" s="1226"/>
      <c r="P93" s="364">
        <f>P85-P33</f>
        <v>0</v>
      </c>
      <c r="Q93" s="1236">
        <v>11732668</v>
      </c>
      <c r="R93" s="1236">
        <v>10992300</v>
      </c>
      <c r="S93" s="1236"/>
      <c r="T93" s="1226"/>
      <c r="U93" s="1236"/>
      <c r="V93" s="1236">
        <v>706126</v>
      </c>
      <c r="W93" s="1236">
        <v>151173</v>
      </c>
      <c r="X93" s="364">
        <f>X85-X33</f>
        <v>-0.47000002861022949</v>
      </c>
      <c r="Z93" s="1238">
        <v>23730421.23</v>
      </c>
      <c r="AA93" s="1238">
        <v>21517625</v>
      </c>
      <c r="AB93" s="1236">
        <v>1451345</v>
      </c>
      <c r="AC93" s="1229"/>
      <c r="AD93" s="1236">
        <v>22591218.84</v>
      </c>
      <c r="AE93" s="1237"/>
      <c r="AF93" s="1236">
        <v>205174442.10000002</v>
      </c>
      <c r="AG93" s="1237"/>
      <c r="AH93" s="1236">
        <v>17825915.34</v>
      </c>
      <c r="AI93" s="1237"/>
      <c r="AJ93" s="1236">
        <v>25092661.59</v>
      </c>
      <c r="AK93" s="1237"/>
      <c r="AL93" s="1236">
        <v>19374455.009999998</v>
      </c>
      <c r="AM93" s="1237"/>
      <c r="AN93" s="1236">
        <v>695234411.77999997</v>
      </c>
      <c r="AO93" s="454"/>
      <c r="AP93" s="454"/>
      <c r="AQ93" s="454"/>
      <c r="AR93" s="454"/>
      <c r="AS93" s="454"/>
      <c r="AT93" s="454"/>
      <c r="AU93" s="454"/>
      <c r="AV93" s="454"/>
      <c r="AW93" s="454"/>
      <c r="AX93" s="454"/>
      <c r="AY93" s="454"/>
    </row>
    <row r="94" spans="1:51" ht="13.5" thickTop="1">
      <c r="D94" s="377">
        <f t="shared" ref="D94:AN94" si="18">D85-D93</f>
        <v>17585850.049999952</v>
      </c>
      <c r="F94" s="1226"/>
      <c r="G94" s="1226"/>
      <c r="H94" s="1226"/>
      <c r="I94" s="1226"/>
      <c r="J94" s="1226"/>
      <c r="L94" s="1226"/>
      <c r="M94" s="1226"/>
      <c r="N94" s="377">
        <f>N85-N93</f>
        <v>-9.9999979138374329E-3</v>
      </c>
      <c r="O94" s="1226"/>
      <c r="P94" s="1226"/>
      <c r="Q94" s="922">
        <f>Q85-Q93</f>
        <v>0</v>
      </c>
      <c r="R94" s="922">
        <f t="shared" si="18"/>
        <v>127512</v>
      </c>
      <c r="S94" s="377">
        <f>S85-S93</f>
        <v>2713933</v>
      </c>
      <c r="T94" s="1226"/>
      <c r="U94" s="377">
        <f>U85-U93</f>
        <v>800000</v>
      </c>
      <c r="V94" s="922">
        <f>V85-V93</f>
        <v>0</v>
      </c>
      <c r="W94" s="377">
        <f t="shared" si="18"/>
        <v>0</v>
      </c>
      <c r="X94" s="1226"/>
      <c r="Z94" s="377" t="e">
        <f t="shared" si="18"/>
        <v>#REF!</v>
      </c>
      <c r="AA94" s="377">
        <f t="shared" si="18"/>
        <v>4612121.120000001</v>
      </c>
      <c r="AB94" s="377">
        <f t="shared" si="18"/>
        <v>-290790.15999999992</v>
      </c>
      <c r="AC94" s="377">
        <f t="shared" si="18"/>
        <v>0</v>
      </c>
      <c r="AD94" s="377" t="e">
        <f t="shared" si="18"/>
        <v>#REF!</v>
      </c>
      <c r="AE94" s="377">
        <f t="shared" si="18"/>
        <v>0</v>
      </c>
      <c r="AF94" s="377">
        <f t="shared" si="18"/>
        <v>-19814593.100000024</v>
      </c>
      <c r="AG94" s="377">
        <f t="shared" si="18"/>
        <v>0</v>
      </c>
      <c r="AH94" s="377">
        <f t="shared" si="18"/>
        <v>1311277.8200000003</v>
      </c>
      <c r="AI94" s="377">
        <f t="shared" si="18"/>
        <v>0</v>
      </c>
      <c r="AJ94" s="377">
        <f t="shared" si="18"/>
        <v>3969454.0699999966</v>
      </c>
      <c r="AK94" s="377">
        <f t="shared" si="18"/>
        <v>0</v>
      </c>
      <c r="AL94" s="377">
        <f t="shared" si="18"/>
        <v>2201921.5900000036</v>
      </c>
      <c r="AM94" s="377">
        <f t="shared" si="18"/>
        <v>0</v>
      </c>
      <c r="AN94" s="377" t="e">
        <f t="shared" si="18"/>
        <v>#REF!</v>
      </c>
    </row>
    <row r="95" spans="1:51">
      <c r="D95" s="377">
        <f>18594420-D94</f>
        <v>1008569.9500000477</v>
      </c>
      <c r="F95" s="1226"/>
      <c r="G95" s="1226"/>
      <c r="H95" s="1226"/>
      <c r="I95" s="1226"/>
      <c r="J95" s="1226"/>
      <c r="L95" s="1226"/>
      <c r="M95" s="1226"/>
      <c r="N95" s="1226"/>
      <c r="O95" s="1226"/>
      <c r="P95" s="1226"/>
      <c r="Q95" s="912"/>
      <c r="S95" s="1226"/>
      <c r="T95" s="1226"/>
      <c r="U95" s="1226"/>
      <c r="W95" s="376"/>
      <c r="X95" s="1226"/>
      <c r="Z95" s="1226"/>
      <c r="AA95" s="1226"/>
      <c r="AB95" s="1226"/>
      <c r="AC95" s="1226"/>
      <c r="AD95" s="1226"/>
      <c r="AE95" s="1226"/>
      <c r="AF95" s="1226"/>
      <c r="AG95" s="1226"/>
      <c r="AH95" s="1226"/>
      <c r="AI95" s="1226"/>
      <c r="AJ95" s="1226"/>
      <c r="AK95" s="1226"/>
      <c r="AL95" s="1226"/>
      <c r="AM95" s="1226"/>
      <c r="AN95" s="1226"/>
    </row>
    <row r="96" spans="1:51">
      <c r="F96" s="1226"/>
      <c r="G96" s="1226"/>
      <c r="H96" s="1226"/>
      <c r="I96" s="1226"/>
      <c r="J96" s="1226"/>
      <c r="L96" s="1226"/>
      <c r="M96" s="1226"/>
      <c r="N96" s="1226"/>
      <c r="O96" s="1226"/>
      <c r="P96" s="1226"/>
      <c r="Q96" s="912"/>
      <c r="S96" s="1226"/>
      <c r="T96" s="1226"/>
      <c r="U96" s="1226"/>
      <c r="W96" s="376"/>
      <c r="X96" s="1226"/>
      <c r="Z96" s="1226"/>
      <c r="AA96" s="1226"/>
      <c r="AB96" s="1226"/>
      <c r="AC96" s="1226"/>
      <c r="AD96" s="1226"/>
      <c r="AE96" s="1226"/>
      <c r="AF96" s="1226"/>
      <c r="AG96" s="1226"/>
      <c r="AH96" s="1226"/>
      <c r="AI96" s="1226"/>
      <c r="AJ96" s="1226"/>
      <c r="AK96" s="1226"/>
      <c r="AL96" s="1226"/>
      <c r="AM96" s="1226"/>
      <c r="AN96" s="1226"/>
    </row>
    <row r="97" spans="1:51">
      <c r="F97" s="1226"/>
      <c r="G97" s="1226"/>
      <c r="H97" s="1226"/>
      <c r="I97" s="1226"/>
      <c r="J97" s="1226"/>
      <c r="L97" s="1226"/>
      <c r="M97" s="1226"/>
      <c r="N97" s="1226"/>
      <c r="O97" s="1226"/>
      <c r="P97" s="1226"/>
      <c r="Q97" s="912"/>
      <c r="S97" s="1226"/>
      <c r="T97" s="1226"/>
      <c r="U97" s="1226"/>
      <c r="W97" s="376"/>
      <c r="X97" s="1226"/>
      <c r="Z97" s="1226"/>
      <c r="AA97" s="1226"/>
      <c r="AB97" s="1226"/>
      <c r="AC97" s="1226"/>
      <c r="AD97" s="1226"/>
      <c r="AE97" s="1226"/>
      <c r="AF97" s="1226"/>
      <c r="AG97" s="1226"/>
      <c r="AH97" s="1226"/>
      <c r="AI97" s="1226"/>
      <c r="AJ97" s="1226"/>
      <c r="AK97" s="1226"/>
      <c r="AL97" s="1226"/>
      <c r="AM97" s="1226"/>
      <c r="AN97" s="1226"/>
    </row>
    <row r="98" spans="1:51">
      <c r="D98" s="1288">
        <f>D68/'All Funds Sch A 2013 Page - 2'!$X$68</f>
        <v>0.4333420686431263</v>
      </c>
      <c r="E98" s="1288"/>
      <c r="F98" s="1226"/>
      <c r="G98" s="1226"/>
      <c r="H98" s="1226"/>
      <c r="I98" s="1226"/>
      <c r="J98" s="1226"/>
      <c r="K98" s="1288"/>
      <c r="L98" s="1226"/>
      <c r="M98" s="1226"/>
      <c r="N98" s="1288">
        <f>N68/'All Funds Sch A 2013 Page - 2'!$X$68</f>
        <v>1.1537315944370916E-2</v>
      </c>
      <c r="O98" s="1226"/>
      <c r="P98" s="1226"/>
      <c r="Q98" s="1288">
        <f>Q68/'All Funds Sch A 2013 Page - 2'!$X$68</f>
        <v>2.1126936461516949E-2</v>
      </c>
      <c r="R98" s="1288">
        <f>R68/'All Funds Sch A 2013 Page - 2'!$X$68</f>
        <v>5.9460633036817513E-3</v>
      </c>
      <c r="S98" s="1288">
        <f>S68/'All Funds Sch A 2013 Page - 2'!$X$68</f>
        <v>3.1621322741782177E-3</v>
      </c>
      <c r="T98" s="1226"/>
      <c r="U98" s="1288">
        <f>U68/'All Funds Sch A 2013 Page - 2'!$X$68</f>
        <v>1.452938325860719E-3</v>
      </c>
      <c r="V98" s="1288">
        <f>V68/'All Funds Sch A 2013 Page - 2'!$X$68</f>
        <v>1.2423202226883876E-3</v>
      </c>
      <c r="W98" s="1288">
        <f>W68/'All Funds Sch A 2013 Page - 2'!$X$68</f>
        <v>1.4438574613240894E-4</v>
      </c>
      <c r="X98" s="1226"/>
      <c r="Z98" s="1288" t="e">
        <f>Z68/'All Funds Sch A 2013 Page - 2'!$X$68</f>
        <v>#REF!</v>
      </c>
      <c r="AA98" s="1288">
        <f>AA68/'All Funds Sch A 2013 Page - 2'!$X$68</f>
        <v>2.2706865229403708E-3</v>
      </c>
      <c r="AB98" s="1288">
        <f>AB68/'All Funds Sch A 2013 Page - 2'!$X$68</f>
        <v>2.1077682578739434E-3</v>
      </c>
      <c r="AC98" s="1288">
        <f>AC68/'All Funds Sch A 2013 Page - 2'!$X$68</f>
        <v>0</v>
      </c>
      <c r="AD98" s="1288" t="e">
        <f>AD68/'All Funds Sch A 2013 Page - 2'!$X$68</f>
        <v>#REF!</v>
      </c>
      <c r="AE98" s="1288">
        <f>AE68/'All Funds Sch A 2013 Page - 2'!$X$68</f>
        <v>0</v>
      </c>
      <c r="AF98" s="1288">
        <f>AF68/'All Funds Sch A 2013 Page - 2'!$X$68</f>
        <v>0.23929556936374557</v>
      </c>
      <c r="AG98" s="1288">
        <f>AG68/'All Funds Sch A 2013 Page - 2'!$X$68</f>
        <v>0</v>
      </c>
      <c r="AH98" s="1288">
        <f>AH68/'All Funds Sch A 2013 Page - 2'!$X$68</f>
        <v>1.09513158780514E-2</v>
      </c>
      <c r="AI98" s="1288">
        <f>AI68/'All Funds Sch A 2013 Page - 2'!$X$68</f>
        <v>0</v>
      </c>
      <c r="AJ98" s="1288">
        <f>AJ68/'All Funds Sch A 2013 Page - 2'!$X$68</f>
        <v>3.9501974534212947E-2</v>
      </c>
      <c r="AK98" s="1288">
        <f>AK68/'All Funds Sch A 2013 Page - 2'!$X$68</f>
        <v>0</v>
      </c>
      <c r="AL98" s="1288">
        <f>AL68/'All Funds Sch A 2013 Page - 2'!$X$68</f>
        <v>1.4467834248481659E-2</v>
      </c>
      <c r="AM98" s="1288">
        <f>AM68/'All Funds Sch A 2013 Page - 2'!$X$68</f>
        <v>0</v>
      </c>
      <c r="AN98" s="1288" t="e">
        <f>AN68/'All Funds Sch A 2013 Page - 2'!$X$68</f>
        <v>#REF!</v>
      </c>
    </row>
    <row r="99" spans="1:51" ht="21">
      <c r="D99" s="1045">
        <f>D15/D85</f>
        <v>0.28176030439669669</v>
      </c>
      <c r="E99" s="1045"/>
      <c r="F99" s="1226"/>
      <c r="G99" s="1226"/>
      <c r="H99" s="1226"/>
      <c r="I99" s="1226"/>
      <c r="J99" s="1226"/>
      <c r="K99" s="1045"/>
      <c r="L99" s="1226"/>
      <c r="M99" s="1226"/>
      <c r="N99" s="1226"/>
      <c r="O99" s="1226"/>
      <c r="P99" s="1226"/>
      <c r="Q99" s="912"/>
      <c r="R99" s="944" t="s">
        <v>58</v>
      </c>
      <c r="S99" s="1226"/>
      <c r="T99" s="1226"/>
      <c r="U99" s="1226"/>
      <c r="W99" s="376"/>
      <c r="X99" s="1226"/>
      <c r="Z99" s="1226"/>
      <c r="AA99" s="1226"/>
      <c r="AB99" s="1226"/>
      <c r="AC99" s="1226"/>
      <c r="AD99" s="1226"/>
      <c r="AE99" s="1226"/>
      <c r="AF99" s="1226"/>
      <c r="AG99" s="1226"/>
      <c r="AH99" s="1226"/>
      <c r="AI99" s="1226"/>
      <c r="AJ99" s="1226"/>
      <c r="AK99" s="1226"/>
      <c r="AL99" s="1226"/>
      <c r="AM99" s="1226"/>
      <c r="AN99" s="1226"/>
    </row>
    <row r="100" spans="1:51">
      <c r="D100" s="1045">
        <f>D15/D27</f>
        <v>0.3579110054795781</v>
      </c>
      <c r="E100" s="1045"/>
      <c r="F100" s="1226"/>
      <c r="G100" s="1226"/>
      <c r="H100" s="1226"/>
      <c r="I100" s="1226"/>
      <c r="J100" s="1226"/>
      <c r="K100" s="1045"/>
      <c r="L100" s="1226"/>
      <c r="M100" s="1226"/>
      <c r="N100" s="1226"/>
      <c r="O100" s="1226"/>
      <c r="P100" s="1226"/>
      <c r="Q100" s="912"/>
      <c r="S100" s="1226"/>
      <c r="T100" s="1226"/>
      <c r="U100" s="1226"/>
      <c r="W100" s="376"/>
      <c r="X100" s="1226"/>
      <c r="Z100" s="1226"/>
      <c r="AA100" s="1226"/>
      <c r="AB100" s="1226"/>
      <c r="AC100" s="1226"/>
      <c r="AD100" s="1226"/>
      <c r="AE100" s="1226"/>
      <c r="AF100" s="1226"/>
      <c r="AG100" s="1226"/>
      <c r="AH100" s="1226"/>
      <c r="AI100" s="1226"/>
      <c r="AJ100" s="1226"/>
      <c r="AK100" s="1226"/>
      <c r="AL100" s="1226"/>
      <c r="AM100" s="1226"/>
      <c r="AN100" s="1226"/>
    </row>
    <row r="101" spans="1:51">
      <c r="F101" s="1226"/>
      <c r="G101" s="1226"/>
      <c r="H101" s="1226"/>
      <c r="I101" s="1226"/>
      <c r="J101" s="1226"/>
      <c r="L101" s="1226"/>
      <c r="M101" s="1226"/>
      <c r="N101" s="1226"/>
      <c r="O101" s="1226"/>
      <c r="P101" s="1226"/>
      <c r="Q101" s="912"/>
      <c r="S101" s="1226"/>
      <c r="T101" s="1226"/>
      <c r="U101" s="1226"/>
      <c r="W101" s="376"/>
      <c r="X101" s="1226"/>
      <c r="Z101" s="1226"/>
      <c r="AA101" s="960"/>
      <c r="AB101" s="960"/>
      <c r="AC101" s="960"/>
      <c r="AD101" s="960"/>
      <c r="AE101" s="960"/>
      <c r="AF101" s="960"/>
      <c r="AG101" s="960"/>
      <c r="AH101" s="960"/>
      <c r="AI101" s="960"/>
      <c r="AJ101" s="960"/>
      <c r="AK101" s="960"/>
      <c r="AL101" s="960"/>
      <c r="AM101" s="960"/>
      <c r="AN101" s="960"/>
    </row>
    <row r="102" spans="1:51">
      <c r="F102" s="1226"/>
      <c r="G102" s="1226"/>
      <c r="H102" s="1226"/>
      <c r="I102" s="1226"/>
      <c r="J102" s="1226"/>
      <c r="L102" s="1226"/>
      <c r="M102" s="1226"/>
      <c r="N102" s="1226"/>
      <c r="O102" s="1226"/>
      <c r="P102" s="1226"/>
      <c r="Q102" s="912"/>
      <c r="S102" s="1226"/>
      <c r="T102" s="1226"/>
      <c r="U102" s="1226"/>
      <c r="W102" s="376"/>
      <c r="X102" s="1226"/>
      <c r="Z102" s="1226"/>
      <c r="AA102" s="960"/>
      <c r="AB102" s="960"/>
      <c r="AC102" s="960"/>
      <c r="AD102" s="960"/>
      <c r="AE102" s="960"/>
      <c r="AF102" s="960"/>
      <c r="AG102" s="960"/>
      <c r="AH102" s="960"/>
      <c r="AI102" s="960"/>
      <c r="AJ102" s="960"/>
      <c r="AK102" s="960"/>
      <c r="AL102" s="960"/>
      <c r="AM102" s="960"/>
      <c r="AN102" s="960"/>
    </row>
    <row r="103" spans="1:51">
      <c r="F103" s="1226"/>
      <c r="G103" s="1226"/>
      <c r="H103" s="1226"/>
      <c r="I103" s="1226"/>
      <c r="J103" s="1226"/>
      <c r="L103" s="1226"/>
      <c r="M103" s="1226"/>
      <c r="N103" s="1226"/>
      <c r="O103" s="1226"/>
      <c r="P103" s="1226"/>
      <c r="Q103" s="912"/>
      <c r="S103" s="1226"/>
      <c r="T103" s="1226"/>
      <c r="U103" s="1226"/>
      <c r="W103" s="376"/>
      <c r="X103" s="1226"/>
      <c r="Z103" s="1226"/>
      <c r="AA103" s="1226"/>
      <c r="AB103" s="1226"/>
      <c r="AC103" s="1226"/>
      <c r="AD103" s="1226"/>
      <c r="AE103" s="1226"/>
      <c r="AF103" s="1226"/>
      <c r="AG103" s="1226"/>
      <c r="AH103" s="1226"/>
      <c r="AI103" s="1226"/>
      <c r="AJ103" s="1226"/>
      <c r="AK103" s="1226"/>
      <c r="AL103" s="1226"/>
      <c r="AM103" s="1226"/>
      <c r="AN103" s="1226"/>
    </row>
    <row r="104" spans="1:51" s="394" customFormat="1" ht="18.75">
      <c r="A104" s="393"/>
      <c r="B104" s="393"/>
      <c r="C104" s="1443"/>
      <c r="D104" s="569"/>
      <c r="E104" s="569"/>
      <c r="F104" s="1226"/>
      <c r="G104" s="1226"/>
      <c r="H104" s="1226"/>
      <c r="I104" s="1226"/>
      <c r="J104" s="1226"/>
      <c r="K104" s="569"/>
      <c r="L104" s="1226"/>
      <c r="M104" s="1226"/>
      <c r="N104" s="961"/>
      <c r="O104" s="1226"/>
      <c r="P104" s="1226"/>
      <c r="Q104" s="938"/>
      <c r="R104" s="941"/>
      <c r="S104" s="961"/>
      <c r="T104" s="1226"/>
      <c r="U104" s="961"/>
      <c r="V104" s="941"/>
      <c r="W104" s="569"/>
      <c r="X104" s="1226"/>
      <c r="Z104" s="961"/>
      <c r="AA104" s="1226"/>
      <c r="AB104" s="1226"/>
      <c r="AC104" s="1226"/>
      <c r="AD104" s="1226"/>
      <c r="AE104" s="1226"/>
      <c r="AF104" s="1226"/>
      <c r="AG104" s="1226"/>
      <c r="AH104" s="1226"/>
      <c r="AI104" s="1226"/>
      <c r="AJ104" s="1226"/>
      <c r="AK104" s="1226"/>
      <c r="AL104" s="1226"/>
      <c r="AM104" s="1226"/>
      <c r="AN104" s="1226"/>
      <c r="AO104" s="396"/>
      <c r="AP104" s="396"/>
      <c r="AQ104" s="396"/>
      <c r="AR104" s="396"/>
      <c r="AS104" s="396"/>
      <c r="AT104" s="396"/>
      <c r="AU104" s="396"/>
      <c r="AV104" s="396"/>
      <c r="AW104" s="396"/>
      <c r="AX104" s="396"/>
      <c r="AY104" s="396"/>
    </row>
    <row r="105" spans="1:51" s="394" customFormat="1" ht="18.75">
      <c r="A105" s="398"/>
      <c r="B105" s="398"/>
      <c r="C105" s="1442"/>
      <c r="D105" s="570"/>
      <c r="E105" s="570"/>
      <c r="F105" s="1226"/>
      <c r="G105" s="1226"/>
      <c r="H105" s="1226"/>
      <c r="I105" s="1226"/>
      <c r="J105" s="1226"/>
      <c r="K105" s="570"/>
      <c r="L105" s="1226"/>
      <c r="M105" s="1226"/>
      <c r="N105" s="962"/>
      <c r="O105" s="1226"/>
      <c r="P105" s="1226"/>
      <c r="Q105" s="939"/>
      <c r="R105" s="942"/>
      <c r="S105" s="962"/>
      <c r="T105" s="1226"/>
      <c r="U105" s="962"/>
      <c r="V105" s="942"/>
      <c r="W105" s="570"/>
      <c r="X105" s="1226"/>
      <c r="Z105" s="962"/>
      <c r="AA105" s="1226"/>
      <c r="AB105" s="1226"/>
      <c r="AC105" s="1226"/>
      <c r="AD105" s="1226"/>
      <c r="AE105" s="1226"/>
      <c r="AF105" s="1226"/>
      <c r="AG105" s="1226"/>
      <c r="AH105" s="1226"/>
      <c r="AI105" s="1226"/>
      <c r="AJ105" s="1226"/>
      <c r="AK105" s="1226"/>
      <c r="AL105" s="1226"/>
      <c r="AM105" s="1226"/>
      <c r="AN105" s="1226"/>
      <c r="AO105" s="396"/>
      <c r="AP105" s="396"/>
      <c r="AQ105" s="396"/>
      <c r="AR105" s="396"/>
      <c r="AS105" s="396"/>
      <c r="AT105" s="396"/>
      <c r="AU105" s="396"/>
      <c r="AV105" s="396"/>
      <c r="AW105" s="396"/>
      <c r="AX105" s="396"/>
      <c r="AY105" s="396"/>
    </row>
    <row r="106" spans="1:51">
      <c r="F106" s="1226"/>
      <c r="G106" s="1226"/>
      <c r="H106" s="1226"/>
      <c r="I106" s="1226"/>
      <c r="J106" s="1226"/>
      <c r="L106" s="1226"/>
      <c r="M106" s="1226"/>
      <c r="N106" s="1226"/>
      <c r="O106" s="1226"/>
      <c r="P106" s="1226"/>
      <c r="Q106" s="912"/>
      <c r="S106" s="1226"/>
      <c r="T106" s="1226"/>
      <c r="U106" s="1226"/>
      <c r="W106" s="376"/>
      <c r="X106" s="1226"/>
      <c r="Z106" s="1226"/>
      <c r="AA106" s="1226"/>
      <c r="AB106" s="1226"/>
      <c r="AC106" s="1226"/>
      <c r="AD106" s="1226"/>
      <c r="AE106" s="1226"/>
      <c r="AF106" s="1226"/>
      <c r="AG106" s="1226"/>
      <c r="AH106" s="1226"/>
      <c r="AI106" s="1226"/>
      <c r="AJ106" s="1226"/>
      <c r="AK106" s="1226"/>
      <c r="AL106" s="1226"/>
      <c r="AM106" s="1226"/>
      <c r="AN106" s="1226"/>
    </row>
    <row r="107" spans="1:51">
      <c r="F107" s="1226"/>
      <c r="G107" s="1226"/>
      <c r="H107" s="1226"/>
      <c r="I107" s="1226"/>
      <c r="J107" s="1226"/>
      <c r="L107" s="1226"/>
      <c r="M107" s="1226"/>
      <c r="N107" s="1226"/>
      <c r="O107" s="1226"/>
      <c r="P107" s="1226"/>
      <c r="Q107" s="912"/>
      <c r="S107" s="1226"/>
      <c r="T107" s="1226"/>
      <c r="U107" s="1226"/>
      <c r="W107" s="376"/>
      <c r="X107" s="1226"/>
      <c r="Z107" s="1226"/>
      <c r="AA107" s="1226"/>
      <c r="AB107" s="1226"/>
      <c r="AC107" s="1226"/>
      <c r="AD107" s="1226"/>
      <c r="AE107" s="1226"/>
      <c r="AF107" s="1226"/>
      <c r="AG107" s="1226"/>
      <c r="AH107" s="1226"/>
      <c r="AI107" s="1226"/>
      <c r="AJ107" s="1226"/>
      <c r="AK107" s="1226"/>
      <c r="AL107" s="1226"/>
      <c r="AM107" s="1226"/>
      <c r="AN107" s="1226"/>
    </row>
    <row r="108" spans="1:51">
      <c r="F108" s="1226"/>
      <c r="G108" s="1226"/>
      <c r="H108" s="1226"/>
      <c r="I108" s="1226"/>
      <c r="J108" s="1226"/>
      <c r="L108" s="1226"/>
      <c r="M108" s="1226"/>
      <c r="N108" s="1226"/>
      <c r="O108" s="1226"/>
      <c r="P108" s="1226"/>
      <c r="Q108" s="912"/>
      <c r="S108" s="1226"/>
      <c r="T108" s="1226"/>
      <c r="U108" s="1226"/>
      <c r="W108" s="376"/>
      <c r="X108" s="1226"/>
      <c r="Z108" s="1226"/>
      <c r="AA108" s="1226"/>
      <c r="AB108" s="1226"/>
      <c r="AC108" s="1226"/>
      <c r="AD108" s="1226"/>
      <c r="AE108" s="1226"/>
      <c r="AF108" s="1226"/>
      <c r="AG108" s="1226"/>
      <c r="AH108" s="1226"/>
      <c r="AI108" s="1226"/>
      <c r="AJ108" s="1226"/>
      <c r="AK108" s="1226"/>
      <c r="AL108" s="1226"/>
      <c r="AM108" s="1226"/>
      <c r="AN108" s="1226"/>
    </row>
    <row r="109" spans="1:51">
      <c r="F109" s="1226"/>
      <c r="G109" s="1226"/>
      <c r="H109" s="1226"/>
      <c r="I109" s="1226"/>
      <c r="J109" s="1226"/>
      <c r="L109" s="1226"/>
      <c r="M109" s="1226"/>
      <c r="N109" s="1226"/>
      <c r="O109" s="1226"/>
      <c r="P109" s="1226"/>
      <c r="Q109" s="912"/>
      <c r="S109" s="1226"/>
      <c r="T109" s="1226"/>
      <c r="U109" s="1226"/>
      <c r="W109" s="376"/>
      <c r="X109" s="1226"/>
      <c r="Z109" s="1226"/>
      <c r="AA109" s="1226"/>
      <c r="AB109" s="1226"/>
      <c r="AC109" s="1226"/>
      <c r="AD109" s="1226"/>
      <c r="AE109" s="1226"/>
      <c r="AF109" s="1226"/>
      <c r="AG109" s="1226"/>
      <c r="AH109" s="1226"/>
      <c r="AI109" s="1226"/>
      <c r="AJ109" s="1226"/>
      <c r="AK109" s="1226"/>
      <c r="AL109" s="1226"/>
      <c r="AM109" s="1226"/>
      <c r="AN109" s="1226"/>
    </row>
    <row r="110" spans="1:51">
      <c r="F110" s="1226"/>
      <c r="G110" s="1226"/>
      <c r="H110" s="1226"/>
      <c r="I110" s="1226"/>
      <c r="J110" s="1226"/>
      <c r="L110" s="1226"/>
      <c r="M110" s="1226"/>
      <c r="N110" s="1226"/>
      <c r="O110" s="1226"/>
      <c r="P110" s="1226"/>
      <c r="Q110" s="912"/>
      <c r="S110" s="1226"/>
      <c r="T110" s="1226"/>
      <c r="U110" s="1226"/>
      <c r="W110" s="376"/>
      <c r="X110" s="1226"/>
      <c r="Z110" s="1226"/>
      <c r="AA110" s="1226"/>
      <c r="AB110" s="1226"/>
      <c r="AC110" s="1226"/>
      <c r="AD110" s="1226"/>
      <c r="AE110" s="1226"/>
      <c r="AF110" s="1226"/>
      <c r="AG110" s="1226"/>
      <c r="AH110" s="1226"/>
      <c r="AI110" s="1226"/>
      <c r="AJ110" s="1226"/>
      <c r="AK110" s="1226"/>
      <c r="AL110" s="1226"/>
      <c r="AM110" s="1226"/>
      <c r="AN110" s="1226"/>
    </row>
    <row r="111" spans="1:51">
      <c r="F111" s="1226"/>
      <c r="G111" s="1226"/>
      <c r="H111" s="1226"/>
      <c r="I111" s="1226"/>
      <c r="J111" s="1226"/>
      <c r="L111" s="1226"/>
      <c r="M111" s="1226"/>
      <c r="N111" s="1226"/>
      <c r="O111" s="1226"/>
      <c r="P111" s="1226"/>
      <c r="Q111" s="912"/>
      <c r="S111" s="1226"/>
      <c r="T111" s="1226"/>
      <c r="U111" s="1226"/>
      <c r="W111" s="376"/>
      <c r="X111" s="1226"/>
      <c r="Z111" s="1226"/>
      <c r="AA111" s="1226"/>
      <c r="AB111" s="1226"/>
      <c r="AC111" s="1226"/>
      <c r="AD111" s="1226"/>
      <c r="AE111" s="1226"/>
      <c r="AF111" s="1226"/>
      <c r="AG111" s="1226"/>
      <c r="AH111" s="1226"/>
      <c r="AI111" s="1226"/>
      <c r="AJ111" s="1226"/>
      <c r="AK111" s="1226"/>
      <c r="AL111" s="1226"/>
      <c r="AM111" s="1226"/>
      <c r="AN111" s="1226"/>
    </row>
    <row r="112" spans="1:51">
      <c r="F112" s="1226"/>
      <c r="G112" s="1226"/>
      <c r="H112" s="1226"/>
      <c r="I112" s="1226"/>
      <c r="J112" s="1226"/>
      <c r="L112" s="1226"/>
      <c r="M112" s="1226"/>
      <c r="N112" s="1226"/>
      <c r="O112" s="1226"/>
      <c r="P112" s="1226"/>
      <c r="Q112" s="912"/>
      <c r="S112" s="1226"/>
      <c r="T112" s="1226"/>
      <c r="U112" s="1226"/>
      <c r="W112" s="376"/>
      <c r="X112" s="1226"/>
      <c r="Z112" s="1226"/>
      <c r="AA112" s="1226"/>
      <c r="AB112" s="1226"/>
      <c r="AC112" s="1226"/>
      <c r="AD112" s="1226"/>
      <c r="AE112" s="1226"/>
      <c r="AF112" s="1226"/>
      <c r="AG112" s="1226"/>
      <c r="AH112" s="1226"/>
      <c r="AI112" s="1226"/>
      <c r="AJ112" s="1226"/>
      <c r="AK112" s="1226"/>
      <c r="AL112" s="1226"/>
      <c r="AM112" s="1226"/>
      <c r="AN112" s="1226"/>
    </row>
    <row r="113" spans="6:40">
      <c r="F113" s="1226"/>
      <c r="G113" s="1226"/>
      <c r="H113" s="1226"/>
      <c r="I113" s="1226"/>
      <c r="J113" s="1226"/>
      <c r="L113" s="1226"/>
      <c r="M113" s="1226"/>
      <c r="N113" s="1226"/>
      <c r="O113" s="1226"/>
      <c r="P113" s="1226"/>
      <c r="Q113" s="912"/>
      <c r="S113" s="1226"/>
      <c r="T113" s="1226"/>
      <c r="U113" s="1226"/>
      <c r="W113" s="376"/>
      <c r="X113" s="1226"/>
      <c r="Z113" s="1226"/>
      <c r="AA113" s="1226"/>
      <c r="AB113" s="1226"/>
      <c r="AC113" s="1226"/>
      <c r="AD113" s="1226"/>
      <c r="AE113" s="1226"/>
      <c r="AF113" s="1226"/>
      <c r="AG113" s="1226"/>
      <c r="AH113" s="1226"/>
      <c r="AI113" s="1226"/>
      <c r="AJ113" s="1226"/>
      <c r="AK113" s="1226"/>
      <c r="AL113" s="1226"/>
      <c r="AM113" s="1226"/>
      <c r="AN113" s="1226"/>
    </row>
    <row r="114" spans="6:40">
      <c r="F114" s="1226"/>
      <c r="G114" s="1226"/>
      <c r="H114" s="1226"/>
      <c r="I114" s="1226"/>
      <c r="J114" s="1226"/>
      <c r="L114" s="1226"/>
      <c r="M114" s="1226"/>
      <c r="N114" s="1226"/>
      <c r="O114" s="1226"/>
      <c r="P114" s="1226"/>
      <c r="Q114" s="912"/>
      <c r="S114" s="1226"/>
      <c r="T114" s="1226"/>
      <c r="U114" s="1226"/>
      <c r="W114" s="376"/>
      <c r="X114" s="1226"/>
      <c r="Z114" s="1226"/>
      <c r="AA114" s="1226"/>
      <c r="AB114" s="1226"/>
      <c r="AC114" s="1226"/>
      <c r="AD114" s="1226"/>
      <c r="AE114" s="1226"/>
      <c r="AF114" s="1226"/>
      <c r="AG114" s="1226"/>
      <c r="AH114" s="1226"/>
      <c r="AI114" s="1226"/>
      <c r="AJ114" s="1226"/>
      <c r="AK114" s="1226"/>
      <c r="AL114" s="1226"/>
      <c r="AM114" s="1226"/>
      <c r="AN114" s="1226"/>
    </row>
    <row r="115" spans="6:40">
      <c r="F115" s="1226"/>
      <c r="G115" s="1226"/>
      <c r="H115" s="1226"/>
      <c r="I115" s="1226"/>
      <c r="J115" s="1226"/>
      <c r="L115" s="1226"/>
      <c r="M115" s="1226"/>
      <c r="N115" s="1226"/>
      <c r="O115" s="1226"/>
      <c r="P115" s="1226"/>
      <c r="Q115" s="912"/>
      <c r="S115" s="1226"/>
      <c r="T115" s="1226"/>
      <c r="U115" s="1226"/>
      <c r="W115" s="376"/>
      <c r="X115" s="1226"/>
      <c r="Z115" s="1226"/>
      <c r="AA115" s="1226"/>
      <c r="AB115" s="1226"/>
      <c r="AC115" s="1226"/>
      <c r="AD115" s="1226"/>
      <c r="AE115" s="1226"/>
      <c r="AF115" s="1226"/>
      <c r="AG115" s="1226"/>
      <c r="AH115" s="1226"/>
      <c r="AI115" s="1226"/>
      <c r="AJ115" s="1226"/>
      <c r="AK115" s="1226"/>
      <c r="AL115" s="1226"/>
      <c r="AM115" s="1226"/>
      <c r="AN115" s="1226"/>
    </row>
    <row r="116" spans="6:40">
      <c r="F116" s="1226"/>
      <c r="G116" s="1226"/>
      <c r="H116" s="1226"/>
      <c r="I116" s="1226"/>
      <c r="J116" s="1226"/>
      <c r="L116" s="1226"/>
      <c r="M116" s="1226"/>
      <c r="N116" s="1226"/>
      <c r="O116" s="1226"/>
      <c r="P116" s="1226"/>
      <c r="Q116" s="912"/>
      <c r="S116" s="1226"/>
      <c r="T116" s="1226"/>
      <c r="U116" s="1226"/>
      <c r="W116" s="376"/>
      <c r="X116" s="1226"/>
      <c r="Z116" s="1226"/>
      <c r="AA116" s="1226"/>
      <c r="AB116" s="1226"/>
      <c r="AC116" s="1226"/>
      <c r="AD116" s="1226"/>
      <c r="AE116" s="1226"/>
      <c r="AF116" s="1226"/>
      <c r="AG116" s="1226"/>
      <c r="AH116" s="1226"/>
      <c r="AI116" s="1226"/>
      <c r="AJ116" s="1226"/>
      <c r="AK116" s="1226"/>
      <c r="AL116" s="1226"/>
      <c r="AM116" s="1226"/>
      <c r="AN116" s="1226"/>
    </row>
    <row r="117" spans="6:40">
      <c r="F117" s="1226"/>
      <c r="G117" s="1226"/>
      <c r="H117" s="1226"/>
      <c r="I117" s="1226"/>
      <c r="J117" s="1226"/>
      <c r="L117" s="1226"/>
      <c r="M117" s="1226"/>
      <c r="N117" s="1226"/>
      <c r="O117" s="1226"/>
      <c r="P117" s="1226"/>
      <c r="Q117" s="912"/>
      <c r="S117" s="1226"/>
      <c r="T117" s="1226"/>
      <c r="U117" s="1226"/>
      <c r="W117" s="376"/>
      <c r="X117" s="1226"/>
      <c r="Z117" s="1226"/>
      <c r="AA117" s="1226"/>
      <c r="AB117" s="1226"/>
      <c r="AC117" s="1226"/>
      <c r="AD117" s="1226"/>
      <c r="AE117" s="1226"/>
      <c r="AF117" s="1226"/>
      <c r="AG117" s="1226"/>
      <c r="AH117" s="1226"/>
      <c r="AI117" s="1226"/>
      <c r="AJ117" s="1226"/>
      <c r="AK117" s="1226"/>
      <c r="AL117" s="1226"/>
      <c r="AM117" s="1226"/>
      <c r="AN117" s="1226"/>
    </row>
    <row r="118" spans="6:40">
      <c r="F118" s="1226"/>
      <c r="G118" s="1226"/>
      <c r="H118" s="1226"/>
      <c r="I118" s="1226"/>
      <c r="J118" s="1226"/>
      <c r="L118" s="1226"/>
      <c r="M118" s="1226"/>
      <c r="N118" s="1226"/>
      <c r="O118" s="1226"/>
      <c r="P118" s="1226"/>
      <c r="Q118" s="912"/>
      <c r="S118" s="1226"/>
      <c r="T118" s="1226"/>
      <c r="U118" s="1226"/>
      <c r="W118" s="376"/>
      <c r="X118" s="1226"/>
      <c r="Z118" s="1226"/>
      <c r="AA118" s="1226"/>
      <c r="AB118" s="1226"/>
      <c r="AC118" s="1226"/>
      <c r="AD118" s="1226"/>
      <c r="AE118" s="1226"/>
      <c r="AF118" s="1226"/>
      <c r="AG118" s="1226"/>
      <c r="AH118" s="1226"/>
      <c r="AI118" s="1226"/>
      <c r="AJ118" s="1226"/>
      <c r="AK118" s="1226"/>
      <c r="AL118" s="1226"/>
      <c r="AM118" s="1226"/>
      <c r="AN118" s="1226"/>
    </row>
    <row r="119" spans="6:40">
      <c r="F119" s="1226"/>
      <c r="G119" s="1226"/>
      <c r="H119" s="1226"/>
      <c r="I119" s="1226"/>
      <c r="J119" s="1226"/>
      <c r="L119" s="1226"/>
      <c r="M119" s="1226"/>
      <c r="N119" s="1226"/>
      <c r="O119" s="1226"/>
      <c r="P119" s="1226"/>
      <c r="Q119" s="912"/>
      <c r="S119" s="1226"/>
      <c r="T119" s="1226"/>
      <c r="U119" s="1226"/>
      <c r="W119" s="376"/>
      <c r="X119" s="1226"/>
      <c r="Z119" s="1226"/>
      <c r="AA119" s="1226"/>
      <c r="AB119" s="1226"/>
      <c r="AC119" s="1226"/>
      <c r="AD119" s="1226"/>
      <c r="AE119" s="1226"/>
      <c r="AF119" s="1226"/>
      <c r="AG119" s="1226"/>
      <c r="AH119" s="1226"/>
      <c r="AI119" s="1226"/>
      <c r="AJ119" s="1226"/>
      <c r="AK119" s="1226"/>
      <c r="AL119" s="1226"/>
      <c r="AM119" s="1226"/>
      <c r="AN119" s="1226"/>
    </row>
    <row r="120" spans="6:40">
      <c r="F120" s="1226"/>
      <c r="G120" s="1226"/>
      <c r="H120" s="1226"/>
      <c r="I120" s="1226"/>
      <c r="J120" s="1226"/>
      <c r="L120" s="1226"/>
      <c r="M120" s="1226"/>
      <c r="N120" s="1226"/>
      <c r="O120" s="1226"/>
      <c r="P120" s="1226"/>
      <c r="Q120" s="912"/>
      <c r="S120" s="1226"/>
      <c r="T120" s="1226"/>
      <c r="U120" s="1226"/>
      <c r="W120" s="376"/>
      <c r="X120" s="1226"/>
      <c r="Z120" s="1226"/>
      <c r="AA120" s="1226"/>
      <c r="AB120" s="1226"/>
      <c r="AC120" s="1226"/>
      <c r="AD120" s="1226"/>
      <c r="AE120" s="1226"/>
      <c r="AF120" s="1226"/>
      <c r="AG120" s="1226"/>
      <c r="AH120" s="1226"/>
      <c r="AI120" s="1226"/>
      <c r="AJ120" s="1226"/>
      <c r="AK120" s="1226"/>
      <c r="AL120" s="1226"/>
      <c r="AM120" s="1226"/>
      <c r="AN120" s="1226"/>
    </row>
    <row r="121" spans="6:40">
      <c r="F121" s="1226"/>
      <c r="G121" s="1226"/>
      <c r="H121" s="1226"/>
      <c r="I121" s="1226"/>
      <c r="J121" s="1226"/>
      <c r="L121" s="1226"/>
      <c r="M121" s="1226"/>
      <c r="N121" s="1226"/>
      <c r="O121" s="1226"/>
      <c r="P121" s="1226"/>
      <c r="Q121" s="912"/>
      <c r="S121" s="1226"/>
      <c r="T121" s="1226"/>
      <c r="U121" s="1226"/>
      <c r="W121" s="376"/>
      <c r="X121" s="1226"/>
      <c r="Z121" s="1226"/>
      <c r="AA121" s="1226"/>
      <c r="AB121" s="1226"/>
      <c r="AC121" s="1226"/>
      <c r="AD121" s="1226"/>
      <c r="AE121" s="1226"/>
      <c r="AF121" s="1226"/>
      <c r="AG121" s="1226"/>
      <c r="AH121" s="1226"/>
      <c r="AI121" s="1226"/>
      <c r="AJ121" s="1226"/>
      <c r="AK121" s="1226"/>
      <c r="AL121" s="1226"/>
      <c r="AM121" s="1226"/>
      <c r="AN121" s="1226"/>
    </row>
    <row r="122" spans="6:40">
      <c r="F122" s="1226"/>
      <c r="G122" s="1226"/>
      <c r="H122" s="1226"/>
      <c r="I122" s="1226"/>
      <c r="J122" s="1226"/>
      <c r="L122" s="1226"/>
      <c r="M122" s="1226"/>
      <c r="N122" s="1226"/>
      <c r="O122" s="1226"/>
      <c r="P122" s="1226"/>
      <c r="Q122" s="912"/>
      <c r="S122" s="1226"/>
      <c r="T122" s="1226"/>
      <c r="U122" s="1226"/>
      <c r="W122" s="376"/>
      <c r="X122" s="1226"/>
      <c r="Z122" s="1226"/>
      <c r="AA122" s="1226"/>
      <c r="AB122" s="1226"/>
      <c r="AC122" s="1226"/>
      <c r="AD122" s="1226"/>
      <c r="AE122" s="1226"/>
      <c r="AF122" s="1226"/>
      <c r="AG122" s="1226"/>
      <c r="AH122" s="1226"/>
      <c r="AI122" s="1226"/>
      <c r="AJ122" s="1226"/>
      <c r="AK122" s="1226"/>
      <c r="AL122" s="1226"/>
      <c r="AM122" s="1226"/>
      <c r="AN122" s="1226"/>
    </row>
    <row r="123" spans="6:40">
      <c r="F123" s="1226"/>
      <c r="G123" s="1226"/>
      <c r="H123" s="1226"/>
      <c r="I123" s="1226"/>
      <c r="J123" s="1226"/>
      <c r="L123" s="1226"/>
      <c r="M123" s="1226"/>
      <c r="N123" s="1226"/>
      <c r="O123" s="1226"/>
      <c r="P123" s="1226"/>
      <c r="Q123" s="912"/>
      <c r="S123" s="1226"/>
      <c r="T123" s="1226"/>
      <c r="U123" s="1226"/>
      <c r="W123" s="376"/>
      <c r="X123" s="1226"/>
      <c r="Z123" s="1226"/>
      <c r="AA123" s="1226"/>
      <c r="AB123" s="1226"/>
      <c r="AC123" s="1226"/>
      <c r="AD123" s="1226"/>
      <c r="AE123" s="1226"/>
      <c r="AF123" s="1226"/>
      <c r="AG123" s="1226"/>
      <c r="AH123" s="1226"/>
      <c r="AI123" s="1226"/>
      <c r="AJ123" s="1226"/>
      <c r="AK123" s="1226"/>
      <c r="AL123" s="1226"/>
      <c r="AM123" s="1226"/>
      <c r="AN123" s="1226"/>
    </row>
    <row r="124" spans="6:40">
      <c r="F124" s="1226"/>
      <c r="G124" s="1226"/>
      <c r="H124" s="1226"/>
      <c r="I124" s="1226"/>
      <c r="J124" s="1226"/>
      <c r="L124" s="1226"/>
      <c r="M124" s="1226"/>
      <c r="N124" s="1226"/>
      <c r="O124" s="1226"/>
      <c r="P124" s="1226"/>
      <c r="Q124" s="912"/>
      <c r="S124" s="1226"/>
      <c r="T124" s="1226"/>
      <c r="U124" s="1226"/>
      <c r="W124" s="376"/>
      <c r="X124" s="1226"/>
      <c r="Z124" s="1226"/>
      <c r="AA124" s="1226"/>
      <c r="AB124" s="1226"/>
      <c r="AC124" s="1226"/>
      <c r="AD124" s="1226"/>
      <c r="AE124" s="1226"/>
      <c r="AF124" s="1226"/>
      <c r="AG124" s="1226"/>
      <c r="AH124" s="1226"/>
      <c r="AI124" s="1226"/>
      <c r="AJ124" s="1226"/>
      <c r="AK124" s="1226"/>
      <c r="AL124" s="1226"/>
      <c r="AM124" s="1226"/>
      <c r="AN124" s="1226"/>
    </row>
    <row r="125" spans="6:40">
      <c r="F125" s="1226"/>
      <c r="G125" s="1226"/>
      <c r="H125" s="1226"/>
      <c r="I125" s="1226"/>
      <c r="J125" s="1226"/>
      <c r="L125" s="1226"/>
      <c r="M125" s="1226"/>
      <c r="N125" s="1226"/>
      <c r="O125" s="1226"/>
      <c r="P125" s="1226"/>
      <c r="Q125" s="912"/>
      <c r="S125" s="1226"/>
      <c r="T125" s="1226"/>
      <c r="U125" s="1226"/>
      <c r="W125" s="376"/>
      <c r="X125" s="1226"/>
      <c r="Z125" s="1226"/>
      <c r="AA125" s="1226"/>
      <c r="AB125" s="1226"/>
      <c r="AC125" s="1226"/>
      <c r="AD125" s="1226"/>
      <c r="AE125" s="1226"/>
      <c r="AF125" s="1226"/>
      <c r="AG125" s="1226"/>
      <c r="AH125" s="1226"/>
      <c r="AI125" s="1226"/>
      <c r="AJ125" s="1226"/>
      <c r="AK125" s="1226"/>
      <c r="AL125" s="1226"/>
      <c r="AM125" s="1226"/>
      <c r="AN125" s="1226"/>
    </row>
    <row r="126" spans="6:40">
      <c r="F126" s="1226"/>
      <c r="G126" s="1226"/>
      <c r="H126" s="1226"/>
      <c r="I126" s="1226"/>
      <c r="J126" s="1226"/>
      <c r="L126" s="1226"/>
      <c r="M126" s="1226"/>
      <c r="N126" s="1226"/>
      <c r="O126" s="1226"/>
      <c r="P126" s="1226"/>
      <c r="Q126" s="912"/>
      <c r="S126" s="1226"/>
      <c r="T126" s="1226"/>
      <c r="U126" s="1226"/>
      <c r="W126" s="376"/>
      <c r="X126" s="1226"/>
      <c r="Z126" s="1226"/>
      <c r="AA126" s="1226"/>
      <c r="AB126" s="1226"/>
      <c r="AC126" s="1226"/>
      <c r="AD126" s="1226"/>
      <c r="AE126" s="1226"/>
      <c r="AF126" s="1226"/>
      <c r="AG126" s="1226"/>
      <c r="AH126" s="1226"/>
      <c r="AI126" s="1226"/>
      <c r="AJ126" s="1226"/>
      <c r="AK126" s="1226"/>
      <c r="AL126" s="1226"/>
      <c r="AM126" s="1226"/>
      <c r="AN126" s="1226"/>
    </row>
    <row r="127" spans="6:40">
      <c r="F127" s="1226"/>
      <c r="G127" s="1226"/>
      <c r="H127" s="1226"/>
      <c r="I127" s="1226"/>
      <c r="J127" s="1226"/>
      <c r="L127" s="1226"/>
      <c r="M127" s="1226"/>
      <c r="N127" s="1226"/>
      <c r="O127" s="1226"/>
      <c r="P127" s="1226"/>
      <c r="Q127" s="912"/>
      <c r="S127" s="1226"/>
      <c r="T127" s="1226"/>
      <c r="U127" s="1226"/>
      <c r="W127" s="376"/>
      <c r="X127" s="1226"/>
      <c r="Z127" s="1226"/>
      <c r="AA127" s="1226"/>
      <c r="AB127" s="1226"/>
      <c r="AC127" s="1226"/>
      <c r="AD127" s="1226"/>
      <c r="AE127" s="1226"/>
      <c r="AF127" s="1226"/>
      <c r="AG127" s="1226"/>
      <c r="AH127" s="1226"/>
      <c r="AI127" s="1226"/>
      <c r="AJ127" s="1226"/>
      <c r="AK127" s="1226"/>
      <c r="AL127" s="1226"/>
      <c r="AM127" s="1226"/>
      <c r="AN127" s="1226"/>
    </row>
    <row r="128" spans="6:40">
      <c r="F128" s="1226"/>
      <c r="G128" s="1226"/>
      <c r="H128" s="1226"/>
      <c r="I128" s="1226"/>
      <c r="J128" s="1226"/>
      <c r="L128" s="1226"/>
      <c r="M128" s="1226"/>
      <c r="N128" s="1226"/>
      <c r="O128" s="1226"/>
      <c r="P128" s="1226"/>
      <c r="Q128" s="912"/>
      <c r="S128" s="1226"/>
      <c r="T128" s="1226"/>
      <c r="U128" s="1226"/>
      <c r="W128" s="376"/>
      <c r="X128" s="1226"/>
      <c r="Z128" s="1226"/>
      <c r="AA128" s="1226"/>
      <c r="AB128" s="1226"/>
      <c r="AC128" s="1226"/>
      <c r="AD128" s="1226"/>
      <c r="AE128" s="1226"/>
      <c r="AF128" s="1226"/>
      <c r="AG128" s="1226"/>
      <c r="AH128" s="1226"/>
      <c r="AI128" s="1226"/>
      <c r="AJ128" s="1226"/>
      <c r="AK128" s="1226"/>
      <c r="AL128" s="1226"/>
      <c r="AM128" s="1226"/>
      <c r="AN128" s="1226"/>
    </row>
    <row r="129" spans="6:40">
      <c r="F129" s="1226"/>
      <c r="G129" s="1226"/>
      <c r="H129" s="1226"/>
      <c r="I129" s="1226"/>
      <c r="J129" s="1226"/>
      <c r="L129" s="1226"/>
      <c r="M129" s="1226"/>
      <c r="N129" s="1226"/>
      <c r="O129" s="1226"/>
      <c r="P129" s="1226"/>
      <c r="Q129" s="912"/>
      <c r="S129" s="1226"/>
      <c r="T129" s="1226"/>
      <c r="U129" s="1226"/>
      <c r="W129" s="376"/>
      <c r="X129" s="1226"/>
      <c r="Z129" s="1226"/>
      <c r="AA129" s="1226"/>
      <c r="AB129" s="1226"/>
      <c r="AC129" s="1226"/>
      <c r="AD129" s="1226"/>
      <c r="AE129" s="1226"/>
      <c r="AF129" s="1226"/>
      <c r="AG129" s="1226"/>
      <c r="AH129" s="1226"/>
      <c r="AI129" s="1226"/>
      <c r="AJ129" s="1226"/>
      <c r="AK129" s="1226"/>
      <c r="AL129" s="1226"/>
      <c r="AM129" s="1226"/>
      <c r="AN129" s="1226"/>
    </row>
    <row r="130" spans="6:40">
      <c r="F130" s="1226"/>
      <c r="G130" s="1226"/>
      <c r="H130" s="1226"/>
      <c r="I130" s="1226"/>
      <c r="J130" s="1226"/>
      <c r="L130" s="1226"/>
      <c r="M130" s="1226"/>
      <c r="N130" s="1226"/>
      <c r="O130" s="1226"/>
      <c r="P130" s="1226"/>
      <c r="Q130" s="912"/>
      <c r="S130" s="1226"/>
      <c r="T130" s="1226"/>
      <c r="U130" s="1226"/>
      <c r="W130" s="376"/>
      <c r="X130" s="1226"/>
      <c r="Z130" s="1226"/>
      <c r="AA130" s="1226"/>
      <c r="AB130" s="1226"/>
      <c r="AC130" s="1226"/>
      <c r="AD130" s="1226"/>
      <c r="AE130" s="1226"/>
      <c r="AF130" s="1226"/>
      <c r="AG130" s="1226"/>
      <c r="AH130" s="1226"/>
      <c r="AI130" s="1226"/>
      <c r="AJ130" s="1226"/>
      <c r="AK130" s="1226"/>
      <c r="AL130" s="1226"/>
      <c r="AM130" s="1226"/>
      <c r="AN130" s="1226"/>
    </row>
    <row r="131" spans="6:40">
      <c r="F131" s="1226"/>
      <c r="G131" s="1226"/>
      <c r="H131" s="1226"/>
      <c r="I131" s="1226"/>
      <c r="J131" s="1226"/>
      <c r="L131" s="1226"/>
      <c r="M131" s="1226"/>
      <c r="O131" s="1226"/>
      <c r="P131" s="1226"/>
      <c r="Q131" s="912"/>
      <c r="S131" s="1226"/>
      <c r="T131" s="1226"/>
      <c r="U131" s="1226"/>
      <c r="W131" s="376"/>
      <c r="X131" s="1226"/>
      <c r="Z131" s="1226"/>
      <c r="AA131" s="1226"/>
      <c r="AB131" s="1226"/>
      <c r="AC131" s="1226"/>
      <c r="AD131" s="1226"/>
      <c r="AE131" s="1226"/>
      <c r="AF131" s="1226"/>
      <c r="AG131" s="1226"/>
      <c r="AH131" s="1226"/>
      <c r="AI131" s="1226"/>
      <c r="AJ131" s="1226"/>
      <c r="AK131" s="1226"/>
      <c r="AL131" s="1226"/>
      <c r="AM131" s="1226"/>
      <c r="AN131" s="1226"/>
    </row>
    <row r="132" spans="6:40">
      <c r="F132" s="1226"/>
      <c r="G132" s="1226"/>
      <c r="H132" s="1226"/>
      <c r="I132" s="1226"/>
      <c r="J132" s="1226"/>
      <c r="L132" s="1226"/>
      <c r="M132" s="1226"/>
      <c r="O132" s="1226"/>
      <c r="P132" s="1226"/>
      <c r="Q132" s="912"/>
      <c r="S132" s="1226"/>
      <c r="T132" s="1226"/>
      <c r="U132" s="1226"/>
      <c r="W132" s="376"/>
      <c r="X132" s="1226"/>
      <c r="Z132" s="1226"/>
      <c r="AA132" s="1226"/>
      <c r="AB132" s="1226"/>
      <c r="AC132" s="1226"/>
      <c r="AD132" s="1226"/>
      <c r="AE132" s="1226"/>
      <c r="AF132" s="1226"/>
      <c r="AG132" s="1226"/>
      <c r="AH132" s="1226"/>
      <c r="AI132" s="1226"/>
      <c r="AJ132" s="1226"/>
      <c r="AK132" s="1226"/>
      <c r="AL132" s="1226"/>
      <c r="AM132" s="1226"/>
      <c r="AN132" s="1226"/>
    </row>
    <row r="133" spans="6:40">
      <c r="F133" s="1226"/>
      <c r="G133" s="1226"/>
      <c r="H133" s="1226"/>
      <c r="I133" s="1226"/>
      <c r="J133" s="1226"/>
      <c r="L133" s="1226"/>
      <c r="M133" s="1226"/>
      <c r="O133" s="1226"/>
      <c r="P133" s="1226"/>
      <c r="Q133" s="912"/>
      <c r="S133" s="1226"/>
      <c r="T133" s="1226"/>
      <c r="U133" s="1226"/>
      <c r="W133" s="376"/>
      <c r="X133" s="1226"/>
      <c r="Z133" s="1226"/>
      <c r="AA133" s="1226"/>
      <c r="AB133" s="1226"/>
      <c r="AC133" s="1226"/>
      <c r="AD133" s="1226"/>
      <c r="AE133" s="1226"/>
      <c r="AF133" s="1226"/>
      <c r="AG133" s="1226"/>
      <c r="AH133" s="1226"/>
      <c r="AI133" s="1226"/>
      <c r="AJ133" s="1226"/>
      <c r="AK133" s="1226"/>
      <c r="AL133" s="1226"/>
      <c r="AM133" s="1226"/>
      <c r="AN133" s="1226"/>
    </row>
    <row r="134" spans="6:40">
      <c r="F134" s="1226"/>
      <c r="G134" s="1226"/>
      <c r="H134" s="1226"/>
      <c r="I134" s="1226"/>
      <c r="J134" s="1226"/>
      <c r="L134" s="1226"/>
      <c r="M134" s="1226"/>
      <c r="O134" s="1226"/>
      <c r="P134" s="1226"/>
      <c r="Q134" s="912"/>
      <c r="S134" s="1226"/>
      <c r="T134" s="1226"/>
      <c r="U134" s="1226"/>
      <c r="W134" s="376"/>
      <c r="X134" s="1226"/>
      <c r="Z134" s="1226"/>
      <c r="AA134" s="1226"/>
      <c r="AB134" s="1226"/>
      <c r="AC134" s="1226"/>
      <c r="AD134" s="1226"/>
      <c r="AE134" s="1226"/>
      <c r="AF134" s="1226"/>
      <c r="AG134" s="1226"/>
      <c r="AH134" s="1226"/>
      <c r="AI134" s="1226"/>
      <c r="AJ134" s="1226"/>
      <c r="AK134" s="1226"/>
      <c r="AL134" s="1226"/>
      <c r="AM134" s="1226"/>
      <c r="AN134" s="1226"/>
    </row>
    <row r="135" spans="6:40">
      <c r="F135" s="1226"/>
      <c r="G135" s="1226"/>
      <c r="H135" s="1226"/>
      <c r="I135" s="1226"/>
      <c r="J135" s="1226"/>
      <c r="L135" s="1226"/>
      <c r="M135" s="1226"/>
      <c r="O135" s="1226"/>
      <c r="P135" s="1226"/>
      <c r="Q135" s="912"/>
      <c r="S135" s="1226"/>
      <c r="T135" s="1226"/>
      <c r="U135" s="1226"/>
      <c r="W135" s="376"/>
      <c r="X135" s="1226"/>
      <c r="Z135" s="1226"/>
      <c r="AA135" s="1226"/>
      <c r="AB135" s="1226"/>
      <c r="AC135" s="1226"/>
      <c r="AD135" s="1226"/>
      <c r="AE135" s="1226"/>
      <c r="AF135" s="1226"/>
      <c r="AG135" s="1226"/>
      <c r="AH135" s="1226"/>
      <c r="AI135" s="1226"/>
      <c r="AJ135" s="1226"/>
      <c r="AK135" s="1226"/>
      <c r="AL135" s="1226"/>
      <c r="AM135" s="1226"/>
      <c r="AN135" s="1226"/>
    </row>
    <row r="136" spans="6:40">
      <c r="F136" s="1226"/>
      <c r="G136" s="1226"/>
      <c r="H136" s="1226"/>
      <c r="I136" s="1226"/>
      <c r="J136" s="1226"/>
      <c r="L136" s="1226"/>
      <c r="M136" s="1226"/>
      <c r="O136" s="1226"/>
      <c r="P136" s="1226"/>
      <c r="Q136" s="912"/>
      <c r="S136" s="1226"/>
      <c r="T136" s="1226"/>
      <c r="U136" s="1226"/>
      <c r="W136" s="376"/>
      <c r="X136" s="1226"/>
      <c r="Z136" s="1226"/>
      <c r="AA136" s="1226"/>
      <c r="AB136" s="1226"/>
      <c r="AC136" s="1226"/>
      <c r="AD136" s="1226"/>
      <c r="AE136" s="1226"/>
      <c r="AF136" s="1226"/>
      <c r="AG136" s="1226"/>
      <c r="AH136" s="1226"/>
      <c r="AI136" s="1226"/>
      <c r="AJ136" s="1226"/>
      <c r="AK136" s="1226"/>
      <c r="AL136" s="1226"/>
      <c r="AM136" s="1226"/>
      <c r="AN136" s="1226"/>
    </row>
    <row r="137" spans="6:40">
      <c r="F137" s="1226"/>
      <c r="G137" s="1226"/>
      <c r="H137" s="1226"/>
      <c r="I137" s="1226"/>
      <c r="J137" s="1226"/>
      <c r="L137" s="1226"/>
      <c r="M137" s="1226"/>
      <c r="O137" s="1226"/>
      <c r="P137" s="1226"/>
      <c r="Q137" s="912"/>
      <c r="S137" s="1226"/>
      <c r="T137" s="1226"/>
      <c r="U137" s="1226"/>
      <c r="W137" s="376"/>
      <c r="X137" s="1226"/>
      <c r="Z137" s="1226"/>
      <c r="AA137" s="1226"/>
      <c r="AB137" s="1226"/>
      <c r="AC137" s="1226"/>
      <c r="AD137" s="1226"/>
      <c r="AE137" s="1226"/>
      <c r="AF137" s="1226"/>
      <c r="AG137" s="1226"/>
      <c r="AH137" s="1226"/>
      <c r="AI137" s="1226"/>
      <c r="AJ137" s="1226"/>
      <c r="AK137" s="1226"/>
      <c r="AL137" s="1226"/>
      <c r="AM137" s="1226"/>
      <c r="AN137" s="1226"/>
    </row>
    <row r="138" spans="6:40">
      <c r="F138" s="1226"/>
      <c r="G138" s="1226"/>
      <c r="H138" s="1226"/>
      <c r="I138" s="1226"/>
      <c r="J138" s="1226"/>
      <c r="L138" s="1226"/>
      <c r="M138" s="1226"/>
      <c r="O138" s="1226"/>
      <c r="P138" s="1226"/>
      <c r="Q138" s="912"/>
      <c r="S138" s="1226"/>
      <c r="T138" s="1226"/>
      <c r="U138" s="1226"/>
      <c r="W138" s="376"/>
      <c r="X138" s="1226"/>
      <c r="Z138" s="1226"/>
      <c r="AA138" s="1226"/>
      <c r="AB138" s="1226"/>
      <c r="AC138" s="1226"/>
      <c r="AD138" s="1226"/>
      <c r="AE138" s="1226"/>
      <c r="AF138" s="1226"/>
      <c r="AG138" s="1226"/>
      <c r="AH138" s="1226"/>
      <c r="AI138" s="1226"/>
      <c r="AJ138" s="1226"/>
      <c r="AK138" s="1226"/>
      <c r="AL138" s="1226"/>
      <c r="AM138" s="1226"/>
      <c r="AN138" s="1226"/>
    </row>
    <row r="139" spans="6:40">
      <c r="F139" s="1226"/>
      <c r="G139" s="1226"/>
      <c r="H139" s="1226"/>
      <c r="I139" s="1226"/>
      <c r="J139" s="1226"/>
      <c r="L139" s="1226"/>
      <c r="M139" s="1226"/>
      <c r="O139" s="1226"/>
      <c r="P139" s="1226"/>
      <c r="Q139" s="912"/>
      <c r="S139" s="1226"/>
      <c r="T139" s="1226"/>
      <c r="U139" s="1226"/>
      <c r="W139" s="376"/>
      <c r="X139" s="1226"/>
      <c r="Z139" s="1226"/>
      <c r="AA139" s="1226"/>
      <c r="AB139" s="1226"/>
      <c r="AC139" s="1226"/>
      <c r="AD139" s="1226"/>
      <c r="AE139" s="1226"/>
      <c r="AF139" s="1226"/>
      <c r="AG139" s="1226"/>
      <c r="AH139" s="1226"/>
      <c r="AI139" s="1226"/>
      <c r="AJ139" s="1226"/>
      <c r="AK139" s="1226"/>
      <c r="AL139" s="1226"/>
      <c r="AM139" s="1226"/>
      <c r="AN139" s="1226"/>
    </row>
    <row r="140" spans="6:40">
      <c r="F140" s="1226"/>
      <c r="G140" s="1226"/>
      <c r="H140" s="1226"/>
      <c r="I140" s="1226"/>
      <c r="J140" s="1226"/>
      <c r="L140" s="1226"/>
      <c r="M140" s="1226"/>
      <c r="O140" s="1226"/>
      <c r="P140" s="1226"/>
      <c r="Q140" s="912"/>
      <c r="S140" s="1226"/>
      <c r="T140" s="1226"/>
      <c r="U140" s="1226"/>
      <c r="W140" s="376"/>
      <c r="X140" s="1226"/>
      <c r="Z140" s="1226"/>
      <c r="AA140" s="1226"/>
      <c r="AB140" s="1226"/>
      <c r="AC140" s="1226"/>
      <c r="AD140" s="1226"/>
      <c r="AE140" s="1226"/>
      <c r="AF140" s="1226"/>
      <c r="AG140" s="1226"/>
      <c r="AH140" s="1226"/>
      <c r="AI140" s="1226"/>
      <c r="AJ140" s="1226"/>
      <c r="AK140" s="1226"/>
      <c r="AL140" s="1226"/>
      <c r="AM140" s="1226"/>
      <c r="AN140" s="1226"/>
    </row>
    <row r="141" spans="6:40">
      <c r="F141" s="1226"/>
      <c r="G141" s="1226"/>
      <c r="H141" s="1226"/>
      <c r="I141" s="1226"/>
      <c r="J141" s="1226"/>
      <c r="L141" s="1226"/>
      <c r="M141" s="1226"/>
      <c r="O141" s="1226"/>
      <c r="P141" s="1226"/>
      <c r="Q141" s="912"/>
      <c r="S141" s="1226"/>
      <c r="T141" s="1226"/>
      <c r="U141" s="1226"/>
      <c r="W141" s="376"/>
      <c r="X141" s="1226"/>
      <c r="Z141" s="1226"/>
      <c r="AA141" s="1226"/>
      <c r="AB141" s="1226"/>
      <c r="AC141" s="1226"/>
      <c r="AD141" s="1226"/>
      <c r="AE141" s="1226"/>
      <c r="AF141" s="1226"/>
      <c r="AG141" s="1226"/>
      <c r="AH141" s="1226"/>
      <c r="AI141" s="1226"/>
      <c r="AJ141" s="1226"/>
      <c r="AK141" s="1226"/>
      <c r="AL141" s="1226"/>
      <c r="AM141" s="1226"/>
      <c r="AN141" s="1226"/>
    </row>
    <row r="142" spans="6:40">
      <c r="F142" s="1226"/>
      <c r="G142" s="1226"/>
      <c r="H142" s="1226"/>
      <c r="I142" s="1226"/>
      <c r="J142" s="1226"/>
      <c r="L142" s="1226"/>
      <c r="M142" s="1226"/>
      <c r="O142" s="1226"/>
      <c r="P142" s="1226"/>
      <c r="Q142" s="912"/>
      <c r="S142" s="1226"/>
      <c r="T142" s="1226"/>
      <c r="U142" s="1226"/>
      <c r="W142" s="376"/>
      <c r="X142" s="1226"/>
      <c r="Z142" s="1226"/>
      <c r="AA142" s="1226"/>
      <c r="AB142" s="1226"/>
      <c r="AC142" s="1226"/>
      <c r="AD142" s="1226"/>
      <c r="AE142" s="1226"/>
      <c r="AF142" s="1226"/>
      <c r="AG142" s="1226"/>
      <c r="AH142" s="1226"/>
      <c r="AI142" s="1226"/>
      <c r="AJ142" s="1226"/>
      <c r="AK142" s="1226"/>
      <c r="AL142" s="1226"/>
      <c r="AM142" s="1226"/>
      <c r="AN142" s="1226"/>
    </row>
    <row r="143" spans="6:40">
      <c r="F143" s="1226"/>
      <c r="G143" s="1226"/>
      <c r="H143" s="1226"/>
      <c r="I143" s="1226"/>
      <c r="J143" s="1226"/>
      <c r="L143" s="1226"/>
      <c r="M143" s="1226"/>
      <c r="O143" s="1226"/>
      <c r="P143" s="1226"/>
      <c r="Q143" s="912"/>
      <c r="S143" s="1226"/>
      <c r="T143" s="1226"/>
      <c r="U143" s="1226"/>
      <c r="W143" s="376"/>
      <c r="X143" s="1226"/>
      <c r="Z143" s="1226"/>
      <c r="AA143" s="1226"/>
      <c r="AB143" s="1226"/>
      <c r="AC143" s="1226"/>
      <c r="AD143" s="1226"/>
      <c r="AE143" s="1226"/>
      <c r="AF143" s="1226"/>
      <c r="AG143" s="1226"/>
      <c r="AH143" s="1226"/>
      <c r="AI143" s="1226"/>
      <c r="AJ143" s="1226"/>
      <c r="AK143" s="1226"/>
      <c r="AL143" s="1226"/>
      <c r="AM143" s="1226"/>
      <c r="AN143" s="1226"/>
    </row>
    <row r="144" spans="6:40">
      <c r="F144" s="1226"/>
      <c r="G144" s="1226"/>
      <c r="H144" s="1226"/>
      <c r="I144" s="1226"/>
      <c r="J144" s="1226"/>
      <c r="L144" s="1226"/>
      <c r="M144" s="1226"/>
      <c r="O144" s="1226"/>
      <c r="P144" s="1226"/>
      <c r="Q144" s="912"/>
      <c r="S144" s="1226"/>
      <c r="T144" s="1226"/>
      <c r="U144" s="1226"/>
      <c r="W144" s="376"/>
      <c r="X144" s="1226"/>
      <c r="Z144" s="1226"/>
      <c r="AA144" s="1226"/>
      <c r="AB144" s="1226"/>
      <c r="AC144" s="1226"/>
      <c r="AD144" s="1226"/>
      <c r="AE144" s="1226"/>
      <c r="AF144" s="1226"/>
      <c r="AG144" s="1226"/>
      <c r="AH144" s="1226"/>
      <c r="AI144" s="1226"/>
      <c r="AJ144" s="1226"/>
      <c r="AK144" s="1226"/>
      <c r="AL144" s="1226"/>
      <c r="AM144" s="1226"/>
      <c r="AN144" s="1226"/>
    </row>
    <row r="145" spans="6:40">
      <c r="F145" s="1226"/>
      <c r="G145" s="1226"/>
      <c r="H145" s="1226"/>
      <c r="I145" s="1226"/>
      <c r="J145" s="1226"/>
      <c r="L145" s="1226"/>
      <c r="M145" s="1226"/>
      <c r="O145" s="1226"/>
      <c r="P145" s="1226"/>
      <c r="Q145" s="912"/>
      <c r="S145" s="1226"/>
      <c r="T145" s="1226"/>
      <c r="U145" s="1226"/>
      <c r="W145" s="376"/>
      <c r="X145" s="1226"/>
      <c r="Z145" s="1226"/>
      <c r="AA145" s="1226"/>
      <c r="AB145" s="1226"/>
      <c r="AC145" s="1226"/>
      <c r="AD145" s="1226"/>
      <c r="AE145" s="1226"/>
      <c r="AF145" s="1226"/>
      <c r="AG145" s="1226"/>
      <c r="AH145" s="1226"/>
      <c r="AI145" s="1226"/>
      <c r="AJ145" s="1226"/>
      <c r="AK145" s="1226"/>
      <c r="AL145" s="1226"/>
      <c r="AM145" s="1226"/>
      <c r="AN145" s="1226"/>
    </row>
    <row r="146" spans="6:40">
      <c r="F146" s="1226"/>
      <c r="G146" s="1226"/>
      <c r="H146" s="1226"/>
      <c r="I146" s="1226"/>
      <c r="J146" s="1226"/>
      <c r="L146" s="1226"/>
      <c r="M146" s="1226"/>
      <c r="O146" s="1226"/>
      <c r="P146" s="1226"/>
      <c r="Q146" s="912"/>
      <c r="S146" s="1226"/>
      <c r="T146" s="1226"/>
      <c r="U146" s="1226"/>
      <c r="W146" s="376"/>
      <c r="X146" s="1226"/>
      <c r="Z146" s="1226"/>
      <c r="AA146" s="1226"/>
      <c r="AB146" s="1226"/>
      <c r="AC146" s="1226"/>
      <c r="AD146" s="1226"/>
      <c r="AE146" s="1226"/>
      <c r="AF146" s="1226"/>
      <c r="AG146" s="1226"/>
      <c r="AH146" s="1226"/>
      <c r="AI146" s="1226"/>
      <c r="AJ146" s="1226"/>
      <c r="AK146" s="1226"/>
      <c r="AL146" s="1226"/>
      <c r="AM146" s="1226"/>
      <c r="AN146" s="1226"/>
    </row>
    <row r="147" spans="6:40">
      <c r="F147" s="1226"/>
      <c r="G147" s="1226"/>
      <c r="H147" s="1226"/>
      <c r="I147" s="1226"/>
      <c r="J147" s="1226"/>
      <c r="L147" s="1226"/>
      <c r="M147" s="1226"/>
      <c r="O147" s="1226"/>
      <c r="P147" s="1226"/>
      <c r="Q147" s="912"/>
      <c r="S147" s="1226"/>
      <c r="T147" s="1226"/>
      <c r="U147" s="1226"/>
      <c r="W147" s="376"/>
      <c r="X147" s="1226"/>
      <c r="Z147" s="1226"/>
      <c r="AA147" s="1226"/>
      <c r="AB147" s="1226"/>
      <c r="AC147" s="1226"/>
      <c r="AD147" s="1226"/>
      <c r="AE147" s="1226"/>
      <c r="AF147" s="1226"/>
      <c r="AG147" s="1226"/>
      <c r="AH147" s="1226"/>
      <c r="AI147" s="1226"/>
      <c r="AJ147" s="1226"/>
      <c r="AK147" s="1226"/>
      <c r="AL147" s="1226"/>
      <c r="AM147" s="1226"/>
      <c r="AN147" s="1226"/>
    </row>
    <row r="148" spans="6:40">
      <c r="F148" s="1226"/>
      <c r="G148" s="1226"/>
      <c r="H148" s="1226"/>
      <c r="I148" s="1226"/>
      <c r="J148" s="1226"/>
      <c r="L148" s="1226"/>
      <c r="M148" s="1226"/>
      <c r="O148" s="1226"/>
      <c r="P148" s="1226"/>
      <c r="Q148" s="912"/>
      <c r="S148" s="1226"/>
      <c r="T148" s="1226"/>
      <c r="U148" s="1226"/>
      <c r="W148" s="376"/>
      <c r="X148" s="1226"/>
      <c r="Z148" s="1226"/>
      <c r="AA148" s="1226"/>
      <c r="AB148" s="1226"/>
      <c r="AC148" s="1226"/>
      <c r="AD148" s="1226"/>
      <c r="AE148" s="1226"/>
      <c r="AF148" s="1226"/>
      <c r="AG148" s="1226"/>
      <c r="AH148" s="1226"/>
      <c r="AI148" s="1226"/>
      <c r="AJ148" s="1226"/>
      <c r="AK148" s="1226"/>
      <c r="AL148" s="1226"/>
      <c r="AM148" s="1226"/>
      <c r="AN148" s="1226"/>
    </row>
    <row r="149" spans="6:40">
      <c r="F149" s="1226"/>
      <c r="G149" s="1226"/>
      <c r="H149" s="1226"/>
      <c r="I149" s="1226"/>
      <c r="J149" s="1226"/>
      <c r="L149" s="1226"/>
      <c r="M149" s="1226"/>
      <c r="O149" s="1226"/>
      <c r="P149" s="1226"/>
      <c r="Q149" s="912"/>
      <c r="S149" s="1226"/>
      <c r="T149" s="1226"/>
      <c r="U149" s="1226"/>
      <c r="W149" s="376"/>
      <c r="X149" s="1226"/>
      <c r="Z149" s="1226"/>
      <c r="AA149" s="1226"/>
      <c r="AB149" s="1226"/>
      <c r="AC149" s="1226"/>
      <c r="AD149" s="1226"/>
      <c r="AE149" s="1226"/>
      <c r="AF149" s="1226"/>
      <c r="AG149" s="1226"/>
      <c r="AH149" s="1226"/>
      <c r="AI149" s="1226"/>
      <c r="AJ149" s="1226"/>
      <c r="AK149" s="1226"/>
      <c r="AL149" s="1226"/>
      <c r="AM149" s="1226"/>
      <c r="AN149" s="1226"/>
    </row>
    <row r="150" spans="6:40">
      <c r="F150" s="1226"/>
      <c r="G150" s="1226"/>
      <c r="H150" s="1226"/>
      <c r="I150" s="1226"/>
      <c r="J150" s="1226"/>
      <c r="L150" s="1226"/>
      <c r="M150" s="1226"/>
      <c r="O150" s="1226"/>
      <c r="P150" s="1226"/>
      <c r="Q150" s="912"/>
      <c r="S150" s="1226"/>
      <c r="T150" s="1226"/>
      <c r="U150" s="1226"/>
      <c r="W150" s="376"/>
      <c r="X150" s="1226"/>
      <c r="Z150" s="1226"/>
      <c r="AA150" s="1226"/>
      <c r="AB150" s="1226"/>
      <c r="AC150" s="1226"/>
      <c r="AD150" s="1226"/>
      <c r="AE150" s="1226"/>
      <c r="AF150" s="1226"/>
      <c r="AG150" s="1226"/>
      <c r="AH150" s="1226"/>
      <c r="AI150" s="1226"/>
      <c r="AJ150" s="1226"/>
      <c r="AK150" s="1226"/>
      <c r="AL150" s="1226"/>
      <c r="AM150" s="1226"/>
      <c r="AN150" s="1226"/>
    </row>
    <row r="151" spans="6:40">
      <c r="F151" s="1226"/>
      <c r="G151" s="1226"/>
      <c r="H151" s="1226"/>
      <c r="I151" s="1226"/>
      <c r="J151" s="1226"/>
      <c r="L151" s="1226"/>
      <c r="M151" s="1226"/>
      <c r="O151" s="1226"/>
      <c r="P151" s="1226"/>
      <c r="Q151" s="912"/>
      <c r="S151" s="1226"/>
      <c r="T151" s="1226"/>
      <c r="U151" s="1226"/>
      <c r="W151" s="376"/>
      <c r="X151" s="1226"/>
      <c r="Z151" s="1226"/>
      <c r="AA151" s="1226"/>
      <c r="AB151" s="1226"/>
      <c r="AC151" s="1226"/>
      <c r="AD151" s="1226"/>
      <c r="AE151" s="1226"/>
      <c r="AF151" s="1226"/>
      <c r="AG151" s="1226"/>
      <c r="AH151" s="1226"/>
      <c r="AI151" s="1226"/>
      <c r="AJ151" s="1226"/>
      <c r="AK151" s="1226"/>
      <c r="AL151" s="1226"/>
      <c r="AM151" s="1226"/>
      <c r="AN151" s="1226"/>
    </row>
    <row r="152" spans="6:40">
      <c r="F152" s="1226"/>
      <c r="G152" s="1226"/>
      <c r="H152" s="1226"/>
      <c r="I152" s="1226"/>
      <c r="J152" s="1226"/>
      <c r="L152" s="1226"/>
      <c r="M152" s="1226"/>
      <c r="O152" s="1226"/>
      <c r="P152" s="1226"/>
      <c r="Q152" s="912"/>
      <c r="S152" s="1226"/>
      <c r="T152" s="1226"/>
      <c r="U152" s="1226"/>
      <c r="W152" s="376"/>
      <c r="X152" s="1226"/>
      <c r="Z152" s="1226"/>
      <c r="AA152" s="1226"/>
      <c r="AB152" s="1226"/>
      <c r="AC152" s="1226"/>
      <c r="AD152" s="1226"/>
      <c r="AE152" s="1226"/>
      <c r="AF152" s="1226"/>
      <c r="AG152" s="1226"/>
      <c r="AH152" s="1226"/>
      <c r="AI152" s="1226"/>
      <c r="AJ152" s="1226"/>
      <c r="AK152" s="1226"/>
      <c r="AL152" s="1226"/>
      <c r="AM152" s="1226"/>
      <c r="AN152" s="1226"/>
    </row>
    <row r="153" spans="6:40">
      <c r="F153" s="1226"/>
      <c r="G153" s="1226"/>
      <c r="H153" s="1226"/>
      <c r="I153" s="1226"/>
      <c r="J153" s="1226"/>
      <c r="L153" s="1226"/>
      <c r="M153" s="1226"/>
      <c r="O153" s="1226"/>
      <c r="P153" s="1226"/>
      <c r="Q153" s="912"/>
      <c r="S153" s="1226"/>
      <c r="T153" s="1226"/>
      <c r="U153" s="1226"/>
      <c r="W153" s="376"/>
      <c r="X153" s="1226"/>
      <c r="Z153" s="1226"/>
      <c r="AA153" s="1226"/>
      <c r="AB153" s="1226"/>
      <c r="AC153" s="1226"/>
      <c r="AD153" s="1226"/>
      <c r="AE153" s="1226"/>
      <c r="AF153" s="1226"/>
      <c r="AG153" s="1226"/>
      <c r="AH153" s="1226"/>
      <c r="AI153" s="1226"/>
      <c r="AJ153" s="1226"/>
      <c r="AK153" s="1226"/>
      <c r="AL153" s="1226"/>
      <c r="AM153" s="1226"/>
      <c r="AN153" s="1226"/>
    </row>
    <row r="154" spans="6:40">
      <c r="F154" s="1226"/>
      <c r="G154" s="1226"/>
      <c r="H154" s="1226"/>
      <c r="I154" s="1226"/>
      <c r="J154" s="1226"/>
      <c r="L154" s="1226"/>
      <c r="M154" s="1226"/>
      <c r="O154" s="1226"/>
      <c r="P154" s="1226"/>
      <c r="Q154" s="912"/>
      <c r="S154" s="1226"/>
      <c r="T154" s="1226"/>
      <c r="U154" s="1226"/>
      <c r="W154" s="376"/>
      <c r="X154" s="1226"/>
      <c r="Z154" s="1226"/>
      <c r="AA154" s="1226"/>
      <c r="AB154" s="1226"/>
      <c r="AC154" s="1226"/>
      <c r="AD154" s="1226"/>
      <c r="AE154" s="1226"/>
      <c r="AF154" s="1226"/>
      <c r="AG154" s="1226"/>
      <c r="AH154" s="1226"/>
      <c r="AI154" s="1226"/>
      <c r="AJ154" s="1226"/>
      <c r="AK154" s="1226"/>
      <c r="AL154" s="1226"/>
      <c r="AM154" s="1226"/>
      <c r="AN154" s="1226"/>
    </row>
    <row r="155" spans="6:40">
      <c r="F155" s="1226"/>
      <c r="G155" s="1226"/>
      <c r="H155" s="1226"/>
      <c r="I155" s="1226"/>
      <c r="J155" s="1226"/>
      <c r="L155" s="1226"/>
      <c r="M155" s="1226"/>
      <c r="O155" s="1226"/>
      <c r="P155" s="1226"/>
      <c r="Q155" s="912"/>
      <c r="S155" s="1226"/>
      <c r="T155" s="1226"/>
      <c r="U155" s="1226"/>
      <c r="W155" s="376"/>
      <c r="X155" s="1226"/>
      <c r="Z155" s="1226"/>
      <c r="AA155" s="1226"/>
      <c r="AB155" s="1226"/>
      <c r="AC155" s="1226"/>
      <c r="AD155" s="1226"/>
      <c r="AE155" s="1226"/>
      <c r="AF155" s="1226"/>
      <c r="AG155" s="1226"/>
      <c r="AH155" s="1226"/>
      <c r="AI155" s="1226"/>
      <c r="AJ155" s="1226"/>
      <c r="AK155" s="1226"/>
      <c r="AL155" s="1226"/>
      <c r="AM155" s="1226"/>
      <c r="AN155" s="1226"/>
    </row>
    <row r="156" spans="6:40">
      <c r="F156" s="1226"/>
      <c r="G156" s="1226"/>
      <c r="H156" s="1226"/>
      <c r="I156" s="1226"/>
      <c r="J156" s="1226"/>
      <c r="L156" s="1226"/>
      <c r="M156" s="1226"/>
      <c r="O156" s="1226"/>
      <c r="P156" s="1226"/>
      <c r="Q156" s="912"/>
      <c r="S156" s="1226"/>
      <c r="T156" s="1226"/>
      <c r="U156" s="1226"/>
      <c r="W156" s="376"/>
      <c r="X156" s="1226"/>
      <c r="Z156" s="1226"/>
      <c r="AA156" s="1226"/>
      <c r="AB156" s="1226"/>
      <c r="AC156" s="1226"/>
      <c r="AD156" s="1226"/>
      <c r="AE156" s="1226"/>
      <c r="AF156" s="1226"/>
      <c r="AG156" s="1226"/>
      <c r="AH156" s="1226"/>
      <c r="AI156" s="1226"/>
      <c r="AJ156" s="1226"/>
      <c r="AK156" s="1226"/>
      <c r="AL156" s="1226"/>
      <c r="AM156" s="1226"/>
      <c r="AN156" s="1226"/>
    </row>
    <row r="157" spans="6:40">
      <c r="F157" s="1226"/>
      <c r="G157" s="1226"/>
      <c r="H157" s="1226"/>
      <c r="I157" s="1226"/>
      <c r="J157" s="1226"/>
      <c r="L157" s="1226"/>
      <c r="M157" s="1226"/>
      <c r="O157" s="1226"/>
      <c r="P157" s="1226"/>
      <c r="Q157" s="912"/>
      <c r="S157" s="1226"/>
      <c r="T157" s="1226"/>
      <c r="U157" s="1226"/>
      <c r="W157" s="376"/>
      <c r="X157" s="1226"/>
      <c r="Z157" s="1226"/>
      <c r="AA157" s="1226"/>
      <c r="AB157" s="1226"/>
      <c r="AC157" s="1226"/>
      <c r="AD157" s="1226"/>
      <c r="AE157" s="1226"/>
      <c r="AF157" s="1226"/>
      <c r="AG157" s="1226"/>
      <c r="AH157" s="1226"/>
      <c r="AI157" s="1226"/>
      <c r="AJ157" s="1226"/>
      <c r="AK157" s="1226"/>
      <c r="AL157" s="1226"/>
      <c r="AM157" s="1226"/>
      <c r="AN157" s="1226"/>
    </row>
    <row r="158" spans="6:40">
      <c r="F158" s="1226"/>
      <c r="G158" s="1226"/>
      <c r="H158" s="1226"/>
      <c r="I158" s="1226"/>
      <c r="J158" s="1226"/>
      <c r="L158" s="1226"/>
      <c r="M158" s="1226"/>
      <c r="O158" s="1226"/>
      <c r="P158" s="1226"/>
      <c r="Q158" s="912"/>
      <c r="S158" s="1226"/>
      <c r="T158" s="1226"/>
      <c r="U158" s="1226"/>
      <c r="W158" s="376"/>
      <c r="X158" s="1226"/>
      <c r="Z158" s="1226"/>
      <c r="AA158" s="1226"/>
      <c r="AB158" s="1226"/>
      <c r="AC158" s="1226"/>
      <c r="AD158" s="1226"/>
      <c r="AE158" s="1226"/>
      <c r="AF158" s="1226"/>
      <c r="AG158" s="1226"/>
      <c r="AH158" s="1226"/>
      <c r="AI158" s="1226"/>
      <c r="AJ158" s="1226"/>
      <c r="AK158" s="1226"/>
      <c r="AL158" s="1226"/>
      <c r="AM158" s="1226"/>
      <c r="AN158" s="1226"/>
    </row>
    <row r="159" spans="6:40">
      <c r="F159" s="1226"/>
      <c r="G159" s="1226"/>
      <c r="H159" s="1226"/>
      <c r="I159" s="1226"/>
      <c r="J159" s="1226"/>
      <c r="L159" s="1226"/>
      <c r="M159" s="1226"/>
      <c r="O159" s="1226"/>
      <c r="P159" s="1226"/>
      <c r="Q159" s="912"/>
      <c r="S159" s="1226"/>
      <c r="T159" s="1226"/>
      <c r="U159" s="1226"/>
      <c r="W159" s="376"/>
      <c r="X159" s="1226"/>
      <c r="Z159" s="1226"/>
      <c r="AA159" s="1226"/>
      <c r="AB159" s="1226"/>
      <c r="AC159" s="1226"/>
      <c r="AD159" s="1226"/>
      <c r="AE159" s="1226"/>
      <c r="AF159" s="1226"/>
      <c r="AG159" s="1226"/>
      <c r="AH159" s="1226"/>
      <c r="AI159" s="1226"/>
      <c r="AJ159" s="1226"/>
      <c r="AK159" s="1226"/>
      <c r="AL159" s="1226"/>
      <c r="AM159" s="1226"/>
      <c r="AN159" s="1226"/>
    </row>
    <row r="160" spans="6:40">
      <c r="F160" s="1226"/>
      <c r="G160" s="1226"/>
      <c r="H160" s="1226"/>
      <c r="I160" s="1226"/>
      <c r="J160" s="1226"/>
      <c r="L160" s="1226"/>
      <c r="M160" s="1226"/>
      <c r="O160" s="1226"/>
      <c r="P160" s="1226"/>
      <c r="Q160" s="912"/>
      <c r="S160" s="1226"/>
      <c r="T160" s="1226"/>
      <c r="U160" s="1226"/>
      <c r="W160" s="376"/>
      <c r="X160" s="1226"/>
      <c r="Z160" s="1226"/>
      <c r="AA160" s="1226"/>
      <c r="AB160" s="1226"/>
      <c r="AC160" s="1226"/>
      <c r="AD160" s="1226"/>
      <c r="AE160" s="1226"/>
      <c r="AF160" s="1226"/>
      <c r="AG160" s="1226"/>
      <c r="AH160" s="1226"/>
      <c r="AI160" s="1226"/>
      <c r="AJ160" s="1226"/>
      <c r="AK160" s="1226"/>
      <c r="AL160" s="1226"/>
      <c r="AM160" s="1226"/>
      <c r="AN160" s="1226"/>
    </row>
    <row r="161" spans="6:40">
      <c r="F161" s="1226"/>
      <c r="G161" s="1226"/>
      <c r="H161" s="1226"/>
      <c r="I161" s="1226"/>
      <c r="J161" s="1226"/>
      <c r="L161" s="1226"/>
      <c r="M161" s="1226"/>
      <c r="O161" s="1226"/>
      <c r="P161" s="1226"/>
      <c r="Q161" s="912"/>
      <c r="S161" s="1226"/>
      <c r="T161" s="1226"/>
      <c r="U161" s="1226"/>
      <c r="W161" s="376"/>
      <c r="X161" s="1226"/>
      <c r="Z161" s="1226"/>
      <c r="AA161" s="1226"/>
      <c r="AB161" s="1226"/>
      <c r="AC161" s="1226"/>
      <c r="AD161" s="1226"/>
      <c r="AE161" s="1226"/>
      <c r="AF161" s="1226"/>
      <c r="AG161" s="1226"/>
      <c r="AH161" s="1226"/>
      <c r="AI161" s="1226"/>
      <c r="AJ161" s="1226"/>
      <c r="AK161" s="1226"/>
      <c r="AL161" s="1226"/>
      <c r="AM161" s="1226"/>
      <c r="AN161" s="1226"/>
    </row>
    <row r="162" spans="6:40">
      <c r="F162" s="1226"/>
      <c r="G162" s="1226"/>
      <c r="H162" s="1226"/>
      <c r="I162" s="1226"/>
      <c r="J162" s="1226"/>
      <c r="L162" s="1226"/>
      <c r="M162" s="1226"/>
      <c r="O162" s="1226"/>
      <c r="P162" s="1226"/>
      <c r="Q162" s="912"/>
      <c r="S162" s="1226"/>
      <c r="T162" s="1226"/>
      <c r="U162" s="1226"/>
      <c r="W162" s="376"/>
      <c r="X162" s="1226"/>
      <c r="Z162" s="1226"/>
      <c r="AA162" s="1226"/>
      <c r="AB162" s="1226"/>
      <c r="AC162" s="1226"/>
      <c r="AD162" s="1226"/>
      <c r="AE162" s="1226"/>
      <c r="AF162" s="1226"/>
      <c r="AG162" s="1226"/>
      <c r="AH162" s="1226"/>
      <c r="AI162" s="1226"/>
      <c r="AJ162" s="1226"/>
      <c r="AK162" s="1226"/>
      <c r="AL162" s="1226"/>
      <c r="AM162" s="1226"/>
      <c r="AN162" s="1226"/>
    </row>
    <row r="163" spans="6:40">
      <c r="F163" s="1226"/>
      <c r="G163" s="1226"/>
      <c r="H163" s="1226"/>
      <c r="I163" s="1226"/>
      <c r="J163" s="1226"/>
      <c r="L163" s="1226"/>
      <c r="M163" s="1226"/>
      <c r="O163" s="1226"/>
      <c r="P163" s="1226"/>
      <c r="Q163" s="912"/>
      <c r="S163" s="1226"/>
      <c r="T163" s="1226"/>
      <c r="U163" s="1226"/>
      <c r="W163" s="376"/>
      <c r="X163" s="1226"/>
      <c r="Z163" s="1226"/>
      <c r="AA163" s="1226"/>
      <c r="AB163" s="1226"/>
      <c r="AC163" s="1226"/>
      <c r="AD163" s="1226"/>
      <c r="AE163" s="1226"/>
      <c r="AF163" s="1226"/>
      <c r="AG163" s="1226"/>
      <c r="AH163" s="1226"/>
      <c r="AI163" s="1226"/>
      <c r="AJ163" s="1226"/>
      <c r="AK163" s="1226"/>
      <c r="AL163" s="1226"/>
      <c r="AM163" s="1226"/>
      <c r="AN163" s="1226"/>
    </row>
    <row r="164" spans="6:40">
      <c r="F164" s="1226"/>
      <c r="G164" s="1226"/>
      <c r="H164" s="1226"/>
      <c r="I164" s="1226"/>
      <c r="J164" s="1226"/>
      <c r="L164" s="1226"/>
      <c r="M164" s="1226"/>
      <c r="O164" s="1226"/>
      <c r="P164" s="1226"/>
      <c r="Q164" s="912"/>
      <c r="S164" s="1226"/>
      <c r="T164" s="1226"/>
      <c r="U164" s="1226"/>
      <c r="W164" s="376"/>
      <c r="X164" s="1226"/>
      <c r="Z164" s="1226"/>
      <c r="AA164" s="1226"/>
      <c r="AB164" s="1226"/>
      <c r="AC164" s="1226"/>
      <c r="AD164" s="1226"/>
      <c r="AE164" s="1226"/>
      <c r="AF164" s="1226"/>
      <c r="AG164" s="1226"/>
      <c r="AH164" s="1226"/>
      <c r="AI164" s="1226"/>
      <c r="AJ164" s="1226"/>
      <c r="AK164" s="1226"/>
      <c r="AL164" s="1226"/>
      <c r="AM164" s="1226"/>
      <c r="AN164" s="1226"/>
    </row>
    <row r="165" spans="6:40">
      <c r="F165" s="1226"/>
      <c r="G165" s="1226"/>
      <c r="H165" s="1226"/>
      <c r="I165" s="1226"/>
      <c r="J165" s="1226"/>
      <c r="L165" s="1226"/>
      <c r="M165" s="1226"/>
      <c r="O165" s="1226"/>
      <c r="P165" s="1226"/>
      <c r="Q165" s="912"/>
      <c r="S165" s="1226"/>
      <c r="T165" s="1226"/>
      <c r="U165" s="1226"/>
      <c r="W165" s="376"/>
      <c r="X165" s="1226"/>
      <c r="Z165" s="1226"/>
      <c r="AA165" s="1226"/>
      <c r="AB165" s="1226"/>
      <c r="AC165" s="1226"/>
      <c r="AD165" s="1226"/>
      <c r="AE165" s="1226"/>
      <c r="AF165" s="1226"/>
      <c r="AG165" s="1226"/>
      <c r="AH165" s="1226"/>
      <c r="AI165" s="1226"/>
      <c r="AJ165" s="1226"/>
      <c r="AK165" s="1226"/>
      <c r="AL165" s="1226"/>
      <c r="AM165" s="1226"/>
      <c r="AN165" s="1226"/>
    </row>
    <row r="166" spans="6:40">
      <c r="F166" s="1226"/>
      <c r="G166" s="1226"/>
      <c r="H166" s="1226"/>
      <c r="I166" s="1226"/>
      <c r="J166" s="1226"/>
      <c r="L166" s="1226"/>
      <c r="M166" s="1226"/>
      <c r="O166" s="1226"/>
      <c r="P166" s="1226"/>
      <c r="Q166" s="912"/>
      <c r="S166" s="1226"/>
      <c r="T166" s="1226"/>
      <c r="U166" s="1226"/>
      <c r="W166" s="376"/>
      <c r="X166" s="1226"/>
      <c r="Z166" s="1226"/>
      <c r="AA166" s="1226"/>
      <c r="AB166" s="1226"/>
      <c r="AC166" s="1226"/>
      <c r="AD166" s="1226"/>
      <c r="AE166" s="1226"/>
      <c r="AF166" s="1226"/>
      <c r="AG166" s="1226"/>
      <c r="AH166" s="1226"/>
      <c r="AI166" s="1226"/>
      <c r="AJ166" s="1226"/>
      <c r="AK166" s="1226"/>
      <c r="AL166" s="1226"/>
      <c r="AM166" s="1226"/>
      <c r="AN166" s="1226"/>
    </row>
    <row r="167" spans="6:40">
      <c r="F167" s="1226"/>
      <c r="G167" s="1226"/>
      <c r="H167" s="1226"/>
      <c r="I167" s="1226"/>
      <c r="J167" s="1226"/>
      <c r="L167" s="1226"/>
      <c r="M167" s="1226"/>
      <c r="O167" s="1226"/>
      <c r="P167" s="1226"/>
      <c r="Q167" s="912"/>
      <c r="S167" s="1226"/>
      <c r="T167" s="1226"/>
      <c r="U167" s="1226"/>
      <c r="W167" s="376"/>
      <c r="X167" s="1226"/>
      <c r="Z167" s="1226"/>
      <c r="AA167" s="1226"/>
      <c r="AB167" s="1226"/>
      <c r="AC167" s="1226"/>
      <c r="AD167" s="1226"/>
      <c r="AE167" s="1226"/>
      <c r="AF167" s="1226"/>
      <c r="AG167" s="1226"/>
      <c r="AH167" s="1226"/>
      <c r="AI167" s="1226"/>
      <c r="AJ167" s="1226"/>
      <c r="AK167" s="1226"/>
      <c r="AL167" s="1226"/>
      <c r="AM167" s="1226"/>
      <c r="AN167" s="1226"/>
    </row>
    <row r="168" spans="6:40">
      <c r="F168" s="1226"/>
      <c r="G168" s="1226"/>
      <c r="H168" s="1226"/>
      <c r="I168" s="1226"/>
      <c r="J168" s="1226"/>
      <c r="L168" s="1226"/>
      <c r="M168" s="1226"/>
      <c r="O168" s="1226"/>
      <c r="P168" s="1226"/>
      <c r="Q168" s="912"/>
      <c r="S168" s="1226"/>
      <c r="T168" s="1226"/>
      <c r="U168" s="1226"/>
      <c r="W168" s="376"/>
      <c r="X168" s="1226"/>
      <c r="Z168" s="1226"/>
      <c r="AA168" s="1226"/>
      <c r="AB168" s="1226"/>
      <c r="AC168" s="1226"/>
      <c r="AD168" s="1226"/>
      <c r="AE168" s="1226"/>
      <c r="AF168" s="1226"/>
      <c r="AG168" s="1226"/>
      <c r="AH168" s="1226"/>
      <c r="AI168" s="1226"/>
      <c r="AJ168" s="1226"/>
      <c r="AK168" s="1226"/>
      <c r="AL168" s="1226"/>
      <c r="AM168" s="1226"/>
      <c r="AN168" s="1226"/>
    </row>
    <row r="169" spans="6:40">
      <c r="F169" s="1226"/>
      <c r="G169" s="1226"/>
      <c r="H169" s="1226"/>
      <c r="I169" s="1226"/>
      <c r="J169" s="1226"/>
      <c r="L169" s="1226"/>
      <c r="M169" s="1226"/>
      <c r="O169" s="1226"/>
      <c r="P169" s="1226"/>
      <c r="Q169" s="912"/>
      <c r="S169" s="1226"/>
      <c r="T169" s="1226"/>
      <c r="U169" s="1226"/>
      <c r="W169" s="376"/>
      <c r="X169" s="1226"/>
      <c r="Z169" s="1226"/>
      <c r="AA169" s="1226"/>
      <c r="AB169" s="1226"/>
      <c r="AC169" s="1226"/>
      <c r="AD169" s="1226"/>
      <c r="AE169" s="1226"/>
      <c r="AF169" s="1226"/>
      <c r="AG169" s="1226"/>
      <c r="AH169" s="1226"/>
      <c r="AI169" s="1226"/>
      <c r="AJ169" s="1226"/>
      <c r="AK169" s="1226"/>
      <c r="AL169" s="1226"/>
      <c r="AM169" s="1226"/>
      <c r="AN169" s="1226"/>
    </row>
    <row r="170" spans="6:40">
      <c r="F170" s="1226"/>
      <c r="G170" s="1226"/>
      <c r="H170" s="1226"/>
      <c r="I170" s="1226"/>
      <c r="J170" s="1226"/>
      <c r="L170" s="1226"/>
      <c r="M170" s="1226"/>
      <c r="O170" s="1226"/>
      <c r="P170" s="1226"/>
      <c r="Q170" s="912"/>
      <c r="S170" s="1226"/>
      <c r="T170" s="1226"/>
      <c r="U170" s="1226"/>
      <c r="W170" s="376"/>
      <c r="X170" s="1226"/>
      <c r="Z170" s="1226"/>
      <c r="AA170" s="1226"/>
      <c r="AB170" s="1226"/>
      <c r="AC170" s="1226"/>
      <c r="AD170" s="1226"/>
      <c r="AE170" s="1226"/>
      <c r="AF170" s="1226"/>
      <c r="AG170" s="1226"/>
      <c r="AH170" s="1226"/>
      <c r="AI170" s="1226"/>
      <c r="AJ170" s="1226"/>
      <c r="AK170" s="1226"/>
      <c r="AL170" s="1226"/>
      <c r="AM170" s="1226"/>
      <c r="AN170" s="1226"/>
    </row>
    <row r="171" spans="6:40">
      <c r="F171" s="1226"/>
      <c r="G171" s="1226"/>
      <c r="H171" s="1226"/>
      <c r="I171" s="1226"/>
      <c r="J171" s="1226"/>
      <c r="L171" s="1226"/>
      <c r="M171" s="1226"/>
      <c r="O171" s="1226"/>
      <c r="P171" s="1226"/>
      <c r="Q171" s="1226"/>
      <c r="S171" s="1226"/>
      <c r="T171" s="1226"/>
      <c r="U171" s="1226"/>
      <c r="W171" s="376"/>
      <c r="X171" s="1226"/>
      <c r="Z171" s="1226"/>
      <c r="AA171" s="1226"/>
      <c r="AB171" s="1226"/>
      <c r="AC171" s="1226"/>
      <c r="AD171" s="1226"/>
      <c r="AE171" s="1226"/>
      <c r="AF171" s="1226"/>
      <c r="AG171" s="1226"/>
      <c r="AH171" s="1226"/>
      <c r="AI171" s="1226"/>
      <c r="AJ171" s="1226"/>
      <c r="AK171" s="1226"/>
      <c r="AL171" s="1226"/>
      <c r="AM171" s="1226"/>
      <c r="AN171" s="1226"/>
    </row>
    <row r="172" spans="6:40">
      <c r="F172" s="1226"/>
      <c r="G172" s="1226"/>
      <c r="H172" s="1226"/>
      <c r="I172" s="1226"/>
      <c r="J172" s="1226"/>
      <c r="L172" s="1226"/>
      <c r="M172" s="1226"/>
      <c r="O172" s="1226"/>
      <c r="P172" s="1226"/>
      <c r="Q172" s="1226"/>
      <c r="S172" s="1226"/>
      <c r="T172" s="1226"/>
      <c r="U172" s="1226"/>
      <c r="W172" s="376"/>
      <c r="X172" s="1226"/>
      <c r="Z172" s="1226"/>
      <c r="AA172" s="1226"/>
      <c r="AB172" s="1226"/>
      <c r="AC172" s="1226"/>
      <c r="AD172" s="1226"/>
      <c r="AE172" s="1226"/>
      <c r="AF172" s="1226"/>
      <c r="AG172" s="1226"/>
      <c r="AH172" s="1226"/>
      <c r="AI172" s="1226"/>
      <c r="AJ172" s="1226"/>
      <c r="AK172" s="1226"/>
      <c r="AL172" s="1226"/>
      <c r="AM172" s="1226"/>
      <c r="AN172" s="1226"/>
    </row>
    <row r="173" spans="6:40">
      <c r="F173" s="1226"/>
      <c r="G173" s="1226"/>
      <c r="H173" s="1226"/>
      <c r="I173" s="1226"/>
      <c r="J173" s="1226"/>
      <c r="L173" s="1226"/>
      <c r="M173" s="1226"/>
      <c r="O173" s="1226"/>
      <c r="P173" s="1226"/>
      <c r="Q173" s="1226"/>
      <c r="S173" s="1226"/>
      <c r="T173" s="1226"/>
      <c r="U173" s="1226"/>
      <c r="W173" s="376"/>
      <c r="X173" s="1226"/>
      <c r="Z173" s="1226"/>
      <c r="AA173" s="1226"/>
      <c r="AB173" s="1226"/>
      <c r="AC173" s="1226"/>
      <c r="AD173" s="1226"/>
      <c r="AE173" s="1226"/>
      <c r="AF173" s="1226"/>
      <c r="AG173" s="1226"/>
      <c r="AH173" s="1226"/>
      <c r="AI173" s="1226"/>
      <c r="AJ173" s="1226"/>
      <c r="AK173" s="1226"/>
      <c r="AL173" s="1226"/>
      <c r="AM173" s="1226"/>
      <c r="AN173" s="1226"/>
    </row>
    <row r="174" spans="6:40">
      <c r="F174" s="1226"/>
      <c r="G174" s="1226"/>
      <c r="H174" s="1226"/>
      <c r="I174" s="1226"/>
      <c r="J174" s="1226"/>
      <c r="L174" s="1226"/>
      <c r="M174" s="1226"/>
      <c r="O174" s="1226"/>
      <c r="P174" s="1226"/>
      <c r="Q174" s="1226"/>
      <c r="S174" s="1226"/>
      <c r="T174" s="1226"/>
      <c r="U174" s="1226"/>
      <c r="W174" s="376"/>
      <c r="X174" s="1226"/>
      <c r="Z174" s="1226"/>
      <c r="AA174" s="1226"/>
      <c r="AB174" s="1226"/>
      <c r="AC174" s="1226"/>
      <c r="AD174" s="1226"/>
      <c r="AE174" s="1226"/>
      <c r="AF174" s="1226"/>
      <c r="AG174" s="1226"/>
      <c r="AH174" s="1226"/>
      <c r="AI174" s="1226"/>
      <c r="AJ174" s="1226"/>
      <c r="AK174" s="1226"/>
      <c r="AL174" s="1226"/>
      <c r="AM174" s="1226"/>
      <c r="AN174" s="1226"/>
    </row>
    <row r="175" spans="6:40">
      <c r="F175" s="1226"/>
      <c r="G175" s="1226"/>
      <c r="H175" s="1226"/>
      <c r="I175" s="1226"/>
      <c r="J175" s="1226"/>
      <c r="L175" s="1226"/>
      <c r="M175" s="1226"/>
      <c r="O175" s="1226"/>
      <c r="P175" s="1226"/>
      <c r="Q175" s="1226"/>
      <c r="S175" s="1226"/>
      <c r="T175" s="1226"/>
      <c r="U175" s="1226"/>
      <c r="W175" s="376"/>
      <c r="X175" s="1226"/>
      <c r="Z175" s="1226"/>
      <c r="AA175" s="1226"/>
      <c r="AB175" s="1226"/>
      <c r="AC175" s="1226"/>
      <c r="AD175" s="1226"/>
      <c r="AE175" s="1226"/>
      <c r="AF175" s="1226"/>
      <c r="AG175" s="1226"/>
      <c r="AH175" s="1226"/>
      <c r="AI175" s="1226"/>
      <c r="AJ175" s="1226"/>
      <c r="AK175" s="1226"/>
      <c r="AL175" s="1226"/>
      <c r="AM175" s="1226"/>
      <c r="AN175" s="1226"/>
    </row>
    <row r="176" spans="6:40">
      <c r="F176" s="1226"/>
      <c r="G176" s="1226"/>
      <c r="H176" s="1226"/>
      <c r="I176" s="1226"/>
      <c r="J176" s="1226"/>
      <c r="L176" s="1226"/>
      <c r="M176" s="1226"/>
      <c r="O176" s="1226"/>
      <c r="P176" s="1226"/>
      <c r="Q176" s="1226"/>
      <c r="S176" s="1226"/>
      <c r="T176" s="1226"/>
      <c r="U176" s="1226"/>
      <c r="X176" s="1226"/>
      <c r="Z176" s="1226"/>
      <c r="AA176" s="1226"/>
      <c r="AB176" s="1226"/>
      <c r="AC176" s="1226"/>
      <c r="AD176" s="1226"/>
      <c r="AE176" s="1226"/>
      <c r="AF176" s="1226"/>
      <c r="AG176" s="1226"/>
      <c r="AH176" s="1226"/>
      <c r="AI176" s="1226"/>
      <c r="AJ176" s="1226"/>
      <c r="AK176" s="1226"/>
      <c r="AL176" s="1226"/>
      <c r="AM176" s="1226"/>
      <c r="AN176" s="1226"/>
    </row>
    <row r="177" spans="6:40">
      <c r="F177" s="1226"/>
      <c r="G177" s="1226"/>
      <c r="H177" s="1226"/>
      <c r="I177" s="1226"/>
      <c r="J177" s="1226"/>
      <c r="L177" s="1226"/>
      <c r="M177" s="1226"/>
      <c r="O177" s="1226"/>
      <c r="P177" s="1226"/>
      <c r="Q177" s="1226"/>
      <c r="S177" s="1226"/>
      <c r="T177" s="1226"/>
      <c r="U177" s="1226"/>
      <c r="X177" s="1226"/>
      <c r="Z177" s="1226"/>
      <c r="AA177" s="1226"/>
      <c r="AB177" s="1226"/>
      <c r="AC177" s="1226"/>
      <c r="AD177" s="1226"/>
      <c r="AE177" s="1226"/>
      <c r="AF177" s="1226"/>
      <c r="AG177" s="1226"/>
      <c r="AH177" s="1226"/>
      <c r="AI177" s="1226"/>
      <c r="AJ177" s="1226"/>
      <c r="AK177" s="1226"/>
      <c r="AL177" s="1226"/>
      <c r="AM177" s="1226"/>
      <c r="AN177" s="1226"/>
    </row>
    <row r="178" spans="6:40">
      <c r="F178" s="1226"/>
      <c r="G178" s="1226"/>
      <c r="H178" s="1226"/>
      <c r="I178" s="1226"/>
      <c r="J178" s="1226"/>
      <c r="L178" s="1226"/>
      <c r="M178" s="1226"/>
      <c r="O178" s="1226"/>
      <c r="P178" s="1226"/>
      <c r="Q178" s="1226"/>
      <c r="S178" s="1226"/>
      <c r="T178" s="1226"/>
      <c r="U178" s="1226"/>
      <c r="X178" s="1226"/>
      <c r="Z178" s="1226"/>
      <c r="AA178" s="1226"/>
      <c r="AB178" s="1226"/>
      <c r="AC178" s="1226"/>
      <c r="AD178" s="1226"/>
      <c r="AE178" s="1226"/>
      <c r="AF178" s="1226"/>
      <c r="AG178" s="1226"/>
      <c r="AH178" s="1226"/>
      <c r="AI178" s="1226"/>
      <c r="AJ178" s="1226"/>
      <c r="AK178" s="1226"/>
      <c r="AL178" s="1226"/>
      <c r="AM178" s="1226"/>
      <c r="AN178" s="1226"/>
    </row>
    <row r="179" spans="6:40">
      <c r="F179" s="1226"/>
      <c r="G179" s="1226"/>
      <c r="H179" s="1226"/>
      <c r="I179" s="1226"/>
      <c r="J179" s="1226"/>
      <c r="L179" s="1226"/>
      <c r="M179" s="1226"/>
      <c r="O179" s="1226"/>
      <c r="P179" s="1226"/>
      <c r="Q179" s="1226"/>
      <c r="S179" s="1226"/>
      <c r="T179" s="1226"/>
      <c r="U179" s="1226"/>
      <c r="X179" s="1226"/>
      <c r="Z179" s="1226"/>
      <c r="AA179" s="1226"/>
      <c r="AB179" s="1226"/>
      <c r="AC179" s="1226"/>
      <c r="AD179" s="1226"/>
      <c r="AE179" s="1226"/>
      <c r="AF179" s="1226"/>
      <c r="AG179" s="1226"/>
      <c r="AH179" s="1226"/>
      <c r="AI179" s="1226"/>
      <c r="AJ179" s="1226"/>
      <c r="AK179" s="1226"/>
      <c r="AL179" s="1226"/>
      <c r="AM179" s="1226"/>
      <c r="AN179" s="1226"/>
    </row>
    <row r="180" spans="6:40">
      <c r="F180" s="1226"/>
      <c r="G180" s="1226"/>
      <c r="H180" s="1226"/>
      <c r="I180" s="1226"/>
      <c r="J180" s="1226"/>
      <c r="L180" s="1226"/>
      <c r="M180" s="1226"/>
      <c r="O180" s="1226"/>
      <c r="P180" s="1226"/>
      <c r="Q180" s="1226"/>
      <c r="S180" s="1226"/>
      <c r="T180" s="1226"/>
      <c r="U180" s="1226"/>
      <c r="X180" s="1226"/>
      <c r="Z180" s="1226"/>
      <c r="AA180" s="1226"/>
      <c r="AB180" s="1226"/>
      <c r="AC180" s="1226"/>
      <c r="AD180" s="1226"/>
      <c r="AE180" s="1226"/>
      <c r="AF180" s="1226"/>
      <c r="AG180" s="1226"/>
      <c r="AH180" s="1226"/>
      <c r="AI180" s="1226"/>
      <c r="AJ180" s="1226"/>
      <c r="AK180" s="1226"/>
      <c r="AL180" s="1226"/>
      <c r="AM180" s="1226"/>
      <c r="AN180" s="1226"/>
    </row>
    <row r="181" spans="6:40">
      <c r="F181" s="1226"/>
      <c r="G181" s="1226"/>
      <c r="H181" s="1226"/>
      <c r="I181" s="1226"/>
      <c r="J181" s="1226"/>
      <c r="L181" s="1226"/>
      <c r="M181" s="1226"/>
      <c r="O181" s="1226"/>
      <c r="P181" s="1226"/>
      <c r="Q181" s="1226"/>
      <c r="S181" s="1226"/>
      <c r="T181" s="1226"/>
      <c r="U181" s="1226"/>
      <c r="X181" s="1226"/>
      <c r="Z181" s="1226"/>
      <c r="AA181" s="1226"/>
      <c r="AB181" s="1226"/>
      <c r="AC181" s="1226"/>
      <c r="AD181" s="1226"/>
      <c r="AE181" s="1226"/>
      <c r="AF181" s="1226"/>
      <c r="AG181" s="1226"/>
      <c r="AH181" s="1226"/>
      <c r="AI181" s="1226"/>
      <c r="AJ181" s="1226"/>
      <c r="AK181" s="1226"/>
      <c r="AL181" s="1226"/>
      <c r="AM181" s="1226"/>
      <c r="AN181" s="1226"/>
    </row>
    <row r="182" spans="6:40">
      <c r="F182" s="1226"/>
      <c r="G182" s="1226"/>
      <c r="H182" s="1226"/>
      <c r="I182" s="1226"/>
      <c r="J182" s="1226"/>
      <c r="L182" s="1226"/>
      <c r="M182" s="1226"/>
      <c r="O182" s="1226"/>
      <c r="P182" s="1226"/>
      <c r="Q182" s="1226"/>
      <c r="S182" s="1226"/>
      <c r="T182" s="1226"/>
      <c r="U182" s="1226"/>
      <c r="X182" s="1226"/>
      <c r="Z182" s="1226"/>
      <c r="AA182" s="1226"/>
      <c r="AB182" s="1226"/>
      <c r="AC182" s="1226"/>
      <c r="AD182" s="1226"/>
      <c r="AE182" s="1226"/>
      <c r="AF182" s="1226"/>
      <c r="AG182" s="1226"/>
      <c r="AH182" s="1226"/>
      <c r="AI182" s="1226"/>
      <c r="AJ182" s="1226"/>
      <c r="AK182" s="1226"/>
      <c r="AL182" s="1226"/>
      <c r="AM182" s="1226"/>
      <c r="AN182" s="1226"/>
    </row>
    <row r="183" spans="6:40">
      <c r="G183" s="1226"/>
      <c r="H183" s="1226"/>
      <c r="I183" s="1226"/>
      <c r="J183" s="1226"/>
      <c r="L183" s="1226"/>
      <c r="M183" s="1226"/>
      <c r="O183" s="1226"/>
      <c r="P183" s="1226"/>
      <c r="Q183" s="1226"/>
      <c r="S183" s="1226"/>
      <c r="T183" s="1226"/>
      <c r="U183" s="1226"/>
      <c r="X183" s="1226"/>
      <c r="Z183" s="1226"/>
      <c r="AA183" s="1226"/>
      <c r="AB183" s="1226"/>
      <c r="AC183" s="1226"/>
      <c r="AD183" s="1226"/>
      <c r="AE183" s="1226"/>
      <c r="AF183" s="1226"/>
      <c r="AG183" s="1226"/>
      <c r="AH183" s="1226"/>
      <c r="AI183" s="1226"/>
      <c r="AJ183" s="1226"/>
      <c r="AK183" s="1226"/>
      <c r="AL183" s="1226"/>
      <c r="AM183" s="1226"/>
      <c r="AN183" s="1226"/>
    </row>
    <row r="184" spans="6:40">
      <c r="G184" s="1226"/>
      <c r="H184" s="1226"/>
      <c r="I184" s="1226"/>
      <c r="J184" s="1226"/>
      <c r="L184" s="1226"/>
      <c r="M184" s="1226"/>
      <c r="O184" s="1226"/>
      <c r="P184" s="1226"/>
      <c r="Q184" s="1226"/>
      <c r="S184" s="1226"/>
      <c r="T184" s="1226"/>
      <c r="U184" s="1226"/>
      <c r="X184" s="1226"/>
      <c r="Z184" s="1226"/>
      <c r="AA184" s="1226"/>
      <c r="AB184" s="1226"/>
      <c r="AC184" s="1226"/>
      <c r="AD184" s="1226"/>
      <c r="AE184" s="1226"/>
      <c r="AF184" s="1226"/>
      <c r="AG184" s="1226"/>
      <c r="AH184" s="1226"/>
      <c r="AI184" s="1226"/>
      <c r="AJ184" s="1226"/>
      <c r="AK184" s="1226"/>
      <c r="AL184" s="1226"/>
      <c r="AM184" s="1226"/>
      <c r="AN184" s="1226"/>
    </row>
    <row r="185" spans="6:40">
      <c r="G185" s="1226"/>
      <c r="H185" s="1226"/>
      <c r="I185" s="1226"/>
      <c r="J185" s="1226"/>
      <c r="L185" s="1226"/>
      <c r="M185" s="1226"/>
      <c r="O185" s="1226"/>
      <c r="P185" s="1226"/>
      <c r="Q185" s="1226"/>
      <c r="S185" s="1226"/>
      <c r="T185" s="1226"/>
      <c r="U185" s="1226"/>
      <c r="X185" s="1226"/>
      <c r="Z185" s="1226"/>
      <c r="AA185" s="1226"/>
      <c r="AB185" s="1226"/>
      <c r="AC185" s="1226"/>
      <c r="AD185" s="1226"/>
      <c r="AE185" s="1226"/>
      <c r="AF185" s="1226"/>
      <c r="AG185" s="1226"/>
      <c r="AH185" s="1226"/>
      <c r="AI185" s="1226"/>
      <c r="AJ185" s="1226"/>
      <c r="AK185" s="1226"/>
      <c r="AL185" s="1226"/>
      <c r="AM185" s="1226"/>
      <c r="AN185" s="1226"/>
    </row>
    <row r="186" spans="6:40">
      <c r="G186" s="1226"/>
      <c r="H186" s="1226"/>
      <c r="I186" s="1226"/>
      <c r="J186" s="1226"/>
      <c r="L186" s="1226"/>
      <c r="M186" s="1226"/>
      <c r="O186" s="1226"/>
      <c r="P186" s="1226"/>
      <c r="Q186" s="1226"/>
      <c r="S186" s="1226"/>
      <c r="T186" s="1226"/>
      <c r="U186" s="1226"/>
      <c r="X186" s="1226"/>
      <c r="Z186" s="1226"/>
      <c r="AA186" s="1226"/>
      <c r="AB186" s="1226"/>
      <c r="AC186" s="1226"/>
      <c r="AD186" s="1226"/>
      <c r="AE186" s="1226"/>
      <c r="AF186" s="1226"/>
      <c r="AG186" s="1226"/>
      <c r="AH186" s="1226"/>
      <c r="AI186" s="1226"/>
      <c r="AJ186" s="1226"/>
      <c r="AK186" s="1226"/>
      <c r="AL186" s="1226"/>
      <c r="AM186" s="1226"/>
      <c r="AN186" s="1226"/>
    </row>
    <row r="187" spans="6:40">
      <c r="G187" s="1226"/>
      <c r="H187" s="1226"/>
      <c r="I187" s="1226"/>
      <c r="J187" s="1226"/>
      <c r="L187" s="1226"/>
      <c r="M187" s="1226"/>
      <c r="O187" s="1226"/>
      <c r="P187" s="1226"/>
      <c r="Q187" s="1226"/>
      <c r="S187" s="1226"/>
      <c r="T187" s="1226"/>
      <c r="U187" s="1226"/>
      <c r="X187" s="1226"/>
      <c r="Z187" s="1226"/>
      <c r="AA187" s="1226"/>
      <c r="AB187" s="1226"/>
      <c r="AC187" s="1226"/>
      <c r="AD187" s="1226"/>
      <c r="AE187" s="1226"/>
      <c r="AF187" s="1226"/>
      <c r="AG187" s="1226"/>
      <c r="AH187" s="1226"/>
      <c r="AI187" s="1226"/>
      <c r="AJ187" s="1226"/>
      <c r="AK187" s="1226"/>
      <c r="AL187" s="1226"/>
      <c r="AM187" s="1226"/>
      <c r="AN187" s="1226"/>
    </row>
    <row r="188" spans="6:40">
      <c r="G188" s="1226"/>
      <c r="H188" s="1226"/>
      <c r="I188" s="1226"/>
      <c r="J188" s="1226"/>
      <c r="L188" s="1226"/>
      <c r="M188" s="1226"/>
      <c r="O188" s="1226"/>
      <c r="P188" s="1226"/>
      <c r="Q188" s="1226"/>
      <c r="S188" s="1226"/>
      <c r="T188" s="1226"/>
      <c r="U188" s="1226"/>
      <c r="X188" s="1226"/>
      <c r="Z188" s="1226"/>
      <c r="AA188" s="1226"/>
      <c r="AB188" s="1226"/>
      <c r="AC188" s="1226"/>
      <c r="AD188" s="1226"/>
      <c r="AE188" s="1226"/>
      <c r="AF188" s="1226"/>
      <c r="AG188" s="1226"/>
      <c r="AH188" s="1226"/>
      <c r="AI188" s="1226"/>
      <c r="AJ188" s="1226"/>
      <c r="AK188" s="1226"/>
      <c r="AL188" s="1226"/>
      <c r="AM188" s="1226"/>
      <c r="AN188" s="1226"/>
    </row>
    <row r="189" spans="6:40">
      <c r="G189" s="1226"/>
      <c r="H189" s="1226"/>
      <c r="I189" s="1226"/>
      <c r="J189" s="1226"/>
      <c r="L189" s="1226"/>
      <c r="M189" s="1226"/>
      <c r="O189" s="1226"/>
      <c r="P189" s="1226"/>
      <c r="Q189" s="1226"/>
      <c r="S189" s="1226"/>
      <c r="T189" s="1226"/>
      <c r="U189" s="1226"/>
      <c r="X189" s="1226"/>
      <c r="Z189" s="1226"/>
      <c r="AA189" s="1226"/>
      <c r="AB189" s="1226"/>
      <c r="AC189" s="1226"/>
      <c r="AD189" s="1226"/>
      <c r="AE189" s="1226"/>
      <c r="AF189" s="1226"/>
      <c r="AG189" s="1226"/>
      <c r="AH189" s="1226"/>
      <c r="AI189" s="1226"/>
      <c r="AJ189" s="1226"/>
      <c r="AK189" s="1226"/>
      <c r="AL189" s="1226"/>
      <c r="AM189" s="1226"/>
      <c r="AN189" s="1226"/>
    </row>
    <row r="190" spans="6:40">
      <c r="O190" s="1226"/>
      <c r="P190" s="1226"/>
      <c r="Q190" s="1226"/>
      <c r="S190" s="1226"/>
      <c r="T190" s="1226"/>
      <c r="U190" s="1226"/>
      <c r="X190" s="1226"/>
      <c r="Z190" s="1226"/>
      <c r="AA190" s="1226"/>
      <c r="AB190" s="1226"/>
      <c r="AC190" s="1226"/>
      <c r="AD190" s="1226"/>
      <c r="AE190" s="1226"/>
      <c r="AF190" s="1226"/>
      <c r="AG190" s="1226"/>
      <c r="AH190" s="1226"/>
      <c r="AI190" s="1226"/>
      <c r="AJ190" s="1226"/>
      <c r="AK190" s="1226"/>
      <c r="AL190" s="1226"/>
      <c r="AM190" s="1226"/>
      <c r="AN190" s="1226"/>
    </row>
    <row r="191" spans="6:40">
      <c r="O191" s="1226"/>
      <c r="P191" s="1226"/>
      <c r="Q191" s="1226"/>
      <c r="S191" s="1226"/>
      <c r="T191" s="1226"/>
      <c r="U191" s="1226"/>
      <c r="X191" s="1226"/>
      <c r="Z191" s="1226"/>
      <c r="AA191" s="1226"/>
      <c r="AB191" s="1226"/>
      <c r="AC191" s="1226"/>
      <c r="AD191" s="1226"/>
      <c r="AE191" s="1226"/>
      <c r="AF191" s="1226"/>
      <c r="AG191" s="1226"/>
      <c r="AH191" s="1226"/>
      <c r="AI191" s="1226"/>
      <c r="AJ191" s="1226"/>
      <c r="AK191" s="1226"/>
      <c r="AL191" s="1226"/>
      <c r="AM191" s="1226"/>
      <c r="AN191" s="1226"/>
    </row>
    <row r="192" spans="6:40">
      <c r="O192" s="1226"/>
      <c r="P192" s="1226"/>
      <c r="Q192" s="1226"/>
      <c r="S192" s="1226"/>
      <c r="T192" s="1226"/>
      <c r="U192" s="1226"/>
      <c r="X192" s="1226"/>
      <c r="Z192" s="1226"/>
      <c r="AA192" s="1226"/>
      <c r="AB192" s="1226"/>
      <c r="AC192" s="1226"/>
      <c r="AD192" s="1226"/>
      <c r="AE192" s="1226"/>
      <c r="AF192" s="1226"/>
      <c r="AG192" s="1226"/>
      <c r="AH192" s="1226"/>
      <c r="AI192" s="1226"/>
      <c r="AJ192" s="1226"/>
      <c r="AK192" s="1226"/>
      <c r="AL192" s="1226"/>
      <c r="AM192" s="1226"/>
      <c r="AN192" s="1226"/>
    </row>
    <row r="193" spans="15:40">
      <c r="O193" s="1226"/>
      <c r="P193" s="1226"/>
      <c r="Q193" s="1226"/>
      <c r="S193" s="1226"/>
      <c r="T193" s="1226"/>
      <c r="U193" s="1226"/>
      <c r="X193" s="1226"/>
      <c r="Z193" s="1226"/>
      <c r="AA193" s="1226"/>
      <c r="AB193" s="1226"/>
      <c r="AC193" s="1226"/>
      <c r="AD193" s="1226"/>
      <c r="AE193" s="1226"/>
      <c r="AF193" s="1226"/>
      <c r="AG193" s="1226"/>
      <c r="AH193" s="1226"/>
      <c r="AI193" s="1226"/>
      <c r="AJ193" s="1226"/>
      <c r="AK193" s="1226"/>
      <c r="AL193" s="1226"/>
      <c r="AM193" s="1226"/>
      <c r="AN193" s="1226"/>
    </row>
    <row r="194" spans="15:40">
      <c r="O194" s="1226"/>
      <c r="P194" s="1226"/>
      <c r="Q194" s="1226"/>
      <c r="S194" s="1226"/>
      <c r="T194" s="1226"/>
      <c r="U194" s="1226"/>
      <c r="X194" s="1226"/>
      <c r="Z194" s="1226"/>
      <c r="AA194" s="1226"/>
      <c r="AB194" s="1226"/>
      <c r="AC194" s="1226"/>
      <c r="AD194" s="1226"/>
      <c r="AE194" s="1226"/>
      <c r="AF194" s="1226"/>
      <c r="AG194" s="1226"/>
      <c r="AH194" s="1226"/>
      <c r="AI194" s="1226"/>
      <c r="AJ194" s="1226"/>
      <c r="AK194" s="1226"/>
      <c r="AL194" s="1226"/>
      <c r="AM194" s="1226"/>
      <c r="AN194" s="1226"/>
    </row>
    <row r="195" spans="15:40">
      <c r="O195" s="1226"/>
      <c r="P195" s="1226"/>
      <c r="Q195" s="1226"/>
      <c r="S195" s="1226"/>
      <c r="T195" s="1226"/>
      <c r="U195" s="1226"/>
      <c r="X195" s="1226"/>
      <c r="Z195" s="1226"/>
      <c r="AA195" s="1226"/>
      <c r="AB195" s="1226"/>
      <c r="AC195" s="1226"/>
      <c r="AD195" s="1226"/>
      <c r="AE195" s="1226"/>
      <c r="AF195" s="1226"/>
      <c r="AG195" s="1226"/>
      <c r="AH195" s="1226"/>
      <c r="AI195" s="1226"/>
      <c r="AJ195" s="1226"/>
      <c r="AK195" s="1226"/>
      <c r="AL195" s="1226"/>
      <c r="AM195" s="1226"/>
      <c r="AN195" s="1226"/>
    </row>
    <row r="196" spans="15:40">
      <c r="O196" s="1226"/>
      <c r="P196" s="1226"/>
      <c r="Q196" s="1226"/>
      <c r="S196" s="1226"/>
      <c r="T196" s="1226"/>
      <c r="U196" s="1226"/>
      <c r="X196" s="1226"/>
      <c r="Z196" s="1226"/>
      <c r="AA196" s="1226"/>
      <c r="AB196" s="1226"/>
      <c r="AC196" s="1226"/>
      <c r="AD196" s="1226"/>
      <c r="AE196" s="1226"/>
      <c r="AF196" s="1226"/>
      <c r="AG196" s="1226"/>
      <c r="AH196" s="1226"/>
      <c r="AI196" s="1226"/>
      <c r="AJ196" s="1226"/>
      <c r="AK196" s="1226"/>
      <c r="AL196" s="1226"/>
      <c r="AM196" s="1226"/>
      <c r="AN196" s="1226"/>
    </row>
    <row r="197" spans="15:40">
      <c r="O197" s="1226"/>
      <c r="P197" s="1226"/>
      <c r="Q197" s="1226"/>
      <c r="S197" s="1226"/>
      <c r="T197" s="1226"/>
      <c r="U197" s="1226"/>
      <c r="X197" s="1226"/>
      <c r="Z197" s="1226"/>
      <c r="AA197" s="1226"/>
      <c r="AB197" s="1226"/>
      <c r="AC197" s="1226"/>
      <c r="AD197" s="1226"/>
      <c r="AE197" s="1226"/>
      <c r="AF197" s="1226"/>
      <c r="AG197" s="1226"/>
      <c r="AH197" s="1226"/>
      <c r="AI197" s="1226"/>
      <c r="AJ197" s="1226"/>
      <c r="AK197" s="1226"/>
      <c r="AL197" s="1226"/>
      <c r="AM197" s="1226"/>
      <c r="AN197" s="1226"/>
    </row>
    <row r="198" spans="15:40">
      <c r="O198" s="1226"/>
      <c r="P198" s="1226"/>
      <c r="Q198" s="1226"/>
      <c r="S198" s="1226"/>
      <c r="T198" s="1226"/>
      <c r="U198" s="1226"/>
      <c r="X198" s="1226"/>
      <c r="Z198" s="1226"/>
      <c r="AA198" s="1226"/>
      <c r="AB198" s="1226"/>
      <c r="AC198" s="1226"/>
      <c r="AD198" s="1226"/>
      <c r="AE198" s="1226"/>
      <c r="AF198" s="1226"/>
      <c r="AG198" s="1226"/>
      <c r="AH198" s="1226"/>
      <c r="AI198" s="1226"/>
      <c r="AJ198" s="1226"/>
      <c r="AK198" s="1226"/>
      <c r="AL198" s="1226"/>
      <c r="AM198" s="1226"/>
      <c r="AN198" s="1226"/>
    </row>
    <row r="199" spans="15:40">
      <c r="O199" s="1226"/>
      <c r="P199" s="1226"/>
      <c r="Q199" s="1226"/>
      <c r="S199" s="1226"/>
      <c r="T199" s="1226"/>
      <c r="U199" s="1226"/>
      <c r="X199" s="1226"/>
      <c r="Z199" s="1226"/>
      <c r="AA199" s="1226"/>
      <c r="AB199" s="1226"/>
      <c r="AC199" s="1226"/>
      <c r="AD199" s="1226"/>
      <c r="AE199" s="1226"/>
      <c r="AF199" s="1226"/>
      <c r="AG199" s="1226"/>
      <c r="AH199" s="1226"/>
      <c r="AI199" s="1226"/>
      <c r="AJ199" s="1226"/>
      <c r="AK199" s="1226"/>
      <c r="AL199" s="1226"/>
      <c r="AM199" s="1226"/>
      <c r="AN199" s="1226"/>
    </row>
    <row r="200" spans="15:40">
      <c r="O200" s="1226"/>
      <c r="P200" s="1226"/>
      <c r="Q200" s="1226"/>
      <c r="S200" s="1226"/>
      <c r="T200" s="1226"/>
      <c r="U200" s="1226"/>
      <c r="X200" s="1226"/>
      <c r="Z200" s="1226"/>
      <c r="AA200" s="1226"/>
      <c r="AB200" s="1226"/>
      <c r="AC200" s="1226"/>
      <c r="AD200" s="1226"/>
      <c r="AE200" s="1226"/>
      <c r="AF200" s="1226"/>
      <c r="AG200" s="1226"/>
      <c r="AH200" s="1226"/>
      <c r="AI200" s="1226"/>
      <c r="AJ200" s="1226"/>
      <c r="AK200" s="1226"/>
      <c r="AL200" s="1226"/>
      <c r="AM200" s="1226"/>
      <c r="AN200" s="1226"/>
    </row>
    <row r="201" spans="15:40">
      <c r="O201" s="1226"/>
      <c r="P201" s="1226"/>
      <c r="Q201" s="1226"/>
      <c r="S201" s="1226"/>
      <c r="T201" s="1226"/>
      <c r="U201" s="1226"/>
      <c r="X201" s="1226"/>
      <c r="Z201" s="1226"/>
      <c r="AA201" s="1226"/>
      <c r="AB201" s="1226"/>
      <c r="AC201" s="1226"/>
      <c r="AD201" s="1226"/>
      <c r="AE201" s="1226"/>
      <c r="AF201" s="1226"/>
      <c r="AG201" s="1226"/>
      <c r="AH201" s="1226"/>
      <c r="AI201" s="1226"/>
      <c r="AJ201" s="1226"/>
      <c r="AK201" s="1226"/>
      <c r="AL201" s="1226"/>
      <c r="AM201" s="1226"/>
      <c r="AN201" s="1226"/>
    </row>
    <row r="202" spans="15:40">
      <c r="O202" s="1226"/>
      <c r="P202" s="1226"/>
      <c r="Q202" s="1226"/>
      <c r="S202" s="1226"/>
      <c r="T202" s="1226"/>
      <c r="U202" s="1226"/>
      <c r="X202" s="1226"/>
      <c r="Z202" s="1226"/>
      <c r="AA202" s="1226"/>
      <c r="AB202" s="1226"/>
      <c r="AC202" s="1226"/>
      <c r="AD202" s="1226"/>
      <c r="AE202" s="1226"/>
      <c r="AF202" s="1226"/>
      <c r="AG202" s="1226"/>
      <c r="AH202" s="1226"/>
      <c r="AI202" s="1226"/>
      <c r="AJ202" s="1226"/>
      <c r="AK202" s="1226"/>
      <c r="AL202" s="1226"/>
      <c r="AM202" s="1226"/>
      <c r="AN202" s="1226"/>
    </row>
    <row r="203" spans="15:40">
      <c r="O203" s="1226"/>
      <c r="P203" s="1226"/>
      <c r="Q203" s="1226"/>
      <c r="S203" s="1226"/>
      <c r="T203" s="1226"/>
      <c r="U203" s="1226"/>
      <c r="X203" s="1226"/>
      <c r="Z203" s="1226"/>
      <c r="AA203" s="1226"/>
      <c r="AB203" s="1226"/>
      <c r="AC203" s="1226"/>
      <c r="AD203" s="1226"/>
      <c r="AE203" s="1226"/>
      <c r="AF203" s="1226"/>
      <c r="AG203" s="1226"/>
      <c r="AH203" s="1226"/>
      <c r="AI203" s="1226"/>
      <c r="AJ203" s="1226"/>
      <c r="AK203" s="1226"/>
      <c r="AL203" s="1226"/>
      <c r="AM203" s="1226"/>
      <c r="AN203" s="1226"/>
    </row>
    <row r="204" spans="15:40">
      <c r="O204" s="1226"/>
      <c r="P204" s="1226"/>
      <c r="Q204" s="1226"/>
      <c r="S204" s="1226"/>
      <c r="T204" s="1226"/>
      <c r="U204" s="1226"/>
      <c r="X204" s="1226"/>
      <c r="Z204" s="1226"/>
      <c r="AA204" s="1226"/>
      <c r="AB204" s="1226"/>
      <c r="AC204" s="1226"/>
      <c r="AD204" s="1226"/>
      <c r="AE204" s="1226"/>
      <c r="AF204" s="1226"/>
      <c r="AG204" s="1226"/>
      <c r="AH204" s="1226"/>
      <c r="AI204" s="1226"/>
      <c r="AJ204" s="1226"/>
      <c r="AK204" s="1226"/>
      <c r="AL204" s="1226"/>
      <c r="AM204" s="1226"/>
      <c r="AN204" s="1226"/>
    </row>
    <row r="205" spans="15:40">
      <c r="O205" s="1226"/>
      <c r="P205" s="1226"/>
      <c r="Q205" s="1226"/>
      <c r="S205" s="1226"/>
      <c r="T205" s="1226"/>
      <c r="U205" s="1226"/>
      <c r="X205" s="1226"/>
      <c r="Z205" s="1226"/>
      <c r="AA205" s="1226"/>
      <c r="AB205" s="1226"/>
      <c r="AC205" s="1226"/>
      <c r="AD205" s="1226"/>
      <c r="AE205" s="1226"/>
      <c r="AF205" s="1226"/>
      <c r="AG205" s="1226"/>
      <c r="AH205" s="1226"/>
      <c r="AI205" s="1226"/>
      <c r="AJ205" s="1226"/>
      <c r="AK205" s="1226"/>
      <c r="AL205" s="1226"/>
      <c r="AM205" s="1226"/>
      <c r="AN205" s="1226"/>
    </row>
    <row r="206" spans="15:40">
      <c r="O206" s="912"/>
      <c r="P206" s="912"/>
      <c r="Q206" s="912"/>
      <c r="S206" s="1226"/>
      <c r="T206" s="1222"/>
      <c r="U206" s="1226"/>
      <c r="Z206" s="1226"/>
      <c r="AA206" s="1226"/>
      <c r="AB206" s="1226"/>
      <c r="AC206" s="1226"/>
      <c r="AD206" s="1226"/>
      <c r="AE206" s="1226"/>
      <c r="AF206" s="1226"/>
      <c r="AG206" s="1226"/>
      <c r="AH206" s="1226"/>
      <c r="AI206" s="1226"/>
      <c r="AJ206" s="1226"/>
      <c r="AK206" s="1226"/>
      <c r="AL206" s="1226"/>
      <c r="AM206" s="1226"/>
      <c r="AN206" s="1226"/>
    </row>
    <row r="207" spans="15:40">
      <c r="O207" s="912"/>
      <c r="P207" s="912"/>
      <c r="Q207" s="912"/>
      <c r="S207" s="1226"/>
      <c r="T207" s="1222"/>
      <c r="U207" s="1226"/>
      <c r="Z207" s="1226"/>
      <c r="AA207" s="1226"/>
      <c r="AB207" s="1226"/>
      <c r="AC207" s="1226"/>
      <c r="AD207" s="1226"/>
      <c r="AE207" s="1226"/>
      <c r="AF207" s="1226"/>
      <c r="AG207" s="1226"/>
      <c r="AH207" s="1226"/>
      <c r="AI207" s="1226"/>
      <c r="AJ207" s="1226"/>
      <c r="AK207" s="1226"/>
      <c r="AL207" s="1226"/>
      <c r="AM207" s="1226"/>
      <c r="AN207" s="1226"/>
    </row>
    <row r="208" spans="15:40">
      <c r="O208" s="912"/>
      <c r="P208" s="912"/>
      <c r="Q208" s="912"/>
      <c r="S208" s="1226"/>
      <c r="T208" s="1222"/>
      <c r="U208" s="1226"/>
      <c r="Z208" s="1226"/>
      <c r="AA208" s="1226"/>
      <c r="AB208" s="1226"/>
      <c r="AC208" s="1226"/>
      <c r="AD208" s="1226"/>
      <c r="AE208" s="1226"/>
      <c r="AF208" s="1226"/>
      <c r="AG208" s="1226"/>
      <c r="AH208" s="1226"/>
      <c r="AI208" s="1226"/>
      <c r="AJ208" s="1226"/>
      <c r="AK208" s="1226"/>
      <c r="AL208" s="1226"/>
      <c r="AM208" s="1226"/>
      <c r="AN208" s="1226"/>
    </row>
    <row r="209" spans="15:40">
      <c r="O209" s="912"/>
      <c r="P209" s="912"/>
      <c r="Q209" s="912"/>
      <c r="S209" s="1226"/>
      <c r="T209" s="1222"/>
      <c r="U209" s="1226"/>
      <c r="Z209" s="1226"/>
      <c r="AA209" s="1226"/>
      <c r="AB209" s="1226"/>
      <c r="AC209" s="1226"/>
      <c r="AD209" s="1226"/>
      <c r="AE209" s="1226"/>
      <c r="AF209" s="1226"/>
      <c r="AG209" s="1226"/>
      <c r="AH209" s="1226"/>
      <c r="AI209" s="1226"/>
      <c r="AJ209" s="1226"/>
      <c r="AK209" s="1226"/>
      <c r="AL209" s="1226"/>
      <c r="AM209" s="1226"/>
      <c r="AN209" s="1226"/>
    </row>
    <row r="210" spans="15:40">
      <c r="O210" s="912"/>
      <c r="P210" s="912"/>
      <c r="Q210" s="912"/>
      <c r="S210" s="1226"/>
      <c r="T210" s="1222"/>
      <c r="U210" s="1226"/>
      <c r="Z210" s="1226"/>
      <c r="AA210" s="1226"/>
      <c r="AB210" s="1226"/>
      <c r="AC210" s="1226"/>
      <c r="AD210" s="1226"/>
      <c r="AE210" s="1226"/>
      <c r="AF210" s="1226"/>
      <c r="AG210" s="1226"/>
      <c r="AH210" s="1226"/>
      <c r="AI210" s="1226"/>
      <c r="AJ210" s="1226"/>
      <c r="AK210" s="1226"/>
      <c r="AL210" s="1226"/>
      <c r="AM210" s="1226"/>
      <c r="AN210" s="1226"/>
    </row>
    <row r="211" spans="15:40">
      <c r="O211" s="912"/>
      <c r="P211" s="912"/>
      <c r="Q211" s="912"/>
      <c r="S211" s="1226"/>
      <c r="T211" s="1222"/>
      <c r="U211" s="1226"/>
      <c r="Z211" s="1226"/>
      <c r="AA211" s="1226"/>
      <c r="AB211" s="1226"/>
      <c r="AC211" s="1226"/>
      <c r="AD211" s="1226"/>
      <c r="AE211" s="1226"/>
      <c r="AF211" s="1226"/>
      <c r="AG211" s="1226"/>
      <c r="AH211" s="1226"/>
      <c r="AI211" s="1226"/>
      <c r="AJ211" s="1226"/>
      <c r="AK211" s="1226"/>
      <c r="AL211" s="1226"/>
      <c r="AM211" s="1226"/>
      <c r="AN211" s="1226"/>
    </row>
    <row r="212" spans="15:40">
      <c r="O212" s="912"/>
      <c r="P212" s="912"/>
      <c r="Q212" s="912"/>
      <c r="S212" s="1226"/>
      <c r="T212" s="1222"/>
      <c r="U212" s="1226"/>
      <c r="Z212" s="1226"/>
      <c r="AA212" s="1226"/>
      <c r="AB212" s="1226"/>
      <c r="AC212" s="1226"/>
      <c r="AD212" s="1226"/>
      <c r="AE212" s="1226"/>
      <c r="AF212" s="1226"/>
      <c r="AG212" s="1226"/>
      <c r="AH212" s="1226"/>
      <c r="AI212" s="1226"/>
      <c r="AJ212" s="1226"/>
      <c r="AK212" s="1226"/>
      <c r="AL212" s="1226"/>
      <c r="AM212" s="1226"/>
      <c r="AN212" s="1226"/>
    </row>
    <row r="213" spans="15:40">
      <c r="O213" s="912"/>
      <c r="P213" s="912"/>
      <c r="Q213" s="912"/>
      <c r="S213" s="1226"/>
      <c r="T213" s="1222"/>
      <c r="U213" s="1226"/>
      <c r="Z213" s="1226"/>
      <c r="AA213" s="1226"/>
      <c r="AB213" s="1226"/>
      <c r="AC213" s="1226"/>
      <c r="AD213" s="1226"/>
      <c r="AE213" s="1226"/>
      <c r="AF213" s="1226"/>
      <c r="AG213" s="1226"/>
      <c r="AH213" s="1226"/>
      <c r="AI213" s="1226"/>
      <c r="AJ213" s="1226"/>
      <c r="AK213" s="1226"/>
      <c r="AL213" s="1226"/>
      <c r="AM213" s="1226"/>
      <c r="AN213" s="1226"/>
    </row>
    <row r="214" spans="15:40">
      <c r="O214" s="912"/>
      <c r="P214" s="912"/>
      <c r="Q214" s="912"/>
      <c r="S214" s="1226"/>
      <c r="T214" s="1222"/>
      <c r="U214" s="1226"/>
      <c r="Z214" s="1226"/>
      <c r="AA214" s="1226"/>
      <c r="AB214" s="1226"/>
      <c r="AC214" s="1226"/>
      <c r="AD214" s="1226"/>
      <c r="AE214" s="1226"/>
      <c r="AF214" s="1226"/>
      <c r="AG214" s="1226"/>
      <c r="AH214" s="1226"/>
      <c r="AI214" s="1226"/>
      <c r="AJ214" s="1226"/>
      <c r="AK214" s="1226"/>
      <c r="AL214" s="1226"/>
      <c r="AM214" s="1226"/>
      <c r="AN214" s="1226"/>
    </row>
    <row r="215" spans="15:40">
      <c r="O215" s="912"/>
      <c r="P215" s="912"/>
      <c r="Q215" s="912"/>
      <c r="S215" s="1226"/>
      <c r="T215" s="1222"/>
      <c r="U215" s="1226"/>
      <c r="Z215" s="1226"/>
      <c r="AA215" s="1226"/>
      <c r="AB215" s="1226"/>
      <c r="AC215" s="1226"/>
      <c r="AD215" s="1226"/>
      <c r="AE215" s="1226"/>
      <c r="AF215" s="1226"/>
      <c r="AG215" s="1226"/>
      <c r="AH215" s="1226"/>
      <c r="AI215" s="1226"/>
      <c r="AJ215" s="1226"/>
      <c r="AK215" s="1226"/>
      <c r="AL215" s="1226"/>
      <c r="AM215" s="1226"/>
      <c r="AN215" s="1226"/>
    </row>
    <row r="216" spans="15:40">
      <c r="O216" s="912"/>
      <c r="P216" s="912"/>
      <c r="Q216" s="912"/>
      <c r="T216" s="1222"/>
    </row>
    <row r="217" spans="15:40">
      <c r="O217" s="912"/>
      <c r="P217" s="912"/>
      <c r="Q217" s="912"/>
      <c r="T217" s="1222"/>
    </row>
    <row r="218" spans="15:40">
      <c r="O218" s="912"/>
      <c r="P218" s="912"/>
      <c r="Q218" s="912"/>
      <c r="T218" s="1222"/>
    </row>
    <row r="219" spans="15:40">
      <c r="O219" s="912"/>
      <c r="P219" s="912"/>
      <c r="Q219" s="912"/>
      <c r="T219" s="1222"/>
    </row>
    <row r="220" spans="15:40">
      <c r="O220" s="912"/>
      <c r="P220" s="912"/>
      <c r="Q220" s="912"/>
      <c r="T220" s="1222"/>
    </row>
    <row r="221" spans="15:40">
      <c r="O221" s="912"/>
      <c r="P221" s="912"/>
      <c r="Q221" s="912"/>
      <c r="T221" s="1222"/>
    </row>
    <row r="222" spans="15:40">
      <c r="O222" s="912"/>
      <c r="P222" s="912"/>
      <c r="Q222" s="912"/>
      <c r="T222" s="1222"/>
    </row>
    <row r="223" spans="15:40">
      <c r="O223" s="912"/>
      <c r="P223" s="912"/>
      <c r="Q223" s="912"/>
      <c r="T223" s="1222"/>
    </row>
    <row r="224" spans="15:40">
      <c r="O224" s="912"/>
      <c r="P224" s="912"/>
      <c r="Q224" s="912"/>
      <c r="T224" s="1222"/>
    </row>
    <row r="225" spans="15:20">
      <c r="O225" s="912"/>
      <c r="P225" s="912"/>
      <c r="Q225" s="912"/>
      <c r="T225" s="1222"/>
    </row>
    <row r="226" spans="15:20">
      <c r="O226" s="912"/>
      <c r="P226" s="912"/>
      <c r="Q226" s="912"/>
      <c r="T226" s="1222"/>
    </row>
    <row r="227" spans="15:20">
      <c r="O227" s="912"/>
      <c r="P227" s="912"/>
      <c r="Q227" s="912"/>
      <c r="T227" s="1222"/>
    </row>
    <row r="228" spans="15:20">
      <c r="O228" s="912"/>
      <c r="P228" s="912"/>
      <c r="Q228" s="912"/>
      <c r="T228" s="1222"/>
    </row>
    <row r="229" spans="15:20">
      <c r="O229" s="912"/>
      <c r="P229" s="912"/>
      <c r="Q229" s="912"/>
      <c r="T229" s="1222"/>
    </row>
    <row r="230" spans="15:20">
      <c r="O230" s="912"/>
      <c r="P230" s="912"/>
      <c r="Q230" s="912"/>
      <c r="T230" s="1222"/>
    </row>
    <row r="231" spans="15:20">
      <c r="O231" s="912"/>
      <c r="P231" s="912"/>
      <c r="Q231" s="912"/>
      <c r="T231" s="1222"/>
    </row>
    <row r="232" spans="15:20">
      <c r="O232" s="912"/>
      <c r="P232" s="912"/>
      <c r="Q232" s="912"/>
      <c r="T232" s="1222"/>
    </row>
    <row r="233" spans="15:20">
      <c r="O233" s="912"/>
      <c r="P233" s="912"/>
      <c r="Q233" s="912"/>
      <c r="T233" s="1222"/>
    </row>
    <row r="234" spans="15:20">
      <c r="O234" s="912"/>
      <c r="P234" s="912"/>
      <c r="Q234" s="912"/>
      <c r="T234" s="1222"/>
    </row>
    <row r="235" spans="15:20">
      <c r="O235" s="912"/>
      <c r="P235" s="912"/>
      <c r="Q235" s="912"/>
      <c r="T235" s="1222"/>
    </row>
    <row r="236" spans="15:20">
      <c r="O236" s="912"/>
      <c r="P236" s="912"/>
      <c r="Q236" s="912"/>
      <c r="T236" s="1222"/>
    </row>
    <row r="237" spans="15:20">
      <c r="O237" s="912"/>
      <c r="P237" s="912"/>
      <c r="Q237" s="912"/>
      <c r="T237" s="1222"/>
    </row>
    <row r="238" spans="15:20">
      <c r="O238" s="912"/>
      <c r="P238" s="912"/>
      <c r="Q238" s="912"/>
      <c r="T238" s="1222"/>
    </row>
    <row r="239" spans="15:20">
      <c r="O239" s="912"/>
      <c r="P239" s="912"/>
      <c r="Q239" s="912"/>
      <c r="T239" s="1222"/>
    </row>
    <row r="240" spans="15:20">
      <c r="O240" s="912"/>
      <c r="P240" s="912"/>
      <c r="Q240" s="912"/>
      <c r="T240" s="1222"/>
    </row>
    <row r="241" spans="15:20">
      <c r="O241" s="912"/>
      <c r="P241" s="912"/>
      <c r="Q241" s="912"/>
      <c r="T241" s="1222"/>
    </row>
    <row r="242" spans="15:20">
      <c r="O242" s="912"/>
      <c r="P242" s="912"/>
      <c r="Q242" s="912"/>
      <c r="T242" s="1222"/>
    </row>
    <row r="243" spans="15:20">
      <c r="O243" s="912"/>
      <c r="P243" s="912"/>
      <c r="Q243" s="912"/>
      <c r="T243" s="1222"/>
    </row>
    <row r="244" spans="15:20">
      <c r="O244" s="912"/>
      <c r="P244" s="912"/>
      <c r="Q244" s="912"/>
      <c r="T244" s="1222"/>
    </row>
    <row r="245" spans="15:20">
      <c r="O245" s="912"/>
      <c r="P245" s="912"/>
      <c r="Q245" s="912"/>
      <c r="T245" s="1222"/>
    </row>
    <row r="246" spans="15:20">
      <c r="O246" s="912"/>
      <c r="P246" s="912"/>
      <c r="Q246" s="912"/>
      <c r="T246" s="1222"/>
    </row>
    <row r="247" spans="15:20">
      <c r="O247" s="912"/>
      <c r="P247" s="912"/>
      <c r="Q247" s="912"/>
      <c r="T247" s="1222"/>
    </row>
    <row r="248" spans="15:20">
      <c r="O248" s="912"/>
      <c r="P248" s="912"/>
      <c r="Q248" s="912"/>
      <c r="T248" s="1222"/>
    </row>
    <row r="249" spans="15:20">
      <c r="O249" s="912"/>
      <c r="P249" s="912"/>
      <c r="Q249" s="912"/>
      <c r="T249" s="1222"/>
    </row>
    <row r="250" spans="15:20">
      <c r="O250" s="912"/>
      <c r="P250" s="912"/>
      <c r="Q250" s="912"/>
      <c r="T250" s="1222"/>
    </row>
    <row r="251" spans="15:20">
      <c r="O251" s="912"/>
      <c r="P251" s="912"/>
      <c r="Q251" s="912"/>
      <c r="T251" s="1222"/>
    </row>
    <row r="252" spans="15:20">
      <c r="O252" s="912"/>
      <c r="P252" s="912"/>
      <c r="Q252" s="912"/>
      <c r="T252" s="1222"/>
    </row>
    <row r="253" spans="15:20">
      <c r="O253" s="912"/>
      <c r="P253" s="912"/>
      <c r="Q253" s="912"/>
      <c r="T253" s="1222"/>
    </row>
    <row r="254" spans="15:20">
      <c r="O254" s="912"/>
      <c r="P254" s="912"/>
      <c r="Q254" s="912"/>
      <c r="T254" s="1222"/>
    </row>
    <row r="255" spans="15:20">
      <c r="O255" s="912"/>
      <c r="P255" s="912"/>
      <c r="Q255" s="912"/>
      <c r="T255" s="1222"/>
    </row>
    <row r="256" spans="15:20">
      <c r="O256" s="912"/>
      <c r="P256" s="912"/>
      <c r="Q256" s="912"/>
      <c r="T256" s="1222"/>
    </row>
    <row r="257" spans="15:20">
      <c r="O257" s="912"/>
      <c r="P257" s="912"/>
      <c r="Q257" s="912"/>
      <c r="T257" s="1222"/>
    </row>
    <row r="258" spans="15:20">
      <c r="O258" s="912"/>
      <c r="P258" s="912"/>
      <c r="Q258" s="912"/>
      <c r="T258" s="1222"/>
    </row>
    <row r="259" spans="15:20">
      <c r="O259" s="912"/>
      <c r="P259" s="912"/>
      <c r="Q259" s="912"/>
      <c r="T259" s="1222"/>
    </row>
    <row r="260" spans="15:20">
      <c r="O260" s="912"/>
      <c r="P260" s="912"/>
      <c r="Q260" s="912"/>
      <c r="T260" s="1222"/>
    </row>
    <row r="261" spans="15:20">
      <c r="O261" s="912"/>
      <c r="P261" s="912"/>
      <c r="Q261" s="912"/>
      <c r="T261" s="1222"/>
    </row>
    <row r="262" spans="15:20">
      <c r="O262" s="912"/>
      <c r="P262" s="912"/>
      <c r="Q262" s="912"/>
      <c r="T262" s="1222"/>
    </row>
    <row r="263" spans="15:20">
      <c r="O263" s="912"/>
      <c r="P263" s="912"/>
      <c r="Q263" s="912"/>
      <c r="T263" s="1222"/>
    </row>
    <row r="264" spans="15:20">
      <c r="O264" s="912"/>
      <c r="P264" s="912"/>
      <c r="Q264" s="912"/>
      <c r="T264" s="1222"/>
    </row>
    <row r="265" spans="15:20">
      <c r="O265" s="912"/>
      <c r="P265" s="912"/>
      <c r="Q265" s="912"/>
      <c r="T265" s="1222"/>
    </row>
    <row r="266" spans="15:20">
      <c r="O266" s="912"/>
      <c r="P266" s="912"/>
      <c r="Q266" s="912"/>
      <c r="T266" s="1222"/>
    </row>
    <row r="267" spans="15:20">
      <c r="O267" s="912"/>
      <c r="P267" s="912"/>
      <c r="Q267" s="912"/>
      <c r="T267" s="1222"/>
    </row>
    <row r="268" spans="15:20">
      <c r="O268" s="912"/>
      <c r="P268" s="912"/>
      <c r="Q268" s="912"/>
      <c r="T268" s="1222"/>
    </row>
    <row r="269" spans="15:20">
      <c r="O269" s="912"/>
      <c r="P269" s="912"/>
      <c r="Q269" s="912"/>
      <c r="T269" s="1222"/>
    </row>
    <row r="270" spans="15:20">
      <c r="O270" s="912"/>
      <c r="P270" s="912"/>
      <c r="Q270" s="912"/>
      <c r="T270" s="1222"/>
    </row>
    <row r="271" spans="15:20">
      <c r="O271" s="912"/>
      <c r="P271" s="912"/>
      <c r="Q271" s="912"/>
      <c r="T271" s="1222"/>
    </row>
    <row r="272" spans="15:20">
      <c r="O272" s="912"/>
      <c r="P272" s="912"/>
      <c r="Q272" s="912"/>
      <c r="T272" s="1222"/>
    </row>
    <row r="273" spans="15:20">
      <c r="O273" s="912"/>
      <c r="P273" s="912"/>
      <c r="Q273" s="912"/>
      <c r="T273" s="1222"/>
    </row>
    <row r="274" spans="15:20">
      <c r="O274" s="912"/>
      <c r="P274" s="912"/>
      <c r="Q274" s="912"/>
      <c r="T274" s="1222"/>
    </row>
    <row r="275" spans="15:20">
      <c r="O275" s="912"/>
      <c r="P275" s="912"/>
      <c r="Q275" s="912"/>
      <c r="T275" s="1222"/>
    </row>
    <row r="276" spans="15:20">
      <c r="O276" s="912"/>
      <c r="P276" s="912"/>
      <c r="Q276" s="912"/>
    </row>
    <row r="277" spans="15:20">
      <c r="O277" s="912"/>
      <c r="P277" s="912"/>
      <c r="Q277" s="912"/>
    </row>
    <row r="293" spans="4:4">
      <c r="D293" s="377">
        <v>0</v>
      </c>
    </row>
  </sheetData>
  <mergeCells count="4">
    <mergeCell ref="A1:Z1"/>
    <mergeCell ref="A2:AN2"/>
    <mergeCell ref="B3:X3"/>
    <mergeCell ref="A4:Z4"/>
  </mergeCells>
  <printOptions horizontalCentered="1"/>
  <pageMargins left="0" right="0" top="0.25" bottom="0.17" header="0.17" footer="0.2"/>
  <pageSetup scale="42"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159"/>
  <sheetViews>
    <sheetView showGridLines="0" topLeftCell="A2" zoomScale="75" zoomScaleNormal="75" workbookViewId="0">
      <pane xSplit="3" ySplit="7" topLeftCell="D9" activePane="bottomRight" state="frozen"/>
      <selection activeCell="D91" sqref="D91"/>
      <selection pane="topRight" activeCell="D91" sqref="D91"/>
      <selection pane="bottomLeft" activeCell="D91" sqref="D91"/>
      <selection pane="bottomRight" activeCell="O26" sqref="O26"/>
    </sheetView>
  </sheetViews>
  <sheetFormatPr defaultRowHeight="12.75"/>
  <cols>
    <col min="1" max="1" width="33.85546875" style="1355" customWidth="1"/>
    <col min="2" max="2" width="10.5703125" style="1355" bestFit="1" customWidth="1"/>
    <col min="3" max="3" width="2.28515625" style="1516" bestFit="1" customWidth="1"/>
    <col min="4" max="4" width="21.28515625" style="922" bestFit="1" customWidth="1"/>
    <col min="5" max="5" width="18.7109375" style="922" customWidth="1"/>
    <col min="6" max="6" width="19.140625" style="922" bestFit="1" customWidth="1"/>
    <col min="7" max="7" width="19.7109375" style="922" bestFit="1" customWidth="1"/>
    <col min="8" max="9" width="18.5703125" style="922" customWidth="1"/>
    <col min="10" max="11" width="19.140625" style="922" bestFit="1" customWidth="1"/>
    <col min="12" max="12" width="17.7109375" style="922" bestFit="1" customWidth="1"/>
    <col min="13" max="13" width="19.140625" style="922" bestFit="1" customWidth="1"/>
    <col min="14" max="14" width="19.42578125" style="1353" customWidth="1"/>
    <col min="15" max="15" width="17.5703125" style="1355" customWidth="1"/>
    <col min="16" max="18" width="17.5703125" style="1353" bestFit="1" customWidth="1"/>
    <col min="19" max="26" width="9.140625" style="1353" customWidth="1"/>
    <col min="27" max="221" width="8.85546875" style="1355"/>
    <col min="222" max="222" width="44.5703125" style="1355" customWidth="1"/>
    <col min="223" max="223" width="14.28515625" style="1355" bestFit="1" customWidth="1"/>
    <col min="224" max="224" width="1.7109375" style="1355" customWidth="1"/>
    <col min="225" max="225" width="14.85546875" style="1355" customWidth="1"/>
    <col min="226" max="226" width="0" style="1355" hidden="1" customWidth="1"/>
    <col min="227" max="227" width="17.42578125" style="1355" customWidth="1"/>
    <col min="228" max="228" width="0" style="1355" hidden="1" customWidth="1"/>
    <col min="229" max="229" width="12.85546875" style="1355" customWidth="1"/>
    <col min="230" max="230" width="0" style="1355" hidden="1" customWidth="1"/>
    <col min="231" max="231" width="14.42578125" style="1355" customWidth="1"/>
    <col min="232" max="232" width="0" style="1355" hidden="1" customWidth="1"/>
    <col min="233" max="233" width="17.42578125" style="1355" customWidth="1"/>
    <col min="234" max="234" width="0" style="1355" hidden="1" customWidth="1"/>
    <col min="235" max="235" width="14" style="1355" customWidth="1"/>
    <col min="236" max="236" width="14.28515625" style="1355" bestFit="1" customWidth="1"/>
    <col min="237" max="237" width="0" style="1355" hidden="1" customWidth="1"/>
    <col min="238" max="238" width="15.5703125" style="1355" customWidth="1"/>
    <col min="239" max="239" width="44.5703125" style="1355" customWidth="1"/>
    <col min="240" max="240" width="14.28515625" style="1355" bestFit="1" customWidth="1"/>
    <col min="241" max="241" width="0" style="1355" hidden="1" customWidth="1"/>
    <col min="242" max="242" width="18.140625" style="1355" customWidth="1"/>
    <col min="243" max="243" width="0" style="1355" hidden="1" customWidth="1"/>
    <col min="244" max="244" width="14" style="1355" customWidth="1"/>
    <col min="245" max="245" width="0" style="1355" hidden="1" customWidth="1"/>
    <col min="246" max="246" width="20.85546875" style="1355" customWidth="1"/>
    <col min="247" max="247" width="0" style="1355" hidden="1" customWidth="1"/>
    <col min="248" max="248" width="13.28515625" style="1355" customWidth="1"/>
    <col min="249" max="249" width="0" style="1355" hidden="1" customWidth="1"/>
    <col min="250" max="250" width="15" style="1355" customWidth="1"/>
    <col min="251" max="251" width="0" style="1355" hidden="1" customWidth="1"/>
    <col min="252" max="252" width="13.28515625" style="1355" customWidth="1"/>
    <col min="253" max="253" width="0" style="1355" hidden="1" customWidth="1"/>
    <col min="254" max="254" width="20.140625" style="1355" customWidth="1"/>
    <col min="255" max="255" width="14.42578125" style="1355" bestFit="1" customWidth="1"/>
    <col min="256" max="256" width="14" style="1355" bestFit="1" customWidth="1"/>
    <col min="257" max="257" width="12.28515625" style="1355" bestFit="1" customWidth="1"/>
    <col min="258" max="282" width="9.140625" style="1355" customWidth="1"/>
    <col min="283" max="477" width="8.85546875" style="1355"/>
    <col min="478" max="478" width="44.5703125" style="1355" customWidth="1"/>
    <col min="479" max="479" width="14.28515625" style="1355" bestFit="1" customWidth="1"/>
    <col min="480" max="480" width="1.7109375" style="1355" customWidth="1"/>
    <col min="481" max="481" width="14.85546875" style="1355" customWidth="1"/>
    <col min="482" max="482" width="0" style="1355" hidden="1" customWidth="1"/>
    <col min="483" max="483" width="17.42578125" style="1355" customWidth="1"/>
    <col min="484" max="484" width="0" style="1355" hidden="1" customWidth="1"/>
    <col min="485" max="485" width="12.85546875" style="1355" customWidth="1"/>
    <col min="486" max="486" width="0" style="1355" hidden="1" customWidth="1"/>
    <col min="487" max="487" width="14.42578125" style="1355" customWidth="1"/>
    <col min="488" max="488" width="0" style="1355" hidden="1" customWidth="1"/>
    <col min="489" max="489" width="17.42578125" style="1355" customWidth="1"/>
    <col min="490" max="490" width="0" style="1355" hidden="1" customWidth="1"/>
    <col min="491" max="491" width="14" style="1355" customWidth="1"/>
    <col min="492" max="492" width="14.28515625" style="1355" bestFit="1" customWidth="1"/>
    <col min="493" max="493" width="0" style="1355" hidden="1" customWidth="1"/>
    <col min="494" max="494" width="15.5703125" style="1355" customWidth="1"/>
    <col min="495" max="495" width="44.5703125" style="1355" customWidth="1"/>
    <col min="496" max="496" width="14.28515625" style="1355" bestFit="1" customWidth="1"/>
    <col min="497" max="497" width="0" style="1355" hidden="1" customWidth="1"/>
    <col min="498" max="498" width="18.140625" style="1355" customWidth="1"/>
    <col min="499" max="499" width="0" style="1355" hidden="1" customWidth="1"/>
    <col min="500" max="500" width="14" style="1355" customWidth="1"/>
    <col min="501" max="501" width="0" style="1355" hidden="1" customWidth="1"/>
    <col min="502" max="502" width="20.85546875" style="1355" customWidth="1"/>
    <col min="503" max="503" width="0" style="1355" hidden="1" customWidth="1"/>
    <col min="504" max="504" width="13.28515625" style="1355" customWidth="1"/>
    <col min="505" max="505" width="0" style="1355" hidden="1" customWidth="1"/>
    <col min="506" max="506" width="15" style="1355" customWidth="1"/>
    <col min="507" max="507" width="0" style="1355" hidden="1" customWidth="1"/>
    <col min="508" max="508" width="13.28515625" style="1355" customWidth="1"/>
    <col min="509" max="509" width="0" style="1355" hidden="1" customWidth="1"/>
    <col min="510" max="510" width="20.140625" style="1355" customWidth="1"/>
    <col min="511" max="511" width="14.42578125" style="1355" bestFit="1" customWidth="1"/>
    <col min="512" max="512" width="14" style="1355" bestFit="1" customWidth="1"/>
    <col min="513" max="513" width="12.28515625" style="1355" bestFit="1" customWidth="1"/>
    <col min="514" max="538" width="9.140625" style="1355" customWidth="1"/>
    <col min="539" max="733" width="8.85546875" style="1355"/>
    <col min="734" max="734" width="44.5703125" style="1355" customWidth="1"/>
    <col min="735" max="735" width="14.28515625" style="1355" bestFit="1" customWidth="1"/>
    <col min="736" max="736" width="1.7109375" style="1355" customWidth="1"/>
    <col min="737" max="737" width="14.85546875" style="1355" customWidth="1"/>
    <col min="738" max="738" width="0" style="1355" hidden="1" customWidth="1"/>
    <col min="739" max="739" width="17.42578125" style="1355" customWidth="1"/>
    <col min="740" max="740" width="0" style="1355" hidden="1" customWidth="1"/>
    <col min="741" max="741" width="12.85546875" style="1355" customWidth="1"/>
    <col min="742" max="742" width="0" style="1355" hidden="1" customWidth="1"/>
    <col min="743" max="743" width="14.42578125" style="1355" customWidth="1"/>
    <col min="744" max="744" width="0" style="1355" hidden="1" customWidth="1"/>
    <col min="745" max="745" width="17.42578125" style="1355" customWidth="1"/>
    <col min="746" max="746" width="0" style="1355" hidden="1" customWidth="1"/>
    <col min="747" max="747" width="14" style="1355" customWidth="1"/>
    <col min="748" max="748" width="14.28515625" style="1355" bestFit="1" customWidth="1"/>
    <col min="749" max="749" width="0" style="1355" hidden="1" customWidth="1"/>
    <col min="750" max="750" width="15.5703125" style="1355" customWidth="1"/>
    <col min="751" max="751" width="44.5703125" style="1355" customWidth="1"/>
    <col min="752" max="752" width="14.28515625" style="1355" bestFit="1" customWidth="1"/>
    <col min="753" max="753" width="0" style="1355" hidden="1" customWidth="1"/>
    <col min="754" max="754" width="18.140625" style="1355" customWidth="1"/>
    <col min="755" max="755" width="0" style="1355" hidden="1" customWidth="1"/>
    <col min="756" max="756" width="14" style="1355" customWidth="1"/>
    <col min="757" max="757" width="0" style="1355" hidden="1" customWidth="1"/>
    <col min="758" max="758" width="20.85546875" style="1355" customWidth="1"/>
    <col min="759" max="759" width="0" style="1355" hidden="1" customWidth="1"/>
    <col min="760" max="760" width="13.28515625" style="1355" customWidth="1"/>
    <col min="761" max="761" width="0" style="1355" hidden="1" customWidth="1"/>
    <col min="762" max="762" width="15" style="1355" customWidth="1"/>
    <col min="763" max="763" width="0" style="1355" hidden="1" customWidth="1"/>
    <col min="764" max="764" width="13.28515625" style="1355" customWidth="1"/>
    <col min="765" max="765" width="0" style="1355" hidden="1" customWidth="1"/>
    <col min="766" max="766" width="20.140625" style="1355" customWidth="1"/>
    <col min="767" max="767" width="14.42578125" style="1355" bestFit="1" customWidth="1"/>
    <col min="768" max="768" width="14" style="1355" bestFit="1" customWidth="1"/>
    <col min="769" max="769" width="12.28515625" style="1355" bestFit="1" customWidth="1"/>
    <col min="770" max="794" width="9.140625" style="1355" customWidth="1"/>
    <col min="795" max="989" width="8.85546875" style="1355"/>
    <col min="990" max="990" width="44.5703125" style="1355" customWidth="1"/>
    <col min="991" max="991" width="14.28515625" style="1355" bestFit="1" customWidth="1"/>
    <col min="992" max="992" width="1.7109375" style="1355" customWidth="1"/>
    <col min="993" max="993" width="14.85546875" style="1355" customWidth="1"/>
    <col min="994" max="994" width="0" style="1355" hidden="1" customWidth="1"/>
    <col min="995" max="995" width="17.42578125" style="1355" customWidth="1"/>
    <col min="996" max="996" width="0" style="1355" hidden="1" customWidth="1"/>
    <col min="997" max="997" width="12.85546875" style="1355" customWidth="1"/>
    <col min="998" max="998" width="0" style="1355" hidden="1" customWidth="1"/>
    <col min="999" max="999" width="14.42578125" style="1355" customWidth="1"/>
    <col min="1000" max="1000" width="0" style="1355" hidden="1" customWidth="1"/>
    <col min="1001" max="1001" width="17.42578125" style="1355" customWidth="1"/>
    <col min="1002" max="1002" width="0" style="1355" hidden="1" customWidth="1"/>
    <col min="1003" max="1003" width="14" style="1355" customWidth="1"/>
    <col min="1004" max="1004" width="14.28515625" style="1355" bestFit="1" customWidth="1"/>
    <col min="1005" max="1005" width="0" style="1355" hidden="1" customWidth="1"/>
    <col min="1006" max="1006" width="15.5703125" style="1355" customWidth="1"/>
    <col min="1007" max="1007" width="44.5703125" style="1355" customWidth="1"/>
    <col min="1008" max="1008" width="14.28515625" style="1355" bestFit="1" customWidth="1"/>
    <col min="1009" max="1009" width="0" style="1355" hidden="1" customWidth="1"/>
    <col min="1010" max="1010" width="18.140625" style="1355" customWidth="1"/>
    <col min="1011" max="1011" width="0" style="1355" hidden="1" customWidth="1"/>
    <col min="1012" max="1012" width="14" style="1355" customWidth="1"/>
    <col min="1013" max="1013" width="0" style="1355" hidden="1" customWidth="1"/>
    <col min="1014" max="1014" width="20.85546875" style="1355" customWidth="1"/>
    <col min="1015" max="1015" width="0" style="1355" hidden="1" customWidth="1"/>
    <col min="1016" max="1016" width="13.28515625" style="1355" customWidth="1"/>
    <col min="1017" max="1017" width="0" style="1355" hidden="1" customWidth="1"/>
    <col min="1018" max="1018" width="15" style="1355" customWidth="1"/>
    <col min="1019" max="1019" width="0" style="1355" hidden="1" customWidth="1"/>
    <col min="1020" max="1020" width="13.28515625" style="1355" customWidth="1"/>
    <col min="1021" max="1021" width="0" style="1355" hidden="1" customWidth="1"/>
    <col min="1022" max="1022" width="20.140625" style="1355" customWidth="1"/>
    <col min="1023" max="1023" width="14.42578125" style="1355" bestFit="1" customWidth="1"/>
    <col min="1024" max="1024" width="14" style="1355" bestFit="1" customWidth="1"/>
    <col min="1025" max="1025" width="12.28515625" style="1355" bestFit="1" customWidth="1"/>
    <col min="1026" max="1050" width="9.140625" style="1355" customWidth="1"/>
    <col min="1051" max="1245" width="8.85546875" style="1355"/>
    <col min="1246" max="1246" width="44.5703125" style="1355" customWidth="1"/>
    <col min="1247" max="1247" width="14.28515625" style="1355" bestFit="1" customWidth="1"/>
    <col min="1248" max="1248" width="1.7109375" style="1355" customWidth="1"/>
    <col min="1249" max="1249" width="14.85546875" style="1355" customWidth="1"/>
    <col min="1250" max="1250" width="0" style="1355" hidden="1" customWidth="1"/>
    <col min="1251" max="1251" width="17.42578125" style="1355" customWidth="1"/>
    <col min="1252" max="1252" width="0" style="1355" hidden="1" customWidth="1"/>
    <col min="1253" max="1253" width="12.85546875" style="1355" customWidth="1"/>
    <col min="1254" max="1254" width="0" style="1355" hidden="1" customWidth="1"/>
    <col min="1255" max="1255" width="14.42578125" style="1355" customWidth="1"/>
    <col min="1256" max="1256" width="0" style="1355" hidden="1" customWidth="1"/>
    <col min="1257" max="1257" width="17.42578125" style="1355" customWidth="1"/>
    <col min="1258" max="1258" width="0" style="1355" hidden="1" customWidth="1"/>
    <col min="1259" max="1259" width="14" style="1355" customWidth="1"/>
    <col min="1260" max="1260" width="14.28515625" style="1355" bestFit="1" customWidth="1"/>
    <col min="1261" max="1261" width="0" style="1355" hidden="1" customWidth="1"/>
    <col min="1262" max="1262" width="15.5703125" style="1355" customWidth="1"/>
    <col min="1263" max="1263" width="44.5703125" style="1355" customWidth="1"/>
    <col min="1264" max="1264" width="14.28515625" style="1355" bestFit="1" customWidth="1"/>
    <col min="1265" max="1265" width="0" style="1355" hidden="1" customWidth="1"/>
    <col min="1266" max="1266" width="18.140625" style="1355" customWidth="1"/>
    <col min="1267" max="1267" width="0" style="1355" hidden="1" customWidth="1"/>
    <col min="1268" max="1268" width="14" style="1355" customWidth="1"/>
    <col min="1269" max="1269" width="0" style="1355" hidden="1" customWidth="1"/>
    <col min="1270" max="1270" width="20.85546875" style="1355" customWidth="1"/>
    <col min="1271" max="1271" width="0" style="1355" hidden="1" customWidth="1"/>
    <col min="1272" max="1272" width="13.28515625" style="1355" customWidth="1"/>
    <col min="1273" max="1273" width="0" style="1355" hidden="1" customWidth="1"/>
    <col min="1274" max="1274" width="15" style="1355" customWidth="1"/>
    <col min="1275" max="1275" width="0" style="1355" hidden="1" customWidth="1"/>
    <col min="1276" max="1276" width="13.28515625" style="1355" customWidth="1"/>
    <col min="1277" max="1277" width="0" style="1355" hidden="1" customWidth="1"/>
    <col min="1278" max="1278" width="20.140625" style="1355" customWidth="1"/>
    <col min="1279" max="1279" width="14.42578125" style="1355" bestFit="1" customWidth="1"/>
    <col min="1280" max="1280" width="14" style="1355" bestFit="1" customWidth="1"/>
    <col min="1281" max="1281" width="12.28515625" style="1355" bestFit="1" customWidth="1"/>
    <col min="1282" max="1306" width="9.140625" style="1355" customWidth="1"/>
    <col min="1307" max="1501" width="8.85546875" style="1355"/>
    <col min="1502" max="1502" width="44.5703125" style="1355" customWidth="1"/>
    <col min="1503" max="1503" width="14.28515625" style="1355" bestFit="1" customWidth="1"/>
    <col min="1504" max="1504" width="1.7109375" style="1355" customWidth="1"/>
    <col min="1505" max="1505" width="14.85546875" style="1355" customWidth="1"/>
    <col min="1506" max="1506" width="0" style="1355" hidden="1" customWidth="1"/>
    <col min="1507" max="1507" width="17.42578125" style="1355" customWidth="1"/>
    <col min="1508" max="1508" width="0" style="1355" hidden="1" customWidth="1"/>
    <col min="1509" max="1509" width="12.85546875" style="1355" customWidth="1"/>
    <col min="1510" max="1510" width="0" style="1355" hidden="1" customWidth="1"/>
    <col min="1511" max="1511" width="14.42578125" style="1355" customWidth="1"/>
    <col min="1512" max="1512" width="0" style="1355" hidden="1" customWidth="1"/>
    <col min="1513" max="1513" width="17.42578125" style="1355" customWidth="1"/>
    <col min="1514" max="1514" width="0" style="1355" hidden="1" customWidth="1"/>
    <col min="1515" max="1515" width="14" style="1355" customWidth="1"/>
    <col min="1516" max="1516" width="14.28515625" style="1355" bestFit="1" customWidth="1"/>
    <col min="1517" max="1517" width="0" style="1355" hidden="1" customWidth="1"/>
    <col min="1518" max="1518" width="15.5703125" style="1355" customWidth="1"/>
    <col min="1519" max="1519" width="44.5703125" style="1355" customWidth="1"/>
    <col min="1520" max="1520" width="14.28515625" style="1355" bestFit="1" customWidth="1"/>
    <col min="1521" max="1521" width="0" style="1355" hidden="1" customWidth="1"/>
    <col min="1522" max="1522" width="18.140625" style="1355" customWidth="1"/>
    <col min="1523" max="1523" width="0" style="1355" hidden="1" customWidth="1"/>
    <col min="1524" max="1524" width="14" style="1355" customWidth="1"/>
    <col min="1525" max="1525" width="0" style="1355" hidden="1" customWidth="1"/>
    <col min="1526" max="1526" width="20.85546875" style="1355" customWidth="1"/>
    <col min="1527" max="1527" width="0" style="1355" hidden="1" customWidth="1"/>
    <col min="1528" max="1528" width="13.28515625" style="1355" customWidth="1"/>
    <col min="1529" max="1529" width="0" style="1355" hidden="1" customWidth="1"/>
    <col min="1530" max="1530" width="15" style="1355" customWidth="1"/>
    <col min="1531" max="1531" width="0" style="1355" hidden="1" customWidth="1"/>
    <col min="1532" max="1532" width="13.28515625" style="1355" customWidth="1"/>
    <col min="1533" max="1533" width="0" style="1355" hidden="1" customWidth="1"/>
    <col min="1534" max="1534" width="20.140625" style="1355" customWidth="1"/>
    <col min="1535" max="1535" width="14.42578125" style="1355" bestFit="1" customWidth="1"/>
    <col min="1536" max="1536" width="14" style="1355" bestFit="1" customWidth="1"/>
    <col min="1537" max="1537" width="12.28515625" style="1355" bestFit="1" customWidth="1"/>
    <col min="1538" max="1562" width="9.140625" style="1355" customWidth="1"/>
    <col min="1563" max="1757" width="8.85546875" style="1355"/>
    <col min="1758" max="1758" width="44.5703125" style="1355" customWidth="1"/>
    <col min="1759" max="1759" width="14.28515625" style="1355" bestFit="1" customWidth="1"/>
    <col min="1760" max="1760" width="1.7109375" style="1355" customWidth="1"/>
    <col min="1761" max="1761" width="14.85546875" style="1355" customWidth="1"/>
    <col min="1762" max="1762" width="0" style="1355" hidden="1" customWidth="1"/>
    <col min="1763" max="1763" width="17.42578125" style="1355" customWidth="1"/>
    <col min="1764" max="1764" width="0" style="1355" hidden="1" customWidth="1"/>
    <col min="1765" max="1765" width="12.85546875" style="1355" customWidth="1"/>
    <col min="1766" max="1766" width="0" style="1355" hidden="1" customWidth="1"/>
    <col min="1767" max="1767" width="14.42578125" style="1355" customWidth="1"/>
    <col min="1768" max="1768" width="0" style="1355" hidden="1" customWidth="1"/>
    <col min="1769" max="1769" width="17.42578125" style="1355" customWidth="1"/>
    <col min="1770" max="1770" width="0" style="1355" hidden="1" customWidth="1"/>
    <col min="1771" max="1771" width="14" style="1355" customWidth="1"/>
    <col min="1772" max="1772" width="14.28515625" style="1355" bestFit="1" customWidth="1"/>
    <col min="1773" max="1773" width="0" style="1355" hidden="1" customWidth="1"/>
    <col min="1774" max="1774" width="15.5703125" style="1355" customWidth="1"/>
    <col min="1775" max="1775" width="44.5703125" style="1355" customWidth="1"/>
    <col min="1776" max="1776" width="14.28515625" style="1355" bestFit="1" customWidth="1"/>
    <col min="1777" max="1777" width="0" style="1355" hidden="1" customWidth="1"/>
    <col min="1778" max="1778" width="18.140625" style="1355" customWidth="1"/>
    <col min="1779" max="1779" width="0" style="1355" hidden="1" customWidth="1"/>
    <col min="1780" max="1780" width="14" style="1355" customWidth="1"/>
    <col min="1781" max="1781" width="0" style="1355" hidden="1" customWidth="1"/>
    <col min="1782" max="1782" width="20.85546875" style="1355" customWidth="1"/>
    <col min="1783" max="1783" width="0" style="1355" hidden="1" customWidth="1"/>
    <col min="1784" max="1784" width="13.28515625" style="1355" customWidth="1"/>
    <col min="1785" max="1785" width="0" style="1355" hidden="1" customWidth="1"/>
    <col min="1786" max="1786" width="15" style="1355" customWidth="1"/>
    <col min="1787" max="1787" width="0" style="1355" hidden="1" customWidth="1"/>
    <col min="1788" max="1788" width="13.28515625" style="1355" customWidth="1"/>
    <col min="1789" max="1789" width="0" style="1355" hidden="1" customWidth="1"/>
    <col min="1790" max="1790" width="20.140625" style="1355" customWidth="1"/>
    <col min="1791" max="1791" width="14.42578125" style="1355" bestFit="1" customWidth="1"/>
    <col min="1792" max="1792" width="14" style="1355" bestFit="1" customWidth="1"/>
    <col min="1793" max="1793" width="12.28515625" style="1355" bestFit="1" customWidth="1"/>
    <col min="1794" max="1818" width="9.140625" style="1355" customWidth="1"/>
    <col min="1819" max="2013" width="8.85546875" style="1355"/>
    <col min="2014" max="2014" width="44.5703125" style="1355" customWidth="1"/>
    <col min="2015" max="2015" width="14.28515625" style="1355" bestFit="1" customWidth="1"/>
    <col min="2016" max="2016" width="1.7109375" style="1355" customWidth="1"/>
    <col min="2017" max="2017" width="14.85546875" style="1355" customWidth="1"/>
    <col min="2018" max="2018" width="0" style="1355" hidden="1" customWidth="1"/>
    <col min="2019" max="2019" width="17.42578125" style="1355" customWidth="1"/>
    <col min="2020" max="2020" width="0" style="1355" hidden="1" customWidth="1"/>
    <col min="2021" max="2021" width="12.85546875" style="1355" customWidth="1"/>
    <col min="2022" max="2022" width="0" style="1355" hidden="1" customWidth="1"/>
    <col min="2023" max="2023" width="14.42578125" style="1355" customWidth="1"/>
    <col min="2024" max="2024" width="0" style="1355" hidden="1" customWidth="1"/>
    <col min="2025" max="2025" width="17.42578125" style="1355" customWidth="1"/>
    <col min="2026" max="2026" width="0" style="1355" hidden="1" customWidth="1"/>
    <col min="2027" max="2027" width="14" style="1355" customWidth="1"/>
    <col min="2028" max="2028" width="14.28515625" style="1355" bestFit="1" customWidth="1"/>
    <col min="2029" max="2029" width="0" style="1355" hidden="1" customWidth="1"/>
    <col min="2030" max="2030" width="15.5703125" style="1355" customWidth="1"/>
    <col min="2031" max="2031" width="44.5703125" style="1355" customWidth="1"/>
    <col min="2032" max="2032" width="14.28515625" style="1355" bestFit="1" customWidth="1"/>
    <col min="2033" max="2033" width="0" style="1355" hidden="1" customWidth="1"/>
    <col min="2034" max="2034" width="18.140625" style="1355" customWidth="1"/>
    <col min="2035" max="2035" width="0" style="1355" hidden="1" customWidth="1"/>
    <col min="2036" max="2036" width="14" style="1355" customWidth="1"/>
    <col min="2037" max="2037" width="0" style="1355" hidden="1" customWidth="1"/>
    <col min="2038" max="2038" width="20.85546875" style="1355" customWidth="1"/>
    <col min="2039" max="2039" width="0" style="1355" hidden="1" customWidth="1"/>
    <col min="2040" max="2040" width="13.28515625" style="1355" customWidth="1"/>
    <col min="2041" max="2041" width="0" style="1355" hidden="1" customWidth="1"/>
    <col min="2042" max="2042" width="15" style="1355" customWidth="1"/>
    <col min="2043" max="2043" width="0" style="1355" hidden="1" customWidth="1"/>
    <col min="2044" max="2044" width="13.28515625" style="1355" customWidth="1"/>
    <col min="2045" max="2045" width="0" style="1355" hidden="1" customWidth="1"/>
    <col min="2046" max="2046" width="20.140625" style="1355" customWidth="1"/>
    <col min="2047" max="2047" width="14.42578125" style="1355" bestFit="1" customWidth="1"/>
    <col min="2048" max="2048" width="14" style="1355" bestFit="1" customWidth="1"/>
    <col min="2049" max="2049" width="12.28515625" style="1355" bestFit="1" customWidth="1"/>
    <col min="2050" max="2074" width="9.140625" style="1355" customWidth="1"/>
    <col min="2075" max="2269" width="8.85546875" style="1355"/>
    <col min="2270" max="2270" width="44.5703125" style="1355" customWidth="1"/>
    <col min="2271" max="2271" width="14.28515625" style="1355" bestFit="1" customWidth="1"/>
    <col min="2272" max="2272" width="1.7109375" style="1355" customWidth="1"/>
    <col min="2273" max="2273" width="14.85546875" style="1355" customWidth="1"/>
    <col min="2274" max="2274" width="0" style="1355" hidden="1" customWidth="1"/>
    <col min="2275" max="2275" width="17.42578125" style="1355" customWidth="1"/>
    <col min="2276" max="2276" width="0" style="1355" hidden="1" customWidth="1"/>
    <col min="2277" max="2277" width="12.85546875" style="1355" customWidth="1"/>
    <col min="2278" max="2278" width="0" style="1355" hidden="1" customWidth="1"/>
    <col min="2279" max="2279" width="14.42578125" style="1355" customWidth="1"/>
    <col min="2280" max="2280" width="0" style="1355" hidden="1" customWidth="1"/>
    <col min="2281" max="2281" width="17.42578125" style="1355" customWidth="1"/>
    <col min="2282" max="2282" width="0" style="1355" hidden="1" customWidth="1"/>
    <col min="2283" max="2283" width="14" style="1355" customWidth="1"/>
    <col min="2284" max="2284" width="14.28515625" style="1355" bestFit="1" customWidth="1"/>
    <col min="2285" max="2285" width="0" style="1355" hidden="1" customWidth="1"/>
    <col min="2286" max="2286" width="15.5703125" style="1355" customWidth="1"/>
    <col min="2287" max="2287" width="44.5703125" style="1355" customWidth="1"/>
    <col min="2288" max="2288" width="14.28515625" style="1355" bestFit="1" customWidth="1"/>
    <col min="2289" max="2289" width="0" style="1355" hidden="1" customWidth="1"/>
    <col min="2290" max="2290" width="18.140625" style="1355" customWidth="1"/>
    <col min="2291" max="2291" width="0" style="1355" hidden="1" customWidth="1"/>
    <col min="2292" max="2292" width="14" style="1355" customWidth="1"/>
    <col min="2293" max="2293" width="0" style="1355" hidden="1" customWidth="1"/>
    <col min="2294" max="2294" width="20.85546875" style="1355" customWidth="1"/>
    <col min="2295" max="2295" width="0" style="1355" hidden="1" customWidth="1"/>
    <col min="2296" max="2296" width="13.28515625" style="1355" customWidth="1"/>
    <col min="2297" max="2297" width="0" style="1355" hidden="1" customWidth="1"/>
    <col min="2298" max="2298" width="15" style="1355" customWidth="1"/>
    <col min="2299" max="2299" width="0" style="1355" hidden="1" customWidth="1"/>
    <col min="2300" max="2300" width="13.28515625" style="1355" customWidth="1"/>
    <col min="2301" max="2301" width="0" style="1355" hidden="1" customWidth="1"/>
    <col min="2302" max="2302" width="20.140625" style="1355" customWidth="1"/>
    <col min="2303" max="2303" width="14.42578125" style="1355" bestFit="1" customWidth="1"/>
    <col min="2304" max="2304" width="14" style="1355" bestFit="1" customWidth="1"/>
    <col min="2305" max="2305" width="12.28515625" style="1355" bestFit="1" customWidth="1"/>
    <col min="2306" max="2330" width="9.140625" style="1355" customWidth="1"/>
    <col min="2331" max="2525" width="8.85546875" style="1355"/>
    <col min="2526" max="2526" width="44.5703125" style="1355" customWidth="1"/>
    <col min="2527" max="2527" width="14.28515625" style="1355" bestFit="1" customWidth="1"/>
    <col min="2528" max="2528" width="1.7109375" style="1355" customWidth="1"/>
    <col min="2529" max="2529" width="14.85546875" style="1355" customWidth="1"/>
    <col min="2530" max="2530" width="0" style="1355" hidden="1" customWidth="1"/>
    <col min="2531" max="2531" width="17.42578125" style="1355" customWidth="1"/>
    <col min="2532" max="2532" width="0" style="1355" hidden="1" customWidth="1"/>
    <col min="2533" max="2533" width="12.85546875" style="1355" customWidth="1"/>
    <col min="2534" max="2534" width="0" style="1355" hidden="1" customWidth="1"/>
    <col min="2535" max="2535" width="14.42578125" style="1355" customWidth="1"/>
    <col min="2536" max="2536" width="0" style="1355" hidden="1" customWidth="1"/>
    <col min="2537" max="2537" width="17.42578125" style="1355" customWidth="1"/>
    <col min="2538" max="2538" width="0" style="1355" hidden="1" customWidth="1"/>
    <col min="2539" max="2539" width="14" style="1355" customWidth="1"/>
    <col min="2540" max="2540" width="14.28515625" style="1355" bestFit="1" customWidth="1"/>
    <col min="2541" max="2541" width="0" style="1355" hidden="1" customWidth="1"/>
    <col min="2542" max="2542" width="15.5703125" style="1355" customWidth="1"/>
    <col min="2543" max="2543" width="44.5703125" style="1355" customWidth="1"/>
    <col min="2544" max="2544" width="14.28515625" style="1355" bestFit="1" customWidth="1"/>
    <col min="2545" max="2545" width="0" style="1355" hidden="1" customWidth="1"/>
    <col min="2546" max="2546" width="18.140625" style="1355" customWidth="1"/>
    <col min="2547" max="2547" width="0" style="1355" hidden="1" customWidth="1"/>
    <col min="2548" max="2548" width="14" style="1355" customWidth="1"/>
    <col min="2549" max="2549" width="0" style="1355" hidden="1" customWidth="1"/>
    <col min="2550" max="2550" width="20.85546875" style="1355" customWidth="1"/>
    <col min="2551" max="2551" width="0" style="1355" hidden="1" customWidth="1"/>
    <col min="2552" max="2552" width="13.28515625" style="1355" customWidth="1"/>
    <col min="2553" max="2553" width="0" style="1355" hidden="1" customWidth="1"/>
    <col min="2554" max="2554" width="15" style="1355" customWidth="1"/>
    <col min="2555" max="2555" width="0" style="1355" hidden="1" customWidth="1"/>
    <col min="2556" max="2556" width="13.28515625" style="1355" customWidth="1"/>
    <col min="2557" max="2557" width="0" style="1355" hidden="1" customWidth="1"/>
    <col min="2558" max="2558" width="20.140625" style="1355" customWidth="1"/>
    <col min="2559" max="2559" width="14.42578125" style="1355" bestFit="1" customWidth="1"/>
    <col min="2560" max="2560" width="14" style="1355" bestFit="1" customWidth="1"/>
    <col min="2561" max="2561" width="12.28515625" style="1355" bestFit="1" customWidth="1"/>
    <col min="2562" max="2586" width="9.140625" style="1355" customWidth="1"/>
    <col min="2587" max="2781" width="8.85546875" style="1355"/>
    <col min="2782" max="2782" width="44.5703125" style="1355" customWidth="1"/>
    <col min="2783" max="2783" width="14.28515625" style="1355" bestFit="1" customWidth="1"/>
    <col min="2784" max="2784" width="1.7109375" style="1355" customWidth="1"/>
    <col min="2785" max="2785" width="14.85546875" style="1355" customWidth="1"/>
    <col min="2786" max="2786" width="0" style="1355" hidden="1" customWidth="1"/>
    <col min="2787" max="2787" width="17.42578125" style="1355" customWidth="1"/>
    <col min="2788" max="2788" width="0" style="1355" hidden="1" customWidth="1"/>
    <col min="2789" max="2789" width="12.85546875" style="1355" customWidth="1"/>
    <col min="2790" max="2790" width="0" style="1355" hidden="1" customWidth="1"/>
    <col min="2791" max="2791" width="14.42578125" style="1355" customWidth="1"/>
    <col min="2792" max="2792" width="0" style="1355" hidden="1" customWidth="1"/>
    <col min="2793" max="2793" width="17.42578125" style="1355" customWidth="1"/>
    <col min="2794" max="2794" width="0" style="1355" hidden="1" customWidth="1"/>
    <col min="2795" max="2795" width="14" style="1355" customWidth="1"/>
    <col min="2796" max="2796" width="14.28515625" style="1355" bestFit="1" customWidth="1"/>
    <col min="2797" max="2797" width="0" style="1355" hidden="1" customWidth="1"/>
    <col min="2798" max="2798" width="15.5703125" style="1355" customWidth="1"/>
    <col min="2799" max="2799" width="44.5703125" style="1355" customWidth="1"/>
    <col min="2800" max="2800" width="14.28515625" style="1355" bestFit="1" customWidth="1"/>
    <col min="2801" max="2801" width="0" style="1355" hidden="1" customWidth="1"/>
    <col min="2802" max="2802" width="18.140625" style="1355" customWidth="1"/>
    <col min="2803" max="2803" width="0" style="1355" hidden="1" customWidth="1"/>
    <col min="2804" max="2804" width="14" style="1355" customWidth="1"/>
    <col min="2805" max="2805" width="0" style="1355" hidden="1" customWidth="1"/>
    <col min="2806" max="2806" width="20.85546875" style="1355" customWidth="1"/>
    <col min="2807" max="2807" width="0" style="1355" hidden="1" customWidth="1"/>
    <col min="2808" max="2808" width="13.28515625" style="1355" customWidth="1"/>
    <col min="2809" max="2809" width="0" style="1355" hidden="1" customWidth="1"/>
    <col min="2810" max="2810" width="15" style="1355" customWidth="1"/>
    <col min="2811" max="2811" width="0" style="1355" hidden="1" customWidth="1"/>
    <col min="2812" max="2812" width="13.28515625" style="1355" customWidth="1"/>
    <col min="2813" max="2813" width="0" style="1355" hidden="1" customWidth="1"/>
    <col min="2814" max="2814" width="20.140625" style="1355" customWidth="1"/>
    <col min="2815" max="2815" width="14.42578125" style="1355" bestFit="1" customWidth="1"/>
    <col min="2816" max="2816" width="14" style="1355" bestFit="1" customWidth="1"/>
    <col min="2817" max="2817" width="12.28515625" style="1355" bestFit="1" customWidth="1"/>
    <col min="2818" max="2842" width="9.140625" style="1355" customWidth="1"/>
    <col min="2843" max="3037" width="8.85546875" style="1355"/>
    <col min="3038" max="3038" width="44.5703125" style="1355" customWidth="1"/>
    <col min="3039" max="3039" width="14.28515625" style="1355" bestFit="1" customWidth="1"/>
    <col min="3040" max="3040" width="1.7109375" style="1355" customWidth="1"/>
    <col min="3041" max="3041" width="14.85546875" style="1355" customWidth="1"/>
    <col min="3042" max="3042" width="0" style="1355" hidden="1" customWidth="1"/>
    <col min="3043" max="3043" width="17.42578125" style="1355" customWidth="1"/>
    <col min="3044" max="3044" width="0" style="1355" hidden="1" customWidth="1"/>
    <col min="3045" max="3045" width="12.85546875" style="1355" customWidth="1"/>
    <col min="3046" max="3046" width="0" style="1355" hidden="1" customWidth="1"/>
    <col min="3047" max="3047" width="14.42578125" style="1355" customWidth="1"/>
    <col min="3048" max="3048" width="0" style="1355" hidden="1" customWidth="1"/>
    <col min="3049" max="3049" width="17.42578125" style="1355" customWidth="1"/>
    <col min="3050" max="3050" width="0" style="1355" hidden="1" customWidth="1"/>
    <col min="3051" max="3051" width="14" style="1355" customWidth="1"/>
    <col min="3052" max="3052" width="14.28515625" style="1355" bestFit="1" customWidth="1"/>
    <col min="3053" max="3053" width="0" style="1355" hidden="1" customWidth="1"/>
    <col min="3054" max="3054" width="15.5703125" style="1355" customWidth="1"/>
    <col min="3055" max="3055" width="44.5703125" style="1355" customWidth="1"/>
    <col min="3056" max="3056" width="14.28515625" style="1355" bestFit="1" customWidth="1"/>
    <col min="3057" max="3057" width="0" style="1355" hidden="1" customWidth="1"/>
    <col min="3058" max="3058" width="18.140625" style="1355" customWidth="1"/>
    <col min="3059" max="3059" width="0" style="1355" hidden="1" customWidth="1"/>
    <col min="3060" max="3060" width="14" style="1355" customWidth="1"/>
    <col min="3061" max="3061" width="0" style="1355" hidden="1" customWidth="1"/>
    <col min="3062" max="3062" width="20.85546875" style="1355" customWidth="1"/>
    <col min="3063" max="3063" width="0" style="1355" hidden="1" customWidth="1"/>
    <col min="3064" max="3064" width="13.28515625" style="1355" customWidth="1"/>
    <col min="3065" max="3065" width="0" style="1355" hidden="1" customWidth="1"/>
    <col min="3066" max="3066" width="15" style="1355" customWidth="1"/>
    <col min="3067" max="3067" width="0" style="1355" hidden="1" customWidth="1"/>
    <col min="3068" max="3068" width="13.28515625" style="1355" customWidth="1"/>
    <col min="3069" max="3069" width="0" style="1355" hidden="1" customWidth="1"/>
    <col min="3070" max="3070" width="20.140625" style="1355" customWidth="1"/>
    <col min="3071" max="3071" width="14.42578125" style="1355" bestFit="1" customWidth="1"/>
    <col min="3072" max="3072" width="14" style="1355" bestFit="1" customWidth="1"/>
    <col min="3073" max="3073" width="12.28515625" style="1355" bestFit="1" customWidth="1"/>
    <col min="3074" max="3098" width="9.140625" style="1355" customWidth="1"/>
    <col min="3099" max="3293" width="8.85546875" style="1355"/>
    <col min="3294" max="3294" width="44.5703125" style="1355" customWidth="1"/>
    <col min="3295" max="3295" width="14.28515625" style="1355" bestFit="1" customWidth="1"/>
    <col min="3296" max="3296" width="1.7109375" style="1355" customWidth="1"/>
    <col min="3297" max="3297" width="14.85546875" style="1355" customWidth="1"/>
    <col min="3298" max="3298" width="0" style="1355" hidden="1" customWidth="1"/>
    <col min="3299" max="3299" width="17.42578125" style="1355" customWidth="1"/>
    <col min="3300" max="3300" width="0" style="1355" hidden="1" customWidth="1"/>
    <col min="3301" max="3301" width="12.85546875" style="1355" customWidth="1"/>
    <col min="3302" max="3302" width="0" style="1355" hidden="1" customWidth="1"/>
    <col min="3303" max="3303" width="14.42578125" style="1355" customWidth="1"/>
    <col min="3304" max="3304" width="0" style="1355" hidden="1" customWidth="1"/>
    <col min="3305" max="3305" width="17.42578125" style="1355" customWidth="1"/>
    <col min="3306" max="3306" width="0" style="1355" hidden="1" customWidth="1"/>
    <col min="3307" max="3307" width="14" style="1355" customWidth="1"/>
    <col min="3308" max="3308" width="14.28515625" style="1355" bestFit="1" customWidth="1"/>
    <col min="3309" max="3309" width="0" style="1355" hidden="1" customWidth="1"/>
    <col min="3310" max="3310" width="15.5703125" style="1355" customWidth="1"/>
    <col min="3311" max="3311" width="44.5703125" style="1355" customWidth="1"/>
    <col min="3312" max="3312" width="14.28515625" style="1355" bestFit="1" customWidth="1"/>
    <col min="3313" max="3313" width="0" style="1355" hidden="1" customWidth="1"/>
    <col min="3314" max="3314" width="18.140625" style="1355" customWidth="1"/>
    <col min="3315" max="3315" width="0" style="1355" hidden="1" customWidth="1"/>
    <col min="3316" max="3316" width="14" style="1355" customWidth="1"/>
    <col min="3317" max="3317" width="0" style="1355" hidden="1" customWidth="1"/>
    <col min="3318" max="3318" width="20.85546875" style="1355" customWidth="1"/>
    <col min="3319" max="3319" width="0" style="1355" hidden="1" customWidth="1"/>
    <col min="3320" max="3320" width="13.28515625" style="1355" customWidth="1"/>
    <col min="3321" max="3321" width="0" style="1355" hidden="1" customWidth="1"/>
    <col min="3322" max="3322" width="15" style="1355" customWidth="1"/>
    <col min="3323" max="3323" width="0" style="1355" hidden="1" customWidth="1"/>
    <col min="3324" max="3324" width="13.28515625" style="1355" customWidth="1"/>
    <col min="3325" max="3325" width="0" style="1355" hidden="1" customWidth="1"/>
    <col min="3326" max="3326" width="20.140625" style="1355" customWidth="1"/>
    <col min="3327" max="3327" width="14.42578125" style="1355" bestFit="1" customWidth="1"/>
    <col min="3328" max="3328" width="14" style="1355" bestFit="1" customWidth="1"/>
    <col min="3329" max="3329" width="12.28515625" style="1355" bestFit="1" customWidth="1"/>
    <col min="3330" max="3354" width="9.140625" style="1355" customWidth="1"/>
    <col min="3355" max="3549" width="8.85546875" style="1355"/>
    <col min="3550" max="3550" width="44.5703125" style="1355" customWidth="1"/>
    <col min="3551" max="3551" width="14.28515625" style="1355" bestFit="1" customWidth="1"/>
    <col min="3552" max="3552" width="1.7109375" style="1355" customWidth="1"/>
    <col min="3553" max="3553" width="14.85546875" style="1355" customWidth="1"/>
    <col min="3554" max="3554" width="0" style="1355" hidden="1" customWidth="1"/>
    <col min="3555" max="3555" width="17.42578125" style="1355" customWidth="1"/>
    <col min="3556" max="3556" width="0" style="1355" hidden="1" customWidth="1"/>
    <col min="3557" max="3557" width="12.85546875" style="1355" customWidth="1"/>
    <col min="3558" max="3558" width="0" style="1355" hidden="1" customWidth="1"/>
    <col min="3559" max="3559" width="14.42578125" style="1355" customWidth="1"/>
    <col min="3560" max="3560" width="0" style="1355" hidden="1" customWidth="1"/>
    <col min="3561" max="3561" width="17.42578125" style="1355" customWidth="1"/>
    <col min="3562" max="3562" width="0" style="1355" hidden="1" customWidth="1"/>
    <col min="3563" max="3563" width="14" style="1355" customWidth="1"/>
    <col min="3564" max="3564" width="14.28515625" style="1355" bestFit="1" customWidth="1"/>
    <col min="3565" max="3565" width="0" style="1355" hidden="1" customWidth="1"/>
    <col min="3566" max="3566" width="15.5703125" style="1355" customWidth="1"/>
    <col min="3567" max="3567" width="44.5703125" style="1355" customWidth="1"/>
    <col min="3568" max="3568" width="14.28515625" style="1355" bestFit="1" customWidth="1"/>
    <col min="3569" max="3569" width="0" style="1355" hidden="1" customWidth="1"/>
    <col min="3570" max="3570" width="18.140625" style="1355" customWidth="1"/>
    <col min="3571" max="3571" width="0" style="1355" hidden="1" customWidth="1"/>
    <col min="3572" max="3572" width="14" style="1355" customWidth="1"/>
    <col min="3573" max="3573" width="0" style="1355" hidden="1" customWidth="1"/>
    <col min="3574" max="3574" width="20.85546875" style="1355" customWidth="1"/>
    <col min="3575" max="3575" width="0" style="1355" hidden="1" customWidth="1"/>
    <col min="3576" max="3576" width="13.28515625" style="1355" customWidth="1"/>
    <col min="3577" max="3577" width="0" style="1355" hidden="1" customWidth="1"/>
    <col min="3578" max="3578" width="15" style="1355" customWidth="1"/>
    <col min="3579" max="3579" width="0" style="1355" hidden="1" customWidth="1"/>
    <col min="3580" max="3580" width="13.28515625" style="1355" customWidth="1"/>
    <col min="3581" max="3581" width="0" style="1355" hidden="1" customWidth="1"/>
    <col min="3582" max="3582" width="20.140625" style="1355" customWidth="1"/>
    <col min="3583" max="3583" width="14.42578125" style="1355" bestFit="1" customWidth="1"/>
    <col min="3584" max="3584" width="14" style="1355" bestFit="1" customWidth="1"/>
    <col min="3585" max="3585" width="12.28515625" style="1355" bestFit="1" customWidth="1"/>
    <col min="3586" max="3610" width="9.140625" style="1355" customWidth="1"/>
    <col min="3611" max="3805" width="8.85546875" style="1355"/>
    <col min="3806" max="3806" width="44.5703125" style="1355" customWidth="1"/>
    <col min="3807" max="3807" width="14.28515625" style="1355" bestFit="1" customWidth="1"/>
    <col min="3808" max="3808" width="1.7109375" style="1355" customWidth="1"/>
    <col min="3809" max="3809" width="14.85546875" style="1355" customWidth="1"/>
    <col min="3810" max="3810" width="0" style="1355" hidden="1" customWidth="1"/>
    <col min="3811" max="3811" width="17.42578125" style="1355" customWidth="1"/>
    <col min="3812" max="3812" width="0" style="1355" hidden="1" customWidth="1"/>
    <col min="3813" max="3813" width="12.85546875" style="1355" customWidth="1"/>
    <col min="3814" max="3814" width="0" style="1355" hidden="1" customWidth="1"/>
    <col min="3815" max="3815" width="14.42578125" style="1355" customWidth="1"/>
    <col min="3816" max="3816" width="0" style="1355" hidden="1" customWidth="1"/>
    <col min="3817" max="3817" width="17.42578125" style="1355" customWidth="1"/>
    <col min="3818" max="3818" width="0" style="1355" hidden="1" customWidth="1"/>
    <col min="3819" max="3819" width="14" style="1355" customWidth="1"/>
    <col min="3820" max="3820" width="14.28515625" style="1355" bestFit="1" customWidth="1"/>
    <col min="3821" max="3821" width="0" style="1355" hidden="1" customWidth="1"/>
    <col min="3822" max="3822" width="15.5703125" style="1355" customWidth="1"/>
    <col min="3823" max="3823" width="44.5703125" style="1355" customWidth="1"/>
    <col min="3824" max="3824" width="14.28515625" style="1355" bestFit="1" customWidth="1"/>
    <col min="3825" max="3825" width="0" style="1355" hidden="1" customWidth="1"/>
    <col min="3826" max="3826" width="18.140625" style="1355" customWidth="1"/>
    <col min="3827" max="3827" width="0" style="1355" hidden="1" customWidth="1"/>
    <col min="3828" max="3828" width="14" style="1355" customWidth="1"/>
    <col min="3829" max="3829" width="0" style="1355" hidden="1" customWidth="1"/>
    <col min="3830" max="3830" width="20.85546875" style="1355" customWidth="1"/>
    <col min="3831" max="3831" width="0" style="1355" hidden="1" customWidth="1"/>
    <col min="3832" max="3832" width="13.28515625" style="1355" customWidth="1"/>
    <col min="3833" max="3833" width="0" style="1355" hidden="1" customWidth="1"/>
    <col min="3834" max="3834" width="15" style="1355" customWidth="1"/>
    <col min="3835" max="3835" width="0" style="1355" hidden="1" customWidth="1"/>
    <col min="3836" max="3836" width="13.28515625" style="1355" customWidth="1"/>
    <col min="3837" max="3837" width="0" style="1355" hidden="1" customWidth="1"/>
    <col min="3838" max="3838" width="20.140625" style="1355" customWidth="1"/>
    <col min="3839" max="3839" width="14.42578125" style="1355" bestFit="1" customWidth="1"/>
    <col min="3840" max="3840" width="14" style="1355" bestFit="1" customWidth="1"/>
    <col min="3841" max="3841" width="12.28515625" style="1355" bestFit="1" customWidth="1"/>
    <col min="3842" max="3866" width="9.140625" style="1355" customWidth="1"/>
    <col min="3867" max="4061" width="8.85546875" style="1355"/>
    <col min="4062" max="4062" width="44.5703125" style="1355" customWidth="1"/>
    <col min="4063" max="4063" width="14.28515625" style="1355" bestFit="1" customWidth="1"/>
    <col min="4064" max="4064" width="1.7109375" style="1355" customWidth="1"/>
    <col min="4065" max="4065" width="14.85546875" style="1355" customWidth="1"/>
    <col min="4066" max="4066" width="0" style="1355" hidden="1" customWidth="1"/>
    <col min="4067" max="4067" width="17.42578125" style="1355" customWidth="1"/>
    <col min="4068" max="4068" width="0" style="1355" hidden="1" customWidth="1"/>
    <col min="4069" max="4069" width="12.85546875" style="1355" customWidth="1"/>
    <col min="4070" max="4070" width="0" style="1355" hidden="1" customWidth="1"/>
    <col min="4071" max="4071" width="14.42578125" style="1355" customWidth="1"/>
    <col min="4072" max="4072" width="0" style="1355" hidden="1" customWidth="1"/>
    <col min="4073" max="4073" width="17.42578125" style="1355" customWidth="1"/>
    <col min="4074" max="4074" width="0" style="1355" hidden="1" customWidth="1"/>
    <col min="4075" max="4075" width="14" style="1355" customWidth="1"/>
    <col min="4076" max="4076" width="14.28515625" style="1355" bestFit="1" customWidth="1"/>
    <col min="4077" max="4077" width="0" style="1355" hidden="1" customWidth="1"/>
    <col min="4078" max="4078" width="15.5703125" style="1355" customWidth="1"/>
    <col min="4079" max="4079" width="44.5703125" style="1355" customWidth="1"/>
    <col min="4080" max="4080" width="14.28515625" style="1355" bestFit="1" customWidth="1"/>
    <col min="4081" max="4081" width="0" style="1355" hidden="1" customWidth="1"/>
    <col min="4082" max="4082" width="18.140625" style="1355" customWidth="1"/>
    <col min="4083" max="4083" width="0" style="1355" hidden="1" customWidth="1"/>
    <col min="4084" max="4084" width="14" style="1355" customWidth="1"/>
    <col min="4085" max="4085" width="0" style="1355" hidden="1" customWidth="1"/>
    <col min="4086" max="4086" width="20.85546875" style="1355" customWidth="1"/>
    <col min="4087" max="4087" width="0" style="1355" hidden="1" customWidth="1"/>
    <col min="4088" max="4088" width="13.28515625" style="1355" customWidth="1"/>
    <col min="4089" max="4089" width="0" style="1355" hidden="1" customWidth="1"/>
    <col min="4090" max="4090" width="15" style="1355" customWidth="1"/>
    <col min="4091" max="4091" width="0" style="1355" hidden="1" customWidth="1"/>
    <col min="4092" max="4092" width="13.28515625" style="1355" customWidth="1"/>
    <col min="4093" max="4093" width="0" style="1355" hidden="1" customWidth="1"/>
    <col min="4094" max="4094" width="20.140625" style="1355" customWidth="1"/>
    <col min="4095" max="4095" width="14.42578125" style="1355" bestFit="1" customWidth="1"/>
    <col min="4096" max="4096" width="14" style="1355" bestFit="1" customWidth="1"/>
    <col min="4097" max="4097" width="12.28515625" style="1355" bestFit="1" customWidth="1"/>
    <col min="4098" max="4122" width="9.140625" style="1355" customWidth="1"/>
    <col min="4123" max="4317" width="8.85546875" style="1355"/>
    <col min="4318" max="4318" width="44.5703125" style="1355" customWidth="1"/>
    <col min="4319" max="4319" width="14.28515625" style="1355" bestFit="1" customWidth="1"/>
    <col min="4320" max="4320" width="1.7109375" style="1355" customWidth="1"/>
    <col min="4321" max="4321" width="14.85546875" style="1355" customWidth="1"/>
    <col min="4322" max="4322" width="0" style="1355" hidden="1" customWidth="1"/>
    <col min="4323" max="4323" width="17.42578125" style="1355" customWidth="1"/>
    <col min="4324" max="4324" width="0" style="1355" hidden="1" customWidth="1"/>
    <col min="4325" max="4325" width="12.85546875" style="1355" customWidth="1"/>
    <col min="4326" max="4326" width="0" style="1355" hidden="1" customWidth="1"/>
    <col min="4327" max="4327" width="14.42578125" style="1355" customWidth="1"/>
    <col min="4328" max="4328" width="0" style="1355" hidden="1" customWidth="1"/>
    <col min="4329" max="4329" width="17.42578125" style="1355" customWidth="1"/>
    <col min="4330" max="4330" width="0" style="1355" hidden="1" customWidth="1"/>
    <col min="4331" max="4331" width="14" style="1355" customWidth="1"/>
    <col min="4332" max="4332" width="14.28515625" style="1355" bestFit="1" customWidth="1"/>
    <col min="4333" max="4333" width="0" style="1355" hidden="1" customWidth="1"/>
    <col min="4334" max="4334" width="15.5703125" style="1355" customWidth="1"/>
    <col min="4335" max="4335" width="44.5703125" style="1355" customWidth="1"/>
    <col min="4336" max="4336" width="14.28515625" style="1355" bestFit="1" customWidth="1"/>
    <col min="4337" max="4337" width="0" style="1355" hidden="1" customWidth="1"/>
    <col min="4338" max="4338" width="18.140625" style="1355" customWidth="1"/>
    <col min="4339" max="4339" width="0" style="1355" hidden="1" customWidth="1"/>
    <col min="4340" max="4340" width="14" style="1355" customWidth="1"/>
    <col min="4341" max="4341" width="0" style="1355" hidden="1" customWidth="1"/>
    <col min="4342" max="4342" width="20.85546875" style="1355" customWidth="1"/>
    <col min="4343" max="4343" width="0" style="1355" hidden="1" customWidth="1"/>
    <col min="4344" max="4344" width="13.28515625" style="1355" customWidth="1"/>
    <col min="4345" max="4345" width="0" style="1355" hidden="1" customWidth="1"/>
    <col min="4346" max="4346" width="15" style="1355" customWidth="1"/>
    <col min="4347" max="4347" width="0" style="1355" hidden="1" customWidth="1"/>
    <col min="4348" max="4348" width="13.28515625" style="1355" customWidth="1"/>
    <col min="4349" max="4349" width="0" style="1355" hidden="1" customWidth="1"/>
    <col min="4350" max="4350" width="20.140625" style="1355" customWidth="1"/>
    <col min="4351" max="4351" width="14.42578125" style="1355" bestFit="1" customWidth="1"/>
    <col min="4352" max="4352" width="14" style="1355" bestFit="1" customWidth="1"/>
    <col min="4353" max="4353" width="12.28515625" style="1355" bestFit="1" customWidth="1"/>
    <col min="4354" max="4378" width="9.140625" style="1355" customWidth="1"/>
    <col min="4379" max="4573" width="8.85546875" style="1355"/>
    <col min="4574" max="4574" width="44.5703125" style="1355" customWidth="1"/>
    <col min="4575" max="4575" width="14.28515625" style="1355" bestFit="1" customWidth="1"/>
    <col min="4576" max="4576" width="1.7109375" style="1355" customWidth="1"/>
    <col min="4577" max="4577" width="14.85546875" style="1355" customWidth="1"/>
    <col min="4578" max="4578" width="0" style="1355" hidden="1" customWidth="1"/>
    <col min="4579" max="4579" width="17.42578125" style="1355" customWidth="1"/>
    <col min="4580" max="4580" width="0" style="1355" hidden="1" customWidth="1"/>
    <col min="4581" max="4581" width="12.85546875" style="1355" customWidth="1"/>
    <col min="4582" max="4582" width="0" style="1355" hidden="1" customWidth="1"/>
    <col min="4583" max="4583" width="14.42578125" style="1355" customWidth="1"/>
    <col min="4584" max="4584" width="0" style="1355" hidden="1" customWidth="1"/>
    <col min="4585" max="4585" width="17.42578125" style="1355" customWidth="1"/>
    <col min="4586" max="4586" width="0" style="1355" hidden="1" customWidth="1"/>
    <col min="4587" max="4587" width="14" style="1355" customWidth="1"/>
    <col min="4588" max="4588" width="14.28515625" style="1355" bestFit="1" customWidth="1"/>
    <col min="4589" max="4589" width="0" style="1355" hidden="1" customWidth="1"/>
    <col min="4590" max="4590" width="15.5703125" style="1355" customWidth="1"/>
    <col min="4591" max="4591" width="44.5703125" style="1355" customWidth="1"/>
    <col min="4592" max="4592" width="14.28515625" style="1355" bestFit="1" customWidth="1"/>
    <col min="4593" max="4593" width="0" style="1355" hidden="1" customWidth="1"/>
    <col min="4594" max="4594" width="18.140625" style="1355" customWidth="1"/>
    <col min="4595" max="4595" width="0" style="1355" hidden="1" customWidth="1"/>
    <col min="4596" max="4596" width="14" style="1355" customWidth="1"/>
    <col min="4597" max="4597" width="0" style="1355" hidden="1" customWidth="1"/>
    <col min="4598" max="4598" width="20.85546875" style="1355" customWidth="1"/>
    <col min="4599" max="4599" width="0" style="1355" hidden="1" customWidth="1"/>
    <col min="4600" max="4600" width="13.28515625" style="1355" customWidth="1"/>
    <col min="4601" max="4601" width="0" style="1355" hidden="1" customWidth="1"/>
    <col min="4602" max="4602" width="15" style="1355" customWidth="1"/>
    <col min="4603" max="4603" width="0" style="1355" hidden="1" customWidth="1"/>
    <col min="4604" max="4604" width="13.28515625" style="1355" customWidth="1"/>
    <col min="4605" max="4605" width="0" style="1355" hidden="1" customWidth="1"/>
    <col min="4606" max="4606" width="20.140625" style="1355" customWidth="1"/>
    <col min="4607" max="4607" width="14.42578125" style="1355" bestFit="1" customWidth="1"/>
    <col min="4608" max="4608" width="14" style="1355" bestFit="1" customWidth="1"/>
    <col min="4609" max="4609" width="12.28515625" style="1355" bestFit="1" customWidth="1"/>
    <col min="4610" max="4634" width="9.140625" style="1355" customWidth="1"/>
    <col min="4635" max="4829" width="8.85546875" style="1355"/>
    <col min="4830" max="4830" width="44.5703125" style="1355" customWidth="1"/>
    <col min="4831" max="4831" width="14.28515625" style="1355" bestFit="1" customWidth="1"/>
    <col min="4832" max="4832" width="1.7109375" style="1355" customWidth="1"/>
    <col min="4833" max="4833" width="14.85546875" style="1355" customWidth="1"/>
    <col min="4834" max="4834" width="0" style="1355" hidden="1" customWidth="1"/>
    <col min="4835" max="4835" width="17.42578125" style="1355" customWidth="1"/>
    <col min="4836" max="4836" width="0" style="1355" hidden="1" customWidth="1"/>
    <col min="4837" max="4837" width="12.85546875" style="1355" customWidth="1"/>
    <col min="4838" max="4838" width="0" style="1355" hidden="1" customWidth="1"/>
    <col min="4839" max="4839" width="14.42578125" style="1355" customWidth="1"/>
    <col min="4840" max="4840" width="0" style="1355" hidden="1" customWidth="1"/>
    <col min="4841" max="4841" width="17.42578125" style="1355" customWidth="1"/>
    <col min="4842" max="4842" width="0" style="1355" hidden="1" customWidth="1"/>
    <col min="4843" max="4843" width="14" style="1355" customWidth="1"/>
    <col min="4844" max="4844" width="14.28515625" style="1355" bestFit="1" customWidth="1"/>
    <col min="4845" max="4845" width="0" style="1355" hidden="1" customWidth="1"/>
    <col min="4846" max="4846" width="15.5703125" style="1355" customWidth="1"/>
    <col min="4847" max="4847" width="44.5703125" style="1355" customWidth="1"/>
    <col min="4848" max="4848" width="14.28515625" style="1355" bestFit="1" customWidth="1"/>
    <col min="4849" max="4849" width="0" style="1355" hidden="1" customWidth="1"/>
    <col min="4850" max="4850" width="18.140625" style="1355" customWidth="1"/>
    <col min="4851" max="4851" width="0" style="1355" hidden="1" customWidth="1"/>
    <col min="4852" max="4852" width="14" style="1355" customWidth="1"/>
    <col min="4853" max="4853" width="0" style="1355" hidden="1" customWidth="1"/>
    <col min="4854" max="4854" width="20.85546875" style="1355" customWidth="1"/>
    <col min="4855" max="4855" width="0" style="1355" hidden="1" customWidth="1"/>
    <col min="4856" max="4856" width="13.28515625" style="1355" customWidth="1"/>
    <col min="4857" max="4857" width="0" style="1355" hidden="1" customWidth="1"/>
    <col min="4858" max="4858" width="15" style="1355" customWidth="1"/>
    <col min="4859" max="4859" width="0" style="1355" hidden="1" customWidth="1"/>
    <col min="4860" max="4860" width="13.28515625" style="1355" customWidth="1"/>
    <col min="4861" max="4861" width="0" style="1355" hidden="1" customWidth="1"/>
    <col min="4862" max="4862" width="20.140625" style="1355" customWidth="1"/>
    <col min="4863" max="4863" width="14.42578125" style="1355" bestFit="1" customWidth="1"/>
    <col min="4864" max="4864" width="14" style="1355" bestFit="1" customWidth="1"/>
    <col min="4865" max="4865" width="12.28515625" style="1355" bestFit="1" customWidth="1"/>
    <col min="4866" max="4890" width="9.140625" style="1355" customWidth="1"/>
    <col min="4891" max="5085" width="8.85546875" style="1355"/>
    <col min="5086" max="5086" width="44.5703125" style="1355" customWidth="1"/>
    <col min="5087" max="5087" width="14.28515625" style="1355" bestFit="1" customWidth="1"/>
    <col min="5088" max="5088" width="1.7109375" style="1355" customWidth="1"/>
    <col min="5089" max="5089" width="14.85546875" style="1355" customWidth="1"/>
    <col min="5090" max="5090" width="0" style="1355" hidden="1" customWidth="1"/>
    <col min="5091" max="5091" width="17.42578125" style="1355" customWidth="1"/>
    <col min="5092" max="5092" width="0" style="1355" hidden="1" customWidth="1"/>
    <col min="5093" max="5093" width="12.85546875" style="1355" customWidth="1"/>
    <col min="5094" max="5094" width="0" style="1355" hidden="1" customWidth="1"/>
    <col min="5095" max="5095" width="14.42578125" style="1355" customWidth="1"/>
    <col min="5096" max="5096" width="0" style="1355" hidden="1" customWidth="1"/>
    <col min="5097" max="5097" width="17.42578125" style="1355" customWidth="1"/>
    <col min="5098" max="5098" width="0" style="1355" hidden="1" customWidth="1"/>
    <col min="5099" max="5099" width="14" style="1355" customWidth="1"/>
    <col min="5100" max="5100" width="14.28515625" style="1355" bestFit="1" customWidth="1"/>
    <col min="5101" max="5101" width="0" style="1355" hidden="1" customWidth="1"/>
    <col min="5102" max="5102" width="15.5703125" style="1355" customWidth="1"/>
    <col min="5103" max="5103" width="44.5703125" style="1355" customWidth="1"/>
    <col min="5104" max="5104" width="14.28515625" style="1355" bestFit="1" customWidth="1"/>
    <col min="5105" max="5105" width="0" style="1355" hidden="1" customWidth="1"/>
    <col min="5106" max="5106" width="18.140625" style="1355" customWidth="1"/>
    <col min="5107" max="5107" width="0" style="1355" hidden="1" customWidth="1"/>
    <col min="5108" max="5108" width="14" style="1355" customWidth="1"/>
    <col min="5109" max="5109" width="0" style="1355" hidden="1" customWidth="1"/>
    <col min="5110" max="5110" width="20.85546875" style="1355" customWidth="1"/>
    <col min="5111" max="5111" width="0" style="1355" hidden="1" customWidth="1"/>
    <col min="5112" max="5112" width="13.28515625" style="1355" customWidth="1"/>
    <col min="5113" max="5113" width="0" style="1355" hidden="1" customWidth="1"/>
    <col min="5114" max="5114" width="15" style="1355" customWidth="1"/>
    <col min="5115" max="5115" width="0" style="1355" hidden="1" customWidth="1"/>
    <col min="5116" max="5116" width="13.28515625" style="1355" customWidth="1"/>
    <col min="5117" max="5117" width="0" style="1355" hidden="1" customWidth="1"/>
    <col min="5118" max="5118" width="20.140625" style="1355" customWidth="1"/>
    <col min="5119" max="5119" width="14.42578125" style="1355" bestFit="1" customWidth="1"/>
    <col min="5120" max="5120" width="14" style="1355" bestFit="1" customWidth="1"/>
    <col min="5121" max="5121" width="12.28515625" style="1355" bestFit="1" customWidth="1"/>
    <col min="5122" max="5146" width="9.140625" style="1355" customWidth="1"/>
    <col min="5147" max="5341" width="8.85546875" style="1355"/>
    <col min="5342" max="5342" width="44.5703125" style="1355" customWidth="1"/>
    <col min="5343" max="5343" width="14.28515625" style="1355" bestFit="1" customWidth="1"/>
    <col min="5344" max="5344" width="1.7109375" style="1355" customWidth="1"/>
    <col min="5345" max="5345" width="14.85546875" style="1355" customWidth="1"/>
    <col min="5346" max="5346" width="0" style="1355" hidden="1" customWidth="1"/>
    <col min="5347" max="5347" width="17.42578125" style="1355" customWidth="1"/>
    <col min="5348" max="5348" width="0" style="1355" hidden="1" customWidth="1"/>
    <col min="5349" max="5349" width="12.85546875" style="1355" customWidth="1"/>
    <col min="5350" max="5350" width="0" style="1355" hidden="1" customWidth="1"/>
    <col min="5351" max="5351" width="14.42578125" style="1355" customWidth="1"/>
    <col min="5352" max="5352" width="0" style="1355" hidden="1" customWidth="1"/>
    <col min="5353" max="5353" width="17.42578125" style="1355" customWidth="1"/>
    <col min="5354" max="5354" width="0" style="1355" hidden="1" customWidth="1"/>
    <col min="5355" max="5355" width="14" style="1355" customWidth="1"/>
    <col min="5356" max="5356" width="14.28515625" style="1355" bestFit="1" customWidth="1"/>
    <col min="5357" max="5357" width="0" style="1355" hidden="1" customWidth="1"/>
    <col min="5358" max="5358" width="15.5703125" style="1355" customWidth="1"/>
    <col min="5359" max="5359" width="44.5703125" style="1355" customWidth="1"/>
    <col min="5360" max="5360" width="14.28515625" style="1355" bestFit="1" customWidth="1"/>
    <col min="5361" max="5361" width="0" style="1355" hidden="1" customWidth="1"/>
    <col min="5362" max="5362" width="18.140625" style="1355" customWidth="1"/>
    <col min="5363" max="5363" width="0" style="1355" hidden="1" customWidth="1"/>
    <col min="5364" max="5364" width="14" style="1355" customWidth="1"/>
    <col min="5365" max="5365" width="0" style="1355" hidden="1" customWidth="1"/>
    <col min="5366" max="5366" width="20.85546875" style="1355" customWidth="1"/>
    <col min="5367" max="5367" width="0" style="1355" hidden="1" customWidth="1"/>
    <col min="5368" max="5368" width="13.28515625" style="1355" customWidth="1"/>
    <col min="5369" max="5369" width="0" style="1355" hidden="1" customWidth="1"/>
    <col min="5370" max="5370" width="15" style="1355" customWidth="1"/>
    <col min="5371" max="5371" width="0" style="1355" hidden="1" customWidth="1"/>
    <col min="5372" max="5372" width="13.28515625" style="1355" customWidth="1"/>
    <col min="5373" max="5373" width="0" style="1355" hidden="1" customWidth="1"/>
    <col min="5374" max="5374" width="20.140625" style="1355" customWidth="1"/>
    <col min="5375" max="5375" width="14.42578125" style="1355" bestFit="1" customWidth="1"/>
    <col min="5376" max="5376" width="14" style="1355" bestFit="1" customWidth="1"/>
    <col min="5377" max="5377" width="12.28515625" style="1355" bestFit="1" customWidth="1"/>
    <col min="5378" max="5402" width="9.140625" style="1355" customWidth="1"/>
    <col min="5403" max="5597" width="8.85546875" style="1355"/>
    <col min="5598" max="5598" width="44.5703125" style="1355" customWidth="1"/>
    <col min="5599" max="5599" width="14.28515625" style="1355" bestFit="1" customWidth="1"/>
    <col min="5600" max="5600" width="1.7109375" style="1355" customWidth="1"/>
    <col min="5601" max="5601" width="14.85546875" style="1355" customWidth="1"/>
    <col min="5602" max="5602" width="0" style="1355" hidden="1" customWidth="1"/>
    <col min="5603" max="5603" width="17.42578125" style="1355" customWidth="1"/>
    <col min="5604" max="5604" width="0" style="1355" hidden="1" customWidth="1"/>
    <col min="5605" max="5605" width="12.85546875" style="1355" customWidth="1"/>
    <col min="5606" max="5606" width="0" style="1355" hidden="1" customWidth="1"/>
    <col min="5607" max="5607" width="14.42578125" style="1355" customWidth="1"/>
    <col min="5608" max="5608" width="0" style="1355" hidden="1" customWidth="1"/>
    <col min="5609" max="5609" width="17.42578125" style="1355" customWidth="1"/>
    <col min="5610" max="5610" width="0" style="1355" hidden="1" customWidth="1"/>
    <col min="5611" max="5611" width="14" style="1355" customWidth="1"/>
    <col min="5612" max="5612" width="14.28515625" style="1355" bestFit="1" customWidth="1"/>
    <col min="5613" max="5613" width="0" style="1355" hidden="1" customWidth="1"/>
    <col min="5614" max="5614" width="15.5703125" style="1355" customWidth="1"/>
    <col min="5615" max="5615" width="44.5703125" style="1355" customWidth="1"/>
    <col min="5616" max="5616" width="14.28515625" style="1355" bestFit="1" customWidth="1"/>
    <col min="5617" max="5617" width="0" style="1355" hidden="1" customWidth="1"/>
    <col min="5618" max="5618" width="18.140625" style="1355" customWidth="1"/>
    <col min="5619" max="5619" width="0" style="1355" hidden="1" customWidth="1"/>
    <col min="5620" max="5620" width="14" style="1355" customWidth="1"/>
    <col min="5621" max="5621" width="0" style="1355" hidden="1" customWidth="1"/>
    <col min="5622" max="5622" width="20.85546875" style="1355" customWidth="1"/>
    <col min="5623" max="5623" width="0" style="1355" hidden="1" customWidth="1"/>
    <col min="5624" max="5624" width="13.28515625" style="1355" customWidth="1"/>
    <col min="5625" max="5625" width="0" style="1355" hidden="1" customWidth="1"/>
    <col min="5626" max="5626" width="15" style="1355" customWidth="1"/>
    <col min="5627" max="5627" width="0" style="1355" hidden="1" customWidth="1"/>
    <col min="5628" max="5628" width="13.28515625" style="1355" customWidth="1"/>
    <col min="5629" max="5629" width="0" style="1355" hidden="1" customWidth="1"/>
    <col min="5630" max="5630" width="20.140625" style="1355" customWidth="1"/>
    <col min="5631" max="5631" width="14.42578125" style="1355" bestFit="1" customWidth="1"/>
    <col min="5632" max="5632" width="14" style="1355" bestFit="1" customWidth="1"/>
    <col min="5633" max="5633" width="12.28515625" style="1355" bestFit="1" customWidth="1"/>
    <col min="5634" max="5658" width="9.140625" style="1355" customWidth="1"/>
    <col min="5659" max="5853" width="8.85546875" style="1355"/>
    <col min="5854" max="5854" width="44.5703125" style="1355" customWidth="1"/>
    <col min="5855" max="5855" width="14.28515625" style="1355" bestFit="1" customWidth="1"/>
    <col min="5856" max="5856" width="1.7109375" style="1355" customWidth="1"/>
    <col min="5857" max="5857" width="14.85546875" style="1355" customWidth="1"/>
    <col min="5858" max="5858" width="0" style="1355" hidden="1" customWidth="1"/>
    <col min="5859" max="5859" width="17.42578125" style="1355" customWidth="1"/>
    <col min="5860" max="5860" width="0" style="1355" hidden="1" customWidth="1"/>
    <col min="5861" max="5861" width="12.85546875" style="1355" customWidth="1"/>
    <col min="5862" max="5862" width="0" style="1355" hidden="1" customWidth="1"/>
    <col min="5863" max="5863" width="14.42578125" style="1355" customWidth="1"/>
    <col min="5864" max="5864" width="0" style="1355" hidden="1" customWidth="1"/>
    <col min="5865" max="5865" width="17.42578125" style="1355" customWidth="1"/>
    <col min="5866" max="5866" width="0" style="1355" hidden="1" customWidth="1"/>
    <col min="5867" max="5867" width="14" style="1355" customWidth="1"/>
    <col min="5868" max="5868" width="14.28515625" style="1355" bestFit="1" customWidth="1"/>
    <col min="5869" max="5869" width="0" style="1355" hidden="1" customWidth="1"/>
    <col min="5870" max="5870" width="15.5703125" style="1355" customWidth="1"/>
    <col min="5871" max="5871" width="44.5703125" style="1355" customWidth="1"/>
    <col min="5872" max="5872" width="14.28515625" style="1355" bestFit="1" customWidth="1"/>
    <col min="5873" max="5873" width="0" style="1355" hidden="1" customWidth="1"/>
    <col min="5874" max="5874" width="18.140625" style="1355" customWidth="1"/>
    <col min="5875" max="5875" width="0" style="1355" hidden="1" customWidth="1"/>
    <col min="5876" max="5876" width="14" style="1355" customWidth="1"/>
    <col min="5877" max="5877" width="0" style="1355" hidden="1" customWidth="1"/>
    <col min="5878" max="5878" width="20.85546875" style="1355" customWidth="1"/>
    <col min="5879" max="5879" width="0" style="1355" hidden="1" customWidth="1"/>
    <col min="5880" max="5880" width="13.28515625" style="1355" customWidth="1"/>
    <col min="5881" max="5881" width="0" style="1355" hidden="1" customWidth="1"/>
    <col min="5882" max="5882" width="15" style="1355" customWidth="1"/>
    <col min="5883" max="5883" width="0" style="1355" hidden="1" customWidth="1"/>
    <col min="5884" max="5884" width="13.28515625" style="1355" customWidth="1"/>
    <col min="5885" max="5885" width="0" style="1355" hidden="1" customWidth="1"/>
    <col min="5886" max="5886" width="20.140625" style="1355" customWidth="1"/>
    <col min="5887" max="5887" width="14.42578125" style="1355" bestFit="1" customWidth="1"/>
    <col min="5888" max="5888" width="14" style="1355" bestFit="1" customWidth="1"/>
    <col min="5889" max="5889" width="12.28515625" style="1355" bestFit="1" customWidth="1"/>
    <col min="5890" max="5914" width="9.140625" style="1355" customWidth="1"/>
    <col min="5915" max="6109" width="8.85546875" style="1355"/>
    <col min="6110" max="6110" width="44.5703125" style="1355" customWidth="1"/>
    <col min="6111" max="6111" width="14.28515625" style="1355" bestFit="1" customWidth="1"/>
    <col min="6112" max="6112" width="1.7109375" style="1355" customWidth="1"/>
    <col min="6113" max="6113" width="14.85546875" style="1355" customWidth="1"/>
    <col min="6114" max="6114" width="0" style="1355" hidden="1" customWidth="1"/>
    <col min="6115" max="6115" width="17.42578125" style="1355" customWidth="1"/>
    <col min="6116" max="6116" width="0" style="1355" hidden="1" customWidth="1"/>
    <col min="6117" max="6117" width="12.85546875" style="1355" customWidth="1"/>
    <col min="6118" max="6118" width="0" style="1355" hidden="1" customWidth="1"/>
    <col min="6119" max="6119" width="14.42578125" style="1355" customWidth="1"/>
    <col min="6120" max="6120" width="0" style="1355" hidden="1" customWidth="1"/>
    <col min="6121" max="6121" width="17.42578125" style="1355" customWidth="1"/>
    <col min="6122" max="6122" width="0" style="1355" hidden="1" customWidth="1"/>
    <col min="6123" max="6123" width="14" style="1355" customWidth="1"/>
    <col min="6124" max="6124" width="14.28515625" style="1355" bestFit="1" customWidth="1"/>
    <col min="6125" max="6125" width="0" style="1355" hidden="1" customWidth="1"/>
    <col min="6126" max="6126" width="15.5703125" style="1355" customWidth="1"/>
    <col min="6127" max="6127" width="44.5703125" style="1355" customWidth="1"/>
    <col min="6128" max="6128" width="14.28515625" style="1355" bestFit="1" customWidth="1"/>
    <col min="6129" max="6129" width="0" style="1355" hidden="1" customWidth="1"/>
    <col min="6130" max="6130" width="18.140625" style="1355" customWidth="1"/>
    <col min="6131" max="6131" width="0" style="1355" hidden="1" customWidth="1"/>
    <col min="6132" max="6132" width="14" style="1355" customWidth="1"/>
    <col min="6133" max="6133" width="0" style="1355" hidden="1" customWidth="1"/>
    <col min="6134" max="6134" width="20.85546875" style="1355" customWidth="1"/>
    <col min="6135" max="6135" width="0" style="1355" hidden="1" customWidth="1"/>
    <col min="6136" max="6136" width="13.28515625" style="1355" customWidth="1"/>
    <col min="6137" max="6137" width="0" style="1355" hidden="1" customWidth="1"/>
    <col min="6138" max="6138" width="15" style="1355" customWidth="1"/>
    <col min="6139" max="6139" width="0" style="1355" hidden="1" customWidth="1"/>
    <col min="6140" max="6140" width="13.28515625" style="1355" customWidth="1"/>
    <col min="6141" max="6141" width="0" style="1355" hidden="1" customWidth="1"/>
    <col min="6142" max="6142" width="20.140625" style="1355" customWidth="1"/>
    <col min="6143" max="6143" width="14.42578125" style="1355" bestFit="1" customWidth="1"/>
    <col min="6144" max="6144" width="14" style="1355" bestFit="1" customWidth="1"/>
    <col min="6145" max="6145" width="12.28515625" style="1355" bestFit="1" customWidth="1"/>
    <col min="6146" max="6170" width="9.140625" style="1355" customWidth="1"/>
    <col min="6171" max="6365" width="8.85546875" style="1355"/>
    <col min="6366" max="6366" width="44.5703125" style="1355" customWidth="1"/>
    <col min="6367" max="6367" width="14.28515625" style="1355" bestFit="1" customWidth="1"/>
    <col min="6368" max="6368" width="1.7109375" style="1355" customWidth="1"/>
    <col min="6369" max="6369" width="14.85546875" style="1355" customWidth="1"/>
    <col min="6370" max="6370" width="0" style="1355" hidden="1" customWidth="1"/>
    <col min="6371" max="6371" width="17.42578125" style="1355" customWidth="1"/>
    <col min="6372" max="6372" width="0" style="1355" hidden="1" customWidth="1"/>
    <col min="6373" max="6373" width="12.85546875" style="1355" customWidth="1"/>
    <col min="6374" max="6374" width="0" style="1355" hidden="1" customWidth="1"/>
    <col min="6375" max="6375" width="14.42578125" style="1355" customWidth="1"/>
    <col min="6376" max="6376" width="0" style="1355" hidden="1" customWidth="1"/>
    <col min="6377" max="6377" width="17.42578125" style="1355" customWidth="1"/>
    <col min="6378" max="6378" width="0" style="1355" hidden="1" customWidth="1"/>
    <col min="6379" max="6379" width="14" style="1355" customWidth="1"/>
    <col min="6380" max="6380" width="14.28515625" style="1355" bestFit="1" customWidth="1"/>
    <col min="6381" max="6381" width="0" style="1355" hidden="1" customWidth="1"/>
    <col min="6382" max="6382" width="15.5703125" style="1355" customWidth="1"/>
    <col min="6383" max="6383" width="44.5703125" style="1355" customWidth="1"/>
    <col min="6384" max="6384" width="14.28515625" style="1355" bestFit="1" customWidth="1"/>
    <col min="6385" max="6385" width="0" style="1355" hidden="1" customWidth="1"/>
    <col min="6386" max="6386" width="18.140625" style="1355" customWidth="1"/>
    <col min="6387" max="6387" width="0" style="1355" hidden="1" customWidth="1"/>
    <col min="6388" max="6388" width="14" style="1355" customWidth="1"/>
    <col min="6389" max="6389" width="0" style="1355" hidden="1" customWidth="1"/>
    <col min="6390" max="6390" width="20.85546875" style="1355" customWidth="1"/>
    <col min="6391" max="6391" width="0" style="1355" hidden="1" customWidth="1"/>
    <col min="6392" max="6392" width="13.28515625" style="1355" customWidth="1"/>
    <col min="6393" max="6393" width="0" style="1355" hidden="1" customWidth="1"/>
    <col min="6394" max="6394" width="15" style="1355" customWidth="1"/>
    <col min="6395" max="6395" width="0" style="1355" hidden="1" customWidth="1"/>
    <col min="6396" max="6396" width="13.28515625" style="1355" customWidth="1"/>
    <col min="6397" max="6397" width="0" style="1355" hidden="1" customWidth="1"/>
    <col min="6398" max="6398" width="20.140625" style="1355" customWidth="1"/>
    <col min="6399" max="6399" width="14.42578125" style="1355" bestFit="1" customWidth="1"/>
    <col min="6400" max="6400" width="14" style="1355" bestFit="1" customWidth="1"/>
    <col min="6401" max="6401" width="12.28515625" style="1355" bestFit="1" customWidth="1"/>
    <col min="6402" max="6426" width="9.140625" style="1355" customWidth="1"/>
    <col min="6427" max="6621" width="8.85546875" style="1355"/>
    <col min="6622" max="6622" width="44.5703125" style="1355" customWidth="1"/>
    <col min="6623" max="6623" width="14.28515625" style="1355" bestFit="1" customWidth="1"/>
    <col min="6624" max="6624" width="1.7109375" style="1355" customWidth="1"/>
    <col min="6625" max="6625" width="14.85546875" style="1355" customWidth="1"/>
    <col min="6626" max="6626" width="0" style="1355" hidden="1" customWidth="1"/>
    <col min="6627" max="6627" width="17.42578125" style="1355" customWidth="1"/>
    <col min="6628" max="6628" width="0" style="1355" hidden="1" customWidth="1"/>
    <col min="6629" max="6629" width="12.85546875" style="1355" customWidth="1"/>
    <col min="6630" max="6630" width="0" style="1355" hidden="1" customWidth="1"/>
    <col min="6631" max="6631" width="14.42578125" style="1355" customWidth="1"/>
    <col min="6632" max="6632" width="0" style="1355" hidden="1" customWidth="1"/>
    <col min="6633" max="6633" width="17.42578125" style="1355" customWidth="1"/>
    <col min="6634" max="6634" width="0" style="1355" hidden="1" customWidth="1"/>
    <col min="6635" max="6635" width="14" style="1355" customWidth="1"/>
    <col min="6636" max="6636" width="14.28515625" style="1355" bestFit="1" customWidth="1"/>
    <col min="6637" max="6637" width="0" style="1355" hidden="1" customWidth="1"/>
    <col min="6638" max="6638" width="15.5703125" style="1355" customWidth="1"/>
    <col min="6639" max="6639" width="44.5703125" style="1355" customWidth="1"/>
    <col min="6640" max="6640" width="14.28515625" style="1355" bestFit="1" customWidth="1"/>
    <col min="6641" max="6641" width="0" style="1355" hidden="1" customWidth="1"/>
    <col min="6642" max="6642" width="18.140625" style="1355" customWidth="1"/>
    <col min="6643" max="6643" width="0" style="1355" hidden="1" customWidth="1"/>
    <col min="6644" max="6644" width="14" style="1355" customWidth="1"/>
    <col min="6645" max="6645" width="0" style="1355" hidden="1" customWidth="1"/>
    <col min="6646" max="6646" width="20.85546875" style="1355" customWidth="1"/>
    <col min="6647" max="6647" width="0" style="1355" hidden="1" customWidth="1"/>
    <col min="6648" max="6648" width="13.28515625" style="1355" customWidth="1"/>
    <col min="6649" max="6649" width="0" style="1355" hidden="1" customWidth="1"/>
    <col min="6650" max="6650" width="15" style="1355" customWidth="1"/>
    <col min="6651" max="6651" width="0" style="1355" hidden="1" customWidth="1"/>
    <col min="6652" max="6652" width="13.28515625" style="1355" customWidth="1"/>
    <col min="6653" max="6653" width="0" style="1355" hidden="1" customWidth="1"/>
    <col min="6654" max="6654" width="20.140625" style="1355" customWidth="1"/>
    <col min="6655" max="6655" width="14.42578125" style="1355" bestFit="1" customWidth="1"/>
    <col min="6656" max="6656" width="14" style="1355" bestFit="1" customWidth="1"/>
    <col min="6657" max="6657" width="12.28515625" style="1355" bestFit="1" customWidth="1"/>
    <col min="6658" max="6682" width="9.140625" style="1355" customWidth="1"/>
    <col min="6683" max="6877" width="8.85546875" style="1355"/>
    <col min="6878" max="6878" width="44.5703125" style="1355" customWidth="1"/>
    <col min="6879" max="6879" width="14.28515625" style="1355" bestFit="1" customWidth="1"/>
    <col min="6880" max="6880" width="1.7109375" style="1355" customWidth="1"/>
    <col min="6881" max="6881" width="14.85546875" style="1355" customWidth="1"/>
    <col min="6882" max="6882" width="0" style="1355" hidden="1" customWidth="1"/>
    <col min="6883" max="6883" width="17.42578125" style="1355" customWidth="1"/>
    <col min="6884" max="6884" width="0" style="1355" hidden="1" customWidth="1"/>
    <col min="6885" max="6885" width="12.85546875" style="1355" customWidth="1"/>
    <col min="6886" max="6886" width="0" style="1355" hidden="1" customWidth="1"/>
    <col min="6887" max="6887" width="14.42578125" style="1355" customWidth="1"/>
    <col min="6888" max="6888" width="0" style="1355" hidden="1" customWidth="1"/>
    <col min="6889" max="6889" width="17.42578125" style="1355" customWidth="1"/>
    <col min="6890" max="6890" width="0" style="1355" hidden="1" customWidth="1"/>
    <col min="6891" max="6891" width="14" style="1355" customWidth="1"/>
    <col min="6892" max="6892" width="14.28515625" style="1355" bestFit="1" customWidth="1"/>
    <col min="6893" max="6893" width="0" style="1355" hidden="1" customWidth="1"/>
    <col min="6894" max="6894" width="15.5703125" style="1355" customWidth="1"/>
    <col min="6895" max="6895" width="44.5703125" style="1355" customWidth="1"/>
    <col min="6896" max="6896" width="14.28515625" style="1355" bestFit="1" customWidth="1"/>
    <col min="6897" max="6897" width="0" style="1355" hidden="1" customWidth="1"/>
    <col min="6898" max="6898" width="18.140625" style="1355" customWidth="1"/>
    <col min="6899" max="6899" width="0" style="1355" hidden="1" customWidth="1"/>
    <col min="6900" max="6900" width="14" style="1355" customWidth="1"/>
    <col min="6901" max="6901" width="0" style="1355" hidden="1" customWidth="1"/>
    <col min="6902" max="6902" width="20.85546875" style="1355" customWidth="1"/>
    <col min="6903" max="6903" width="0" style="1355" hidden="1" customWidth="1"/>
    <col min="6904" max="6904" width="13.28515625" style="1355" customWidth="1"/>
    <col min="6905" max="6905" width="0" style="1355" hidden="1" customWidth="1"/>
    <col min="6906" max="6906" width="15" style="1355" customWidth="1"/>
    <col min="6907" max="6907" width="0" style="1355" hidden="1" customWidth="1"/>
    <col min="6908" max="6908" width="13.28515625" style="1355" customWidth="1"/>
    <col min="6909" max="6909" width="0" style="1355" hidden="1" customWidth="1"/>
    <col min="6910" max="6910" width="20.140625" style="1355" customWidth="1"/>
    <col min="6911" max="6911" width="14.42578125" style="1355" bestFit="1" customWidth="1"/>
    <col min="6912" max="6912" width="14" style="1355" bestFit="1" customWidth="1"/>
    <col min="6913" max="6913" width="12.28515625" style="1355" bestFit="1" customWidth="1"/>
    <col min="6914" max="6938" width="9.140625" style="1355" customWidth="1"/>
    <col min="6939" max="7133" width="8.85546875" style="1355"/>
    <col min="7134" max="7134" width="44.5703125" style="1355" customWidth="1"/>
    <col min="7135" max="7135" width="14.28515625" style="1355" bestFit="1" customWidth="1"/>
    <col min="7136" max="7136" width="1.7109375" style="1355" customWidth="1"/>
    <col min="7137" max="7137" width="14.85546875" style="1355" customWidth="1"/>
    <col min="7138" max="7138" width="0" style="1355" hidden="1" customWidth="1"/>
    <col min="7139" max="7139" width="17.42578125" style="1355" customWidth="1"/>
    <col min="7140" max="7140" width="0" style="1355" hidden="1" customWidth="1"/>
    <col min="7141" max="7141" width="12.85546875" style="1355" customWidth="1"/>
    <col min="7142" max="7142" width="0" style="1355" hidden="1" customWidth="1"/>
    <col min="7143" max="7143" width="14.42578125" style="1355" customWidth="1"/>
    <col min="7144" max="7144" width="0" style="1355" hidden="1" customWidth="1"/>
    <col min="7145" max="7145" width="17.42578125" style="1355" customWidth="1"/>
    <col min="7146" max="7146" width="0" style="1355" hidden="1" customWidth="1"/>
    <col min="7147" max="7147" width="14" style="1355" customWidth="1"/>
    <col min="7148" max="7148" width="14.28515625" style="1355" bestFit="1" customWidth="1"/>
    <col min="7149" max="7149" width="0" style="1355" hidden="1" customWidth="1"/>
    <col min="7150" max="7150" width="15.5703125" style="1355" customWidth="1"/>
    <col min="7151" max="7151" width="44.5703125" style="1355" customWidth="1"/>
    <col min="7152" max="7152" width="14.28515625" style="1355" bestFit="1" customWidth="1"/>
    <col min="7153" max="7153" width="0" style="1355" hidden="1" customWidth="1"/>
    <col min="7154" max="7154" width="18.140625" style="1355" customWidth="1"/>
    <col min="7155" max="7155" width="0" style="1355" hidden="1" customWidth="1"/>
    <col min="7156" max="7156" width="14" style="1355" customWidth="1"/>
    <col min="7157" max="7157" width="0" style="1355" hidden="1" customWidth="1"/>
    <col min="7158" max="7158" width="20.85546875" style="1355" customWidth="1"/>
    <col min="7159" max="7159" width="0" style="1355" hidden="1" customWidth="1"/>
    <col min="7160" max="7160" width="13.28515625" style="1355" customWidth="1"/>
    <col min="7161" max="7161" width="0" style="1355" hidden="1" customWidth="1"/>
    <col min="7162" max="7162" width="15" style="1355" customWidth="1"/>
    <col min="7163" max="7163" width="0" style="1355" hidden="1" customWidth="1"/>
    <col min="7164" max="7164" width="13.28515625" style="1355" customWidth="1"/>
    <col min="7165" max="7165" width="0" style="1355" hidden="1" customWidth="1"/>
    <col min="7166" max="7166" width="20.140625" style="1355" customWidth="1"/>
    <col min="7167" max="7167" width="14.42578125" style="1355" bestFit="1" customWidth="1"/>
    <col min="7168" max="7168" width="14" style="1355" bestFit="1" customWidth="1"/>
    <col min="7169" max="7169" width="12.28515625" style="1355" bestFit="1" customWidth="1"/>
    <col min="7170" max="7194" width="9.140625" style="1355" customWidth="1"/>
    <col min="7195" max="7389" width="8.85546875" style="1355"/>
    <col min="7390" max="7390" width="44.5703125" style="1355" customWidth="1"/>
    <col min="7391" max="7391" width="14.28515625" style="1355" bestFit="1" customWidth="1"/>
    <col min="7392" max="7392" width="1.7109375" style="1355" customWidth="1"/>
    <col min="7393" max="7393" width="14.85546875" style="1355" customWidth="1"/>
    <col min="7394" max="7394" width="0" style="1355" hidden="1" customWidth="1"/>
    <col min="7395" max="7395" width="17.42578125" style="1355" customWidth="1"/>
    <col min="7396" max="7396" width="0" style="1355" hidden="1" customWidth="1"/>
    <col min="7397" max="7397" width="12.85546875" style="1355" customWidth="1"/>
    <col min="7398" max="7398" width="0" style="1355" hidden="1" customWidth="1"/>
    <col min="7399" max="7399" width="14.42578125" style="1355" customWidth="1"/>
    <col min="7400" max="7400" width="0" style="1355" hidden="1" customWidth="1"/>
    <col min="7401" max="7401" width="17.42578125" style="1355" customWidth="1"/>
    <col min="7402" max="7402" width="0" style="1355" hidden="1" customWidth="1"/>
    <col min="7403" max="7403" width="14" style="1355" customWidth="1"/>
    <col min="7404" max="7404" width="14.28515625" style="1355" bestFit="1" customWidth="1"/>
    <col min="7405" max="7405" width="0" style="1355" hidden="1" customWidth="1"/>
    <col min="7406" max="7406" width="15.5703125" style="1355" customWidth="1"/>
    <col min="7407" max="7407" width="44.5703125" style="1355" customWidth="1"/>
    <col min="7408" max="7408" width="14.28515625" style="1355" bestFit="1" customWidth="1"/>
    <col min="7409" max="7409" width="0" style="1355" hidden="1" customWidth="1"/>
    <col min="7410" max="7410" width="18.140625" style="1355" customWidth="1"/>
    <col min="7411" max="7411" width="0" style="1355" hidden="1" customWidth="1"/>
    <col min="7412" max="7412" width="14" style="1355" customWidth="1"/>
    <col min="7413" max="7413" width="0" style="1355" hidden="1" customWidth="1"/>
    <col min="7414" max="7414" width="20.85546875" style="1355" customWidth="1"/>
    <col min="7415" max="7415" width="0" style="1355" hidden="1" customWidth="1"/>
    <col min="7416" max="7416" width="13.28515625" style="1355" customWidth="1"/>
    <col min="7417" max="7417" width="0" style="1355" hidden="1" customWidth="1"/>
    <col min="7418" max="7418" width="15" style="1355" customWidth="1"/>
    <col min="7419" max="7419" width="0" style="1355" hidden="1" customWidth="1"/>
    <col min="7420" max="7420" width="13.28515625" style="1355" customWidth="1"/>
    <col min="7421" max="7421" width="0" style="1355" hidden="1" customWidth="1"/>
    <col min="7422" max="7422" width="20.140625" style="1355" customWidth="1"/>
    <col min="7423" max="7423" width="14.42578125" style="1355" bestFit="1" customWidth="1"/>
    <col min="7424" max="7424" width="14" style="1355" bestFit="1" customWidth="1"/>
    <col min="7425" max="7425" width="12.28515625" style="1355" bestFit="1" customWidth="1"/>
    <col min="7426" max="7450" width="9.140625" style="1355" customWidth="1"/>
    <col min="7451" max="7645" width="8.85546875" style="1355"/>
    <col min="7646" max="7646" width="44.5703125" style="1355" customWidth="1"/>
    <col min="7647" max="7647" width="14.28515625" style="1355" bestFit="1" customWidth="1"/>
    <col min="7648" max="7648" width="1.7109375" style="1355" customWidth="1"/>
    <col min="7649" max="7649" width="14.85546875" style="1355" customWidth="1"/>
    <col min="7650" max="7650" width="0" style="1355" hidden="1" customWidth="1"/>
    <col min="7651" max="7651" width="17.42578125" style="1355" customWidth="1"/>
    <col min="7652" max="7652" width="0" style="1355" hidden="1" customWidth="1"/>
    <col min="7653" max="7653" width="12.85546875" style="1355" customWidth="1"/>
    <col min="7654" max="7654" width="0" style="1355" hidden="1" customWidth="1"/>
    <col min="7655" max="7655" width="14.42578125" style="1355" customWidth="1"/>
    <col min="7656" max="7656" width="0" style="1355" hidden="1" customWidth="1"/>
    <col min="7657" max="7657" width="17.42578125" style="1355" customWidth="1"/>
    <col min="7658" max="7658" width="0" style="1355" hidden="1" customWidth="1"/>
    <col min="7659" max="7659" width="14" style="1355" customWidth="1"/>
    <col min="7660" max="7660" width="14.28515625" style="1355" bestFit="1" customWidth="1"/>
    <col min="7661" max="7661" width="0" style="1355" hidden="1" customWidth="1"/>
    <col min="7662" max="7662" width="15.5703125" style="1355" customWidth="1"/>
    <col min="7663" max="7663" width="44.5703125" style="1355" customWidth="1"/>
    <col min="7664" max="7664" width="14.28515625" style="1355" bestFit="1" customWidth="1"/>
    <col min="7665" max="7665" width="0" style="1355" hidden="1" customWidth="1"/>
    <col min="7666" max="7666" width="18.140625" style="1355" customWidth="1"/>
    <col min="7667" max="7667" width="0" style="1355" hidden="1" customWidth="1"/>
    <col min="7668" max="7668" width="14" style="1355" customWidth="1"/>
    <col min="7669" max="7669" width="0" style="1355" hidden="1" customWidth="1"/>
    <col min="7670" max="7670" width="20.85546875" style="1355" customWidth="1"/>
    <col min="7671" max="7671" width="0" style="1355" hidden="1" customWidth="1"/>
    <col min="7672" max="7672" width="13.28515625" style="1355" customWidth="1"/>
    <col min="7673" max="7673" width="0" style="1355" hidden="1" customWidth="1"/>
    <col min="7674" max="7674" width="15" style="1355" customWidth="1"/>
    <col min="7675" max="7675" width="0" style="1355" hidden="1" customWidth="1"/>
    <col min="7676" max="7676" width="13.28515625" style="1355" customWidth="1"/>
    <col min="7677" max="7677" width="0" style="1355" hidden="1" customWidth="1"/>
    <col min="7678" max="7678" width="20.140625" style="1355" customWidth="1"/>
    <col min="7679" max="7679" width="14.42578125" style="1355" bestFit="1" customWidth="1"/>
    <col min="7680" max="7680" width="14" style="1355" bestFit="1" customWidth="1"/>
    <col min="7681" max="7681" width="12.28515625" style="1355" bestFit="1" customWidth="1"/>
    <col min="7682" max="7706" width="9.140625" style="1355" customWidth="1"/>
    <col min="7707" max="7901" width="8.85546875" style="1355"/>
    <col min="7902" max="7902" width="44.5703125" style="1355" customWidth="1"/>
    <col min="7903" max="7903" width="14.28515625" style="1355" bestFit="1" customWidth="1"/>
    <col min="7904" max="7904" width="1.7109375" style="1355" customWidth="1"/>
    <col min="7905" max="7905" width="14.85546875" style="1355" customWidth="1"/>
    <col min="7906" max="7906" width="0" style="1355" hidden="1" customWidth="1"/>
    <col min="7907" max="7907" width="17.42578125" style="1355" customWidth="1"/>
    <col min="7908" max="7908" width="0" style="1355" hidden="1" customWidth="1"/>
    <col min="7909" max="7909" width="12.85546875" style="1355" customWidth="1"/>
    <col min="7910" max="7910" width="0" style="1355" hidden="1" customWidth="1"/>
    <col min="7911" max="7911" width="14.42578125" style="1355" customWidth="1"/>
    <col min="7912" max="7912" width="0" style="1355" hidden="1" customWidth="1"/>
    <col min="7913" max="7913" width="17.42578125" style="1355" customWidth="1"/>
    <col min="7914" max="7914" width="0" style="1355" hidden="1" customWidth="1"/>
    <col min="7915" max="7915" width="14" style="1355" customWidth="1"/>
    <col min="7916" max="7916" width="14.28515625" style="1355" bestFit="1" customWidth="1"/>
    <col min="7917" max="7917" width="0" style="1355" hidden="1" customWidth="1"/>
    <col min="7918" max="7918" width="15.5703125" style="1355" customWidth="1"/>
    <col min="7919" max="7919" width="44.5703125" style="1355" customWidth="1"/>
    <col min="7920" max="7920" width="14.28515625" style="1355" bestFit="1" customWidth="1"/>
    <col min="7921" max="7921" width="0" style="1355" hidden="1" customWidth="1"/>
    <col min="7922" max="7922" width="18.140625" style="1355" customWidth="1"/>
    <col min="7923" max="7923" width="0" style="1355" hidden="1" customWidth="1"/>
    <col min="7924" max="7924" width="14" style="1355" customWidth="1"/>
    <col min="7925" max="7925" width="0" style="1355" hidden="1" customWidth="1"/>
    <col min="7926" max="7926" width="20.85546875" style="1355" customWidth="1"/>
    <col min="7927" max="7927" width="0" style="1355" hidden="1" customWidth="1"/>
    <col min="7928" max="7928" width="13.28515625" style="1355" customWidth="1"/>
    <col min="7929" max="7929" width="0" style="1355" hidden="1" customWidth="1"/>
    <col min="7930" max="7930" width="15" style="1355" customWidth="1"/>
    <col min="7931" max="7931" width="0" style="1355" hidden="1" customWidth="1"/>
    <col min="7932" max="7932" width="13.28515625" style="1355" customWidth="1"/>
    <col min="7933" max="7933" width="0" style="1355" hidden="1" customWidth="1"/>
    <col min="7934" max="7934" width="20.140625" style="1355" customWidth="1"/>
    <col min="7935" max="7935" width="14.42578125" style="1355" bestFit="1" customWidth="1"/>
    <col min="7936" max="7936" width="14" style="1355" bestFit="1" customWidth="1"/>
    <col min="7937" max="7937" width="12.28515625" style="1355" bestFit="1" customWidth="1"/>
    <col min="7938" max="7962" width="9.140625" style="1355" customWidth="1"/>
    <col min="7963" max="8157" width="8.85546875" style="1355"/>
    <col min="8158" max="8158" width="44.5703125" style="1355" customWidth="1"/>
    <col min="8159" max="8159" width="14.28515625" style="1355" bestFit="1" customWidth="1"/>
    <col min="8160" max="8160" width="1.7109375" style="1355" customWidth="1"/>
    <col min="8161" max="8161" width="14.85546875" style="1355" customWidth="1"/>
    <col min="8162" max="8162" width="0" style="1355" hidden="1" customWidth="1"/>
    <col min="8163" max="8163" width="17.42578125" style="1355" customWidth="1"/>
    <col min="8164" max="8164" width="0" style="1355" hidden="1" customWidth="1"/>
    <col min="8165" max="8165" width="12.85546875" style="1355" customWidth="1"/>
    <col min="8166" max="8166" width="0" style="1355" hidden="1" customWidth="1"/>
    <col min="8167" max="8167" width="14.42578125" style="1355" customWidth="1"/>
    <col min="8168" max="8168" width="0" style="1355" hidden="1" customWidth="1"/>
    <col min="8169" max="8169" width="17.42578125" style="1355" customWidth="1"/>
    <col min="8170" max="8170" width="0" style="1355" hidden="1" customWidth="1"/>
    <col min="8171" max="8171" width="14" style="1355" customWidth="1"/>
    <col min="8172" max="8172" width="14.28515625" style="1355" bestFit="1" customWidth="1"/>
    <col min="8173" max="8173" width="0" style="1355" hidden="1" customWidth="1"/>
    <col min="8174" max="8174" width="15.5703125" style="1355" customWidth="1"/>
    <col min="8175" max="8175" width="44.5703125" style="1355" customWidth="1"/>
    <col min="8176" max="8176" width="14.28515625" style="1355" bestFit="1" customWidth="1"/>
    <col min="8177" max="8177" width="0" style="1355" hidden="1" customWidth="1"/>
    <col min="8178" max="8178" width="18.140625" style="1355" customWidth="1"/>
    <col min="8179" max="8179" width="0" style="1355" hidden="1" customWidth="1"/>
    <col min="8180" max="8180" width="14" style="1355" customWidth="1"/>
    <col min="8181" max="8181" width="0" style="1355" hidden="1" customWidth="1"/>
    <col min="8182" max="8182" width="20.85546875" style="1355" customWidth="1"/>
    <col min="8183" max="8183" width="0" style="1355" hidden="1" customWidth="1"/>
    <col min="8184" max="8184" width="13.28515625" style="1355" customWidth="1"/>
    <col min="8185" max="8185" width="0" style="1355" hidden="1" customWidth="1"/>
    <col min="8186" max="8186" width="15" style="1355" customWidth="1"/>
    <col min="8187" max="8187" width="0" style="1355" hidden="1" customWidth="1"/>
    <col min="8188" max="8188" width="13.28515625" style="1355" customWidth="1"/>
    <col min="8189" max="8189" width="0" style="1355" hidden="1" customWidth="1"/>
    <col min="8190" max="8190" width="20.140625" style="1355" customWidth="1"/>
    <col min="8191" max="8191" width="14.42578125" style="1355" bestFit="1" customWidth="1"/>
    <col min="8192" max="8192" width="14" style="1355" bestFit="1" customWidth="1"/>
    <col min="8193" max="8193" width="12.28515625" style="1355" bestFit="1" customWidth="1"/>
    <col min="8194" max="8218" width="9.140625" style="1355" customWidth="1"/>
    <col min="8219" max="8413" width="8.85546875" style="1355"/>
    <col min="8414" max="8414" width="44.5703125" style="1355" customWidth="1"/>
    <col min="8415" max="8415" width="14.28515625" style="1355" bestFit="1" customWidth="1"/>
    <col min="8416" max="8416" width="1.7109375" style="1355" customWidth="1"/>
    <col min="8417" max="8417" width="14.85546875" style="1355" customWidth="1"/>
    <col min="8418" max="8418" width="0" style="1355" hidden="1" customWidth="1"/>
    <col min="8419" max="8419" width="17.42578125" style="1355" customWidth="1"/>
    <col min="8420" max="8420" width="0" style="1355" hidden="1" customWidth="1"/>
    <col min="8421" max="8421" width="12.85546875" style="1355" customWidth="1"/>
    <col min="8422" max="8422" width="0" style="1355" hidden="1" customWidth="1"/>
    <col min="8423" max="8423" width="14.42578125" style="1355" customWidth="1"/>
    <col min="8424" max="8424" width="0" style="1355" hidden="1" customWidth="1"/>
    <col min="8425" max="8425" width="17.42578125" style="1355" customWidth="1"/>
    <col min="8426" max="8426" width="0" style="1355" hidden="1" customWidth="1"/>
    <col min="8427" max="8427" width="14" style="1355" customWidth="1"/>
    <col min="8428" max="8428" width="14.28515625" style="1355" bestFit="1" customWidth="1"/>
    <col min="8429" max="8429" width="0" style="1355" hidden="1" customWidth="1"/>
    <col min="8430" max="8430" width="15.5703125" style="1355" customWidth="1"/>
    <col min="8431" max="8431" width="44.5703125" style="1355" customWidth="1"/>
    <col min="8432" max="8432" width="14.28515625" style="1355" bestFit="1" customWidth="1"/>
    <col min="8433" max="8433" width="0" style="1355" hidden="1" customWidth="1"/>
    <col min="8434" max="8434" width="18.140625" style="1355" customWidth="1"/>
    <col min="8435" max="8435" width="0" style="1355" hidden="1" customWidth="1"/>
    <col min="8436" max="8436" width="14" style="1355" customWidth="1"/>
    <col min="8437" max="8437" width="0" style="1355" hidden="1" customWidth="1"/>
    <col min="8438" max="8438" width="20.85546875" style="1355" customWidth="1"/>
    <col min="8439" max="8439" width="0" style="1355" hidden="1" customWidth="1"/>
    <col min="8440" max="8440" width="13.28515625" style="1355" customWidth="1"/>
    <col min="8441" max="8441" width="0" style="1355" hidden="1" customWidth="1"/>
    <col min="8442" max="8442" width="15" style="1355" customWidth="1"/>
    <col min="8443" max="8443" width="0" style="1355" hidden="1" customWidth="1"/>
    <col min="8444" max="8444" width="13.28515625" style="1355" customWidth="1"/>
    <col min="8445" max="8445" width="0" style="1355" hidden="1" customWidth="1"/>
    <col min="8446" max="8446" width="20.140625" style="1355" customWidth="1"/>
    <col min="8447" max="8447" width="14.42578125" style="1355" bestFit="1" customWidth="1"/>
    <col min="8448" max="8448" width="14" style="1355" bestFit="1" customWidth="1"/>
    <col min="8449" max="8449" width="12.28515625" style="1355" bestFit="1" customWidth="1"/>
    <col min="8450" max="8474" width="9.140625" style="1355" customWidth="1"/>
    <col min="8475" max="8669" width="8.85546875" style="1355"/>
    <col min="8670" max="8670" width="44.5703125" style="1355" customWidth="1"/>
    <col min="8671" max="8671" width="14.28515625" style="1355" bestFit="1" customWidth="1"/>
    <col min="8672" max="8672" width="1.7109375" style="1355" customWidth="1"/>
    <col min="8673" max="8673" width="14.85546875" style="1355" customWidth="1"/>
    <col min="8674" max="8674" width="0" style="1355" hidden="1" customWidth="1"/>
    <col min="8675" max="8675" width="17.42578125" style="1355" customWidth="1"/>
    <col min="8676" max="8676" width="0" style="1355" hidden="1" customWidth="1"/>
    <col min="8677" max="8677" width="12.85546875" style="1355" customWidth="1"/>
    <col min="8678" max="8678" width="0" style="1355" hidden="1" customWidth="1"/>
    <col min="8679" max="8679" width="14.42578125" style="1355" customWidth="1"/>
    <col min="8680" max="8680" width="0" style="1355" hidden="1" customWidth="1"/>
    <col min="8681" max="8681" width="17.42578125" style="1355" customWidth="1"/>
    <col min="8682" max="8682" width="0" style="1355" hidden="1" customWidth="1"/>
    <col min="8683" max="8683" width="14" style="1355" customWidth="1"/>
    <col min="8684" max="8684" width="14.28515625" style="1355" bestFit="1" customWidth="1"/>
    <col min="8685" max="8685" width="0" style="1355" hidden="1" customWidth="1"/>
    <col min="8686" max="8686" width="15.5703125" style="1355" customWidth="1"/>
    <col min="8687" max="8687" width="44.5703125" style="1355" customWidth="1"/>
    <col min="8688" max="8688" width="14.28515625" style="1355" bestFit="1" customWidth="1"/>
    <col min="8689" max="8689" width="0" style="1355" hidden="1" customWidth="1"/>
    <col min="8690" max="8690" width="18.140625" style="1355" customWidth="1"/>
    <col min="8691" max="8691" width="0" style="1355" hidden="1" customWidth="1"/>
    <col min="8692" max="8692" width="14" style="1355" customWidth="1"/>
    <col min="8693" max="8693" width="0" style="1355" hidden="1" customWidth="1"/>
    <col min="8694" max="8694" width="20.85546875" style="1355" customWidth="1"/>
    <col min="8695" max="8695" width="0" style="1355" hidden="1" customWidth="1"/>
    <col min="8696" max="8696" width="13.28515625" style="1355" customWidth="1"/>
    <col min="8697" max="8697" width="0" style="1355" hidden="1" customWidth="1"/>
    <col min="8698" max="8698" width="15" style="1355" customWidth="1"/>
    <col min="8699" max="8699" width="0" style="1355" hidden="1" customWidth="1"/>
    <col min="8700" max="8700" width="13.28515625" style="1355" customWidth="1"/>
    <col min="8701" max="8701" width="0" style="1355" hidden="1" customWidth="1"/>
    <col min="8702" max="8702" width="20.140625" style="1355" customWidth="1"/>
    <col min="8703" max="8703" width="14.42578125" style="1355" bestFit="1" customWidth="1"/>
    <col min="8704" max="8704" width="14" style="1355" bestFit="1" customWidth="1"/>
    <col min="8705" max="8705" width="12.28515625" style="1355" bestFit="1" customWidth="1"/>
    <col min="8706" max="8730" width="9.140625" style="1355" customWidth="1"/>
    <col min="8731" max="8925" width="8.85546875" style="1355"/>
    <col min="8926" max="8926" width="44.5703125" style="1355" customWidth="1"/>
    <col min="8927" max="8927" width="14.28515625" style="1355" bestFit="1" customWidth="1"/>
    <col min="8928" max="8928" width="1.7109375" style="1355" customWidth="1"/>
    <col min="8929" max="8929" width="14.85546875" style="1355" customWidth="1"/>
    <col min="8930" max="8930" width="0" style="1355" hidden="1" customWidth="1"/>
    <col min="8931" max="8931" width="17.42578125" style="1355" customWidth="1"/>
    <col min="8932" max="8932" width="0" style="1355" hidden="1" customWidth="1"/>
    <col min="8933" max="8933" width="12.85546875" style="1355" customWidth="1"/>
    <col min="8934" max="8934" width="0" style="1355" hidden="1" customWidth="1"/>
    <col min="8935" max="8935" width="14.42578125" style="1355" customWidth="1"/>
    <col min="8936" max="8936" width="0" style="1355" hidden="1" customWidth="1"/>
    <col min="8937" max="8937" width="17.42578125" style="1355" customWidth="1"/>
    <col min="8938" max="8938" width="0" style="1355" hidden="1" customWidth="1"/>
    <col min="8939" max="8939" width="14" style="1355" customWidth="1"/>
    <col min="8940" max="8940" width="14.28515625" style="1355" bestFit="1" customWidth="1"/>
    <col min="8941" max="8941" width="0" style="1355" hidden="1" customWidth="1"/>
    <col min="8942" max="8942" width="15.5703125" style="1355" customWidth="1"/>
    <col min="8943" max="8943" width="44.5703125" style="1355" customWidth="1"/>
    <col min="8944" max="8944" width="14.28515625" style="1355" bestFit="1" customWidth="1"/>
    <col min="8945" max="8945" width="0" style="1355" hidden="1" customWidth="1"/>
    <col min="8946" max="8946" width="18.140625" style="1355" customWidth="1"/>
    <col min="8947" max="8947" width="0" style="1355" hidden="1" customWidth="1"/>
    <col min="8948" max="8948" width="14" style="1355" customWidth="1"/>
    <col min="8949" max="8949" width="0" style="1355" hidden="1" customWidth="1"/>
    <col min="8950" max="8950" width="20.85546875" style="1355" customWidth="1"/>
    <col min="8951" max="8951" width="0" style="1355" hidden="1" customWidth="1"/>
    <col min="8952" max="8952" width="13.28515625" style="1355" customWidth="1"/>
    <col min="8953" max="8953" width="0" style="1355" hidden="1" customWidth="1"/>
    <col min="8954" max="8954" width="15" style="1355" customWidth="1"/>
    <col min="8955" max="8955" width="0" style="1355" hidden="1" customWidth="1"/>
    <col min="8956" max="8956" width="13.28515625" style="1355" customWidth="1"/>
    <col min="8957" max="8957" width="0" style="1355" hidden="1" customWidth="1"/>
    <col min="8958" max="8958" width="20.140625" style="1355" customWidth="1"/>
    <col min="8959" max="8959" width="14.42578125" style="1355" bestFit="1" customWidth="1"/>
    <col min="8960" max="8960" width="14" style="1355" bestFit="1" customWidth="1"/>
    <col min="8961" max="8961" width="12.28515625" style="1355" bestFit="1" customWidth="1"/>
    <col min="8962" max="8986" width="9.140625" style="1355" customWidth="1"/>
    <col min="8987" max="9181" width="8.85546875" style="1355"/>
    <col min="9182" max="9182" width="44.5703125" style="1355" customWidth="1"/>
    <col min="9183" max="9183" width="14.28515625" style="1355" bestFit="1" customWidth="1"/>
    <col min="9184" max="9184" width="1.7109375" style="1355" customWidth="1"/>
    <col min="9185" max="9185" width="14.85546875" style="1355" customWidth="1"/>
    <col min="9186" max="9186" width="0" style="1355" hidden="1" customWidth="1"/>
    <col min="9187" max="9187" width="17.42578125" style="1355" customWidth="1"/>
    <col min="9188" max="9188" width="0" style="1355" hidden="1" customWidth="1"/>
    <col min="9189" max="9189" width="12.85546875" style="1355" customWidth="1"/>
    <col min="9190" max="9190" width="0" style="1355" hidden="1" customWidth="1"/>
    <col min="9191" max="9191" width="14.42578125" style="1355" customWidth="1"/>
    <col min="9192" max="9192" width="0" style="1355" hidden="1" customWidth="1"/>
    <col min="9193" max="9193" width="17.42578125" style="1355" customWidth="1"/>
    <col min="9194" max="9194" width="0" style="1355" hidden="1" customWidth="1"/>
    <col min="9195" max="9195" width="14" style="1355" customWidth="1"/>
    <col min="9196" max="9196" width="14.28515625" style="1355" bestFit="1" customWidth="1"/>
    <col min="9197" max="9197" width="0" style="1355" hidden="1" customWidth="1"/>
    <col min="9198" max="9198" width="15.5703125" style="1355" customWidth="1"/>
    <col min="9199" max="9199" width="44.5703125" style="1355" customWidth="1"/>
    <col min="9200" max="9200" width="14.28515625" style="1355" bestFit="1" customWidth="1"/>
    <col min="9201" max="9201" width="0" style="1355" hidden="1" customWidth="1"/>
    <col min="9202" max="9202" width="18.140625" style="1355" customWidth="1"/>
    <col min="9203" max="9203" width="0" style="1355" hidden="1" customWidth="1"/>
    <col min="9204" max="9204" width="14" style="1355" customWidth="1"/>
    <col min="9205" max="9205" width="0" style="1355" hidden="1" customWidth="1"/>
    <col min="9206" max="9206" width="20.85546875" style="1355" customWidth="1"/>
    <col min="9207" max="9207" width="0" style="1355" hidden="1" customWidth="1"/>
    <col min="9208" max="9208" width="13.28515625" style="1355" customWidth="1"/>
    <col min="9209" max="9209" width="0" style="1355" hidden="1" customWidth="1"/>
    <col min="9210" max="9210" width="15" style="1355" customWidth="1"/>
    <col min="9211" max="9211" width="0" style="1355" hidden="1" customWidth="1"/>
    <col min="9212" max="9212" width="13.28515625" style="1355" customWidth="1"/>
    <col min="9213" max="9213" width="0" style="1355" hidden="1" customWidth="1"/>
    <col min="9214" max="9214" width="20.140625" style="1355" customWidth="1"/>
    <col min="9215" max="9215" width="14.42578125" style="1355" bestFit="1" customWidth="1"/>
    <col min="9216" max="9216" width="14" style="1355" bestFit="1" customWidth="1"/>
    <col min="9217" max="9217" width="12.28515625" style="1355" bestFit="1" customWidth="1"/>
    <col min="9218" max="9242" width="9.140625" style="1355" customWidth="1"/>
    <col min="9243" max="9437" width="8.85546875" style="1355"/>
    <col min="9438" max="9438" width="44.5703125" style="1355" customWidth="1"/>
    <col min="9439" max="9439" width="14.28515625" style="1355" bestFit="1" customWidth="1"/>
    <col min="9440" max="9440" width="1.7109375" style="1355" customWidth="1"/>
    <col min="9441" max="9441" width="14.85546875" style="1355" customWidth="1"/>
    <col min="9442" max="9442" width="0" style="1355" hidden="1" customWidth="1"/>
    <col min="9443" max="9443" width="17.42578125" style="1355" customWidth="1"/>
    <col min="9444" max="9444" width="0" style="1355" hidden="1" customWidth="1"/>
    <col min="9445" max="9445" width="12.85546875" style="1355" customWidth="1"/>
    <col min="9446" max="9446" width="0" style="1355" hidden="1" customWidth="1"/>
    <col min="9447" max="9447" width="14.42578125" style="1355" customWidth="1"/>
    <col min="9448" max="9448" width="0" style="1355" hidden="1" customWidth="1"/>
    <col min="9449" max="9449" width="17.42578125" style="1355" customWidth="1"/>
    <col min="9450" max="9450" width="0" style="1355" hidden="1" customWidth="1"/>
    <col min="9451" max="9451" width="14" style="1355" customWidth="1"/>
    <col min="9452" max="9452" width="14.28515625" style="1355" bestFit="1" customWidth="1"/>
    <col min="9453" max="9453" width="0" style="1355" hidden="1" customWidth="1"/>
    <col min="9454" max="9454" width="15.5703125" style="1355" customWidth="1"/>
    <col min="9455" max="9455" width="44.5703125" style="1355" customWidth="1"/>
    <col min="9456" max="9456" width="14.28515625" style="1355" bestFit="1" customWidth="1"/>
    <col min="9457" max="9457" width="0" style="1355" hidden="1" customWidth="1"/>
    <col min="9458" max="9458" width="18.140625" style="1355" customWidth="1"/>
    <col min="9459" max="9459" width="0" style="1355" hidden="1" customWidth="1"/>
    <col min="9460" max="9460" width="14" style="1355" customWidth="1"/>
    <col min="9461" max="9461" width="0" style="1355" hidden="1" customWidth="1"/>
    <col min="9462" max="9462" width="20.85546875" style="1355" customWidth="1"/>
    <col min="9463" max="9463" width="0" style="1355" hidden="1" customWidth="1"/>
    <col min="9464" max="9464" width="13.28515625" style="1355" customWidth="1"/>
    <col min="9465" max="9465" width="0" style="1355" hidden="1" customWidth="1"/>
    <col min="9466" max="9466" width="15" style="1355" customWidth="1"/>
    <col min="9467" max="9467" width="0" style="1355" hidden="1" customWidth="1"/>
    <col min="9468" max="9468" width="13.28515625" style="1355" customWidth="1"/>
    <col min="9469" max="9469" width="0" style="1355" hidden="1" customWidth="1"/>
    <col min="9470" max="9470" width="20.140625" style="1355" customWidth="1"/>
    <col min="9471" max="9471" width="14.42578125" style="1355" bestFit="1" customWidth="1"/>
    <col min="9472" max="9472" width="14" style="1355" bestFit="1" customWidth="1"/>
    <col min="9473" max="9473" width="12.28515625" style="1355" bestFit="1" customWidth="1"/>
    <col min="9474" max="9498" width="9.140625" style="1355" customWidth="1"/>
    <col min="9499" max="9693" width="8.85546875" style="1355"/>
    <col min="9694" max="9694" width="44.5703125" style="1355" customWidth="1"/>
    <col min="9695" max="9695" width="14.28515625" style="1355" bestFit="1" customWidth="1"/>
    <col min="9696" max="9696" width="1.7109375" style="1355" customWidth="1"/>
    <col min="9697" max="9697" width="14.85546875" style="1355" customWidth="1"/>
    <col min="9698" max="9698" width="0" style="1355" hidden="1" customWidth="1"/>
    <col min="9699" max="9699" width="17.42578125" style="1355" customWidth="1"/>
    <col min="9700" max="9700" width="0" style="1355" hidden="1" customWidth="1"/>
    <col min="9701" max="9701" width="12.85546875" style="1355" customWidth="1"/>
    <col min="9702" max="9702" width="0" style="1355" hidden="1" customWidth="1"/>
    <col min="9703" max="9703" width="14.42578125" style="1355" customWidth="1"/>
    <col min="9704" max="9704" width="0" style="1355" hidden="1" customWidth="1"/>
    <col min="9705" max="9705" width="17.42578125" style="1355" customWidth="1"/>
    <col min="9706" max="9706" width="0" style="1355" hidden="1" customWidth="1"/>
    <col min="9707" max="9707" width="14" style="1355" customWidth="1"/>
    <col min="9708" max="9708" width="14.28515625" style="1355" bestFit="1" customWidth="1"/>
    <col min="9709" max="9709" width="0" style="1355" hidden="1" customWidth="1"/>
    <col min="9710" max="9710" width="15.5703125" style="1355" customWidth="1"/>
    <col min="9711" max="9711" width="44.5703125" style="1355" customWidth="1"/>
    <col min="9712" max="9712" width="14.28515625" style="1355" bestFit="1" customWidth="1"/>
    <col min="9713" max="9713" width="0" style="1355" hidden="1" customWidth="1"/>
    <col min="9714" max="9714" width="18.140625" style="1355" customWidth="1"/>
    <col min="9715" max="9715" width="0" style="1355" hidden="1" customWidth="1"/>
    <col min="9716" max="9716" width="14" style="1355" customWidth="1"/>
    <col min="9717" max="9717" width="0" style="1355" hidden="1" customWidth="1"/>
    <col min="9718" max="9718" width="20.85546875" style="1355" customWidth="1"/>
    <col min="9719" max="9719" width="0" style="1355" hidden="1" customWidth="1"/>
    <col min="9720" max="9720" width="13.28515625" style="1355" customWidth="1"/>
    <col min="9721" max="9721" width="0" style="1355" hidden="1" customWidth="1"/>
    <col min="9722" max="9722" width="15" style="1355" customWidth="1"/>
    <col min="9723" max="9723" width="0" style="1355" hidden="1" customWidth="1"/>
    <col min="9724" max="9724" width="13.28515625" style="1355" customWidth="1"/>
    <col min="9725" max="9725" width="0" style="1355" hidden="1" customWidth="1"/>
    <col min="9726" max="9726" width="20.140625" style="1355" customWidth="1"/>
    <col min="9727" max="9727" width="14.42578125" style="1355" bestFit="1" customWidth="1"/>
    <col min="9728" max="9728" width="14" style="1355" bestFit="1" customWidth="1"/>
    <col min="9729" max="9729" width="12.28515625" style="1355" bestFit="1" customWidth="1"/>
    <col min="9730" max="9754" width="9.140625" style="1355" customWidth="1"/>
    <col min="9755" max="9949" width="8.85546875" style="1355"/>
    <col min="9950" max="9950" width="44.5703125" style="1355" customWidth="1"/>
    <col min="9951" max="9951" width="14.28515625" style="1355" bestFit="1" customWidth="1"/>
    <col min="9952" max="9952" width="1.7109375" style="1355" customWidth="1"/>
    <col min="9953" max="9953" width="14.85546875" style="1355" customWidth="1"/>
    <col min="9954" max="9954" width="0" style="1355" hidden="1" customWidth="1"/>
    <col min="9955" max="9955" width="17.42578125" style="1355" customWidth="1"/>
    <col min="9956" max="9956" width="0" style="1355" hidden="1" customWidth="1"/>
    <col min="9957" max="9957" width="12.85546875" style="1355" customWidth="1"/>
    <col min="9958" max="9958" width="0" style="1355" hidden="1" customWidth="1"/>
    <col min="9959" max="9959" width="14.42578125" style="1355" customWidth="1"/>
    <col min="9960" max="9960" width="0" style="1355" hidden="1" customWidth="1"/>
    <col min="9961" max="9961" width="17.42578125" style="1355" customWidth="1"/>
    <col min="9962" max="9962" width="0" style="1355" hidden="1" customWidth="1"/>
    <col min="9963" max="9963" width="14" style="1355" customWidth="1"/>
    <col min="9964" max="9964" width="14.28515625" style="1355" bestFit="1" customWidth="1"/>
    <col min="9965" max="9965" width="0" style="1355" hidden="1" customWidth="1"/>
    <col min="9966" max="9966" width="15.5703125" style="1355" customWidth="1"/>
    <col min="9967" max="9967" width="44.5703125" style="1355" customWidth="1"/>
    <col min="9968" max="9968" width="14.28515625" style="1355" bestFit="1" customWidth="1"/>
    <col min="9969" max="9969" width="0" style="1355" hidden="1" customWidth="1"/>
    <col min="9970" max="9970" width="18.140625" style="1355" customWidth="1"/>
    <col min="9971" max="9971" width="0" style="1355" hidden="1" customWidth="1"/>
    <col min="9972" max="9972" width="14" style="1355" customWidth="1"/>
    <col min="9973" max="9973" width="0" style="1355" hidden="1" customWidth="1"/>
    <col min="9974" max="9974" width="20.85546875" style="1355" customWidth="1"/>
    <col min="9975" max="9975" width="0" style="1355" hidden="1" customWidth="1"/>
    <col min="9976" max="9976" width="13.28515625" style="1355" customWidth="1"/>
    <col min="9977" max="9977" width="0" style="1355" hidden="1" customWidth="1"/>
    <col min="9978" max="9978" width="15" style="1355" customWidth="1"/>
    <col min="9979" max="9979" width="0" style="1355" hidden="1" customWidth="1"/>
    <col min="9980" max="9980" width="13.28515625" style="1355" customWidth="1"/>
    <col min="9981" max="9981" width="0" style="1355" hidden="1" customWidth="1"/>
    <col min="9982" max="9982" width="20.140625" style="1355" customWidth="1"/>
    <col min="9983" max="9983" width="14.42578125" style="1355" bestFit="1" customWidth="1"/>
    <col min="9984" max="9984" width="14" style="1355" bestFit="1" customWidth="1"/>
    <col min="9985" max="9985" width="12.28515625" style="1355" bestFit="1" customWidth="1"/>
    <col min="9986" max="10010" width="9.140625" style="1355" customWidth="1"/>
    <col min="10011" max="10205" width="8.85546875" style="1355"/>
    <col min="10206" max="10206" width="44.5703125" style="1355" customWidth="1"/>
    <col min="10207" max="10207" width="14.28515625" style="1355" bestFit="1" customWidth="1"/>
    <col min="10208" max="10208" width="1.7109375" style="1355" customWidth="1"/>
    <col min="10209" max="10209" width="14.85546875" style="1355" customWidth="1"/>
    <col min="10210" max="10210" width="0" style="1355" hidden="1" customWidth="1"/>
    <col min="10211" max="10211" width="17.42578125" style="1355" customWidth="1"/>
    <col min="10212" max="10212" width="0" style="1355" hidden="1" customWidth="1"/>
    <col min="10213" max="10213" width="12.85546875" style="1355" customWidth="1"/>
    <col min="10214" max="10214" width="0" style="1355" hidden="1" customWidth="1"/>
    <col min="10215" max="10215" width="14.42578125" style="1355" customWidth="1"/>
    <col min="10216" max="10216" width="0" style="1355" hidden="1" customWidth="1"/>
    <col min="10217" max="10217" width="17.42578125" style="1355" customWidth="1"/>
    <col min="10218" max="10218" width="0" style="1355" hidden="1" customWidth="1"/>
    <col min="10219" max="10219" width="14" style="1355" customWidth="1"/>
    <col min="10220" max="10220" width="14.28515625" style="1355" bestFit="1" customWidth="1"/>
    <col min="10221" max="10221" width="0" style="1355" hidden="1" customWidth="1"/>
    <col min="10222" max="10222" width="15.5703125" style="1355" customWidth="1"/>
    <col min="10223" max="10223" width="44.5703125" style="1355" customWidth="1"/>
    <col min="10224" max="10224" width="14.28515625" style="1355" bestFit="1" customWidth="1"/>
    <col min="10225" max="10225" width="0" style="1355" hidden="1" customWidth="1"/>
    <col min="10226" max="10226" width="18.140625" style="1355" customWidth="1"/>
    <col min="10227" max="10227" width="0" style="1355" hidden="1" customWidth="1"/>
    <col min="10228" max="10228" width="14" style="1355" customWidth="1"/>
    <col min="10229" max="10229" width="0" style="1355" hidden="1" customWidth="1"/>
    <col min="10230" max="10230" width="20.85546875" style="1355" customWidth="1"/>
    <col min="10231" max="10231" width="0" style="1355" hidden="1" customWidth="1"/>
    <col min="10232" max="10232" width="13.28515625" style="1355" customWidth="1"/>
    <col min="10233" max="10233" width="0" style="1355" hidden="1" customWidth="1"/>
    <col min="10234" max="10234" width="15" style="1355" customWidth="1"/>
    <col min="10235" max="10235" width="0" style="1355" hidden="1" customWidth="1"/>
    <col min="10236" max="10236" width="13.28515625" style="1355" customWidth="1"/>
    <col min="10237" max="10237" width="0" style="1355" hidden="1" customWidth="1"/>
    <col min="10238" max="10238" width="20.140625" style="1355" customWidth="1"/>
    <col min="10239" max="10239" width="14.42578125" style="1355" bestFit="1" customWidth="1"/>
    <col min="10240" max="10240" width="14" style="1355" bestFit="1" customWidth="1"/>
    <col min="10241" max="10241" width="12.28515625" style="1355" bestFit="1" customWidth="1"/>
    <col min="10242" max="10266" width="9.140625" style="1355" customWidth="1"/>
    <col min="10267" max="10461" width="8.85546875" style="1355"/>
    <col min="10462" max="10462" width="44.5703125" style="1355" customWidth="1"/>
    <col min="10463" max="10463" width="14.28515625" style="1355" bestFit="1" customWidth="1"/>
    <col min="10464" max="10464" width="1.7109375" style="1355" customWidth="1"/>
    <col min="10465" max="10465" width="14.85546875" style="1355" customWidth="1"/>
    <col min="10466" max="10466" width="0" style="1355" hidden="1" customWidth="1"/>
    <col min="10467" max="10467" width="17.42578125" style="1355" customWidth="1"/>
    <col min="10468" max="10468" width="0" style="1355" hidden="1" customWidth="1"/>
    <col min="10469" max="10469" width="12.85546875" style="1355" customWidth="1"/>
    <col min="10470" max="10470" width="0" style="1355" hidden="1" customWidth="1"/>
    <col min="10471" max="10471" width="14.42578125" style="1355" customWidth="1"/>
    <col min="10472" max="10472" width="0" style="1355" hidden="1" customWidth="1"/>
    <col min="10473" max="10473" width="17.42578125" style="1355" customWidth="1"/>
    <col min="10474" max="10474" width="0" style="1355" hidden="1" customWidth="1"/>
    <col min="10475" max="10475" width="14" style="1355" customWidth="1"/>
    <col min="10476" max="10476" width="14.28515625" style="1355" bestFit="1" customWidth="1"/>
    <col min="10477" max="10477" width="0" style="1355" hidden="1" customWidth="1"/>
    <col min="10478" max="10478" width="15.5703125" style="1355" customWidth="1"/>
    <col min="10479" max="10479" width="44.5703125" style="1355" customWidth="1"/>
    <col min="10480" max="10480" width="14.28515625" style="1355" bestFit="1" customWidth="1"/>
    <col min="10481" max="10481" width="0" style="1355" hidden="1" customWidth="1"/>
    <col min="10482" max="10482" width="18.140625" style="1355" customWidth="1"/>
    <col min="10483" max="10483" width="0" style="1355" hidden="1" customWidth="1"/>
    <col min="10484" max="10484" width="14" style="1355" customWidth="1"/>
    <col min="10485" max="10485" width="0" style="1355" hidden="1" customWidth="1"/>
    <col min="10486" max="10486" width="20.85546875" style="1355" customWidth="1"/>
    <col min="10487" max="10487" width="0" style="1355" hidden="1" customWidth="1"/>
    <col min="10488" max="10488" width="13.28515625" style="1355" customWidth="1"/>
    <col min="10489" max="10489" width="0" style="1355" hidden="1" customWidth="1"/>
    <col min="10490" max="10490" width="15" style="1355" customWidth="1"/>
    <col min="10491" max="10491" width="0" style="1355" hidden="1" customWidth="1"/>
    <col min="10492" max="10492" width="13.28515625" style="1355" customWidth="1"/>
    <col min="10493" max="10493" width="0" style="1355" hidden="1" customWidth="1"/>
    <col min="10494" max="10494" width="20.140625" style="1355" customWidth="1"/>
    <col min="10495" max="10495" width="14.42578125" style="1355" bestFit="1" customWidth="1"/>
    <col min="10496" max="10496" width="14" style="1355" bestFit="1" customWidth="1"/>
    <col min="10497" max="10497" width="12.28515625" style="1355" bestFit="1" customWidth="1"/>
    <col min="10498" max="10522" width="9.140625" style="1355" customWidth="1"/>
    <col min="10523" max="10717" width="8.85546875" style="1355"/>
    <col min="10718" max="10718" width="44.5703125" style="1355" customWidth="1"/>
    <col min="10719" max="10719" width="14.28515625" style="1355" bestFit="1" customWidth="1"/>
    <col min="10720" max="10720" width="1.7109375" style="1355" customWidth="1"/>
    <col min="10721" max="10721" width="14.85546875" style="1355" customWidth="1"/>
    <col min="10722" max="10722" width="0" style="1355" hidden="1" customWidth="1"/>
    <col min="10723" max="10723" width="17.42578125" style="1355" customWidth="1"/>
    <col min="10724" max="10724" width="0" style="1355" hidden="1" customWidth="1"/>
    <col min="10725" max="10725" width="12.85546875" style="1355" customWidth="1"/>
    <col min="10726" max="10726" width="0" style="1355" hidden="1" customWidth="1"/>
    <col min="10727" max="10727" width="14.42578125" style="1355" customWidth="1"/>
    <col min="10728" max="10728" width="0" style="1355" hidden="1" customWidth="1"/>
    <col min="10729" max="10729" width="17.42578125" style="1355" customWidth="1"/>
    <col min="10730" max="10730" width="0" style="1355" hidden="1" customWidth="1"/>
    <col min="10731" max="10731" width="14" style="1355" customWidth="1"/>
    <col min="10732" max="10732" width="14.28515625" style="1355" bestFit="1" customWidth="1"/>
    <col min="10733" max="10733" width="0" style="1355" hidden="1" customWidth="1"/>
    <col min="10734" max="10734" width="15.5703125" style="1355" customWidth="1"/>
    <col min="10735" max="10735" width="44.5703125" style="1355" customWidth="1"/>
    <col min="10736" max="10736" width="14.28515625" style="1355" bestFit="1" customWidth="1"/>
    <col min="10737" max="10737" width="0" style="1355" hidden="1" customWidth="1"/>
    <col min="10738" max="10738" width="18.140625" style="1355" customWidth="1"/>
    <col min="10739" max="10739" width="0" style="1355" hidden="1" customWidth="1"/>
    <col min="10740" max="10740" width="14" style="1355" customWidth="1"/>
    <col min="10741" max="10741" width="0" style="1355" hidden="1" customWidth="1"/>
    <col min="10742" max="10742" width="20.85546875" style="1355" customWidth="1"/>
    <col min="10743" max="10743" width="0" style="1355" hidden="1" customWidth="1"/>
    <col min="10744" max="10744" width="13.28515625" style="1355" customWidth="1"/>
    <col min="10745" max="10745" width="0" style="1355" hidden="1" customWidth="1"/>
    <col min="10746" max="10746" width="15" style="1355" customWidth="1"/>
    <col min="10747" max="10747" width="0" style="1355" hidden="1" customWidth="1"/>
    <col min="10748" max="10748" width="13.28515625" style="1355" customWidth="1"/>
    <col min="10749" max="10749" width="0" style="1355" hidden="1" customWidth="1"/>
    <col min="10750" max="10750" width="20.140625" style="1355" customWidth="1"/>
    <col min="10751" max="10751" width="14.42578125" style="1355" bestFit="1" customWidth="1"/>
    <col min="10752" max="10752" width="14" style="1355" bestFit="1" customWidth="1"/>
    <col min="10753" max="10753" width="12.28515625" style="1355" bestFit="1" customWidth="1"/>
    <col min="10754" max="10778" width="9.140625" style="1355" customWidth="1"/>
    <col min="10779" max="10973" width="8.85546875" style="1355"/>
    <col min="10974" max="10974" width="44.5703125" style="1355" customWidth="1"/>
    <col min="10975" max="10975" width="14.28515625" style="1355" bestFit="1" customWidth="1"/>
    <col min="10976" max="10976" width="1.7109375" style="1355" customWidth="1"/>
    <col min="10977" max="10977" width="14.85546875" style="1355" customWidth="1"/>
    <col min="10978" max="10978" width="0" style="1355" hidden="1" customWidth="1"/>
    <col min="10979" max="10979" width="17.42578125" style="1355" customWidth="1"/>
    <col min="10980" max="10980" width="0" style="1355" hidden="1" customWidth="1"/>
    <col min="10981" max="10981" width="12.85546875" style="1355" customWidth="1"/>
    <col min="10982" max="10982" width="0" style="1355" hidden="1" customWidth="1"/>
    <col min="10983" max="10983" width="14.42578125" style="1355" customWidth="1"/>
    <col min="10984" max="10984" width="0" style="1355" hidden="1" customWidth="1"/>
    <col min="10985" max="10985" width="17.42578125" style="1355" customWidth="1"/>
    <col min="10986" max="10986" width="0" style="1355" hidden="1" customWidth="1"/>
    <col min="10987" max="10987" width="14" style="1355" customWidth="1"/>
    <col min="10988" max="10988" width="14.28515625" style="1355" bestFit="1" customWidth="1"/>
    <col min="10989" max="10989" width="0" style="1355" hidden="1" customWidth="1"/>
    <col min="10990" max="10990" width="15.5703125" style="1355" customWidth="1"/>
    <col min="10991" max="10991" width="44.5703125" style="1355" customWidth="1"/>
    <col min="10992" max="10992" width="14.28515625" style="1355" bestFit="1" customWidth="1"/>
    <col min="10993" max="10993" width="0" style="1355" hidden="1" customWidth="1"/>
    <col min="10994" max="10994" width="18.140625" style="1355" customWidth="1"/>
    <col min="10995" max="10995" width="0" style="1355" hidden="1" customWidth="1"/>
    <col min="10996" max="10996" width="14" style="1355" customWidth="1"/>
    <col min="10997" max="10997" width="0" style="1355" hidden="1" customWidth="1"/>
    <col min="10998" max="10998" width="20.85546875" style="1355" customWidth="1"/>
    <col min="10999" max="10999" width="0" style="1355" hidden="1" customWidth="1"/>
    <col min="11000" max="11000" width="13.28515625" style="1355" customWidth="1"/>
    <col min="11001" max="11001" width="0" style="1355" hidden="1" customWidth="1"/>
    <col min="11002" max="11002" width="15" style="1355" customWidth="1"/>
    <col min="11003" max="11003" width="0" style="1355" hidden="1" customWidth="1"/>
    <col min="11004" max="11004" width="13.28515625" style="1355" customWidth="1"/>
    <col min="11005" max="11005" width="0" style="1355" hidden="1" customWidth="1"/>
    <col min="11006" max="11006" width="20.140625" style="1355" customWidth="1"/>
    <col min="11007" max="11007" width="14.42578125" style="1355" bestFit="1" customWidth="1"/>
    <col min="11008" max="11008" width="14" style="1355" bestFit="1" customWidth="1"/>
    <col min="11009" max="11009" width="12.28515625" style="1355" bestFit="1" customWidth="1"/>
    <col min="11010" max="11034" width="9.140625" style="1355" customWidth="1"/>
    <col min="11035" max="11229" width="8.85546875" style="1355"/>
    <col min="11230" max="11230" width="44.5703125" style="1355" customWidth="1"/>
    <col min="11231" max="11231" width="14.28515625" style="1355" bestFit="1" customWidth="1"/>
    <col min="11232" max="11232" width="1.7109375" style="1355" customWidth="1"/>
    <col min="11233" max="11233" width="14.85546875" style="1355" customWidth="1"/>
    <col min="11234" max="11234" width="0" style="1355" hidden="1" customWidth="1"/>
    <col min="11235" max="11235" width="17.42578125" style="1355" customWidth="1"/>
    <col min="11236" max="11236" width="0" style="1355" hidden="1" customWidth="1"/>
    <col min="11237" max="11237" width="12.85546875" style="1355" customWidth="1"/>
    <col min="11238" max="11238" width="0" style="1355" hidden="1" customWidth="1"/>
    <col min="11239" max="11239" width="14.42578125" style="1355" customWidth="1"/>
    <col min="11240" max="11240" width="0" style="1355" hidden="1" customWidth="1"/>
    <col min="11241" max="11241" width="17.42578125" style="1355" customWidth="1"/>
    <col min="11242" max="11242" width="0" style="1355" hidden="1" customWidth="1"/>
    <col min="11243" max="11243" width="14" style="1355" customWidth="1"/>
    <col min="11244" max="11244" width="14.28515625" style="1355" bestFit="1" customWidth="1"/>
    <col min="11245" max="11245" width="0" style="1355" hidden="1" customWidth="1"/>
    <col min="11246" max="11246" width="15.5703125" style="1355" customWidth="1"/>
    <col min="11247" max="11247" width="44.5703125" style="1355" customWidth="1"/>
    <col min="11248" max="11248" width="14.28515625" style="1355" bestFit="1" customWidth="1"/>
    <col min="11249" max="11249" width="0" style="1355" hidden="1" customWidth="1"/>
    <col min="11250" max="11250" width="18.140625" style="1355" customWidth="1"/>
    <col min="11251" max="11251" width="0" style="1355" hidden="1" customWidth="1"/>
    <col min="11252" max="11252" width="14" style="1355" customWidth="1"/>
    <col min="11253" max="11253" width="0" style="1355" hidden="1" customWidth="1"/>
    <col min="11254" max="11254" width="20.85546875" style="1355" customWidth="1"/>
    <col min="11255" max="11255" width="0" style="1355" hidden="1" customWidth="1"/>
    <col min="11256" max="11256" width="13.28515625" style="1355" customWidth="1"/>
    <col min="11257" max="11257" width="0" style="1355" hidden="1" customWidth="1"/>
    <col min="11258" max="11258" width="15" style="1355" customWidth="1"/>
    <col min="11259" max="11259" width="0" style="1355" hidden="1" customWidth="1"/>
    <col min="11260" max="11260" width="13.28515625" style="1355" customWidth="1"/>
    <col min="11261" max="11261" width="0" style="1355" hidden="1" customWidth="1"/>
    <col min="11262" max="11262" width="20.140625" style="1355" customWidth="1"/>
    <col min="11263" max="11263" width="14.42578125" style="1355" bestFit="1" customWidth="1"/>
    <col min="11264" max="11264" width="14" style="1355" bestFit="1" customWidth="1"/>
    <col min="11265" max="11265" width="12.28515625" style="1355" bestFit="1" customWidth="1"/>
    <col min="11266" max="11290" width="9.140625" style="1355" customWidth="1"/>
    <col min="11291" max="11485" width="8.85546875" style="1355"/>
    <col min="11486" max="11486" width="44.5703125" style="1355" customWidth="1"/>
    <col min="11487" max="11487" width="14.28515625" style="1355" bestFit="1" customWidth="1"/>
    <col min="11488" max="11488" width="1.7109375" style="1355" customWidth="1"/>
    <col min="11489" max="11489" width="14.85546875" style="1355" customWidth="1"/>
    <col min="11490" max="11490" width="0" style="1355" hidden="1" customWidth="1"/>
    <col min="11491" max="11491" width="17.42578125" style="1355" customWidth="1"/>
    <col min="11492" max="11492" width="0" style="1355" hidden="1" customWidth="1"/>
    <col min="11493" max="11493" width="12.85546875" style="1355" customWidth="1"/>
    <col min="11494" max="11494" width="0" style="1355" hidden="1" customWidth="1"/>
    <col min="11495" max="11495" width="14.42578125" style="1355" customWidth="1"/>
    <col min="11496" max="11496" width="0" style="1355" hidden="1" customWidth="1"/>
    <col min="11497" max="11497" width="17.42578125" style="1355" customWidth="1"/>
    <col min="11498" max="11498" width="0" style="1355" hidden="1" customWidth="1"/>
    <col min="11499" max="11499" width="14" style="1355" customWidth="1"/>
    <col min="11500" max="11500" width="14.28515625" style="1355" bestFit="1" customWidth="1"/>
    <col min="11501" max="11501" width="0" style="1355" hidden="1" customWidth="1"/>
    <col min="11502" max="11502" width="15.5703125" style="1355" customWidth="1"/>
    <col min="11503" max="11503" width="44.5703125" style="1355" customWidth="1"/>
    <col min="11504" max="11504" width="14.28515625" style="1355" bestFit="1" customWidth="1"/>
    <col min="11505" max="11505" width="0" style="1355" hidden="1" customWidth="1"/>
    <col min="11506" max="11506" width="18.140625" style="1355" customWidth="1"/>
    <col min="11507" max="11507" width="0" style="1355" hidden="1" customWidth="1"/>
    <col min="11508" max="11508" width="14" style="1355" customWidth="1"/>
    <col min="11509" max="11509" width="0" style="1355" hidden="1" customWidth="1"/>
    <col min="11510" max="11510" width="20.85546875" style="1355" customWidth="1"/>
    <col min="11511" max="11511" width="0" style="1355" hidden="1" customWidth="1"/>
    <col min="11512" max="11512" width="13.28515625" style="1355" customWidth="1"/>
    <col min="11513" max="11513" width="0" style="1355" hidden="1" customWidth="1"/>
    <col min="11514" max="11514" width="15" style="1355" customWidth="1"/>
    <col min="11515" max="11515" width="0" style="1355" hidden="1" customWidth="1"/>
    <col min="11516" max="11516" width="13.28515625" style="1355" customWidth="1"/>
    <col min="11517" max="11517" width="0" style="1355" hidden="1" customWidth="1"/>
    <col min="11518" max="11518" width="20.140625" style="1355" customWidth="1"/>
    <col min="11519" max="11519" width="14.42578125" style="1355" bestFit="1" customWidth="1"/>
    <col min="11520" max="11520" width="14" style="1355" bestFit="1" customWidth="1"/>
    <col min="11521" max="11521" width="12.28515625" style="1355" bestFit="1" customWidth="1"/>
    <col min="11522" max="11546" width="9.140625" style="1355" customWidth="1"/>
    <col min="11547" max="11741" width="8.85546875" style="1355"/>
    <col min="11742" max="11742" width="44.5703125" style="1355" customWidth="1"/>
    <col min="11743" max="11743" width="14.28515625" style="1355" bestFit="1" customWidth="1"/>
    <col min="11744" max="11744" width="1.7109375" style="1355" customWidth="1"/>
    <col min="11745" max="11745" width="14.85546875" style="1355" customWidth="1"/>
    <col min="11746" max="11746" width="0" style="1355" hidden="1" customWidth="1"/>
    <col min="11747" max="11747" width="17.42578125" style="1355" customWidth="1"/>
    <col min="11748" max="11748" width="0" style="1355" hidden="1" customWidth="1"/>
    <col min="11749" max="11749" width="12.85546875" style="1355" customWidth="1"/>
    <col min="11750" max="11750" width="0" style="1355" hidden="1" customWidth="1"/>
    <col min="11751" max="11751" width="14.42578125" style="1355" customWidth="1"/>
    <col min="11752" max="11752" width="0" style="1355" hidden="1" customWidth="1"/>
    <col min="11753" max="11753" width="17.42578125" style="1355" customWidth="1"/>
    <col min="11754" max="11754" width="0" style="1355" hidden="1" customWidth="1"/>
    <col min="11755" max="11755" width="14" style="1355" customWidth="1"/>
    <col min="11756" max="11756" width="14.28515625" style="1355" bestFit="1" customWidth="1"/>
    <col min="11757" max="11757" width="0" style="1355" hidden="1" customWidth="1"/>
    <col min="11758" max="11758" width="15.5703125" style="1355" customWidth="1"/>
    <col min="11759" max="11759" width="44.5703125" style="1355" customWidth="1"/>
    <col min="11760" max="11760" width="14.28515625" style="1355" bestFit="1" customWidth="1"/>
    <col min="11761" max="11761" width="0" style="1355" hidden="1" customWidth="1"/>
    <col min="11762" max="11762" width="18.140625" style="1355" customWidth="1"/>
    <col min="11763" max="11763" width="0" style="1355" hidden="1" customWidth="1"/>
    <col min="11764" max="11764" width="14" style="1355" customWidth="1"/>
    <col min="11765" max="11765" width="0" style="1355" hidden="1" customWidth="1"/>
    <col min="11766" max="11766" width="20.85546875" style="1355" customWidth="1"/>
    <col min="11767" max="11767" width="0" style="1355" hidden="1" customWidth="1"/>
    <col min="11768" max="11768" width="13.28515625" style="1355" customWidth="1"/>
    <col min="11769" max="11769" width="0" style="1355" hidden="1" customWidth="1"/>
    <col min="11770" max="11770" width="15" style="1355" customWidth="1"/>
    <col min="11771" max="11771" width="0" style="1355" hidden="1" customWidth="1"/>
    <col min="11772" max="11772" width="13.28515625" style="1355" customWidth="1"/>
    <col min="11773" max="11773" width="0" style="1355" hidden="1" customWidth="1"/>
    <col min="11774" max="11774" width="20.140625" style="1355" customWidth="1"/>
    <col min="11775" max="11775" width="14.42578125" style="1355" bestFit="1" customWidth="1"/>
    <col min="11776" max="11776" width="14" style="1355" bestFit="1" customWidth="1"/>
    <col min="11777" max="11777" width="12.28515625" style="1355" bestFit="1" customWidth="1"/>
    <col min="11778" max="11802" width="9.140625" style="1355" customWidth="1"/>
    <col min="11803" max="11997" width="8.85546875" style="1355"/>
    <col min="11998" max="11998" width="44.5703125" style="1355" customWidth="1"/>
    <col min="11999" max="11999" width="14.28515625" style="1355" bestFit="1" customWidth="1"/>
    <col min="12000" max="12000" width="1.7109375" style="1355" customWidth="1"/>
    <col min="12001" max="12001" width="14.85546875" style="1355" customWidth="1"/>
    <col min="12002" max="12002" width="0" style="1355" hidden="1" customWidth="1"/>
    <col min="12003" max="12003" width="17.42578125" style="1355" customWidth="1"/>
    <col min="12004" max="12004" width="0" style="1355" hidden="1" customWidth="1"/>
    <col min="12005" max="12005" width="12.85546875" style="1355" customWidth="1"/>
    <col min="12006" max="12006" width="0" style="1355" hidden="1" customWidth="1"/>
    <col min="12007" max="12007" width="14.42578125" style="1355" customWidth="1"/>
    <col min="12008" max="12008" width="0" style="1355" hidden="1" customWidth="1"/>
    <col min="12009" max="12009" width="17.42578125" style="1355" customWidth="1"/>
    <col min="12010" max="12010" width="0" style="1355" hidden="1" customWidth="1"/>
    <col min="12011" max="12011" width="14" style="1355" customWidth="1"/>
    <col min="12012" max="12012" width="14.28515625" style="1355" bestFit="1" customWidth="1"/>
    <col min="12013" max="12013" width="0" style="1355" hidden="1" customWidth="1"/>
    <col min="12014" max="12014" width="15.5703125" style="1355" customWidth="1"/>
    <col min="12015" max="12015" width="44.5703125" style="1355" customWidth="1"/>
    <col min="12016" max="12016" width="14.28515625" style="1355" bestFit="1" customWidth="1"/>
    <col min="12017" max="12017" width="0" style="1355" hidden="1" customWidth="1"/>
    <col min="12018" max="12018" width="18.140625" style="1355" customWidth="1"/>
    <col min="12019" max="12019" width="0" style="1355" hidden="1" customWidth="1"/>
    <col min="12020" max="12020" width="14" style="1355" customWidth="1"/>
    <col min="12021" max="12021" width="0" style="1355" hidden="1" customWidth="1"/>
    <col min="12022" max="12022" width="20.85546875" style="1355" customWidth="1"/>
    <col min="12023" max="12023" width="0" style="1355" hidden="1" customWidth="1"/>
    <col min="12024" max="12024" width="13.28515625" style="1355" customWidth="1"/>
    <col min="12025" max="12025" width="0" style="1355" hidden="1" customWidth="1"/>
    <col min="12026" max="12026" width="15" style="1355" customWidth="1"/>
    <col min="12027" max="12027" width="0" style="1355" hidden="1" customWidth="1"/>
    <col min="12028" max="12028" width="13.28515625" style="1355" customWidth="1"/>
    <col min="12029" max="12029" width="0" style="1355" hidden="1" customWidth="1"/>
    <col min="12030" max="12030" width="20.140625" style="1355" customWidth="1"/>
    <col min="12031" max="12031" width="14.42578125" style="1355" bestFit="1" customWidth="1"/>
    <col min="12032" max="12032" width="14" style="1355" bestFit="1" customWidth="1"/>
    <col min="12033" max="12033" width="12.28515625" style="1355" bestFit="1" customWidth="1"/>
    <col min="12034" max="12058" width="9.140625" style="1355" customWidth="1"/>
    <col min="12059" max="12253" width="8.85546875" style="1355"/>
    <col min="12254" max="12254" width="44.5703125" style="1355" customWidth="1"/>
    <col min="12255" max="12255" width="14.28515625" style="1355" bestFit="1" customWidth="1"/>
    <col min="12256" max="12256" width="1.7109375" style="1355" customWidth="1"/>
    <col min="12257" max="12257" width="14.85546875" style="1355" customWidth="1"/>
    <col min="12258" max="12258" width="0" style="1355" hidden="1" customWidth="1"/>
    <col min="12259" max="12259" width="17.42578125" style="1355" customWidth="1"/>
    <col min="12260" max="12260" width="0" style="1355" hidden="1" customWidth="1"/>
    <col min="12261" max="12261" width="12.85546875" style="1355" customWidth="1"/>
    <col min="12262" max="12262" width="0" style="1355" hidden="1" customWidth="1"/>
    <col min="12263" max="12263" width="14.42578125" style="1355" customWidth="1"/>
    <col min="12264" max="12264" width="0" style="1355" hidden="1" customWidth="1"/>
    <col min="12265" max="12265" width="17.42578125" style="1355" customWidth="1"/>
    <col min="12266" max="12266" width="0" style="1355" hidden="1" customWidth="1"/>
    <col min="12267" max="12267" width="14" style="1355" customWidth="1"/>
    <col min="12268" max="12268" width="14.28515625" style="1355" bestFit="1" customWidth="1"/>
    <col min="12269" max="12269" width="0" style="1355" hidden="1" customWidth="1"/>
    <col min="12270" max="12270" width="15.5703125" style="1355" customWidth="1"/>
    <col min="12271" max="12271" width="44.5703125" style="1355" customWidth="1"/>
    <col min="12272" max="12272" width="14.28515625" style="1355" bestFit="1" customWidth="1"/>
    <col min="12273" max="12273" width="0" style="1355" hidden="1" customWidth="1"/>
    <col min="12274" max="12274" width="18.140625" style="1355" customWidth="1"/>
    <col min="12275" max="12275" width="0" style="1355" hidden="1" customWidth="1"/>
    <col min="12276" max="12276" width="14" style="1355" customWidth="1"/>
    <col min="12277" max="12277" width="0" style="1355" hidden="1" customWidth="1"/>
    <col min="12278" max="12278" width="20.85546875" style="1355" customWidth="1"/>
    <col min="12279" max="12279" width="0" style="1355" hidden="1" customWidth="1"/>
    <col min="12280" max="12280" width="13.28515625" style="1355" customWidth="1"/>
    <col min="12281" max="12281" width="0" style="1355" hidden="1" customWidth="1"/>
    <col min="12282" max="12282" width="15" style="1355" customWidth="1"/>
    <col min="12283" max="12283" width="0" style="1355" hidden="1" customWidth="1"/>
    <col min="12284" max="12284" width="13.28515625" style="1355" customWidth="1"/>
    <col min="12285" max="12285" width="0" style="1355" hidden="1" customWidth="1"/>
    <col min="12286" max="12286" width="20.140625" style="1355" customWidth="1"/>
    <col min="12287" max="12287" width="14.42578125" style="1355" bestFit="1" customWidth="1"/>
    <col min="12288" max="12288" width="14" style="1355" bestFit="1" customWidth="1"/>
    <col min="12289" max="12289" width="12.28515625" style="1355" bestFit="1" customWidth="1"/>
    <col min="12290" max="12314" width="9.140625" style="1355" customWidth="1"/>
    <col min="12315" max="12509" width="8.85546875" style="1355"/>
    <col min="12510" max="12510" width="44.5703125" style="1355" customWidth="1"/>
    <col min="12511" max="12511" width="14.28515625" style="1355" bestFit="1" customWidth="1"/>
    <col min="12512" max="12512" width="1.7109375" style="1355" customWidth="1"/>
    <col min="12513" max="12513" width="14.85546875" style="1355" customWidth="1"/>
    <col min="12514" max="12514" width="0" style="1355" hidden="1" customWidth="1"/>
    <col min="12515" max="12515" width="17.42578125" style="1355" customWidth="1"/>
    <col min="12516" max="12516" width="0" style="1355" hidden="1" customWidth="1"/>
    <col min="12517" max="12517" width="12.85546875" style="1355" customWidth="1"/>
    <col min="12518" max="12518" width="0" style="1355" hidden="1" customWidth="1"/>
    <col min="12519" max="12519" width="14.42578125" style="1355" customWidth="1"/>
    <col min="12520" max="12520" width="0" style="1355" hidden="1" customWidth="1"/>
    <col min="12521" max="12521" width="17.42578125" style="1355" customWidth="1"/>
    <col min="12522" max="12522" width="0" style="1355" hidden="1" customWidth="1"/>
    <col min="12523" max="12523" width="14" style="1355" customWidth="1"/>
    <col min="12524" max="12524" width="14.28515625" style="1355" bestFit="1" customWidth="1"/>
    <col min="12525" max="12525" width="0" style="1355" hidden="1" customWidth="1"/>
    <col min="12526" max="12526" width="15.5703125" style="1355" customWidth="1"/>
    <col min="12527" max="12527" width="44.5703125" style="1355" customWidth="1"/>
    <col min="12528" max="12528" width="14.28515625" style="1355" bestFit="1" customWidth="1"/>
    <col min="12529" max="12529" width="0" style="1355" hidden="1" customWidth="1"/>
    <col min="12530" max="12530" width="18.140625" style="1355" customWidth="1"/>
    <col min="12531" max="12531" width="0" style="1355" hidden="1" customWidth="1"/>
    <col min="12532" max="12532" width="14" style="1355" customWidth="1"/>
    <col min="12533" max="12533" width="0" style="1355" hidden="1" customWidth="1"/>
    <col min="12534" max="12534" width="20.85546875" style="1355" customWidth="1"/>
    <col min="12535" max="12535" width="0" style="1355" hidden="1" customWidth="1"/>
    <col min="12536" max="12536" width="13.28515625" style="1355" customWidth="1"/>
    <col min="12537" max="12537" width="0" style="1355" hidden="1" customWidth="1"/>
    <col min="12538" max="12538" width="15" style="1355" customWidth="1"/>
    <col min="12539" max="12539" width="0" style="1355" hidden="1" customWidth="1"/>
    <col min="12540" max="12540" width="13.28515625" style="1355" customWidth="1"/>
    <col min="12541" max="12541" width="0" style="1355" hidden="1" customWidth="1"/>
    <col min="12542" max="12542" width="20.140625" style="1355" customWidth="1"/>
    <col min="12543" max="12543" width="14.42578125" style="1355" bestFit="1" customWidth="1"/>
    <col min="12544" max="12544" width="14" style="1355" bestFit="1" customWidth="1"/>
    <col min="12545" max="12545" width="12.28515625" style="1355" bestFit="1" customWidth="1"/>
    <col min="12546" max="12570" width="9.140625" style="1355" customWidth="1"/>
    <col min="12571" max="12765" width="8.85546875" style="1355"/>
    <col min="12766" max="12766" width="44.5703125" style="1355" customWidth="1"/>
    <col min="12767" max="12767" width="14.28515625" style="1355" bestFit="1" customWidth="1"/>
    <col min="12768" max="12768" width="1.7109375" style="1355" customWidth="1"/>
    <col min="12769" max="12769" width="14.85546875" style="1355" customWidth="1"/>
    <col min="12770" max="12770" width="0" style="1355" hidden="1" customWidth="1"/>
    <col min="12771" max="12771" width="17.42578125" style="1355" customWidth="1"/>
    <col min="12772" max="12772" width="0" style="1355" hidden="1" customWidth="1"/>
    <col min="12773" max="12773" width="12.85546875" style="1355" customWidth="1"/>
    <col min="12774" max="12774" width="0" style="1355" hidden="1" customWidth="1"/>
    <col min="12775" max="12775" width="14.42578125" style="1355" customWidth="1"/>
    <col min="12776" max="12776" width="0" style="1355" hidden="1" customWidth="1"/>
    <col min="12777" max="12777" width="17.42578125" style="1355" customWidth="1"/>
    <col min="12778" max="12778" width="0" style="1355" hidden="1" customWidth="1"/>
    <col min="12779" max="12779" width="14" style="1355" customWidth="1"/>
    <col min="12780" max="12780" width="14.28515625" style="1355" bestFit="1" customWidth="1"/>
    <col min="12781" max="12781" width="0" style="1355" hidden="1" customWidth="1"/>
    <col min="12782" max="12782" width="15.5703125" style="1355" customWidth="1"/>
    <col min="12783" max="12783" width="44.5703125" style="1355" customWidth="1"/>
    <col min="12784" max="12784" width="14.28515625" style="1355" bestFit="1" customWidth="1"/>
    <col min="12785" max="12785" width="0" style="1355" hidden="1" customWidth="1"/>
    <col min="12786" max="12786" width="18.140625" style="1355" customWidth="1"/>
    <col min="12787" max="12787" width="0" style="1355" hidden="1" customWidth="1"/>
    <col min="12788" max="12788" width="14" style="1355" customWidth="1"/>
    <col min="12789" max="12789" width="0" style="1355" hidden="1" customWidth="1"/>
    <col min="12790" max="12790" width="20.85546875" style="1355" customWidth="1"/>
    <col min="12791" max="12791" width="0" style="1355" hidden="1" customWidth="1"/>
    <col min="12792" max="12792" width="13.28515625" style="1355" customWidth="1"/>
    <col min="12793" max="12793" width="0" style="1355" hidden="1" customWidth="1"/>
    <col min="12794" max="12794" width="15" style="1355" customWidth="1"/>
    <col min="12795" max="12795" width="0" style="1355" hidden="1" customWidth="1"/>
    <col min="12796" max="12796" width="13.28515625" style="1355" customWidth="1"/>
    <col min="12797" max="12797" width="0" style="1355" hidden="1" customWidth="1"/>
    <col min="12798" max="12798" width="20.140625" style="1355" customWidth="1"/>
    <col min="12799" max="12799" width="14.42578125" style="1355" bestFit="1" customWidth="1"/>
    <col min="12800" max="12800" width="14" style="1355" bestFit="1" customWidth="1"/>
    <col min="12801" max="12801" width="12.28515625" style="1355" bestFit="1" customWidth="1"/>
    <col min="12802" max="12826" width="9.140625" style="1355" customWidth="1"/>
    <col min="12827" max="13021" width="8.85546875" style="1355"/>
    <col min="13022" max="13022" width="44.5703125" style="1355" customWidth="1"/>
    <col min="13023" max="13023" width="14.28515625" style="1355" bestFit="1" customWidth="1"/>
    <col min="13024" max="13024" width="1.7109375" style="1355" customWidth="1"/>
    <col min="13025" max="13025" width="14.85546875" style="1355" customWidth="1"/>
    <col min="13026" max="13026" width="0" style="1355" hidden="1" customWidth="1"/>
    <col min="13027" max="13027" width="17.42578125" style="1355" customWidth="1"/>
    <col min="13028" max="13028" width="0" style="1355" hidden="1" customWidth="1"/>
    <col min="13029" max="13029" width="12.85546875" style="1355" customWidth="1"/>
    <col min="13030" max="13030" width="0" style="1355" hidden="1" customWidth="1"/>
    <col min="13031" max="13031" width="14.42578125" style="1355" customWidth="1"/>
    <col min="13032" max="13032" width="0" style="1355" hidden="1" customWidth="1"/>
    <col min="13033" max="13033" width="17.42578125" style="1355" customWidth="1"/>
    <col min="13034" max="13034" width="0" style="1355" hidden="1" customWidth="1"/>
    <col min="13035" max="13035" width="14" style="1355" customWidth="1"/>
    <col min="13036" max="13036" width="14.28515625" style="1355" bestFit="1" customWidth="1"/>
    <col min="13037" max="13037" width="0" style="1355" hidden="1" customWidth="1"/>
    <col min="13038" max="13038" width="15.5703125" style="1355" customWidth="1"/>
    <col min="13039" max="13039" width="44.5703125" style="1355" customWidth="1"/>
    <col min="13040" max="13040" width="14.28515625" style="1355" bestFit="1" customWidth="1"/>
    <col min="13041" max="13041" width="0" style="1355" hidden="1" customWidth="1"/>
    <col min="13042" max="13042" width="18.140625" style="1355" customWidth="1"/>
    <col min="13043" max="13043" width="0" style="1355" hidden="1" customWidth="1"/>
    <col min="13044" max="13044" width="14" style="1355" customWidth="1"/>
    <col min="13045" max="13045" width="0" style="1355" hidden="1" customWidth="1"/>
    <col min="13046" max="13046" width="20.85546875" style="1355" customWidth="1"/>
    <col min="13047" max="13047" width="0" style="1355" hidden="1" customWidth="1"/>
    <col min="13048" max="13048" width="13.28515625" style="1355" customWidth="1"/>
    <col min="13049" max="13049" width="0" style="1355" hidden="1" customWidth="1"/>
    <col min="13050" max="13050" width="15" style="1355" customWidth="1"/>
    <col min="13051" max="13051" width="0" style="1355" hidden="1" customWidth="1"/>
    <col min="13052" max="13052" width="13.28515625" style="1355" customWidth="1"/>
    <col min="13053" max="13053" width="0" style="1355" hidden="1" customWidth="1"/>
    <col min="13054" max="13054" width="20.140625" style="1355" customWidth="1"/>
    <col min="13055" max="13055" width="14.42578125" style="1355" bestFit="1" customWidth="1"/>
    <col min="13056" max="13056" width="14" style="1355" bestFit="1" customWidth="1"/>
    <col min="13057" max="13057" width="12.28515625" style="1355" bestFit="1" customWidth="1"/>
    <col min="13058" max="13082" width="9.140625" style="1355" customWidth="1"/>
    <col min="13083" max="13277" width="8.85546875" style="1355"/>
    <col min="13278" max="13278" width="44.5703125" style="1355" customWidth="1"/>
    <col min="13279" max="13279" width="14.28515625" style="1355" bestFit="1" customWidth="1"/>
    <col min="13280" max="13280" width="1.7109375" style="1355" customWidth="1"/>
    <col min="13281" max="13281" width="14.85546875" style="1355" customWidth="1"/>
    <col min="13282" max="13282" width="0" style="1355" hidden="1" customWidth="1"/>
    <col min="13283" max="13283" width="17.42578125" style="1355" customWidth="1"/>
    <col min="13284" max="13284" width="0" style="1355" hidden="1" customWidth="1"/>
    <col min="13285" max="13285" width="12.85546875" style="1355" customWidth="1"/>
    <col min="13286" max="13286" width="0" style="1355" hidden="1" customWidth="1"/>
    <col min="13287" max="13287" width="14.42578125" style="1355" customWidth="1"/>
    <col min="13288" max="13288" width="0" style="1355" hidden="1" customWidth="1"/>
    <col min="13289" max="13289" width="17.42578125" style="1355" customWidth="1"/>
    <col min="13290" max="13290" width="0" style="1355" hidden="1" customWidth="1"/>
    <col min="13291" max="13291" width="14" style="1355" customWidth="1"/>
    <col min="13292" max="13292" width="14.28515625" style="1355" bestFit="1" customWidth="1"/>
    <col min="13293" max="13293" width="0" style="1355" hidden="1" customWidth="1"/>
    <col min="13294" max="13294" width="15.5703125" style="1355" customWidth="1"/>
    <col min="13295" max="13295" width="44.5703125" style="1355" customWidth="1"/>
    <col min="13296" max="13296" width="14.28515625" style="1355" bestFit="1" customWidth="1"/>
    <col min="13297" max="13297" width="0" style="1355" hidden="1" customWidth="1"/>
    <col min="13298" max="13298" width="18.140625" style="1355" customWidth="1"/>
    <col min="13299" max="13299" width="0" style="1355" hidden="1" customWidth="1"/>
    <col min="13300" max="13300" width="14" style="1355" customWidth="1"/>
    <col min="13301" max="13301" width="0" style="1355" hidden="1" customWidth="1"/>
    <col min="13302" max="13302" width="20.85546875" style="1355" customWidth="1"/>
    <col min="13303" max="13303" width="0" style="1355" hidden="1" customWidth="1"/>
    <col min="13304" max="13304" width="13.28515625" style="1355" customWidth="1"/>
    <col min="13305" max="13305" width="0" style="1355" hidden="1" customWidth="1"/>
    <col min="13306" max="13306" width="15" style="1355" customWidth="1"/>
    <col min="13307" max="13307" width="0" style="1355" hidden="1" customWidth="1"/>
    <col min="13308" max="13308" width="13.28515625" style="1355" customWidth="1"/>
    <col min="13309" max="13309" width="0" style="1355" hidden="1" customWidth="1"/>
    <col min="13310" max="13310" width="20.140625" style="1355" customWidth="1"/>
    <col min="13311" max="13311" width="14.42578125" style="1355" bestFit="1" customWidth="1"/>
    <col min="13312" max="13312" width="14" style="1355" bestFit="1" customWidth="1"/>
    <col min="13313" max="13313" width="12.28515625" style="1355" bestFit="1" customWidth="1"/>
    <col min="13314" max="13338" width="9.140625" style="1355" customWidth="1"/>
    <col min="13339" max="13533" width="8.85546875" style="1355"/>
    <col min="13534" max="13534" width="44.5703125" style="1355" customWidth="1"/>
    <col min="13535" max="13535" width="14.28515625" style="1355" bestFit="1" customWidth="1"/>
    <col min="13536" max="13536" width="1.7109375" style="1355" customWidth="1"/>
    <col min="13537" max="13537" width="14.85546875" style="1355" customWidth="1"/>
    <col min="13538" max="13538" width="0" style="1355" hidden="1" customWidth="1"/>
    <col min="13539" max="13539" width="17.42578125" style="1355" customWidth="1"/>
    <col min="13540" max="13540" width="0" style="1355" hidden="1" customWidth="1"/>
    <col min="13541" max="13541" width="12.85546875" style="1355" customWidth="1"/>
    <col min="13542" max="13542" width="0" style="1355" hidden="1" customWidth="1"/>
    <col min="13543" max="13543" width="14.42578125" style="1355" customWidth="1"/>
    <col min="13544" max="13544" width="0" style="1355" hidden="1" customWidth="1"/>
    <col min="13545" max="13545" width="17.42578125" style="1355" customWidth="1"/>
    <col min="13546" max="13546" width="0" style="1355" hidden="1" customWidth="1"/>
    <col min="13547" max="13547" width="14" style="1355" customWidth="1"/>
    <col min="13548" max="13548" width="14.28515625" style="1355" bestFit="1" customWidth="1"/>
    <col min="13549" max="13549" width="0" style="1355" hidden="1" customWidth="1"/>
    <col min="13550" max="13550" width="15.5703125" style="1355" customWidth="1"/>
    <col min="13551" max="13551" width="44.5703125" style="1355" customWidth="1"/>
    <col min="13552" max="13552" width="14.28515625" style="1355" bestFit="1" customWidth="1"/>
    <col min="13553" max="13553" width="0" style="1355" hidden="1" customWidth="1"/>
    <col min="13554" max="13554" width="18.140625" style="1355" customWidth="1"/>
    <col min="13555" max="13555" width="0" style="1355" hidden="1" customWidth="1"/>
    <col min="13556" max="13556" width="14" style="1355" customWidth="1"/>
    <col min="13557" max="13557" width="0" style="1355" hidden="1" customWidth="1"/>
    <col min="13558" max="13558" width="20.85546875" style="1355" customWidth="1"/>
    <col min="13559" max="13559" width="0" style="1355" hidden="1" customWidth="1"/>
    <col min="13560" max="13560" width="13.28515625" style="1355" customWidth="1"/>
    <col min="13561" max="13561" width="0" style="1355" hidden="1" customWidth="1"/>
    <col min="13562" max="13562" width="15" style="1355" customWidth="1"/>
    <col min="13563" max="13563" width="0" style="1355" hidden="1" customWidth="1"/>
    <col min="13564" max="13564" width="13.28515625" style="1355" customWidth="1"/>
    <col min="13565" max="13565" width="0" style="1355" hidden="1" customWidth="1"/>
    <col min="13566" max="13566" width="20.140625" style="1355" customWidth="1"/>
    <col min="13567" max="13567" width="14.42578125" style="1355" bestFit="1" customWidth="1"/>
    <col min="13568" max="13568" width="14" style="1355" bestFit="1" customWidth="1"/>
    <col min="13569" max="13569" width="12.28515625" style="1355" bestFit="1" customWidth="1"/>
    <col min="13570" max="13594" width="9.140625" style="1355" customWidth="1"/>
    <col min="13595" max="13789" width="8.85546875" style="1355"/>
    <col min="13790" max="13790" width="44.5703125" style="1355" customWidth="1"/>
    <col min="13791" max="13791" width="14.28515625" style="1355" bestFit="1" customWidth="1"/>
    <col min="13792" max="13792" width="1.7109375" style="1355" customWidth="1"/>
    <col min="13793" max="13793" width="14.85546875" style="1355" customWidth="1"/>
    <col min="13794" max="13794" width="0" style="1355" hidden="1" customWidth="1"/>
    <col min="13795" max="13795" width="17.42578125" style="1355" customWidth="1"/>
    <col min="13796" max="13796" width="0" style="1355" hidden="1" customWidth="1"/>
    <col min="13797" max="13797" width="12.85546875" style="1355" customWidth="1"/>
    <col min="13798" max="13798" width="0" style="1355" hidden="1" customWidth="1"/>
    <col min="13799" max="13799" width="14.42578125" style="1355" customWidth="1"/>
    <col min="13800" max="13800" width="0" style="1355" hidden="1" customWidth="1"/>
    <col min="13801" max="13801" width="17.42578125" style="1355" customWidth="1"/>
    <col min="13802" max="13802" width="0" style="1355" hidden="1" customWidth="1"/>
    <col min="13803" max="13803" width="14" style="1355" customWidth="1"/>
    <col min="13804" max="13804" width="14.28515625" style="1355" bestFit="1" customWidth="1"/>
    <col min="13805" max="13805" width="0" style="1355" hidden="1" customWidth="1"/>
    <col min="13806" max="13806" width="15.5703125" style="1355" customWidth="1"/>
    <col min="13807" max="13807" width="44.5703125" style="1355" customWidth="1"/>
    <col min="13808" max="13808" width="14.28515625" style="1355" bestFit="1" customWidth="1"/>
    <col min="13809" max="13809" width="0" style="1355" hidden="1" customWidth="1"/>
    <col min="13810" max="13810" width="18.140625" style="1355" customWidth="1"/>
    <col min="13811" max="13811" width="0" style="1355" hidden="1" customWidth="1"/>
    <col min="13812" max="13812" width="14" style="1355" customWidth="1"/>
    <col min="13813" max="13813" width="0" style="1355" hidden="1" customWidth="1"/>
    <col min="13814" max="13814" width="20.85546875" style="1355" customWidth="1"/>
    <col min="13815" max="13815" width="0" style="1355" hidden="1" customWidth="1"/>
    <col min="13816" max="13816" width="13.28515625" style="1355" customWidth="1"/>
    <col min="13817" max="13817" width="0" style="1355" hidden="1" customWidth="1"/>
    <col min="13818" max="13818" width="15" style="1355" customWidth="1"/>
    <col min="13819" max="13819" width="0" style="1355" hidden="1" customWidth="1"/>
    <col min="13820" max="13820" width="13.28515625" style="1355" customWidth="1"/>
    <col min="13821" max="13821" width="0" style="1355" hidden="1" customWidth="1"/>
    <col min="13822" max="13822" width="20.140625" style="1355" customWidth="1"/>
    <col min="13823" max="13823" width="14.42578125" style="1355" bestFit="1" customWidth="1"/>
    <col min="13824" max="13824" width="14" style="1355" bestFit="1" customWidth="1"/>
    <col min="13825" max="13825" width="12.28515625" style="1355" bestFit="1" customWidth="1"/>
    <col min="13826" max="13850" width="9.140625" style="1355" customWidth="1"/>
    <col min="13851" max="14045" width="8.85546875" style="1355"/>
    <col min="14046" max="14046" width="44.5703125" style="1355" customWidth="1"/>
    <col min="14047" max="14047" width="14.28515625" style="1355" bestFit="1" customWidth="1"/>
    <col min="14048" max="14048" width="1.7109375" style="1355" customWidth="1"/>
    <col min="14049" max="14049" width="14.85546875" style="1355" customWidth="1"/>
    <col min="14050" max="14050" width="0" style="1355" hidden="1" customWidth="1"/>
    <col min="14051" max="14051" width="17.42578125" style="1355" customWidth="1"/>
    <col min="14052" max="14052" width="0" style="1355" hidden="1" customWidth="1"/>
    <col min="14053" max="14053" width="12.85546875" style="1355" customWidth="1"/>
    <col min="14054" max="14054" width="0" style="1355" hidden="1" customWidth="1"/>
    <col min="14055" max="14055" width="14.42578125" style="1355" customWidth="1"/>
    <col min="14056" max="14056" width="0" style="1355" hidden="1" customWidth="1"/>
    <col min="14057" max="14057" width="17.42578125" style="1355" customWidth="1"/>
    <col min="14058" max="14058" width="0" style="1355" hidden="1" customWidth="1"/>
    <col min="14059" max="14059" width="14" style="1355" customWidth="1"/>
    <col min="14060" max="14060" width="14.28515625" style="1355" bestFit="1" customWidth="1"/>
    <col min="14061" max="14061" width="0" style="1355" hidden="1" customWidth="1"/>
    <col min="14062" max="14062" width="15.5703125" style="1355" customWidth="1"/>
    <col min="14063" max="14063" width="44.5703125" style="1355" customWidth="1"/>
    <col min="14064" max="14064" width="14.28515625" style="1355" bestFit="1" customWidth="1"/>
    <col min="14065" max="14065" width="0" style="1355" hidden="1" customWidth="1"/>
    <col min="14066" max="14066" width="18.140625" style="1355" customWidth="1"/>
    <col min="14067" max="14067" width="0" style="1355" hidden="1" customWidth="1"/>
    <col min="14068" max="14068" width="14" style="1355" customWidth="1"/>
    <col min="14069" max="14069" width="0" style="1355" hidden="1" customWidth="1"/>
    <col min="14070" max="14070" width="20.85546875" style="1355" customWidth="1"/>
    <col min="14071" max="14071" width="0" style="1355" hidden="1" customWidth="1"/>
    <col min="14072" max="14072" width="13.28515625" style="1355" customWidth="1"/>
    <col min="14073" max="14073" width="0" style="1355" hidden="1" customWidth="1"/>
    <col min="14074" max="14074" width="15" style="1355" customWidth="1"/>
    <col min="14075" max="14075" width="0" style="1355" hidden="1" customWidth="1"/>
    <col min="14076" max="14076" width="13.28515625" style="1355" customWidth="1"/>
    <col min="14077" max="14077" width="0" style="1355" hidden="1" customWidth="1"/>
    <col min="14078" max="14078" width="20.140625" style="1355" customWidth="1"/>
    <col min="14079" max="14079" width="14.42578125" style="1355" bestFit="1" customWidth="1"/>
    <col min="14080" max="14080" width="14" style="1355" bestFit="1" customWidth="1"/>
    <col min="14081" max="14081" width="12.28515625" style="1355" bestFit="1" customWidth="1"/>
    <col min="14082" max="14106" width="9.140625" style="1355" customWidth="1"/>
    <col min="14107" max="14301" width="8.85546875" style="1355"/>
    <col min="14302" max="14302" width="44.5703125" style="1355" customWidth="1"/>
    <col min="14303" max="14303" width="14.28515625" style="1355" bestFit="1" customWidth="1"/>
    <col min="14304" max="14304" width="1.7109375" style="1355" customWidth="1"/>
    <col min="14305" max="14305" width="14.85546875" style="1355" customWidth="1"/>
    <col min="14306" max="14306" width="0" style="1355" hidden="1" customWidth="1"/>
    <col min="14307" max="14307" width="17.42578125" style="1355" customWidth="1"/>
    <col min="14308" max="14308" width="0" style="1355" hidden="1" customWidth="1"/>
    <col min="14309" max="14309" width="12.85546875" style="1355" customWidth="1"/>
    <col min="14310" max="14310" width="0" style="1355" hidden="1" customWidth="1"/>
    <col min="14311" max="14311" width="14.42578125" style="1355" customWidth="1"/>
    <col min="14312" max="14312" width="0" style="1355" hidden="1" customWidth="1"/>
    <col min="14313" max="14313" width="17.42578125" style="1355" customWidth="1"/>
    <col min="14314" max="14314" width="0" style="1355" hidden="1" customWidth="1"/>
    <col min="14315" max="14315" width="14" style="1355" customWidth="1"/>
    <col min="14316" max="14316" width="14.28515625" style="1355" bestFit="1" customWidth="1"/>
    <col min="14317" max="14317" width="0" style="1355" hidden="1" customWidth="1"/>
    <col min="14318" max="14318" width="15.5703125" style="1355" customWidth="1"/>
    <col min="14319" max="14319" width="44.5703125" style="1355" customWidth="1"/>
    <col min="14320" max="14320" width="14.28515625" style="1355" bestFit="1" customWidth="1"/>
    <col min="14321" max="14321" width="0" style="1355" hidden="1" customWidth="1"/>
    <col min="14322" max="14322" width="18.140625" style="1355" customWidth="1"/>
    <col min="14323" max="14323" width="0" style="1355" hidden="1" customWidth="1"/>
    <col min="14324" max="14324" width="14" style="1355" customWidth="1"/>
    <col min="14325" max="14325" width="0" style="1355" hidden="1" customWidth="1"/>
    <col min="14326" max="14326" width="20.85546875" style="1355" customWidth="1"/>
    <col min="14327" max="14327" width="0" style="1355" hidden="1" customWidth="1"/>
    <col min="14328" max="14328" width="13.28515625" style="1355" customWidth="1"/>
    <col min="14329" max="14329" width="0" style="1355" hidden="1" customWidth="1"/>
    <col min="14330" max="14330" width="15" style="1355" customWidth="1"/>
    <col min="14331" max="14331" width="0" style="1355" hidden="1" customWidth="1"/>
    <col min="14332" max="14332" width="13.28515625" style="1355" customWidth="1"/>
    <col min="14333" max="14333" width="0" style="1355" hidden="1" customWidth="1"/>
    <col min="14334" max="14334" width="20.140625" style="1355" customWidth="1"/>
    <col min="14335" max="14335" width="14.42578125" style="1355" bestFit="1" customWidth="1"/>
    <col min="14336" max="14336" width="14" style="1355" bestFit="1" customWidth="1"/>
    <col min="14337" max="14337" width="12.28515625" style="1355" bestFit="1" customWidth="1"/>
    <col min="14338" max="14362" width="9.140625" style="1355" customWidth="1"/>
    <col min="14363" max="14557" width="8.85546875" style="1355"/>
    <col min="14558" max="14558" width="44.5703125" style="1355" customWidth="1"/>
    <col min="14559" max="14559" width="14.28515625" style="1355" bestFit="1" customWidth="1"/>
    <col min="14560" max="14560" width="1.7109375" style="1355" customWidth="1"/>
    <col min="14561" max="14561" width="14.85546875" style="1355" customWidth="1"/>
    <col min="14562" max="14562" width="0" style="1355" hidden="1" customWidth="1"/>
    <col min="14563" max="14563" width="17.42578125" style="1355" customWidth="1"/>
    <col min="14564" max="14564" width="0" style="1355" hidden="1" customWidth="1"/>
    <col min="14565" max="14565" width="12.85546875" style="1355" customWidth="1"/>
    <col min="14566" max="14566" width="0" style="1355" hidden="1" customWidth="1"/>
    <col min="14567" max="14567" width="14.42578125" style="1355" customWidth="1"/>
    <col min="14568" max="14568" width="0" style="1355" hidden="1" customWidth="1"/>
    <col min="14569" max="14569" width="17.42578125" style="1355" customWidth="1"/>
    <col min="14570" max="14570" width="0" style="1355" hidden="1" customWidth="1"/>
    <col min="14571" max="14571" width="14" style="1355" customWidth="1"/>
    <col min="14572" max="14572" width="14.28515625" style="1355" bestFit="1" customWidth="1"/>
    <col min="14573" max="14573" width="0" style="1355" hidden="1" customWidth="1"/>
    <col min="14574" max="14574" width="15.5703125" style="1355" customWidth="1"/>
    <col min="14575" max="14575" width="44.5703125" style="1355" customWidth="1"/>
    <col min="14576" max="14576" width="14.28515625" style="1355" bestFit="1" customWidth="1"/>
    <col min="14577" max="14577" width="0" style="1355" hidden="1" customWidth="1"/>
    <col min="14578" max="14578" width="18.140625" style="1355" customWidth="1"/>
    <col min="14579" max="14579" width="0" style="1355" hidden="1" customWidth="1"/>
    <col min="14580" max="14580" width="14" style="1355" customWidth="1"/>
    <col min="14581" max="14581" width="0" style="1355" hidden="1" customWidth="1"/>
    <col min="14582" max="14582" width="20.85546875" style="1355" customWidth="1"/>
    <col min="14583" max="14583" width="0" style="1355" hidden="1" customWidth="1"/>
    <col min="14584" max="14584" width="13.28515625" style="1355" customWidth="1"/>
    <col min="14585" max="14585" width="0" style="1355" hidden="1" customWidth="1"/>
    <col min="14586" max="14586" width="15" style="1355" customWidth="1"/>
    <col min="14587" max="14587" width="0" style="1355" hidden="1" customWidth="1"/>
    <col min="14588" max="14588" width="13.28515625" style="1355" customWidth="1"/>
    <col min="14589" max="14589" width="0" style="1355" hidden="1" customWidth="1"/>
    <col min="14590" max="14590" width="20.140625" style="1355" customWidth="1"/>
    <col min="14591" max="14591" width="14.42578125" style="1355" bestFit="1" customWidth="1"/>
    <col min="14592" max="14592" width="14" style="1355" bestFit="1" customWidth="1"/>
    <col min="14593" max="14593" width="12.28515625" style="1355" bestFit="1" customWidth="1"/>
    <col min="14594" max="14618" width="9.140625" style="1355" customWidth="1"/>
    <col min="14619" max="14813" width="8.85546875" style="1355"/>
    <col min="14814" max="14814" width="44.5703125" style="1355" customWidth="1"/>
    <col min="14815" max="14815" width="14.28515625" style="1355" bestFit="1" customWidth="1"/>
    <col min="14816" max="14816" width="1.7109375" style="1355" customWidth="1"/>
    <col min="14817" max="14817" width="14.85546875" style="1355" customWidth="1"/>
    <col min="14818" max="14818" width="0" style="1355" hidden="1" customWidth="1"/>
    <col min="14819" max="14819" width="17.42578125" style="1355" customWidth="1"/>
    <col min="14820" max="14820" width="0" style="1355" hidden="1" customWidth="1"/>
    <col min="14821" max="14821" width="12.85546875" style="1355" customWidth="1"/>
    <col min="14822" max="14822" width="0" style="1355" hidden="1" customWidth="1"/>
    <col min="14823" max="14823" width="14.42578125" style="1355" customWidth="1"/>
    <col min="14824" max="14824" width="0" style="1355" hidden="1" customWidth="1"/>
    <col min="14825" max="14825" width="17.42578125" style="1355" customWidth="1"/>
    <col min="14826" max="14826" width="0" style="1355" hidden="1" customWidth="1"/>
    <col min="14827" max="14827" width="14" style="1355" customWidth="1"/>
    <col min="14828" max="14828" width="14.28515625" style="1355" bestFit="1" customWidth="1"/>
    <col min="14829" max="14829" width="0" style="1355" hidden="1" customWidth="1"/>
    <col min="14830" max="14830" width="15.5703125" style="1355" customWidth="1"/>
    <col min="14831" max="14831" width="44.5703125" style="1355" customWidth="1"/>
    <col min="14832" max="14832" width="14.28515625" style="1355" bestFit="1" customWidth="1"/>
    <col min="14833" max="14833" width="0" style="1355" hidden="1" customWidth="1"/>
    <col min="14834" max="14834" width="18.140625" style="1355" customWidth="1"/>
    <col min="14835" max="14835" width="0" style="1355" hidden="1" customWidth="1"/>
    <col min="14836" max="14836" width="14" style="1355" customWidth="1"/>
    <col min="14837" max="14837" width="0" style="1355" hidden="1" customWidth="1"/>
    <col min="14838" max="14838" width="20.85546875" style="1355" customWidth="1"/>
    <col min="14839" max="14839" width="0" style="1355" hidden="1" customWidth="1"/>
    <col min="14840" max="14840" width="13.28515625" style="1355" customWidth="1"/>
    <col min="14841" max="14841" width="0" style="1355" hidden="1" customWidth="1"/>
    <col min="14842" max="14842" width="15" style="1355" customWidth="1"/>
    <col min="14843" max="14843" width="0" style="1355" hidden="1" customWidth="1"/>
    <col min="14844" max="14844" width="13.28515625" style="1355" customWidth="1"/>
    <col min="14845" max="14845" width="0" style="1355" hidden="1" customWidth="1"/>
    <col min="14846" max="14846" width="20.140625" style="1355" customWidth="1"/>
    <col min="14847" max="14847" width="14.42578125" style="1355" bestFit="1" customWidth="1"/>
    <col min="14848" max="14848" width="14" style="1355" bestFit="1" customWidth="1"/>
    <col min="14849" max="14849" width="12.28515625" style="1355" bestFit="1" customWidth="1"/>
    <col min="14850" max="14874" width="9.140625" style="1355" customWidth="1"/>
    <col min="14875" max="15069" width="8.85546875" style="1355"/>
    <col min="15070" max="15070" width="44.5703125" style="1355" customWidth="1"/>
    <col min="15071" max="15071" width="14.28515625" style="1355" bestFit="1" customWidth="1"/>
    <col min="15072" max="15072" width="1.7109375" style="1355" customWidth="1"/>
    <col min="15073" max="15073" width="14.85546875" style="1355" customWidth="1"/>
    <col min="15074" max="15074" width="0" style="1355" hidden="1" customWidth="1"/>
    <col min="15075" max="15075" width="17.42578125" style="1355" customWidth="1"/>
    <col min="15076" max="15076" width="0" style="1355" hidden="1" customWidth="1"/>
    <col min="15077" max="15077" width="12.85546875" style="1355" customWidth="1"/>
    <col min="15078" max="15078" width="0" style="1355" hidden="1" customWidth="1"/>
    <col min="15079" max="15079" width="14.42578125" style="1355" customWidth="1"/>
    <col min="15080" max="15080" width="0" style="1355" hidden="1" customWidth="1"/>
    <col min="15081" max="15081" width="17.42578125" style="1355" customWidth="1"/>
    <col min="15082" max="15082" width="0" style="1355" hidden="1" customWidth="1"/>
    <col min="15083" max="15083" width="14" style="1355" customWidth="1"/>
    <col min="15084" max="15084" width="14.28515625" style="1355" bestFit="1" customWidth="1"/>
    <col min="15085" max="15085" width="0" style="1355" hidden="1" customWidth="1"/>
    <col min="15086" max="15086" width="15.5703125" style="1355" customWidth="1"/>
    <col min="15087" max="15087" width="44.5703125" style="1355" customWidth="1"/>
    <col min="15088" max="15088" width="14.28515625" style="1355" bestFit="1" customWidth="1"/>
    <col min="15089" max="15089" width="0" style="1355" hidden="1" customWidth="1"/>
    <col min="15090" max="15090" width="18.140625" style="1355" customWidth="1"/>
    <col min="15091" max="15091" width="0" style="1355" hidden="1" customWidth="1"/>
    <col min="15092" max="15092" width="14" style="1355" customWidth="1"/>
    <col min="15093" max="15093" width="0" style="1355" hidden="1" customWidth="1"/>
    <col min="15094" max="15094" width="20.85546875" style="1355" customWidth="1"/>
    <col min="15095" max="15095" width="0" style="1355" hidden="1" customWidth="1"/>
    <col min="15096" max="15096" width="13.28515625" style="1355" customWidth="1"/>
    <col min="15097" max="15097" width="0" style="1355" hidden="1" customWidth="1"/>
    <col min="15098" max="15098" width="15" style="1355" customWidth="1"/>
    <col min="15099" max="15099" width="0" style="1355" hidden="1" customWidth="1"/>
    <col min="15100" max="15100" width="13.28515625" style="1355" customWidth="1"/>
    <col min="15101" max="15101" width="0" style="1355" hidden="1" customWidth="1"/>
    <col min="15102" max="15102" width="20.140625" style="1355" customWidth="1"/>
    <col min="15103" max="15103" width="14.42578125" style="1355" bestFit="1" customWidth="1"/>
    <col min="15104" max="15104" width="14" style="1355" bestFit="1" customWidth="1"/>
    <col min="15105" max="15105" width="12.28515625" style="1355" bestFit="1" customWidth="1"/>
    <col min="15106" max="15130" width="9.140625" style="1355" customWidth="1"/>
    <col min="15131" max="15325" width="8.85546875" style="1355"/>
    <col min="15326" max="15326" width="44.5703125" style="1355" customWidth="1"/>
    <col min="15327" max="15327" width="14.28515625" style="1355" bestFit="1" customWidth="1"/>
    <col min="15328" max="15328" width="1.7109375" style="1355" customWidth="1"/>
    <col min="15329" max="15329" width="14.85546875" style="1355" customWidth="1"/>
    <col min="15330" max="15330" width="0" style="1355" hidden="1" customWidth="1"/>
    <col min="15331" max="15331" width="17.42578125" style="1355" customWidth="1"/>
    <col min="15332" max="15332" width="0" style="1355" hidden="1" customWidth="1"/>
    <col min="15333" max="15333" width="12.85546875" style="1355" customWidth="1"/>
    <col min="15334" max="15334" width="0" style="1355" hidden="1" customWidth="1"/>
    <col min="15335" max="15335" width="14.42578125" style="1355" customWidth="1"/>
    <col min="15336" max="15336" width="0" style="1355" hidden="1" customWidth="1"/>
    <col min="15337" max="15337" width="17.42578125" style="1355" customWidth="1"/>
    <col min="15338" max="15338" width="0" style="1355" hidden="1" customWidth="1"/>
    <col min="15339" max="15339" width="14" style="1355" customWidth="1"/>
    <col min="15340" max="15340" width="14.28515625" style="1355" bestFit="1" customWidth="1"/>
    <col min="15341" max="15341" width="0" style="1355" hidden="1" customWidth="1"/>
    <col min="15342" max="15342" width="15.5703125" style="1355" customWidth="1"/>
    <col min="15343" max="15343" width="44.5703125" style="1355" customWidth="1"/>
    <col min="15344" max="15344" width="14.28515625" style="1355" bestFit="1" customWidth="1"/>
    <col min="15345" max="15345" width="0" style="1355" hidden="1" customWidth="1"/>
    <col min="15346" max="15346" width="18.140625" style="1355" customWidth="1"/>
    <col min="15347" max="15347" width="0" style="1355" hidden="1" customWidth="1"/>
    <col min="15348" max="15348" width="14" style="1355" customWidth="1"/>
    <col min="15349" max="15349" width="0" style="1355" hidden="1" customWidth="1"/>
    <col min="15350" max="15350" width="20.85546875" style="1355" customWidth="1"/>
    <col min="15351" max="15351" width="0" style="1355" hidden="1" customWidth="1"/>
    <col min="15352" max="15352" width="13.28515625" style="1355" customWidth="1"/>
    <col min="15353" max="15353" width="0" style="1355" hidden="1" customWidth="1"/>
    <col min="15354" max="15354" width="15" style="1355" customWidth="1"/>
    <col min="15355" max="15355" width="0" style="1355" hidden="1" customWidth="1"/>
    <col min="15356" max="15356" width="13.28515625" style="1355" customWidth="1"/>
    <col min="15357" max="15357" width="0" style="1355" hidden="1" customWidth="1"/>
    <col min="15358" max="15358" width="20.140625" style="1355" customWidth="1"/>
    <col min="15359" max="15359" width="14.42578125" style="1355" bestFit="1" customWidth="1"/>
    <col min="15360" max="15360" width="14" style="1355" bestFit="1" customWidth="1"/>
    <col min="15361" max="15361" width="12.28515625" style="1355" bestFit="1" customWidth="1"/>
    <col min="15362" max="15386" width="9.140625" style="1355" customWidth="1"/>
    <col min="15387" max="15581" width="8.85546875" style="1355"/>
    <col min="15582" max="15582" width="44.5703125" style="1355" customWidth="1"/>
    <col min="15583" max="15583" width="14.28515625" style="1355" bestFit="1" customWidth="1"/>
    <col min="15584" max="15584" width="1.7109375" style="1355" customWidth="1"/>
    <col min="15585" max="15585" width="14.85546875" style="1355" customWidth="1"/>
    <col min="15586" max="15586" width="0" style="1355" hidden="1" customWidth="1"/>
    <col min="15587" max="15587" width="17.42578125" style="1355" customWidth="1"/>
    <col min="15588" max="15588" width="0" style="1355" hidden="1" customWidth="1"/>
    <col min="15589" max="15589" width="12.85546875" style="1355" customWidth="1"/>
    <col min="15590" max="15590" width="0" style="1355" hidden="1" customWidth="1"/>
    <col min="15591" max="15591" width="14.42578125" style="1355" customWidth="1"/>
    <col min="15592" max="15592" width="0" style="1355" hidden="1" customWidth="1"/>
    <col min="15593" max="15593" width="17.42578125" style="1355" customWidth="1"/>
    <col min="15594" max="15594" width="0" style="1355" hidden="1" customWidth="1"/>
    <col min="15595" max="15595" width="14" style="1355" customWidth="1"/>
    <col min="15596" max="15596" width="14.28515625" style="1355" bestFit="1" customWidth="1"/>
    <col min="15597" max="15597" width="0" style="1355" hidden="1" customWidth="1"/>
    <col min="15598" max="15598" width="15.5703125" style="1355" customWidth="1"/>
    <col min="15599" max="15599" width="44.5703125" style="1355" customWidth="1"/>
    <col min="15600" max="15600" width="14.28515625" style="1355" bestFit="1" customWidth="1"/>
    <col min="15601" max="15601" width="0" style="1355" hidden="1" customWidth="1"/>
    <col min="15602" max="15602" width="18.140625" style="1355" customWidth="1"/>
    <col min="15603" max="15603" width="0" style="1355" hidden="1" customWidth="1"/>
    <col min="15604" max="15604" width="14" style="1355" customWidth="1"/>
    <col min="15605" max="15605" width="0" style="1355" hidden="1" customWidth="1"/>
    <col min="15606" max="15606" width="20.85546875" style="1355" customWidth="1"/>
    <col min="15607" max="15607" width="0" style="1355" hidden="1" customWidth="1"/>
    <col min="15608" max="15608" width="13.28515625" style="1355" customWidth="1"/>
    <col min="15609" max="15609" width="0" style="1355" hidden="1" customWidth="1"/>
    <col min="15610" max="15610" width="15" style="1355" customWidth="1"/>
    <col min="15611" max="15611" width="0" style="1355" hidden="1" customWidth="1"/>
    <col min="15612" max="15612" width="13.28515625" style="1355" customWidth="1"/>
    <col min="15613" max="15613" width="0" style="1355" hidden="1" customWidth="1"/>
    <col min="15614" max="15614" width="20.140625" style="1355" customWidth="1"/>
    <col min="15615" max="15615" width="14.42578125" style="1355" bestFit="1" customWidth="1"/>
    <col min="15616" max="15616" width="14" style="1355" bestFit="1" customWidth="1"/>
    <col min="15617" max="15617" width="12.28515625" style="1355" bestFit="1" customWidth="1"/>
    <col min="15618" max="15642" width="9.140625" style="1355" customWidth="1"/>
    <col min="15643" max="15837" width="8.85546875" style="1355"/>
    <col min="15838" max="15838" width="44.5703125" style="1355" customWidth="1"/>
    <col min="15839" max="15839" width="14.28515625" style="1355" bestFit="1" customWidth="1"/>
    <col min="15840" max="15840" width="1.7109375" style="1355" customWidth="1"/>
    <col min="15841" max="15841" width="14.85546875" style="1355" customWidth="1"/>
    <col min="15842" max="15842" width="0" style="1355" hidden="1" customWidth="1"/>
    <col min="15843" max="15843" width="17.42578125" style="1355" customWidth="1"/>
    <col min="15844" max="15844" width="0" style="1355" hidden="1" customWidth="1"/>
    <col min="15845" max="15845" width="12.85546875" style="1355" customWidth="1"/>
    <col min="15846" max="15846" width="0" style="1355" hidden="1" customWidth="1"/>
    <col min="15847" max="15847" width="14.42578125" style="1355" customWidth="1"/>
    <col min="15848" max="15848" width="0" style="1355" hidden="1" customWidth="1"/>
    <col min="15849" max="15849" width="17.42578125" style="1355" customWidth="1"/>
    <col min="15850" max="15850" width="0" style="1355" hidden="1" customWidth="1"/>
    <col min="15851" max="15851" width="14" style="1355" customWidth="1"/>
    <col min="15852" max="15852" width="14.28515625" style="1355" bestFit="1" customWidth="1"/>
    <col min="15853" max="15853" width="0" style="1355" hidden="1" customWidth="1"/>
    <col min="15854" max="15854" width="15.5703125" style="1355" customWidth="1"/>
    <col min="15855" max="15855" width="44.5703125" style="1355" customWidth="1"/>
    <col min="15856" max="15856" width="14.28515625" style="1355" bestFit="1" customWidth="1"/>
    <col min="15857" max="15857" width="0" style="1355" hidden="1" customWidth="1"/>
    <col min="15858" max="15858" width="18.140625" style="1355" customWidth="1"/>
    <col min="15859" max="15859" width="0" style="1355" hidden="1" customWidth="1"/>
    <col min="15860" max="15860" width="14" style="1355" customWidth="1"/>
    <col min="15861" max="15861" width="0" style="1355" hidden="1" customWidth="1"/>
    <col min="15862" max="15862" width="20.85546875" style="1355" customWidth="1"/>
    <col min="15863" max="15863" width="0" style="1355" hidden="1" customWidth="1"/>
    <col min="15864" max="15864" width="13.28515625" style="1355" customWidth="1"/>
    <col min="15865" max="15865" width="0" style="1355" hidden="1" customWidth="1"/>
    <col min="15866" max="15866" width="15" style="1355" customWidth="1"/>
    <col min="15867" max="15867" width="0" style="1355" hidden="1" customWidth="1"/>
    <col min="15868" max="15868" width="13.28515625" style="1355" customWidth="1"/>
    <col min="15869" max="15869" width="0" style="1355" hidden="1" customWidth="1"/>
    <col min="15870" max="15870" width="20.140625" style="1355" customWidth="1"/>
    <col min="15871" max="15871" width="14.42578125" style="1355" bestFit="1" customWidth="1"/>
    <col min="15872" max="15872" width="14" style="1355" bestFit="1" customWidth="1"/>
    <col min="15873" max="15873" width="12.28515625" style="1355" bestFit="1" customWidth="1"/>
    <col min="15874" max="15898" width="9.140625" style="1355" customWidth="1"/>
    <col min="15899" max="16093" width="8.85546875" style="1355"/>
    <col min="16094" max="16094" width="44.5703125" style="1355" customWidth="1"/>
    <col min="16095" max="16095" width="14.28515625" style="1355" bestFit="1" customWidth="1"/>
    <col min="16096" max="16096" width="1.7109375" style="1355" customWidth="1"/>
    <col min="16097" max="16097" width="14.85546875" style="1355" customWidth="1"/>
    <col min="16098" max="16098" width="0" style="1355" hidden="1" customWidth="1"/>
    <col min="16099" max="16099" width="17.42578125" style="1355" customWidth="1"/>
    <col min="16100" max="16100" width="0" style="1355" hidden="1" customWidth="1"/>
    <col min="16101" max="16101" width="12.85546875" style="1355" customWidth="1"/>
    <col min="16102" max="16102" width="0" style="1355" hidden="1" customWidth="1"/>
    <col min="16103" max="16103" width="14.42578125" style="1355" customWidth="1"/>
    <col min="16104" max="16104" width="0" style="1355" hidden="1" customWidth="1"/>
    <col min="16105" max="16105" width="17.42578125" style="1355" customWidth="1"/>
    <col min="16106" max="16106" width="0" style="1355" hidden="1" customWidth="1"/>
    <col min="16107" max="16107" width="14" style="1355" customWidth="1"/>
    <col min="16108" max="16108" width="14.28515625" style="1355" bestFit="1" customWidth="1"/>
    <col min="16109" max="16109" width="0" style="1355" hidden="1" customWidth="1"/>
    <col min="16110" max="16110" width="15.5703125" style="1355" customWidth="1"/>
    <col min="16111" max="16111" width="44.5703125" style="1355" customWidth="1"/>
    <col min="16112" max="16112" width="14.28515625" style="1355" bestFit="1" customWidth="1"/>
    <col min="16113" max="16113" width="0" style="1355" hidden="1" customWidth="1"/>
    <col min="16114" max="16114" width="18.140625" style="1355" customWidth="1"/>
    <col min="16115" max="16115" width="0" style="1355" hidden="1" customWidth="1"/>
    <col min="16116" max="16116" width="14" style="1355" customWidth="1"/>
    <col min="16117" max="16117" width="0" style="1355" hidden="1" customWidth="1"/>
    <col min="16118" max="16118" width="20.85546875" style="1355" customWidth="1"/>
    <col min="16119" max="16119" width="0" style="1355" hidden="1" customWidth="1"/>
    <col min="16120" max="16120" width="13.28515625" style="1355" customWidth="1"/>
    <col min="16121" max="16121" width="0" style="1355" hidden="1" customWidth="1"/>
    <col min="16122" max="16122" width="15" style="1355" customWidth="1"/>
    <col min="16123" max="16123" width="0" style="1355" hidden="1" customWidth="1"/>
    <col min="16124" max="16124" width="13.28515625" style="1355" customWidth="1"/>
    <col min="16125" max="16125" width="0" style="1355" hidden="1" customWidth="1"/>
    <col min="16126" max="16126" width="20.140625" style="1355" customWidth="1"/>
    <col min="16127" max="16127" width="14.42578125" style="1355" bestFit="1" customWidth="1"/>
    <col min="16128" max="16128" width="14" style="1355" bestFit="1" customWidth="1"/>
    <col min="16129" max="16129" width="12.28515625" style="1355" bestFit="1" customWidth="1"/>
    <col min="16130" max="16154" width="9.140625" style="1355" customWidth="1"/>
    <col min="16155" max="16384" width="8.85546875" style="1355"/>
  </cols>
  <sheetData>
    <row r="1" spans="1:26" s="1315" customFormat="1" ht="19.899999999999999" hidden="1" customHeight="1">
      <c r="A1" s="1697"/>
      <c r="B1" s="1697"/>
      <c r="C1" s="1697"/>
      <c r="D1" s="1697"/>
      <c r="E1" s="1697"/>
      <c r="F1" s="1697"/>
      <c r="G1" s="1697"/>
      <c r="H1" s="1697"/>
      <c r="I1" s="1697"/>
      <c r="J1" s="1697"/>
      <c r="K1" s="1697"/>
      <c r="L1" s="1697"/>
      <c r="M1" s="1697"/>
      <c r="N1" s="1313"/>
      <c r="O1" s="1313"/>
      <c r="P1" s="1313"/>
      <c r="Q1" s="1313"/>
      <c r="R1" s="1313"/>
      <c r="S1" s="1313"/>
      <c r="T1" s="1313"/>
      <c r="U1" s="1313"/>
      <c r="V1" s="1313"/>
      <c r="W1" s="1313"/>
      <c r="X1" s="1313"/>
      <c r="Y1" s="1313"/>
      <c r="Z1" s="1313"/>
    </row>
    <row r="2" spans="1:26" s="1315" customFormat="1" ht="88.9" customHeight="1">
      <c r="A2" s="1698" t="s">
        <v>962</v>
      </c>
      <c r="B2" s="1698"/>
      <c r="C2" s="1698"/>
      <c r="D2" s="1698"/>
      <c r="E2" s="1698"/>
      <c r="F2" s="1698"/>
      <c r="G2" s="1698"/>
      <c r="H2" s="1698"/>
      <c r="I2" s="1698"/>
      <c r="J2" s="1698"/>
      <c r="K2" s="1698"/>
      <c r="L2" s="1698"/>
      <c r="M2" s="1698"/>
      <c r="N2" s="1313"/>
      <c r="O2" s="1313"/>
      <c r="P2" s="1313"/>
      <c r="Q2" s="1313"/>
      <c r="R2" s="1313"/>
      <c r="S2" s="1313"/>
      <c r="T2" s="1313"/>
      <c r="U2" s="1313"/>
      <c r="V2" s="1313"/>
      <c r="W2" s="1313"/>
      <c r="X2" s="1313"/>
      <c r="Y2" s="1313"/>
      <c r="Z2" s="1313"/>
    </row>
    <row r="3" spans="1:26" s="1315" customFormat="1" ht="47.45" hidden="1" customHeight="1">
      <c r="A3" s="1497"/>
      <c r="B3" s="1699" t="s">
        <v>774</v>
      </c>
      <c r="C3" s="1699"/>
      <c r="D3" s="1699"/>
      <c r="E3" s="1699"/>
      <c r="F3" s="1699"/>
      <c r="G3" s="1699"/>
      <c r="H3" s="1699"/>
      <c r="I3" s="1699"/>
      <c r="J3" s="1699"/>
      <c r="K3" s="1699"/>
      <c r="L3" s="1699"/>
      <c r="M3" s="1699"/>
      <c r="N3" s="1313"/>
      <c r="O3" s="1497"/>
      <c r="P3" s="1313"/>
      <c r="Q3" s="1313"/>
      <c r="R3" s="1313"/>
      <c r="S3" s="1313"/>
      <c r="T3" s="1313"/>
      <c r="U3" s="1313"/>
      <c r="V3" s="1313"/>
      <c r="W3" s="1313"/>
      <c r="X3" s="1313"/>
      <c r="Y3" s="1313"/>
      <c r="Z3" s="1313"/>
    </row>
    <row r="4" spans="1:26" s="1315" customFormat="1" ht="15.6" hidden="1" customHeight="1">
      <c r="A4" s="1700"/>
      <c r="B4" s="1700"/>
      <c r="C4" s="1700"/>
      <c r="D4" s="1700"/>
      <c r="E4" s="1700"/>
      <c r="F4" s="1700"/>
      <c r="G4" s="1700"/>
      <c r="H4" s="1700"/>
      <c r="I4" s="1700"/>
      <c r="J4" s="1700"/>
      <c r="K4" s="1700"/>
      <c r="L4" s="1700"/>
      <c r="M4" s="1700"/>
      <c r="N4" s="1313"/>
      <c r="O4" s="1313"/>
      <c r="P4" s="1313"/>
      <c r="Q4" s="1313"/>
      <c r="R4" s="1313"/>
      <c r="S4" s="1313"/>
      <c r="T4" s="1313"/>
      <c r="U4" s="1313"/>
      <c r="V4" s="1313"/>
      <c r="W4" s="1313"/>
      <c r="X4" s="1313"/>
      <c r="Y4" s="1313"/>
      <c r="Z4" s="1313"/>
    </row>
    <row r="5" spans="1:26" s="1353" customFormat="1" ht="9.6" customHeight="1" thickBot="1">
      <c r="A5" s="1498" t="s">
        <v>58</v>
      </c>
      <c r="B5" s="1499"/>
      <c r="C5" s="1500"/>
      <c r="D5" s="945"/>
      <c r="E5" s="945"/>
      <c r="F5" s="945"/>
      <c r="G5" s="945"/>
      <c r="H5" s="945"/>
      <c r="I5" s="945"/>
      <c r="J5" s="945"/>
      <c r="K5" s="945"/>
      <c r="L5" s="945"/>
      <c r="M5" s="945"/>
      <c r="O5" s="1498"/>
    </row>
    <row r="6" spans="1:26" s="1507" customFormat="1" ht="112.15" customHeight="1" thickTop="1" thickBot="1">
      <c r="A6" s="1501"/>
      <c r="B6" s="1502"/>
      <c r="C6" s="1503"/>
      <c r="D6" s="1411" t="s">
        <v>573</v>
      </c>
      <c r="E6" s="1504" t="s">
        <v>575</v>
      </c>
      <c r="F6" s="1410" t="s">
        <v>414</v>
      </c>
      <c r="G6" s="1410" t="s">
        <v>413</v>
      </c>
      <c r="H6" s="1410" t="s">
        <v>926</v>
      </c>
      <c r="I6" s="1504" t="s">
        <v>417</v>
      </c>
      <c r="J6" s="1505" t="s">
        <v>420</v>
      </c>
      <c r="K6" s="1505" t="s">
        <v>515</v>
      </c>
      <c r="L6" s="1505" t="s">
        <v>421</v>
      </c>
      <c r="M6" s="1505" t="s">
        <v>565</v>
      </c>
      <c r="N6" s="1506"/>
      <c r="S6" s="1506"/>
      <c r="T6" s="1506"/>
      <c r="U6" s="1506"/>
      <c r="V6" s="1506"/>
      <c r="W6" s="1506"/>
      <c r="X6" s="1506"/>
      <c r="Y6" s="1506"/>
      <c r="Z6" s="1506"/>
    </row>
    <row r="7" spans="1:26" ht="13.9" customHeight="1" thickTop="1">
      <c r="A7" s="1508"/>
      <c r="B7" s="1508"/>
      <c r="C7" s="1509"/>
      <c r="D7" s="947"/>
      <c r="E7" s="1510"/>
      <c r="F7" s="1185"/>
      <c r="G7" s="374"/>
      <c r="H7" s="1185"/>
      <c r="I7" s="1510"/>
      <c r="J7" s="1511"/>
      <c r="K7" s="1511"/>
      <c r="L7" s="1511"/>
      <c r="M7" s="1511"/>
    </row>
    <row r="8" spans="1:26" s="1577" customFormat="1" ht="22.9" customHeight="1">
      <c r="A8" s="1576" t="s">
        <v>423</v>
      </c>
      <c r="C8" s="1578"/>
      <c r="D8" s="1548"/>
      <c r="E8" s="1549" t="s">
        <v>58</v>
      </c>
      <c r="F8" s="1550"/>
      <c r="G8" s="1549"/>
      <c r="H8" s="1550"/>
      <c r="I8" s="1579"/>
      <c r="J8" s="1552" t="s">
        <v>58</v>
      </c>
      <c r="K8" s="1552"/>
      <c r="L8" s="1552" t="s">
        <v>58</v>
      </c>
      <c r="M8" s="1552"/>
      <c r="N8" s="1580"/>
      <c r="S8" s="1580"/>
      <c r="T8" s="1580"/>
      <c r="U8" s="1580"/>
      <c r="V8" s="1580"/>
      <c r="W8" s="1580"/>
      <c r="X8" s="1580"/>
      <c r="Y8" s="1580"/>
      <c r="Z8" s="1580"/>
    </row>
    <row r="9" spans="1:26" s="1577" customFormat="1" ht="22.9" customHeight="1">
      <c r="A9" s="1577" t="s">
        <v>27</v>
      </c>
      <c r="C9" s="1576" t="s">
        <v>424</v>
      </c>
      <c r="D9" s="1554">
        <v>37760180</v>
      </c>
      <c r="E9" s="1554">
        <v>11919056</v>
      </c>
      <c r="F9" s="1554">
        <v>0</v>
      </c>
      <c r="G9" s="1554">
        <v>14035279</v>
      </c>
      <c r="H9" s="1554">
        <v>0</v>
      </c>
      <c r="I9" s="1554">
        <v>4708250</v>
      </c>
      <c r="J9" s="1554">
        <v>8263690</v>
      </c>
      <c r="K9" s="1554">
        <v>1330501</v>
      </c>
      <c r="L9" s="1554">
        <v>0</v>
      </c>
      <c r="M9" s="1554">
        <v>3145508</v>
      </c>
      <c r="N9" s="1581"/>
      <c r="O9" s="1582"/>
      <c r="S9" s="1580"/>
      <c r="T9" s="1580"/>
      <c r="U9" s="1580"/>
      <c r="V9" s="1580"/>
      <c r="W9" s="1580"/>
      <c r="X9" s="1580"/>
      <c r="Y9" s="1580"/>
      <c r="Z9" s="1580"/>
    </row>
    <row r="10" spans="1:26" s="1577" customFormat="1" ht="22.9" customHeight="1">
      <c r="A10" s="1577" t="s">
        <v>782</v>
      </c>
      <c r="C10" s="1576"/>
      <c r="D10" s="1554">
        <v>4457240</v>
      </c>
      <c r="E10" s="1554">
        <v>0</v>
      </c>
      <c r="F10" s="1554">
        <v>0</v>
      </c>
      <c r="G10" s="1554">
        <v>0</v>
      </c>
      <c r="H10" s="1554">
        <v>0</v>
      </c>
      <c r="I10" s="1554">
        <v>0</v>
      </c>
      <c r="J10" s="1554">
        <v>0</v>
      </c>
      <c r="K10" s="1554">
        <v>0</v>
      </c>
      <c r="L10" s="1554">
        <v>0</v>
      </c>
      <c r="M10" s="1554">
        <v>0</v>
      </c>
      <c r="N10" s="1580"/>
      <c r="S10" s="1580"/>
      <c r="T10" s="1580"/>
      <c r="U10" s="1580"/>
      <c r="V10" s="1580"/>
      <c r="W10" s="1580"/>
      <c r="X10" s="1580"/>
      <c r="Y10" s="1580"/>
      <c r="Z10" s="1580"/>
    </row>
    <row r="11" spans="1:26" s="1577" customFormat="1" ht="22.9" customHeight="1">
      <c r="A11" s="1577" t="s">
        <v>690</v>
      </c>
      <c r="C11" s="1576"/>
      <c r="D11" s="1554">
        <v>4000000</v>
      </c>
      <c r="E11" s="1554">
        <v>0</v>
      </c>
      <c r="F11" s="1554">
        <v>0</v>
      </c>
      <c r="G11" s="1554">
        <v>0</v>
      </c>
      <c r="H11" s="1554">
        <v>0</v>
      </c>
      <c r="I11" s="1554">
        <v>0</v>
      </c>
      <c r="J11" s="1554">
        <v>0</v>
      </c>
      <c r="K11" s="1554">
        <v>0</v>
      </c>
      <c r="L11" s="1554">
        <v>0</v>
      </c>
      <c r="M11" s="1554">
        <v>0</v>
      </c>
      <c r="N11" s="1580"/>
      <c r="S11" s="1580"/>
      <c r="T11" s="1580"/>
      <c r="U11" s="1580"/>
      <c r="V11" s="1580"/>
      <c r="W11" s="1580"/>
      <c r="X11" s="1580"/>
      <c r="Y11" s="1580"/>
      <c r="Z11" s="1580"/>
    </row>
    <row r="12" spans="1:26" s="1577" customFormat="1" ht="22.9" customHeight="1">
      <c r="A12" s="1577" t="s">
        <v>830</v>
      </c>
      <c r="C12" s="1576"/>
      <c r="D12" s="1554">
        <v>13274563</v>
      </c>
      <c r="E12" s="1554">
        <v>0</v>
      </c>
      <c r="F12" s="1554">
        <v>0</v>
      </c>
      <c r="G12" s="1554">
        <v>0</v>
      </c>
      <c r="H12" s="1554">
        <v>0</v>
      </c>
      <c r="I12" s="1554">
        <v>0</v>
      </c>
      <c r="J12" s="1554">
        <v>0</v>
      </c>
      <c r="K12" s="1554">
        <v>0</v>
      </c>
      <c r="L12" s="1554">
        <v>0</v>
      </c>
      <c r="M12" s="1554">
        <v>0</v>
      </c>
      <c r="N12" s="1580"/>
      <c r="S12" s="1580"/>
      <c r="T12" s="1580"/>
      <c r="U12" s="1580"/>
      <c r="V12" s="1580"/>
      <c r="W12" s="1580"/>
      <c r="X12" s="1580"/>
      <c r="Y12" s="1580"/>
      <c r="Z12" s="1580"/>
    </row>
    <row r="13" spans="1:26" s="1577" customFormat="1" ht="22.9" customHeight="1">
      <c r="A13" s="1577" t="s">
        <v>841</v>
      </c>
      <c r="C13" s="1576"/>
      <c r="D13" s="1554">
        <v>635183</v>
      </c>
      <c r="E13" s="1554">
        <v>33626216</v>
      </c>
      <c r="F13" s="1554">
        <v>15395241</v>
      </c>
      <c r="G13" s="1554">
        <v>2110335</v>
      </c>
      <c r="H13" s="1554">
        <v>25968741</v>
      </c>
      <c r="I13" s="1554">
        <v>4402735</v>
      </c>
      <c r="J13" s="1554">
        <v>3518741</v>
      </c>
      <c r="K13" s="1554">
        <v>6211526</v>
      </c>
      <c r="L13" s="1554">
        <v>16753030</v>
      </c>
      <c r="M13" s="1554">
        <v>12216</v>
      </c>
      <c r="N13" s="1581"/>
      <c r="O13" s="1582"/>
      <c r="S13" s="1580"/>
      <c r="T13" s="1580"/>
      <c r="U13" s="1580"/>
      <c r="V13" s="1580"/>
      <c r="W13" s="1580"/>
      <c r="X13" s="1580"/>
      <c r="Y13" s="1580"/>
      <c r="Z13" s="1580"/>
    </row>
    <row r="14" spans="1:26" s="1576" customFormat="1" ht="22.9" customHeight="1">
      <c r="A14" s="1583" t="s">
        <v>688</v>
      </c>
      <c r="C14" s="1576" t="s">
        <v>58</v>
      </c>
      <c r="D14" s="1556">
        <v>60127166</v>
      </c>
      <c r="E14" s="1556">
        <v>45545272</v>
      </c>
      <c r="F14" s="1556">
        <v>15395241</v>
      </c>
      <c r="G14" s="1556">
        <v>16145614</v>
      </c>
      <c r="H14" s="1556">
        <v>25968741</v>
      </c>
      <c r="I14" s="1556">
        <v>9110985</v>
      </c>
      <c r="J14" s="1556">
        <v>11782431</v>
      </c>
      <c r="K14" s="1556">
        <v>7542027</v>
      </c>
      <c r="L14" s="1556">
        <v>16753030</v>
      </c>
      <c r="M14" s="1556">
        <v>3157724</v>
      </c>
      <c r="N14" s="1584"/>
      <c r="O14" s="1585"/>
      <c r="S14" s="1584"/>
      <c r="T14" s="1584"/>
      <c r="U14" s="1584"/>
      <c r="V14" s="1584"/>
      <c r="W14" s="1584"/>
      <c r="X14" s="1584"/>
      <c r="Y14" s="1584"/>
      <c r="Z14" s="1584"/>
    </row>
    <row r="15" spans="1:26" s="1577" customFormat="1" ht="22.9" customHeight="1">
      <c r="C15" s="1576"/>
      <c r="D15" s="1557"/>
      <c r="E15" s="1558"/>
      <c r="F15" s="1554"/>
      <c r="G15" s="1558"/>
      <c r="H15" s="1554"/>
      <c r="I15" s="1558"/>
      <c r="J15" s="1558"/>
      <c r="K15" s="1558"/>
      <c r="L15" s="1558"/>
      <c r="M15" s="1558"/>
      <c r="N15" s="1580"/>
      <c r="S15" s="1580"/>
      <c r="T15" s="1580"/>
      <c r="U15" s="1580"/>
      <c r="V15" s="1580"/>
      <c r="W15" s="1580"/>
      <c r="X15" s="1580"/>
      <c r="Y15" s="1580"/>
      <c r="Z15" s="1580"/>
    </row>
    <row r="16" spans="1:26" s="1580" customFormat="1" ht="22.9" customHeight="1">
      <c r="A16" s="1584" t="s">
        <v>426</v>
      </c>
      <c r="C16" s="1584"/>
      <c r="D16" s="1558"/>
      <c r="E16" s="1558"/>
      <c r="F16" s="1554"/>
      <c r="G16" s="1558"/>
      <c r="H16" s="1554"/>
      <c r="I16" s="1558"/>
      <c r="J16" s="1558"/>
      <c r="K16" s="1558"/>
      <c r="L16" s="1558"/>
      <c r="M16" s="1558"/>
    </row>
    <row r="17" spans="1:13" s="1580" customFormat="1" ht="22.9" customHeight="1">
      <c r="A17" s="1586" t="s">
        <v>947</v>
      </c>
      <c r="B17" s="1587" t="s">
        <v>585</v>
      </c>
      <c r="C17" s="1584"/>
      <c r="D17" s="1554"/>
      <c r="E17" s="1554"/>
      <c r="F17" s="1554"/>
      <c r="G17" s="1554"/>
      <c r="H17" s="1554"/>
      <c r="I17" s="1554"/>
      <c r="J17" s="1554"/>
      <c r="K17" s="1554"/>
      <c r="L17" s="1554"/>
      <c r="M17" s="1554"/>
    </row>
    <row r="18" spans="1:13" s="1580" customFormat="1" ht="22.9" customHeight="1">
      <c r="A18" s="1580" t="s">
        <v>1017</v>
      </c>
      <c r="B18" s="1588">
        <v>4.1193</v>
      </c>
      <c r="C18" s="1584"/>
      <c r="D18" s="1558">
        <v>97569296</v>
      </c>
      <c r="E18" s="1554">
        <v>0</v>
      </c>
      <c r="F18" s="1554">
        <v>0</v>
      </c>
      <c r="G18" s="1558">
        <v>0</v>
      </c>
      <c r="H18" s="1558">
        <v>0</v>
      </c>
      <c r="I18" s="1558">
        <v>0</v>
      </c>
      <c r="J18" s="1554">
        <v>0</v>
      </c>
      <c r="K18" s="1554">
        <v>0</v>
      </c>
      <c r="L18" s="1554">
        <v>0</v>
      </c>
      <c r="M18" s="1554">
        <v>0</v>
      </c>
    </row>
    <row r="19" spans="1:13" s="1580" customFormat="1" ht="22.9" customHeight="1">
      <c r="A19" s="1580" t="s">
        <v>1018</v>
      </c>
      <c r="B19" s="1588">
        <v>0.20710000000000001</v>
      </c>
      <c r="C19" s="1584"/>
      <c r="D19" s="1558">
        <v>0</v>
      </c>
      <c r="E19" s="1554">
        <v>0</v>
      </c>
      <c r="F19" s="1558">
        <v>4851907</v>
      </c>
      <c r="G19" s="1558">
        <v>0</v>
      </c>
      <c r="H19" s="1558">
        <v>0</v>
      </c>
      <c r="I19" s="1558">
        <v>0</v>
      </c>
      <c r="J19" s="1554">
        <v>0</v>
      </c>
      <c r="K19" s="1554">
        <v>0</v>
      </c>
      <c r="L19" s="1554">
        <v>0</v>
      </c>
      <c r="M19" s="1554">
        <v>0</v>
      </c>
    </row>
    <row r="20" spans="1:13" s="1580" customFormat="1" ht="22.9" customHeight="1">
      <c r="A20" s="1580" t="s">
        <v>1019</v>
      </c>
      <c r="B20" s="1589">
        <v>1</v>
      </c>
      <c r="C20" s="1584"/>
      <c r="D20" s="1180">
        <v>0</v>
      </c>
      <c r="E20" s="1558">
        <v>0</v>
      </c>
      <c r="F20" s="1558">
        <v>0</v>
      </c>
      <c r="G20" s="1558">
        <v>0</v>
      </c>
      <c r="H20" s="1558">
        <v>0</v>
      </c>
      <c r="I20" s="1558">
        <v>0</v>
      </c>
      <c r="J20" s="1558">
        <v>0</v>
      </c>
      <c r="K20" s="1558">
        <v>0</v>
      </c>
      <c r="L20" s="1558">
        <v>0</v>
      </c>
      <c r="M20" s="1558">
        <v>0</v>
      </c>
    </row>
    <row r="21" spans="1:13" s="1580" customFormat="1" ht="22.9" customHeight="1">
      <c r="A21" s="1580" t="s">
        <v>580</v>
      </c>
      <c r="B21" s="1590"/>
      <c r="C21" s="1584"/>
      <c r="D21" s="1558">
        <v>4882276</v>
      </c>
      <c r="E21" s="1558">
        <v>0</v>
      </c>
      <c r="F21" s="1558">
        <v>0</v>
      </c>
      <c r="G21" s="1558">
        <v>0</v>
      </c>
      <c r="H21" s="1558">
        <v>0</v>
      </c>
      <c r="I21" s="1558">
        <v>0</v>
      </c>
      <c r="J21" s="1558">
        <v>0</v>
      </c>
      <c r="K21" s="1558">
        <v>0</v>
      </c>
      <c r="L21" s="1558">
        <v>0</v>
      </c>
      <c r="M21" s="1558">
        <v>0</v>
      </c>
    </row>
    <row r="22" spans="1:13" s="1580" customFormat="1" ht="22.9" customHeight="1">
      <c r="A22" s="1580" t="s">
        <v>579</v>
      </c>
      <c r="C22" s="1584"/>
      <c r="D22" s="1558">
        <v>15228206</v>
      </c>
      <c r="E22" s="1554">
        <v>0</v>
      </c>
      <c r="F22" s="1558">
        <v>0</v>
      </c>
      <c r="G22" s="1558">
        <v>0</v>
      </c>
      <c r="H22" s="1558">
        <v>0</v>
      </c>
      <c r="I22" s="1558">
        <v>0</v>
      </c>
      <c r="J22" s="1554">
        <v>0</v>
      </c>
      <c r="K22" s="1554">
        <v>0</v>
      </c>
      <c r="L22" s="1554">
        <v>0</v>
      </c>
      <c r="M22" s="1554">
        <v>0</v>
      </c>
    </row>
    <row r="23" spans="1:13" s="1580" customFormat="1" ht="22.9" customHeight="1">
      <c r="A23" s="1580" t="s">
        <v>578</v>
      </c>
      <c r="C23" s="1584"/>
      <c r="D23" s="1558">
        <v>36592965</v>
      </c>
      <c r="E23" s="1554">
        <v>0</v>
      </c>
      <c r="F23" s="1558">
        <v>0</v>
      </c>
      <c r="G23" s="1558">
        <v>0</v>
      </c>
      <c r="H23" s="1558">
        <v>0</v>
      </c>
      <c r="I23" s="1558">
        <v>0</v>
      </c>
      <c r="J23" s="1554">
        <v>0</v>
      </c>
      <c r="K23" s="1554">
        <v>0</v>
      </c>
      <c r="L23" s="1554">
        <v>0</v>
      </c>
      <c r="M23" s="1554">
        <v>0</v>
      </c>
    </row>
    <row r="24" spans="1:13" s="1580" customFormat="1" ht="22.9" customHeight="1">
      <c r="A24" s="1580" t="s">
        <v>435</v>
      </c>
      <c r="C24" s="1584"/>
      <c r="D24" s="1558">
        <v>2924286</v>
      </c>
      <c r="E24" s="1554">
        <v>0</v>
      </c>
      <c r="F24" s="1558">
        <v>0</v>
      </c>
      <c r="G24" s="1558">
        <v>15314804</v>
      </c>
      <c r="H24" s="1558">
        <v>0</v>
      </c>
      <c r="I24" s="1558">
        <v>0</v>
      </c>
      <c r="J24" s="1554">
        <v>0</v>
      </c>
      <c r="K24" s="1554">
        <v>0</v>
      </c>
      <c r="L24" s="1554">
        <v>0</v>
      </c>
      <c r="M24" s="1554">
        <v>0</v>
      </c>
    </row>
    <row r="25" spans="1:13" s="1580" customFormat="1" ht="22.9" customHeight="1">
      <c r="A25" s="1580" t="s">
        <v>408</v>
      </c>
      <c r="C25" s="1584"/>
      <c r="D25" s="1558">
        <v>17749691</v>
      </c>
      <c r="E25" s="1554">
        <v>0</v>
      </c>
      <c r="F25" s="1558">
        <v>0</v>
      </c>
      <c r="G25" s="1554">
        <v>0</v>
      </c>
      <c r="H25" s="1558">
        <v>0</v>
      </c>
      <c r="I25" s="1558">
        <v>0</v>
      </c>
      <c r="J25" s="1554">
        <v>0</v>
      </c>
      <c r="K25" s="1554">
        <v>0</v>
      </c>
      <c r="L25" s="1554">
        <v>0</v>
      </c>
      <c r="M25" s="1554">
        <v>0</v>
      </c>
    </row>
    <row r="26" spans="1:13" s="1580" customFormat="1" ht="22.9" customHeight="1">
      <c r="A26" s="1580" t="s">
        <v>114</v>
      </c>
      <c r="C26" s="1584"/>
      <c r="D26" s="1558">
        <v>26036670</v>
      </c>
      <c r="E26" s="1554">
        <v>117833295</v>
      </c>
      <c r="F26" s="1558">
        <v>0</v>
      </c>
      <c r="G26" s="1558">
        <v>56515</v>
      </c>
      <c r="H26" s="1558">
        <v>0</v>
      </c>
      <c r="I26" s="1554">
        <v>15059466</v>
      </c>
      <c r="J26" s="1554">
        <v>10762933</v>
      </c>
      <c r="K26" s="1554">
        <v>16846376</v>
      </c>
      <c r="L26" s="1554">
        <v>3591685</v>
      </c>
      <c r="M26" s="1554">
        <v>19248683</v>
      </c>
    </row>
    <row r="27" spans="1:13" s="1580" customFormat="1" ht="22.9" customHeight="1">
      <c r="A27" s="1580" t="s">
        <v>436</v>
      </c>
      <c r="C27" s="1584"/>
      <c r="D27" s="1558">
        <v>4799918</v>
      </c>
      <c r="E27" s="1554">
        <v>0</v>
      </c>
      <c r="F27" s="1558">
        <v>0</v>
      </c>
      <c r="G27" s="1558">
        <v>0</v>
      </c>
      <c r="H27" s="1558">
        <v>0</v>
      </c>
      <c r="I27" s="1554">
        <v>0</v>
      </c>
      <c r="J27" s="1554">
        <v>2807000</v>
      </c>
      <c r="K27" s="1554">
        <v>0</v>
      </c>
      <c r="L27" s="1554">
        <v>0</v>
      </c>
      <c r="M27" s="1554">
        <v>0</v>
      </c>
    </row>
    <row r="28" spans="1:13" s="1580" customFormat="1" ht="22.9" customHeight="1">
      <c r="A28" s="1580" t="s">
        <v>437</v>
      </c>
      <c r="C28" s="1584"/>
      <c r="D28" s="1558">
        <v>78384413</v>
      </c>
      <c r="E28" s="1554">
        <v>4720213</v>
      </c>
      <c r="F28" s="1558">
        <v>0</v>
      </c>
      <c r="G28" s="1558">
        <v>119949</v>
      </c>
      <c r="H28" s="1554">
        <v>1965000</v>
      </c>
      <c r="I28" s="1558">
        <v>102074</v>
      </c>
      <c r="J28" s="1554">
        <v>284197</v>
      </c>
      <c r="K28" s="1554">
        <v>146900</v>
      </c>
      <c r="L28" s="1554">
        <v>3925098</v>
      </c>
      <c r="M28" s="1554">
        <v>162000</v>
      </c>
    </row>
    <row r="29" spans="1:13" s="1584" customFormat="1" ht="22.9" customHeight="1">
      <c r="A29" s="1591" t="s">
        <v>9</v>
      </c>
      <c r="C29" s="1584" t="s">
        <v>58</v>
      </c>
      <c r="D29" s="1565">
        <v>284167721</v>
      </c>
      <c r="E29" s="1566">
        <v>122553508</v>
      </c>
      <c r="F29" s="1566">
        <v>4851907</v>
      </c>
      <c r="G29" s="1565">
        <v>15491268</v>
      </c>
      <c r="H29" s="1566">
        <v>1965000</v>
      </c>
      <c r="I29" s="1566">
        <v>15161540</v>
      </c>
      <c r="J29" s="1566">
        <v>13854130</v>
      </c>
      <c r="K29" s="1566">
        <v>16993276</v>
      </c>
      <c r="L29" s="1566">
        <v>7516783</v>
      </c>
      <c r="M29" s="1566">
        <v>19410683</v>
      </c>
    </row>
    <row r="30" spans="1:13" s="1580" customFormat="1" ht="22.9" customHeight="1">
      <c r="C30" s="1584"/>
      <c r="D30" s="1554"/>
      <c r="E30" s="1554"/>
      <c r="F30" s="1554"/>
      <c r="G30" s="1554"/>
      <c r="H30" s="1554"/>
      <c r="I30" s="1554"/>
      <c r="J30" s="1554"/>
      <c r="K30" s="1554"/>
      <c r="L30" s="1554"/>
      <c r="M30" s="1554"/>
    </row>
    <row r="31" spans="1:13" s="1580" customFormat="1" ht="22.9" customHeight="1">
      <c r="A31" s="1591" t="s">
        <v>941</v>
      </c>
      <c r="C31" s="1584" t="s">
        <v>58</v>
      </c>
      <c r="D31" s="1567">
        <v>982884</v>
      </c>
      <c r="E31" s="1567">
        <v>0</v>
      </c>
      <c r="F31" s="1567">
        <v>29870153</v>
      </c>
      <c r="G31" s="1567">
        <v>0</v>
      </c>
      <c r="H31" s="1567">
        <v>0</v>
      </c>
      <c r="I31" s="1567">
        <v>2055000</v>
      </c>
      <c r="J31" s="1567">
        <v>0</v>
      </c>
      <c r="K31" s="1567">
        <v>0</v>
      </c>
      <c r="L31" s="1567">
        <v>0</v>
      </c>
      <c r="M31" s="1567">
        <v>0</v>
      </c>
    </row>
    <row r="32" spans="1:13" s="1580" customFormat="1" ht="22.9" customHeight="1">
      <c r="C32" s="1584"/>
      <c r="D32" s="1554"/>
      <c r="E32" s="1554"/>
      <c r="F32" s="1554"/>
      <c r="G32" s="1554"/>
      <c r="H32" s="1554"/>
      <c r="I32" s="1554"/>
      <c r="J32" s="1554"/>
      <c r="K32" s="1554"/>
      <c r="L32" s="1554"/>
      <c r="M32" s="1554"/>
    </row>
    <row r="33" spans="1:26" s="1580" customFormat="1" ht="22.9" customHeight="1">
      <c r="A33" s="1591" t="s">
        <v>949</v>
      </c>
      <c r="C33" s="1584" t="s">
        <v>58</v>
      </c>
      <c r="D33" s="1567">
        <v>0</v>
      </c>
      <c r="E33" s="1567">
        <v>0</v>
      </c>
      <c r="F33" s="1567">
        <v>0</v>
      </c>
      <c r="G33" s="1567">
        <v>0</v>
      </c>
      <c r="H33" s="1567">
        <v>0</v>
      </c>
      <c r="I33" s="1567">
        <v>0</v>
      </c>
      <c r="J33" s="1567">
        <v>0</v>
      </c>
      <c r="K33" s="1567">
        <v>0</v>
      </c>
      <c r="L33" s="1567">
        <v>0</v>
      </c>
      <c r="M33" s="1567">
        <v>0</v>
      </c>
    </row>
    <row r="34" spans="1:26" s="1580" customFormat="1" ht="22.9" customHeight="1">
      <c r="C34" s="1584"/>
      <c r="D34" s="1554"/>
      <c r="E34" s="1554"/>
      <c r="F34" s="1554"/>
      <c r="G34" s="1554"/>
      <c r="H34" s="1554"/>
      <c r="I34" s="1554"/>
      <c r="J34" s="1554"/>
      <c r="K34" s="1554"/>
      <c r="L34" s="1554"/>
      <c r="M34" s="1554"/>
    </row>
    <row r="35" spans="1:26" s="1580" customFormat="1" ht="22.9" customHeight="1">
      <c r="A35" s="1591" t="s">
        <v>940</v>
      </c>
      <c r="C35" s="1584"/>
      <c r="D35" s="1567">
        <v>285150605</v>
      </c>
      <c r="E35" s="1567">
        <v>122553508</v>
      </c>
      <c r="F35" s="1567">
        <v>34722060</v>
      </c>
      <c r="G35" s="1567">
        <v>15491268</v>
      </c>
      <c r="H35" s="1567">
        <v>1965000</v>
      </c>
      <c r="I35" s="1567">
        <v>17216540</v>
      </c>
      <c r="J35" s="1567">
        <v>13854130</v>
      </c>
      <c r="K35" s="1567">
        <v>16993276</v>
      </c>
      <c r="L35" s="1567">
        <v>7516783</v>
      </c>
      <c r="M35" s="1567">
        <v>19410683</v>
      </c>
    </row>
    <row r="36" spans="1:26" s="1580" customFormat="1" ht="22.9" customHeight="1">
      <c r="C36" s="1584"/>
      <c r="D36" s="1554"/>
      <c r="E36" s="1554"/>
      <c r="F36" s="1554"/>
      <c r="G36" s="1554"/>
      <c r="H36" s="1554"/>
      <c r="I36" s="1554"/>
      <c r="J36" s="1554"/>
      <c r="K36" s="1554"/>
      <c r="L36" s="1554"/>
      <c r="M36" s="1554"/>
    </row>
    <row r="37" spans="1:26" s="1584" customFormat="1" ht="22.9" customHeight="1" thickBot="1">
      <c r="A37" s="1592" t="s">
        <v>946</v>
      </c>
      <c r="B37" s="1592"/>
      <c r="C37" s="1584" t="s">
        <v>424</v>
      </c>
      <c r="D37" s="1568">
        <v>345277771</v>
      </c>
      <c r="E37" s="1568">
        <v>168098780</v>
      </c>
      <c r="F37" s="1568">
        <v>50117301</v>
      </c>
      <c r="G37" s="1568">
        <v>31636882</v>
      </c>
      <c r="H37" s="1568">
        <v>27933741</v>
      </c>
      <c r="I37" s="1568">
        <v>26327525</v>
      </c>
      <c r="J37" s="1568">
        <v>25636561</v>
      </c>
      <c r="K37" s="1568">
        <v>24535303</v>
      </c>
      <c r="L37" s="1568">
        <v>24269813</v>
      </c>
      <c r="M37" s="1568">
        <v>22568407</v>
      </c>
    </row>
    <row r="38" spans="1:26" s="1580" customFormat="1" ht="22.9" customHeight="1" thickTop="1">
      <c r="C38" s="1584"/>
      <c r="D38" s="1554"/>
      <c r="E38" s="1554"/>
      <c r="F38" s="1554"/>
      <c r="G38" s="1554"/>
      <c r="H38" s="1554"/>
      <c r="I38" s="1554"/>
      <c r="J38" s="1554"/>
      <c r="K38" s="1554"/>
      <c r="L38" s="1554"/>
      <c r="M38" s="1554"/>
    </row>
    <row r="39" spans="1:26" s="1580" customFormat="1" ht="22.9" customHeight="1">
      <c r="A39" s="1584"/>
      <c r="C39" s="1584"/>
      <c r="D39" s="1558" t="s">
        <v>58</v>
      </c>
      <c r="E39" s="1554"/>
      <c r="F39" s="1554"/>
      <c r="G39" s="1554"/>
      <c r="H39" s="1554"/>
      <c r="I39" s="1554"/>
      <c r="J39" s="1554"/>
      <c r="K39" s="1554"/>
      <c r="L39" s="1554"/>
      <c r="M39" s="1554"/>
      <c r="S39" s="1584"/>
      <c r="T39" s="1584"/>
    </row>
    <row r="40" spans="1:26" s="1580" customFormat="1" ht="22.9" customHeight="1">
      <c r="C40" s="1584"/>
      <c r="D40" s="1554"/>
      <c r="E40" s="1554"/>
      <c r="F40" s="1554"/>
      <c r="G40" s="1554"/>
      <c r="H40" s="1554"/>
      <c r="I40" s="1554"/>
      <c r="J40" s="1554"/>
      <c r="K40" s="1554"/>
      <c r="L40" s="1554"/>
      <c r="M40" s="1554"/>
    </row>
    <row r="41" spans="1:26" s="1580" customFormat="1" ht="22.9" customHeight="1">
      <c r="A41" s="1584" t="s">
        <v>811</v>
      </c>
      <c r="C41" s="1584"/>
      <c r="D41" s="1554"/>
      <c r="E41" s="1554"/>
      <c r="F41" s="1554"/>
      <c r="G41" s="1554"/>
      <c r="H41" s="1554"/>
      <c r="I41" s="1554"/>
      <c r="J41" s="1554"/>
      <c r="K41" s="1554"/>
      <c r="L41" s="1554"/>
      <c r="M41" s="1554"/>
    </row>
    <row r="42" spans="1:26" s="1580" customFormat="1" ht="22.9" customHeight="1">
      <c r="A42" s="1580" t="s">
        <v>442</v>
      </c>
      <c r="C42" s="1584" t="s">
        <v>424</v>
      </c>
      <c r="D42" s="1554">
        <v>3427604</v>
      </c>
      <c r="E42" s="1554">
        <v>0</v>
      </c>
      <c r="F42" s="1554">
        <v>0</v>
      </c>
      <c r="G42" s="1554">
        <v>0</v>
      </c>
      <c r="H42" s="1554">
        <v>0</v>
      </c>
      <c r="I42" s="1554">
        <v>0</v>
      </c>
      <c r="J42" s="1554">
        <v>0</v>
      </c>
      <c r="K42" s="1554">
        <v>0</v>
      </c>
      <c r="L42" s="1554">
        <v>0</v>
      </c>
      <c r="M42" s="1554">
        <v>0</v>
      </c>
    </row>
    <row r="43" spans="1:26" s="1577" customFormat="1" ht="22.9" customHeight="1">
      <c r="A43" s="1577" t="s">
        <v>443</v>
      </c>
      <c r="C43" s="1576"/>
      <c r="D43" s="1554">
        <v>841791</v>
      </c>
      <c r="E43" s="1554">
        <v>0</v>
      </c>
      <c r="F43" s="1554">
        <v>0</v>
      </c>
      <c r="G43" s="1554">
        <v>0</v>
      </c>
      <c r="H43" s="1554">
        <v>0</v>
      </c>
      <c r="I43" s="1554">
        <v>0</v>
      </c>
      <c r="J43" s="1554">
        <v>0</v>
      </c>
      <c r="K43" s="1554">
        <v>0</v>
      </c>
      <c r="L43" s="1554">
        <v>0</v>
      </c>
      <c r="M43" s="1554">
        <v>0</v>
      </c>
      <c r="N43" s="1580"/>
      <c r="S43" s="1580"/>
      <c r="T43" s="1580"/>
      <c r="U43" s="1580"/>
      <c r="V43" s="1580"/>
      <c r="W43" s="1580"/>
      <c r="X43" s="1580"/>
      <c r="Y43" s="1580"/>
      <c r="Z43" s="1580"/>
    </row>
    <row r="44" spans="1:26" s="1577" customFormat="1" ht="22.9" customHeight="1">
      <c r="A44" s="1577" t="s">
        <v>444</v>
      </c>
      <c r="C44" s="1576"/>
      <c r="D44" s="1554">
        <v>897147</v>
      </c>
      <c r="E44" s="1554">
        <v>0</v>
      </c>
      <c r="F44" s="1554">
        <v>0</v>
      </c>
      <c r="G44" s="1554">
        <v>0</v>
      </c>
      <c r="H44" s="1554">
        <v>0</v>
      </c>
      <c r="I44" s="1554">
        <v>0</v>
      </c>
      <c r="J44" s="1554">
        <v>0</v>
      </c>
      <c r="K44" s="1554">
        <v>0</v>
      </c>
      <c r="L44" s="1554">
        <v>0</v>
      </c>
      <c r="M44" s="1554">
        <v>0</v>
      </c>
      <c r="N44" s="1580"/>
      <c r="S44" s="1580"/>
      <c r="T44" s="1580"/>
      <c r="U44" s="1580"/>
      <c r="V44" s="1580"/>
      <c r="W44" s="1580"/>
      <c r="X44" s="1580"/>
      <c r="Y44" s="1580"/>
      <c r="Z44" s="1580"/>
    </row>
    <row r="45" spans="1:26" s="1577" customFormat="1" ht="22.9" customHeight="1">
      <c r="A45" s="1577" t="s">
        <v>445</v>
      </c>
      <c r="C45" s="1576"/>
      <c r="D45" s="1554">
        <v>1097238</v>
      </c>
      <c r="E45" s="1554">
        <v>0</v>
      </c>
      <c r="F45" s="1554">
        <v>0</v>
      </c>
      <c r="G45" s="1554">
        <v>0</v>
      </c>
      <c r="H45" s="1554">
        <v>0</v>
      </c>
      <c r="I45" s="1554">
        <v>0</v>
      </c>
      <c r="J45" s="1554">
        <v>0</v>
      </c>
      <c r="K45" s="1554">
        <v>0</v>
      </c>
      <c r="L45" s="1554">
        <v>0</v>
      </c>
      <c r="M45" s="1554">
        <v>0</v>
      </c>
      <c r="N45" s="1580"/>
      <c r="S45" s="1580"/>
      <c r="T45" s="1580"/>
      <c r="U45" s="1580"/>
      <c r="V45" s="1580"/>
      <c r="W45" s="1580"/>
      <c r="X45" s="1580"/>
      <c r="Y45" s="1580"/>
      <c r="Z45" s="1580"/>
    </row>
    <row r="46" spans="1:26" s="1577" customFormat="1" ht="22.9" customHeight="1">
      <c r="A46" s="1577" t="s">
        <v>446</v>
      </c>
      <c r="C46" s="1576"/>
      <c r="D46" s="1554">
        <v>4623459</v>
      </c>
      <c r="E46" s="1554">
        <v>0</v>
      </c>
      <c r="F46" s="1554">
        <v>0</v>
      </c>
      <c r="G46" s="1554">
        <v>0</v>
      </c>
      <c r="H46" s="1554">
        <v>0</v>
      </c>
      <c r="I46" s="1554">
        <v>0</v>
      </c>
      <c r="J46" s="1554">
        <v>0</v>
      </c>
      <c r="K46" s="1554">
        <v>0</v>
      </c>
      <c r="L46" s="1554">
        <v>0</v>
      </c>
      <c r="M46" s="1554">
        <v>0</v>
      </c>
      <c r="N46" s="1580"/>
      <c r="S46" s="1580"/>
      <c r="T46" s="1580"/>
      <c r="U46" s="1580"/>
      <c r="V46" s="1580"/>
      <c r="W46" s="1580"/>
      <c r="X46" s="1580"/>
      <c r="Y46" s="1580"/>
      <c r="Z46" s="1580"/>
    </row>
    <row r="47" spans="1:26" s="1577" customFormat="1" ht="22.9" customHeight="1">
      <c r="A47" s="1577" t="s">
        <v>448</v>
      </c>
      <c r="C47" s="1576"/>
      <c r="D47" s="1554">
        <v>6885623</v>
      </c>
      <c r="E47" s="1554">
        <v>0</v>
      </c>
      <c r="F47" s="1554">
        <v>0</v>
      </c>
      <c r="G47" s="1554">
        <v>0</v>
      </c>
      <c r="H47" s="1554">
        <v>0</v>
      </c>
      <c r="I47" s="1554">
        <v>0</v>
      </c>
      <c r="J47" s="1554">
        <v>0</v>
      </c>
      <c r="K47" s="1554">
        <v>0</v>
      </c>
      <c r="L47" s="1554">
        <v>0</v>
      </c>
      <c r="M47" s="1554">
        <v>0</v>
      </c>
      <c r="N47" s="1580"/>
      <c r="S47" s="1580"/>
      <c r="T47" s="1580"/>
      <c r="U47" s="1580"/>
      <c r="V47" s="1580"/>
      <c r="W47" s="1580"/>
      <c r="X47" s="1580"/>
      <c r="Y47" s="1580"/>
      <c r="Z47" s="1580"/>
    </row>
    <row r="48" spans="1:26" s="1577" customFormat="1" ht="22.9" customHeight="1">
      <c r="A48" s="1577" t="s">
        <v>683</v>
      </c>
      <c r="C48" s="1576"/>
      <c r="D48" s="1554">
        <v>63777748</v>
      </c>
      <c r="E48" s="1554">
        <v>0</v>
      </c>
      <c r="F48" s="1569">
        <v>0</v>
      </c>
      <c r="G48" s="1554">
        <v>0</v>
      </c>
      <c r="H48" s="1554">
        <v>0</v>
      </c>
      <c r="I48" s="1554">
        <v>0</v>
      </c>
      <c r="J48" s="1554">
        <v>0</v>
      </c>
      <c r="K48" s="1554">
        <v>0</v>
      </c>
      <c r="L48" s="1554">
        <v>0</v>
      </c>
      <c r="M48" s="1554">
        <v>0</v>
      </c>
      <c r="N48" s="1580"/>
      <c r="S48" s="1580"/>
      <c r="T48" s="1580"/>
      <c r="U48" s="1580"/>
      <c r="V48" s="1580"/>
      <c r="W48" s="1580"/>
      <c r="X48" s="1580"/>
      <c r="Y48" s="1580"/>
      <c r="Z48" s="1580"/>
    </row>
    <row r="49" spans="1:26" s="1577" customFormat="1" ht="22.9" customHeight="1">
      <c r="A49" s="1577" t="s">
        <v>450</v>
      </c>
      <c r="C49" s="1576"/>
      <c r="D49" s="1554">
        <v>2423782</v>
      </c>
      <c r="E49" s="1554">
        <v>0</v>
      </c>
      <c r="F49" s="1554">
        <v>0</v>
      </c>
      <c r="G49" s="1554">
        <v>0</v>
      </c>
      <c r="H49" s="1554">
        <v>0</v>
      </c>
      <c r="I49" s="1554">
        <v>0</v>
      </c>
      <c r="J49" s="1554">
        <v>0</v>
      </c>
      <c r="K49" s="1554">
        <v>0</v>
      </c>
      <c r="L49" s="1554">
        <v>0</v>
      </c>
      <c r="M49" s="1554">
        <v>21380199</v>
      </c>
      <c r="N49" s="1580"/>
      <c r="S49" s="1580"/>
      <c r="T49" s="1580"/>
      <c r="U49" s="1580"/>
      <c r="V49" s="1580"/>
      <c r="W49" s="1580"/>
      <c r="X49" s="1580"/>
      <c r="Y49" s="1580"/>
      <c r="Z49" s="1580"/>
    </row>
    <row r="50" spans="1:26" s="1577" customFormat="1" ht="22.9" customHeight="1">
      <c r="A50" s="1577" t="s">
        <v>483</v>
      </c>
      <c r="C50" s="1576"/>
      <c r="D50" s="1554">
        <v>0</v>
      </c>
      <c r="E50" s="1554">
        <v>0</v>
      </c>
      <c r="F50" s="1554">
        <v>0</v>
      </c>
      <c r="G50" s="1554">
        <v>0</v>
      </c>
      <c r="H50" s="1554">
        <v>0</v>
      </c>
      <c r="I50" s="1554">
        <v>0</v>
      </c>
      <c r="J50" s="1554">
        <v>0</v>
      </c>
      <c r="K50" s="1554">
        <v>0</v>
      </c>
      <c r="L50" s="1554">
        <v>0</v>
      </c>
      <c r="M50" s="1554">
        <v>0</v>
      </c>
      <c r="N50" s="1580"/>
      <c r="S50" s="1580"/>
      <c r="T50" s="1580"/>
      <c r="U50" s="1580"/>
      <c r="V50" s="1580"/>
      <c r="W50" s="1580"/>
      <c r="X50" s="1580"/>
      <c r="Y50" s="1580"/>
      <c r="Z50" s="1580"/>
    </row>
    <row r="51" spans="1:26" s="1577" customFormat="1" ht="22.9" customHeight="1">
      <c r="A51" s="1577" t="s">
        <v>454</v>
      </c>
      <c r="C51" s="1576"/>
      <c r="D51" s="1554">
        <v>38816281</v>
      </c>
      <c r="E51" s="1554">
        <v>0</v>
      </c>
      <c r="F51" s="1554">
        <v>0</v>
      </c>
      <c r="G51" s="1554">
        <v>0</v>
      </c>
      <c r="H51" s="1558">
        <v>870000</v>
      </c>
      <c r="I51" s="1554">
        <v>10635592</v>
      </c>
      <c r="J51" s="1554">
        <v>0</v>
      </c>
      <c r="K51" s="1554">
        <v>0</v>
      </c>
      <c r="L51" s="1554">
        <v>0</v>
      </c>
      <c r="M51" s="1554">
        <v>0</v>
      </c>
      <c r="N51" s="1580"/>
      <c r="S51" s="1580"/>
      <c r="T51" s="1580"/>
      <c r="U51" s="1580"/>
      <c r="V51" s="1580"/>
      <c r="W51" s="1580"/>
      <c r="X51" s="1580"/>
      <c r="Y51" s="1580"/>
      <c r="Z51" s="1580"/>
    </row>
    <row r="52" spans="1:26" s="1577" customFormat="1" ht="22.9" customHeight="1">
      <c r="A52" s="1577" t="s">
        <v>456</v>
      </c>
      <c r="C52" s="1576"/>
      <c r="D52" s="1554">
        <v>93989773</v>
      </c>
      <c r="E52" s="1554">
        <v>0</v>
      </c>
      <c r="F52" s="1554">
        <v>0</v>
      </c>
      <c r="G52" s="1554">
        <v>0</v>
      </c>
      <c r="H52" s="1554">
        <v>0</v>
      </c>
      <c r="I52" s="1554">
        <v>0</v>
      </c>
      <c r="J52" s="1554">
        <v>0</v>
      </c>
      <c r="K52" s="1554">
        <v>0</v>
      </c>
      <c r="L52" s="1554">
        <v>0</v>
      </c>
      <c r="M52" s="1554">
        <v>0</v>
      </c>
      <c r="N52" s="1580"/>
      <c r="S52" s="1580"/>
      <c r="T52" s="1580"/>
      <c r="U52" s="1580"/>
      <c r="V52" s="1580"/>
      <c r="W52" s="1580"/>
      <c r="X52" s="1580"/>
      <c r="Y52" s="1580"/>
      <c r="Z52" s="1580"/>
    </row>
    <row r="53" spans="1:26" s="1577" customFormat="1" ht="22.9" customHeight="1">
      <c r="A53" s="1577" t="s">
        <v>459</v>
      </c>
      <c r="C53" s="1576"/>
      <c r="D53" s="1554">
        <v>5029212</v>
      </c>
      <c r="E53" s="1554">
        <v>85984321</v>
      </c>
      <c r="F53" s="1554">
        <v>0</v>
      </c>
      <c r="G53" s="1554">
        <v>0</v>
      </c>
      <c r="H53" s="1554">
        <v>0</v>
      </c>
      <c r="I53" s="1554">
        <v>9321584</v>
      </c>
      <c r="J53" s="1554">
        <v>0</v>
      </c>
      <c r="K53" s="1554">
        <v>15276678</v>
      </c>
      <c r="L53" s="1554">
        <v>0</v>
      </c>
      <c r="M53" s="1554">
        <v>0</v>
      </c>
      <c r="N53" s="1580"/>
      <c r="S53" s="1580"/>
      <c r="T53" s="1580"/>
      <c r="U53" s="1580"/>
      <c r="V53" s="1580"/>
      <c r="W53" s="1580"/>
      <c r="X53" s="1580"/>
      <c r="Y53" s="1580"/>
      <c r="Z53" s="1580"/>
    </row>
    <row r="54" spans="1:26" s="1577" customFormat="1" ht="22.9" customHeight="1">
      <c r="A54" s="1577" t="s">
        <v>570</v>
      </c>
      <c r="C54" s="1576"/>
      <c r="D54" s="1554">
        <v>7541021</v>
      </c>
      <c r="E54" s="1554">
        <v>0</v>
      </c>
      <c r="F54" s="1558">
        <v>0</v>
      </c>
      <c r="G54" s="1558">
        <v>10804251</v>
      </c>
      <c r="H54" s="1558">
        <v>0</v>
      </c>
      <c r="I54" s="1554">
        <v>0</v>
      </c>
      <c r="J54" s="1554">
        <v>0</v>
      </c>
      <c r="K54" s="1554"/>
      <c r="L54" s="1554">
        <v>0</v>
      </c>
      <c r="M54" s="1554">
        <v>0</v>
      </c>
      <c r="N54" s="1580"/>
      <c r="S54" s="1580"/>
      <c r="T54" s="1580"/>
      <c r="U54" s="1580"/>
      <c r="V54" s="1580"/>
      <c r="W54" s="1580"/>
      <c r="X54" s="1580"/>
      <c r="Y54" s="1580"/>
      <c r="Z54" s="1580"/>
    </row>
    <row r="55" spans="1:26" s="1577" customFormat="1" ht="22.9" customHeight="1">
      <c r="A55" s="1577" t="s">
        <v>476</v>
      </c>
      <c r="C55" s="1576"/>
      <c r="D55" s="1554">
        <v>1912667</v>
      </c>
      <c r="E55" s="1554">
        <v>0</v>
      </c>
      <c r="F55" s="1554">
        <v>0</v>
      </c>
      <c r="G55" s="1554">
        <v>0</v>
      </c>
      <c r="H55" s="1554">
        <v>0</v>
      </c>
      <c r="I55" s="1554">
        <v>0</v>
      </c>
      <c r="J55" s="1554">
        <v>14314994</v>
      </c>
      <c r="K55" s="1554"/>
      <c r="L55" s="1554">
        <v>7170848</v>
      </c>
      <c r="M55" s="1554">
        <v>0</v>
      </c>
      <c r="N55" s="1580"/>
      <c r="S55" s="1580"/>
      <c r="T55" s="1580"/>
      <c r="U55" s="1580"/>
      <c r="V55" s="1580"/>
      <c r="W55" s="1580"/>
      <c r="X55" s="1580"/>
      <c r="Y55" s="1580"/>
      <c r="Z55" s="1580"/>
    </row>
    <row r="56" spans="1:26" s="1580" customFormat="1" ht="22.9" customHeight="1">
      <c r="A56" s="1580" t="s">
        <v>16</v>
      </c>
      <c r="C56" s="1584"/>
      <c r="D56" s="1554">
        <v>0</v>
      </c>
      <c r="E56" s="1554">
        <v>33117134</v>
      </c>
      <c r="F56" s="1554">
        <v>34632541</v>
      </c>
      <c r="G56" s="1554">
        <v>0</v>
      </c>
      <c r="H56" s="1554">
        <v>0</v>
      </c>
      <c r="I56" s="1554">
        <v>0</v>
      </c>
      <c r="J56" s="1554">
        <v>0</v>
      </c>
      <c r="K56" s="1554"/>
      <c r="L56" s="1554">
        <v>0</v>
      </c>
      <c r="M56" s="1554">
        <v>0</v>
      </c>
    </row>
    <row r="57" spans="1:26" s="1577" customFormat="1" ht="22.9" customHeight="1">
      <c r="A57" s="1577" t="s">
        <v>460</v>
      </c>
      <c r="C57" s="1576"/>
      <c r="D57" s="1554">
        <v>16711983</v>
      </c>
      <c r="E57" s="1554">
        <v>0</v>
      </c>
      <c r="F57" s="1554">
        <v>0</v>
      </c>
      <c r="G57" s="1554">
        <v>0</v>
      </c>
      <c r="H57" s="1558">
        <v>0</v>
      </c>
      <c r="I57" s="1554">
        <v>0</v>
      </c>
      <c r="J57" s="1554">
        <v>0</v>
      </c>
      <c r="K57" s="1554"/>
      <c r="L57" s="1554">
        <v>0</v>
      </c>
      <c r="M57" s="1554">
        <v>0</v>
      </c>
      <c r="N57" s="1580"/>
      <c r="S57" s="1580"/>
      <c r="T57" s="1580"/>
      <c r="U57" s="1580"/>
      <c r="V57" s="1580"/>
      <c r="W57" s="1580"/>
      <c r="X57" s="1580"/>
      <c r="Y57" s="1580"/>
      <c r="Z57" s="1580"/>
    </row>
    <row r="58" spans="1:26" s="1576" customFormat="1" ht="22.9" customHeight="1">
      <c r="A58" s="1583" t="s">
        <v>943</v>
      </c>
      <c r="C58" s="1576" t="s">
        <v>58</v>
      </c>
      <c r="D58" s="1565">
        <v>247975329</v>
      </c>
      <c r="E58" s="1565">
        <v>119101455</v>
      </c>
      <c r="F58" s="1565">
        <v>34632541</v>
      </c>
      <c r="G58" s="1565">
        <v>10804251</v>
      </c>
      <c r="H58" s="1565">
        <v>870000</v>
      </c>
      <c r="I58" s="1565">
        <v>19957176</v>
      </c>
      <c r="J58" s="1565">
        <v>14314994</v>
      </c>
      <c r="K58" s="1565">
        <v>15276678</v>
      </c>
      <c r="L58" s="1565">
        <v>7170848</v>
      </c>
      <c r="M58" s="1565">
        <v>21380199</v>
      </c>
      <c r="N58" s="1593"/>
      <c r="S58" s="1584"/>
      <c r="T58" s="1584"/>
      <c r="U58" s="1584"/>
      <c r="V58" s="1584"/>
      <c r="W58" s="1584"/>
      <c r="X58" s="1584"/>
      <c r="Y58" s="1584"/>
      <c r="Z58" s="1584"/>
    </row>
    <row r="59" spans="1:26" s="1577" customFormat="1" ht="22.9" customHeight="1">
      <c r="C59" s="1576"/>
      <c r="D59" s="1570"/>
      <c r="E59" s="1554"/>
      <c r="F59" s="1554"/>
      <c r="G59" s="1554"/>
      <c r="H59" s="1554"/>
      <c r="I59" s="1554"/>
      <c r="J59" s="1554"/>
      <c r="K59" s="1554"/>
      <c r="L59" s="1554"/>
      <c r="M59" s="1554"/>
      <c r="N59" s="1580"/>
      <c r="S59" s="1580"/>
      <c r="T59" s="1580"/>
      <c r="U59" s="1580"/>
      <c r="V59" s="1580"/>
      <c r="W59" s="1580"/>
      <c r="X59" s="1580"/>
      <c r="Y59" s="1580"/>
      <c r="Z59" s="1580"/>
    </row>
    <row r="60" spans="1:26" s="1577" customFormat="1" ht="22.9" customHeight="1">
      <c r="A60" s="1576" t="s">
        <v>462</v>
      </c>
      <c r="C60" s="1576"/>
      <c r="D60" s="1570"/>
      <c r="E60" s="1554"/>
      <c r="F60" s="1554"/>
      <c r="G60" s="1554"/>
      <c r="H60" s="1554"/>
      <c r="I60" s="1554"/>
      <c r="J60" s="1554"/>
      <c r="K60" s="1554"/>
      <c r="L60" s="1554"/>
      <c r="M60" s="1554"/>
      <c r="N60" s="1580"/>
      <c r="S60" s="1580"/>
      <c r="T60" s="1580"/>
      <c r="U60" s="1580"/>
      <c r="V60" s="1580"/>
      <c r="W60" s="1580"/>
      <c r="X60" s="1580"/>
      <c r="Y60" s="1580"/>
      <c r="Z60" s="1580"/>
    </row>
    <row r="61" spans="1:26" s="1577" customFormat="1" ht="22.9" customHeight="1">
      <c r="A61" s="1577" t="s">
        <v>463</v>
      </c>
      <c r="C61" s="1576"/>
      <c r="D61" s="1554">
        <v>28642712</v>
      </c>
      <c r="E61" s="1554">
        <v>2385793</v>
      </c>
      <c r="F61" s="1554">
        <v>0</v>
      </c>
      <c r="G61" s="1554">
        <v>1443735</v>
      </c>
      <c r="H61" s="1554">
        <v>0</v>
      </c>
      <c r="I61" s="1554">
        <v>419095</v>
      </c>
      <c r="J61" s="1554">
        <v>362672</v>
      </c>
      <c r="K61" s="1571">
        <v>31562</v>
      </c>
      <c r="L61" s="1554">
        <v>103663</v>
      </c>
      <c r="M61" s="1554">
        <v>90280</v>
      </c>
      <c r="N61" s="1580"/>
      <c r="S61" s="1580"/>
      <c r="T61" s="1580"/>
      <c r="U61" s="1580"/>
      <c r="V61" s="1580"/>
      <c r="W61" s="1580"/>
      <c r="X61" s="1580"/>
      <c r="Y61" s="1580"/>
      <c r="Z61" s="1580"/>
    </row>
    <row r="62" spans="1:26" s="1577" customFormat="1" ht="22.9" customHeight="1">
      <c r="A62" s="1577" t="s">
        <v>464</v>
      </c>
      <c r="C62" s="1576"/>
      <c r="D62" s="1554">
        <v>2718199</v>
      </c>
      <c r="E62" s="1554">
        <v>0</v>
      </c>
      <c r="F62" s="1554">
        <v>0</v>
      </c>
      <c r="G62" s="1554">
        <v>0</v>
      </c>
      <c r="H62" s="1554">
        <v>0</v>
      </c>
      <c r="I62" s="1554">
        <v>0</v>
      </c>
      <c r="J62" s="1554">
        <v>0</v>
      </c>
      <c r="K62" s="1554">
        <v>0</v>
      </c>
      <c r="L62" s="1554">
        <v>0</v>
      </c>
      <c r="M62" s="1554">
        <v>0</v>
      </c>
      <c r="N62" s="1580"/>
      <c r="S62" s="1580"/>
      <c r="T62" s="1580"/>
      <c r="U62" s="1580"/>
      <c r="V62" s="1580"/>
      <c r="W62" s="1580"/>
      <c r="X62" s="1580"/>
      <c r="Y62" s="1580"/>
      <c r="Z62" s="1580"/>
    </row>
    <row r="63" spans="1:26" s="1577" customFormat="1" ht="22.9" hidden="1" customHeight="1">
      <c r="A63" s="1577" t="s">
        <v>906</v>
      </c>
      <c r="C63" s="1576"/>
      <c r="D63" s="1554">
        <v>0</v>
      </c>
      <c r="E63" s="1554">
        <v>0</v>
      </c>
      <c r="F63" s="1554">
        <v>0</v>
      </c>
      <c r="G63" s="1554">
        <v>0</v>
      </c>
      <c r="H63" s="1554">
        <v>0</v>
      </c>
      <c r="I63" s="1554">
        <v>0</v>
      </c>
      <c r="J63" s="1554">
        <v>0</v>
      </c>
      <c r="K63" s="1554">
        <v>0</v>
      </c>
      <c r="L63" s="1554">
        <v>0</v>
      </c>
      <c r="M63" s="1554">
        <v>0</v>
      </c>
      <c r="N63" s="1580"/>
      <c r="S63" s="1580"/>
      <c r="T63" s="1580"/>
      <c r="U63" s="1580"/>
      <c r="V63" s="1580"/>
      <c r="W63" s="1580"/>
      <c r="X63" s="1580"/>
      <c r="Y63" s="1580"/>
      <c r="Z63" s="1580"/>
    </row>
    <row r="64" spans="1:26" s="1577" customFormat="1" ht="22.9" customHeight="1">
      <c r="A64" s="1577" t="s">
        <v>465</v>
      </c>
      <c r="C64" s="1576"/>
      <c r="D64" s="1557">
        <v>4809475</v>
      </c>
      <c r="E64" s="1558">
        <v>5288711</v>
      </c>
      <c r="F64" s="1554">
        <v>0</v>
      </c>
      <c r="G64" s="1554">
        <v>0</v>
      </c>
      <c r="H64" s="1554">
        <v>0</v>
      </c>
      <c r="I64" s="1558">
        <v>0</v>
      </c>
      <c r="J64" s="1558">
        <v>1000000</v>
      </c>
      <c r="K64" s="1558">
        <v>0</v>
      </c>
      <c r="L64" s="1558">
        <v>2064500</v>
      </c>
      <c r="M64" s="1558">
        <v>0</v>
      </c>
      <c r="N64" s="1580"/>
      <c r="O64" s="1582"/>
      <c r="S64" s="1580"/>
      <c r="T64" s="1580"/>
      <c r="U64" s="1580"/>
      <c r="V64" s="1580"/>
      <c r="W64" s="1580"/>
      <c r="X64" s="1580"/>
      <c r="Y64" s="1580"/>
      <c r="Z64" s="1580"/>
    </row>
    <row r="65" spans="1:26" s="1576" customFormat="1" ht="22.9" customHeight="1">
      <c r="A65" s="1583" t="s">
        <v>20</v>
      </c>
      <c r="C65" s="1576" t="s">
        <v>58</v>
      </c>
      <c r="D65" s="1556">
        <v>36170386</v>
      </c>
      <c r="E65" s="1556">
        <v>7674504</v>
      </c>
      <c r="F65" s="1556">
        <v>0</v>
      </c>
      <c r="G65" s="1556">
        <v>1443735</v>
      </c>
      <c r="H65" s="1556">
        <v>0</v>
      </c>
      <c r="I65" s="1556">
        <v>419095</v>
      </c>
      <c r="J65" s="1556">
        <v>1362672</v>
      </c>
      <c r="K65" s="1556">
        <v>31562</v>
      </c>
      <c r="L65" s="1556">
        <v>2168163</v>
      </c>
      <c r="M65" s="1556">
        <v>90280</v>
      </c>
      <c r="N65" s="1593"/>
      <c r="O65" s="1585"/>
      <c r="S65" s="1584"/>
      <c r="T65" s="1584"/>
      <c r="U65" s="1584"/>
      <c r="V65" s="1584"/>
      <c r="W65" s="1584"/>
      <c r="X65" s="1584"/>
      <c r="Y65" s="1584"/>
      <c r="Z65" s="1584"/>
    </row>
    <row r="66" spans="1:26" s="1577" customFormat="1" ht="22.9" customHeight="1">
      <c r="C66" s="1576"/>
      <c r="D66" s="1557"/>
      <c r="E66" s="1557"/>
      <c r="F66" s="1557"/>
      <c r="G66" s="1557"/>
      <c r="H66" s="1557"/>
      <c r="I66" s="1557"/>
      <c r="J66" s="1557"/>
      <c r="K66" s="1557"/>
      <c r="L66" s="1557"/>
      <c r="M66" s="1557"/>
      <c r="N66" s="1580"/>
      <c r="O66" s="1582"/>
      <c r="S66" s="1580"/>
      <c r="T66" s="1580"/>
      <c r="U66" s="1580"/>
      <c r="V66" s="1580"/>
      <c r="W66" s="1580"/>
      <c r="X66" s="1580"/>
      <c r="Y66" s="1580"/>
      <c r="Z66" s="1580"/>
    </row>
    <row r="67" spans="1:26" s="1576" customFormat="1" ht="22.9" customHeight="1">
      <c r="A67" s="1583" t="s">
        <v>944</v>
      </c>
      <c r="C67" s="1576" t="s">
        <v>58</v>
      </c>
      <c r="D67" s="1572">
        <v>284145715</v>
      </c>
      <c r="E67" s="1572">
        <v>126775959</v>
      </c>
      <c r="F67" s="1572">
        <v>34632541</v>
      </c>
      <c r="G67" s="1572">
        <v>12247986</v>
      </c>
      <c r="H67" s="1572">
        <v>870000</v>
      </c>
      <c r="I67" s="1572">
        <v>20376271</v>
      </c>
      <c r="J67" s="1572">
        <v>15677666</v>
      </c>
      <c r="K67" s="1572">
        <v>15308240</v>
      </c>
      <c r="L67" s="1572">
        <v>9339011</v>
      </c>
      <c r="M67" s="1572">
        <v>21470479</v>
      </c>
      <c r="N67" s="1593"/>
      <c r="S67" s="1584"/>
      <c r="T67" s="1584"/>
      <c r="U67" s="1584"/>
      <c r="V67" s="1584"/>
      <c r="W67" s="1584"/>
      <c r="X67" s="1584"/>
      <c r="Y67" s="1584"/>
      <c r="Z67" s="1584"/>
    </row>
    <row r="68" spans="1:26" s="1577" customFormat="1" ht="22.9" customHeight="1">
      <c r="C68" s="1576"/>
      <c r="D68" s="1570"/>
      <c r="E68" s="1554"/>
      <c r="F68" s="1554"/>
      <c r="G68" s="1554"/>
      <c r="H68" s="1554"/>
      <c r="I68" s="1554"/>
      <c r="J68" s="1554"/>
      <c r="K68" s="1554"/>
      <c r="L68" s="1554"/>
      <c r="M68" s="1554"/>
      <c r="N68" s="1580"/>
      <c r="S68" s="1580"/>
      <c r="T68" s="1580"/>
      <c r="U68" s="1580"/>
      <c r="V68" s="1580"/>
      <c r="W68" s="1580"/>
      <c r="X68" s="1580"/>
      <c r="Y68" s="1580"/>
      <c r="Z68" s="1580"/>
    </row>
    <row r="69" spans="1:26" s="1577" customFormat="1" ht="22.9" customHeight="1">
      <c r="A69" s="1583" t="s">
        <v>950</v>
      </c>
      <c r="C69" s="1576"/>
      <c r="D69" s="1572">
        <v>2104890</v>
      </c>
      <c r="E69" s="1567">
        <v>0</v>
      </c>
      <c r="F69" s="1567">
        <v>0</v>
      </c>
      <c r="G69" s="1567">
        <v>0</v>
      </c>
      <c r="H69" s="1567">
        <v>0</v>
      </c>
      <c r="I69" s="1567">
        <v>0</v>
      </c>
      <c r="J69" s="1567">
        <v>0</v>
      </c>
      <c r="K69" s="1567">
        <v>0</v>
      </c>
      <c r="L69" s="1567">
        <v>0</v>
      </c>
      <c r="M69" s="1567">
        <v>0</v>
      </c>
      <c r="N69" s="1580"/>
      <c r="O69" s="1582"/>
      <c r="S69" s="1580"/>
      <c r="T69" s="1580"/>
      <c r="U69" s="1580"/>
      <c r="V69" s="1580"/>
      <c r="W69" s="1580"/>
      <c r="X69" s="1580"/>
      <c r="Y69" s="1580"/>
      <c r="Z69" s="1580"/>
    </row>
    <row r="70" spans="1:26" s="1577" customFormat="1" ht="22.9" customHeight="1">
      <c r="C70" s="1576"/>
      <c r="D70" s="1570"/>
      <c r="E70" s="1554"/>
      <c r="F70" s="1554"/>
      <c r="G70" s="1554"/>
      <c r="H70" s="1554"/>
      <c r="I70" s="1554"/>
      <c r="J70" s="1554"/>
      <c r="K70" s="1554"/>
      <c r="L70" s="1554"/>
      <c r="M70" s="1554"/>
      <c r="N70" s="1580"/>
      <c r="S70" s="1580"/>
      <c r="T70" s="1580"/>
      <c r="U70" s="1580"/>
      <c r="V70" s="1580"/>
      <c r="W70" s="1580"/>
      <c r="X70" s="1580"/>
      <c r="Y70" s="1580"/>
      <c r="Z70" s="1580"/>
    </row>
    <row r="71" spans="1:26" s="1577" customFormat="1" ht="22.9" customHeight="1">
      <c r="A71" s="1576" t="s">
        <v>466</v>
      </c>
      <c r="C71" s="1576"/>
      <c r="D71" s="1570"/>
      <c r="E71" s="1554"/>
      <c r="F71" s="1554"/>
      <c r="G71" s="1554"/>
      <c r="H71" s="1554"/>
      <c r="I71" s="1554"/>
      <c r="J71" s="1554"/>
      <c r="K71" s="1554"/>
      <c r="L71" s="1554"/>
      <c r="M71" s="1554"/>
      <c r="N71" s="1580"/>
      <c r="S71" s="1580"/>
      <c r="T71" s="1580"/>
      <c r="U71" s="1580"/>
      <c r="V71" s="1580"/>
      <c r="W71" s="1580"/>
      <c r="X71" s="1580"/>
      <c r="Y71" s="1580"/>
      <c r="Z71" s="1580"/>
    </row>
    <row r="72" spans="1:26" s="1577" customFormat="1" ht="22.9" customHeight="1">
      <c r="A72" s="1577" t="s">
        <v>36</v>
      </c>
      <c r="C72" s="1576"/>
      <c r="D72" s="1554">
        <v>48934743</v>
      </c>
      <c r="E72" s="1554">
        <v>8707238</v>
      </c>
      <c r="F72" s="1554">
        <v>0</v>
      </c>
      <c r="G72" s="1554">
        <v>17228683</v>
      </c>
      <c r="H72" s="1554">
        <v>0</v>
      </c>
      <c r="I72" s="1554">
        <v>1510519</v>
      </c>
      <c r="J72" s="1554">
        <v>6291654</v>
      </c>
      <c r="K72" s="1554">
        <v>429517</v>
      </c>
      <c r="L72" s="1558">
        <v>0</v>
      </c>
      <c r="M72" s="1558">
        <v>1085712</v>
      </c>
      <c r="N72" s="1580"/>
      <c r="S72" s="1580"/>
      <c r="T72" s="1580"/>
      <c r="U72" s="1580"/>
      <c r="V72" s="1580"/>
      <c r="W72" s="1580"/>
      <c r="X72" s="1580"/>
      <c r="Y72" s="1580"/>
      <c r="Z72" s="1580"/>
    </row>
    <row r="73" spans="1:26" s="1577" customFormat="1" ht="22.9" customHeight="1">
      <c r="A73" s="1577" t="s">
        <v>782</v>
      </c>
      <c r="C73" s="1576"/>
      <c r="D73" s="1554">
        <v>4457240</v>
      </c>
      <c r="E73" s="1554">
        <v>0</v>
      </c>
      <c r="F73" s="1554">
        <v>0</v>
      </c>
      <c r="G73" s="1554">
        <v>0</v>
      </c>
      <c r="H73" s="1554">
        <v>0</v>
      </c>
      <c r="I73" s="1554">
        <v>0</v>
      </c>
      <c r="J73" s="1554">
        <v>0</v>
      </c>
      <c r="K73" s="1554">
        <v>0</v>
      </c>
      <c r="L73" s="1554">
        <v>0</v>
      </c>
      <c r="M73" s="1558">
        <v>0</v>
      </c>
      <c r="N73" s="1580"/>
      <c r="S73" s="1580"/>
      <c r="T73" s="1580"/>
      <c r="U73" s="1580"/>
      <c r="V73" s="1580"/>
      <c r="W73" s="1580"/>
      <c r="X73" s="1580"/>
      <c r="Y73" s="1580"/>
      <c r="Z73" s="1580"/>
    </row>
    <row r="74" spans="1:26" s="1577" customFormat="1" ht="22.9" customHeight="1">
      <c r="A74" s="1577" t="s">
        <v>690</v>
      </c>
      <c r="C74" s="1576"/>
      <c r="D74" s="1554">
        <v>5000000</v>
      </c>
      <c r="E74" s="1554">
        <v>0</v>
      </c>
      <c r="F74" s="1554">
        <v>0</v>
      </c>
      <c r="G74" s="1554">
        <v>0</v>
      </c>
      <c r="H74" s="1554">
        <v>0</v>
      </c>
      <c r="I74" s="1554">
        <v>0</v>
      </c>
      <c r="J74" s="1554">
        <v>0</v>
      </c>
      <c r="K74" s="1554">
        <v>0</v>
      </c>
      <c r="L74" s="1554">
        <v>0</v>
      </c>
      <c r="M74" s="1558">
        <v>0</v>
      </c>
      <c r="N74" s="1580"/>
      <c r="S74" s="1580"/>
      <c r="T74" s="1580"/>
      <c r="U74" s="1580"/>
      <c r="V74" s="1580"/>
      <c r="W74" s="1580"/>
      <c r="X74" s="1580"/>
      <c r="Y74" s="1580"/>
      <c r="Z74" s="1580"/>
    </row>
    <row r="75" spans="1:26" s="1577" customFormat="1" ht="22.9" customHeight="1">
      <c r="A75" s="1577" t="s">
        <v>841</v>
      </c>
      <c r="C75" s="1576"/>
      <c r="D75" s="1554">
        <v>635183</v>
      </c>
      <c r="E75" s="1573">
        <v>32615583</v>
      </c>
      <c r="F75" s="1573">
        <v>15484760</v>
      </c>
      <c r="G75" s="1554">
        <v>2160213</v>
      </c>
      <c r="H75" s="1554">
        <v>27063741</v>
      </c>
      <c r="I75" s="1554">
        <v>4440735</v>
      </c>
      <c r="J75" s="1554">
        <v>3667241</v>
      </c>
      <c r="K75" s="1554">
        <v>8797546</v>
      </c>
      <c r="L75" s="1573">
        <v>14930802</v>
      </c>
      <c r="M75" s="1573">
        <v>12216</v>
      </c>
      <c r="N75" s="1580"/>
      <c r="S75" s="1580"/>
      <c r="T75" s="1580"/>
      <c r="U75" s="1580"/>
      <c r="V75" s="1580"/>
      <c r="W75" s="1580"/>
      <c r="X75" s="1580"/>
      <c r="Y75" s="1580"/>
      <c r="Z75" s="1580"/>
    </row>
    <row r="76" spans="1:26" s="1576" customFormat="1" ht="22.9" customHeight="1">
      <c r="A76" s="1583" t="s">
        <v>945</v>
      </c>
      <c r="C76" s="1576" t="s">
        <v>58</v>
      </c>
      <c r="D76" s="1556">
        <v>59027166</v>
      </c>
      <c r="E76" s="1565">
        <v>41322821</v>
      </c>
      <c r="F76" s="1565">
        <v>15484760</v>
      </c>
      <c r="G76" s="1565">
        <v>19388896</v>
      </c>
      <c r="H76" s="1565">
        <v>27063741</v>
      </c>
      <c r="I76" s="1565">
        <v>5951254</v>
      </c>
      <c r="J76" s="1565">
        <v>9958895</v>
      </c>
      <c r="K76" s="1565">
        <v>9227063</v>
      </c>
      <c r="L76" s="1565">
        <v>14930802</v>
      </c>
      <c r="M76" s="1565">
        <v>1097928</v>
      </c>
      <c r="N76" s="1584"/>
      <c r="S76" s="1584"/>
      <c r="T76" s="1584"/>
      <c r="U76" s="1584"/>
      <c r="V76" s="1584"/>
      <c r="W76" s="1584"/>
      <c r="X76" s="1584"/>
      <c r="Y76" s="1584"/>
      <c r="Z76" s="1584"/>
    </row>
    <row r="77" spans="1:26" s="1577" customFormat="1" ht="22.9" customHeight="1">
      <c r="C77" s="1576"/>
      <c r="D77" s="1594"/>
      <c r="E77" s="1180"/>
      <c r="F77" s="1180"/>
      <c r="G77" s="1180"/>
      <c r="H77" s="1180"/>
      <c r="I77" s="1180"/>
      <c r="J77" s="1180"/>
      <c r="K77" s="1180"/>
      <c r="L77" s="1180"/>
      <c r="M77" s="1180"/>
      <c r="N77" s="1580"/>
      <c r="S77" s="1580"/>
      <c r="T77" s="1580"/>
      <c r="U77" s="1580"/>
      <c r="V77" s="1580"/>
      <c r="W77" s="1580"/>
      <c r="X77" s="1580"/>
      <c r="Y77" s="1580"/>
      <c r="Z77" s="1580"/>
    </row>
    <row r="78" spans="1:26" s="1584" customFormat="1" ht="22.9" customHeight="1" thickBot="1">
      <c r="A78" s="1592" t="s">
        <v>942</v>
      </c>
      <c r="B78" s="1592"/>
      <c r="C78" s="1584" t="s">
        <v>424</v>
      </c>
      <c r="D78" s="1544">
        <v>345277771</v>
      </c>
      <c r="E78" s="1544">
        <v>168098780</v>
      </c>
      <c r="F78" s="1544">
        <v>50117301</v>
      </c>
      <c r="G78" s="1544">
        <v>31636882</v>
      </c>
      <c r="H78" s="1544">
        <v>27933741</v>
      </c>
      <c r="I78" s="1544">
        <v>26327525</v>
      </c>
      <c r="J78" s="1544">
        <v>25636561</v>
      </c>
      <c r="K78" s="1544">
        <v>24535303</v>
      </c>
      <c r="L78" s="1544">
        <v>24269813</v>
      </c>
      <c r="M78" s="1544">
        <v>22568407</v>
      </c>
    </row>
    <row r="79" spans="1:26" s="1337" customFormat="1" ht="21.95" customHeight="1" thickTop="1">
      <c r="A79" s="1513"/>
      <c r="B79" s="1514"/>
      <c r="C79" s="1512"/>
      <c r="D79" s="1232"/>
      <c r="E79" s="483"/>
      <c r="F79" s="483"/>
      <c r="G79" s="1232" t="s">
        <v>58</v>
      </c>
      <c r="H79" s="483"/>
      <c r="I79" s="483"/>
      <c r="J79" s="483"/>
      <c r="K79" s="483"/>
      <c r="L79" s="483"/>
      <c r="M79" s="483"/>
      <c r="N79" s="1335"/>
      <c r="O79" s="1513"/>
      <c r="P79" s="1513"/>
      <c r="Q79" s="1513"/>
      <c r="R79" s="1513"/>
      <c r="S79" s="1513"/>
      <c r="T79" s="1335"/>
      <c r="U79" s="1335"/>
      <c r="V79" s="1335"/>
      <c r="W79" s="1335"/>
      <c r="X79" s="1335"/>
      <c r="Y79" s="1335"/>
      <c r="Z79" s="1335"/>
    </row>
    <row r="159" spans="4:4">
      <c r="D159" s="922">
        <v>0</v>
      </c>
    </row>
  </sheetData>
  <mergeCells count="4">
    <mergeCell ref="A1:M1"/>
    <mergeCell ref="A2:M2"/>
    <mergeCell ref="B3:M3"/>
    <mergeCell ref="A4:M4"/>
  </mergeCells>
  <printOptions horizontalCentered="1"/>
  <pageMargins left="0" right="0" top="0.25" bottom="0.17" header="0.17" footer="0.2"/>
  <pageSetup scale="4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A85"/>
  <sheetViews>
    <sheetView showGridLines="0" topLeftCell="A2" zoomScale="75" zoomScaleNormal="75" workbookViewId="0">
      <pane xSplit="3" ySplit="7" topLeftCell="D30" activePane="bottomRight" state="frozen"/>
      <selection activeCell="F89" sqref="F89"/>
      <selection pane="topRight" activeCell="F89" sqref="F89"/>
      <selection pane="bottomLeft" activeCell="F89" sqref="F89"/>
      <selection pane="bottomRight" activeCell="O2" sqref="O1:O1048576"/>
    </sheetView>
  </sheetViews>
  <sheetFormatPr defaultRowHeight="12.75"/>
  <cols>
    <col min="1" max="1" width="33.85546875" style="1355" customWidth="1"/>
    <col min="2" max="2" width="10.5703125" style="1355" customWidth="1"/>
    <col min="3" max="3" width="2.28515625" style="1516" bestFit="1" customWidth="1"/>
    <col min="4" max="4" width="21.85546875" style="922" bestFit="1" customWidth="1"/>
    <col min="5" max="5" width="17.7109375" style="922" bestFit="1" customWidth="1"/>
    <col min="6" max="6" width="17" style="922" customWidth="1"/>
    <col min="7" max="7" width="22.7109375" style="1226" bestFit="1" customWidth="1"/>
    <col min="8" max="8" width="19.7109375" style="1226" bestFit="1" customWidth="1"/>
    <col min="9" max="9" width="18.42578125" style="1226" bestFit="1" customWidth="1"/>
    <col min="10" max="10" width="19.85546875" style="1226" customWidth="1"/>
    <col min="11" max="11" width="15.28515625" style="1226" customWidth="1"/>
    <col min="12" max="12" width="14.5703125" style="1226" customWidth="1"/>
    <col min="13" max="13" width="14.140625" style="1226" customWidth="1"/>
    <col min="14" max="14" width="19.7109375" style="1226" customWidth="1"/>
    <col min="15" max="15" width="19.42578125" style="1353" customWidth="1"/>
    <col min="16" max="16" width="17.5703125" style="1355" customWidth="1"/>
    <col min="17" max="19" width="17.5703125" style="1353" bestFit="1" customWidth="1"/>
    <col min="20" max="27" width="9.140625" style="1353" customWidth="1"/>
    <col min="28" max="222" width="8.85546875" style="1355"/>
    <col min="223" max="223" width="44.5703125" style="1355" customWidth="1"/>
    <col min="224" max="224" width="14.28515625" style="1355" bestFit="1" customWidth="1"/>
    <col min="225" max="225" width="1.7109375" style="1355" customWidth="1"/>
    <col min="226" max="226" width="14.85546875" style="1355" customWidth="1"/>
    <col min="227" max="227" width="0" style="1355" hidden="1" customWidth="1"/>
    <col min="228" max="228" width="17.42578125" style="1355" customWidth="1"/>
    <col min="229" max="229" width="0" style="1355" hidden="1" customWidth="1"/>
    <col min="230" max="230" width="12.85546875" style="1355" customWidth="1"/>
    <col min="231" max="231" width="0" style="1355" hidden="1" customWidth="1"/>
    <col min="232" max="232" width="14.42578125" style="1355" customWidth="1"/>
    <col min="233" max="233" width="0" style="1355" hidden="1" customWidth="1"/>
    <col min="234" max="234" width="17.42578125" style="1355" customWidth="1"/>
    <col min="235" max="235" width="0" style="1355" hidden="1" customWidth="1"/>
    <col min="236" max="236" width="14" style="1355" customWidth="1"/>
    <col min="237" max="237" width="14.28515625" style="1355" bestFit="1" customWidth="1"/>
    <col min="238" max="238" width="0" style="1355" hidden="1" customWidth="1"/>
    <col min="239" max="239" width="15.5703125" style="1355" customWidth="1"/>
    <col min="240" max="240" width="44.5703125" style="1355" customWidth="1"/>
    <col min="241" max="241" width="14.28515625" style="1355" bestFit="1" customWidth="1"/>
    <col min="242" max="242" width="0" style="1355" hidden="1" customWidth="1"/>
    <col min="243" max="243" width="18.140625" style="1355" customWidth="1"/>
    <col min="244" max="244" width="0" style="1355" hidden="1" customWidth="1"/>
    <col min="245" max="245" width="14" style="1355" customWidth="1"/>
    <col min="246" max="246" width="0" style="1355" hidden="1" customWidth="1"/>
    <col min="247" max="247" width="20.85546875" style="1355" customWidth="1"/>
    <col min="248" max="248" width="0" style="1355" hidden="1" customWidth="1"/>
    <col min="249" max="249" width="13.28515625" style="1355" customWidth="1"/>
    <col min="250" max="250" width="0" style="1355" hidden="1" customWidth="1"/>
    <col min="251" max="251" width="15" style="1355" customWidth="1"/>
    <col min="252" max="252" width="0" style="1355" hidden="1" customWidth="1"/>
    <col min="253" max="253" width="13.28515625" style="1355" customWidth="1"/>
    <col min="254" max="254" width="0" style="1355" hidden="1" customWidth="1"/>
    <col min="255" max="255" width="20.140625" style="1355" customWidth="1"/>
    <col min="256" max="256" width="14.42578125" style="1355" bestFit="1" customWidth="1"/>
    <col min="257" max="257" width="14" style="1355" bestFit="1" customWidth="1"/>
    <col min="258" max="258" width="12.28515625" style="1355" bestFit="1" customWidth="1"/>
    <col min="259" max="283" width="9.140625" style="1355" customWidth="1"/>
    <col min="284" max="478" width="8.85546875" style="1355"/>
    <col min="479" max="479" width="44.5703125" style="1355" customWidth="1"/>
    <col min="480" max="480" width="14.28515625" style="1355" bestFit="1" customWidth="1"/>
    <col min="481" max="481" width="1.7109375" style="1355" customWidth="1"/>
    <col min="482" max="482" width="14.85546875" style="1355" customWidth="1"/>
    <col min="483" max="483" width="0" style="1355" hidden="1" customWidth="1"/>
    <col min="484" max="484" width="17.42578125" style="1355" customWidth="1"/>
    <col min="485" max="485" width="0" style="1355" hidden="1" customWidth="1"/>
    <col min="486" max="486" width="12.85546875" style="1355" customWidth="1"/>
    <col min="487" max="487" width="0" style="1355" hidden="1" customWidth="1"/>
    <col min="488" max="488" width="14.42578125" style="1355" customWidth="1"/>
    <col min="489" max="489" width="0" style="1355" hidden="1" customWidth="1"/>
    <col min="490" max="490" width="17.42578125" style="1355" customWidth="1"/>
    <col min="491" max="491" width="0" style="1355" hidden="1" customWidth="1"/>
    <col min="492" max="492" width="14" style="1355" customWidth="1"/>
    <col min="493" max="493" width="14.28515625" style="1355" bestFit="1" customWidth="1"/>
    <col min="494" max="494" width="0" style="1355" hidden="1" customWidth="1"/>
    <col min="495" max="495" width="15.5703125" style="1355" customWidth="1"/>
    <col min="496" max="496" width="44.5703125" style="1355" customWidth="1"/>
    <col min="497" max="497" width="14.28515625" style="1355" bestFit="1" customWidth="1"/>
    <col min="498" max="498" width="0" style="1355" hidden="1" customWidth="1"/>
    <col min="499" max="499" width="18.140625" style="1355" customWidth="1"/>
    <col min="500" max="500" width="0" style="1355" hidden="1" customWidth="1"/>
    <col min="501" max="501" width="14" style="1355" customWidth="1"/>
    <col min="502" max="502" width="0" style="1355" hidden="1" customWidth="1"/>
    <col min="503" max="503" width="20.85546875" style="1355" customWidth="1"/>
    <col min="504" max="504" width="0" style="1355" hidden="1" customWidth="1"/>
    <col min="505" max="505" width="13.28515625" style="1355" customWidth="1"/>
    <col min="506" max="506" width="0" style="1355" hidden="1" customWidth="1"/>
    <col min="507" max="507" width="15" style="1355" customWidth="1"/>
    <col min="508" max="508" width="0" style="1355" hidden="1" customWidth="1"/>
    <col min="509" max="509" width="13.28515625" style="1355" customWidth="1"/>
    <col min="510" max="510" width="0" style="1355" hidden="1" customWidth="1"/>
    <col min="511" max="511" width="20.140625" style="1355" customWidth="1"/>
    <col min="512" max="512" width="14.42578125" style="1355" bestFit="1" customWidth="1"/>
    <col min="513" max="513" width="14" style="1355" bestFit="1" customWidth="1"/>
    <col min="514" max="514" width="12.28515625" style="1355" bestFit="1" customWidth="1"/>
    <col min="515" max="539" width="9.140625" style="1355" customWidth="1"/>
    <col min="540" max="734" width="8.85546875" style="1355"/>
    <col min="735" max="735" width="44.5703125" style="1355" customWidth="1"/>
    <col min="736" max="736" width="14.28515625" style="1355" bestFit="1" customWidth="1"/>
    <col min="737" max="737" width="1.7109375" style="1355" customWidth="1"/>
    <col min="738" max="738" width="14.85546875" style="1355" customWidth="1"/>
    <col min="739" max="739" width="0" style="1355" hidden="1" customWidth="1"/>
    <col min="740" max="740" width="17.42578125" style="1355" customWidth="1"/>
    <col min="741" max="741" width="0" style="1355" hidden="1" customWidth="1"/>
    <col min="742" max="742" width="12.85546875" style="1355" customWidth="1"/>
    <col min="743" max="743" width="0" style="1355" hidden="1" customWidth="1"/>
    <col min="744" max="744" width="14.42578125" style="1355" customWidth="1"/>
    <col min="745" max="745" width="0" style="1355" hidden="1" customWidth="1"/>
    <col min="746" max="746" width="17.42578125" style="1355" customWidth="1"/>
    <col min="747" max="747" width="0" style="1355" hidden="1" customWidth="1"/>
    <col min="748" max="748" width="14" style="1355" customWidth="1"/>
    <col min="749" max="749" width="14.28515625" style="1355" bestFit="1" customWidth="1"/>
    <col min="750" max="750" width="0" style="1355" hidden="1" customWidth="1"/>
    <col min="751" max="751" width="15.5703125" style="1355" customWidth="1"/>
    <col min="752" max="752" width="44.5703125" style="1355" customWidth="1"/>
    <col min="753" max="753" width="14.28515625" style="1355" bestFit="1" customWidth="1"/>
    <col min="754" max="754" width="0" style="1355" hidden="1" customWidth="1"/>
    <col min="755" max="755" width="18.140625" style="1355" customWidth="1"/>
    <col min="756" max="756" width="0" style="1355" hidden="1" customWidth="1"/>
    <col min="757" max="757" width="14" style="1355" customWidth="1"/>
    <col min="758" max="758" width="0" style="1355" hidden="1" customWidth="1"/>
    <col min="759" max="759" width="20.85546875" style="1355" customWidth="1"/>
    <col min="760" max="760" width="0" style="1355" hidden="1" customWidth="1"/>
    <col min="761" max="761" width="13.28515625" style="1355" customWidth="1"/>
    <col min="762" max="762" width="0" style="1355" hidden="1" customWidth="1"/>
    <col min="763" max="763" width="15" style="1355" customWidth="1"/>
    <col min="764" max="764" width="0" style="1355" hidden="1" customWidth="1"/>
    <col min="765" max="765" width="13.28515625" style="1355" customWidth="1"/>
    <col min="766" max="766" width="0" style="1355" hidden="1" customWidth="1"/>
    <col min="767" max="767" width="20.140625" style="1355" customWidth="1"/>
    <col min="768" max="768" width="14.42578125" style="1355" bestFit="1" customWidth="1"/>
    <col min="769" max="769" width="14" style="1355" bestFit="1" customWidth="1"/>
    <col min="770" max="770" width="12.28515625" style="1355" bestFit="1" customWidth="1"/>
    <col min="771" max="795" width="9.140625" style="1355" customWidth="1"/>
    <col min="796" max="990" width="8.85546875" style="1355"/>
    <col min="991" max="991" width="44.5703125" style="1355" customWidth="1"/>
    <col min="992" max="992" width="14.28515625" style="1355" bestFit="1" customWidth="1"/>
    <col min="993" max="993" width="1.7109375" style="1355" customWidth="1"/>
    <col min="994" max="994" width="14.85546875" style="1355" customWidth="1"/>
    <col min="995" max="995" width="0" style="1355" hidden="1" customWidth="1"/>
    <col min="996" max="996" width="17.42578125" style="1355" customWidth="1"/>
    <col min="997" max="997" width="0" style="1355" hidden="1" customWidth="1"/>
    <col min="998" max="998" width="12.85546875" style="1355" customWidth="1"/>
    <col min="999" max="999" width="0" style="1355" hidden="1" customWidth="1"/>
    <col min="1000" max="1000" width="14.42578125" style="1355" customWidth="1"/>
    <col min="1001" max="1001" width="0" style="1355" hidden="1" customWidth="1"/>
    <col min="1002" max="1002" width="17.42578125" style="1355" customWidth="1"/>
    <col min="1003" max="1003" width="0" style="1355" hidden="1" customWidth="1"/>
    <col min="1004" max="1004" width="14" style="1355" customWidth="1"/>
    <col min="1005" max="1005" width="14.28515625" style="1355" bestFit="1" customWidth="1"/>
    <col min="1006" max="1006" width="0" style="1355" hidden="1" customWidth="1"/>
    <col min="1007" max="1007" width="15.5703125" style="1355" customWidth="1"/>
    <col min="1008" max="1008" width="44.5703125" style="1355" customWidth="1"/>
    <col min="1009" max="1009" width="14.28515625" style="1355" bestFit="1" customWidth="1"/>
    <col min="1010" max="1010" width="0" style="1355" hidden="1" customWidth="1"/>
    <col min="1011" max="1011" width="18.140625" style="1355" customWidth="1"/>
    <col min="1012" max="1012" width="0" style="1355" hidden="1" customWidth="1"/>
    <col min="1013" max="1013" width="14" style="1355" customWidth="1"/>
    <col min="1014" max="1014" width="0" style="1355" hidden="1" customWidth="1"/>
    <col min="1015" max="1015" width="20.85546875" style="1355" customWidth="1"/>
    <col min="1016" max="1016" width="0" style="1355" hidden="1" customWidth="1"/>
    <col min="1017" max="1017" width="13.28515625" style="1355" customWidth="1"/>
    <col min="1018" max="1018" width="0" style="1355" hidden="1" customWidth="1"/>
    <col min="1019" max="1019" width="15" style="1355" customWidth="1"/>
    <col min="1020" max="1020" width="0" style="1355" hidden="1" customWidth="1"/>
    <col min="1021" max="1021" width="13.28515625" style="1355" customWidth="1"/>
    <col min="1022" max="1022" width="0" style="1355" hidden="1" customWidth="1"/>
    <col min="1023" max="1023" width="20.140625" style="1355" customWidth="1"/>
    <col min="1024" max="1024" width="14.42578125" style="1355" bestFit="1" customWidth="1"/>
    <col min="1025" max="1025" width="14" style="1355" bestFit="1" customWidth="1"/>
    <col min="1026" max="1026" width="12.28515625" style="1355" bestFit="1" customWidth="1"/>
    <col min="1027" max="1051" width="9.140625" style="1355" customWidth="1"/>
    <col min="1052" max="1246" width="8.85546875" style="1355"/>
    <col min="1247" max="1247" width="44.5703125" style="1355" customWidth="1"/>
    <col min="1248" max="1248" width="14.28515625" style="1355" bestFit="1" customWidth="1"/>
    <col min="1249" max="1249" width="1.7109375" style="1355" customWidth="1"/>
    <col min="1250" max="1250" width="14.85546875" style="1355" customWidth="1"/>
    <col min="1251" max="1251" width="0" style="1355" hidden="1" customWidth="1"/>
    <col min="1252" max="1252" width="17.42578125" style="1355" customWidth="1"/>
    <col min="1253" max="1253" width="0" style="1355" hidden="1" customWidth="1"/>
    <col min="1254" max="1254" width="12.85546875" style="1355" customWidth="1"/>
    <col min="1255" max="1255" width="0" style="1355" hidden="1" customWidth="1"/>
    <col min="1256" max="1256" width="14.42578125" style="1355" customWidth="1"/>
    <col min="1257" max="1257" width="0" style="1355" hidden="1" customWidth="1"/>
    <col min="1258" max="1258" width="17.42578125" style="1355" customWidth="1"/>
    <col min="1259" max="1259" width="0" style="1355" hidden="1" customWidth="1"/>
    <col min="1260" max="1260" width="14" style="1355" customWidth="1"/>
    <col min="1261" max="1261" width="14.28515625" style="1355" bestFit="1" customWidth="1"/>
    <col min="1262" max="1262" width="0" style="1355" hidden="1" customWidth="1"/>
    <col min="1263" max="1263" width="15.5703125" style="1355" customWidth="1"/>
    <col min="1264" max="1264" width="44.5703125" style="1355" customWidth="1"/>
    <col min="1265" max="1265" width="14.28515625" style="1355" bestFit="1" customWidth="1"/>
    <col min="1266" max="1266" width="0" style="1355" hidden="1" customWidth="1"/>
    <col min="1267" max="1267" width="18.140625" style="1355" customWidth="1"/>
    <col min="1268" max="1268" width="0" style="1355" hidden="1" customWidth="1"/>
    <col min="1269" max="1269" width="14" style="1355" customWidth="1"/>
    <col min="1270" max="1270" width="0" style="1355" hidden="1" customWidth="1"/>
    <col min="1271" max="1271" width="20.85546875" style="1355" customWidth="1"/>
    <col min="1272" max="1272" width="0" style="1355" hidden="1" customWidth="1"/>
    <col min="1273" max="1273" width="13.28515625" style="1355" customWidth="1"/>
    <col min="1274" max="1274" width="0" style="1355" hidden="1" customWidth="1"/>
    <col min="1275" max="1275" width="15" style="1355" customWidth="1"/>
    <col min="1276" max="1276" width="0" style="1355" hidden="1" customWidth="1"/>
    <col min="1277" max="1277" width="13.28515625" style="1355" customWidth="1"/>
    <col min="1278" max="1278" width="0" style="1355" hidden="1" customWidth="1"/>
    <col min="1279" max="1279" width="20.140625" style="1355" customWidth="1"/>
    <col min="1280" max="1280" width="14.42578125" style="1355" bestFit="1" customWidth="1"/>
    <col min="1281" max="1281" width="14" style="1355" bestFit="1" customWidth="1"/>
    <col min="1282" max="1282" width="12.28515625" style="1355" bestFit="1" customWidth="1"/>
    <col min="1283" max="1307" width="9.140625" style="1355" customWidth="1"/>
    <col min="1308" max="1502" width="8.85546875" style="1355"/>
    <col min="1503" max="1503" width="44.5703125" style="1355" customWidth="1"/>
    <col min="1504" max="1504" width="14.28515625" style="1355" bestFit="1" customWidth="1"/>
    <col min="1505" max="1505" width="1.7109375" style="1355" customWidth="1"/>
    <col min="1506" max="1506" width="14.85546875" style="1355" customWidth="1"/>
    <col min="1507" max="1507" width="0" style="1355" hidden="1" customWidth="1"/>
    <col min="1508" max="1508" width="17.42578125" style="1355" customWidth="1"/>
    <col min="1509" max="1509" width="0" style="1355" hidden="1" customWidth="1"/>
    <col min="1510" max="1510" width="12.85546875" style="1355" customWidth="1"/>
    <col min="1511" max="1511" width="0" style="1355" hidden="1" customWidth="1"/>
    <col min="1512" max="1512" width="14.42578125" style="1355" customWidth="1"/>
    <col min="1513" max="1513" width="0" style="1355" hidden="1" customWidth="1"/>
    <col min="1514" max="1514" width="17.42578125" style="1355" customWidth="1"/>
    <col min="1515" max="1515" width="0" style="1355" hidden="1" customWidth="1"/>
    <col min="1516" max="1516" width="14" style="1355" customWidth="1"/>
    <col min="1517" max="1517" width="14.28515625" style="1355" bestFit="1" customWidth="1"/>
    <col min="1518" max="1518" width="0" style="1355" hidden="1" customWidth="1"/>
    <col min="1519" max="1519" width="15.5703125" style="1355" customWidth="1"/>
    <col min="1520" max="1520" width="44.5703125" style="1355" customWidth="1"/>
    <col min="1521" max="1521" width="14.28515625" style="1355" bestFit="1" customWidth="1"/>
    <col min="1522" max="1522" width="0" style="1355" hidden="1" customWidth="1"/>
    <col min="1523" max="1523" width="18.140625" style="1355" customWidth="1"/>
    <col min="1524" max="1524" width="0" style="1355" hidden="1" customWidth="1"/>
    <col min="1525" max="1525" width="14" style="1355" customWidth="1"/>
    <col min="1526" max="1526" width="0" style="1355" hidden="1" customWidth="1"/>
    <col min="1527" max="1527" width="20.85546875" style="1355" customWidth="1"/>
    <col min="1528" max="1528" width="0" style="1355" hidden="1" customWidth="1"/>
    <col min="1529" max="1529" width="13.28515625" style="1355" customWidth="1"/>
    <col min="1530" max="1530" width="0" style="1355" hidden="1" customWidth="1"/>
    <col min="1531" max="1531" width="15" style="1355" customWidth="1"/>
    <col min="1532" max="1532" width="0" style="1355" hidden="1" customWidth="1"/>
    <col min="1533" max="1533" width="13.28515625" style="1355" customWidth="1"/>
    <col min="1534" max="1534" width="0" style="1355" hidden="1" customWidth="1"/>
    <col min="1535" max="1535" width="20.140625" style="1355" customWidth="1"/>
    <col min="1536" max="1536" width="14.42578125" style="1355" bestFit="1" customWidth="1"/>
    <col min="1537" max="1537" width="14" style="1355" bestFit="1" customWidth="1"/>
    <col min="1538" max="1538" width="12.28515625" style="1355" bestFit="1" customWidth="1"/>
    <col min="1539" max="1563" width="9.140625" style="1355" customWidth="1"/>
    <col min="1564" max="1758" width="8.85546875" style="1355"/>
    <col min="1759" max="1759" width="44.5703125" style="1355" customWidth="1"/>
    <col min="1760" max="1760" width="14.28515625" style="1355" bestFit="1" customWidth="1"/>
    <col min="1761" max="1761" width="1.7109375" style="1355" customWidth="1"/>
    <col min="1762" max="1762" width="14.85546875" style="1355" customWidth="1"/>
    <col min="1763" max="1763" width="0" style="1355" hidden="1" customWidth="1"/>
    <col min="1764" max="1764" width="17.42578125" style="1355" customWidth="1"/>
    <col min="1765" max="1765" width="0" style="1355" hidden="1" customWidth="1"/>
    <col min="1766" max="1766" width="12.85546875" style="1355" customWidth="1"/>
    <col min="1767" max="1767" width="0" style="1355" hidden="1" customWidth="1"/>
    <col min="1768" max="1768" width="14.42578125" style="1355" customWidth="1"/>
    <col min="1769" max="1769" width="0" style="1355" hidden="1" customWidth="1"/>
    <col min="1770" max="1770" width="17.42578125" style="1355" customWidth="1"/>
    <col min="1771" max="1771" width="0" style="1355" hidden="1" customWidth="1"/>
    <col min="1772" max="1772" width="14" style="1355" customWidth="1"/>
    <col min="1773" max="1773" width="14.28515625" style="1355" bestFit="1" customWidth="1"/>
    <col min="1774" max="1774" width="0" style="1355" hidden="1" customWidth="1"/>
    <col min="1775" max="1775" width="15.5703125" style="1355" customWidth="1"/>
    <col min="1776" max="1776" width="44.5703125" style="1355" customWidth="1"/>
    <col min="1777" max="1777" width="14.28515625" style="1355" bestFit="1" customWidth="1"/>
    <col min="1778" max="1778" width="0" style="1355" hidden="1" customWidth="1"/>
    <col min="1779" max="1779" width="18.140625" style="1355" customWidth="1"/>
    <col min="1780" max="1780" width="0" style="1355" hidden="1" customWidth="1"/>
    <col min="1781" max="1781" width="14" style="1355" customWidth="1"/>
    <col min="1782" max="1782" width="0" style="1355" hidden="1" customWidth="1"/>
    <col min="1783" max="1783" width="20.85546875" style="1355" customWidth="1"/>
    <col min="1784" max="1784" width="0" style="1355" hidden="1" customWidth="1"/>
    <col min="1785" max="1785" width="13.28515625" style="1355" customWidth="1"/>
    <col min="1786" max="1786" width="0" style="1355" hidden="1" customWidth="1"/>
    <col min="1787" max="1787" width="15" style="1355" customWidth="1"/>
    <col min="1788" max="1788" width="0" style="1355" hidden="1" customWidth="1"/>
    <col min="1789" max="1789" width="13.28515625" style="1355" customWidth="1"/>
    <col min="1790" max="1790" width="0" style="1355" hidden="1" customWidth="1"/>
    <col min="1791" max="1791" width="20.140625" style="1355" customWidth="1"/>
    <col min="1792" max="1792" width="14.42578125" style="1355" bestFit="1" customWidth="1"/>
    <col min="1793" max="1793" width="14" style="1355" bestFit="1" customWidth="1"/>
    <col min="1794" max="1794" width="12.28515625" style="1355" bestFit="1" customWidth="1"/>
    <col min="1795" max="1819" width="9.140625" style="1355" customWidth="1"/>
    <col min="1820" max="2014" width="8.85546875" style="1355"/>
    <col min="2015" max="2015" width="44.5703125" style="1355" customWidth="1"/>
    <col min="2016" max="2016" width="14.28515625" style="1355" bestFit="1" customWidth="1"/>
    <col min="2017" max="2017" width="1.7109375" style="1355" customWidth="1"/>
    <col min="2018" max="2018" width="14.85546875" style="1355" customWidth="1"/>
    <col min="2019" max="2019" width="0" style="1355" hidden="1" customWidth="1"/>
    <col min="2020" max="2020" width="17.42578125" style="1355" customWidth="1"/>
    <col min="2021" max="2021" width="0" style="1355" hidden="1" customWidth="1"/>
    <col min="2022" max="2022" width="12.85546875" style="1355" customWidth="1"/>
    <col min="2023" max="2023" width="0" style="1355" hidden="1" customWidth="1"/>
    <col min="2024" max="2024" width="14.42578125" style="1355" customWidth="1"/>
    <col min="2025" max="2025" width="0" style="1355" hidden="1" customWidth="1"/>
    <col min="2026" max="2026" width="17.42578125" style="1355" customWidth="1"/>
    <col min="2027" max="2027" width="0" style="1355" hidden="1" customWidth="1"/>
    <col min="2028" max="2028" width="14" style="1355" customWidth="1"/>
    <col min="2029" max="2029" width="14.28515625" style="1355" bestFit="1" customWidth="1"/>
    <col min="2030" max="2030" width="0" style="1355" hidden="1" customWidth="1"/>
    <col min="2031" max="2031" width="15.5703125" style="1355" customWidth="1"/>
    <col min="2032" max="2032" width="44.5703125" style="1355" customWidth="1"/>
    <col min="2033" max="2033" width="14.28515625" style="1355" bestFit="1" customWidth="1"/>
    <col min="2034" max="2034" width="0" style="1355" hidden="1" customWidth="1"/>
    <col min="2035" max="2035" width="18.140625" style="1355" customWidth="1"/>
    <col min="2036" max="2036" width="0" style="1355" hidden="1" customWidth="1"/>
    <col min="2037" max="2037" width="14" style="1355" customWidth="1"/>
    <col min="2038" max="2038" width="0" style="1355" hidden="1" customWidth="1"/>
    <col min="2039" max="2039" width="20.85546875" style="1355" customWidth="1"/>
    <col min="2040" max="2040" width="0" style="1355" hidden="1" customWidth="1"/>
    <col min="2041" max="2041" width="13.28515625" style="1355" customWidth="1"/>
    <col min="2042" max="2042" width="0" style="1355" hidden="1" customWidth="1"/>
    <col min="2043" max="2043" width="15" style="1355" customWidth="1"/>
    <col min="2044" max="2044" width="0" style="1355" hidden="1" customWidth="1"/>
    <col min="2045" max="2045" width="13.28515625" style="1355" customWidth="1"/>
    <col min="2046" max="2046" width="0" style="1355" hidden="1" customWidth="1"/>
    <col min="2047" max="2047" width="20.140625" style="1355" customWidth="1"/>
    <col min="2048" max="2048" width="14.42578125" style="1355" bestFit="1" customWidth="1"/>
    <col min="2049" max="2049" width="14" style="1355" bestFit="1" customWidth="1"/>
    <col min="2050" max="2050" width="12.28515625" style="1355" bestFit="1" customWidth="1"/>
    <col min="2051" max="2075" width="9.140625" style="1355" customWidth="1"/>
    <col min="2076" max="2270" width="8.85546875" style="1355"/>
    <col min="2271" max="2271" width="44.5703125" style="1355" customWidth="1"/>
    <col min="2272" max="2272" width="14.28515625" style="1355" bestFit="1" customWidth="1"/>
    <col min="2273" max="2273" width="1.7109375" style="1355" customWidth="1"/>
    <col min="2274" max="2274" width="14.85546875" style="1355" customWidth="1"/>
    <col min="2275" max="2275" width="0" style="1355" hidden="1" customWidth="1"/>
    <col min="2276" max="2276" width="17.42578125" style="1355" customWidth="1"/>
    <col min="2277" max="2277" width="0" style="1355" hidden="1" customWidth="1"/>
    <col min="2278" max="2278" width="12.85546875" style="1355" customWidth="1"/>
    <col min="2279" max="2279" width="0" style="1355" hidden="1" customWidth="1"/>
    <col min="2280" max="2280" width="14.42578125" style="1355" customWidth="1"/>
    <col min="2281" max="2281" width="0" style="1355" hidden="1" customWidth="1"/>
    <col min="2282" max="2282" width="17.42578125" style="1355" customWidth="1"/>
    <col min="2283" max="2283" width="0" style="1355" hidden="1" customWidth="1"/>
    <col min="2284" max="2284" width="14" style="1355" customWidth="1"/>
    <col min="2285" max="2285" width="14.28515625" style="1355" bestFit="1" customWidth="1"/>
    <col min="2286" max="2286" width="0" style="1355" hidden="1" customWidth="1"/>
    <col min="2287" max="2287" width="15.5703125" style="1355" customWidth="1"/>
    <col min="2288" max="2288" width="44.5703125" style="1355" customWidth="1"/>
    <col min="2289" max="2289" width="14.28515625" style="1355" bestFit="1" customWidth="1"/>
    <col min="2290" max="2290" width="0" style="1355" hidden="1" customWidth="1"/>
    <col min="2291" max="2291" width="18.140625" style="1355" customWidth="1"/>
    <col min="2292" max="2292" width="0" style="1355" hidden="1" customWidth="1"/>
    <col min="2293" max="2293" width="14" style="1355" customWidth="1"/>
    <col min="2294" max="2294" width="0" style="1355" hidden="1" customWidth="1"/>
    <col min="2295" max="2295" width="20.85546875" style="1355" customWidth="1"/>
    <col min="2296" max="2296" width="0" style="1355" hidden="1" customWidth="1"/>
    <col min="2297" max="2297" width="13.28515625" style="1355" customWidth="1"/>
    <col min="2298" max="2298" width="0" style="1355" hidden="1" customWidth="1"/>
    <col min="2299" max="2299" width="15" style="1355" customWidth="1"/>
    <col min="2300" max="2300" width="0" style="1355" hidden="1" customWidth="1"/>
    <col min="2301" max="2301" width="13.28515625" style="1355" customWidth="1"/>
    <col min="2302" max="2302" width="0" style="1355" hidden="1" customWidth="1"/>
    <col min="2303" max="2303" width="20.140625" style="1355" customWidth="1"/>
    <col min="2304" max="2304" width="14.42578125" style="1355" bestFit="1" customWidth="1"/>
    <col min="2305" max="2305" width="14" style="1355" bestFit="1" customWidth="1"/>
    <col min="2306" max="2306" width="12.28515625" style="1355" bestFit="1" customWidth="1"/>
    <col min="2307" max="2331" width="9.140625" style="1355" customWidth="1"/>
    <col min="2332" max="2526" width="8.85546875" style="1355"/>
    <col min="2527" max="2527" width="44.5703125" style="1355" customWidth="1"/>
    <col min="2528" max="2528" width="14.28515625" style="1355" bestFit="1" customWidth="1"/>
    <col min="2529" max="2529" width="1.7109375" style="1355" customWidth="1"/>
    <col min="2530" max="2530" width="14.85546875" style="1355" customWidth="1"/>
    <col min="2531" max="2531" width="0" style="1355" hidden="1" customWidth="1"/>
    <col min="2532" max="2532" width="17.42578125" style="1355" customWidth="1"/>
    <col min="2533" max="2533" width="0" style="1355" hidden="1" customWidth="1"/>
    <col min="2534" max="2534" width="12.85546875" style="1355" customWidth="1"/>
    <col min="2535" max="2535" width="0" style="1355" hidden="1" customWidth="1"/>
    <col min="2536" max="2536" width="14.42578125" style="1355" customWidth="1"/>
    <col min="2537" max="2537" width="0" style="1355" hidden="1" customWidth="1"/>
    <col min="2538" max="2538" width="17.42578125" style="1355" customWidth="1"/>
    <col min="2539" max="2539" width="0" style="1355" hidden="1" customWidth="1"/>
    <col min="2540" max="2540" width="14" style="1355" customWidth="1"/>
    <col min="2541" max="2541" width="14.28515625" style="1355" bestFit="1" customWidth="1"/>
    <col min="2542" max="2542" width="0" style="1355" hidden="1" customWidth="1"/>
    <col min="2543" max="2543" width="15.5703125" style="1355" customWidth="1"/>
    <col min="2544" max="2544" width="44.5703125" style="1355" customWidth="1"/>
    <col min="2545" max="2545" width="14.28515625" style="1355" bestFit="1" customWidth="1"/>
    <col min="2546" max="2546" width="0" style="1355" hidden="1" customWidth="1"/>
    <col min="2547" max="2547" width="18.140625" style="1355" customWidth="1"/>
    <col min="2548" max="2548" width="0" style="1355" hidden="1" customWidth="1"/>
    <col min="2549" max="2549" width="14" style="1355" customWidth="1"/>
    <col min="2550" max="2550" width="0" style="1355" hidden="1" customWidth="1"/>
    <col min="2551" max="2551" width="20.85546875" style="1355" customWidth="1"/>
    <col min="2552" max="2552" width="0" style="1355" hidden="1" customWidth="1"/>
    <col min="2553" max="2553" width="13.28515625" style="1355" customWidth="1"/>
    <col min="2554" max="2554" width="0" style="1355" hidden="1" customWidth="1"/>
    <col min="2555" max="2555" width="15" style="1355" customWidth="1"/>
    <col min="2556" max="2556" width="0" style="1355" hidden="1" customWidth="1"/>
    <col min="2557" max="2557" width="13.28515625" style="1355" customWidth="1"/>
    <col min="2558" max="2558" width="0" style="1355" hidden="1" customWidth="1"/>
    <col min="2559" max="2559" width="20.140625" style="1355" customWidth="1"/>
    <col min="2560" max="2560" width="14.42578125" style="1355" bestFit="1" customWidth="1"/>
    <col min="2561" max="2561" width="14" style="1355" bestFit="1" customWidth="1"/>
    <col min="2562" max="2562" width="12.28515625" style="1355" bestFit="1" customWidth="1"/>
    <col min="2563" max="2587" width="9.140625" style="1355" customWidth="1"/>
    <col min="2588" max="2782" width="8.85546875" style="1355"/>
    <col min="2783" max="2783" width="44.5703125" style="1355" customWidth="1"/>
    <col min="2784" max="2784" width="14.28515625" style="1355" bestFit="1" customWidth="1"/>
    <col min="2785" max="2785" width="1.7109375" style="1355" customWidth="1"/>
    <col min="2786" max="2786" width="14.85546875" style="1355" customWidth="1"/>
    <col min="2787" max="2787" width="0" style="1355" hidden="1" customWidth="1"/>
    <col min="2788" max="2788" width="17.42578125" style="1355" customWidth="1"/>
    <col min="2789" max="2789" width="0" style="1355" hidden="1" customWidth="1"/>
    <col min="2790" max="2790" width="12.85546875" style="1355" customWidth="1"/>
    <col min="2791" max="2791" width="0" style="1355" hidden="1" customWidth="1"/>
    <col min="2792" max="2792" width="14.42578125" style="1355" customWidth="1"/>
    <col min="2793" max="2793" width="0" style="1355" hidden="1" customWidth="1"/>
    <col min="2794" max="2794" width="17.42578125" style="1355" customWidth="1"/>
    <col min="2795" max="2795" width="0" style="1355" hidden="1" customWidth="1"/>
    <col min="2796" max="2796" width="14" style="1355" customWidth="1"/>
    <col min="2797" max="2797" width="14.28515625" style="1355" bestFit="1" customWidth="1"/>
    <col min="2798" max="2798" width="0" style="1355" hidden="1" customWidth="1"/>
    <col min="2799" max="2799" width="15.5703125" style="1355" customWidth="1"/>
    <col min="2800" max="2800" width="44.5703125" style="1355" customWidth="1"/>
    <col min="2801" max="2801" width="14.28515625" style="1355" bestFit="1" customWidth="1"/>
    <col min="2802" max="2802" width="0" style="1355" hidden="1" customWidth="1"/>
    <col min="2803" max="2803" width="18.140625" style="1355" customWidth="1"/>
    <col min="2804" max="2804" width="0" style="1355" hidden="1" customWidth="1"/>
    <col min="2805" max="2805" width="14" style="1355" customWidth="1"/>
    <col min="2806" max="2806" width="0" style="1355" hidden="1" customWidth="1"/>
    <col min="2807" max="2807" width="20.85546875" style="1355" customWidth="1"/>
    <col min="2808" max="2808" width="0" style="1355" hidden="1" customWidth="1"/>
    <col min="2809" max="2809" width="13.28515625" style="1355" customWidth="1"/>
    <col min="2810" max="2810" width="0" style="1355" hidden="1" customWidth="1"/>
    <col min="2811" max="2811" width="15" style="1355" customWidth="1"/>
    <col min="2812" max="2812" width="0" style="1355" hidden="1" customWidth="1"/>
    <col min="2813" max="2813" width="13.28515625" style="1355" customWidth="1"/>
    <col min="2814" max="2814" width="0" style="1355" hidden="1" customWidth="1"/>
    <col min="2815" max="2815" width="20.140625" style="1355" customWidth="1"/>
    <col min="2816" max="2816" width="14.42578125" style="1355" bestFit="1" customWidth="1"/>
    <col min="2817" max="2817" width="14" style="1355" bestFit="1" customWidth="1"/>
    <col min="2818" max="2818" width="12.28515625" style="1355" bestFit="1" customWidth="1"/>
    <col min="2819" max="2843" width="9.140625" style="1355" customWidth="1"/>
    <col min="2844" max="3038" width="8.85546875" style="1355"/>
    <col min="3039" max="3039" width="44.5703125" style="1355" customWidth="1"/>
    <col min="3040" max="3040" width="14.28515625" style="1355" bestFit="1" customWidth="1"/>
    <col min="3041" max="3041" width="1.7109375" style="1355" customWidth="1"/>
    <col min="3042" max="3042" width="14.85546875" style="1355" customWidth="1"/>
    <col min="3043" max="3043" width="0" style="1355" hidden="1" customWidth="1"/>
    <col min="3044" max="3044" width="17.42578125" style="1355" customWidth="1"/>
    <col min="3045" max="3045" width="0" style="1355" hidden="1" customWidth="1"/>
    <col min="3046" max="3046" width="12.85546875" style="1355" customWidth="1"/>
    <col min="3047" max="3047" width="0" style="1355" hidden="1" customWidth="1"/>
    <col min="3048" max="3048" width="14.42578125" style="1355" customWidth="1"/>
    <col min="3049" max="3049" width="0" style="1355" hidden="1" customWidth="1"/>
    <col min="3050" max="3050" width="17.42578125" style="1355" customWidth="1"/>
    <col min="3051" max="3051" width="0" style="1355" hidden="1" customWidth="1"/>
    <col min="3052" max="3052" width="14" style="1355" customWidth="1"/>
    <col min="3053" max="3053" width="14.28515625" style="1355" bestFit="1" customWidth="1"/>
    <col min="3054" max="3054" width="0" style="1355" hidden="1" customWidth="1"/>
    <col min="3055" max="3055" width="15.5703125" style="1355" customWidth="1"/>
    <col min="3056" max="3056" width="44.5703125" style="1355" customWidth="1"/>
    <col min="3057" max="3057" width="14.28515625" style="1355" bestFit="1" customWidth="1"/>
    <col min="3058" max="3058" width="0" style="1355" hidden="1" customWidth="1"/>
    <col min="3059" max="3059" width="18.140625" style="1355" customWidth="1"/>
    <col min="3060" max="3060" width="0" style="1355" hidden="1" customWidth="1"/>
    <col min="3061" max="3061" width="14" style="1355" customWidth="1"/>
    <col min="3062" max="3062" width="0" style="1355" hidden="1" customWidth="1"/>
    <col min="3063" max="3063" width="20.85546875" style="1355" customWidth="1"/>
    <col min="3064" max="3064" width="0" style="1355" hidden="1" customWidth="1"/>
    <col min="3065" max="3065" width="13.28515625" style="1355" customWidth="1"/>
    <col min="3066" max="3066" width="0" style="1355" hidden="1" customWidth="1"/>
    <col min="3067" max="3067" width="15" style="1355" customWidth="1"/>
    <col min="3068" max="3068" width="0" style="1355" hidden="1" customWidth="1"/>
    <col min="3069" max="3069" width="13.28515625" style="1355" customWidth="1"/>
    <col min="3070" max="3070" width="0" style="1355" hidden="1" customWidth="1"/>
    <col min="3071" max="3071" width="20.140625" style="1355" customWidth="1"/>
    <col min="3072" max="3072" width="14.42578125" style="1355" bestFit="1" customWidth="1"/>
    <col min="3073" max="3073" width="14" style="1355" bestFit="1" customWidth="1"/>
    <col min="3074" max="3074" width="12.28515625" style="1355" bestFit="1" customWidth="1"/>
    <col min="3075" max="3099" width="9.140625" style="1355" customWidth="1"/>
    <col min="3100" max="3294" width="8.85546875" style="1355"/>
    <col min="3295" max="3295" width="44.5703125" style="1355" customWidth="1"/>
    <col min="3296" max="3296" width="14.28515625" style="1355" bestFit="1" customWidth="1"/>
    <col min="3297" max="3297" width="1.7109375" style="1355" customWidth="1"/>
    <col min="3298" max="3298" width="14.85546875" style="1355" customWidth="1"/>
    <col min="3299" max="3299" width="0" style="1355" hidden="1" customWidth="1"/>
    <col min="3300" max="3300" width="17.42578125" style="1355" customWidth="1"/>
    <col min="3301" max="3301" width="0" style="1355" hidden="1" customWidth="1"/>
    <col min="3302" max="3302" width="12.85546875" style="1355" customWidth="1"/>
    <col min="3303" max="3303" width="0" style="1355" hidden="1" customWidth="1"/>
    <col min="3304" max="3304" width="14.42578125" style="1355" customWidth="1"/>
    <col min="3305" max="3305" width="0" style="1355" hidden="1" customWidth="1"/>
    <col min="3306" max="3306" width="17.42578125" style="1355" customWidth="1"/>
    <col min="3307" max="3307" width="0" style="1355" hidden="1" customWidth="1"/>
    <col min="3308" max="3308" width="14" style="1355" customWidth="1"/>
    <col min="3309" max="3309" width="14.28515625" style="1355" bestFit="1" customWidth="1"/>
    <col min="3310" max="3310" width="0" style="1355" hidden="1" customWidth="1"/>
    <col min="3311" max="3311" width="15.5703125" style="1355" customWidth="1"/>
    <col min="3312" max="3312" width="44.5703125" style="1355" customWidth="1"/>
    <col min="3313" max="3313" width="14.28515625" style="1355" bestFit="1" customWidth="1"/>
    <col min="3314" max="3314" width="0" style="1355" hidden="1" customWidth="1"/>
    <col min="3315" max="3315" width="18.140625" style="1355" customWidth="1"/>
    <col min="3316" max="3316" width="0" style="1355" hidden="1" customWidth="1"/>
    <col min="3317" max="3317" width="14" style="1355" customWidth="1"/>
    <col min="3318" max="3318" width="0" style="1355" hidden="1" customWidth="1"/>
    <col min="3319" max="3319" width="20.85546875" style="1355" customWidth="1"/>
    <col min="3320" max="3320" width="0" style="1355" hidden="1" customWidth="1"/>
    <col min="3321" max="3321" width="13.28515625" style="1355" customWidth="1"/>
    <col min="3322" max="3322" width="0" style="1355" hidden="1" customWidth="1"/>
    <col min="3323" max="3323" width="15" style="1355" customWidth="1"/>
    <col min="3324" max="3324" width="0" style="1355" hidden="1" customWidth="1"/>
    <col min="3325" max="3325" width="13.28515625" style="1355" customWidth="1"/>
    <col min="3326" max="3326" width="0" style="1355" hidden="1" customWidth="1"/>
    <col min="3327" max="3327" width="20.140625" style="1355" customWidth="1"/>
    <col min="3328" max="3328" width="14.42578125" style="1355" bestFit="1" customWidth="1"/>
    <col min="3329" max="3329" width="14" style="1355" bestFit="1" customWidth="1"/>
    <col min="3330" max="3330" width="12.28515625" style="1355" bestFit="1" customWidth="1"/>
    <col min="3331" max="3355" width="9.140625" style="1355" customWidth="1"/>
    <col min="3356" max="3550" width="8.85546875" style="1355"/>
    <col min="3551" max="3551" width="44.5703125" style="1355" customWidth="1"/>
    <col min="3552" max="3552" width="14.28515625" style="1355" bestFit="1" customWidth="1"/>
    <col min="3553" max="3553" width="1.7109375" style="1355" customWidth="1"/>
    <col min="3554" max="3554" width="14.85546875" style="1355" customWidth="1"/>
    <col min="3555" max="3555" width="0" style="1355" hidden="1" customWidth="1"/>
    <col min="3556" max="3556" width="17.42578125" style="1355" customWidth="1"/>
    <col min="3557" max="3557" width="0" style="1355" hidden="1" customWidth="1"/>
    <col min="3558" max="3558" width="12.85546875" style="1355" customWidth="1"/>
    <col min="3559" max="3559" width="0" style="1355" hidden="1" customWidth="1"/>
    <col min="3560" max="3560" width="14.42578125" style="1355" customWidth="1"/>
    <col min="3561" max="3561" width="0" style="1355" hidden="1" customWidth="1"/>
    <col min="3562" max="3562" width="17.42578125" style="1355" customWidth="1"/>
    <col min="3563" max="3563" width="0" style="1355" hidden="1" customWidth="1"/>
    <col min="3564" max="3564" width="14" style="1355" customWidth="1"/>
    <col min="3565" max="3565" width="14.28515625" style="1355" bestFit="1" customWidth="1"/>
    <col min="3566" max="3566" width="0" style="1355" hidden="1" customWidth="1"/>
    <col min="3567" max="3567" width="15.5703125" style="1355" customWidth="1"/>
    <col min="3568" max="3568" width="44.5703125" style="1355" customWidth="1"/>
    <col min="3569" max="3569" width="14.28515625" style="1355" bestFit="1" customWidth="1"/>
    <col min="3570" max="3570" width="0" style="1355" hidden="1" customWidth="1"/>
    <col min="3571" max="3571" width="18.140625" style="1355" customWidth="1"/>
    <col min="3572" max="3572" width="0" style="1355" hidden="1" customWidth="1"/>
    <col min="3573" max="3573" width="14" style="1355" customWidth="1"/>
    <col min="3574" max="3574" width="0" style="1355" hidden="1" customWidth="1"/>
    <col min="3575" max="3575" width="20.85546875" style="1355" customWidth="1"/>
    <col min="3576" max="3576" width="0" style="1355" hidden="1" customWidth="1"/>
    <col min="3577" max="3577" width="13.28515625" style="1355" customWidth="1"/>
    <col min="3578" max="3578" width="0" style="1355" hidden="1" customWidth="1"/>
    <col min="3579" max="3579" width="15" style="1355" customWidth="1"/>
    <col min="3580" max="3580" width="0" style="1355" hidden="1" customWidth="1"/>
    <col min="3581" max="3581" width="13.28515625" style="1355" customWidth="1"/>
    <col min="3582" max="3582" width="0" style="1355" hidden="1" customWidth="1"/>
    <col min="3583" max="3583" width="20.140625" style="1355" customWidth="1"/>
    <col min="3584" max="3584" width="14.42578125" style="1355" bestFit="1" customWidth="1"/>
    <col min="3585" max="3585" width="14" style="1355" bestFit="1" customWidth="1"/>
    <col min="3586" max="3586" width="12.28515625" style="1355" bestFit="1" customWidth="1"/>
    <col min="3587" max="3611" width="9.140625" style="1355" customWidth="1"/>
    <col min="3612" max="3806" width="8.85546875" style="1355"/>
    <col min="3807" max="3807" width="44.5703125" style="1355" customWidth="1"/>
    <col min="3808" max="3808" width="14.28515625" style="1355" bestFit="1" customWidth="1"/>
    <col min="3809" max="3809" width="1.7109375" style="1355" customWidth="1"/>
    <col min="3810" max="3810" width="14.85546875" style="1355" customWidth="1"/>
    <col min="3811" max="3811" width="0" style="1355" hidden="1" customWidth="1"/>
    <col min="3812" max="3812" width="17.42578125" style="1355" customWidth="1"/>
    <col min="3813" max="3813" width="0" style="1355" hidden="1" customWidth="1"/>
    <col min="3814" max="3814" width="12.85546875" style="1355" customWidth="1"/>
    <col min="3815" max="3815" width="0" style="1355" hidden="1" customWidth="1"/>
    <col min="3816" max="3816" width="14.42578125" style="1355" customWidth="1"/>
    <col min="3817" max="3817" width="0" style="1355" hidden="1" customWidth="1"/>
    <col min="3818" max="3818" width="17.42578125" style="1355" customWidth="1"/>
    <col min="3819" max="3819" width="0" style="1355" hidden="1" customWidth="1"/>
    <col min="3820" max="3820" width="14" style="1355" customWidth="1"/>
    <col min="3821" max="3821" width="14.28515625" style="1355" bestFit="1" customWidth="1"/>
    <col min="3822" max="3822" width="0" style="1355" hidden="1" customWidth="1"/>
    <col min="3823" max="3823" width="15.5703125" style="1355" customWidth="1"/>
    <col min="3824" max="3824" width="44.5703125" style="1355" customWidth="1"/>
    <col min="3825" max="3825" width="14.28515625" style="1355" bestFit="1" customWidth="1"/>
    <col min="3826" max="3826" width="0" style="1355" hidden="1" customWidth="1"/>
    <col min="3827" max="3827" width="18.140625" style="1355" customWidth="1"/>
    <col min="3828" max="3828" width="0" style="1355" hidden="1" customWidth="1"/>
    <col min="3829" max="3829" width="14" style="1355" customWidth="1"/>
    <col min="3830" max="3830" width="0" style="1355" hidden="1" customWidth="1"/>
    <col min="3831" max="3831" width="20.85546875" style="1355" customWidth="1"/>
    <col min="3832" max="3832" width="0" style="1355" hidden="1" customWidth="1"/>
    <col min="3833" max="3833" width="13.28515625" style="1355" customWidth="1"/>
    <col min="3834" max="3834" width="0" style="1355" hidden="1" customWidth="1"/>
    <col min="3835" max="3835" width="15" style="1355" customWidth="1"/>
    <col min="3836" max="3836" width="0" style="1355" hidden="1" customWidth="1"/>
    <col min="3837" max="3837" width="13.28515625" style="1355" customWidth="1"/>
    <col min="3838" max="3838" width="0" style="1355" hidden="1" customWidth="1"/>
    <col min="3839" max="3839" width="20.140625" style="1355" customWidth="1"/>
    <col min="3840" max="3840" width="14.42578125" style="1355" bestFit="1" customWidth="1"/>
    <col min="3841" max="3841" width="14" style="1355" bestFit="1" customWidth="1"/>
    <col min="3842" max="3842" width="12.28515625" style="1355" bestFit="1" customWidth="1"/>
    <col min="3843" max="3867" width="9.140625" style="1355" customWidth="1"/>
    <col min="3868" max="4062" width="8.85546875" style="1355"/>
    <col min="4063" max="4063" width="44.5703125" style="1355" customWidth="1"/>
    <col min="4064" max="4064" width="14.28515625" style="1355" bestFit="1" customWidth="1"/>
    <col min="4065" max="4065" width="1.7109375" style="1355" customWidth="1"/>
    <col min="4066" max="4066" width="14.85546875" style="1355" customWidth="1"/>
    <col min="4067" max="4067" width="0" style="1355" hidden="1" customWidth="1"/>
    <col min="4068" max="4068" width="17.42578125" style="1355" customWidth="1"/>
    <col min="4069" max="4069" width="0" style="1355" hidden="1" customWidth="1"/>
    <col min="4070" max="4070" width="12.85546875" style="1355" customWidth="1"/>
    <col min="4071" max="4071" width="0" style="1355" hidden="1" customWidth="1"/>
    <col min="4072" max="4072" width="14.42578125" style="1355" customWidth="1"/>
    <col min="4073" max="4073" width="0" style="1355" hidden="1" customWidth="1"/>
    <col min="4074" max="4074" width="17.42578125" style="1355" customWidth="1"/>
    <col min="4075" max="4075" width="0" style="1355" hidden="1" customWidth="1"/>
    <col min="4076" max="4076" width="14" style="1355" customWidth="1"/>
    <col min="4077" max="4077" width="14.28515625" style="1355" bestFit="1" customWidth="1"/>
    <col min="4078" max="4078" width="0" style="1355" hidden="1" customWidth="1"/>
    <col min="4079" max="4079" width="15.5703125" style="1355" customWidth="1"/>
    <col min="4080" max="4080" width="44.5703125" style="1355" customWidth="1"/>
    <col min="4081" max="4081" width="14.28515625" style="1355" bestFit="1" customWidth="1"/>
    <col min="4082" max="4082" width="0" style="1355" hidden="1" customWidth="1"/>
    <col min="4083" max="4083" width="18.140625" style="1355" customWidth="1"/>
    <col min="4084" max="4084" width="0" style="1355" hidden="1" customWidth="1"/>
    <col min="4085" max="4085" width="14" style="1355" customWidth="1"/>
    <col min="4086" max="4086" width="0" style="1355" hidden="1" customWidth="1"/>
    <col min="4087" max="4087" width="20.85546875" style="1355" customWidth="1"/>
    <col min="4088" max="4088" width="0" style="1355" hidden="1" customWidth="1"/>
    <col min="4089" max="4089" width="13.28515625" style="1355" customWidth="1"/>
    <col min="4090" max="4090" width="0" style="1355" hidden="1" customWidth="1"/>
    <col min="4091" max="4091" width="15" style="1355" customWidth="1"/>
    <col min="4092" max="4092" width="0" style="1355" hidden="1" customWidth="1"/>
    <col min="4093" max="4093" width="13.28515625" style="1355" customWidth="1"/>
    <col min="4094" max="4094" width="0" style="1355" hidden="1" customWidth="1"/>
    <col min="4095" max="4095" width="20.140625" style="1355" customWidth="1"/>
    <col min="4096" max="4096" width="14.42578125" style="1355" bestFit="1" customWidth="1"/>
    <col min="4097" max="4097" width="14" style="1355" bestFit="1" customWidth="1"/>
    <col min="4098" max="4098" width="12.28515625" style="1355" bestFit="1" customWidth="1"/>
    <col min="4099" max="4123" width="9.140625" style="1355" customWidth="1"/>
    <col min="4124" max="4318" width="8.85546875" style="1355"/>
    <col min="4319" max="4319" width="44.5703125" style="1355" customWidth="1"/>
    <col min="4320" max="4320" width="14.28515625" style="1355" bestFit="1" customWidth="1"/>
    <col min="4321" max="4321" width="1.7109375" style="1355" customWidth="1"/>
    <col min="4322" max="4322" width="14.85546875" style="1355" customWidth="1"/>
    <col min="4323" max="4323" width="0" style="1355" hidden="1" customWidth="1"/>
    <col min="4324" max="4324" width="17.42578125" style="1355" customWidth="1"/>
    <col min="4325" max="4325" width="0" style="1355" hidden="1" customWidth="1"/>
    <col min="4326" max="4326" width="12.85546875" style="1355" customWidth="1"/>
    <col min="4327" max="4327" width="0" style="1355" hidden="1" customWidth="1"/>
    <col min="4328" max="4328" width="14.42578125" style="1355" customWidth="1"/>
    <col min="4329" max="4329" width="0" style="1355" hidden="1" customWidth="1"/>
    <col min="4330" max="4330" width="17.42578125" style="1355" customWidth="1"/>
    <col min="4331" max="4331" width="0" style="1355" hidden="1" customWidth="1"/>
    <col min="4332" max="4332" width="14" style="1355" customWidth="1"/>
    <col min="4333" max="4333" width="14.28515625" style="1355" bestFit="1" customWidth="1"/>
    <col min="4334" max="4334" width="0" style="1355" hidden="1" customWidth="1"/>
    <col min="4335" max="4335" width="15.5703125" style="1355" customWidth="1"/>
    <col min="4336" max="4336" width="44.5703125" style="1355" customWidth="1"/>
    <col min="4337" max="4337" width="14.28515625" style="1355" bestFit="1" customWidth="1"/>
    <col min="4338" max="4338" width="0" style="1355" hidden="1" customWidth="1"/>
    <col min="4339" max="4339" width="18.140625" style="1355" customWidth="1"/>
    <col min="4340" max="4340" width="0" style="1355" hidden="1" customWidth="1"/>
    <col min="4341" max="4341" width="14" style="1355" customWidth="1"/>
    <col min="4342" max="4342" width="0" style="1355" hidden="1" customWidth="1"/>
    <col min="4343" max="4343" width="20.85546875" style="1355" customWidth="1"/>
    <col min="4344" max="4344" width="0" style="1355" hidden="1" customWidth="1"/>
    <col min="4345" max="4345" width="13.28515625" style="1355" customWidth="1"/>
    <col min="4346" max="4346" width="0" style="1355" hidden="1" customWidth="1"/>
    <col min="4347" max="4347" width="15" style="1355" customWidth="1"/>
    <col min="4348" max="4348" width="0" style="1355" hidden="1" customWidth="1"/>
    <col min="4349" max="4349" width="13.28515625" style="1355" customWidth="1"/>
    <col min="4350" max="4350" width="0" style="1355" hidden="1" customWidth="1"/>
    <col min="4351" max="4351" width="20.140625" style="1355" customWidth="1"/>
    <col min="4352" max="4352" width="14.42578125" style="1355" bestFit="1" customWidth="1"/>
    <col min="4353" max="4353" width="14" style="1355" bestFit="1" customWidth="1"/>
    <col min="4354" max="4354" width="12.28515625" style="1355" bestFit="1" customWidth="1"/>
    <col min="4355" max="4379" width="9.140625" style="1355" customWidth="1"/>
    <col min="4380" max="4574" width="8.85546875" style="1355"/>
    <col min="4575" max="4575" width="44.5703125" style="1355" customWidth="1"/>
    <col min="4576" max="4576" width="14.28515625" style="1355" bestFit="1" customWidth="1"/>
    <col min="4577" max="4577" width="1.7109375" style="1355" customWidth="1"/>
    <col min="4578" max="4578" width="14.85546875" style="1355" customWidth="1"/>
    <col min="4579" max="4579" width="0" style="1355" hidden="1" customWidth="1"/>
    <col min="4580" max="4580" width="17.42578125" style="1355" customWidth="1"/>
    <col min="4581" max="4581" width="0" style="1355" hidden="1" customWidth="1"/>
    <col min="4582" max="4582" width="12.85546875" style="1355" customWidth="1"/>
    <col min="4583" max="4583" width="0" style="1355" hidden="1" customWidth="1"/>
    <col min="4584" max="4584" width="14.42578125" style="1355" customWidth="1"/>
    <col min="4585" max="4585" width="0" style="1355" hidden="1" customWidth="1"/>
    <col min="4586" max="4586" width="17.42578125" style="1355" customWidth="1"/>
    <col min="4587" max="4587" width="0" style="1355" hidden="1" customWidth="1"/>
    <col min="4588" max="4588" width="14" style="1355" customWidth="1"/>
    <col min="4589" max="4589" width="14.28515625" style="1355" bestFit="1" customWidth="1"/>
    <col min="4590" max="4590" width="0" style="1355" hidden="1" customWidth="1"/>
    <col min="4591" max="4591" width="15.5703125" style="1355" customWidth="1"/>
    <col min="4592" max="4592" width="44.5703125" style="1355" customWidth="1"/>
    <col min="4593" max="4593" width="14.28515625" style="1355" bestFit="1" customWidth="1"/>
    <col min="4594" max="4594" width="0" style="1355" hidden="1" customWidth="1"/>
    <col min="4595" max="4595" width="18.140625" style="1355" customWidth="1"/>
    <col min="4596" max="4596" width="0" style="1355" hidden="1" customWidth="1"/>
    <col min="4597" max="4597" width="14" style="1355" customWidth="1"/>
    <col min="4598" max="4598" width="0" style="1355" hidden="1" customWidth="1"/>
    <col min="4599" max="4599" width="20.85546875" style="1355" customWidth="1"/>
    <col min="4600" max="4600" width="0" style="1355" hidden="1" customWidth="1"/>
    <col min="4601" max="4601" width="13.28515625" style="1355" customWidth="1"/>
    <col min="4602" max="4602" width="0" style="1355" hidden="1" customWidth="1"/>
    <col min="4603" max="4603" width="15" style="1355" customWidth="1"/>
    <col min="4604" max="4604" width="0" style="1355" hidden="1" customWidth="1"/>
    <col min="4605" max="4605" width="13.28515625" style="1355" customWidth="1"/>
    <col min="4606" max="4606" width="0" style="1355" hidden="1" customWidth="1"/>
    <col min="4607" max="4607" width="20.140625" style="1355" customWidth="1"/>
    <col min="4608" max="4608" width="14.42578125" style="1355" bestFit="1" customWidth="1"/>
    <col min="4609" max="4609" width="14" style="1355" bestFit="1" customWidth="1"/>
    <col min="4610" max="4610" width="12.28515625" style="1355" bestFit="1" customWidth="1"/>
    <col min="4611" max="4635" width="9.140625" style="1355" customWidth="1"/>
    <col min="4636" max="4830" width="8.85546875" style="1355"/>
    <col min="4831" max="4831" width="44.5703125" style="1355" customWidth="1"/>
    <col min="4832" max="4832" width="14.28515625" style="1355" bestFit="1" customWidth="1"/>
    <col min="4833" max="4833" width="1.7109375" style="1355" customWidth="1"/>
    <col min="4834" max="4834" width="14.85546875" style="1355" customWidth="1"/>
    <col min="4835" max="4835" width="0" style="1355" hidden="1" customWidth="1"/>
    <col min="4836" max="4836" width="17.42578125" style="1355" customWidth="1"/>
    <col min="4837" max="4837" width="0" style="1355" hidden="1" customWidth="1"/>
    <col min="4838" max="4838" width="12.85546875" style="1355" customWidth="1"/>
    <col min="4839" max="4839" width="0" style="1355" hidden="1" customWidth="1"/>
    <col min="4840" max="4840" width="14.42578125" style="1355" customWidth="1"/>
    <col min="4841" max="4841" width="0" style="1355" hidden="1" customWidth="1"/>
    <col min="4842" max="4842" width="17.42578125" style="1355" customWidth="1"/>
    <col min="4843" max="4843" width="0" style="1355" hidden="1" customWidth="1"/>
    <col min="4844" max="4844" width="14" style="1355" customWidth="1"/>
    <col min="4845" max="4845" width="14.28515625" style="1355" bestFit="1" customWidth="1"/>
    <col min="4846" max="4846" width="0" style="1355" hidden="1" customWidth="1"/>
    <col min="4847" max="4847" width="15.5703125" style="1355" customWidth="1"/>
    <col min="4848" max="4848" width="44.5703125" style="1355" customWidth="1"/>
    <col min="4849" max="4849" width="14.28515625" style="1355" bestFit="1" customWidth="1"/>
    <col min="4850" max="4850" width="0" style="1355" hidden="1" customWidth="1"/>
    <col min="4851" max="4851" width="18.140625" style="1355" customWidth="1"/>
    <col min="4852" max="4852" width="0" style="1355" hidden="1" customWidth="1"/>
    <col min="4853" max="4853" width="14" style="1355" customWidth="1"/>
    <col min="4854" max="4854" width="0" style="1355" hidden="1" customWidth="1"/>
    <col min="4855" max="4855" width="20.85546875" style="1355" customWidth="1"/>
    <col min="4856" max="4856" width="0" style="1355" hidden="1" customWidth="1"/>
    <col min="4857" max="4857" width="13.28515625" style="1355" customWidth="1"/>
    <col min="4858" max="4858" width="0" style="1355" hidden="1" customWidth="1"/>
    <col min="4859" max="4859" width="15" style="1355" customWidth="1"/>
    <col min="4860" max="4860" width="0" style="1355" hidden="1" customWidth="1"/>
    <col min="4861" max="4861" width="13.28515625" style="1355" customWidth="1"/>
    <col min="4862" max="4862" width="0" style="1355" hidden="1" customWidth="1"/>
    <col min="4863" max="4863" width="20.140625" style="1355" customWidth="1"/>
    <col min="4864" max="4864" width="14.42578125" style="1355" bestFit="1" customWidth="1"/>
    <col min="4865" max="4865" width="14" style="1355" bestFit="1" customWidth="1"/>
    <col min="4866" max="4866" width="12.28515625" style="1355" bestFit="1" customWidth="1"/>
    <col min="4867" max="4891" width="9.140625" style="1355" customWidth="1"/>
    <col min="4892" max="5086" width="8.85546875" style="1355"/>
    <col min="5087" max="5087" width="44.5703125" style="1355" customWidth="1"/>
    <col min="5088" max="5088" width="14.28515625" style="1355" bestFit="1" customWidth="1"/>
    <col min="5089" max="5089" width="1.7109375" style="1355" customWidth="1"/>
    <col min="5090" max="5090" width="14.85546875" style="1355" customWidth="1"/>
    <col min="5091" max="5091" width="0" style="1355" hidden="1" customWidth="1"/>
    <col min="5092" max="5092" width="17.42578125" style="1355" customWidth="1"/>
    <col min="5093" max="5093" width="0" style="1355" hidden="1" customWidth="1"/>
    <col min="5094" max="5094" width="12.85546875" style="1355" customWidth="1"/>
    <col min="5095" max="5095" width="0" style="1355" hidden="1" customWidth="1"/>
    <col min="5096" max="5096" width="14.42578125" style="1355" customWidth="1"/>
    <col min="5097" max="5097" width="0" style="1355" hidden="1" customWidth="1"/>
    <col min="5098" max="5098" width="17.42578125" style="1355" customWidth="1"/>
    <col min="5099" max="5099" width="0" style="1355" hidden="1" customWidth="1"/>
    <col min="5100" max="5100" width="14" style="1355" customWidth="1"/>
    <col min="5101" max="5101" width="14.28515625" style="1355" bestFit="1" customWidth="1"/>
    <col min="5102" max="5102" width="0" style="1355" hidden="1" customWidth="1"/>
    <col min="5103" max="5103" width="15.5703125" style="1355" customWidth="1"/>
    <col min="5104" max="5104" width="44.5703125" style="1355" customWidth="1"/>
    <col min="5105" max="5105" width="14.28515625" style="1355" bestFit="1" customWidth="1"/>
    <col min="5106" max="5106" width="0" style="1355" hidden="1" customWidth="1"/>
    <col min="5107" max="5107" width="18.140625" style="1355" customWidth="1"/>
    <col min="5108" max="5108" width="0" style="1355" hidden="1" customWidth="1"/>
    <col min="5109" max="5109" width="14" style="1355" customWidth="1"/>
    <col min="5110" max="5110" width="0" style="1355" hidden="1" customWidth="1"/>
    <col min="5111" max="5111" width="20.85546875" style="1355" customWidth="1"/>
    <col min="5112" max="5112" width="0" style="1355" hidden="1" customWidth="1"/>
    <col min="5113" max="5113" width="13.28515625" style="1355" customWidth="1"/>
    <col min="5114" max="5114" width="0" style="1355" hidden="1" customWidth="1"/>
    <col min="5115" max="5115" width="15" style="1355" customWidth="1"/>
    <col min="5116" max="5116" width="0" style="1355" hidden="1" customWidth="1"/>
    <col min="5117" max="5117" width="13.28515625" style="1355" customWidth="1"/>
    <col min="5118" max="5118" width="0" style="1355" hidden="1" customWidth="1"/>
    <col min="5119" max="5119" width="20.140625" style="1355" customWidth="1"/>
    <col min="5120" max="5120" width="14.42578125" style="1355" bestFit="1" customWidth="1"/>
    <col min="5121" max="5121" width="14" style="1355" bestFit="1" customWidth="1"/>
    <col min="5122" max="5122" width="12.28515625" style="1355" bestFit="1" customWidth="1"/>
    <col min="5123" max="5147" width="9.140625" style="1355" customWidth="1"/>
    <col min="5148" max="5342" width="8.85546875" style="1355"/>
    <col min="5343" max="5343" width="44.5703125" style="1355" customWidth="1"/>
    <col min="5344" max="5344" width="14.28515625" style="1355" bestFit="1" customWidth="1"/>
    <col min="5345" max="5345" width="1.7109375" style="1355" customWidth="1"/>
    <col min="5346" max="5346" width="14.85546875" style="1355" customWidth="1"/>
    <col min="5347" max="5347" width="0" style="1355" hidden="1" customWidth="1"/>
    <col min="5348" max="5348" width="17.42578125" style="1355" customWidth="1"/>
    <col min="5349" max="5349" width="0" style="1355" hidden="1" customWidth="1"/>
    <col min="5350" max="5350" width="12.85546875" style="1355" customWidth="1"/>
    <col min="5351" max="5351" width="0" style="1355" hidden="1" customWidth="1"/>
    <col min="5352" max="5352" width="14.42578125" style="1355" customWidth="1"/>
    <col min="5353" max="5353" width="0" style="1355" hidden="1" customWidth="1"/>
    <col min="5354" max="5354" width="17.42578125" style="1355" customWidth="1"/>
    <col min="5355" max="5355" width="0" style="1355" hidden="1" customWidth="1"/>
    <col min="5356" max="5356" width="14" style="1355" customWidth="1"/>
    <col min="5357" max="5357" width="14.28515625" style="1355" bestFit="1" customWidth="1"/>
    <col min="5358" max="5358" width="0" style="1355" hidden="1" customWidth="1"/>
    <col min="5359" max="5359" width="15.5703125" style="1355" customWidth="1"/>
    <col min="5360" max="5360" width="44.5703125" style="1355" customWidth="1"/>
    <col min="5361" max="5361" width="14.28515625" style="1355" bestFit="1" customWidth="1"/>
    <col min="5362" max="5362" width="0" style="1355" hidden="1" customWidth="1"/>
    <col min="5363" max="5363" width="18.140625" style="1355" customWidth="1"/>
    <col min="5364" max="5364" width="0" style="1355" hidden="1" customWidth="1"/>
    <col min="5365" max="5365" width="14" style="1355" customWidth="1"/>
    <col min="5366" max="5366" width="0" style="1355" hidden="1" customWidth="1"/>
    <col min="5367" max="5367" width="20.85546875" style="1355" customWidth="1"/>
    <col min="5368" max="5368" width="0" style="1355" hidden="1" customWidth="1"/>
    <col min="5369" max="5369" width="13.28515625" style="1355" customWidth="1"/>
    <col min="5370" max="5370" width="0" style="1355" hidden="1" customWidth="1"/>
    <col min="5371" max="5371" width="15" style="1355" customWidth="1"/>
    <col min="5372" max="5372" width="0" style="1355" hidden="1" customWidth="1"/>
    <col min="5373" max="5373" width="13.28515625" style="1355" customWidth="1"/>
    <col min="5374" max="5374" width="0" style="1355" hidden="1" customWidth="1"/>
    <col min="5375" max="5375" width="20.140625" style="1355" customWidth="1"/>
    <col min="5376" max="5376" width="14.42578125" style="1355" bestFit="1" customWidth="1"/>
    <col min="5377" max="5377" width="14" style="1355" bestFit="1" customWidth="1"/>
    <col min="5378" max="5378" width="12.28515625" style="1355" bestFit="1" customWidth="1"/>
    <col min="5379" max="5403" width="9.140625" style="1355" customWidth="1"/>
    <col min="5404" max="5598" width="8.85546875" style="1355"/>
    <col min="5599" max="5599" width="44.5703125" style="1355" customWidth="1"/>
    <col min="5600" max="5600" width="14.28515625" style="1355" bestFit="1" customWidth="1"/>
    <col min="5601" max="5601" width="1.7109375" style="1355" customWidth="1"/>
    <col min="5602" max="5602" width="14.85546875" style="1355" customWidth="1"/>
    <col min="5603" max="5603" width="0" style="1355" hidden="1" customWidth="1"/>
    <col min="5604" max="5604" width="17.42578125" style="1355" customWidth="1"/>
    <col min="5605" max="5605" width="0" style="1355" hidden="1" customWidth="1"/>
    <col min="5606" max="5606" width="12.85546875" style="1355" customWidth="1"/>
    <col min="5607" max="5607" width="0" style="1355" hidden="1" customWidth="1"/>
    <col min="5608" max="5608" width="14.42578125" style="1355" customWidth="1"/>
    <col min="5609" max="5609" width="0" style="1355" hidden="1" customWidth="1"/>
    <col min="5610" max="5610" width="17.42578125" style="1355" customWidth="1"/>
    <col min="5611" max="5611" width="0" style="1355" hidden="1" customWidth="1"/>
    <col min="5612" max="5612" width="14" style="1355" customWidth="1"/>
    <col min="5613" max="5613" width="14.28515625" style="1355" bestFit="1" customWidth="1"/>
    <col min="5614" max="5614" width="0" style="1355" hidden="1" customWidth="1"/>
    <col min="5615" max="5615" width="15.5703125" style="1355" customWidth="1"/>
    <col min="5616" max="5616" width="44.5703125" style="1355" customWidth="1"/>
    <col min="5617" max="5617" width="14.28515625" style="1355" bestFit="1" customWidth="1"/>
    <col min="5618" max="5618" width="0" style="1355" hidden="1" customWidth="1"/>
    <col min="5619" max="5619" width="18.140625" style="1355" customWidth="1"/>
    <col min="5620" max="5620" width="0" style="1355" hidden="1" customWidth="1"/>
    <col min="5621" max="5621" width="14" style="1355" customWidth="1"/>
    <col min="5622" max="5622" width="0" style="1355" hidden="1" customWidth="1"/>
    <col min="5623" max="5623" width="20.85546875" style="1355" customWidth="1"/>
    <col min="5624" max="5624" width="0" style="1355" hidden="1" customWidth="1"/>
    <col min="5625" max="5625" width="13.28515625" style="1355" customWidth="1"/>
    <col min="5626" max="5626" width="0" style="1355" hidden="1" customWidth="1"/>
    <col min="5627" max="5627" width="15" style="1355" customWidth="1"/>
    <col min="5628" max="5628" width="0" style="1355" hidden="1" customWidth="1"/>
    <col min="5629" max="5629" width="13.28515625" style="1355" customWidth="1"/>
    <col min="5630" max="5630" width="0" style="1355" hidden="1" customWidth="1"/>
    <col min="5631" max="5631" width="20.140625" style="1355" customWidth="1"/>
    <col min="5632" max="5632" width="14.42578125" style="1355" bestFit="1" customWidth="1"/>
    <col min="5633" max="5633" width="14" style="1355" bestFit="1" customWidth="1"/>
    <col min="5634" max="5634" width="12.28515625" style="1355" bestFit="1" customWidth="1"/>
    <col min="5635" max="5659" width="9.140625" style="1355" customWidth="1"/>
    <col min="5660" max="5854" width="8.85546875" style="1355"/>
    <col min="5855" max="5855" width="44.5703125" style="1355" customWidth="1"/>
    <col min="5856" max="5856" width="14.28515625" style="1355" bestFit="1" customWidth="1"/>
    <col min="5857" max="5857" width="1.7109375" style="1355" customWidth="1"/>
    <col min="5858" max="5858" width="14.85546875" style="1355" customWidth="1"/>
    <col min="5859" max="5859" width="0" style="1355" hidden="1" customWidth="1"/>
    <col min="5860" max="5860" width="17.42578125" style="1355" customWidth="1"/>
    <col min="5861" max="5861" width="0" style="1355" hidden="1" customWidth="1"/>
    <col min="5862" max="5862" width="12.85546875" style="1355" customWidth="1"/>
    <col min="5863" max="5863" width="0" style="1355" hidden="1" customWidth="1"/>
    <col min="5864" max="5864" width="14.42578125" style="1355" customWidth="1"/>
    <col min="5865" max="5865" width="0" style="1355" hidden="1" customWidth="1"/>
    <col min="5866" max="5866" width="17.42578125" style="1355" customWidth="1"/>
    <col min="5867" max="5867" width="0" style="1355" hidden="1" customWidth="1"/>
    <col min="5868" max="5868" width="14" style="1355" customWidth="1"/>
    <col min="5869" max="5869" width="14.28515625" style="1355" bestFit="1" customWidth="1"/>
    <col min="5870" max="5870" width="0" style="1355" hidden="1" customWidth="1"/>
    <col min="5871" max="5871" width="15.5703125" style="1355" customWidth="1"/>
    <col min="5872" max="5872" width="44.5703125" style="1355" customWidth="1"/>
    <col min="5873" max="5873" width="14.28515625" style="1355" bestFit="1" customWidth="1"/>
    <col min="5874" max="5874" width="0" style="1355" hidden="1" customWidth="1"/>
    <col min="5875" max="5875" width="18.140625" style="1355" customWidth="1"/>
    <col min="5876" max="5876" width="0" style="1355" hidden="1" customWidth="1"/>
    <col min="5877" max="5877" width="14" style="1355" customWidth="1"/>
    <col min="5878" max="5878" width="0" style="1355" hidden="1" customWidth="1"/>
    <col min="5879" max="5879" width="20.85546875" style="1355" customWidth="1"/>
    <col min="5880" max="5880" width="0" style="1355" hidden="1" customWidth="1"/>
    <col min="5881" max="5881" width="13.28515625" style="1355" customWidth="1"/>
    <col min="5882" max="5882" width="0" style="1355" hidden="1" customWidth="1"/>
    <col min="5883" max="5883" width="15" style="1355" customWidth="1"/>
    <col min="5884" max="5884" width="0" style="1355" hidden="1" customWidth="1"/>
    <col min="5885" max="5885" width="13.28515625" style="1355" customWidth="1"/>
    <col min="5886" max="5886" width="0" style="1355" hidden="1" customWidth="1"/>
    <col min="5887" max="5887" width="20.140625" style="1355" customWidth="1"/>
    <col min="5888" max="5888" width="14.42578125" style="1355" bestFit="1" customWidth="1"/>
    <col min="5889" max="5889" width="14" style="1355" bestFit="1" customWidth="1"/>
    <col min="5890" max="5890" width="12.28515625" style="1355" bestFit="1" customWidth="1"/>
    <col min="5891" max="5915" width="9.140625" style="1355" customWidth="1"/>
    <col min="5916" max="6110" width="8.85546875" style="1355"/>
    <col min="6111" max="6111" width="44.5703125" style="1355" customWidth="1"/>
    <col min="6112" max="6112" width="14.28515625" style="1355" bestFit="1" customWidth="1"/>
    <col min="6113" max="6113" width="1.7109375" style="1355" customWidth="1"/>
    <col min="6114" max="6114" width="14.85546875" style="1355" customWidth="1"/>
    <col min="6115" max="6115" width="0" style="1355" hidden="1" customWidth="1"/>
    <col min="6116" max="6116" width="17.42578125" style="1355" customWidth="1"/>
    <col min="6117" max="6117" width="0" style="1355" hidden="1" customWidth="1"/>
    <col min="6118" max="6118" width="12.85546875" style="1355" customWidth="1"/>
    <col min="6119" max="6119" width="0" style="1355" hidden="1" customWidth="1"/>
    <col min="6120" max="6120" width="14.42578125" style="1355" customWidth="1"/>
    <col min="6121" max="6121" width="0" style="1355" hidden="1" customWidth="1"/>
    <col min="6122" max="6122" width="17.42578125" style="1355" customWidth="1"/>
    <col min="6123" max="6123" width="0" style="1355" hidden="1" customWidth="1"/>
    <col min="6124" max="6124" width="14" style="1355" customWidth="1"/>
    <col min="6125" max="6125" width="14.28515625" style="1355" bestFit="1" customWidth="1"/>
    <col min="6126" max="6126" width="0" style="1355" hidden="1" customWidth="1"/>
    <col min="6127" max="6127" width="15.5703125" style="1355" customWidth="1"/>
    <col min="6128" max="6128" width="44.5703125" style="1355" customWidth="1"/>
    <col min="6129" max="6129" width="14.28515625" style="1355" bestFit="1" customWidth="1"/>
    <col min="6130" max="6130" width="0" style="1355" hidden="1" customWidth="1"/>
    <col min="6131" max="6131" width="18.140625" style="1355" customWidth="1"/>
    <col min="6132" max="6132" width="0" style="1355" hidden="1" customWidth="1"/>
    <col min="6133" max="6133" width="14" style="1355" customWidth="1"/>
    <col min="6134" max="6134" width="0" style="1355" hidden="1" customWidth="1"/>
    <col min="6135" max="6135" width="20.85546875" style="1355" customWidth="1"/>
    <col min="6136" max="6136" width="0" style="1355" hidden="1" customWidth="1"/>
    <col min="6137" max="6137" width="13.28515625" style="1355" customWidth="1"/>
    <col min="6138" max="6138" width="0" style="1355" hidden="1" customWidth="1"/>
    <col min="6139" max="6139" width="15" style="1355" customWidth="1"/>
    <col min="6140" max="6140" width="0" style="1355" hidden="1" customWidth="1"/>
    <col min="6141" max="6141" width="13.28515625" style="1355" customWidth="1"/>
    <col min="6142" max="6142" width="0" style="1355" hidden="1" customWidth="1"/>
    <col min="6143" max="6143" width="20.140625" style="1355" customWidth="1"/>
    <col min="6144" max="6144" width="14.42578125" style="1355" bestFit="1" customWidth="1"/>
    <col min="6145" max="6145" width="14" style="1355" bestFit="1" customWidth="1"/>
    <col min="6146" max="6146" width="12.28515625" style="1355" bestFit="1" customWidth="1"/>
    <col min="6147" max="6171" width="9.140625" style="1355" customWidth="1"/>
    <col min="6172" max="6366" width="8.85546875" style="1355"/>
    <col min="6367" max="6367" width="44.5703125" style="1355" customWidth="1"/>
    <col min="6368" max="6368" width="14.28515625" style="1355" bestFit="1" customWidth="1"/>
    <col min="6369" max="6369" width="1.7109375" style="1355" customWidth="1"/>
    <col min="6370" max="6370" width="14.85546875" style="1355" customWidth="1"/>
    <col min="6371" max="6371" width="0" style="1355" hidden="1" customWidth="1"/>
    <col min="6372" max="6372" width="17.42578125" style="1355" customWidth="1"/>
    <col min="6373" max="6373" width="0" style="1355" hidden="1" customWidth="1"/>
    <col min="6374" max="6374" width="12.85546875" style="1355" customWidth="1"/>
    <col min="6375" max="6375" width="0" style="1355" hidden="1" customWidth="1"/>
    <col min="6376" max="6376" width="14.42578125" style="1355" customWidth="1"/>
    <col min="6377" max="6377" width="0" style="1355" hidden="1" customWidth="1"/>
    <col min="6378" max="6378" width="17.42578125" style="1355" customWidth="1"/>
    <col min="6379" max="6379" width="0" style="1355" hidden="1" customWidth="1"/>
    <col min="6380" max="6380" width="14" style="1355" customWidth="1"/>
    <col min="6381" max="6381" width="14.28515625" style="1355" bestFit="1" customWidth="1"/>
    <col min="6382" max="6382" width="0" style="1355" hidden="1" customWidth="1"/>
    <col min="6383" max="6383" width="15.5703125" style="1355" customWidth="1"/>
    <col min="6384" max="6384" width="44.5703125" style="1355" customWidth="1"/>
    <col min="6385" max="6385" width="14.28515625" style="1355" bestFit="1" customWidth="1"/>
    <col min="6386" max="6386" width="0" style="1355" hidden="1" customWidth="1"/>
    <col min="6387" max="6387" width="18.140625" style="1355" customWidth="1"/>
    <col min="6388" max="6388" width="0" style="1355" hidden="1" customWidth="1"/>
    <col min="6389" max="6389" width="14" style="1355" customWidth="1"/>
    <col min="6390" max="6390" width="0" style="1355" hidden="1" customWidth="1"/>
    <col min="6391" max="6391" width="20.85546875" style="1355" customWidth="1"/>
    <col min="6392" max="6392" width="0" style="1355" hidden="1" customWidth="1"/>
    <col min="6393" max="6393" width="13.28515625" style="1355" customWidth="1"/>
    <col min="6394" max="6394" width="0" style="1355" hidden="1" customWidth="1"/>
    <col min="6395" max="6395" width="15" style="1355" customWidth="1"/>
    <col min="6396" max="6396" width="0" style="1355" hidden="1" customWidth="1"/>
    <col min="6397" max="6397" width="13.28515625" style="1355" customWidth="1"/>
    <col min="6398" max="6398" width="0" style="1355" hidden="1" customWidth="1"/>
    <col min="6399" max="6399" width="20.140625" style="1355" customWidth="1"/>
    <col min="6400" max="6400" width="14.42578125" style="1355" bestFit="1" customWidth="1"/>
    <col min="6401" max="6401" width="14" style="1355" bestFit="1" customWidth="1"/>
    <col min="6402" max="6402" width="12.28515625" style="1355" bestFit="1" customWidth="1"/>
    <col min="6403" max="6427" width="9.140625" style="1355" customWidth="1"/>
    <col min="6428" max="6622" width="8.85546875" style="1355"/>
    <col min="6623" max="6623" width="44.5703125" style="1355" customWidth="1"/>
    <col min="6624" max="6624" width="14.28515625" style="1355" bestFit="1" customWidth="1"/>
    <col min="6625" max="6625" width="1.7109375" style="1355" customWidth="1"/>
    <col min="6626" max="6626" width="14.85546875" style="1355" customWidth="1"/>
    <col min="6627" max="6627" width="0" style="1355" hidden="1" customWidth="1"/>
    <col min="6628" max="6628" width="17.42578125" style="1355" customWidth="1"/>
    <col min="6629" max="6629" width="0" style="1355" hidden="1" customWidth="1"/>
    <col min="6630" max="6630" width="12.85546875" style="1355" customWidth="1"/>
    <col min="6631" max="6631" width="0" style="1355" hidden="1" customWidth="1"/>
    <col min="6632" max="6632" width="14.42578125" style="1355" customWidth="1"/>
    <col min="6633" max="6633" width="0" style="1355" hidden="1" customWidth="1"/>
    <col min="6634" max="6634" width="17.42578125" style="1355" customWidth="1"/>
    <col min="6635" max="6635" width="0" style="1355" hidden="1" customWidth="1"/>
    <col min="6636" max="6636" width="14" style="1355" customWidth="1"/>
    <col min="6637" max="6637" width="14.28515625" style="1355" bestFit="1" customWidth="1"/>
    <col min="6638" max="6638" width="0" style="1355" hidden="1" customWidth="1"/>
    <col min="6639" max="6639" width="15.5703125" style="1355" customWidth="1"/>
    <col min="6640" max="6640" width="44.5703125" style="1355" customWidth="1"/>
    <col min="6641" max="6641" width="14.28515625" style="1355" bestFit="1" customWidth="1"/>
    <col min="6642" max="6642" width="0" style="1355" hidden="1" customWidth="1"/>
    <col min="6643" max="6643" width="18.140625" style="1355" customWidth="1"/>
    <col min="6644" max="6644" width="0" style="1355" hidden="1" customWidth="1"/>
    <col min="6645" max="6645" width="14" style="1355" customWidth="1"/>
    <col min="6646" max="6646" width="0" style="1355" hidden="1" customWidth="1"/>
    <col min="6647" max="6647" width="20.85546875" style="1355" customWidth="1"/>
    <col min="6648" max="6648" width="0" style="1355" hidden="1" customWidth="1"/>
    <col min="6649" max="6649" width="13.28515625" style="1355" customWidth="1"/>
    <col min="6650" max="6650" width="0" style="1355" hidden="1" customWidth="1"/>
    <col min="6651" max="6651" width="15" style="1355" customWidth="1"/>
    <col min="6652" max="6652" width="0" style="1355" hidden="1" customWidth="1"/>
    <col min="6653" max="6653" width="13.28515625" style="1355" customWidth="1"/>
    <col min="6654" max="6654" width="0" style="1355" hidden="1" customWidth="1"/>
    <col min="6655" max="6655" width="20.140625" style="1355" customWidth="1"/>
    <col min="6656" max="6656" width="14.42578125" style="1355" bestFit="1" customWidth="1"/>
    <col min="6657" max="6657" width="14" style="1355" bestFit="1" customWidth="1"/>
    <col min="6658" max="6658" width="12.28515625" style="1355" bestFit="1" customWidth="1"/>
    <col min="6659" max="6683" width="9.140625" style="1355" customWidth="1"/>
    <col min="6684" max="6878" width="8.85546875" style="1355"/>
    <col min="6879" max="6879" width="44.5703125" style="1355" customWidth="1"/>
    <col min="6880" max="6880" width="14.28515625" style="1355" bestFit="1" customWidth="1"/>
    <col min="6881" max="6881" width="1.7109375" style="1355" customWidth="1"/>
    <col min="6882" max="6882" width="14.85546875" style="1355" customWidth="1"/>
    <col min="6883" max="6883" width="0" style="1355" hidden="1" customWidth="1"/>
    <col min="6884" max="6884" width="17.42578125" style="1355" customWidth="1"/>
    <col min="6885" max="6885" width="0" style="1355" hidden="1" customWidth="1"/>
    <col min="6886" max="6886" width="12.85546875" style="1355" customWidth="1"/>
    <col min="6887" max="6887" width="0" style="1355" hidden="1" customWidth="1"/>
    <col min="6888" max="6888" width="14.42578125" style="1355" customWidth="1"/>
    <col min="6889" max="6889" width="0" style="1355" hidden="1" customWidth="1"/>
    <col min="6890" max="6890" width="17.42578125" style="1355" customWidth="1"/>
    <col min="6891" max="6891" width="0" style="1355" hidden="1" customWidth="1"/>
    <col min="6892" max="6892" width="14" style="1355" customWidth="1"/>
    <col min="6893" max="6893" width="14.28515625" style="1355" bestFit="1" customWidth="1"/>
    <col min="6894" max="6894" width="0" style="1355" hidden="1" customWidth="1"/>
    <col min="6895" max="6895" width="15.5703125" style="1355" customWidth="1"/>
    <col min="6896" max="6896" width="44.5703125" style="1355" customWidth="1"/>
    <col min="6897" max="6897" width="14.28515625" style="1355" bestFit="1" customWidth="1"/>
    <col min="6898" max="6898" width="0" style="1355" hidden="1" customWidth="1"/>
    <col min="6899" max="6899" width="18.140625" style="1355" customWidth="1"/>
    <col min="6900" max="6900" width="0" style="1355" hidden="1" customWidth="1"/>
    <col min="6901" max="6901" width="14" style="1355" customWidth="1"/>
    <col min="6902" max="6902" width="0" style="1355" hidden="1" customWidth="1"/>
    <col min="6903" max="6903" width="20.85546875" style="1355" customWidth="1"/>
    <col min="6904" max="6904" width="0" style="1355" hidden="1" customWidth="1"/>
    <col min="6905" max="6905" width="13.28515625" style="1355" customWidth="1"/>
    <col min="6906" max="6906" width="0" style="1355" hidden="1" customWidth="1"/>
    <col min="6907" max="6907" width="15" style="1355" customWidth="1"/>
    <col min="6908" max="6908" width="0" style="1355" hidden="1" customWidth="1"/>
    <col min="6909" max="6909" width="13.28515625" style="1355" customWidth="1"/>
    <col min="6910" max="6910" width="0" style="1355" hidden="1" customWidth="1"/>
    <col min="6911" max="6911" width="20.140625" style="1355" customWidth="1"/>
    <col min="6912" max="6912" width="14.42578125" style="1355" bestFit="1" customWidth="1"/>
    <col min="6913" max="6913" width="14" style="1355" bestFit="1" customWidth="1"/>
    <col min="6914" max="6914" width="12.28515625" style="1355" bestFit="1" customWidth="1"/>
    <col min="6915" max="6939" width="9.140625" style="1355" customWidth="1"/>
    <col min="6940" max="7134" width="8.85546875" style="1355"/>
    <col min="7135" max="7135" width="44.5703125" style="1355" customWidth="1"/>
    <col min="7136" max="7136" width="14.28515625" style="1355" bestFit="1" customWidth="1"/>
    <col min="7137" max="7137" width="1.7109375" style="1355" customWidth="1"/>
    <col min="7138" max="7138" width="14.85546875" style="1355" customWidth="1"/>
    <col min="7139" max="7139" width="0" style="1355" hidden="1" customWidth="1"/>
    <col min="7140" max="7140" width="17.42578125" style="1355" customWidth="1"/>
    <col min="7141" max="7141" width="0" style="1355" hidden="1" customWidth="1"/>
    <col min="7142" max="7142" width="12.85546875" style="1355" customWidth="1"/>
    <col min="7143" max="7143" width="0" style="1355" hidden="1" customWidth="1"/>
    <col min="7144" max="7144" width="14.42578125" style="1355" customWidth="1"/>
    <col min="7145" max="7145" width="0" style="1355" hidden="1" customWidth="1"/>
    <col min="7146" max="7146" width="17.42578125" style="1355" customWidth="1"/>
    <col min="7147" max="7147" width="0" style="1355" hidden="1" customWidth="1"/>
    <col min="7148" max="7148" width="14" style="1355" customWidth="1"/>
    <col min="7149" max="7149" width="14.28515625" style="1355" bestFit="1" customWidth="1"/>
    <col min="7150" max="7150" width="0" style="1355" hidden="1" customWidth="1"/>
    <col min="7151" max="7151" width="15.5703125" style="1355" customWidth="1"/>
    <col min="7152" max="7152" width="44.5703125" style="1355" customWidth="1"/>
    <col min="7153" max="7153" width="14.28515625" style="1355" bestFit="1" customWidth="1"/>
    <col min="7154" max="7154" width="0" style="1355" hidden="1" customWidth="1"/>
    <col min="7155" max="7155" width="18.140625" style="1355" customWidth="1"/>
    <col min="7156" max="7156" width="0" style="1355" hidden="1" customWidth="1"/>
    <col min="7157" max="7157" width="14" style="1355" customWidth="1"/>
    <col min="7158" max="7158" width="0" style="1355" hidden="1" customWidth="1"/>
    <col min="7159" max="7159" width="20.85546875" style="1355" customWidth="1"/>
    <col min="7160" max="7160" width="0" style="1355" hidden="1" customWidth="1"/>
    <col min="7161" max="7161" width="13.28515625" style="1355" customWidth="1"/>
    <col min="7162" max="7162" width="0" style="1355" hidden="1" customWidth="1"/>
    <col min="7163" max="7163" width="15" style="1355" customWidth="1"/>
    <col min="7164" max="7164" width="0" style="1355" hidden="1" customWidth="1"/>
    <col min="7165" max="7165" width="13.28515625" style="1355" customWidth="1"/>
    <col min="7166" max="7166" width="0" style="1355" hidden="1" customWidth="1"/>
    <col min="7167" max="7167" width="20.140625" style="1355" customWidth="1"/>
    <col min="7168" max="7168" width="14.42578125" style="1355" bestFit="1" customWidth="1"/>
    <col min="7169" max="7169" width="14" style="1355" bestFit="1" customWidth="1"/>
    <col min="7170" max="7170" width="12.28515625" style="1355" bestFit="1" customWidth="1"/>
    <col min="7171" max="7195" width="9.140625" style="1355" customWidth="1"/>
    <col min="7196" max="7390" width="8.85546875" style="1355"/>
    <col min="7391" max="7391" width="44.5703125" style="1355" customWidth="1"/>
    <col min="7392" max="7392" width="14.28515625" style="1355" bestFit="1" customWidth="1"/>
    <col min="7393" max="7393" width="1.7109375" style="1355" customWidth="1"/>
    <col min="7394" max="7394" width="14.85546875" style="1355" customWidth="1"/>
    <col min="7395" max="7395" width="0" style="1355" hidden="1" customWidth="1"/>
    <col min="7396" max="7396" width="17.42578125" style="1355" customWidth="1"/>
    <col min="7397" max="7397" width="0" style="1355" hidden="1" customWidth="1"/>
    <col min="7398" max="7398" width="12.85546875" style="1355" customWidth="1"/>
    <col min="7399" max="7399" width="0" style="1355" hidden="1" customWidth="1"/>
    <col min="7400" max="7400" width="14.42578125" style="1355" customWidth="1"/>
    <col min="7401" max="7401" width="0" style="1355" hidden="1" customWidth="1"/>
    <col min="7402" max="7402" width="17.42578125" style="1355" customWidth="1"/>
    <col min="7403" max="7403" width="0" style="1355" hidden="1" customWidth="1"/>
    <col min="7404" max="7404" width="14" style="1355" customWidth="1"/>
    <col min="7405" max="7405" width="14.28515625" style="1355" bestFit="1" customWidth="1"/>
    <col min="7406" max="7406" width="0" style="1355" hidden="1" customWidth="1"/>
    <col min="7407" max="7407" width="15.5703125" style="1355" customWidth="1"/>
    <col min="7408" max="7408" width="44.5703125" style="1355" customWidth="1"/>
    <col min="7409" max="7409" width="14.28515625" style="1355" bestFit="1" customWidth="1"/>
    <col min="7410" max="7410" width="0" style="1355" hidden="1" customWidth="1"/>
    <col min="7411" max="7411" width="18.140625" style="1355" customWidth="1"/>
    <col min="7412" max="7412" width="0" style="1355" hidden="1" customWidth="1"/>
    <col min="7413" max="7413" width="14" style="1355" customWidth="1"/>
    <col min="7414" max="7414" width="0" style="1355" hidden="1" customWidth="1"/>
    <col min="7415" max="7415" width="20.85546875" style="1355" customWidth="1"/>
    <col min="7416" max="7416" width="0" style="1355" hidden="1" customWidth="1"/>
    <col min="7417" max="7417" width="13.28515625" style="1355" customWidth="1"/>
    <col min="7418" max="7418" width="0" style="1355" hidden="1" customWidth="1"/>
    <col min="7419" max="7419" width="15" style="1355" customWidth="1"/>
    <col min="7420" max="7420" width="0" style="1355" hidden="1" customWidth="1"/>
    <col min="7421" max="7421" width="13.28515625" style="1355" customWidth="1"/>
    <col min="7422" max="7422" width="0" style="1355" hidden="1" customWidth="1"/>
    <col min="7423" max="7423" width="20.140625" style="1355" customWidth="1"/>
    <col min="7424" max="7424" width="14.42578125" style="1355" bestFit="1" customWidth="1"/>
    <col min="7425" max="7425" width="14" style="1355" bestFit="1" customWidth="1"/>
    <col min="7426" max="7426" width="12.28515625" style="1355" bestFit="1" customWidth="1"/>
    <col min="7427" max="7451" width="9.140625" style="1355" customWidth="1"/>
    <col min="7452" max="7646" width="8.85546875" style="1355"/>
    <col min="7647" max="7647" width="44.5703125" style="1355" customWidth="1"/>
    <col min="7648" max="7648" width="14.28515625" style="1355" bestFit="1" customWidth="1"/>
    <col min="7649" max="7649" width="1.7109375" style="1355" customWidth="1"/>
    <col min="7650" max="7650" width="14.85546875" style="1355" customWidth="1"/>
    <col min="7651" max="7651" width="0" style="1355" hidden="1" customWidth="1"/>
    <col min="7652" max="7652" width="17.42578125" style="1355" customWidth="1"/>
    <col min="7653" max="7653" width="0" style="1355" hidden="1" customWidth="1"/>
    <col min="7654" max="7654" width="12.85546875" style="1355" customWidth="1"/>
    <col min="7655" max="7655" width="0" style="1355" hidden="1" customWidth="1"/>
    <col min="7656" max="7656" width="14.42578125" style="1355" customWidth="1"/>
    <col min="7657" max="7657" width="0" style="1355" hidden="1" customWidth="1"/>
    <col min="7658" max="7658" width="17.42578125" style="1355" customWidth="1"/>
    <col min="7659" max="7659" width="0" style="1355" hidden="1" customWidth="1"/>
    <col min="7660" max="7660" width="14" style="1355" customWidth="1"/>
    <col min="7661" max="7661" width="14.28515625" style="1355" bestFit="1" customWidth="1"/>
    <col min="7662" max="7662" width="0" style="1355" hidden="1" customWidth="1"/>
    <col min="7663" max="7663" width="15.5703125" style="1355" customWidth="1"/>
    <col min="7664" max="7664" width="44.5703125" style="1355" customWidth="1"/>
    <col min="7665" max="7665" width="14.28515625" style="1355" bestFit="1" customWidth="1"/>
    <col min="7666" max="7666" width="0" style="1355" hidden="1" customWidth="1"/>
    <col min="7667" max="7667" width="18.140625" style="1355" customWidth="1"/>
    <col min="7668" max="7668" width="0" style="1355" hidden="1" customWidth="1"/>
    <col min="7669" max="7669" width="14" style="1355" customWidth="1"/>
    <col min="7670" max="7670" width="0" style="1355" hidden="1" customWidth="1"/>
    <col min="7671" max="7671" width="20.85546875" style="1355" customWidth="1"/>
    <col min="7672" max="7672" width="0" style="1355" hidden="1" customWidth="1"/>
    <col min="7673" max="7673" width="13.28515625" style="1355" customWidth="1"/>
    <col min="7674" max="7674" width="0" style="1355" hidden="1" customWidth="1"/>
    <col min="7675" max="7675" width="15" style="1355" customWidth="1"/>
    <col min="7676" max="7676" width="0" style="1355" hidden="1" customWidth="1"/>
    <col min="7677" max="7677" width="13.28515625" style="1355" customWidth="1"/>
    <col min="7678" max="7678" width="0" style="1355" hidden="1" customWidth="1"/>
    <col min="7679" max="7679" width="20.140625" style="1355" customWidth="1"/>
    <col min="7680" max="7680" width="14.42578125" style="1355" bestFit="1" customWidth="1"/>
    <col min="7681" max="7681" width="14" style="1355" bestFit="1" customWidth="1"/>
    <col min="7682" max="7682" width="12.28515625" style="1355" bestFit="1" customWidth="1"/>
    <col min="7683" max="7707" width="9.140625" style="1355" customWidth="1"/>
    <col min="7708" max="7902" width="8.85546875" style="1355"/>
    <col min="7903" max="7903" width="44.5703125" style="1355" customWidth="1"/>
    <col min="7904" max="7904" width="14.28515625" style="1355" bestFit="1" customWidth="1"/>
    <col min="7905" max="7905" width="1.7109375" style="1355" customWidth="1"/>
    <col min="7906" max="7906" width="14.85546875" style="1355" customWidth="1"/>
    <col min="7907" max="7907" width="0" style="1355" hidden="1" customWidth="1"/>
    <col min="7908" max="7908" width="17.42578125" style="1355" customWidth="1"/>
    <col min="7909" max="7909" width="0" style="1355" hidden="1" customWidth="1"/>
    <col min="7910" max="7910" width="12.85546875" style="1355" customWidth="1"/>
    <col min="7911" max="7911" width="0" style="1355" hidden="1" customWidth="1"/>
    <col min="7912" max="7912" width="14.42578125" style="1355" customWidth="1"/>
    <col min="7913" max="7913" width="0" style="1355" hidden="1" customWidth="1"/>
    <col min="7914" max="7914" width="17.42578125" style="1355" customWidth="1"/>
    <col min="7915" max="7915" width="0" style="1355" hidden="1" customWidth="1"/>
    <col min="7916" max="7916" width="14" style="1355" customWidth="1"/>
    <col min="7917" max="7917" width="14.28515625" style="1355" bestFit="1" customWidth="1"/>
    <col min="7918" max="7918" width="0" style="1355" hidden="1" customWidth="1"/>
    <col min="7919" max="7919" width="15.5703125" style="1355" customWidth="1"/>
    <col min="7920" max="7920" width="44.5703125" style="1355" customWidth="1"/>
    <col min="7921" max="7921" width="14.28515625" style="1355" bestFit="1" customWidth="1"/>
    <col min="7922" max="7922" width="0" style="1355" hidden="1" customWidth="1"/>
    <col min="7923" max="7923" width="18.140625" style="1355" customWidth="1"/>
    <col min="7924" max="7924" width="0" style="1355" hidden="1" customWidth="1"/>
    <col min="7925" max="7925" width="14" style="1355" customWidth="1"/>
    <col min="7926" max="7926" width="0" style="1355" hidden="1" customWidth="1"/>
    <col min="7927" max="7927" width="20.85546875" style="1355" customWidth="1"/>
    <col min="7928" max="7928" width="0" style="1355" hidden="1" customWidth="1"/>
    <col min="7929" max="7929" width="13.28515625" style="1355" customWidth="1"/>
    <col min="7930" max="7930" width="0" style="1355" hidden="1" customWidth="1"/>
    <col min="7931" max="7931" width="15" style="1355" customWidth="1"/>
    <col min="7932" max="7932" width="0" style="1355" hidden="1" customWidth="1"/>
    <col min="7933" max="7933" width="13.28515625" style="1355" customWidth="1"/>
    <col min="7934" max="7934" width="0" style="1355" hidden="1" customWidth="1"/>
    <col min="7935" max="7935" width="20.140625" style="1355" customWidth="1"/>
    <col min="7936" max="7936" width="14.42578125" style="1355" bestFit="1" customWidth="1"/>
    <col min="7937" max="7937" width="14" style="1355" bestFit="1" customWidth="1"/>
    <col min="7938" max="7938" width="12.28515625" style="1355" bestFit="1" customWidth="1"/>
    <col min="7939" max="7963" width="9.140625" style="1355" customWidth="1"/>
    <col min="7964" max="8158" width="8.85546875" style="1355"/>
    <col min="8159" max="8159" width="44.5703125" style="1355" customWidth="1"/>
    <col min="8160" max="8160" width="14.28515625" style="1355" bestFit="1" customWidth="1"/>
    <col min="8161" max="8161" width="1.7109375" style="1355" customWidth="1"/>
    <col min="8162" max="8162" width="14.85546875" style="1355" customWidth="1"/>
    <col min="8163" max="8163" width="0" style="1355" hidden="1" customWidth="1"/>
    <col min="8164" max="8164" width="17.42578125" style="1355" customWidth="1"/>
    <col min="8165" max="8165" width="0" style="1355" hidden="1" customWidth="1"/>
    <col min="8166" max="8166" width="12.85546875" style="1355" customWidth="1"/>
    <col min="8167" max="8167" width="0" style="1355" hidden="1" customWidth="1"/>
    <col min="8168" max="8168" width="14.42578125" style="1355" customWidth="1"/>
    <col min="8169" max="8169" width="0" style="1355" hidden="1" customWidth="1"/>
    <col min="8170" max="8170" width="17.42578125" style="1355" customWidth="1"/>
    <col min="8171" max="8171" width="0" style="1355" hidden="1" customWidth="1"/>
    <col min="8172" max="8172" width="14" style="1355" customWidth="1"/>
    <col min="8173" max="8173" width="14.28515625" style="1355" bestFit="1" customWidth="1"/>
    <col min="8174" max="8174" width="0" style="1355" hidden="1" customWidth="1"/>
    <col min="8175" max="8175" width="15.5703125" style="1355" customWidth="1"/>
    <col min="8176" max="8176" width="44.5703125" style="1355" customWidth="1"/>
    <col min="8177" max="8177" width="14.28515625" style="1355" bestFit="1" customWidth="1"/>
    <col min="8178" max="8178" width="0" style="1355" hidden="1" customWidth="1"/>
    <col min="8179" max="8179" width="18.140625" style="1355" customWidth="1"/>
    <col min="8180" max="8180" width="0" style="1355" hidden="1" customWidth="1"/>
    <col min="8181" max="8181" width="14" style="1355" customWidth="1"/>
    <col min="8182" max="8182" width="0" style="1355" hidden="1" customWidth="1"/>
    <col min="8183" max="8183" width="20.85546875" style="1355" customWidth="1"/>
    <col min="8184" max="8184" width="0" style="1355" hidden="1" customWidth="1"/>
    <col min="8185" max="8185" width="13.28515625" style="1355" customWidth="1"/>
    <col min="8186" max="8186" width="0" style="1355" hidden="1" customWidth="1"/>
    <col min="8187" max="8187" width="15" style="1355" customWidth="1"/>
    <col min="8188" max="8188" width="0" style="1355" hidden="1" customWidth="1"/>
    <col min="8189" max="8189" width="13.28515625" style="1355" customWidth="1"/>
    <col min="8190" max="8190" width="0" style="1355" hidden="1" customWidth="1"/>
    <col min="8191" max="8191" width="20.140625" style="1355" customWidth="1"/>
    <col min="8192" max="8192" width="14.42578125" style="1355" bestFit="1" customWidth="1"/>
    <col min="8193" max="8193" width="14" style="1355" bestFit="1" customWidth="1"/>
    <col min="8194" max="8194" width="12.28515625" style="1355" bestFit="1" customWidth="1"/>
    <col min="8195" max="8219" width="9.140625" style="1355" customWidth="1"/>
    <col min="8220" max="8414" width="8.85546875" style="1355"/>
    <col min="8415" max="8415" width="44.5703125" style="1355" customWidth="1"/>
    <col min="8416" max="8416" width="14.28515625" style="1355" bestFit="1" customWidth="1"/>
    <col min="8417" max="8417" width="1.7109375" style="1355" customWidth="1"/>
    <col min="8418" max="8418" width="14.85546875" style="1355" customWidth="1"/>
    <col min="8419" max="8419" width="0" style="1355" hidden="1" customWidth="1"/>
    <col min="8420" max="8420" width="17.42578125" style="1355" customWidth="1"/>
    <col min="8421" max="8421" width="0" style="1355" hidden="1" customWidth="1"/>
    <col min="8422" max="8422" width="12.85546875" style="1355" customWidth="1"/>
    <col min="8423" max="8423" width="0" style="1355" hidden="1" customWidth="1"/>
    <col min="8424" max="8424" width="14.42578125" style="1355" customWidth="1"/>
    <col min="8425" max="8425" width="0" style="1355" hidden="1" customWidth="1"/>
    <col min="8426" max="8426" width="17.42578125" style="1355" customWidth="1"/>
    <col min="8427" max="8427" width="0" style="1355" hidden="1" customWidth="1"/>
    <col min="8428" max="8428" width="14" style="1355" customWidth="1"/>
    <col min="8429" max="8429" width="14.28515625" style="1355" bestFit="1" customWidth="1"/>
    <col min="8430" max="8430" width="0" style="1355" hidden="1" customWidth="1"/>
    <col min="8431" max="8431" width="15.5703125" style="1355" customWidth="1"/>
    <col min="8432" max="8432" width="44.5703125" style="1355" customWidth="1"/>
    <col min="8433" max="8433" width="14.28515625" style="1355" bestFit="1" customWidth="1"/>
    <col min="8434" max="8434" width="0" style="1355" hidden="1" customWidth="1"/>
    <col min="8435" max="8435" width="18.140625" style="1355" customWidth="1"/>
    <col min="8436" max="8436" width="0" style="1355" hidden="1" customWidth="1"/>
    <col min="8437" max="8437" width="14" style="1355" customWidth="1"/>
    <col min="8438" max="8438" width="0" style="1355" hidden="1" customWidth="1"/>
    <col min="8439" max="8439" width="20.85546875" style="1355" customWidth="1"/>
    <col min="8440" max="8440" width="0" style="1355" hidden="1" customWidth="1"/>
    <col min="8441" max="8441" width="13.28515625" style="1355" customWidth="1"/>
    <col min="8442" max="8442" width="0" style="1355" hidden="1" customWidth="1"/>
    <col min="8443" max="8443" width="15" style="1355" customWidth="1"/>
    <col min="8444" max="8444" width="0" style="1355" hidden="1" customWidth="1"/>
    <col min="8445" max="8445" width="13.28515625" style="1355" customWidth="1"/>
    <col min="8446" max="8446" width="0" style="1355" hidden="1" customWidth="1"/>
    <col min="8447" max="8447" width="20.140625" style="1355" customWidth="1"/>
    <col min="8448" max="8448" width="14.42578125" style="1355" bestFit="1" customWidth="1"/>
    <col min="8449" max="8449" width="14" style="1355" bestFit="1" customWidth="1"/>
    <col min="8450" max="8450" width="12.28515625" style="1355" bestFit="1" customWidth="1"/>
    <col min="8451" max="8475" width="9.140625" style="1355" customWidth="1"/>
    <col min="8476" max="8670" width="8.85546875" style="1355"/>
    <col min="8671" max="8671" width="44.5703125" style="1355" customWidth="1"/>
    <col min="8672" max="8672" width="14.28515625" style="1355" bestFit="1" customWidth="1"/>
    <col min="8673" max="8673" width="1.7109375" style="1355" customWidth="1"/>
    <col min="8674" max="8674" width="14.85546875" style="1355" customWidth="1"/>
    <col min="8675" max="8675" width="0" style="1355" hidden="1" customWidth="1"/>
    <col min="8676" max="8676" width="17.42578125" style="1355" customWidth="1"/>
    <col min="8677" max="8677" width="0" style="1355" hidden="1" customWidth="1"/>
    <col min="8678" max="8678" width="12.85546875" style="1355" customWidth="1"/>
    <col min="8679" max="8679" width="0" style="1355" hidden="1" customWidth="1"/>
    <col min="8680" max="8680" width="14.42578125" style="1355" customWidth="1"/>
    <col min="8681" max="8681" width="0" style="1355" hidden="1" customWidth="1"/>
    <col min="8682" max="8682" width="17.42578125" style="1355" customWidth="1"/>
    <col min="8683" max="8683" width="0" style="1355" hidden="1" customWidth="1"/>
    <col min="8684" max="8684" width="14" style="1355" customWidth="1"/>
    <col min="8685" max="8685" width="14.28515625" style="1355" bestFit="1" customWidth="1"/>
    <col min="8686" max="8686" width="0" style="1355" hidden="1" customWidth="1"/>
    <col min="8687" max="8687" width="15.5703125" style="1355" customWidth="1"/>
    <col min="8688" max="8688" width="44.5703125" style="1355" customWidth="1"/>
    <col min="8689" max="8689" width="14.28515625" style="1355" bestFit="1" customWidth="1"/>
    <col min="8690" max="8690" width="0" style="1355" hidden="1" customWidth="1"/>
    <col min="8691" max="8691" width="18.140625" style="1355" customWidth="1"/>
    <col min="8692" max="8692" width="0" style="1355" hidden="1" customWidth="1"/>
    <col min="8693" max="8693" width="14" style="1355" customWidth="1"/>
    <col min="8694" max="8694" width="0" style="1355" hidden="1" customWidth="1"/>
    <col min="8695" max="8695" width="20.85546875" style="1355" customWidth="1"/>
    <col min="8696" max="8696" width="0" style="1355" hidden="1" customWidth="1"/>
    <col min="8697" max="8697" width="13.28515625" style="1355" customWidth="1"/>
    <col min="8698" max="8698" width="0" style="1355" hidden="1" customWidth="1"/>
    <col min="8699" max="8699" width="15" style="1355" customWidth="1"/>
    <col min="8700" max="8700" width="0" style="1355" hidden="1" customWidth="1"/>
    <col min="8701" max="8701" width="13.28515625" style="1355" customWidth="1"/>
    <col min="8702" max="8702" width="0" style="1355" hidden="1" customWidth="1"/>
    <col min="8703" max="8703" width="20.140625" style="1355" customWidth="1"/>
    <col min="8704" max="8704" width="14.42578125" style="1355" bestFit="1" customWidth="1"/>
    <col min="8705" max="8705" width="14" style="1355" bestFit="1" customWidth="1"/>
    <col min="8706" max="8706" width="12.28515625" style="1355" bestFit="1" customWidth="1"/>
    <col min="8707" max="8731" width="9.140625" style="1355" customWidth="1"/>
    <col min="8732" max="8926" width="8.85546875" style="1355"/>
    <col min="8927" max="8927" width="44.5703125" style="1355" customWidth="1"/>
    <col min="8928" max="8928" width="14.28515625" style="1355" bestFit="1" customWidth="1"/>
    <col min="8929" max="8929" width="1.7109375" style="1355" customWidth="1"/>
    <col min="8930" max="8930" width="14.85546875" style="1355" customWidth="1"/>
    <col min="8931" max="8931" width="0" style="1355" hidden="1" customWidth="1"/>
    <col min="8932" max="8932" width="17.42578125" style="1355" customWidth="1"/>
    <col min="8933" max="8933" width="0" style="1355" hidden="1" customWidth="1"/>
    <col min="8934" max="8934" width="12.85546875" style="1355" customWidth="1"/>
    <col min="8935" max="8935" width="0" style="1355" hidden="1" customWidth="1"/>
    <col min="8936" max="8936" width="14.42578125" style="1355" customWidth="1"/>
    <col min="8937" max="8937" width="0" style="1355" hidden="1" customWidth="1"/>
    <col min="8938" max="8938" width="17.42578125" style="1355" customWidth="1"/>
    <col min="8939" max="8939" width="0" style="1355" hidden="1" customWidth="1"/>
    <col min="8940" max="8940" width="14" style="1355" customWidth="1"/>
    <col min="8941" max="8941" width="14.28515625" style="1355" bestFit="1" customWidth="1"/>
    <col min="8942" max="8942" width="0" style="1355" hidden="1" customWidth="1"/>
    <col min="8943" max="8943" width="15.5703125" style="1355" customWidth="1"/>
    <col min="8944" max="8944" width="44.5703125" style="1355" customWidth="1"/>
    <col min="8945" max="8945" width="14.28515625" style="1355" bestFit="1" customWidth="1"/>
    <col min="8946" max="8946" width="0" style="1355" hidden="1" customWidth="1"/>
    <col min="8947" max="8947" width="18.140625" style="1355" customWidth="1"/>
    <col min="8948" max="8948" width="0" style="1355" hidden="1" customWidth="1"/>
    <col min="8949" max="8949" width="14" style="1355" customWidth="1"/>
    <col min="8950" max="8950" width="0" style="1355" hidden="1" customWidth="1"/>
    <col min="8951" max="8951" width="20.85546875" style="1355" customWidth="1"/>
    <col min="8952" max="8952" width="0" style="1355" hidden="1" customWidth="1"/>
    <col min="8953" max="8953" width="13.28515625" style="1355" customWidth="1"/>
    <col min="8954" max="8954" width="0" style="1355" hidden="1" customWidth="1"/>
    <col min="8955" max="8955" width="15" style="1355" customWidth="1"/>
    <col min="8956" max="8956" width="0" style="1355" hidden="1" customWidth="1"/>
    <col min="8957" max="8957" width="13.28515625" style="1355" customWidth="1"/>
    <col min="8958" max="8958" width="0" style="1355" hidden="1" customWidth="1"/>
    <col min="8959" max="8959" width="20.140625" style="1355" customWidth="1"/>
    <col min="8960" max="8960" width="14.42578125" style="1355" bestFit="1" customWidth="1"/>
    <col min="8961" max="8961" width="14" style="1355" bestFit="1" customWidth="1"/>
    <col min="8962" max="8962" width="12.28515625" style="1355" bestFit="1" customWidth="1"/>
    <col min="8963" max="8987" width="9.140625" style="1355" customWidth="1"/>
    <col min="8988" max="9182" width="8.85546875" style="1355"/>
    <col min="9183" max="9183" width="44.5703125" style="1355" customWidth="1"/>
    <col min="9184" max="9184" width="14.28515625" style="1355" bestFit="1" customWidth="1"/>
    <col min="9185" max="9185" width="1.7109375" style="1355" customWidth="1"/>
    <col min="9186" max="9186" width="14.85546875" style="1355" customWidth="1"/>
    <col min="9187" max="9187" width="0" style="1355" hidden="1" customWidth="1"/>
    <col min="9188" max="9188" width="17.42578125" style="1355" customWidth="1"/>
    <col min="9189" max="9189" width="0" style="1355" hidden="1" customWidth="1"/>
    <col min="9190" max="9190" width="12.85546875" style="1355" customWidth="1"/>
    <col min="9191" max="9191" width="0" style="1355" hidden="1" customWidth="1"/>
    <col min="9192" max="9192" width="14.42578125" style="1355" customWidth="1"/>
    <col min="9193" max="9193" width="0" style="1355" hidden="1" customWidth="1"/>
    <col min="9194" max="9194" width="17.42578125" style="1355" customWidth="1"/>
    <col min="9195" max="9195" width="0" style="1355" hidden="1" customWidth="1"/>
    <col min="9196" max="9196" width="14" style="1355" customWidth="1"/>
    <col min="9197" max="9197" width="14.28515625" style="1355" bestFit="1" customWidth="1"/>
    <col min="9198" max="9198" width="0" style="1355" hidden="1" customWidth="1"/>
    <col min="9199" max="9199" width="15.5703125" style="1355" customWidth="1"/>
    <col min="9200" max="9200" width="44.5703125" style="1355" customWidth="1"/>
    <col min="9201" max="9201" width="14.28515625" style="1355" bestFit="1" customWidth="1"/>
    <col min="9202" max="9202" width="0" style="1355" hidden="1" customWidth="1"/>
    <col min="9203" max="9203" width="18.140625" style="1355" customWidth="1"/>
    <col min="9204" max="9204" width="0" style="1355" hidden="1" customWidth="1"/>
    <col min="9205" max="9205" width="14" style="1355" customWidth="1"/>
    <col min="9206" max="9206" width="0" style="1355" hidden="1" customWidth="1"/>
    <col min="9207" max="9207" width="20.85546875" style="1355" customWidth="1"/>
    <col min="9208" max="9208" width="0" style="1355" hidden="1" customWidth="1"/>
    <col min="9209" max="9209" width="13.28515625" style="1355" customWidth="1"/>
    <col min="9210" max="9210" width="0" style="1355" hidden="1" customWidth="1"/>
    <col min="9211" max="9211" width="15" style="1355" customWidth="1"/>
    <col min="9212" max="9212" width="0" style="1355" hidden="1" customWidth="1"/>
    <col min="9213" max="9213" width="13.28515625" style="1355" customWidth="1"/>
    <col min="9214" max="9214" width="0" style="1355" hidden="1" customWidth="1"/>
    <col min="9215" max="9215" width="20.140625" style="1355" customWidth="1"/>
    <col min="9216" max="9216" width="14.42578125" style="1355" bestFit="1" customWidth="1"/>
    <col min="9217" max="9217" width="14" style="1355" bestFit="1" customWidth="1"/>
    <col min="9218" max="9218" width="12.28515625" style="1355" bestFit="1" customWidth="1"/>
    <col min="9219" max="9243" width="9.140625" style="1355" customWidth="1"/>
    <col min="9244" max="9438" width="8.85546875" style="1355"/>
    <col min="9439" max="9439" width="44.5703125" style="1355" customWidth="1"/>
    <col min="9440" max="9440" width="14.28515625" style="1355" bestFit="1" customWidth="1"/>
    <col min="9441" max="9441" width="1.7109375" style="1355" customWidth="1"/>
    <col min="9442" max="9442" width="14.85546875" style="1355" customWidth="1"/>
    <col min="9443" max="9443" width="0" style="1355" hidden="1" customWidth="1"/>
    <col min="9444" max="9444" width="17.42578125" style="1355" customWidth="1"/>
    <col min="9445" max="9445" width="0" style="1355" hidden="1" customWidth="1"/>
    <col min="9446" max="9446" width="12.85546875" style="1355" customWidth="1"/>
    <col min="9447" max="9447" width="0" style="1355" hidden="1" customWidth="1"/>
    <col min="9448" max="9448" width="14.42578125" style="1355" customWidth="1"/>
    <col min="9449" max="9449" width="0" style="1355" hidden="1" customWidth="1"/>
    <col min="9450" max="9450" width="17.42578125" style="1355" customWidth="1"/>
    <col min="9451" max="9451" width="0" style="1355" hidden="1" customWidth="1"/>
    <col min="9452" max="9452" width="14" style="1355" customWidth="1"/>
    <col min="9453" max="9453" width="14.28515625" style="1355" bestFit="1" customWidth="1"/>
    <col min="9454" max="9454" width="0" style="1355" hidden="1" customWidth="1"/>
    <col min="9455" max="9455" width="15.5703125" style="1355" customWidth="1"/>
    <col min="9456" max="9456" width="44.5703125" style="1355" customWidth="1"/>
    <col min="9457" max="9457" width="14.28515625" style="1355" bestFit="1" customWidth="1"/>
    <col min="9458" max="9458" width="0" style="1355" hidden="1" customWidth="1"/>
    <col min="9459" max="9459" width="18.140625" style="1355" customWidth="1"/>
    <col min="9460" max="9460" width="0" style="1355" hidden="1" customWidth="1"/>
    <col min="9461" max="9461" width="14" style="1355" customWidth="1"/>
    <col min="9462" max="9462" width="0" style="1355" hidden="1" customWidth="1"/>
    <col min="9463" max="9463" width="20.85546875" style="1355" customWidth="1"/>
    <col min="9464" max="9464" width="0" style="1355" hidden="1" customWidth="1"/>
    <col min="9465" max="9465" width="13.28515625" style="1355" customWidth="1"/>
    <col min="9466" max="9466" width="0" style="1355" hidden="1" customWidth="1"/>
    <col min="9467" max="9467" width="15" style="1355" customWidth="1"/>
    <col min="9468" max="9468" width="0" style="1355" hidden="1" customWidth="1"/>
    <col min="9469" max="9469" width="13.28515625" style="1355" customWidth="1"/>
    <col min="9470" max="9470" width="0" style="1355" hidden="1" customWidth="1"/>
    <col min="9471" max="9471" width="20.140625" style="1355" customWidth="1"/>
    <col min="9472" max="9472" width="14.42578125" style="1355" bestFit="1" customWidth="1"/>
    <col min="9473" max="9473" width="14" style="1355" bestFit="1" customWidth="1"/>
    <col min="9474" max="9474" width="12.28515625" style="1355" bestFit="1" customWidth="1"/>
    <col min="9475" max="9499" width="9.140625" style="1355" customWidth="1"/>
    <col min="9500" max="9694" width="8.85546875" style="1355"/>
    <col min="9695" max="9695" width="44.5703125" style="1355" customWidth="1"/>
    <col min="9696" max="9696" width="14.28515625" style="1355" bestFit="1" customWidth="1"/>
    <col min="9697" max="9697" width="1.7109375" style="1355" customWidth="1"/>
    <col min="9698" max="9698" width="14.85546875" style="1355" customWidth="1"/>
    <col min="9699" max="9699" width="0" style="1355" hidden="1" customWidth="1"/>
    <col min="9700" max="9700" width="17.42578125" style="1355" customWidth="1"/>
    <col min="9701" max="9701" width="0" style="1355" hidden="1" customWidth="1"/>
    <col min="9702" max="9702" width="12.85546875" style="1355" customWidth="1"/>
    <col min="9703" max="9703" width="0" style="1355" hidden="1" customWidth="1"/>
    <col min="9704" max="9704" width="14.42578125" style="1355" customWidth="1"/>
    <col min="9705" max="9705" width="0" style="1355" hidden="1" customWidth="1"/>
    <col min="9706" max="9706" width="17.42578125" style="1355" customWidth="1"/>
    <col min="9707" max="9707" width="0" style="1355" hidden="1" customWidth="1"/>
    <col min="9708" max="9708" width="14" style="1355" customWidth="1"/>
    <col min="9709" max="9709" width="14.28515625" style="1355" bestFit="1" customWidth="1"/>
    <col min="9710" max="9710" width="0" style="1355" hidden="1" customWidth="1"/>
    <col min="9711" max="9711" width="15.5703125" style="1355" customWidth="1"/>
    <col min="9712" max="9712" width="44.5703125" style="1355" customWidth="1"/>
    <col min="9713" max="9713" width="14.28515625" style="1355" bestFit="1" customWidth="1"/>
    <col min="9714" max="9714" width="0" style="1355" hidden="1" customWidth="1"/>
    <col min="9715" max="9715" width="18.140625" style="1355" customWidth="1"/>
    <col min="9716" max="9716" width="0" style="1355" hidden="1" customWidth="1"/>
    <col min="9717" max="9717" width="14" style="1355" customWidth="1"/>
    <col min="9718" max="9718" width="0" style="1355" hidden="1" customWidth="1"/>
    <col min="9719" max="9719" width="20.85546875" style="1355" customWidth="1"/>
    <col min="9720" max="9720" width="0" style="1355" hidden="1" customWidth="1"/>
    <col min="9721" max="9721" width="13.28515625" style="1355" customWidth="1"/>
    <col min="9722" max="9722" width="0" style="1355" hidden="1" customWidth="1"/>
    <col min="9723" max="9723" width="15" style="1355" customWidth="1"/>
    <col min="9724" max="9724" width="0" style="1355" hidden="1" customWidth="1"/>
    <col min="9725" max="9725" width="13.28515625" style="1355" customWidth="1"/>
    <col min="9726" max="9726" width="0" style="1355" hidden="1" customWidth="1"/>
    <col min="9727" max="9727" width="20.140625" style="1355" customWidth="1"/>
    <col min="9728" max="9728" width="14.42578125" style="1355" bestFit="1" customWidth="1"/>
    <col min="9729" max="9729" width="14" style="1355" bestFit="1" customWidth="1"/>
    <col min="9730" max="9730" width="12.28515625" style="1355" bestFit="1" customWidth="1"/>
    <col min="9731" max="9755" width="9.140625" style="1355" customWidth="1"/>
    <col min="9756" max="9950" width="8.85546875" style="1355"/>
    <col min="9951" max="9951" width="44.5703125" style="1355" customWidth="1"/>
    <col min="9952" max="9952" width="14.28515625" style="1355" bestFit="1" customWidth="1"/>
    <col min="9953" max="9953" width="1.7109375" style="1355" customWidth="1"/>
    <col min="9954" max="9954" width="14.85546875" style="1355" customWidth="1"/>
    <col min="9955" max="9955" width="0" style="1355" hidden="1" customWidth="1"/>
    <col min="9956" max="9956" width="17.42578125" style="1355" customWidth="1"/>
    <col min="9957" max="9957" width="0" style="1355" hidden="1" customWidth="1"/>
    <col min="9958" max="9958" width="12.85546875" style="1355" customWidth="1"/>
    <col min="9959" max="9959" width="0" style="1355" hidden="1" customWidth="1"/>
    <col min="9960" max="9960" width="14.42578125" style="1355" customWidth="1"/>
    <col min="9961" max="9961" width="0" style="1355" hidden="1" customWidth="1"/>
    <col min="9962" max="9962" width="17.42578125" style="1355" customWidth="1"/>
    <col min="9963" max="9963" width="0" style="1355" hidden="1" customWidth="1"/>
    <col min="9964" max="9964" width="14" style="1355" customWidth="1"/>
    <col min="9965" max="9965" width="14.28515625" style="1355" bestFit="1" customWidth="1"/>
    <col min="9966" max="9966" width="0" style="1355" hidden="1" customWidth="1"/>
    <col min="9967" max="9967" width="15.5703125" style="1355" customWidth="1"/>
    <col min="9968" max="9968" width="44.5703125" style="1355" customWidth="1"/>
    <col min="9969" max="9969" width="14.28515625" style="1355" bestFit="1" customWidth="1"/>
    <col min="9970" max="9970" width="0" style="1355" hidden="1" customWidth="1"/>
    <col min="9971" max="9971" width="18.140625" style="1355" customWidth="1"/>
    <col min="9972" max="9972" width="0" style="1355" hidden="1" customWidth="1"/>
    <col min="9973" max="9973" width="14" style="1355" customWidth="1"/>
    <col min="9974" max="9974" width="0" style="1355" hidden="1" customWidth="1"/>
    <col min="9975" max="9975" width="20.85546875" style="1355" customWidth="1"/>
    <col min="9976" max="9976" width="0" style="1355" hidden="1" customWidth="1"/>
    <col min="9977" max="9977" width="13.28515625" style="1355" customWidth="1"/>
    <col min="9978" max="9978" width="0" style="1355" hidden="1" customWidth="1"/>
    <col min="9979" max="9979" width="15" style="1355" customWidth="1"/>
    <col min="9980" max="9980" width="0" style="1355" hidden="1" customWidth="1"/>
    <col min="9981" max="9981" width="13.28515625" style="1355" customWidth="1"/>
    <col min="9982" max="9982" width="0" style="1355" hidden="1" customWidth="1"/>
    <col min="9983" max="9983" width="20.140625" style="1355" customWidth="1"/>
    <col min="9984" max="9984" width="14.42578125" style="1355" bestFit="1" customWidth="1"/>
    <col min="9985" max="9985" width="14" style="1355" bestFit="1" customWidth="1"/>
    <col min="9986" max="9986" width="12.28515625" style="1355" bestFit="1" customWidth="1"/>
    <col min="9987" max="10011" width="9.140625" style="1355" customWidth="1"/>
    <col min="10012" max="10206" width="8.85546875" style="1355"/>
    <col min="10207" max="10207" width="44.5703125" style="1355" customWidth="1"/>
    <col min="10208" max="10208" width="14.28515625" style="1355" bestFit="1" customWidth="1"/>
    <col min="10209" max="10209" width="1.7109375" style="1355" customWidth="1"/>
    <col min="10210" max="10210" width="14.85546875" style="1355" customWidth="1"/>
    <col min="10211" max="10211" width="0" style="1355" hidden="1" customWidth="1"/>
    <col min="10212" max="10212" width="17.42578125" style="1355" customWidth="1"/>
    <col min="10213" max="10213" width="0" style="1355" hidden="1" customWidth="1"/>
    <col min="10214" max="10214" width="12.85546875" style="1355" customWidth="1"/>
    <col min="10215" max="10215" width="0" style="1355" hidden="1" customWidth="1"/>
    <col min="10216" max="10216" width="14.42578125" style="1355" customWidth="1"/>
    <col min="10217" max="10217" width="0" style="1355" hidden="1" customWidth="1"/>
    <col min="10218" max="10218" width="17.42578125" style="1355" customWidth="1"/>
    <col min="10219" max="10219" width="0" style="1355" hidden="1" customWidth="1"/>
    <col min="10220" max="10220" width="14" style="1355" customWidth="1"/>
    <col min="10221" max="10221" width="14.28515625" style="1355" bestFit="1" customWidth="1"/>
    <col min="10222" max="10222" width="0" style="1355" hidden="1" customWidth="1"/>
    <col min="10223" max="10223" width="15.5703125" style="1355" customWidth="1"/>
    <col min="10224" max="10224" width="44.5703125" style="1355" customWidth="1"/>
    <col min="10225" max="10225" width="14.28515625" style="1355" bestFit="1" customWidth="1"/>
    <col min="10226" max="10226" width="0" style="1355" hidden="1" customWidth="1"/>
    <col min="10227" max="10227" width="18.140625" style="1355" customWidth="1"/>
    <col min="10228" max="10228" width="0" style="1355" hidden="1" customWidth="1"/>
    <col min="10229" max="10229" width="14" style="1355" customWidth="1"/>
    <col min="10230" max="10230" width="0" style="1355" hidden="1" customWidth="1"/>
    <col min="10231" max="10231" width="20.85546875" style="1355" customWidth="1"/>
    <col min="10232" max="10232" width="0" style="1355" hidden="1" customWidth="1"/>
    <col min="10233" max="10233" width="13.28515625" style="1355" customWidth="1"/>
    <col min="10234" max="10234" width="0" style="1355" hidden="1" customWidth="1"/>
    <col min="10235" max="10235" width="15" style="1355" customWidth="1"/>
    <col min="10236" max="10236" width="0" style="1355" hidden="1" customWidth="1"/>
    <col min="10237" max="10237" width="13.28515625" style="1355" customWidth="1"/>
    <col min="10238" max="10238" width="0" style="1355" hidden="1" customWidth="1"/>
    <col min="10239" max="10239" width="20.140625" style="1355" customWidth="1"/>
    <col min="10240" max="10240" width="14.42578125" style="1355" bestFit="1" customWidth="1"/>
    <col min="10241" max="10241" width="14" style="1355" bestFit="1" customWidth="1"/>
    <col min="10242" max="10242" width="12.28515625" style="1355" bestFit="1" customWidth="1"/>
    <col min="10243" max="10267" width="9.140625" style="1355" customWidth="1"/>
    <col min="10268" max="10462" width="8.85546875" style="1355"/>
    <col min="10463" max="10463" width="44.5703125" style="1355" customWidth="1"/>
    <col min="10464" max="10464" width="14.28515625" style="1355" bestFit="1" customWidth="1"/>
    <col min="10465" max="10465" width="1.7109375" style="1355" customWidth="1"/>
    <col min="10466" max="10466" width="14.85546875" style="1355" customWidth="1"/>
    <col min="10467" max="10467" width="0" style="1355" hidden="1" customWidth="1"/>
    <col min="10468" max="10468" width="17.42578125" style="1355" customWidth="1"/>
    <col min="10469" max="10469" width="0" style="1355" hidden="1" customWidth="1"/>
    <col min="10470" max="10470" width="12.85546875" style="1355" customWidth="1"/>
    <col min="10471" max="10471" width="0" style="1355" hidden="1" customWidth="1"/>
    <col min="10472" max="10472" width="14.42578125" style="1355" customWidth="1"/>
    <col min="10473" max="10473" width="0" style="1355" hidden="1" customWidth="1"/>
    <col min="10474" max="10474" width="17.42578125" style="1355" customWidth="1"/>
    <col min="10475" max="10475" width="0" style="1355" hidden="1" customWidth="1"/>
    <col min="10476" max="10476" width="14" style="1355" customWidth="1"/>
    <col min="10477" max="10477" width="14.28515625" style="1355" bestFit="1" customWidth="1"/>
    <col min="10478" max="10478" width="0" style="1355" hidden="1" customWidth="1"/>
    <col min="10479" max="10479" width="15.5703125" style="1355" customWidth="1"/>
    <col min="10480" max="10480" width="44.5703125" style="1355" customWidth="1"/>
    <col min="10481" max="10481" width="14.28515625" style="1355" bestFit="1" customWidth="1"/>
    <col min="10482" max="10482" width="0" style="1355" hidden="1" customWidth="1"/>
    <col min="10483" max="10483" width="18.140625" style="1355" customWidth="1"/>
    <col min="10484" max="10484" width="0" style="1355" hidden="1" customWidth="1"/>
    <col min="10485" max="10485" width="14" style="1355" customWidth="1"/>
    <col min="10486" max="10486" width="0" style="1355" hidden="1" customWidth="1"/>
    <col min="10487" max="10487" width="20.85546875" style="1355" customWidth="1"/>
    <col min="10488" max="10488" width="0" style="1355" hidden="1" customWidth="1"/>
    <col min="10489" max="10489" width="13.28515625" style="1355" customWidth="1"/>
    <col min="10490" max="10490" width="0" style="1355" hidden="1" customWidth="1"/>
    <col min="10491" max="10491" width="15" style="1355" customWidth="1"/>
    <col min="10492" max="10492" width="0" style="1355" hidden="1" customWidth="1"/>
    <col min="10493" max="10493" width="13.28515625" style="1355" customWidth="1"/>
    <col min="10494" max="10494" width="0" style="1355" hidden="1" customWidth="1"/>
    <col min="10495" max="10495" width="20.140625" style="1355" customWidth="1"/>
    <col min="10496" max="10496" width="14.42578125" style="1355" bestFit="1" customWidth="1"/>
    <col min="10497" max="10497" width="14" style="1355" bestFit="1" customWidth="1"/>
    <col min="10498" max="10498" width="12.28515625" style="1355" bestFit="1" customWidth="1"/>
    <col min="10499" max="10523" width="9.140625" style="1355" customWidth="1"/>
    <col min="10524" max="10718" width="8.85546875" style="1355"/>
    <col min="10719" max="10719" width="44.5703125" style="1355" customWidth="1"/>
    <col min="10720" max="10720" width="14.28515625" style="1355" bestFit="1" customWidth="1"/>
    <col min="10721" max="10721" width="1.7109375" style="1355" customWidth="1"/>
    <col min="10722" max="10722" width="14.85546875" style="1355" customWidth="1"/>
    <col min="10723" max="10723" width="0" style="1355" hidden="1" customWidth="1"/>
    <col min="10724" max="10724" width="17.42578125" style="1355" customWidth="1"/>
    <col min="10725" max="10725" width="0" style="1355" hidden="1" customWidth="1"/>
    <col min="10726" max="10726" width="12.85546875" style="1355" customWidth="1"/>
    <col min="10727" max="10727" width="0" style="1355" hidden="1" customWidth="1"/>
    <col min="10728" max="10728" width="14.42578125" style="1355" customWidth="1"/>
    <col min="10729" max="10729" width="0" style="1355" hidden="1" customWidth="1"/>
    <col min="10730" max="10730" width="17.42578125" style="1355" customWidth="1"/>
    <col min="10731" max="10731" width="0" style="1355" hidden="1" customWidth="1"/>
    <col min="10732" max="10732" width="14" style="1355" customWidth="1"/>
    <col min="10733" max="10733" width="14.28515625" style="1355" bestFit="1" customWidth="1"/>
    <col min="10734" max="10734" width="0" style="1355" hidden="1" customWidth="1"/>
    <col min="10735" max="10735" width="15.5703125" style="1355" customWidth="1"/>
    <col min="10736" max="10736" width="44.5703125" style="1355" customWidth="1"/>
    <col min="10737" max="10737" width="14.28515625" style="1355" bestFit="1" customWidth="1"/>
    <col min="10738" max="10738" width="0" style="1355" hidden="1" customWidth="1"/>
    <col min="10739" max="10739" width="18.140625" style="1355" customWidth="1"/>
    <col min="10740" max="10740" width="0" style="1355" hidden="1" customWidth="1"/>
    <col min="10741" max="10741" width="14" style="1355" customWidth="1"/>
    <col min="10742" max="10742" width="0" style="1355" hidden="1" customWidth="1"/>
    <col min="10743" max="10743" width="20.85546875" style="1355" customWidth="1"/>
    <col min="10744" max="10744" width="0" style="1355" hidden="1" customWidth="1"/>
    <col min="10745" max="10745" width="13.28515625" style="1355" customWidth="1"/>
    <col min="10746" max="10746" width="0" style="1355" hidden="1" customWidth="1"/>
    <col min="10747" max="10747" width="15" style="1355" customWidth="1"/>
    <col min="10748" max="10748" width="0" style="1355" hidden="1" customWidth="1"/>
    <col min="10749" max="10749" width="13.28515625" style="1355" customWidth="1"/>
    <col min="10750" max="10750" width="0" style="1355" hidden="1" customWidth="1"/>
    <col min="10751" max="10751" width="20.140625" style="1355" customWidth="1"/>
    <col min="10752" max="10752" width="14.42578125" style="1355" bestFit="1" customWidth="1"/>
    <col min="10753" max="10753" width="14" style="1355" bestFit="1" customWidth="1"/>
    <col min="10754" max="10754" width="12.28515625" style="1355" bestFit="1" customWidth="1"/>
    <col min="10755" max="10779" width="9.140625" style="1355" customWidth="1"/>
    <col min="10780" max="10974" width="8.85546875" style="1355"/>
    <col min="10975" max="10975" width="44.5703125" style="1355" customWidth="1"/>
    <col min="10976" max="10976" width="14.28515625" style="1355" bestFit="1" customWidth="1"/>
    <col min="10977" max="10977" width="1.7109375" style="1355" customWidth="1"/>
    <col min="10978" max="10978" width="14.85546875" style="1355" customWidth="1"/>
    <col min="10979" max="10979" width="0" style="1355" hidden="1" customWidth="1"/>
    <col min="10980" max="10980" width="17.42578125" style="1355" customWidth="1"/>
    <col min="10981" max="10981" width="0" style="1355" hidden="1" customWidth="1"/>
    <col min="10982" max="10982" width="12.85546875" style="1355" customWidth="1"/>
    <col min="10983" max="10983" width="0" style="1355" hidden="1" customWidth="1"/>
    <col min="10984" max="10984" width="14.42578125" style="1355" customWidth="1"/>
    <col min="10985" max="10985" width="0" style="1355" hidden="1" customWidth="1"/>
    <col min="10986" max="10986" width="17.42578125" style="1355" customWidth="1"/>
    <col min="10987" max="10987" width="0" style="1355" hidden="1" customWidth="1"/>
    <col min="10988" max="10988" width="14" style="1355" customWidth="1"/>
    <col min="10989" max="10989" width="14.28515625" style="1355" bestFit="1" customWidth="1"/>
    <col min="10990" max="10990" width="0" style="1355" hidden="1" customWidth="1"/>
    <col min="10991" max="10991" width="15.5703125" style="1355" customWidth="1"/>
    <col min="10992" max="10992" width="44.5703125" style="1355" customWidth="1"/>
    <col min="10993" max="10993" width="14.28515625" style="1355" bestFit="1" customWidth="1"/>
    <col min="10994" max="10994" width="0" style="1355" hidden="1" customWidth="1"/>
    <col min="10995" max="10995" width="18.140625" style="1355" customWidth="1"/>
    <col min="10996" max="10996" width="0" style="1355" hidden="1" customWidth="1"/>
    <col min="10997" max="10997" width="14" style="1355" customWidth="1"/>
    <col min="10998" max="10998" width="0" style="1355" hidden="1" customWidth="1"/>
    <col min="10999" max="10999" width="20.85546875" style="1355" customWidth="1"/>
    <col min="11000" max="11000" width="0" style="1355" hidden="1" customWidth="1"/>
    <col min="11001" max="11001" width="13.28515625" style="1355" customWidth="1"/>
    <col min="11002" max="11002" width="0" style="1355" hidden="1" customWidth="1"/>
    <col min="11003" max="11003" width="15" style="1355" customWidth="1"/>
    <col min="11004" max="11004" width="0" style="1355" hidden="1" customWidth="1"/>
    <col min="11005" max="11005" width="13.28515625" style="1355" customWidth="1"/>
    <col min="11006" max="11006" width="0" style="1355" hidden="1" customWidth="1"/>
    <col min="11007" max="11007" width="20.140625" style="1355" customWidth="1"/>
    <col min="11008" max="11008" width="14.42578125" style="1355" bestFit="1" customWidth="1"/>
    <col min="11009" max="11009" width="14" style="1355" bestFit="1" customWidth="1"/>
    <col min="11010" max="11010" width="12.28515625" style="1355" bestFit="1" customWidth="1"/>
    <col min="11011" max="11035" width="9.140625" style="1355" customWidth="1"/>
    <col min="11036" max="11230" width="8.85546875" style="1355"/>
    <col min="11231" max="11231" width="44.5703125" style="1355" customWidth="1"/>
    <col min="11232" max="11232" width="14.28515625" style="1355" bestFit="1" customWidth="1"/>
    <col min="11233" max="11233" width="1.7109375" style="1355" customWidth="1"/>
    <col min="11234" max="11234" width="14.85546875" style="1355" customWidth="1"/>
    <col min="11235" max="11235" width="0" style="1355" hidden="1" customWidth="1"/>
    <col min="11236" max="11236" width="17.42578125" style="1355" customWidth="1"/>
    <col min="11237" max="11237" width="0" style="1355" hidden="1" customWidth="1"/>
    <col min="11238" max="11238" width="12.85546875" style="1355" customWidth="1"/>
    <col min="11239" max="11239" width="0" style="1355" hidden="1" customWidth="1"/>
    <col min="11240" max="11240" width="14.42578125" style="1355" customWidth="1"/>
    <col min="11241" max="11241" width="0" style="1355" hidden="1" customWidth="1"/>
    <col min="11242" max="11242" width="17.42578125" style="1355" customWidth="1"/>
    <col min="11243" max="11243" width="0" style="1355" hidden="1" customWidth="1"/>
    <col min="11244" max="11244" width="14" style="1355" customWidth="1"/>
    <col min="11245" max="11245" width="14.28515625" style="1355" bestFit="1" customWidth="1"/>
    <col min="11246" max="11246" width="0" style="1355" hidden="1" customWidth="1"/>
    <col min="11247" max="11247" width="15.5703125" style="1355" customWidth="1"/>
    <col min="11248" max="11248" width="44.5703125" style="1355" customWidth="1"/>
    <col min="11249" max="11249" width="14.28515625" style="1355" bestFit="1" customWidth="1"/>
    <col min="11250" max="11250" width="0" style="1355" hidden="1" customWidth="1"/>
    <col min="11251" max="11251" width="18.140625" style="1355" customWidth="1"/>
    <col min="11252" max="11252" width="0" style="1355" hidden="1" customWidth="1"/>
    <col min="11253" max="11253" width="14" style="1355" customWidth="1"/>
    <col min="11254" max="11254" width="0" style="1355" hidden="1" customWidth="1"/>
    <col min="11255" max="11255" width="20.85546875" style="1355" customWidth="1"/>
    <col min="11256" max="11256" width="0" style="1355" hidden="1" customWidth="1"/>
    <col min="11257" max="11257" width="13.28515625" style="1355" customWidth="1"/>
    <col min="11258" max="11258" width="0" style="1355" hidden="1" customWidth="1"/>
    <col min="11259" max="11259" width="15" style="1355" customWidth="1"/>
    <col min="11260" max="11260" width="0" style="1355" hidden="1" customWidth="1"/>
    <col min="11261" max="11261" width="13.28515625" style="1355" customWidth="1"/>
    <col min="11262" max="11262" width="0" style="1355" hidden="1" customWidth="1"/>
    <col min="11263" max="11263" width="20.140625" style="1355" customWidth="1"/>
    <col min="11264" max="11264" width="14.42578125" style="1355" bestFit="1" customWidth="1"/>
    <col min="11265" max="11265" width="14" style="1355" bestFit="1" customWidth="1"/>
    <col min="11266" max="11266" width="12.28515625" style="1355" bestFit="1" customWidth="1"/>
    <col min="11267" max="11291" width="9.140625" style="1355" customWidth="1"/>
    <col min="11292" max="11486" width="8.85546875" style="1355"/>
    <col min="11487" max="11487" width="44.5703125" style="1355" customWidth="1"/>
    <col min="11488" max="11488" width="14.28515625" style="1355" bestFit="1" customWidth="1"/>
    <col min="11489" max="11489" width="1.7109375" style="1355" customWidth="1"/>
    <col min="11490" max="11490" width="14.85546875" style="1355" customWidth="1"/>
    <col min="11491" max="11491" width="0" style="1355" hidden="1" customWidth="1"/>
    <col min="11492" max="11492" width="17.42578125" style="1355" customWidth="1"/>
    <col min="11493" max="11493" width="0" style="1355" hidden="1" customWidth="1"/>
    <col min="11494" max="11494" width="12.85546875" style="1355" customWidth="1"/>
    <col min="11495" max="11495" width="0" style="1355" hidden="1" customWidth="1"/>
    <col min="11496" max="11496" width="14.42578125" style="1355" customWidth="1"/>
    <col min="11497" max="11497" width="0" style="1355" hidden="1" customWidth="1"/>
    <col min="11498" max="11498" width="17.42578125" style="1355" customWidth="1"/>
    <col min="11499" max="11499" width="0" style="1355" hidden="1" customWidth="1"/>
    <col min="11500" max="11500" width="14" style="1355" customWidth="1"/>
    <col min="11501" max="11501" width="14.28515625" style="1355" bestFit="1" customWidth="1"/>
    <col min="11502" max="11502" width="0" style="1355" hidden="1" customWidth="1"/>
    <col min="11503" max="11503" width="15.5703125" style="1355" customWidth="1"/>
    <col min="11504" max="11504" width="44.5703125" style="1355" customWidth="1"/>
    <col min="11505" max="11505" width="14.28515625" style="1355" bestFit="1" customWidth="1"/>
    <col min="11506" max="11506" width="0" style="1355" hidden="1" customWidth="1"/>
    <col min="11507" max="11507" width="18.140625" style="1355" customWidth="1"/>
    <col min="11508" max="11508" width="0" style="1355" hidden="1" customWidth="1"/>
    <col min="11509" max="11509" width="14" style="1355" customWidth="1"/>
    <col min="11510" max="11510" width="0" style="1355" hidden="1" customWidth="1"/>
    <col min="11511" max="11511" width="20.85546875" style="1355" customWidth="1"/>
    <col min="11512" max="11512" width="0" style="1355" hidden="1" customWidth="1"/>
    <col min="11513" max="11513" width="13.28515625" style="1355" customWidth="1"/>
    <col min="11514" max="11514" width="0" style="1355" hidden="1" customWidth="1"/>
    <col min="11515" max="11515" width="15" style="1355" customWidth="1"/>
    <col min="11516" max="11516" width="0" style="1355" hidden="1" customWidth="1"/>
    <col min="11517" max="11517" width="13.28515625" style="1355" customWidth="1"/>
    <col min="11518" max="11518" width="0" style="1355" hidden="1" customWidth="1"/>
    <col min="11519" max="11519" width="20.140625" style="1355" customWidth="1"/>
    <col min="11520" max="11520" width="14.42578125" style="1355" bestFit="1" customWidth="1"/>
    <col min="11521" max="11521" width="14" style="1355" bestFit="1" customWidth="1"/>
    <col min="11522" max="11522" width="12.28515625" style="1355" bestFit="1" customWidth="1"/>
    <col min="11523" max="11547" width="9.140625" style="1355" customWidth="1"/>
    <col min="11548" max="11742" width="8.85546875" style="1355"/>
    <col min="11743" max="11743" width="44.5703125" style="1355" customWidth="1"/>
    <col min="11744" max="11744" width="14.28515625" style="1355" bestFit="1" customWidth="1"/>
    <col min="11745" max="11745" width="1.7109375" style="1355" customWidth="1"/>
    <col min="11746" max="11746" width="14.85546875" style="1355" customWidth="1"/>
    <col min="11747" max="11747" width="0" style="1355" hidden="1" customWidth="1"/>
    <col min="11748" max="11748" width="17.42578125" style="1355" customWidth="1"/>
    <col min="11749" max="11749" width="0" style="1355" hidden="1" customWidth="1"/>
    <col min="11750" max="11750" width="12.85546875" style="1355" customWidth="1"/>
    <col min="11751" max="11751" width="0" style="1355" hidden="1" customWidth="1"/>
    <col min="11752" max="11752" width="14.42578125" style="1355" customWidth="1"/>
    <col min="11753" max="11753" width="0" style="1355" hidden="1" customWidth="1"/>
    <col min="11754" max="11754" width="17.42578125" style="1355" customWidth="1"/>
    <col min="11755" max="11755" width="0" style="1355" hidden="1" customWidth="1"/>
    <col min="11756" max="11756" width="14" style="1355" customWidth="1"/>
    <col min="11757" max="11757" width="14.28515625" style="1355" bestFit="1" customWidth="1"/>
    <col min="11758" max="11758" width="0" style="1355" hidden="1" customWidth="1"/>
    <col min="11759" max="11759" width="15.5703125" style="1355" customWidth="1"/>
    <col min="11760" max="11760" width="44.5703125" style="1355" customWidth="1"/>
    <col min="11761" max="11761" width="14.28515625" style="1355" bestFit="1" customWidth="1"/>
    <col min="11762" max="11762" width="0" style="1355" hidden="1" customWidth="1"/>
    <col min="11763" max="11763" width="18.140625" style="1355" customWidth="1"/>
    <col min="11764" max="11764" width="0" style="1355" hidden="1" customWidth="1"/>
    <col min="11765" max="11765" width="14" style="1355" customWidth="1"/>
    <col min="11766" max="11766" width="0" style="1355" hidden="1" customWidth="1"/>
    <col min="11767" max="11767" width="20.85546875" style="1355" customWidth="1"/>
    <col min="11768" max="11768" width="0" style="1355" hidden="1" customWidth="1"/>
    <col min="11769" max="11769" width="13.28515625" style="1355" customWidth="1"/>
    <col min="11770" max="11770" width="0" style="1355" hidden="1" customWidth="1"/>
    <col min="11771" max="11771" width="15" style="1355" customWidth="1"/>
    <col min="11772" max="11772" width="0" style="1355" hidden="1" customWidth="1"/>
    <col min="11773" max="11773" width="13.28515625" style="1355" customWidth="1"/>
    <col min="11774" max="11774" width="0" style="1355" hidden="1" customWidth="1"/>
    <col min="11775" max="11775" width="20.140625" style="1355" customWidth="1"/>
    <col min="11776" max="11776" width="14.42578125" style="1355" bestFit="1" customWidth="1"/>
    <col min="11777" max="11777" width="14" style="1355" bestFit="1" customWidth="1"/>
    <col min="11778" max="11778" width="12.28515625" style="1355" bestFit="1" customWidth="1"/>
    <col min="11779" max="11803" width="9.140625" style="1355" customWidth="1"/>
    <col min="11804" max="11998" width="8.85546875" style="1355"/>
    <col min="11999" max="11999" width="44.5703125" style="1355" customWidth="1"/>
    <col min="12000" max="12000" width="14.28515625" style="1355" bestFit="1" customWidth="1"/>
    <col min="12001" max="12001" width="1.7109375" style="1355" customWidth="1"/>
    <col min="12002" max="12002" width="14.85546875" style="1355" customWidth="1"/>
    <col min="12003" max="12003" width="0" style="1355" hidden="1" customWidth="1"/>
    <col min="12004" max="12004" width="17.42578125" style="1355" customWidth="1"/>
    <col min="12005" max="12005" width="0" style="1355" hidden="1" customWidth="1"/>
    <col min="12006" max="12006" width="12.85546875" style="1355" customWidth="1"/>
    <col min="12007" max="12007" width="0" style="1355" hidden="1" customWidth="1"/>
    <col min="12008" max="12008" width="14.42578125" style="1355" customWidth="1"/>
    <col min="12009" max="12009" width="0" style="1355" hidden="1" customWidth="1"/>
    <col min="12010" max="12010" width="17.42578125" style="1355" customWidth="1"/>
    <col min="12011" max="12011" width="0" style="1355" hidden="1" customWidth="1"/>
    <col min="12012" max="12012" width="14" style="1355" customWidth="1"/>
    <col min="12013" max="12013" width="14.28515625" style="1355" bestFit="1" customWidth="1"/>
    <col min="12014" max="12014" width="0" style="1355" hidden="1" customWidth="1"/>
    <col min="12015" max="12015" width="15.5703125" style="1355" customWidth="1"/>
    <col min="12016" max="12016" width="44.5703125" style="1355" customWidth="1"/>
    <col min="12017" max="12017" width="14.28515625" style="1355" bestFit="1" customWidth="1"/>
    <col min="12018" max="12018" width="0" style="1355" hidden="1" customWidth="1"/>
    <col min="12019" max="12019" width="18.140625" style="1355" customWidth="1"/>
    <col min="12020" max="12020" width="0" style="1355" hidden="1" customWidth="1"/>
    <col min="12021" max="12021" width="14" style="1355" customWidth="1"/>
    <col min="12022" max="12022" width="0" style="1355" hidden="1" customWidth="1"/>
    <col min="12023" max="12023" width="20.85546875" style="1355" customWidth="1"/>
    <col min="12024" max="12024" width="0" style="1355" hidden="1" customWidth="1"/>
    <col min="12025" max="12025" width="13.28515625" style="1355" customWidth="1"/>
    <col min="12026" max="12026" width="0" style="1355" hidden="1" customWidth="1"/>
    <col min="12027" max="12027" width="15" style="1355" customWidth="1"/>
    <col min="12028" max="12028" width="0" style="1355" hidden="1" customWidth="1"/>
    <col min="12029" max="12029" width="13.28515625" style="1355" customWidth="1"/>
    <col min="12030" max="12030" width="0" style="1355" hidden="1" customWidth="1"/>
    <col min="12031" max="12031" width="20.140625" style="1355" customWidth="1"/>
    <col min="12032" max="12032" width="14.42578125" style="1355" bestFit="1" customWidth="1"/>
    <col min="12033" max="12033" width="14" style="1355" bestFit="1" customWidth="1"/>
    <col min="12034" max="12034" width="12.28515625" style="1355" bestFit="1" customWidth="1"/>
    <col min="12035" max="12059" width="9.140625" style="1355" customWidth="1"/>
    <col min="12060" max="12254" width="8.85546875" style="1355"/>
    <col min="12255" max="12255" width="44.5703125" style="1355" customWidth="1"/>
    <col min="12256" max="12256" width="14.28515625" style="1355" bestFit="1" customWidth="1"/>
    <col min="12257" max="12257" width="1.7109375" style="1355" customWidth="1"/>
    <col min="12258" max="12258" width="14.85546875" style="1355" customWidth="1"/>
    <col min="12259" max="12259" width="0" style="1355" hidden="1" customWidth="1"/>
    <col min="12260" max="12260" width="17.42578125" style="1355" customWidth="1"/>
    <col min="12261" max="12261" width="0" style="1355" hidden="1" customWidth="1"/>
    <col min="12262" max="12262" width="12.85546875" style="1355" customWidth="1"/>
    <col min="12263" max="12263" width="0" style="1355" hidden="1" customWidth="1"/>
    <col min="12264" max="12264" width="14.42578125" style="1355" customWidth="1"/>
    <col min="12265" max="12265" width="0" style="1355" hidden="1" customWidth="1"/>
    <col min="12266" max="12266" width="17.42578125" style="1355" customWidth="1"/>
    <col min="12267" max="12267" width="0" style="1355" hidden="1" customWidth="1"/>
    <col min="12268" max="12268" width="14" style="1355" customWidth="1"/>
    <col min="12269" max="12269" width="14.28515625" style="1355" bestFit="1" customWidth="1"/>
    <col min="12270" max="12270" width="0" style="1355" hidden="1" customWidth="1"/>
    <col min="12271" max="12271" width="15.5703125" style="1355" customWidth="1"/>
    <col min="12272" max="12272" width="44.5703125" style="1355" customWidth="1"/>
    <col min="12273" max="12273" width="14.28515625" style="1355" bestFit="1" customWidth="1"/>
    <col min="12274" max="12274" width="0" style="1355" hidden="1" customWidth="1"/>
    <col min="12275" max="12275" width="18.140625" style="1355" customWidth="1"/>
    <col min="12276" max="12276" width="0" style="1355" hidden="1" customWidth="1"/>
    <col min="12277" max="12277" width="14" style="1355" customWidth="1"/>
    <col min="12278" max="12278" width="0" style="1355" hidden="1" customWidth="1"/>
    <col min="12279" max="12279" width="20.85546875" style="1355" customWidth="1"/>
    <col min="12280" max="12280" width="0" style="1355" hidden="1" customWidth="1"/>
    <col min="12281" max="12281" width="13.28515625" style="1355" customWidth="1"/>
    <col min="12282" max="12282" width="0" style="1355" hidden="1" customWidth="1"/>
    <col min="12283" max="12283" width="15" style="1355" customWidth="1"/>
    <col min="12284" max="12284" width="0" style="1355" hidden="1" customWidth="1"/>
    <col min="12285" max="12285" width="13.28515625" style="1355" customWidth="1"/>
    <col min="12286" max="12286" width="0" style="1355" hidden="1" customWidth="1"/>
    <col min="12287" max="12287" width="20.140625" style="1355" customWidth="1"/>
    <col min="12288" max="12288" width="14.42578125" style="1355" bestFit="1" customWidth="1"/>
    <col min="12289" max="12289" width="14" style="1355" bestFit="1" customWidth="1"/>
    <col min="12290" max="12290" width="12.28515625" style="1355" bestFit="1" customWidth="1"/>
    <col min="12291" max="12315" width="9.140625" style="1355" customWidth="1"/>
    <col min="12316" max="12510" width="8.85546875" style="1355"/>
    <col min="12511" max="12511" width="44.5703125" style="1355" customWidth="1"/>
    <col min="12512" max="12512" width="14.28515625" style="1355" bestFit="1" customWidth="1"/>
    <col min="12513" max="12513" width="1.7109375" style="1355" customWidth="1"/>
    <col min="12514" max="12514" width="14.85546875" style="1355" customWidth="1"/>
    <col min="12515" max="12515" width="0" style="1355" hidden="1" customWidth="1"/>
    <col min="12516" max="12516" width="17.42578125" style="1355" customWidth="1"/>
    <col min="12517" max="12517" width="0" style="1355" hidden="1" customWidth="1"/>
    <col min="12518" max="12518" width="12.85546875" style="1355" customWidth="1"/>
    <col min="12519" max="12519" width="0" style="1355" hidden="1" customWidth="1"/>
    <col min="12520" max="12520" width="14.42578125" style="1355" customWidth="1"/>
    <col min="12521" max="12521" width="0" style="1355" hidden="1" customWidth="1"/>
    <col min="12522" max="12522" width="17.42578125" style="1355" customWidth="1"/>
    <col min="12523" max="12523" width="0" style="1355" hidden="1" customWidth="1"/>
    <col min="12524" max="12524" width="14" style="1355" customWidth="1"/>
    <col min="12525" max="12525" width="14.28515625" style="1355" bestFit="1" customWidth="1"/>
    <col min="12526" max="12526" width="0" style="1355" hidden="1" customWidth="1"/>
    <col min="12527" max="12527" width="15.5703125" style="1355" customWidth="1"/>
    <col min="12528" max="12528" width="44.5703125" style="1355" customWidth="1"/>
    <col min="12529" max="12529" width="14.28515625" style="1355" bestFit="1" customWidth="1"/>
    <col min="12530" max="12530" width="0" style="1355" hidden="1" customWidth="1"/>
    <col min="12531" max="12531" width="18.140625" style="1355" customWidth="1"/>
    <col min="12532" max="12532" width="0" style="1355" hidden="1" customWidth="1"/>
    <col min="12533" max="12533" width="14" style="1355" customWidth="1"/>
    <col min="12534" max="12534" width="0" style="1355" hidden="1" customWidth="1"/>
    <col min="12535" max="12535" width="20.85546875" style="1355" customWidth="1"/>
    <col min="12536" max="12536" width="0" style="1355" hidden="1" customWidth="1"/>
    <col min="12537" max="12537" width="13.28515625" style="1355" customWidth="1"/>
    <col min="12538" max="12538" width="0" style="1355" hidden="1" customWidth="1"/>
    <col min="12539" max="12539" width="15" style="1355" customWidth="1"/>
    <col min="12540" max="12540" width="0" style="1355" hidden="1" customWidth="1"/>
    <col min="12541" max="12541" width="13.28515625" style="1355" customWidth="1"/>
    <col min="12542" max="12542" width="0" style="1355" hidden="1" customWidth="1"/>
    <col min="12543" max="12543" width="20.140625" style="1355" customWidth="1"/>
    <col min="12544" max="12544" width="14.42578125" style="1355" bestFit="1" customWidth="1"/>
    <col min="12545" max="12545" width="14" style="1355" bestFit="1" customWidth="1"/>
    <col min="12546" max="12546" width="12.28515625" style="1355" bestFit="1" customWidth="1"/>
    <col min="12547" max="12571" width="9.140625" style="1355" customWidth="1"/>
    <col min="12572" max="12766" width="8.85546875" style="1355"/>
    <col min="12767" max="12767" width="44.5703125" style="1355" customWidth="1"/>
    <col min="12768" max="12768" width="14.28515625" style="1355" bestFit="1" customWidth="1"/>
    <col min="12769" max="12769" width="1.7109375" style="1355" customWidth="1"/>
    <col min="12770" max="12770" width="14.85546875" style="1355" customWidth="1"/>
    <col min="12771" max="12771" width="0" style="1355" hidden="1" customWidth="1"/>
    <col min="12772" max="12772" width="17.42578125" style="1355" customWidth="1"/>
    <col min="12773" max="12773" width="0" style="1355" hidden="1" customWidth="1"/>
    <col min="12774" max="12774" width="12.85546875" style="1355" customWidth="1"/>
    <col min="12775" max="12775" width="0" style="1355" hidden="1" customWidth="1"/>
    <col min="12776" max="12776" width="14.42578125" style="1355" customWidth="1"/>
    <col min="12777" max="12777" width="0" style="1355" hidden="1" customWidth="1"/>
    <col min="12778" max="12778" width="17.42578125" style="1355" customWidth="1"/>
    <col min="12779" max="12779" width="0" style="1355" hidden="1" customWidth="1"/>
    <col min="12780" max="12780" width="14" style="1355" customWidth="1"/>
    <col min="12781" max="12781" width="14.28515625" style="1355" bestFit="1" customWidth="1"/>
    <col min="12782" max="12782" width="0" style="1355" hidden="1" customWidth="1"/>
    <col min="12783" max="12783" width="15.5703125" style="1355" customWidth="1"/>
    <col min="12784" max="12784" width="44.5703125" style="1355" customWidth="1"/>
    <col min="12785" max="12785" width="14.28515625" style="1355" bestFit="1" customWidth="1"/>
    <col min="12786" max="12786" width="0" style="1355" hidden="1" customWidth="1"/>
    <col min="12787" max="12787" width="18.140625" style="1355" customWidth="1"/>
    <col min="12788" max="12788" width="0" style="1355" hidden="1" customWidth="1"/>
    <col min="12789" max="12789" width="14" style="1355" customWidth="1"/>
    <col min="12790" max="12790" width="0" style="1355" hidden="1" customWidth="1"/>
    <col min="12791" max="12791" width="20.85546875" style="1355" customWidth="1"/>
    <col min="12792" max="12792" width="0" style="1355" hidden="1" customWidth="1"/>
    <col min="12793" max="12793" width="13.28515625" style="1355" customWidth="1"/>
    <col min="12794" max="12794" width="0" style="1355" hidden="1" customWidth="1"/>
    <col min="12795" max="12795" width="15" style="1355" customWidth="1"/>
    <col min="12796" max="12796" width="0" style="1355" hidden="1" customWidth="1"/>
    <col min="12797" max="12797" width="13.28515625" style="1355" customWidth="1"/>
    <col min="12798" max="12798" width="0" style="1355" hidden="1" customWidth="1"/>
    <col min="12799" max="12799" width="20.140625" style="1355" customWidth="1"/>
    <col min="12800" max="12800" width="14.42578125" style="1355" bestFit="1" customWidth="1"/>
    <col min="12801" max="12801" width="14" style="1355" bestFit="1" customWidth="1"/>
    <col min="12802" max="12802" width="12.28515625" style="1355" bestFit="1" customWidth="1"/>
    <col min="12803" max="12827" width="9.140625" style="1355" customWidth="1"/>
    <col min="12828" max="13022" width="8.85546875" style="1355"/>
    <col min="13023" max="13023" width="44.5703125" style="1355" customWidth="1"/>
    <col min="13024" max="13024" width="14.28515625" style="1355" bestFit="1" customWidth="1"/>
    <col min="13025" max="13025" width="1.7109375" style="1355" customWidth="1"/>
    <col min="13026" max="13026" width="14.85546875" style="1355" customWidth="1"/>
    <col min="13027" max="13027" width="0" style="1355" hidden="1" customWidth="1"/>
    <col min="13028" max="13028" width="17.42578125" style="1355" customWidth="1"/>
    <col min="13029" max="13029" width="0" style="1355" hidden="1" customWidth="1"/>
    <col min="13030" max="13030" width="12.85546875" style="1355" customWidth="1"/>
    <col min="13031" max="13031" width="0" style="1355" hidden="1" customWidth="1"/>
    <col min="13032" max="13032" width="14.42578125" style="1355" customWidth="1"/>
    <col min="13033" max="13033" width="0" style="1355" hidden="1" customWidth="1"/>
    <col min="13034" max="13034" width="17.42578125" style="1355" customWidth="1"/>
    <col min="13035" max="13035" width="0" style="1355" hidden="1" customWidth="1"/>
    <col min="13036" max="13036" width="14" style="1355" customWidth="1"/>
    <col min="13037" max="13037" width="14.28515625" style="1355" bestFit="1" customWidth="1"/>
    <col min="13038" max="13038" width="0" style="1355" hidden="1" customWidth="1"/>
    <col min="13039" max="13039" width="15.5703125" style="1355" customWidth="1"/>
    <col min="13040" max="13040" width="44.5703125" style="1355" customWidth="1"/>
    <col min="13041" max="13041" width="14.28515625" style="1355" bestFit="1" customWidth="1"/>
    <col min="13042" max="13042" width="0" style="1355" hidden="1" customWidth="1"/>
    <col min="13043" max="13043" width="18.140625" style="1355" customWidth="1"/>
    <col min="13044" max="13044" width="0" style="1355" hidden="1" customWidth="1"/>
    <col min="13045" max="13045" width="14" style="1355" customWidth="1"/>
    <col min="13046" max="13046" width="0" style="1355" hidden="1" customWidth="1"/>
    <col min="13047" max="13047" width="20.85546875" style="1355" customWidth="1"/>
    <col min="13048" max="13048" width="0" style="1355" hidden="1" customWidth="1"/>
    <col min="13049" max="13049" width="13.28515625" style="1355" customWidth="1"/>
    <col min="13050" max="13050" width="0" style="1355" hidden="1" customWidth="1"/>
    <col min="13051" max="13051" width="15" style="1355" customWidth="1"/>
    <col min="13052" max="13052" width="0" style="1355" hidden="1" customWidth="1"/>
    <col min="13053" max="13053" width="13.28515625" style="1355" customWidth="1"/>
    <col min="13054" max="13054" width="0" style="1355" hidden="1" customWidth="1"/>
    <col min="13055" max="13055" width="20.140625" style="1355" customWidth="1"/>
    <col min="13056" max="13056" width="14.42578125" style="1355" bestFit="1" customWidth="1"/>
    <col min="13057" max="13057" width="14" style="1355" bestFit="1" customWidth="1"/>
    <col min="13058" max="13058" width="12.28515625" style="1355" bestFit="1" customWidth="1"/>
    <col min="13059" max="13083" width="9.140625" style="1355" customWidth="1"/>
    <col min="13084" max="13278" width="8.85546875" style="1355"/>
    <col min="13279" max="13279" width="44.5703125" style="1355" customWidth="1"/>
    <col min="13280" max="13280" width="14.28515625" style="1355" bestFit="1" customWidth="1"/>
    <col min="13281" max="13281" width="1.7109375" style="1355" customWidth="1"/>
    <col min="13282" max="13282" width="14.85546875" style="1355" customWidth="1"/>
    <col min="13283" max="13283" width="0" style="1355" hidden="1" customWidth="1"/>
    <col min="13284" max="13284" width="17.42578125" style="1355" customWidth="1"/>
    <col min="13285" max="13285" width="0" style="1355" hidden="1" customWidth="1"/>
    <col min="13286" max="13286" width="12.85546875" style="1355" customWidth="1"/>
    <col min="13287" max="13287" width="0" style="1355" hidden="1" customWidth="1"/>
    <col min="13288" max="13288" width="14.42578125" style="1355" customWidth="1"/>
    <col min="13289" max="13289" width="0" style="1355" hidden="1" customWidth="1"/>
    <col min="13290" max="13290" width="17.42578125" style="1355" customWidth="1"/>
    <col min="13291" max="13291" width="0" style="1355" hidden="1" customWidth="1"/>
    <col min="13292" max="13292" width="14" style="1355" customWidth="1"/>
    <col min="13293" max="13293" width="14.28515625" style="1355" bestFit="1" customWidth="1"/>
    <col min="13294" max="13294" width="0" style="1355" hidden="1" customWidth="1"/>
    <col min="13295" max="13295" width="15.5703125" style="1355" customWidth="1"/>
    <col min="13296" max="13296" width="44.5703125" style="1355" customWidth="1"/>
    <col min="13297" max="13297" width="14.28515625" style="1355" bestFit="1" customWidth="1"/>
    <col min="13298" max="13298" width="0" style="1355" hidden="1" customWidth="1"/>
    <col min="13299" max="13299" width="18.140625" style="1355" customWidth="1"/>
    <col min="13300" max="13300" width="0" style="1355" hidden="1" customWidth="1"/>
    <col min="13301" max="13301" width="14" style="1355" customWidth="1"/>
    <col min="13302" max="13302" width="0" style="1355" hidden="1" customWidth="1"/>
    <col min="13303" max="13303" width="20.85546875" style="1355" customWidth="1"/>
    <col min="13304" max="13304" width="0" style="1355" hidden="1" customWidth="1"/>
    <col min="13305" max="13305" width="13.28515625" style="1355" customWidth="1"/>
    <col min="13306" max="13306" width="0" style="1355" hidden="1" customWidth="1"/>
    <col min="13307" max="13307" width="15" style="1355" customWidth="1"/>
    <col min="13308" max="13308" width="0" style="1355" hidden="1" customWidth="1"/>
    <col min="13309" max="13309" width="13.28515625" style="1355" customWidth="1"/>
    <col min="13310" max="13310" width="0" style="1355" hidden="1" customWidth="1"/>
    <col min="13311" max="13311" width="20.140625" style="1355" customWidth="1"/>
    <col min="13312" max="13312" width="14.42578125" style="1355" bestFit="1" customWidth="1"/>
    <col min="13313" max="13313" width="14" style="1355" bestFit="1" customWidth="1"/>
    <col min="13314" max="13314" width="12.28515625" style="1355" bestFit="1" customWidth="1"/>
    <col min="13315" max="13339" width="9.140625" style="1355" customWidth="1"/>
    <col min="13340" max="13534" width="8.85546875" style="1355"/>
    <col min="13535" max="13535" width="44.5703125" style="1355" customWidth="1"/>
    <col min="13536" max="13536" width="14.28515625" style="1355" bestFit="1" customWidth="1"/>
    <col min="13537" max="13537" width="1.7109375" style="1355" customWidth="1"/>
    <col min="13538" max="13538" width="14.85546875" style="1355" customWidth="1"/>
    <col min="13539" max="13539" width="0" style="1355" hidden="1" customWidth="1"/>
    <col min="13540" max="13540" width="17.42578125" style="1355" customWidth="1"/>
    <col min="13541" max="13541" width="0" style="1355" hidden="1" customWidth="1"/>
    <col min="13542" max="13542" width="12.85546875" style="1355" customWidth="1"/>
    <col min="13543" max="13543" width="0" style="1355" hidden="1" customWidth="1"/>
    <col min="13544" max="13544" width="14.42578125" style="1355" customWidth="1"/>
    <col min="13545" max="13545" width="0" style="1355" hidden="1" customWidth="1"/>
    <col min="13546" max="13546" width="17.42578125" style="1355" customWidth="1"/>
    <col min="13547" max="13547" width="0" style="1355" hidden="1" customWidth="1"/>
    <col min="13548" max="13548" width="14" style="1355" customWidth="1"/>
    <col min="13549" max="13549" width="14.28515625" style="1355" bestFit="1" customWidth="1"/>
    <col min="13550" max="13550" width="0" style="1355" hidden="1" customWidth="1"/>
    <col min="13551" max="13551" width="15.5703125" style="1355" customWidth="1"/>
    <col min="13552" max="13552" width="44.5703125" style="1355" customWidth="1"/>
    <col min="13553" max="13553" width="14.28515625" style="1355" bestFit="1" customWidth="1"/>
    <col min="13554" max="13554" width="0" style="1355" hidden="1" customWidth="1"/>
    <col min="13555" max="13555" width="18.140625" style="1355" customWidth="1"/>
    <col min="13556" max="13556" width="0" style="1355" hidden="1" customWidth="1"/>
    <col min="13557" max="13557" width="14" style="1355" customWidth="1"/>
    <col min="13558" max="13558" width="0" style="1355" hidden="1" customWidth="1"/>
    <col min="13559" max="13559" width="20.85546875" style="1355" customWidth="1"/>
    <col min="13560" max="13560" width="0" style="1355" hidden="1" customWidth="1"/>
    <col min="13561" max="13561" width="13.28515625" style="1355" customWidth="1"/>
    <col min="13562" max="13562" width="0" style="1355" hidden="1" customWidth="1"/>
    <col min="13563" max="13563" width="15" style="1355" customWidth="1"/>
    <col min="13564" max="13564" width="0" style="1355" hidden="1" customWidth="1"/>
    <col min="13565" max="13565" width="13.28515625" style="1355" customWidth="1"/>
    <col min="13566" max="13566" width="0" style="1355" hidden="1" customWidth="1"/>
    <col min="13567" max="13567" width="20.140625" style="1355" customWidth="1"/>
    <col min="13568" max="13568" width="14.42578125" style="1355" bestFit="1" customWidth="1"/>
    <col min="13569" max="13569" width="14" style="1355" bestFit="1" customWidth="1"/>
    <col min="13570" max="13570" width="12.28515625" style="1355" bestFit="1" customWidth="1"/>
    <col min="13571" max="13595" width="9.140625" style="1355" customWidth="1"/>
    <col min="13596" max="13790" width="8.85546875" style="1355"/>
    <col min="13791" max="13791" width="44.5703125" style="1355" customWidth="1"/>
    <col min="13792" max="13792" width="14.28515625" style="1355" bestFit="1" customWidth="1"/>
    <col min="13793" max="13793" width="1.7109375" style="1355" customWidth="1"/>
    <col min="13794" max="13794" width="14.85546875" style="1355" customWidth="1"/>
    <col min="13795" max="13795" width="0" style="1355" hidden="1" customWidth="1"/>
    <col min="13796" max="13796" width="17.42578125" style="1355" customWidth="1"/>
    <col min="13797" max="13797" width="0" style="1355" hidden="1" customWidth="1"/>
    <col min="13798" max="13798" width="12.85546875" style="1355" customWidth="1"/>
    <col min="13799" max="13799" width="0" style="1355" hidden="1" customWidth="1"/>
    <col min="13800" max="13800" width="14.42578125" style="1355" customWidth="1"/>
    <col min="13801" max="13801" width="0" style="1355" hidden="1" customWidth="1"/>
    <col min="13802" max="13802" width="17.42578125" style="1355" customWidth="1"/>
    <col min="13803" max="13803" width="0" style="1355" hidden="1" customWidth="1"/>
    <col min="13804" max="13804" width="14" style="1355" customWidth="1"/>
    <col min="13805" max="13805" width="14.28515625" style="1355" bestFit="1" customWidth="1"/>
    <col min="13806" max="13806" width="0" style="1355" hidden="1" customWidth="1"/>
    <col min="13807" max="13807" width="15.5703125" style="1355" customWidth="1"/>
    <col min="13808" max="13808" width="44.5703125" style="1355" customWidth="1"/>
    <col min="13809" max="13809" width="14.28515625" style="1355" bestFit="1" customWidth="1"/>
    <col min="13810" max="13810" width="0" style="1355" hidden="1" customWidth="1"/>
    <col min="13811" max="13811" width="18.140625" style="1355" customWidth="1"/>
    <col min="13812" max="13812" width="0" style="1355" hidden="1" customWidth="1"/>
    <col min="13813" max="13813" width="14" style="1355" customWidth="1"/>
    <col min="13814" max="13814" width="0" style="1355" hidden="1" customWidth="1"/>
    <col min="13815" max="13815" width="20.85546875" style="1355" customWidth="1"/>
    <col min="13816" max="13816" width="0" style="1355" hidden="1" customWidth="1"/>
    <col min="13817" max="13817" width="13.28515625" style="1355" customWidth="1"/>
    <col min="13818" max="13818" width="0" style="1355" hidden="1" customWidth="1"/>
    <col min="13819" max="13819" width="15" style="1355" customWidth="1"/>
    <col min="13820" max="13820" width="0" style="1355" hidden="1" customWidth="1"/>
    <col min="13821" max="13821" width="13.28515625" style="1355" customWidth="1"/>
    <col min="13822" max="13822" width="0" style="1355" hidden="1" customWidth="1"/>
    <col min="13823" max="13823" width="20.140625" style="1355" customWidth="1"/>
    <col min="13824" max="13824" width="14.42578125" style="1355" bestFit="1" customWidth="1"/>
    <col min="13825" max="13825" width="14" style="1355" bestFit="1" customWidth="1"/>
    <col min="13826" max="13826" width="12.28515625" style="1355" bestFit="1" customWidth="1"/>
    <col min="13827" max="13851" width="9.140625" style="1355" customWidth="1"/>
    <col min="13852" max="14046" width="8.85546875" style="1355"/>
    <col min="14047" max="14047" width="44.5703125" style="1355" customWidth="1"/>
    <col min="14048" max="14048" width="14.28515625" style="1355" bestFit="1" customWidth="1"/>
    <col min="14049" max="14049" width="1.7109375" style="1355" customWidth="1"/>
    <col min="14050" max="14050" width="14.85546875" style="1355" customWidth="1"/>
    <col min="14051" max="14051" width="0" style="1355" hidden="1" customWidth="1"/>
    <col min="14052" max="14052" width="17.42578125" style="1355" customWidth="1"/>
    <col min="14053" max="14053" width="0" style="1355" hidden="1" customWidth="1"/>
    <col min="14054" max="14054" width="12.85546875" style="1355" customWidth="1"/>
    <col min="14055" max="14055" width="0" style="1355" hidden="1" customWidth="1"/>
    <col min="14056" max="14056" width="14.42578125" style="1355" customWidth="1"/>
    <col min="14057" max="14057" width="0" style="1355" hidden="1" customWidth="1"/>
    <col min="14058" max="14058" width="17.42578125" style="1355" customWidth="1"/>
    <col min="14059" max="14059" width="0" style="1355" hidden="1" customWidth="1"/>
    <col min="14060" max="14060" width="14" style="1355" customWidth="1"/>
    <col min="14061" max="14061" width="14.28515625" style="1355" bestFit="1" customWidth="1"/>
    <col min="14062" max="14062" width="0" style="1355" hidden="1" customWidth="1"/>
    <col min="14063" max="14063" width="15.5703125" style="1355" customWidth="1"/>
    <col min="14064" max="14064" width="44.5703125" style="1355" customWidth="1"/>
    <col min="14065" max="14065" width="14.28515625" style="1355" bestFit="1" customWidth="1"/>
    <col min="14066" max="14066" width="0" style="1355" hidden="1" customWidth="1"/>
    <col min="14067" max="14067" width="18.140625" style="1355" customWidth="1"/>
    <col min="14068" max="14068" width="0" style="1355" hidden="1" customWidth="1"/>
    <col min="14069" max="14069" width="14" style="1355" customWidth="1"/>
    <col min="14070" max="14070" width="0" style="1355" hidden="1" customWidth="1"/>
    <col min="14071" max="14071" width="20.85546875" style="1355" customWidth="1"/>
    <col min="14072" max="14072" width="0" style="1355" hidden="1" customWidth="1"/>
    <col min="14073" max="14073" width="13.28515625" style="1355" customWidth="1"/>
    <col min="14074" max="14074" width="0" style="1355" hidden="1" customWidth="1"/>
    <col min="14075" max="14075" width="15" style="1355" customWidth="1"/>
    <col min="14076" max="14076" width="0" style="1355" hidden="1" customWidth="1"/>
    <col min="14077" max="14077" width="13.28515625" style="1355" customWidth="1"/>
    <col min="14078" max="14078" width="0" style="1355" hidden="1" customWidth="1"/>
    <col min="14079" max="14079" width="20.140625" style="1355" customWidth="1"/>
    <col min="14080" max="14080" width="14.42578125" style="1355" bestFit="1" customWidth="1"/>
    <col min="14081" max="14081" width="14" style="1355" bestFit="1" customWidth="1"/>
    <col min="14082" max="14082" width="12.28515625" style="1355" bestFit="1" customWidth="1"/>
    <col min="14083" max="14107" width="9.140625" style="1355" customWidth="1"/>
    <col min="14108" max="14302" width="8.85546875" style="1355"/>
    <col min="14303" max="14303" width="44.5703125" style="1355" customWidth="1"/>
    <col min="14304" max="14304" width="14.28515625" style="1355" bestFit="1" customWidth="1"/>
    <col min="14305" max="14305" width="1.7109375" style="1355" customWidth="1"/>
    <col min="14306" max="14306" width="14.85546875" style="1355" customWidth="1"/>
    <col min="14307" max="14307" width="0" style="1355" hidden="1" customWidth="1"/>
    <col min="14308" max="14308" width="17.42578125" style="1355" customWidth="1"/>
    <col min="14309" max="14309" width="0" style="1355" hidden="1" customWidth="1"/>
    <col min="14310" max="14310" width="12.85546875" style="1355" customWidth="1"/>
    <col min="14311" max="14311" width="0" style="1355" hidden="1" customWidth="1"/>
    <col min="14312" max="14312" width="14.42578125" style="1355" customWidth="1"/>
    <col min="14313" max="14313" width="0" style="1355" hidden="1" customWidth="1"/>
    <col min="14314" max="14314" width="17.42578125" style="1355" customWidth="1"/>
    <col min="14315" max="14315" width="0" style="1355" hidden="1" customWidth="1"/>
    <col min="14316" max="14316" width="14" style="1355" customWidth="1"/>
    <col min="14317" max="14317" width="14.28515625" style="1355" bestFit="1" customWidth="1"/>
    <col min="14318" max="14318" width="0" style="1355" hidden="1" customWidth="1"/>
    <col min="14319" max="14319" width="15.5703125" style="1355" customWidth="1"/>
    <col min="14320" max="14320" width="44.5703125" style="1355" customWidth="1"/>
    <col min="14321" max="14321" width="14.28515625" style="1355" bestFit="1" customWidth="1"/>
    <col min="14322" max="14322" width="0" style="1355" hidden="1" customWidth="1"/>
    <col min="14323" max="14323" width="18.140625" style="1355" customWidth="1"/>
    <col min="14324" max="14324" width="0" style="1355" hidden="1" customWidth="1"/>
    <col min="14325" max="14325" width="14" style="1355" customWidth="1"/>
    <col min="14326" max="14326" width="0" style="1355" hidden="1" customWidth="1"/>
    <col min="14327" max="14327" width="20.85546875" style="1355" customWidth="1"/>
    <col min="14328" max="14328" width="0" style="1355" hidden="1" customWidth="1"/>
    <col min="14329" max="14329" width="13.28515625" style="1355" customWidth="1"/>
    <col min="14330" max="14330" width="0" style="1355" hidden="1" customWidth="1"/>
    <col min="14331" max="14331" width="15" style="1355" customWidth="1"/>
    <col min="14332" max="14332" width="0" style="1355" hidden="1" customWidth="1"/>
    <col min="14333" max="14333" width="13.28515625" style="1355" customWidth="1"/>
    <col min="14334" max="14334" width="0" style="1355" hidden="1" customWidth="1"/>
    <col min="14335" max="14335" width="20.140625" style="1355" customWidth="1"/>
    <col min="14336" max="14336" width="14.42578125" style="1355" bestFit="1" customWidth="1"/>
    <col min="14337" max="14337" width="14" style="1355" bestFit="1" customWidth="1"/>
    <col min="14338" max="14338" width="12.28515625" style="1355" bestFit="1" customWidth="1"/>
    <col min="14339" max="14363" width="9.140625" style="1355" customWidth="1"/>
    <col min="14364" max="14558" width="8.85546875" style="1355"/>
    <col min="14559" max="14559" width="44.5703125" style="1355" customWidth="1"/>
    <col min="14560" max="14560" width="14.28515625" style="1355" bestFit="1" customWidth="1"/>
    <col min="14561" max="14561" width="1.7109375" style="1355" customWidth="1"/>
    <col min="14562" max="14562" width="14.85546875" style="1355" customWidth="1"/>
    <col min="14563" max="14563" width="0" style="1355" hidden="1" customWidth="1"/>
    <col min="14564" max="14564" width="17.42578125" style="1355" customWidth="1"/>
    <col min="14565" max="14565" width="0" style="1355" hidden="1" customWidth="1"/>
    <col min="14566" max="14566" width="12.85546875" style="1355" customWidth="1"/>
    <col min="14567" max="14567" width="0" style="1355" hidden="1" customWidth="1"/>
    <col min="14568" max="14568" width="14.42578125" style="1355" customWidth="1"/>
    <col min="14569" max="14569" width="0" style="1355" hidden="1" customWidth="1"/>
    <col min="14570" max="14570" width="17.42578125" style="1355" customWidth="1"/>
    <col min="14571" max="14571" width="0" style="1355" hidden="1" customWidth="1"/>
    <col min="14572" max="14572" width="14" style="1355" customWidth="1"/>
    <col min="14573" max="14573" width="14.28515625" style="1355" bestFit="1" customWidth="1"/>
    <col min="14574" max="14574" width="0" style="1355" hidden="1" customWidth="1"/>
    <col min="14575" max="14575" width="15.5703125" style="1355" customWidth="1"/>
    <col min="14576" max="14576" width="44.5703125" style="1355" customWidth="1"/>
    <col min="14577" max="14577" width="14.28515625" style="1355" bestFit="1" customWidth="1"/>
    <col min="14578" max="14578" width="0" style="1355" hidden="1" customWidth="1"/>
    <col min="14579" max="14579" width="18.140625" style="1355" customWidth="1"/>
    <col min="14580" max="14580" width="0" style="1355" hidden="1" customWidth="1"/>
    <col min="14581" max="14581" width="14" style="1355" customWidth="1"/>
    <col min="14582" max="14582" width="0" style="1355" hidden="1" customWidth="1"/>
    <col min="14583" max="14583" width="20.85546875" style="1355" customWidth="1"/>
    <col min="14584" max="14584" width="0" style="1355" hidden="1" customWidth="1"/>
    <col min="14585" max="14585" width="13.28515625" style="1355" customWidth="1"/>
    <col min="14586" max="14586" width="0" style="1355" hidden="1" customWidth="1"/>
    <col min="14587" max="14587" width="15" style="1355" customWidth="1"/>
    <col min="14588" max="14588" width="0" style="1355" hidden="1" customWidth="1"/>
    <col min="14589" max="14589" width="13.28515625" style="1355" customWidth="1"/>
    <col min="14590" max="14590" width="0" style="1355" hidden="1" customWidth="1"/>
    <col min="14591" max="14591" width="20.140625" style="1355" customWidth="1"/>
    <col min="14592" max="14592" width="14.42578125" style="1355" bestFit="1" customWidth="1"/>
    <col min="14593" max="14593" width="14" style="1355" bestFit="1" customWidth="1"/>
    <col min="14594" max="14594" width="12.28515625" style="1355" bestFit="1" customWidth="1"/>
    <col min="14595" max="14619" width="9.140625" style="1355" customWidth="1"/>
    <col min="14620" max="14814" width="8.85546875" style="1355"/>
    <col min="14815" max="14815" width="44.5703125" style="1355" customWidth="1"/>
    <col min="14816" max="14816" width="14.28515625" style="1355" bestFit="1" customWidth="1"/>
    <col min="14817" max="14817" width="1.7109375" style="1355" customWidth="1"/>
    <col min="14818" max="14818" width="14.85546875" style="1355" customWidth="1"/>
    <col min="14819" max="14819" width="0" style="1355" hidden="1" customWidth="1"/>
    <col min="14820" max="14820" width="17.42578125" style="1355" customWidth="1"/>
    <col min="14821" max="14821" width="0" style="1355" hidden="1" customWidth="1"/>
    <col min="14822" max="14822" width="12.85546875" style="1355" customWidth="1"/>
    <col min="14823" max="14823" width="0" style="1355" hidden="1" customWidth="1"/>
    <col min="14824" max="14824" width="14.42578125" style="1355" customWidth="1"/>
    <col min="14825" max="14825" width="0" style="1355" hidden="1" customWidth="1"/>
    <col min="14826" max="14826" width="17.42578125" style="1355" customWidth="1"/>
    <col min="14827" max="14827" width="0" style="1355" hidden="1" customWidth="1"/>
    <col min="14828" max="14828" width="14" style="1355" customWidth="1"/>
    <col min="14829" max="14829" width="14.28515625" style="1355" bestFit="1" customWidth="1"/>
    <col min="14830" max="14830" width="0" style="1355" hidden="1" customWidth="1"/>
    <col min="14831" max="14831" width="15.5703125" style="1355" customWidth="1"/>
    <col min="14832" max="14832" width="44.5703125" style="1355" customWidth="1"/>
    <col min="14833" max="14833" width="14.28515625" style="1355" bestFit="1" customWidth="1"/>
    <col min="14834" max="14834" width="0" style="1355" hidden="1" customWidth="1"/>
    <col min="14835" max="14835" width="18.140625" style="1355" customWidth="1"/>
    <col min="14836" max="14836" width="0" style="1355" hidden="1" customWidth="1"/>
    <col min="14837" max="14837" width="14" style="1355" customWidth="1"/>
    <col min="14838" max="14838" width="0" style="1355" hidden="1" customWidth="1"/>
    <col min="14839" max="14839" width="20.85546875" style="1355" customWidth="1"/>
    <col min="14840" max="14840" width="0" style="1355" hidden="1" customWidth="1"/>
    <col min="14841" max="14841" width="13.28515625" style="1355" customWidth="1"/>
    <col min="14842" max="14842" width="0" style="1355" hidden="1" customWidth="1"/>
    <col min="14843" max="14843" width="15" style="1355" customWidth="1"/>
    <col min="14844" max="14844" width="0" style="1355" hidden="1" customWidth="1"/>
    <col min="14845" max="14845" width="13.28515625" style="1355" customWidth="1"/>
    <col min="14846" max="14846" width="0" style="1355" hidden="1" customWidth="1"/>
    <col min="14847" max="14847" width="20.140625" style="1355" customWidth="1"/>
    <col min="14848" max="14848" width="14.42578125" style="1355" bestFit="1" customWidth="1"/>
    <col min="14849" max="14849" width="14" style="1355" bestFit="1" customWidth="1"/>
    <col min="14850" max="14850" width="12.28515625" style="1355" bestFit="1" customWidth="1"/>
    <col min="14851" max="14875" width="9.140625" style="1355" customWidth="1"/>
    <col min="14876" max="15070" width="8.85546875" style="1355"/>
    <col min="15071" max="15071" width="44.5703125" style="1355" customWidth="1"/>
    <col min="15072" max="15072" width="14.28515625" style="1355" bestFit="1" customWidth="1"/>
    <col min="15073" max="15073" width="1.7109375" style="1355" customWidth="1"/>
    <col min="15074" max="15074" width="14.85546875" style="1355" customWidth="1"/>
    <col min="15075" max="15075" width="0" style="1355" hidden="1" customWidth="1"/>
    <col min="15076" max="15076" width="17.42578125" style="1355" customWidth="1"/>
    <col min="15077" max="15077" width="0" style="1355" hidden="1" customWidth="1"/>
    <col min="15078" max="15078" width="12.85546875" style="1355" customWidth="1"/>
    <col min="15079" max="15079" width="0" style="1355" hidden="1" customWidth="1"/>
    <col min="15080" max="15080" width="14.42578125" style="1355" customWidth="1"/>
    <col min="15081" max="15081" width="0" style="1355" hidden="1" customWidth="1"/>
    <col min="15082" max="15082" width="17.42578125" style="1355" customWidth="1"/>
    <col min="15083" max="15083" width="0" style="1355" hidden="1" customWidth="1"/>
    <col min="15084" max="15084" width="14" style="1355" customWidth="1"/>
    <col min="15085" max="15085" width="14.28515625" style="1355" bestFit="1" customWidth="1"/>
    <col min="15086" max="15086" width="0" style="1355" hidden="1" customWidth="1"/>
    <col min="15087" max="15087" width="15.5703125" style="1355" customWidth="1"/>
    <col min="15088" max="15088" width="44.5703125" style="1355" customWidth="1"/>
    <col min="15089" max="15089" width="14.28515625" style="1355" bestFit="1" customWidth="1"/>
    <col min="15090" max="15090" width="0" style="1355" hidden="1" customWidth="1"/>
    <col min="15091" max="15091" width="18.140625" style="1355" customWidth="1"/>
    <col min="15092" max="15092" width="0" style="1355" hidden="1" customWidth="1"/>
    <col min="15093" max="15093" width="14" style="1355" customWidth="1"/>
    <col min="15094" max="15094" width="0" style="1355" hidden="1" customWidth="1"/>
    <col min="15095" max="15095" width="20.85546875" style="1355" customWidth="1"/>
    <col min="15096" max="15096" width="0" style="1355" hidden="1" customWidth="1"/>
    <col min="15097" max="15097" width="13.28515625" style="1355" customWidth="1"/>
    <col min="15098" max="15098" width="0" style="1355" hidden="1" customWidth="1"/>
    <col min="15099" max="15099" width="15" style="1355" customWidth="1"/>
    <col min="15100" max="15100" width="0" style="1355" hidden="1" customWidth="1"/>
    <col min="15101" max="15101" width="13.28515625" style="1355" customWidth="1"/>
    <col min="15102" max="15102" width="0" style="1355" hidden="1" customWidth="1"/>
    <col min="15103" max="15103" width="20.140625" style="1355" customWidth="1"/>
    <col min="15104" max="15104" width="14.42578125" style="1355" bestFit="1" customWidth="1"/>
    <col min="15105" max="15105" width="14" style="1355" bestFit="1" customWidth="1"/>
    <col min="15106" max="15106" width="12.28515625" style="1355" bestFit="1" customWidth="1"/>
    <col min="15107" max="15131" width="9.140625" style="1355" customWidth="1"/>
    <col min="15132" max="15326" width="8.85546875" style="1355"/>
    <col min="15327" max="15327" width="44.5703125" style="1355" customWidth="1"/>
    <col min="15328" max="15328" width="14.28515625" style="1355" bestFit="1" customWidth="1"/>
    <col min="15329" max="15329" width="1.7109375" style="1355" customWidth="1"/>
    <col min="15330" max="15330" width="14.85546875" style="1355" customWidth="1"/>
    <col min="15331" max="15331" width="0" style="1355" hidden="1" customWidth="1"/>
    <col min="15332" max="15332" width="17.42578125" style="1355" customWidth="1"/>
    <col min="15333" max="15333" width="0" style="1355" hidden="1" customWidth="1"/>
    <col min="15334" max="15334" width="12.85546875" style="1355" customWidth="1"/>
    <col min="15335" max="15335" width="0" style="1355" hidden="1" customWidth="1"/>
    <col min="15336" max="15336" width="14.42578125" style="1355" customWidth="1"/>
    <col min="15337" max="15337" width="0" style="1355" hidden="1" customWidth="1"/>
    <col min="15338" max="15338" width="17.42578125" style="1355" customWidth="1"/>
    <col min="15339" max="15339" width="0" style="1355" hidden="1" customWidth="1"/>
    <col min="15340" max="15340" width="14" style="1355" customWidth="1"/>
    <col min="15341" max="15341" width="14.28515625" style="1355" bestFit="1" customWidth="1"/>
    <col min="15342" max="15342" width="0" style="1355" hidden="1" customWidth="1"/>
    <col min="15343" max="15343" width="15.5703125" style="1355" customWidth="1"/>
    <col min="15344" max="15344" width="44.5703125" style="1355" customWidth="1"/>
    <col min="15345" max="15345" width="14.28515625" style="1355" bestFit="1" customWidth="1"/>
    <col min="15346" max="15346" width="0" style="1355" hidden="1" customWidth="1"/>
    <col min="15347" max="15347" width="18.140625" style="1355" customWidth="1"/>
    <col min="15348" max="15348" width="0" style="1355" hidden="1" customWidth="1"/>
    <col min="15349" max="15349" width="14" style="1355" customWidth="1"/>
    <col min="15350" max="15350" width="0" style="1355" hidden="1" customWidth="1"/>
    <col min="15351" max="15351" width="20.85546875" style="1355" customWidth="1"/>
    <col min="15352" max="15352" width="0" style="1355" hidden="1" customWidth="1"/>
    <col min="15353" max="15353" width="13.28515625" style="1355" customWidth="1"/>
    <col min="15354" max="15354" width="0" style="1355" hidden="1" customWidth="1"/>
    <col min="15355" max="15355" width="15" style="1355" customWidth="1"/>
    <col min="15356" max="15356" width="0" style="1355" hidden="1" customWidth="1"/>
    <col min="15357" max="15357" width="13.28515625" style="1355" customWidth="1"/>
    <col min="15358" max="15358" width="0" style="1355" hidden="1" customWidth="1"/>
    <col min="15359" max="15359" width="20.140625" style="1355" customWidth="1"/>
    <col min="15360" max="15360" width="14.42578125" style="1355" bestFit="1" customWidth="1"/>
    <col min="15361" max="15361" width="14" style="1355" bestFit="1" customWidth="1"/>
    <col min="15362" max="15362" width="12.28515625" style="1355" bestFit="1" customWidth="1"/>
    <col min="15363" max="15387" width="9.140625" style="1355" customWidth="1"/>
    <col min="15388" max="15582" width="8.85546875" style="1355"/>
    <col min="15583" max="15583" width="44.5703125" style="1355" customWidth="1"/>
    <col min="15584" max="15584" width="14.28515625" style="1355" bestFit="1" customWidth="1"/>
    <col min="15585" max="15585" width="1.7109375" style="1355" customWidth="1"/>
    <col min="15586" max="15586" width="14.85546875" style="1355" customWidth="1"/>
    <col min="15587" max="15587" width="0" style="1355" hidden="1" customWidth="1"/>
    <col min="15588" max="15588" width="17.42578125" style="1355" customWidth="1"/>
    <col min="15589" max="15589" width="0" style="1355" hidden="1" customWidth="1"/>
    <col min="15590" max="15590" width="12.85546875" style="1355" customWidth="1"/>
    <col min="15591" max="15591" width="0" style="1355" hidden="1" customWidth="1"/>
    <col min="15592" max="15592" width="14.42578125" style="1355" customWidth="1"/>
    <col min="15593" max="15593" width="0" style="1355" hidden="1" customWidth="1"/>
    <col min="15594" max="15594" width="17.42578125" style="1355" customWidth="1"/>
    <col min="15595" max="15595" width="0" style="1355" hidden="1" customWidth="1"/>
    <col min="15596" max="15596" width="14" style="1355" customWidth="1"/>
    <col min="15597" max="15597" width="14.28515625" style="1355" bestFit="1" customWidth="1"/>
    <col min="15598" max="15598" width="0" style="1355" hidden="1" customWidth="1"/>
    <col min="15599" max="15599" width="15.5703125" style="1355" customWidth="1"/>
    <col min="15600" max="15600" width="44.5703125" style="1355" customWidth="1"/>
    <col min="15601" max="15601" width="14.28515625" style="1355" bestFit="1" customWidth="1"/>
    <col min="15602" max="15602" width="0" style="1355" hidden="1" customWidth="1"/>
    <col min="15603" max="15603" width="18.140625" style="1355" customWidth="1"/>
    <col min="15604" max="15604" width="0" style="1355" hidden="1" customWidth="1"/>
    <col min="15605" max="15605" width="14" style="1355" customWidth="1"/>
    <col min="15606" max="15606" width="0" style="1355" hidden="1" customWidth="1"/>
    <col min="15607" max="15607" width="20.85546875" style="1355" customWidth="1"/>
    <col min="15608" max="15608" width="0" style="1355" hidden="1" customWidth="1"/>
    <col min="15609" max="15609" width="13.28515625" style="1355" customWidth="1"/>
    <col min="15610" max="15610" width="0" style="1355" hidden="1" customWidth="1"/>
    <col min="15611" max="15611" width="15" style="1355" customWidth="1"/>
    <col min="15612" max="15612" width="0" style="1355" hidden="1" customWidth="1"/>
    <col min="15613" max="15613" width="13.28515625" style="1355" customWidth="1"/>
    <col min="15614" max="15614" width="0" style="1355" hidden="1" customWidth="1"/>
    <col min="15615" max="15615" width="20.140625" style="1355" customWidth="1"/>
    <col min="15616" max="15616" width="14.42578125" style="1355" bestFit="1" customWidth="1"/>
    <col min="15617" max="15617" width="14" style="1355" bestFit="1" customWidth="1"/>
    <col min="15618" max="15618" width="12.28515625" style="1355" bestFit="1" customWidth="1"/>
    <col min="15619" max="15643" width="9.140625" style="1355" customWidth="1"/>
    <col min="15644" max="15838" width="8.85546875" style="1355"/>
    <col min="15839" max="15839" width="44.5703125" style="1355" customWidth="1"/>
    <col min="15840" max="15840" width="14.28515625" style="1355" bestFit="1" customWidth="1"/>
    <col min="15841" max="15841" width="1.7109375" style="1355" customWidth="1"/>
    <col min="15842" max="15842" width="14.85546875" style="1355" customWidth="1"/>
    <col min="15843" max="15843" width="0" style="1355" hidden="1" customWidth="1"/>
    <col min="15844" max="15844" width="17.42578125" style="1355" customWidth="1"/>
    <col min="15845" max="15845" width="0" style="1355" hidden="1" customWidth="1"/>
    <col min="15846" max="15846" width="12.85546875" style="1355" customWidth="1"/>
    <col min="15847" max="15847" width="0" style="1355" hidden="1" customWidth="1"/>
    <col min="15848" max="15848" width="14.42578125" style="1355" customWidth="1"/>
    <col min="15849" max="15849" width="0" style="1355" hidden="1" customWidth="1"/>
    <col min="15850" max="15850" width="17.42578125" style="1355" customWidth="1"/>
    <col min="15851" max="15851" width="0" style="1355" hidden="1" customWidth="1"/>
    <col min="15852" max="15852" width="14" style="1355" customWidth="1"/>
    <col min="15853" max="15853" width="14.28515625" style="1355" bestFit="1" customWidth="1"/>
    <col min="15854" max="15854" width="0" style="1355" hidden="1" customWidth="1"/>
    <col min="15855" max="15855" width="15.5703125" style="1355" customWidth="1"/>
    <col min="15856" max="15856" width="44.5703125" style="1355" customWidth="1"/>
    <col min="15857" max="15857" width="14.28515625" style="1355" bestFit="1" customWidth="1"/>
    <col min="15858" max="15858" width="0" style="1355" hidden="1" customWidth="1"/>
    <col min="15859" max="15859" width="18.140625" style="1355" customWidth="1"/>
    <col min="15860" max="15860" width="0" style="1355" hidden="1" customWidth="1"/>
    <col min="15861" max="15861" width="14" style="1355" customWidth="1"/>
    <col min="15862" max="15862" width="0" style="1355" hidden="1" customWidth="1"/>
    <col min="15863" max="15863" width="20.85546875" style="1355" customWidth="1"/>
    <col min="15864" max="15864" width="0" style="1355" hidden="1" customWidth="1"/>
    <col min="15865" max="15865" width="13.28515625" style="1355" customWidth="1"/>
    <col min="15866" max="15866" width="0" style="1355" hidden="1" customWidth="1"/>
    <col min="15867" max="15867" width="15" style="1355" customWidth="1"/>
    <col min="15868" max="15868" width="0" style="1355" hidden="1" customWidth="1"/>
    <col min="15869" max="15869" width="13.28515625" style="1355" customWidth="1"/>
    <col min="15870" max="15870" width="0" style="1355" hidden="1" customWidth="1"/>
    <col min="15871" max="15871" width="20.140625" style="1355" customWidth="1"/>
    <col min="15872" max="15872" width="14.42578125" style="1355" bestFit="1" customWidth="1"/>
    <col min="15873" max="15873" width="14" style="1355" bestFit="1" customWidth="1"/>
    <col min="15874" max="15874" width="12.28515625" style="1355" bestFit="1" customWidth="1"/>
    <col min="15875" max="15899" width="9.140625" style="1355" customWidth="1"/>
    <col min="15900" max="16094" width="8.85546875" style="1355"/>
    <col min="16095" max="16095" width="44.5703125" style="1355" customWidth="1"/>
    <col min="16096" max="16096" width="14.28515625" style="1355" bestFit="1" customWidth="1"/>
    <col min="16097" max="16097" width="1.7109375" style="1355" customWidth="1"/>
    <col min="16098" max="16098" width="14.85546875" style="1355" customWidth="1"/>
    <col min="16099" max="16099" width="0" style="1355" hidden="1" customWidth="1"/>
    <col min="16100" max="16100" width="17.42578125" style="1355" customWidth="1"/>
    <col min="16101" max="16101" width="0" style="1355" hidden="1" customWidth="1"/>
    <col min="16102" max="16102" width="12.85546875" style="1355" customWidth="1"/>
    <col min="16103" max="16103" width="0" style="1355" hidden="1" customWidth="1"/>
    <col min="16104" max="16104" width="14.42578125" style="1355" customWidth="1"/>
    <col min="16105" max="16105" width="0" style="1355" hidden="1" customWidth="1"/>
    <col min="16106" max="16106" width="17.42578125" style="1355" customWidth="1"/>
    <col min="16107" max="16107" width="0" style="1355" hidden="1" customWidth="1"/>
    <col min="16108" max="16108" width="14" style="1355" customWidth="1"/>
    <col min="16109" max="16109" width="14.28515625" style="1355" bestFit="1" customWidth="1"/>
    <col min="16110" max="16110" width="0" style="1355" hidden="1" customWidth="1"/>
    <col min="16111" max="16111" width="15.5703125" style="1355" customWidth="1"/>
    <col min="16112" max="16112" width="44.5703125" style="1355" customWidth="1"/>
    <col min="16113" max="16113" width="14.28515625" style="1355" bestFit="1" customWidth="1"/>
    <col min="16114" max="16114" width="0" style="1355" hidden="1" customWidth="1"/>
    <col min="16115" max="16115" width="18.140625" style="1355" customWidth="1"/>
    <col min="16116" max="16116" width="0" style="1355" hidden="1" customWidth="1"/>
    <col min="16117" max="16117" width="14" style="1355" customWidth="1"/>
    <col min="16118" max="16118" width="0" style="1355" hidden="1" customWidth="1"/>
    <col min="16119" max="16119" width="20.85546875" style="1355" customWidth="1"/>
    <col min="16120" max="16120" width="0" style="1355" hidden="1" customWidth="1"/>
    <col min="16121" max="16121" width="13.28515625" style="1355" customWidth="1"/>
    <col min="16122" max="16122" width="0" style="1355" hidden="1" customWidth="1"/>
    <col min="16123" max="16123" width="15" style="1355" customWidth="1"/>
    <col min="16124" max="16124" width="0" style="1355" hidden="1" customWidth="1"/>
    <col min="16125" max="16125" width="13.28515625" style="1355" customWidth="1"/>
    <col min="16126" max="16126" width="0" style="1355" hidden="1" customWidth="1"/>
    <col min="16127" max="16127" width="20.140625" style="1355" customWidth="1"/>
    <col min="16128" max="16128" width="14.42578125" style="1355" bestFit="1" customWidth="1"/>
    <col min="16129" max="16129" width="14" style="1355" bestFit="1" customWidth="1"/>
    <col min="16130" max="16130" width="12.28515625" style="1355" bestFit="1" customWidth="1"/>
    <col min="16131" max="16155" width="9.140625" style="1355" customWidth="1"/>
    <col min="16156" max="16384" width="8.85546875" style="1355"/>
  </cols>
  <sheetData>
    <row r="1" spans="1:27" s="1315" customFormat="1" ht="19.899999999999999" hidden="1" customHeight="1">
      <c r="A1" s="1697"/>
      <c r="B1" s="1697"/>
      <c r="C1" s="1697"/>
      <c r="D1" s="1697"/>
      <c r="E1" s="1697"/>
      <c r="F1" s="1697"/>
      <c r="G1" s="1697"/>
      <c r="H1" s="1697"/>
      <c r="I1" s="1697"/>
      <c r="J1" s="1697"/>
      <c r="K1" s="1697"/>
      <c r="L1" s="1697"/>
      <c r="M1" s="1697"/>
      <c r="N1" s="1697"/>
      <c r="O1" s="1313"/>
      <c r="P1" s="1313"/>
      <c r="Q1" s="1313"/>
      <c r="R1" s="1313"/>
      <c r="S1" s="1313"/>
      <c r="T1" s="1313"/>
      <c r="U1" s="1313"/>
      <c r="V1" s="1313"/>
      <c r="W1" s="1313"/>
      <c r="X1" s="1313"/>
      <c r="Y1" s="1313"/>
      <c r="Z1" s="1313"/>
      <c r="AA1" s="1313"/>
    </row>
    <row r="2" spans="1:27" s="1315" customFormat="1" ht="88.9" customHeight="1">
      <c r="A2" s="1698" t="s">
        <v>962</v>
      </c>
      <c r="B2" s="1698"/>
      <c r="C2" s="1698"/>
      <c r="D2" s="1698"/>
      <c r="E2" s="1698"/>
      <c r="F2" s="1698"/>
      <c r="G2" s="1698"/>
      <c r="H2" s="1698"/>
      <c r="I2" s="1698"/>
      <c r="J2" s="1698"/>
      <c r="K2" s="1698"/>
      <c r="L2" s="1698"/>
      <c r="M2" s="1698"/>
      <c r="N2" s="1698"/>
      <c r="O2" s="1313"/>
      <c r="P2" s="1313"/>
      <c r="Q2" s="1313"/>
      <c r="R2" s="1313"/>
      <c r="S2" s="1313"/>
      <c r="T2" s="1313"/>
      <c r="U2" s="1313"/>
      <c r="V2" s="1313"/>
      <c r="W2" s="1313"/>
      <c r="X2" s="1313"/>
      <c r="Y2" s="1313"/>
      <c r="Z2" s="1313"/>
      <c r="AA2" s="1313"/>
    </row>
    <row r="3" spans="1:27" s="1315" customFormat="1" ht="47.45" hidden="1" customHeight="1">
      <c r="A3" s="1497"/>
      <c r="B3" s="1699" t="s">
        <v>774</v>
      </c>
      <c r="C3" s="1699"/>
      <c r="D3" s="1699"/>
      <c r="E3" s="1699"/>
      <c r="F3" s="1699"/>
      <c r="G3" s="1699"/>
      <c r="H3" s="1699"/>
      <c r="I3" s="1699"/>
      <c r="J3" s="1699"/>
      <c r="K3" s="1699"/>
      <c r="L3" s="1699"/>
      <c r="M3" s="1699"/>
      <c r="N3" s="1699"/>
      <c r="O3" s="1313"/>
      <c r="P3" s="1497"/>
      <c r="Q3" s="1313"/>
      <c r="R3" s="1313"/>
      <c r="S3" s="1313"/>
      <c r="T3" s="1313"/>
      <c r="U3" s="1313"/>
      <c r="V3" s="1313"/>
      <c r="W3" s="1313"/>
      <c r="X3" s="1313"/>
      <c r="Y3" s="1313"/>
      <c r="Z3" s="1313"/>
      <c r="AA3" s="1313"/>
    </row>
    <row r="4" spans="1:27" s="1315" customFormat="1" ht="15.6" hidden="1" customHeight="1">
      <c r="A4" s="1700"/>
      <c r="B4" s="1700"/>
      <c r="C4" s="1700"/>
      <c r="D4" s="1700"/>
      <c r="E4" s="1700"/>
      <c r="F4" s="1700"/>
      <c r="G4" s="1700"/>
      <c r="H4" s="1700"/>
      <c r="I4" s="1700"/>
      <c r="J4" s="1700"/>
      <c r="K4" s="1700"/>
      <c r="L4" s="1700"/>
      <c r="M4" s="1700"/>
      <c r="N4" s="1700"/>
      <c r="O4" s="1313"/>
      <c r="P4" s="1313"/>
      <c r="Q4" s="1313"/>
      <c r="R4" s="1313"/>
      <c r="S4" s="1313"/>
      <c r="T4" s="1313"/>
      <c r="U4" s="1313"/>
      <c r="V4" s="1313"/>
      <c r="W4" s="1313"/>
      <c r="X4" s="1313"/>
      <c r="Y4" s="1313"/>
      <c r="Z4" s="1313"/>
      <c r="AA4" s="1313"/>
    </row>
    <row r="5" spans="1:27" s="1353" customFormat="1" ht="9.6" customHeight="1" thickBot="1">
      <c r="A5" s="1498" t="s">
        <v>58</v>
      </c>
      <c r="B5" s="1499"/>
      <c r="C5" s="1500"/>
      <c r="D5" s="945"/>
      <c r="E5" s="945"/>
      <c r="F5" s="945"/>
      <c r="G5" s="362"/>
      <c r="H5" s="362"/>
      <c r="I5" s="362"/>
      <c r="J5" s="362"/>
      <c r="K5" s="362"/>
      <c r="L5" s="362"/>
      <c r="M5" s="362"/>
      <c r="N5" s="362"/>
      <c r="P5" s="1498"/>
    </row>
    <row r="6" spans="1:27" s="1507" customFormat="1" ht="112.15" customHeight="1" thickTop="1" thickBot="1">
      <c r="A6" s="1501"/>
      <c r="B6" s="1502"/>
      <c r="C6" s="1503"/>
      <c r="D6" s="1410" t="s">
        <v>995</v>
      </c>
      <c r="E6" s="1410" t="s">
        <v>419</v>
      </c>
      <c r="F6" s="1505" t="s">
        <v>925</v>
      </c>
      <c r="G6" s="1410" t="s">
        <v>718</v>
      </c>
      <c r="H6" s="1410" t="s">
        <v>412</v>
      </c>
      <c r="I6" s="1410" t="s">
        <v>781</v>
      </c>
      <c r="J6" s="1410" t="s">
        <v>411</v>
      </c>
      <c r="K6" s="1410" t="s">
        <v>416</v>
      </c>
      <c r="L6" s="1410" t="s">
        <v>866</v>
      </c>
      <c r="M6" s="1410" t="s">
        <v>154</v>
      </c>
      <c r="N6" s="1410" t="s">
        <v>422</v>
      </c>
      <c r="O6" s="1506"/>
      <c r="T6" s="1506"/>
      <c r="U6" s="1506"/>
      <c r="V6" s="1506"/>
      <c r="W6" s="1506"/>
      <c r="X6" s="1506"/>
      <c r="Y6" s="1506"/>
      <c r="Z6" s="1506"/>
      <c r="AA6" s="1506"/>
    </row>
    <row r="7" spans="1:27" ht="13.9" customHeight="1" thickTop="1">
      <c r="A7" s="1508"/>
      <c r="B7" s="1508"/>
      <c r="C7" s="1509"/>
      <c r="D7" s="374"/>
      <c r="E7" s="374"/>
      <c r="F7" s="1511"/>
      <c r="G7" s="374"/>
      <c r="H7" s="374"/>
      <c r="I7" s="374"/>
      <c r="J7" s="374"/>
      <c r="K7" s="374"/>
      <c r="L7" s="374"/>
      <c r="M7" s="374"/>
      <c r="N7" s="374"/>
    </row>
    <row r="8" spans="1:27" s="1577" customFormat="1" ht="22.9" customHeight="1">
      <c r="A8" s="1576" t="s">
        <v>423</v>
      </c>
      <c r="C8" s="1578"/>
      <c r="D8" s="1549"/>
      <c r="E8" s="1549" t="s">
        <v>58</v>
      </c>
      <c r="F8" s="1552"/>
      <c r="G8" s="1549"/>
      <c r="H8" s="1549"/>
      <c r="I8" s="1549"/>
      <c r="J8" s="1549"/>
      <c r="K8" s="1549"/>
      <c r="L8" s="1549"/>
      <c r="M8" s="1549"/>
      <c r="N8" s="1549"/>
      <c r="O8" s="1580"/>
      <c r="T8" s="1580"/>
      <c r="U8" s="1580"/>
      <c r="V8" s="1580"/>
      <c r="W8" s="1580"/>
      <c r="X8" s="1580"/>
      <c r="Y8" s="1580"/>
      <c r="Z8" s="1580"/>
      <c r="AA8" s="1580"/>
    </row>
    <row r="9" spans="1:27" s="1577" customFormat="1" ht="22.9" customHeight="1">
      <c r="A9" s="1577" t="s">
        <v>27</v>
      </c>
      <c r="C9" s="1576" t="s">
        <v>424</v>
      </c>
      <c r="D9" s="1554">
        <v>-829696</v>
      </c>
      <c r="E9" s="1554">
        <v>11349350</v>
      </c>
      <c r="F9" s="1554">
        <v>1095742</v>
      </c>
      <c r="G9" s="1554">
        <v>2061915</v>
      </c>
      <c r="H9" s="1554">
        <v>0</v>
      </c>
      <c r="I9" s="1554">
        <v>2475508</v>
      </c>
      <c r="J9" s="1554">
        <v>381511</v>
      </c>
      <c r="K9" s="1554">
        <v>0</v>
      </c>
      <c r="L9" s="1554">
        <v>8</v>
      </c>
      <c r="M9" s="1554">
        <v>71275</v>
      </c>
      <c r="N9" s="1180">
        <v>97768077</v>
      </c>
      <c r="O9" s="1580"/>
      <c r="T9" s="1580"/>
      <c r="U9" s="1580"/>
      <c r="V9" s="1580"/>
      <c r="W9" s="1580"/>
      <c r="X9" s="1580"/>
      <c r="Y9" s="1580"/>
      <c r="Z9" s="1580"/>
      <c r="AA9" s="1580"/>
    </row>
    <row r="10" spans="1:27" s="1577" customFormat="1" ht="22.9" customHeight="1">
      <c r="A10" s="1577" t="s">
        <v>782</v>
      </c>
      <c r="C10" s="1576"/>
      <c r="D10" s="1554">
        <v>0</v>
      </c>
      <c r="E10" s="1554">
        <v>0</v>
      </c>
      <c r="F10" s="1554">
        <v>0</v>
      </c>
      <c r="G10" s="1554">
        <v>0</v>
      </c>
      <c r="H10" s="1554">
        <v>0</v>
      </c>
      <c r="I10" s="1554">
        <v>0</v>
      </c>
      <c r="J10" s="1554">
        <v>0</v>
      </c>
      <c r="K10" s="1554">
        <v>0</v>
      </c>
      <c r="L10" s="1554">
        <v>0</v>
      </c>
      <c r="M10" s="1554">
        <v>0</v>
      </c>
      <c r="N10" s="1180">
        <v>4457240</v>
      </c>
      <c r="O10" s="1580"/>
      <c r="T10" s="1580"/>
      <c r="U10" s="1580"/>
      <c r="V10" s="1580"/>
      <c r="W10" s="1580"/>
      <c r="X10" s="1580"/>
      <c r="Y10" s="1580"/>
      <c r="Z10" s="1580"/>
      <c r="AA10" s="1580"/>
    </row>
    <row r="11" spans="1:27" s="1577" customFormat="1" ht="22.9" customHeight="1">
      <c r="A11" s="1577" t="s">
        <v>690</v>
      </c>
      <c r="C11" s="1576"/>
      <c r="D11" s="1554">
        <v>0</v>
      </c>
      <c r="E11" s="1554">
        <v>0</v>
      </c>
      <c r="F11" s="1554">
        <v>0</v>
      </c>
      <c r="G11" s="1554">
        <v>0</v>
      </c>
      <c r="H11" s="1554">
        <v>0</v>
      </c>
      <c r="I11" s="1554">
        <v>0</v>
      </c>
      <c r="J11" s="1554">
        <v>0</v>
      </c>
      <c r="K11" s="1554">
        <v>0</v>
      </c>
      <c r="L11" s="1554">
        <v>0</v>
      </c>
      <c r="M11" s="1554">
        <v>0</v>
      </c>
      <c r="N11" s="1180">
        <v>4000000</v>
      </c>
      <c r="O11" s="1580"/>
      <c r="T11" s="1580"/>
      <c r="U11" s="1580"/>
      <c r="V11" s="1580"/>
      <c r="W11" s="1580"/>
      <c r="X11" s="1580"/>
      <c r="Y11" s="1580"/>
      <c r="Z11" s="1580"/>
      <c r="AA11" s="1580"/>
    </row>
    <row r="12" spans="1:27" s="1577" customFormat="1" ht="22.9" customHeight="1">
      <c r="A12" s="1577" t="s">
        <v>830</v>
      </c>
      <c r="C12" s="1576"/>
      <c r="D12" s="1554">
        <v>0</v>
      </c>
      <c r="E12" s="1554">
        <v>0</v>
      </c>
      <c r="F12" s="1554">
        <v>0</v>
      </c>
      <c r="G12" s="1554">
        <v>0</v>
      </c>
      <c r="H12" s="1554">
        <v>0</v>
      </c>
      <c r="I12" s="1554">
        <v>0</v>
      </c>
      <c r="J12" s="1554">
        <v>0</v>
      </c>
      <c r="K12" s="1554">
        <v>0</v>
      </c>
      <c r="L12" s="1554">
        <v>0</v>
      </c>
      <c r="M12" s="1554">
        <v>0</v>
      </c>
      <c r="N12" s="1180">
        <v>13274563</v>
      </c>
      <c r="O12" s="1580"/>
      <c r="T12" s="1580"/>
      <c r="U12" s="1580"/>
      <c r="V12" s="1580"/>
      <c r="W12" s="1580"/>
      <c r="X12" s="1580"/>
      <c r="Y12" s="1580"/>
      <c r="Z12" s="1580"/>
      <c r="AA12" s="1580"/>
    </row>
    <row r="13" spans="1:27" s="1577" customFormat="1" ht="22.9" customHeight="1">
      <c r="A13" s="1577" t="s">
        <v>841</v>
      </c>
      <c r="C13" s="1576"/>
      <c r="D13" s="1554">
        <v>0</v>
      </c>
      <c r="E13" s="1554">
        <v>1082136</v>
      </c>
      <c r="F13" s="1554">
        <v>54588</v>
      </c>
      <c r="G13" s="1554">
        <v>0</v>
      </c>
      <c r="H13" s="1554">
        <v>583673</v>
      </c>
      <c r="I13" s="1554">
        <v>0</v>
      </c>
      <c r="J13" s="1554">
        <v>0</v>
      </c>
      <c r="K13" s="1554">
        <v>0</v>
      </c>
      <c r="L13" s="1554">
        <v>0</v>
      </c>
      <c r="M13" s="1554">
        <v>0</v>
      </c>
      <c r="N13" s="1180">
        <v>110354361</v>
      </c>
      <c r="O13" s="1581"/>
      <c r="T13" s="1580"/>
      <c r="U13" s="1580"/>
      <c r="V13" s="1580"/>
      <c r="W13" s="1580"/>
      <c r="X13" s="1580"/>
      <c r="Y13" s="1580"/>
      <c r="Z13" s="1580"/>
      <c r="AA13" s="1580"/>
    </row>
    <row r="14" spans="1:27" s="1576" customFormat="1" ht="22.9" customHeight="1">
      <c r="A14" s="1583" t="s">
        <v>688</v>
      </c>
      <c r="C14" s="1576" t="s">
        <v>58</v>
      </c>
      <c r="D14" s="1556">
        <v>-829696</v>
      </c>
      <c r="E14" s="1556">
        <v>12431486</v>
      </c>
      <c r="F14" s="1556">
        <v>1150330</v>
      </c>
      <c r="G14" s="1556">
        <v>2061915</v>
      </c>
      <c r="H14" s="1556">
        <v>583673</v>
      </c>
      <c r="I14" s="1556">
        <v>2475508</v>
      </c>
      <c r="J14" s="1556">
        <v>381511</v>
      </c>
      <c r="K14" s="1556">
        <v>0</v>
      </c>
      <c r="L14" s="1556">
        <v>8</v>
      </c>
      <c r="M14" s="1556">
        <v>71275</v>
      </c>
      <c r="N14" s="1556">
        <v>229854241</v>
      </c>
      <c r="O14" s="1584"/>
      <c r="T14" s="1584"/>
      <c r="U14" s="1584"/>
      <c r="V14" s="1584"/>
      <c r="W14" s="1584"/>
      <c r="X14" s="1584"/>
      <c r="Y14" s="1584"/>
      <c r="Z14" s="1584"/>
      <c r="AA14" s="1584"/>
    </row>
    <row r="15" spans="1:27" s="1577" customFormat="1" ht="22.9" customHeight="1">
      <c r="C15" s="1576"/>
      <c r="D15" s="1558"/>
      <c r="E15" s="1558"/>
      <c r="F15" s="1558"/>
      <c r="G15" s="1558"/>
      <c r="H15" s="1558"/>
      <c r="I15" s="1558"/>
      <c r="J15" s="1558"/>
      <c r="K15" s="1558"/>
      <c r="L15" s="1558"/>
      <c r="M15" s="1558"/>
      <c r="N15" s="1574"/>
      <c r="O15" s="1580"/>
      <c r="T15" s="1580"/>
      <c r="U15" s="1580"/>
      <c r="V15" s="1580"/>
      <c r="W15" s="1580"/>
      <c r="X15" s="1580"/>
      <c r="Y15" s="1580"/>
      <c r="Z15" s="1580"/>
      <c r="AA15" s="1580"/>
    </row>
    <row r="16" spans="1:27" s="1580" customFormat="1" ht="22.9" customHeight="1">
      <c r="A16" s="1584" t="s">
        <v>426</v>
      </c>
      <c r="C16" s="1584"/>
      <c r="D16" s="1558"/>
      <c r="E16" s="1558"/>
      <c r="F16" s="1558"/>
      <c r="G16" s="1558"/>
      <c r="H16" s="1558"/>
      <c r="I16" s="1558"/>
      <c r="J16" s="1558"/>
      <c r="K16" s="1558"/>
      <c r="L16" s="1558"/>
      <c r="M16" s="1558"/>
      <c r="N16" s="1574"/>
    </row>
    <row r="17" spans="1:14" s="1580" customFormat="1" ht="22.9" customHeight="1">
      <c r="A17" s="1586" t="s">
        <v>947</v>
      </c>
      <c r="B17" s="1587" t="s">
        <v>585</v>
      </c>
      <c r="C17" s="1584"/>
      <c r="D17" s="1554"/>
      <c r="E17" s="1554"/>
      <c r="F17" s="1554"/>
      <c r="G17" s="1554"/>
      <c r="H17" s="1554"/>
      <c r="I17" s="1554"/>
      <c r="J17" s="1554"/>
      <c r="K17" s="1554"/>
      <c r="L17" s="1554"/>
      <c r="M17" s="1554"/>
      <c r="N17" s="1180"/>
    </row>
    <row r="18" spans="1:14" s="1580" customFormat="1" ht="22.9" customHeight="1">
      <c r="A18" s="1580" t="s">
        <v>1017</v>
      </c>
      <c r="B18" s="1588">
        <v>4.1193</v>
      </c>
      <c r="C18" s="1584"/>
      <c r="D18" s="1554">
        <v>0</v>
      </c>
      <c r="E18" s="1554">
        <v>0</v>
      </c>
      <c r="F18" s="1554">
        <v>0</v>
      </c>
      <c r="G18" s="1558">
        <v>0</v>
      </c>
      <c r="H18" s="1558">
        <v>0</v>
      </c>
      <c r="I18" s="1558">
        <v>0</v>
      </c>
      <c r="J18" s="1558">
        <v>0</v>
      </c>
      <c r="K18" s="1558">
        <v>0</v>
      </c>
      <c r="L18" s="1558">
        <v>0</v>
      </c>
      <c r="M18" s="1558">
        <v>0</v>
      </c>
      <c r="N18" s="1180">
        <v>97569296</v>
      </c>
    </row>
    <row r="19" spans="1:14" s="1580" customFormat="1" ht="22.9" customHeight="1">
      <c r="A19" s="1580" t="s">
        <v>1018</v>
      </c>
      <c r="B19" s="1588">
        <v>0.20710000000000001</v>
      </c>
      <c r="C19" s="1584"/>
      <c r="D19" s="1554">
        <v>0</v>
      </c>
      <c r="E19" s="1554">
        <v>0</v>
      </c>
      <c r="F19" s="1554">
        <v>0</v>
      </c>
      <c r="G19" s="1558">
        <v>0</v>
      </c>
      <c r="H19" s="1558">
        <v>0</v>
      </c>
      <c r="I19" s="1558"/>
      <c r="J19" s="1558">
        <v>0</v>
      </c>
      <c r="K19" s="1558">
        <v>0</v>
      </c>
      <c r="L19" s="1558">
        <v>0</v>
      </c>
      <c r="M19" s="1558">
        <v>0</v>
      </c>
      <c r="N19" s="1180">
        <v>4851907</v>
      </c>
    </row>
    <row r="20" spans="1:14" s="1580" customFormat="1" ht="22.9" customHeight="1">
      <c r="A20" s="1580" t="s">
        <v>1019</v>
      </c>
      <c r="B20" s="1589">
        <v>1</v>
      </c>
      <c r="C20" s="1584"/>
      <c r="D20" s="1558">
        <v>0</v>
      </c>
      <c r="E20" s="1558">
        <v>0</v>
      </c>
      <c r="F20" s="1558">
        <v>0</v>
      </c>
      <c r="G20" s="1558">
        <v>0</v>
      </c>
      <c r="H20" s="1558">
        <v>0</v>
      </c>
      <c r="I20" s="1558">
        <v>0</v>
      </c>
      <c r="J20" s="1558">
        <v>0</v>
      </c>
      <c r="K20" s="1558">
        <v>0</v>
      </c>
      <c r="L20" s="1558">
        <v>0</v>
      </c>
      <c r="M20" s="1554">
        <v>74177</v>
      </c>
      <c r="N20" s="1180">
        <v>74177</v>
      </c>
    </row>
    <row r="21" spans="1:14" s="1580" customFormat="1" ht="22.9" customHeight="1">
      <c r="A21" s="1580" t="s">
        <v>580</v>
      </c>
      <c r="B21" s="1590"/>
      <c r="C21" s="1584"/>
      <c r="D21" s="1558">
        <v>0</v>
      </c>
      <c r="E21" s="1558">
        <v>0</v>
      </c>
      <c r="F21" s="1558">
        <v>0</v>
      </c>
      <c r="G21" s="1558">
        <v>0</v>
      </c>
      <c r="H21" s="1558">
        <v>0</v>
      </c>
      <c r="I21" s="1558">
        <v>0</v>
      </c>
      <c r="J21" s="1558">
        <v>0</v>
      </c>
      <c r="K21" s="1558">
        <v>0</v>
      </c>
      <c r="L21" s="1558">
        <v>0</v>
      </c>
      <c r="M21" s="1558">
        <v>0</v>
      </c>
      <c r="N21" s="1180">
        <v>4882276</v>
      </c>
    </row>
    <row r="22" spans="1:14" s="1580" customFormat="1" ht="22.9" customHeight="1">
      <c r="A22" s="1580" t="s">
        <v>579</v>
      </c>
      <c r="C22" s="1584"/>
      <c r="D22" s="1554">
        <v>0</v>
      </c>
      <c r="E22" s="1554">
        <v>0</v>
      </c>
      <c r="F22" s="1554">
        <v>0</v>
      </c>
      <c r="G22" s="1558">
        <v>0</v>
      </c>
      <c r="H22" s="1558">
        <v>0</v>
      </c>
      <c r="I22" s="1558">
        <v>0</v>
      </c>
      <c r="J22" s="1558">
        <v>0</v>
      </c>
      <c r="K22" s="1558">
        <v>0</v>
      </c>
      <c r="L22" s="1558">
        <v>0</v>
      </c>
      <c r="M22" s="1558">
        <v>0</v>
      </c>
      <c r="N22" s="1180">
        <v>15228206</v>
      </c>
    </row>
    <row r="23" spans="1:14" s="1580" customFormat="1" ht="22.9" customHeight="1">
      <c r="A23" s="1580" t="s">
        <v>578</v>
      </c>
      <c r="C23" s="1584"/>
      <c r="D23" s="1554">
        <v>0</v>
      </c>
      <c r="E23" s="1554">
        <v>0</v>
      </c>
      <c r="F23" s="1554">
        <v>0</v>
      </c>
      <c r="G23" s="1558">
        <v>0</v>
      </c>
      <c r="H23" s="1558">
        <v>0</v>
      </c>
      <c r="I23" s="1558">
        <v>0</v>
      </c>
      <c r="J23" s="1558">
        <v>0</v>
      </c>
      <c r="K23" s="1558">
        <v>0</v>
      </c>
      <c r="L23" s="1558">
        <v>0</v>
      </c>
      <c r="M23" s="1558">
        <v>0</v>
      </c>
      <c r="N23" s="1180">
        <v>36592965</v>
      </c>
    </row>
    <row r="24" spans="1:14" s="1580" customFormat="1" ht="22.9" customHeight="1">
      <c r="A24" s="1580" t="s">
        <v>435</v>
      </c>
      <c r="C24" s="1584"/>
      <c r="D24" s="1554">
        <v>0</v>
      </c>
      <c r="E24" s="1554">
        <v>0</v>
      </c>
      <c r="F24" s="1554">
        <v>0</v>
      </c>
      <c r="G24" s="1558">
        <v>0</v>
      </c>
      <c r="H24" s="1558">
        <v>0</v>
      </c>
      <c r="I24" s="1558">
        <v>0</v>
      </c>
      <c r="J24" s="1558">
        <v>0</v>
      </c>
      <c r="K24" s="1558">
        <v>0</v>
      </c>
      <c r="L24" s="1558">
        <v>0</v>
      </c>
      <c r="M24" s="1558">
        <v>0</v>
      </c>
      <c r="N24" s="1180">
        <v>18239090</v>
      </c>
    </row>
    <row r="25" spans="1:14" s="1580" customFormat="1" ht="22.9" customHeight="1">
      <c r="A25" s="1580" t="s">
        <v>408</v>
      </c>
      <c r="C25" s="1584"/>
      <c r="D25" s="1554">
        <v>0</v>
      </c>
      <c r="E25" s="1554">
        <v>0</v>
      </c>
      <c r="F25" s="1554">
        <v>0</v>
      </c>
      <c r="G25" s="1554">
        <v>7495409</v>
      </c>
      <c r="H25" s="1554">
        <v>10469854</v>
      </c>
      <c r="I25" s="1554">
        <v>0</v>
      </c>
      <c r="J25" s="1558">
        <v>0</v>
      </c>
      <c r="K25" s="1558">
        <v>0</v>
      </c>
      <c r="L25" s="1554">
        <v>0</v>
      </c>
      <c r="M25" s="1558">
        <v>0</v>
      </c>
      <c r="N25" s="1180">
        <v>35714954</v>
      </c>
    </row>
    <row r="26" spans="1:14" s="1580" customFormat="1" ht="22.9" customHeight="1">
      <c r="A26" s="1580" t="s">
        <v>114</v>
      </c>
      <c r="C26" s="1584"/>
      <c r="D26" s="1554">
        <v>18543600</v>
      </c>
      <c r="E26" s="1554">
        <v>5886528</v>
      </c>
      <c r="F26" s="1554">
        <v>15920473</v>
      </c>
      <c r="G26" s="1558">
        <v>0</v>
      </c>
      <c r="H26" s="1558">
        <v>0</v>
      </c>
      <c r="I26" s="1558">
        <v>0</v>
      </c>
      <c r="J26" s="1558">
        <v>0</v>
      </c>
      <c r="K26" s="1554">
        <v>899584</v>
      </c>
      <c r="L26" s="1558">
        <v>0</v>
      </c>
      <c r="M26" s="1558">
        <v>0</v>
      </c>
      <c r="N26" s="1180">
        <v>250685808</v>
      </c>
    </row>
    <row r="27" spans="1:14" s="1580" customFormat="1" ht="22.9" customHeight="1">
      <c r="A27" s="1580" t="s">
        <v>436</v>
      </c>
      <c r="C27" s="1584"/>
      <c r="D27" s="1554">
        <v>0</v>
      </c>
      <c r="E27" s="1554">
        <v>0</v>
      </c>
      <c r="F27" s="1554"/>
      <c r="G27" s="1558">
        <v>0</v>
      </c>
      <c r="H27" s="1558">
        <v>0</v>
      </c>
      <c r="I27" s="1558">
        <v>300500</v>
      </c>
      <c r="J27" s="1558">
        <v>0</v>
      </c>
      <c r="K27" s="1558">
        <v>0</v>
      </c>
      <c r="L27" s="1558">
        <v>800000</v>
      </c>
      <c r="M27" s="1558">
        <v>0</v>
      </c>
      <c r="N27" s="1180">
        <v>8707418</v>
      </c>
    </row>
    <row r="28" spans="1:14" s="1580" customFormat="1" ht="22.9" customHeight="1">
      <c r="A28" s="1580" t="s">
        <v>437</v>
      </c>
      <c r="C28" s="1584"/>
      <c r="D28" s="1554">
        <v>60000</v>
      </c>
      <c r="E28" s="1554">
        <v>62410</v>
      </c>
      <c r="F28" s="1554">
        <v>179921</v>
      </c>
      <c r="G28" s="1554">
        <v>39842</v>
      </c>
      <c r="H28" s="1558">
        <v>0</v>
      </c>
      <c r="I28" s="1558">
        <v>12000</v>
      </c>
      <c r="J28" s="1554">
        <v>641730</v>
      </c>
      <c r="K28" s="1554">
        <v>0</v>
      </c>
      <c r="L28" s="1558">
        <v>0</v>
      </c>
      <c r="M28" s="1554">
        <v>210</v>
      </c>
      <c r="N28" s="1180">
        <v>90805957</v>
      </c>
    </row>
    <row r="29" spans="1:14" s="1584" customFormat="1" ht="22.9" customHeight="1">
      <c r="A29" s="1591" t="s">
        <v>9</v>
      </c>
      <c r="C29" s="1584" t="s">
        <v>58</v>
      </c>
      <c r="D29" s="1566">
        <v>18603600</v>
      </c>
      <c r="E29" s="1566">
        <v>5948938</v>
      </c>
      <c r="F29" s="1566">
        <v>16100394</v>
      </c>
      <c r="G29" s="1565">
        <v>7535251</v>
      </c>
      <c r="H29" s="1565">
        <v>10469854</v>
      </c>
      <c r="I29" s="1565">
        <v>312500</v>
      </c>
      <c r="J29" s="1565">
        <v>641730</v>
      </c>
      <c r="K29" s="1566">
        <v>899584</v>
      </c>
      <c r="L29" s="1565">
        <v>800000</v>
      </c>
      <c r="M29" s="1565">
        <v>74387</v>
      </c>
      <c r="N29" s="1566">
        <v>563352054</v>
      </c>
    </row>
    <row r="30" spans="1:14" s="1580" customFormat="1" ht="22.9" customHeight="1">
      <c r="C30" s="1584"/>
      <c r="D30" s="1554"/>
      <c r="E30" s="1554"/>
      <c r="F30" s="1554"/>
      <c r="G30" s="1554"/>
      <c r="H30" s="1554"/>
      <c r="I30" s="1554"/>
      <c r="J30" s="1554"/>
      <c r="K30" s="1554"/>
      <c r="L30" s="1554"/>
      <c r="M30" s="1554"/>
      <c r="N30" s="1554"/>
    </row>
    <row r="31" spans="1:14" s="1580" customFormat="1" ht="22.9" customHeight="1">
      <c r="A31" s="1591" t="s">
        <v>941</v>
      </c>
      <c r="C31" s="1584" t="s">
        <v>58</v>
      </c>
      <c r="D31" s="1567">
        <v>0</v>
      </c>
      <c r="E31" s="1567">
        <v>0</v>
      </c>
      <c r="F31" s="1567">
        <v>0</v>
      </c>
      <c r="G31" s="1567">
        <v>4058400</v>
      </c>
      <c r="H31" s="1567">
        <v>0</v>
      </c>
      <c r="I31" s="1567"/>
      <c r="J31" s="1567">
        <v>0</v>
      </c>
      <c r="K31" s="1567">
        <v>0</v>
      </c>
      <c r="L31" s="1567">
        <v>0</v>
      </c>
      <c r="M31" s="1567">
        <v>0</v>
      </c>
      <c r="N31" s="1575">
        <v>36966437</v>
      </c>
    </row>
    <row r="32" spans="1:14" s="1580" customFormat="1" ht="22.9" customHeight="1">
      <c r="C32" s="1584"/>
      <c r="D32" s="1554"/>
      <c r="E32" s="1554"/>
      <c r="F32" s="1554"/>
      <c r="G32" s="1554"/>
      <c r="H32" s="1554"/>
      <c r="I32" s="1554"/>
      <c r="J32" s="1554"/>
      <c r="K32" s="1554"/>
      <c r="L32" s="1554"/>
      <c r="M32" s="1554"/>
      <c r="N32" s="1180"/>
    </row>
    <row r="33" spans="1:27" s="1580" customFormat="1" ht="22.9" customHeight="1">
      <c r="A33" s="1591" t="s">
        <v>949</v>
      </c>
      <c r="C33" s="1584" t="s">
        <v>58</v>
      </c>
      <c r="D33" s="1567">
        <v>2104890</v>
      </c>
      <c r="E33" s="1567">
        <v>0</v>
      </c>
      <c r="F33" s="1567">
        <v>0</v>
      </c>
      <c r="G33" s="1567">
        <v>0</v>
      </c>
      <c r="H33" s="1567">
        <v>0</v>
      </c>
      <c r="I33" s="1567">
        <v>0</v>
      </c>
      <c r="J33" s="1567">
        <v>0</v>
      </c>
      <c r="K33" s="1567">
        <v>0</v>
      </c>
      <c r="L33" s="1567">
        <v>0</v>
      </c>
      <c r="M33" s="1567">
        <v>0</v>
      </c>
      <c r="N33" s="1575">
        <v>2104890</v>
      </c>
    </row>
    <row r="34" spans="1:27" s="1580" customFormat="1" ht="22.9" customHeight="1">
      <c r="C34" s="1584"/>
      <c r="D34" s="1554"/>
      <c r="E34" s="1554"/>
      <c r="F34" s="1554"/>
      <c r="G34" s="1554"/>
      <c r="H34" s="1554"/>
      <c r="I34" s="1554"/>
      <c r="J34" s="1554"/>
      <c r="K34" s="1554"/>
      <c r="L34" s="1554"/>
      <c r="M34" s="1554"/>
      <c r="N34" s="1180"/>
    </row>
    <row r="35" spans="1:27" s="1580" customFormat="1" ht="22.9" customHeight="1">
      <c r="A35" s="1591" t="s">
        <v>940</v>
      </c>
      <c r="C35" s="1584"/>
      <c r="D35" s="1567">
        <v>20708490</v>
      </c>
      <c r="E35" s="1567">
        <v>5948938</v>
      </c>
      <c r="F35" s="1567">
        <v>16100394</v>
      </c>
      <c r="G35" s="1567">
        <v>11593651</v>
      </c>
      <c r="H35" s="1567">
        <v>10469854</v>
      </c>
      <c r="I35" s="1567">
        <v>312500</v>
      </c>
      <c r="J35" s="1567">
        <v>641730</v>
      </c>
      <c r="K35" s="1567">
        <v>899584</v>
      </c>
      <c r="L35" s="1567">
        <v>800000</v>
      </c>
      <c r="M35" s="1567">
        <v>74387</v>
      </c>
      <c r="N35" s="1567">
        <v>602423381</v>
      </c>
    </row>
    <row r="36" spans="1:27" s="1580" customFormat="1" ht="22.9" customHeight="1">
      <c r="C36" s="1584"/>
      <c r="D36" s="1554"/>
      <c r="E36" s="1554"/>
      <c r="F36" s="1554"/>
      <c r="G36" s="1554"/>
      <c r="H36" s="1554"/>
      <c r="I36" s="1554"/>
      <c r="J36" s="1554"/>
      <c r="K36" s="1554"/>
      <c r="L36" s="1554"/>
      <c r="M36" s="1554"/>
      <c r="N36" s="1180"/>
    </row>
    <row r="37" spans="1:27" s="1584" customFormat="1" ht="22.9" customHeight="1" thickBot="1">
      <c r="A37" s="1592" t="s">
        <v>946</v>
      </c>
      <c r="B37" s="1592"/>
      <c r="C37" s="1584" t="s">
        <v>424</v>
      </c>
      <c r="D37" s="1568">
        <v>19878794</v>
      </c>
      <c r="E37" s="1568">
        <v>18380424</v>
      </c>
      <c r="F37" s="1568">
        <v>17250724</v>
      </c>
      <c r="G37" s="1568">
        <v>13655566</v>
      </c>
      <c r="H37" s="1568">
        <v>11053527</v>
      </c>
      <c r="I37" s="1568">
        <v>2788008</v>
      </c>
      <c r="J37" s="1568">
        <v>1023241</v>
      </c>
      <c r="K37" s="1568">
        <v>899584</v>
      </c>
      <c r="L37" s="1568">
        <v>800008</v>
      </c>
      <c r="M37" s="1568">
        <v>145662</v>
      </c>
      <c r="N37" s="1568">
        <v>832277622</v>
      </c>
    </row>
    <row r="38" spans="1:27" s="1580" customFormat="1" ht="22.9" customHeight="1" thickTop="1">
      <c r="C38" s="1584"/>
      <c r="D38" s="1554"/>
      <c r="E38" s="1554"/>
      <c r="F38" s="1554"/>
      <c r="G38" s="1554"/>
      <c r="H38" s="1554"/>
      <c r="I38" s="1554"/>
      <c r="J38" s="1554"/>
      <c r="K38" s="1554"/>
      <c r="L38" s="1554"/>
      <c r="M38" s="1554"/>
      <c r="N38" s="1180"/>
    </row>
    <row r="39" spans="1:27" s="1580" customFormat="1" ht="22.9" customHeight="1">
      <c r="A39" s="1584"/>
      <c r="C39" s="1584"/>
      <c r="D39" s="1554"/>
      <c r="E39" s="1554"/>
      <c r="F39" s="1554"/>
      <c r="G39" s="1554"/>
      <c r="H39" s="1554"/>
      <c r="I39" s="1554"/>
      <c r="J39" s="1554"/>
      <c r="K39" s="1554"/>
      <c r="L39" s="1554"/>
      <c r="M39" s="1554"/>
      <c r="N39" s="1180"/>
      <c r="T39" s="1584"/>
      <c r="U39" s="1584"/>
    </row>
    <row r="40" spans="1:27" s="1580" customFormat="1" ht="22.9" customHeight="1">
      <c r="C40" s="1584"/>
      <c r="D40" s="1554"/>
      <c r="E40" s="1554"/>
      <c r="F40" s="1554"/>
      <c r="G40" s="1554"/>
      <c r="H40" s="1554"/>
      <c r="I40" s="1554"/>
      <c r="J40" s="1554"/>
      <c r="K40" s="1554"/>
      <c r="L40" s="1554"/>
      <c r="M40" s="1554"/>
      <c r="N40" s="1180"/>
    </row>
    <row r="41" spans="1:27" s="1580" customFormat="1" ht="22.9" customHeight="1">
      <c r="A41" s="1584" t="s">
        <v>811</v>
      </c>
      <c r="C41" s="1584"/>
      <c r="D41" s="1554"/>
      <c r="E41" s="1554"/>
      <c r="F41" s="1554"/>
      <c r="G41" s="1554"/>
      <c r="H41" s="1554"/>
      <c r="I41" s="1554"/>
      <c r="J41" s="1554"/>
      <c r="K41" s="1554"/>
      <c r="L41" s="1554"/>
      <c r="M41" s="1554"/>
      <c r="N41" s="1180"/>
    </row>
    <row r="42" spans="1:27" s="1580" customFormat="1" ht="22.9" customHeight="1">
      <c r="A42" s="1580" t="s">
        <v>442</v>
      </c>
      <c r="C42" s="1584" t="s">
        <v>424</v>
      </c>
      <c r="D42" s="1554">
        <v>0</v>
      </c>
      <c r="E42" s="1554">
        <v>0</v>
      </c>
      <c r="F42" s="1554">
        <v>0</v>
      </c>
      <c r="G42" s="1554">
        <v>0</v>
      </c>
      <c r="H42" s="1554">
        <v>0</v>
      </c>
      <c r="I42" s="1554">
        <v>0</v>
      </c>
      <c r="J42" s="1554">
        <v>0</v>
      </c>
      <c r="K42" s="1554">
        <v>0</v>
      </c>
      <c r="L42" s="1554">
        <v>0</v>
      </c>
      <c r="M42" s="1554">
        <v>0</v>
      </c>
      <c r="N42" s="1180">
        <v>3427604</v>
      </c>
    </row>
    <row r="43" spans="1:27" s="1577" customFormat="1" ht="22.9" customHeight="1">
      <c r="A43" s="1577" t="s">
        <v>443</v>
      </c>
      <c r="C43" s="1576"/>
      <c r="D43" s="1554">
        <v>0</v>
      </c>
      <c r="E43" s="1554">
        <v>0</v>
      </c>
      <c r="F43" s="1554">
        <v>0</v>
      </c>
      <c r="G43" s="1554">
        <v>0</v>
      </c>
      <c r="H43" s="1554">
        <v>0</v>
      </c>
      <c r="I43" s="1554">
        <v>0</v>
      </c>
      <c r="J43" s="1554">
        <v>0</v>
      </c>
      <c r="K43" s="1554">
        <v>0</v>
      </c>
      <c r="L43" s="1554">
        <v>0</v>
      </c>
      <c r="M43" s="1554">
        <v>0</v>
      </c>
      <c r="N43" s="1180">
        <v>841791</v>
      </c>
      <c r="O43" s="1580"/>
      <c r="T43" s="1580"/>
      <c r="U43" s="1580"/>
      <c r="V43" s="1580"/>
      <c r="W43" s="1580"/>
      <c r="X43" s="1580"/>
      <c r="Y43" s="1580"/>
      <c r="Z43" s="1580"/>
      <c r="AA43" s="1580"/>
    </row>
    <row r="44" spans="1:27" s="1577" customFormat="1" ht="22.9" customHeight="1">
      <c r="A44" s="1577" t="s">
        <v>444</v>
      </c>
      <c r="C44" s="1576"/>
      <c r="D44" s="1554">
        <v>0</v>
      </c>
      <c r="E44" s="1554">
        <v>0</v>
      </c>
      <c r="F44" s="1554">
        <v>0</v>
      </c>
      <c r="G44" s="1554">
        <v>0</v>
      </c>
      <c r="H44" s="1554">
        <v>0</v>
      </c>
      <c r="I44" s="1554">
        <v>0</v>
      </c>
      <c r="J44" s="1554">
        <v>0</v>
      </c>
      <c r="K44" s="1554">
        <v>0</v>
      </c>
      <c r="L44" s="1554">
        <v>0</v>
      </c>
      <c r="M44" s="1554">
        <v>0</v>
      </c>
      <c r="N44" s="1180">
        <v>897147</v>
      </c>
      <c r="O44" s="1580"/>
      <c r="T44" s="1580"/>
      <c r="U44" s="1580"/>
      <c r="V44" s="1580"/>
      <c r="W44" s="1580"/>
      <c r="X44" s="1580"/>
      <c r="Y44" s="1580"/>
      <c r="Z44" s="1580"/>
      <c r="AA44" s="1580"/>
    </row>
    <row r="45" spans="1:27" s="1577" customFormat="1" ht="22.9" customHeight="1">
      <c r="A45" s="1577" t="s">
        <v>445</v>
      </c>
      <c r="C45" s="1576"/>
      <c r="D45" s="1554">
        <v>0</v>
      </c>
      <c r="E45" s="1554">
        <v>0</v>
      </c>
      <c r="F45" s="1554">
        <v>0</v>
      </c>
      <c r="G45" s="1554">
        <v>0</v>
      </c>
      <c r="H45" s="1554">
        <v>0</v>
      </c>
      <c r="I45" s="1554">
        <v>0</v>
      </c>
      <c r="J45" s="1554">
        <v>0</v>
      </c>
      <c r="K45" s="1554">
        <v>0</v>
      </c>
      <c r="L45" s="1554">
        <v>0</v>
      </c>
      <c r="M45" s="1554">
        <v>0</v>
      </c>
      <c r="N45" s="1180">
        <v>1097238</v>
      </c>
      <c r="O45" s="1580"/>
      <c r="T45" s="1580"/>
      <c r="U45" s="1580"/>
      <c r="V45" s="1580"/>
      <c r="W45" s="1580"/>
      <c r="X45" s="1580"/>
      <c r="Y45" s="1580"/>
      <c r="Z45" s="1580"/>
      <c r="AA45" s="1580"/>
    </row>
    <row r="46" spans="1:27" s="1577" customFormat="1" ht="22.9" customHeight="1">
      <c r="A46" s="1577" t="s">
        <v>446</v>
      </c>
      <c r="C46" s="1576"/>
      <c r="D46" s="1554">
        <v>0</v>
      </c>
      <c r="E46" s="1554">
        <v>0</v>
      </c>
      <c r="F46" s="1554">
        <v>0</v>
      </c>
      <c r="G46" s="1554">
        <v>0</v>
      </c>
      <c r="H46" s="1554">
        <v>0</v>
      </c>
      <c r="I46" s="1554">
        <v>0</v>
      </c>
      <c r="J46" s="1554">
        <v>0</v>
      </c>
      <c r="K46" s="1554">
        <v>0</v>
      </c>
      <c r="L46" s="1554">
        <v>0</v>
      </c>
      <c r="M46" s="1554">
        <v>0</v>
      </c>
      <c r="N46" s="1180">
        <v>4623459</v>
      </c>
      <c r="O46" s="1580"/>
      <c r="T46" s="1580"/>
      <c r="U46" s="1580"/>
      <c r="V46" s="1580"/>
      <c r="W46" s="1580"/>
      <c r="X46" s="1580"/>
      <c r="Y46" s="1580"/>
      <c r="Z46" s="1580"/>
      <c r="AA46" s="1580"/>
    </row>
    <row r="47" spans="1:27" s="1577" customFormat="1" ht="22.9" customHeight="1">
      <c r="A47" s="1577" t="s">
        <v>448</v>
      </c>
      <c r="C47" s="1576"/>
      <c r="D47" s="1554">
        <v>0</v>
      </c>
      <c r="E47" s="1554">
        <v>0</v>
      </c>
      <c r="F47" s="1554">
        <v>0</v>
      </c>
      <c r="G47" s="1554">
        <v>0</v>
      </c>
      <c r="H47" s="1554">
        <v>0</v>
      </c>
      <c r="I47" s="1554">
        <v>0</v>
      </c>
      <c r="J47" s="1554">
        <v>0</v>
      </c>
      <c r="K47" s="1554">
        <v>0</v>
      </c>
      <c r="L47" s="1554">
        <v>0</v>
      </c>
      <c r="M47" s="1554">
        <v>0</v>
      </c>
      <c r="N47" s="1180">
        <v>6885623</v>
      </c>
      <c r="O47" s="1580"/>
      <c r="T47" s="1580"/>
      <c r="U47" s="1580"/>
      <c r="V47" s="1580"/>
      <c r="W47" s="1580"/>
      <c r="X47" s="1580"/>
      <c r="Y47" s="1580"/>
      <c r="Z47" s="1580"/>
      <c r="AA47" s="1580"/>
    </row>
    <row r="48" spans="1:27" s="1577" customFormat="1" ht="22.9" customHeight="1">
      <c r="A48" s="1577" t="s">
        <v>683</v>
      </c>
      <c r="C48" s="1576"/>
      <c r="D48" s="1554">
        <v>0</v>
      </c>
      <c r="E48" s="1554">
        <v>0</v>
      </c>
      <c r="F48" s="1554">
        <v>0</v>
      </c>
      <c r="G48" s="1554">
        <v>0</v>
      </c>
      <c r="H48" s="1554">
        <v>0</v>
      </c>
      <c r="I48" s="1554">
        <v>0</v>
      </c>
      <c r="J48" s="1554">
        <v>0</v>
      </c>
      <c r="K48" s="1554">
        <v>0</v>
      </c>
      <c r="L48" s="1554">
        <v>0</v>
      </c>
      <c r="M48" s="1554">
        <v>0</v>
      </c>
      <c r="N48" s="1180">
        <v>63777748</v>
      </c>
      <c r="O48" s="1580"/>
      <c r="T48" s="1580"/>
      <c r="U48" s="1580"/>
      <c r="V48" s="1580"/>
      <c r="W48" s="1580"/>
      <c r="X48" s="1580"/>
      <c r="Y48" s="1580"/>
      <c r="Z48" s="1580"/>
      <c r="AA48" s="1580"/>
    </row>
    <row r="49" spans="1:27" s="1577" customFormat="1" ht="22.9" customHeight="1">
      <c r="A49" s="1577" t="s">
        <v>450</v>
      </c>
      <c r="C49" s="1576"/>
      <c r="D49" s="1554">
        <v>19876500</v>
      </c>
      <c r="E49" s="1554">
        <v>0</v>
      </c>
      <c r="F49" s="1554">
        <v>0</v>
      </c>
      <c r="G49" s="1554">
        <v>0</v>
      </c>
      <c r="H49" s="1554">
        <v>0</v>
      </c>
      <c r="I49" s="1554">
        <v>0</v>
      </c>
      <c r="J49" s="1554">
        <v>0</v>
      </c>
      <c r="K49" s="1554">
        <v>0</v>
      </c>
      <c r="L49" s="1554">
        <v>0</v>
      </c>
      <c r="M49" s="1554">
        <v>0</v>
      </c>
      <c r="N49" s="1180">
        <v>43680481</v>
      </c>
      <c r="O49" s="1580"/>
      <c r="T49" s="1580"/>
      <c r="U49" s="1580"/>
      <c r="V49" s="1580"/>
      <c r="W49" s="1580"/>
      <c r="X49" s="1580"/>
      <c r="Y49" s="1580"/>
      <c r="Z49" s="1580"/>
      <c r="AA49" s="1580"/>
    </row>
    <row r="50" spans="1:27" s="1577" customFormat="1" ht="22.9" customHeight="1">
      <c r="A50" s="1577" t="s">
        <v>483</v>
      </c>
      <c r="C50" s="1576"/>
      <c r="D50" s="1554">
        <v>0</v>
      </c>
      <c r="E50" s="1554">
        <v>0</v>
      </c>
      <c r="F50" s="1554">
        <v>13923024</v>
      </c>
      <c r="G50" s="1554">
        <v>0</v>
      </c>
      <c r="H50" s="1554">
        <v>0</v>
      </c>
      <c r="I50" s="1554">
        <v>0</v>
      </c>
      <c r="J50" s="1554">
        <v>0</v>
      </c>
      <c r="K50" s="1554">
        <v>0</v>
      </c>
      <c r="L50" s="1554">
        <v>0</v>
      </c>
      <c r="M50" s="1554">
        <v>0</v>
      </c>
      <c r="N50" s="1180">
        <v>13923024</v>
      </c>
      <c r="O50" s="1580"/>
      <c r="T50" s="1580"/>
      <c r="U50" s="1580"/>
      <c r="V50" s="1580"/>
      <c r="W50" s="1580"/>
      <c r="X50" s="1580"/>
      <c r="Y50" s="1580"/>
      <c r="Z50" s="1580"/>
      <c r="AA50" s="1580"/>
    </row>
    <row r="51" spans="1:27" s="1577" customFormat="1" ht="22.9" customHeight="1">
      <c r="A51" s="1577" t="s">
        <v>454</v>
      </c>
      <c r="C51" s="1576"/>
      <c r="D51" s="1554">
        <v>0</v>
      </c>
      <c r="E51" s="1554">
        <v>0</v>
      </c>
      <c r="F51" s="1554">
        <v>0</v>
      </c>
      <c r="G51" s="1554">
        <v>0</v>
      </c>
      <c r="H51" s="1554">
        <v>0</v>
      </c>
      <c r="I51" s="1554">
        <v>0</v>
      </c>
      <c r="J51" s="1554">
        <v>0</v>
      </c>
      <c r="K51" s="1554">
        <v>0</v>
      </c>
      <c r="L51" s="1554">
        <v>0</v>
      </c>
      <c r="M51" s="1554">
        <v>0</v>
      </c>
      <c r="N51" s="1180">
        <v>50321873</v>
      </c>
      <c r="O51" s="1580"/>
      <c r="T51" s="1580"/>
      <c r="U51" s="1580"/>
      <c r="V51" s="1580"/>
      <c r="W51" s="1580"/>
      <c r="X51" s="1580"/>
      <c r="Y51" s="1580"/>
      <c r="Z51" s="1580"/>
      <c r="AA51" s="1580"/>
    </row>
    <row r="52" spans="1:27" s="1577" customFormat="1" ht="22.9" customHeight="1">
      <c r="A52" s="1577" t="s">
        <v>456</v>
      </c>
      <c r="C52" s="1576"/>
      <c r="D52" s="1554">
        <v>0</v>
      </c>
      <c r="E52" s="1554">
        <v>0</v>
      </c>
      <c r="F52" s="1554">
        <v>0</v>
      </c>
      <c r="G52" s="1554">
        <v>0</v>
      </c>
      <c r="H52" s="1554">
        <v>0</v>
      </c>
      <c r="I52" s="1554">
        <v>2695077</v>
      </c>
      <c r="J52" s="1554">
        <v>0</v>
      </c>
      <c r="K52" s="1554">
        <v>0</v>
      </c>
      <c r="L52" s="1554">
        <v>800000</v>
      </c>
      <c r="M52" s="1554">
        <v>0</v>
      </c>
      <c r="N52" s="1180">
        <v>97484850</v>
      </c>
      <c r="O52" s="1580"/>
      <c r="T52" s="1580"/>
      <c r="U52" s="1580"/>
      <c r="V52" s="1580"/>
      <c r="W52" s="1580"/>
      <c r="X52" s="1580"/>
      <c r="Y52" s="1580"/>
      <c r="Z52" s="1580"/>
      <c r="AA52" s="1580"/>
    </row>
    <row r="53" spans="1:27" s="1577" customFormat="1" ht="22.9" customHeight="1">
      <c r="A53" s="1577" t="s">
        <v>459</v>
      </c>
      <c r="C53" s="1576"/>
      <c r="D53" s="1554">
        <v>0</v>
      </c>
      <c r="E53" s="1554">
        <v>6038731</v>
      </c>
      <c r="F53" s="1554">
        <v>0</v>
      </c>
      <c r="G53" s="1554">
        <v>0</v>
      </c>
      <c r="H53" s="1554">
        <v>0</v>
      </c>
      <c r="I53" s="1554">
        <v>0</v>
      </c>
      <c r="J53" s="1554">
        <v>0</v>
      </c>
      <c r="K53" s="1554">
        <v>0</v>
      </c>
      <c r="L53" s="1554">
        <v>0</v>
      </c>
      <c r="M53" s="1554">
        <v>0</v>
      </c>
      <c r="N53" s="1180">
        <v>121650526</v>
      </c>
      <c r="O53" s="1580"/>
      <c r="T53" s="1580"/>
      <c r="U53" s="1580"/>
      <c r="V53" s="1580"/>
      <c r="W53" s="1580"/>
      <c r="X53" s="1580"/>
      <c r="Y53" s="1580"/>
      <c r="Z53" s="1580"/>
      <c r="AA53" s="1580"/>
    </row>
    <row r="54" spans="1:27" s="1577" customFormat="1" ht="22.9" customHeight="1">
      <c r="A54" s="1577" t="s">
        <v>570</v>
      </c>
      <c r="C54" s="1576"/>
      <c r="D54" s="1554">
        <v>0</v>
      </c>
      <c r="E54" s="1554">
        <v>0</v>
      </c>
      <c r="F54" s="1554">
        <v>0</v>
      </c>
      <c r="G54" s="1554">
        <v>3385609</v>
      </c>
      <c r="H54" s="1558">
        <v>10045754</v>
      </c>
      <c r="I54" s="1558">
        <v>0</v>
      </c>
      <c r="J54" s="1554">
        <v>674056</v>
      </c>
      <c r="K54" s="1554">
        <v>0</v>
      </c>
      <c r="L54" s="1558">
        <v>0</v>
      </c>
      <c r="M54" s="1558">
        <v>0</v>
      </c>
      <c r="N54" s="1180">
        <v>32450691</v>
      </c>
      <c r="O54" s="1581"/>
      <c r="T54" s="1580"/>
      <c r="U54" s="1580"/>
      <c r="V54" s="1580"/>
      <c r="W54" s="1580"/>
      <c r="X54" s="1580"/>
      <c r="Y54" s="1580"/>
      <c r="Z54" s="1580"/>
      <c r="AA54" s="1580"/>
    </row>
    <row r="55" spans="1:27" s="1577" customFormat="1" ht="22.9" customHeight="1">
      <c r="A55" s="1577" t="s">
        <v>476</v>
      </c>
      <c r="C55" s="1576"/>
      <c r="D55" s="1554">
        <v>0</v>
      </c>
      <c r="E55" s="1554">
        <v>0</v>
      </c>
      <c r="F55" s="1554">
        <v>0</v>
      </c>
      <c r="G55" s="1554">
        <v>0</v>
      </c>
      <c r="H55" s="1554">
        <v>0</v>
      </c>
      <c r="I55" s="1554">
        <v>0</v>
      </c>
      <c r="J55" s="1554">
        <v>0</v>
      </c>
      <c r="K55" s="1554">
        <v>899584</v>
      </c>
      <c r="L55" s="1554">
        <v>0</v>
      </c>
      <c r="M55" s="1554">
        <v>0</v>
      </c>
      <c r="N55" s="1180">
        <v>24298093</v>
      </c>
      <c r="O55" s="1580"/>
      <c r="T55" s="1580"/>
      <c r="U55" s="1580"/>
      <c r="V55" s="1580"/>
      <c r="W55" s="1580"/>
      <c r="X55" s="1580"/>
      <c r="Y55" s="1580"/>
      <c r="Z55" s="1580"/>
      <c r="AA55" s="1580"/>
    </row>
    <row r="56" spans="1:27" s="1580" customFormat="1" ht="22.9" customHeight="1">
      <c r="A56" s="1580" t="s">
        <v>16</v>
      </c>
      <c r="C56" s="1584"/>
      <c r="D56" s="1554">
        <v>0</v>
      </c>
      <c r="E56" s="1554">
        <v>0</v>
      </c>
      <c r="F56" s="1554">
        <v>0</v>
      </c>
      <c r="G56" s="1554">
        <v>0</v>
      </c>
      <c r="H56" s="1554">
        <v>0</v>
      </c>
      <c r="I56" s="1554">
        <v>0</v>
      </c>
      <c r="J56" s="1554">
        <v>0</v>
      </c>
      <c r="K56" s="1554">
        <v>0</v>
      </c>
      <c r="L56" s="1554">
        <v>0</v>
      </c>
      <c r="M56" s="1554">
        <v>0</v>
      </c>
      <c r="N56" s="1180">
        <v>67749675</v>
      </c>
    </row>
    <row r="57" spans="1:27" s="1577" customFormat="1" ht="22.9" customHeight="1">
      <c r="A57" s="1577" t="s">
        <v>460</v>
      </c>
      <c r="C57" s="1576"/>
      <c r="D57" s="1554">
        <v>0</v>
      </c>
      <c r="E57" s="1554">
        <v>0</v>
      </c>
      <c r="F57" s="1554">
        <v>0</v>
      </c>
      <c r="G57" s="1558">
        <v>0</v>
      </c>
      <c r="H57" s="1554">
        <v>0</v>
      </c>
      <c r="I57" s="1554">
        <v>0</v>
      </c>
      <c r="J57" s="1554">
        <v>0</v>
      </c>
      <c r="K57" s="1554">
        <v>0</v>
      </c>
      <c r="L57" s="1554">
        <v>0</v>
      </c>
      <c r="M57" s="1554">
        <v>75000</v>
      </c>
      <c r="N57" s="1180">
        <v>16786983</v>
      </c>
      <c r="O57" s="1580"/>
      <c r="T57" s="1580"/>
      <c r="U57" s="1580"/>
      <c r="V57" s="1580"/>
      <c r="W57" s="1580"/>
      <c r="X57" s="1580"/>
      <c r="Y57" s="1580"/>
      <c r="Z57" s="1580"/>
      <c r="AA57" s="1580"/>
    </row>
    <row r="58" spans="1:27" s="1576" customFormat="1" ht="22.9" customHeight="1">
      <c r="A58" s="1583" t="s">
        <v>943</v>
      </c>
      <c r="C58" s="1576" t="s">
        <v>58</v>
      </c>
      <c r="D58" s="1565">
        <v>19876500</v>
      </c>
      <c r="E58" s="1565">
        <v>6038731</v>
      </c>
      <c r="F58" s="1565">
        <v>13923024</v>
      </c>
      <c r="G58" s="1565">
        <v>3385609</v>
      </c>
      <c r="H58" s="1565">
        <v>10045754</v>
      </c>
      <c r="I58" s="1565">
        <v>2695077</v>
      </c>
      <c r="J58" s="1565">
        <v>674056</v>
      </c>
      <c r="K58" s="1565">
        <v>899584</v>
      </c>
      <c r="L58" s="1565">
        <v>800000</v>
      </c>
      <c r="M58" s="1565">
        <v>75000</v>
      </c>
      <c r="N58" s="1565">
        <v>549896806</v>
      </c>
      <c r="O58" s="1593"/>
      <c r="T58" s="1584"/>
      <c r="U58" s="1584"/>
      <c r="V58" s="1584"/>
      <c r="W58" s="1584"/>
      <c r="X58" s="1584"/>
      <c r="Y58" s="1584"/>
      <c r="Z58" s="1584"/>
      <c r="AA58" s="1584"/>
    </row>
    <row r="59" spans="1:27" s="1577" customFormat="1" ht="22.9" customHeight="1">
      <c r="C59" s="1576"/>
      <c r="D59" s="1554"/>
      <c r="E59" s="1554"/>
      <c r="F59" s="1554"/>
      <c r="G59" s="1554"/>
      <c r="H59" s="1554"/>
      <c r="I59" s="1554"/>
      <c r="J59" s="1554"/>
      <c r="K59" s="1554"/>
      <c r="L59" s="1554"/>
      <c r="M59" s="1554"/>
      <c r="N59" s="1180"/>
      <c r="O59" s="1580"/>
      <c r="T59" s="1580"/>
      <c r="U59" s="1580"/>
      <c r="V59" s="1580"/>
      <c r="W59" s="1580"/>
      <c r="X59" s="1580"/>
      <c r="Y59" s="1580"/>
      <c r="Z59" s="1580"/>
      <c r="AA59" s="1580"/>
    </row>
    <row r="60" spans="1:27" s="1577" customFormat="1" ht="22.9" customHeight="1">
      <c r="A60" s="1576" t="s">
        <v>462</v>
      </c>
      <c r="C60" s="1576"/>
      <c r="D60" s="1554"/>
      <c r="E60" s="1554"/>
      <c r="F60" s="1554"/>
      <c r="G60" s="1554"/>
      <c r="H60" s="1554"/>
      <c r="I60" s="1554"/>
      <c r="J60" s="1554"/>
      <c r="K60" s="1554"/>
      <c r="L60" s="1554"/>
      <c r="M60" s="1554"/>
      <c r="N60" s="1180"/>
      <c r="O60" s="1580"/>
      <c r="T60" s="1580"/>
      <c r="U60" s="1580"/>
      <c r="V60" s="1580"/>
      <c r="W60" s="1580"/>
      <c r="X60" s="1580"/>
      <c r="Y60" s="1580"/>
      <c r="Z60" s="1580"/>
      <c r="AA60" s="1580"/>
    </row>
    <row r="61" spans="1:27" s="1577" customFormat="1" ht="22.9" customHeight="1">
      <c r="A61" s="1577" t="s">
        <v>463</v>
      </c>
      <c r="C61" s="1576"/>
      <c r="D61" s="1554">
        <v>0</v>
      </c>
      <c r="E61" s="1554">
        <v>170178</v>
      </c>
      <c r="F61" s="1571">
        <v>1129358</v>
      </c>
      <c r="G61" s="1554">
        <v>117801</v>
      </c>
      <c r="H61" s="1554">
        <v>0</v>
      </c>
      <c r="I61" s="1554">
        <v>14588</v>
      </c>
      <c r="J61" s="1554">
        <v>0</v>
      </c>
      <c r="K61" s="1554">
        <v>0</v>
      </c>
      <c r="L61" s="1554">
        <v>0</v>
      </c>
      <c r="M61" s="1554">
        <v>0</v>
      </c>
      <c r="N61" s="1180">
        <v>34911437</v>
      </c>
      <c r="O61" s="1580"/>
      <c r="T61" s="1580"/>
      <c r="U61" s="1580"/>
      <c r="V61" s="1580"/>
      <c r="W61" s="1580"/>
      <c r="X61" s="1580"/>
      <c r="Y61" s="1580"/>
      <c r="Z61" s="1580"/>
      <c r="AA61" s="1580"/>
    </row>
    <row r="62" spans="1:27" s="1577" customFormat="1" ht="22.9" customHeight="1">
      <c r="A62" s="1577" t="s">
        <v>464</v>
      </c>
      <c r="C62" s="1576"/>
      <c r="D62" s="1554">
        <v>0</v>
      </c>
      <c r="E62" s="1554">
        <v>0</v>
      </c>
      <c r="F62" s="1554">
        <v>0</v>
      </c>
      <c r="G62" s="1554">
        <v>0</v>
      </c>
      <c r="H62" s="1554">
        <v>0</v>
      </c>
      <c r="I62" s="1554">
        <v>0</v>
      </c>
      <c r="J62" s="1554">
        <v>0</v>
      </c>
      <c r="K62" s="1554">
        <v>0</v>
      </c>
      <c r="L62" s="1554">
        <v>0</v>
      </c>
      <c r="M62" s="1554">
        <v>0</v>
      </c>
      <c r="N62" s="1180">
        <v>2718199</v>
      </c>
      <c r="O62" s="1580"/>
      <c r="T62" s="1580"/>
      <c r="U62" s="1580"/>
      <c r="V62" s="1580"/>
      <c r="W62" s="1580"/>
      <c r="X62" s="1580"/>
      <c r="Y62" s="1580"/>
      <c r="Z62" s="1580"/>
      <c r="AA62" s="1580"/>
    </row>
    <row r="63" spans="1:27" s="1577" customFormat="1" ht="22.9" hidden="1" customHeight="1">
      <c r="A63" s="1577" t="s">
        <v>906</v>
      </c>
      <c r="C63" s="1576"/>
      <c r="D63" s="1554">
        <v>0</v>
      </c>
      <c r="E63" s="1554">
        <v>0</v>
      </c>
      <c r="F63" s="1554">
        <v>0</v>
      </c>
      <c r="G63" s="1554">
        <v>0</v>
      </c>
      <c r="H63" s="1554">
        <v>0</v>
      </c>
      <c r="I63" s="1554">
        <v>0</v>
      </c>
      <c r="J63" s="1554">
        <v>0</v>
      </c>
      <c r="K63" s="1554">
        <v>0</v>
      </c>
      <c r="L63" s="1554">
        <v>0</v>
      </c>
      <c r="M63" s="1554">
        <v>0</v>
      </c>
      <c r="N63" s="1180">
        <v>0</v>
      </c>
      <c r="O63" s="1580"/>
      <c r="T63" s="1580"/>
      <c r="U63" s="1580"/>
      <c r="V63" s="1580"/>
      <c r="W63" s="1580"/>
      <c r="X63" s="1580"/>
      <c r="Y63" s="1580"/>
      <c r="Z63" s="1580"/>
      <c r="AA63" s="1580"/>
    </row>
    <row r="64" spans="1:27" s="1577" customFormat="1" ht="22.9" customHeight="1">
      <c r="A64" s="1577" t="s">
        <v>465</v>
      </c>
      <c r="C64" s="1576"/>
      <c r="D64" s="1558">
        <v>0</v>
      </c>
      <c r="E64" s="1558">
        <v>1300000</v>
      </c>
      <c r="F64" s="1558">
        <v>1390555</v>
      </c>
      <c r="G64" s="1554">
        <v>7490251</v>
      </c>
      <c r="H64" s="1554">
        <v>424100</v>
      </c>
      <c r="I64" s="1554">
        <v>0</v>
      </c>
      <c r="J64" s="1554">
        <v>0</v>
      </c>
      <c r="K64" s="1558">
        <v>0</v>
      </c>
      <c r="L64" s="1554">
        <v>0</v>
      </c>
      <c r="M64" s="1554">
        <v>0</v>
      </c>
      <c r="N64" s="1180">
        <v>23767592</v>
      </c>
      <c r="O64" s="1580"/>
      <c r="P64" s="1582" t="s">
        <v>58</v>
      </c>
      <c r="T64" s="1580"/>
      <c r="U64" s="1580"/>
      <c r="V64" s="1580"/>
      <c r="W64" s="1580"/>
      <c r="X64" s="1580"/>
      <c r="Y64" s="1580"/>
      <c r="Z64" s="1580"/>
      <c r="AA64" s="1580"/>
    </row>
    <row r="65" spans="1:27" s="1576" customFormat="1" ht="22.9" customHeight="1">
      <c r="A65" s="1583" t="s">
        <v>20</v>
      </c>
      <c r="C65" s="1576" t="s">
        <v>58</v>
      </c>
      <c r="D65" s="1556">
        <v>0</v>
      </c>
      <c r="E65" s="1556">
        <v>1470178</v>
      </c>
      <c r="F65" s="1556">
        <v>2519913</v>
      </c>
      <c r="G65" s="1556">
        <v>7608052</v>
      </c>
      <c r="H65" s="1556">
        <v>424100</v>
      </c>
      <c r="I65" s="1556">
        <v>14588</v>
      </c>
      <c r="J65" s="1556">
        <v>0</v>
      </c>
      <c r="K65" s="1556">
        <v>0</v>
      </c>
      <c r="L65" s="1556">
        <v>0</v>
      </c>
      <c r="M65" s="1556">
        <v>0</v>
      </c>
      <c r="N65" s="1556">
        <v>61397228</v>
      </c>
      <c r="O65" s="1593"/>
      <c r="P65" s="1585"/>
      <c r="T65" s="1584"/>
      <c r="U65" s="1584"/>
      <c r="V65" s="1584"/>
      <c r="W65" s="1584"/>
      <c r="X65" s="1584"/>
      <c r="Y65" s="1584"/>
      <c r="Z65" s="1584"/>
      <c r="AA65" s="1584"/>
    </row>
    <row r="66" spans="1:27" s="1577" customFormat="1" ht="22.9" customHeight="1">
      <c r="C66" s="1576"/>
      <c r="D66" s="1557"/>
      <c r="E66" s="1557"/>
      <c r="F66" s="1557"/>
      <c r="G66" s="1557"/>
      <c r="H66" s="1557"/>
      <c r="I66" s="1557"/>
      <c r="J66" s="1557"/>
      <c r="K66" s="1557"/>
      <c r="L66" s="1557"/>
      <c r="M66" s="1557"/>
      <c r="N66" s="1557"/>
      <c r="O66" s="1580"/>
      <c r="P66" s="1582"/>
      <c r="T66" s="1580"/>
      <c r="U66" s="1580"/>
      <c r="V66" s="1580"/>
      <c r="W66" s="1580"/>
      <c r="X66" s="1580"/>
      <c r="Y66" s="1580"/>
      <c r="Z66" s="1580"/>
      <c r="AA66" s="1580"/>
    </row>
    <row r="67" spans="1:27" s="1576" customFormat="1" ht="22.9" customHeight="1">
      <c r="A67" s="1583" t="s">
        <v>944</v>
      </c>
      <c r="C67" s="1576" t="s">
        <v>58</v>
      </c>
      <c r="D67" s="1572">
        <v>19876500</v>
      </c>
      <c r="E67" s="1572">
        <v>7508909</v>
      </c>
      <c r="F67" s="1572">
        <v>16442937</v>
      </c>
      <c r="G67" s="1572">
        <v>10993661</v>
      </c>
      <c r="H67" s="1572">
        <v>10469854</v>
      </c>
      <c r="I67" s="1572">
        <v>2709665</v>
      </c>
      <c r="J67" s="1572">
        <v>674056</v>
      </c>
      <c r="K67" s="1572">
        <v>899584</v>
      </c>
      <c r="L67" s="1572">
        <v>800000</v>
      </c>
      <c r="M67" s="1572">
        <v>75000</v>
      </c>
      <c r="N67" s="1572">
        <v>611294034</v>
      </c>
      <c r="O67" s="1593"/>
      <c r="T67" s="1584"/>
      <c r="U67" s="1584"/>
      <c r="V67" s="1584"/>
      <c r="W67" s="1584"/>
      <c r="X67" s="1584"/>
      <c r="Y67" s="1584"/>
      <c r="Z67" s="1584"/>
      <c r="AA67" s="1584"/>
    </row>
    <row r="68" spans="1:27" s="1577" customFormat="1" ht="22.9" customHeight="1">
      <c r="C68" s="1576"/>
      <c r="D68" s="1554"/>
      <c r="E68" s="1554"/>
      <c r="F68" s="1554"/>
      <c r="G68" s="1554"/>
      <c r="H68" s="1554"/>
      <c r="I68" s="1554"/>
      <c r="J68" s="1554"/>
      <c r="K68" s="1554"/>
      <c r="L68" s="1554"/>
      <c r="M68" s="1554"/>
      <c r="N68" s="1180"/>
      <c r="O68" s="1580"/>
      <c r="T68" s="1580"/>
      <c r="U68" s="1580"/>
      <c r="V68" s="1580"/>
      <c r="W68" s="1580"/>
      <c r="X68" s="1580"/>
      <c r="Y68" s="1580"/>
      <c r="Z68" s="1580"/>
      <c r="AA68" s="1580"/>
    </row>
    <row r="69" spans="1:27" s="1577" customFormat="1" ht="22.9" customHeight="1">
      <c r="A69" s="1583" t="s">
        <v>950</v>
      </c>
      <c r="C69" s="1576"/>
      <c r="D69" s="1567">
        <v>0</v>
      </c>
      <c r="E69" s="1567">
        <v>0</v>
      </c>
      <c r="F69" s="1567">
        <v>0</v>
      </c>
      <c r="G69" s="1567">
        <v>0</v>
      </c>
      <c r="H69" s="1567">
        <v>0</v>
      </c>
      <c r="I69" s="1567">
        <v>0</v>
      </c>
      <c r="J69" s="1567">
        <v>0</v>
      </c>
      <c r="K69" s="1567">
        <v>0</v>
      </c>
      <c r="L69" s="1567">
        <v>0</v>
      </c>
      <c r="M69" s="1567">
        <v>0</v>
      </c>
      <c r="N69" s="1575">
        <v>2104890</v>
      </c>
      <c r="O69" s="1580"/>
      <c r="P69" s="1582"/>
      <c r="T69" s="1580"/>
      <c r="U69" s="1580"/>
      <c r="V69" s="1580"/>
      <c r="W69" s="1580"/>
      <c r="X69" s="1580"/>
      <c r="Y69" s="1580"/>
      <c r="Z69" s="1580"/>
      <c r="AA69" s="1580"/>
    </row>
    <row r="70" spans="1:27" s="1577" customFormat="1" ht="22.9" customHeight="1">
      <c r="C70" s="1576"/>
      <c r="D70" s="1554"/>
      <c r="E70" s="1554"/>
      <c r="F70" s="1554"/>
      <c r="G70" s="1554"/>
      <c r="H70" s="1554"/>
      <c r="I70" s="1554"/>
      <c r="J70" s="1554"/>
      <c r="K70" s="1554"/>
      <c r="L70" s="1554"/>
      <c r="M70" s="1554"/>
      <c r="N70" s="1180"/>
      <c r="O70" s="1580"/>
      <c r="T70" s="1580"/>
      <c r="U70" s="1580"/>
      <c r="V70" s="1580"/>
      <c r="W70" s="1580"/>
      <c r="X70" s="1580"/>
      <c r="Y70" s="1580"/>
      <c r="Z70" s="1580"/>
      <c r="AA70" s="1580"/>
    </row>
    <row r="71" spans="1:27" s="1577" customFormat="1" ht="22.9" customHeight="1">
      <c r="A71" s="1576" t="s">
        <v>466</v>
      </c>
      <c r="C71" s="1576"/>
      <c r="D71" s="1554"/>
      <c r="E71" s="1554"/>
      <c r="F71" s="1554"/>
      <c r="G71" s="1554"/>
      <c r="H71" s="1554"/>
      <c r="I71" s="1554"/>
      <c r="J71" s="1554"/>
      <c r="K71" s="1554"/>
      <c r="L71" s="1554"/>
      <c r="M71" s="1554"/>
      <c r="N71" s="1180"/>
      <c r="O71" s="1580"/>
      <c r="T71" s="1580"/>
      <c r="U71" s="1580"/>
      <c r="V71" s="1580"/>
      <c r="W71" s="1580"/>
      <c r="X71" s="1580"/>
      <c r="Y71" s="1580"/>
      <c r="Z71" s="1580"/>
      <c r="AA71" s="1580"/>
    </row>
    <row r="72" spans="1:27" s="1577" customFormat="1" ht="22.9" customHeight="1">
      <c r="A72" s="1577" t="s">
        <v>36</v>
      </c>
      <c r="C72" s="1576"/>
      <c r="D72" s="1554">
        <v>2294</v>
      </c>
      <c r="E72" s="1554">
        <v>10444379</v>
      </c>
      <c r="F72" s="1554">
        <v>753199</v>
      </c>
      <c r="G72" s="1554">
        <v>2661905</v>
      </c>
      <c r="H72" s="1554">
        <v>0</v>
      </c>
      <c r="I72" s="1554">
        <v>78343</v>
      </c>
      <c r="J72" s="1554">
        <v>349185</v>
      </c>
      <c r="K72" s="1554">
        <v>0</v>
      </c>
      <c r="L72" s="1554">
        <v>8</v>
      </c>
      <c r="M72" s="1554">
        <v>70662</v>
      </c>
      <c r="N72" s="1180">
        <v>98548041</v>
      </c>
      <c r="O72" s="1580"/>
      <c r="T72" s="1580"/>
      <c r="U72" s="1580"/>
      <c r="V72" s="1580"/>
      <c r="W72" s="1580"/>
      <c r="X72" s="1580"/>
      <c r="Y72" s="1580"/>
      <c r="Z72" s="1580"/>
      <c r="AA72" s="1580"/>
    </row>
    <row r="73" spans="1:27" s="1577" customFormat="1" ht="22.9" customHeight="1">
      <c r="A73" s="1577" t="s">
        <v>782</v>
      </c>
      <c r="C73" s="1576"/>
      <c r="D73" s="1554">
        <v>0</v>
      </c>
      <c r="E73" s="1554">
        <v>0</v>
      </c>
      <c r="F73" s="1554">
        <v>0</v>
      </c>
      <c r="G73" s="1554">
        <v>0</v>
      </c>
      <c r="H73" s="1554">
        <v>0</v>
      </c>
      <c r="I73" s="1554">
        <v>0</v>
      </c>
      <c r="J73" s="1554">
        <v>0</v>
      </c>
      <c r="K73" s="1554">
        <v>0</v>
      </c>
      <c r="L73" s="1554">
        <v>0</v>
      </c>
      <c r="M73" s="1554">
        <v>0</v>
      </c>
      <c r="N73" s="1180">
        <v>4457240</v>
      </c>
      <c r="O73" s="1580"/>
      <c r="T73" s="1580"/>
      <c r="U73" s="1580"/>
      <c r="V73" s="1580"/>
      <c r="W73" s="1580"/>
      <c r="X73" s="1580"/>
      <c r="Y73" s="1580"/>
      <c r="Z73" s="1580"/>
      <c r="AA73" s="1580"/>
    </row>
    <row r="74" spans="1:27" s="1577" customFormat="1" ht="22.9" customHeight="1">
      <c r="A74" s="1577" t="s">
        <v>690</v>
      </c>
      <c r="C74" s="1576"/>
      <c r="D74" s="1554">
        <v>0</v>
      </c>
      <c r="E74" s="1554">
        <v>0</v>
      </c>
      <c r="F74" s="1554">
        <v>0</v>
      </c>
      <c r="G74" s="1554">
        <v>0</v>
      </c>
      <c r="H74" s="1554">
        <v>0</v>
      </c>
      <c r="I74" s="1554">
        <v>0</v>
      </c>
      <c r="J74" s="1554">
        <v>0</v>
      </c>
      <c r="K74" s="1554">
        <v>0</v>
      </c>
      <c r="L74" s="1554">
        <v>0</v>
      </c>
      <c r="M74" s="1554">
        <v>0</v>
      </c>
      <c r="N74" s="1180">
        <v>5000000</v>
      </c>
      <c r="O74" s="1580"/>
      <c r="T74" s="1580"/>
      <c r="U74" s="1580"/>
      <c r="V74" s="1580"/>
      <c r="W74" s="1580"/>
      <c r="X74" s="1580"/>
      <c r="Y74" s="1580"/>
      <c r="Z74" s="1580"/>
      <c r="AA74" s="1580"/>
    </row>
    <row r="75" spans="1:27" s="1577" customFormat="1" ht="22.9" customHeight="1">
      <c r="A75" s="1577" t="s">
        <v>841</v>
      </c>
      <c r="C75" s="1576"/>
      <c r="D75" s="1573">
        <v>0</v>
      </c>
      <c r="E75" s="1573">
        <v>427136</v>
      </c>
      <c r="F75" s="1573">
        <v>54588</v>
      </c>
      <c r="G75" s="1573">
        <v>0</v>
      </c>
      <c r="H75" s="1554">
        <v>583673</v>
      </c>
      <c r="I75" s="1554">
        <v>0</v>
      </c>
      <c r="J75" s="1554">
        <v>0</v>
      </c>
      <c r="K75" s="1573">
        <v>0</v>
      </c>
      <c r="L75" s="1554">
        <v>0</v>
      </c>
      <c r="M75" s="1554">
        <v>0</v>
      </c>
      <c r="N75" s="1180">
        <v>110873417</v>
      </c>
      <c r="O75" s="1580"/>
      <c r="T75" s="1580"/>
      <c r="U75" s="1580"/>
      <c r="V75" s="1580"/>
      <c r="W75" s="1580"/>
      <c r="X75" s="1580"/>
      <c r="Y75" s="1580"/>
      <c r="Z75" s="1580"/>
      <c r="AA75" s="1580"/>
    </row>
    <row r="76" spans="1:27" s="1576" customFormat="1" ht="22.9" customHeight="1">
      <c r="A76" s="1583" t="s">
        <v>945</v>
      </c>
      <c r="C76" s="1576" t="s">
        <v>58</v>
      </c>
      <c r="D76" s="1565">
        <v>2294</v>
      </c>
      <c r="E76" s="1565">
        <v>10871515</v>
      </c>
      <c r="F76" s="1565">
        <v>807787</v>
      </c>
      <c r="G76" s="1565">
        <v>2661905</v>
      </c>
      <c r="H76" s="1565">
        <v>583673</v>
      </c>
      <c r="I76" s="1565">
        <v>78343</v>
      </c>
      <c r="J76" s="1565">
        <v>349185</v>
      </c>
      <c r="K76" s="1565">
        <v>0</v>
      </c>
      <c r="L76" s="1565">
        <v>8</v>
      </c>
      <c r="M76" s="1565">
        <v>70662</v>
      </c>
      <c r="N76" s="1566">
        <v>218878698</v>
      </c>
      <c r="O76" s="1584"/>
      <c r="T76" s="1584"/>
      <c r="U76" s="1584"/>
      <c r="V76" s="1584"/>
      <c r="W76" s="1584"/>
      <c r="X76" s="1584"/>
      <c r="Y76" s="1584"/>
      <c r="Z76" s="1584"/>
      <c r="AA76" s="1584"/>
    </row>
    <row r="77" spans="1:27" s="1577" customFormat="1" ht="22.9" customHeight="1">
      <c r="C77" s="1576"/>
      <c r="D77" s="1180"/>
      <c r="E77" s="1180"/>
      <c r="F77" s="1180"/>
      <c r="G77" s="1180"/>
      <c r="H77" s="1180"/>
      <c r="I77" s="1180"/>
      <c r="J77" s="1180"/>
      <c r="K77" s="1180"/>
      <c r="L77" s="1180"/>
      <c r="M77" s="1180"/>
      <c r="N77" s="1574"/>
      <c r="O77" s="1580"/>
      <c r="T77" s="1580"/>
      <c r="U77" s="1580"/>
      <c r="V77" s="1580"/>
      <c r="W77" s="1580"/>
      <c r="X77" s="1580"/>
      <c r="Y77" s="1580"/>
      <c r="Z77" s="1580"/>
      <c r="AA77" s="1580"/>
    </row>
    <row r="78" spans="1:27" s="1584" customFormat="1" ht="22.9" customHeight="1" thickBot="1">
      <c r="A78" s="1592" t="s">
        <v>942</v>
      </c>
      <c r="B78" s="1592"/>
      <c r="C78" s="1584" t="s">
        <v>424</v>
      </c>
      <c r="D78" s="1544">
        <v>19878794</v>
      </c>
      <c r="E78" s="1544">
        <v>18380424</v>
      </c>
      <c r="F78" s="1544">
        <v>17250724</v>
      </c>
      <c r="G78" s="1544">
        <v>13655566</v>
      </c>
      <c r="H78" s="1544">
        <v>11053527</v>
      </c>
      <c r="I78" s="1544">
        <v>2788008</v>
      </c>
      <c r="J78" s="1544">
        <v>1023241</v>
      </c>
      <c r="K78" s="1544">
        <v>899584</v>
      </c>
      <c r="L78" s="1544">
        <v>800008</v>
      </c>
      <c r="M78" s="1544">
        <v>145662</v>
      </c>
      <c r="N78" s="1544">
        <v>832277622</v>
      </c>
    </row>
    <row r="79" spans="1:27" s="1337" customFormat="1" ht="21.95" customHeight="1" thickTop="1">
      <c r="A79" s="1513"/>
      <c r="B79" s="1514"/>
      <c r="C79" s="1512"/>
      <c r="D79" s="483"/>
      <c r="E79" s="483"/>
      <c r="F79" s="483"/>
      <c r="G79" s="1232" t="s">
        <v>58</v>
      </c>
      <c r="H79" s="1232"/>
      <c r="I79" s="1232" t="s">
        <v>58</v>
      </c>
      <c r="J79" s="1232"/>
      <c r="K79" s="483"/>
      <c r="L79" s="1232"/>
      <c r="M79" s="1232" t="s">
        <v>58</v>
      </c>
      <c r="N79" s="483" t="s">
        <v>58</v>
      </c>
      <c r="O79" s="1335"/>
      <c r="P79" s="1513"/>
      <c r="Q79" s="1513"/>
      <c r="R79" s="1513"/>
      <c r="S79" s="1513"/>
      <c r="T79" s="1513"/>
      <c r="U79" s="1335"/>
      <c r="V79" s="1335"/>
      <c r="W79" s="1335"/>
      <c r="X79" s="1335"/>
      <c r="Y79" s="1335"/>
      <c r="Z79" s="1335"/>
      <c r="AA79" s="1335"/>
    </row>
    <row r="80" spans="1:27" ht="21" customHeight="1">
      <c r="A80" s="1508"/>
      <c r="B80" s="1508"/>
      <c r="C80" s="1515"/>
      <c r="D80" s="375"/>
      <c r="E80" s="375" t="s">
        <v>58</v>
      </c>
      <c r="F80" s="375"/>
      <c r="G80" s="375"/>
      <c r="H80" s="375"/>
      <c r="I80" s="375"/>
      <c r="J80" s="375"/>
      <c r="K80" s="375"/>
      <c r="L80" s="375"/>
      <c r="M80" s="375"/>
      <c r="N80" s="375" t="s">
        <v>58</v>
      </c>
      <c r="P80" s="1232"/>
      <c r="Q80" s="1335"/>
      <c r="R80" s="1335"/>
      <c r="S80" s="1335"/>
    </row>
    <row r="81" spans="1:19" ht="9.9499999999999993" customHeight="1" thickBot="1">
      <c r="A81" s="1508"/>
      <c r="B81" s="1508"/>
      <c r="C81" s="1515"/>
      <c r="D81" s="375"/>
      <c r="E81" s="375"/>
      <c r="F81" s="375"/>
      <c r="G81" s="375"/>
      <c r="H81" s="375"/>
      <c r="I81" s="375"/>
      <c r="J81" s="375"/>
      <c r="K81" s="375"/>
      <c r="L81" s="375"/>
      <c r="M81" s="375"/>
      <c r="N81" s="375"/>
      <c r="P81" s="1238"/>
      <c r="Q81" s="1335"/>
      <c r="R81" s="1335"/>
      <c r="S81" s="1335"/>
    </row>
    <row r="82" spans="1:19" ht="13.5" thickTop="1">
      <c r="P82" s="1353"/>
    </row>
    <row r="83" spans="1:19">
      <c r="P83" s="1353"/>
    </row>
    <row r="84" spans="1:19">
      <c r="P84" s="1353"/>
    </row>
    <row r="85" spans="1:19">
      <c r="P85" s="1353"/>
    </row>
  </sheetData>
  <mergeCells count="4">
    <mergeCell ref="A1:N1"/>
    <mergeCell ref="A2:N2"/>
    <mergeCell ref="B3:N3"/>
    <mergeCell ref="A4:N4"/>
  </mergeCells>
  <printOptions horizontalCentered="1"/>
  <pageMargins left="0" right="0" top="0.25" bottom="0.17" header="0.17" footer="0.2"/>
  <pageSetup scale="4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8"/>
  </sheetPr>
  <dimension ref="A1:N60"/>
  <sheetViews>
    <sheetView showGridLines="0" showRuler="0" zoomScaleNormal="100" zoomScaleSheetLayoutView="130" workbookViewId="0">
      <pane xSplit="2" ySplit="5" topLeftCell="C6" activePane="bottomRight" state="frozen"/>
      <selection activeCell="Q6" sqref="Q6"/>
      <selection pane="topRight" activeCell="Q6" sqref="Q6"/>
      <selection pane="bottomLeft" activeCell="Q6" sqref="Q6"/>
      <selection pane="bottomRight" activeCell="F17" sqref="F17"/>
    </sheetView>
  </sheetViews>
  <sheetFormatPr defaultColWidth="8.85546875" defaultRowHeight="12.75"/>
  <cols>
    <col min="1" max="1" width="18.85546875" style="283" hidden="1" customWidth="1"/>
    <col min="2" max="2" width="36.5703125" style="283" customWidth="1"/>
    <col min="3" max="3" width="16.7109375" style="783" customWidth="1"/>
    <col min="4" max="4" width="18.7109375" style="283" hidden="1" customWidth="1"/>
    <col min="5" max="5" width="3" style="510" hidden="1" customWidth="1"/>
    <col min="6" max="6" width="16.7109375" style="783" customWidth="1"/>
    <col min="7" max="7" width="17.28515625" style="283" hidden="1" customWidth="1"/>
    <col min="8" max="8" width="3" style="510" hidden="1" customWidth="1"/>
    <col min="9" max="9" width="16.7109375" style="783" customWidth="1"/>
    <col min="10" max="10" width="1.85546875" style="510" hidden="1" customWidth="1"/>
    <col min="11" max="11" width="16.7109375" style="775" customWidth="1"/>
    <col min="12" max="12" width="3" style="510" hidden="1" customWidth="1"/>
    <col min="13" max="13" width="16.7109375" style="1115" customWidth="1"/>
    <col min="14" max="14" width="21.42578125" style="283" customWidth="1"/>
    <col min="15" max="16384" width="8.85546875" style="283"/>
  </cols>
  <sheetData>
    <row r="1" spans="1:14" ht="23.25" hidden="1">
      <c r="B1" s="1702" t="s">
        <v>769</v>
      </c>
      <c r="C1" s="1703"/>
      <c r="D1" s="1703"/>
      <c r="E1" s="1703"/>
      <c r="F1" s="1703"/>
      <c r="G1" s="1703"/>
      <c r="H1" s="1703"/>
      <c r="I1" s="1703"/>
      <c r="J1" s="1703"/>
      <c r="K1" s="1703"/>
      <c r="L1" s="283"/>
      <c r="M1" s="722"/>
    </row>
    <row r="2" spans="1:14" ht="18.75" hidden="1">
      <c r="B2" s="284"/>
      <c r="C2" s="773"/>
      <c r="D2" s="285"/>
      <c r="E2" s="493"/>
      <c r="F2" s="773"/>
      <c r="G2" s="285"/>
      <c r="H2" s="493"/>
      <c r="I2" s="773"/>
      <c r="J2" s="493"/>
      <c r="K2" s="773"/>
      <c r="L2" s="493"/>
      <c r="M2" s="1022"/>
    </row>
    <row r="3" spans="1:14" ht="35.450000000000003" customHeight="1">
      <c r="B3" s="1704" t="s">
        <v>865</v>
      </c>
      <c r="C3" s="1704"/>
      <c r="D3" s="1704"/>
      <c r="E3" s="1704"/>
      <c r="F3" s="1704"/>
      <c r="G3" s="1704"/>
      <c r="H3" s="1704"/>
      <c r="I3" s="1704"/>
      <c r="J3" s="1704"/>
      <c r="K3" s="1704"/>
      <c r="L3" s="1704"/>
      <c r="M3" s="1704"/>
    </row>
    <row r="4" spans="1:14" ht="16.149999999999999" customHeight="1" thickBot="1">
      <c r="B4" s="746"/>
      <c r="C4" s="774"/>
      <c r="D4" s="746"/>
      <c r="E4" s="746"/>
      <c r="F4" s="774"/>
      <c r="G4" s="746"/>
      <c r="H4" s="746"/>
      <c r="I4" s="774"/>
      <c r="J4" s="746"/>
      <c r="K4" s="774"/>
      <c r="L4" s="746"/>
      <c r="M4" s="1197"/>
    </row>
    <row r="5" spans="1:14" s="298" customFormat="1" ht="52.9" customHeight="1" thickBot="1">
      <c r="B5" s="1126"/>
      <c r="C5" s="1141" t="s">
        <v>978</v>
      </c>
      <c r="D5" s="1141" t="s">
        <v>314</v>
      </c>
      <c r="E5" s="1142"/>
      <c r="F5" s="1142" t="s">
        <v>979</v>
      </c>
      <c r="G5" s="1142" t="s">
        <v>407</v>
      </c>
      <c r="H5" s="1142"/>
      <c r="I5" s="1142" t="s">
        <v>980</v>
      </c>
      <c r="J5" s="1142"/>
      <c r="K5" s="1462" t="s">
        <v>989</v>
      </c>
      <c r="L5" s="1141"/>
      <c r="M5" s="1129" t="s">
        <v>985</v>
      </c>
    </row>
    <row r="6" spans="1:14">
      <c r="B6" s="288"/>
      <c r="C6" s="780"/>
      <c r="D6" s="289"/>
      <c r="E6" s="496"/>
      <c r="F6" s="780"/>
      <c r="G6" s="288"/>
      <c r="H6" s="496"/>
      <c r="I6" s="780"/>
      <c r="J6" s="496"/>
      <c r="L6" s="496"/>
    </row>
    <row r="7" spans="1:14" ht="15.75">
      <c r="B7" s="299" t="s">
        <v>2</v>
      </c>
      <c r="C7" s="781"/>
      <c r="D7" s="1223"/>
      <c r="E7" s="520"/>
      <c r="F7" s="1242"/>
      <c r="G7" s="301"/>
      <c r="H7" s="520"/>
      <c r="I7" s="784"/>
      <c r="J7" s="520"/>
      <c r="K7" s="554"/>
      <c r="L7" s="520"/>
      <c r="M7" s="518"/>
    </row>
    <row r="8" spans="1:14" ht="15.6" customHeight="1">
      <c r="A8" s="321" t="s">
        <v>366</v>
      </c>
      <c r="B8" s="298" t="s">
        <v>3</v>
      </c>
      <c r="C8" s="1268">
        <v>156376309</v>
      </c>
      <c r="D8" s="1243">
        <v>154406130</v>
      </c>
      <c r="E8" s="1243"/>
      <c r="F8" s="1268">
        <v>159198827</v>
      </c>
      <c r="G8" s="1268">
        <v>0</v>
      </c>
      <c r="H8" s="1268"/>
      <c r="I8" s="1268">
        <v>158952157</v>
      </c>
      <c r="J8" s="1268"/>
      <c r="K8" s="1268">
        <v>165974363</v>
      </c>
      <c r="L8" s="1268"/>
      <c r="M8" s="1268">
        <v>6775536</v>
      </c>
    </row>
    <row r="9" spans="1:14" ht="15.75">
      <c r="A9" s="321" t="s">
        <v>354</v>
      </c>
      <c r="B9" s="298" t="s">
        <v>4</v>
      </c>
      <c r="C9" s="1240">
        <v>17374859</v>
      </c>
      <c r="D9" s="1224">
        <v>2924286</v>
      </c>
      <c r="E9" s="514"/>
      <c r="F9" s="1240">
        <v>18239090</v>
      </c>
      <c r="G9" s="304">
        <v>0</v>
      </c>
      <c r="H9" s="514"/>
      <c r="I9" s="1240">
        <v>17738349</v>
      </c>
      <c r="J9" s="514"/>
      <c r="K9" s="1240">
        <v>17478562</v>
      </c>
      <c r="L9" s="514"/>
      <c r="M9" s="1239">
        <v>-760528</v>
      </c>
    </row>
    <row r="10" spans="1:14" ht="15.75">
      <c r="A10" s="321" t="s">
        <v>367</v>
      </c>
      <c r="B10" s="305" t="s">
        <v>5</v>
      </c>
      <c r="C10" s="1240">
        <v>40953672</v>
      </c>
      <c r="D10" s="1224">
        <v>18441495.75</v>
      </c>
      <c r="E10" s="514"/>
      <c r="F10" s="1240">
        <v>37489340</v>
      </c>
      <c r="G10" s="304">
        <v>0</v>
      </c>
      <c r="H10" s="514"/>
      <c r="I10" s="1240">
        <v>38164250</v>
      </c>
      <c r="J10" s="514"/>
      <c r="K10" s="1240">
        <v>36854206</v>
      </c>
      <c r="L10" s="514"/>
      <c r="M10" s="1239">
        <v>-635134</v>
      </c>
    </row>
    <row r="11" spans="1:14" s="293" customFormat="1" ht="15.75">
      <c r="A11" s="621" t="s">
        <v>336</v>
      </c>
      <c r="B11" s="311" t="s">
        <v>6</v>
      </c>
      <c r="C11" s="1240">
        <v>240939959</v>
      </c>
      <c r="D11" s="1224">
        <v>24835455.48</v>
      </c>
      <c r="E11" s="514"/>
      <c r="F11" s="1240">
        <v>249939998</v>
      </c>
      <c r="G11" s="304">
        <v>0</v>
      </c>
      <c r="H11" s="514"/>
      <c r="I11" s="1240">
        <v>250894692</v>
      </c>
      <c r="J11" s="514"/>
      <c r="K11" s="1240">
        <v>258978040</v>
      </c>
      <c r="L11" s="514"/>
      <c r="M11" s="1239">
        <v>9038042</v>
      </c>
      <c r="N11" s="283"/>
    </row>
    <row r="12" spans="1:14" s="293" customFormat="1" ht="15.75">
      <c r="A12" s="621" t="s">
        <v>337</v>
      </c>
      <c r="B12" s="311" t="s">
        <v>368</v>
      </c>
      <c r="C12" s="1240">
        <v>7581600</v>
      </c>
      <c r="D12" s="1224">
        <v>4799918</v>
      </c>
      <c r="E12" s="514"/>
      <c r="F12" s="1240">
        <v>8707418</v>
      </c>
      <c r="G12" s="304">
        <v>0</v>
      </c>
      <c r="H12" s="514"/>
      <c r="I12" s="1240">
        <v>7624270</v>
      </c>
      <c r="J12" s="514"/>
      <c r="K12" s="1240">
        <v>7839864</v>
      </c>
      <c r="L12" s="514"/>
      <c r="M12" s="1239">
        <v>-867554</v>
      </c>
      <c r="N12" s="283"/>
    </row>
    <row r="13" spans="1:14" s="293" customFormat="1" ht="15.75">
      <c r="A13" s="621" t="s">
        <v>338</v>
      </c>
      <c r="B13" s="316" t="s">
        <v>8</v>
      </c>
      <c r="C13" s="1240">
        <v>82337916</v>
      </c>
      <c r="D13" s="1224">
        <v>78467842.769999996</v>
      </c>
      <c r="E13" s="514"/>
      <c r="F13" s="1240">
        <v>92835239</v>
      </c>
      <c r="G13" s="304">
        <v>0</v>
      </c>
      <c r="H13" s="514"/>
      <c r="I13" s="1240">
        <v>95191165</v>
      </c>
      <c r="J13" s="514"/>
      <c r="K13" s="1240">
        <v>96164485</v>
      </c>
      <c r="L13" s="514"/>
      <c r="M13" s="1239">
        <v>3329246</v>
      </c>
      <c r="N13" s="283"/>
    </row>
    <row r="14" spans="1:14" s="293" customFormat="1" ht="15.75">
      <c r="A14" s="621" t="s">
        <v>349</v>
      </c>
      <c r="B14" s="316" t="s">
        <v>28</v>
      </c>
      <c r="C14" s="1240">
        <v>420088123</v>
      </c>
      <c r="D14" s="1224">
        <v>2617762.94</v>
      </c>
      <c r="E14" s="514"/>
      <c r="F14" s="1240">
        <v>40790745</v>
      </c>
      <c r="G14" s="304">
        <v>0</v>
      </c>
      <c r="H14" s="514"/>
      <c r="I14" s="1240">
        <v>38994173</v>
      </c>
      <c r="J14" s="514"/>
      <c r="K14" s="1240">
        <v>38651483</v>
      </c>
      <c r="L14" s="514"/>
      <c r="M14" s="1239">
        <v>-2139262</v>
      </c>
      <c r="N14" s="283"/>
    </row>
    <row r="15" spans="1:14" s="293" customFormat="1" ht="15.75">
      <c r="A15" s="658"/>
      <c r="B15" s="316" t="s">
        <v>319</v>
      </c>
      <c r="C15" s="1240">
        <v>40041294</v>
      </c>
      <c r="D15" s="1224"/>
      <c r="E15" s="514"/>
      <c r="F15" s="1240">
        <v>26498934</v>
      </c>
      <c r="G15" s="304">
        <v>0</v>
      </c>
      <c r="H15" s="514"/>
      <c r="I15" s="1240">
        <v>17162460</v>
      </c>
      <c r="J15" s="514"/>
      <c r="K15" s="1240">
        <v>30839527</v>
      </c>
      <c r="L15" s="514"/>
      <c r="M15" s="1239">
        <v>4340593</v>
      </c>
      <c r="N15" s="283"/>
    </row>
    <row r="16" spans="1:14" s="625" customFormat="1" ht="15.75">
      <c r="B16" s="1246" t="s">
        <v>9</v>
      </c>
      <c r="C16" s="1244">
        <v>1005693732</v>
      </c>
      <c r="D16" s="1225">
        <v>0</v>
      </c>
      <c r="E16" s="1060"/>
      <c r="F16" s="1244">
        <v>633699591</v>
      </c>
      <c r="G16" s="1225">
        <v>0</v>
      </c>
      <c r="H16" s="1060"/>
      <c r="I16" s="1244">
        <v>624721516</v>
      </c>
      <c r="J16" s="1060"/>
      <c r="K16" s="1244">
        <v>652780530</v>
      </c>
      <c r="L16" s="1060"/>
      <c r="M16" s="1244">
        <v>19080939</v>
      </c>
      <c r="N16" s="283"/>
    </row>
    <row r="17" spans="1:14" s="293" customFormat="1" ht="15.75">
      <c r="B17" s="310"/>
      <c r="C17" s="556"/>
      <c r="D17" s="304"/>
      <c r="E17" s="514"/>
      <c r="F17" s="1241"/>
      <c r="G17" s="304"/>
      <c r="H17" s="514"/>
      <c r="I17" s="1241"/>
      <c r="J17" s="514"/>
      <c r="K17" s="1241"/>
      <c r="L17" s="514"/>
      <c r="M17" s="522"/>
      <c r="N17" s="283"/>
    </row>
    <row r="18" spans="1:14" s="293" customFormat="1" ht="15.75">
      <c r="B18" s="313" t="s">
        <v>320</v>
      </c>
      <c r="C18" s="556"/>
      <c r="D18" s="306"/>
      <c r="E18" s="514"/>
      <c r="F18" s="1241" t="s">
        <v>58</v>
      </c>
      <c r="G18" s="304"/>
      <c r="H18" s="514"/>
      <c r="I18" s="1241"/>
      <c r="J18" s="514"/>
      <c r="K18" s="1243"/>
      <c r="L18" s="514"/>
      <c r="M18" s="522"/>
      <c r="N18" s="283"/>
    </row>
    <row r="19" spans="1:14" s="293" customFormat="1" ht="15.75">
      <c r="B19" s="311" t="s">
        <v>27</v>
      </c>
      <c r="C19" s="1240">
        <v>135265427</v>
      </c>
      <c r="D19" s="1224"/>
      <c r="E19" s="514"/>
      <c r="F19" s="1240">
        <v>148437073</v>
      </c>
      <c r="G19" s="304">
        <v>0</v>
      </c>
      <c r="H19" s="514"/>
      <c r="I19" s="1240">
        <v>157215228</v>
      </c>
      <c r="J19" s="514"/>
      <c r="K19" s="1240">
        <v>92930383</v>
      </c>
      <c r="L19" s="514"/>
      <c r="M19" s="1239">
        <v>-55506690</v>
      </c>
      <c r="N19" s="283"/>
    </row>
    <row r="20" spans="1:14" s="293" customFormat="1" ht="15.75">
      <c r="B20" s="311" t="s">
        <v>782</v>
      </c>
      <c r="C20" s="1240">
        <v>0</v>
      </c>
      <c r="D20" s="1224"/>
      <c r="E20" s="514"/>
      <c r="F20" s="1240">
        <v>4457240</v>
      </c>
      <c r="G20" s="304">
        <v>0</v>
      </c>
      <c r="H20" s="514"/>
      <c r="I20" s="1240">
        <v>4457240</v>
      </c>
      <c r="J20" s="514"/>
      <c r="K20" s="1240">
        <v>4457240</v>
      </c>
      <c r="L20" s="514"/>
      <c r="M20" s="1239">
        <v>0</v>
      </c>
      <c r="N20" s="283"/>
    </row>
    <row r="21" spans="1:14" s="293" customFormat="1" ht="15.75">
      <c r="B21" s="311" t="s">
        <v>690</v>
      </c>
      <c r="C21" s="1240">
        <v>3000000</v>
      </c>
      <c r="D21" s="1224"/>
      <c r="E21" s="514"/>
      <c r="F21" s="1240">
        <v>4000000</v>
      </c>
      <c r="G21" s="304">
        <v>0</v>
      </c>
      <c r="H21" s="514"/>
      <c r="I21" s="1240">
        <v>4000000</v>
      </c>
      <c r="J21" s="514"/>
      <c r="K21" s="1240">
        <v>5000000</v>
      </c>
      <c r="L21" s="514"/>
      <c r="M21" s="1239">
        <v>1000000</v>
      </c>
      <c r="N21" s="283"/>
    </row>
    <row r="22" spans="1:14" s="293" customFormat="1" ht="15.75">
      <c r="B22" s="311" t="s">
        <v>830</v>
      </c>
      <c r="C22" s="1240">
        <v>28088083</v>
      </c>
      <c r="D22" s="1224"/>
      <c r="E22" s="514"/>
      <c r="F22" s="1240">
        <v>13274563</v>
      </c>
      <c r="G22" s="304">
        <v>0</v>
      </c>
      <c r="H22" s="514"/>
      <c r="I22" s="1240">
        <v>13274563</v>
      </c>
      <c r="J22" s="514"/>
      <c r="K22" s="1240">
        <v>4273912</v>
      </c>
      <c r="L22" s="514"/>
      <c r="M22" s="1239">
        <v>-9000651</v>
      </c>
      <c r="N22" s="283"/>
    </row>
    <row r="23" spans="1:14" s="293" customFormat="1" ht="15.75">
      <c r="B23" s="311" t="s">
        <v>841</v>
      </c>
      <c r="C23" s="1240">
        <v>43244143</v>
      </c>
      <c r="D23" s="1224"/>
      <c r="E23" s="514"/>
      <c r="F23" s="1240">
        <v>54611930</v>
      </c>
      <c r="G23" s="304">
        <v>0</v>
      </c>
      <c r="H23" s="514"/>
      <c r="I23" s="1240">
        <v>55170255</v>
      </c>
      <c r="J23" s="514"/>
      <c r="K23" s="1240">
        <v>112064869</v>
      </c>
      <c r="L23" s="514"/>
      <c r="M23" s="1239">
        <v>57452939</v>
      </c>
      <c r="N23" s="283"/>
    </row>
    <row r="24" spans="1:14" s="293" customFormat="1" ht="15.75">
      <c r="B24" s="1246" t="s">
        <v>20</v>
      </c>
      <c r="C24" s="1244">
        <v>209597653</v>
      </c>
      <c r="D24" s="1225">
        <v>0</v>
      </c>
      <c r="E24" s="1060"/>
      <c r="F24" s="1244">
        <v>224780806</v>
      </c>
      <c r="G24" s="1225">
        <v>0</v>
      </c>
      <c r="H24" s="1060"/>
      <c r="I24" s="1244">
        <v>234117286</v>
      </c>
      <c r="J24" s="1060"/>
      <c r="K24" s="1244">
        <v>218726404</v>
      </c>
      <c r="L24" s="1060"/>
      <c r="M24" s="1244">
        <v>-6054402</v>
      </c>
      <c r="N24" s="283"/>
    </row>
    <row r="25" spans="1:14" s="293" customFormat="1" ht="15.75">
      <c r="B25" s="1465"/>
      <c r="C25" s="556"/>
      <c r="D25" s="310"/>
      <c r="E25" s="514"/>
      <c r="F25" s="556"/>
      <c r="G25" s="310"/>
      <c r="H25" s="514"/>
      <c r="I25" s="556"/>
      <c r="J25" s="514"/>
      <c r="K25" s="556"/>
      <c r="L25" s="514"/>
      <c r="M25" s="556"/>
      <c r="N25" s="283"/>
    </row>
    <row r="26" spans="1:14" s="293" customFormat="1" ht="15.75">
      <c r="B26" s="1246" t="s">
        <v>1011</v>
      </c>
      <c r="C26" s="1244">
        <v>0</v>
      </c>
      <c r="D26" s="1225"/>
      <c r="E26" s="1060"/>
      <c r="F26" s="1244">
        <v>2104890</v>
      </c>
      <c r="G26" s="1244">
        <v>0</v>
      </c>
      <c r="H26" s="1244">
        <v>0</v>
      </c>
      <c r="I26" s="1244">
        <v>0</v>
      </c>
      <c r="J26" s="1060"/>
      <c r="K26" s="1244">
        <v>328449</v>
      </c>
      <c r="L26" s="1060"/>
      <c r="M26" s="1244">
        <v>-1776441</v>
      </c>
      <c r="N26" s="283"/>
    </row>
    <row r="27" spans="1:14" s="293" customFormat="1" ht="15.75">
      <c r="B27" s="313"/>
      <c r="C27" s="556"/>
      <c r="D27" s="310"/>
      <c r="E27" s="514"/>
      <c r="F27" s="556"/>
      <c r="G27" s="310"/>
      <c r="H27" s="514"/>
      <c r="I27" s="556"/>
      <c r="J27" s="514"/>
      <c r="K27" s="556"/>
      <c r="L27" s="514"/>
      <c r="M27" s="556"/>
      <c r="N27" s="283"/>
    </row>
    <row r="28" spans="1:14" s="293" customFormat="1" ht="16.5" thickBot="1">
      <c r="B28" s="616" t="s">
        <v>21</v>
      </c>
      <c r="C28" s="1248">
        <v>1215291385</v>
      </c>
      <c r="D28" s="1247">
        <v>0</v>
      </c>
      <c r="E28" s="1473"/>
      <c r="F28" s="1248">
        <v>860585287</v>
      </c>
      <c r="G28" s="1247">
        <v>0</v>
      </c>
      <c r="H28" s="1473"/>
      <c r="I28" s="1248">
        <v>858838802</v>
      </c>
      <c r="J28" s="1473"/>
      <c r="K28" s="1248">
        <v>871835383</v>
      </c>
      <c r="L28" s="1473"/>
      <c r="M28" s="1248">
        <v>11250096</v>
      </c>
      <c r="N28" s="283"/>
    </row>
    <row r="29" spans="1:14" s="293" customFormat="1" ht="16.5" thickTop="1">
      <c r="B29" s="316"/>
      <c r="C29" s="1241" t="s">
        <v>58</v>
      </c>
      <c r="D29" s="304"/>
      <c r="E29" s="514"/>
      <c r="F29" s="1241" t="s">
        <v>58</v>
      </c>
      <c r="G29" s="304"/>
      <c r="H29" s="514"/>
      <c r="I29" s="1241"/>
      <c r="J29" s="514"/>
      <c r="K29" s="1241"/>
      <c r="L29" s="514"/>
      <c r="M29" s="522"/>
      <c r="N29" s="283"/>
    </row>
    <row r="30" spans="1:14" s="293" customFormat="1" ht="15.75">
      <c r="B30" s="349" t="s">
        <v>10</v>
      </c>
      <c r="C30" s="660"/>
      <c r="D30" s="302"/>
      <c r="E30" s="514"/>
      <c r="F30" s="1241"/>
      <c r="G30" s="304"/>
      <c r="H30" s="514"/>
      <c r="I30" s="1241"/>
      <c r="J30" s="514"/>
      <c r="K30" s="554"/>
      <c r="L30" s="514"/>
      <c r="M30" s="518"/>
      <c r="N30" s="283"/>
    </row>
    <row r="31" spans="1:14" s="293" customFormat="1" ht="15.6" customHeight="1">
      <c r="A31" s="621" t="s">
        <v>340</v>
      </c>
      <c r="B31" s="316" t="s">
        <v>11</v>
      </c>
      <c r="C31" s="1240">
        <v>166582018</v>
      </c>
      <c r="D31" s="1224"/>
      <c r="E31" s="514"/>
      <c r="F31" s="1240">
        <v>174216260</v>
      </c>
      <c r="G31" s="304">
        <v>0</v>
      </c>
      <c r="H31" s="514"/>
      <c r="I31" s="1240">
        <v>171824991</v>
      </c>
      <c r="J31" s="514"/>
      <c r="K31" s="1240">
        <v>181597430</v>
      </c>
      <c r="L31" s="514"/>
      <c r="M31" s="1239">
        <v>7381170</v>
      </c>
      <c r="N31" s="283"/>
    </row>
    <row r="32" spans="1:14" s="293" customFormat="1" ht="15.6" customHeight="1">
      <c r="A32" s="621" t="s">
        <v>341</v>
      </c>
      <c r="B32" s="316" t="s">
        <v>12</v>
      </c>
      <c r="C32" s="1240">
        <v>382266107</v>
      </c>
      <c r="D32" s="1224"/>
      <c r="E32" s="514"/>
      <c r="F32" s="1240">
        <v>68595342</v>
      </c>
      <c r="G32" s="304">
        <v>0</v>
      </c>
      <c r="H32" s="514"/>
      <c r="I32" s="1240">
        <v>60829332</v>
      </c>
      <c r="J32" s="514"/>
      <c r="K32" s="1240">
        <v>71056206</v>
      </c>
      <c r="L32" s="514"/>
      <c r="M32" s="1239">
        <v>2460864</v>
      </c>
      <c r="N32" s="283"/>
    </row>
    <row r="33" spans="1:14" s="293" customFormat="1" ht="15.6" customHeight="1">
      <c r="A33" s="621" t="s">
        <v>342</v>
      </c>
      <c r="B33" s="316" t="s">
        <v>13</v>
      </c>
      <c r="C33" s="1240">
        <v>96902028</v>
      </c>
      <c r="D33" s="1224"/>
      <c r="E33" s="514"/>
      <c r="F33" s="1240">
        <v>104063359</v>
      </c>
      <c r="G33" s="304">
        <v>0</v>
      </c>
      <c r="H33" s="514"/>
      <c r="I33" s="1240">
        <v>98123220</v>
      </c>
      <c r="J33" s="514"/>
      <c r="K33" s="1240">
        <v>104674534</v>
      </c>
      <c r="L33" s="514"/>
      <c r="M33" s="1239">
        <v>611175</v>
      </c>
      <c r="N33" s="283"/>
    </row>
    <row r="34" spans="1:14" s="293" customFormat="1" ht="15.6" customHeight="1">
      <c r="A34" s="621" t="s">
        <v>343</v>
      </c>
      <c r="B34" s="316" t="s">
        <v>14</v>
      </c>
      <c r="C34" s="1240">
        <v>128953543</v>
      </c>
      <c r="D34" s="1224"/>
      <c r="E34" s="514"/>
      <c r="F34" s="1240">
        <v>124187474</v>
      </c>
      <c r="G34" s="304">
        <v>0</v>
      </c>
      <c r="H34" s="514"/>
      <c r="I34" s="1240">
        <v>119225917</v>
      </c>
      <c r="J34" s="514"/>
      <c r="K34" s="1240">
        <v>128218307</v>
      </c>
      <c r="L34" s="514"/>
      <c r="M34" s="1239">
        <v>4030833</v>
      </c>
      <c r="N34" s="283"/>
    </row>
    <row r="35" spans="1:14" s="293" customFormat="1" ht="15.6" customHeight="1">
      <c r="A35" s="621" t="s">
        <v>350</v>
      </c>
      <c r="B35" s="316" t="s">
        <v>15</v>
      </c>
      <c r="C35" s="1240">
        <v>10067851</v>
      </c>
      <c r="D35" s="1224"/>
      <c r="E35" s="514"/>
      <c r="F35" s="1240">
        <v>12605429</v>
      </c>
      <c r="G35" s="304">
        <v>1</v>
      </c>
      <c r="H35" s="514"/>
      <c r="I35" s="1240">
        <v>15189841</v>
      </c>
      <c r="J35" s="514"/>
      <c r="K35" s="1240">
        <v>9507378</v>
      </c>
      <c r="L35" s="514"/>
      <c r="M35" s="1239">
        <v>-3098051</v>
      </c>
      <c r="N35" s="283"/>
    </row>
    <row r="36" spans="1:14" s="293" customFormat="1" ht="15.6" customHeight="1">
      <c r="A36" s="621" t="s">
        <v>351</v>
      </c>
      <c r="B36" s="316" t="s">
        <v>16</v>
      </c>
      <c r="C36" s="1240">
        <v>79810248</v>
      </c>
      <c r="D36" s="1224"/>
      <c r="E36" s="514"/>
      <c r="F36" s="1240">
        <v>67749675</v>
      </c>
      <c r="G36" s="304">
        <v>2</v>
      </c>
      <c r="H36" s="514"/>
      <c r="I36" s="1240">
        <v>67748174</v>
      </c>
      <c r="J36" s="514"/>
      <c r="K36" s="1240">
        <v>67745707</v>
      </c>
      <c r="L36" s="514"/>
      <c r="M36" s="1239">
        <v>-3968</v>
      </c>
      <c r="N36" s="283"/>
    </row>
    <row r="37" spans="1:14" s="293" customFormat="1" ht="15.6" customHeight="1">
      <c r="A37" s="621"/>
      <c r="B37" s="316" t="s">
        <v>85</v>
      </c>
      <c r="C37" s="1240">
        <v>5030627</v>
      </c>
      <c r="D37" s="1224"/>
      <c r="E37" s="514"/>
      <c r="F37" s="1240">
        <v>11875275</v>
      </c>
      <c r="G37" s="304"/>
      <c r="H37" s="514"/>
      <c r="I37" s="1240">
        <v>11722196</v>
      </c>
      <c r="J37" s="514"/>
      <c r="K37" s="1240">
        <v>9005614</v>
      </c>
      <c r="L37" s="514"/>
      <c r="M37" s="1239">
        <v>-2869661</v>
      </c>
      <c r="N37" s="283"/>
    </row>
    <row r="38" spans="1:14" s="1480" customFormat="1" ht="15.6" customHeight="1">
      <c r="A38" s="1478" t="s">
        <v>346</v>
      </c>
      <c r="B38" s="316" t="s">
        <v>997</v>
      </c>
      <c r="C38" s="1240">
        <v>3905410</v>
      </c>
      <c r="D38" s="1224"/>
      <c r="E38" s="514"/>
      <c r="F38" s="1240">
        <v>4058400</v>
      </c>
      <c r="G38" s="304"/>
      <c r="H38" s="514"/>
      <c r="I38" s="1240">
        <v>4064400</v>
      </c>
      <c r="J38" s="514"/>
      <c r="K38" s="1240">
        <v>4413026</v>
      </c>
      <c r="L38" s="514"/>
      <c r="M38" s="1239">
        <v>354626</v>
      </c>
      <c r="N38" s="1433"/>
    </row>
    <row r="39" spans="1:14" s="1480" customFormat="1" ht="15.6" customHeight="1">
      <c r="A39" s="1524"/>
      <c r="B39" s="316" t="s">
        <v>1001</v>
      </c>
      <c r="C39" s="1240">
        <v>16116853.59</v>
      </c>
      <c r="D39" s="1224"/>
      <c r="E39" s="514"/>
      <c r="F39" s="1240">
        <v>27697995</v>
      </c>
      <c r="G39" s="304"/>
      <c r="H39" s="514"/>
      <c r="I39" s="1240">
        <v>27697995</v>
      </c>
      <c r="J39" s="514"/>
      <c r="K39" s="1240">
        <v>33228596</v>
      </c>
      <c r="L39" s="514"/>
      <c r="M39" s="1239">
        <v>5530601</v>
      </c>
      <c r="N39" s="1433"/>
    </row>
    <row r="40" spans="1:14" s="1480" customFormat="1" ht="15.6" customHeight="1">
      <c r="A40" s="1524"/>
      <c r="B40" s="316" t="s">
        <v>998</v>
      </c>
      <c r="C40" s="1240">
        <v>122513</v>
      </c>
      <c r="D40" s="1224"/>
      <c r="E40" s="514"/>
      <c r="F40" s="1240">
        <v>2235352</v>
      </c>
      <c r="G40" s="304"/>
      <c r="H40" s="514"/>
      <c r="I40" s="1240">
        <v>2235352</v>
      </c>
      <c r="J40" s="514"/>
      <c r="K40" s="1240">
        <v>3000000</v>
      </c>
      <c r="L40" s="514"/>
      <c r="M40" s="1239">
        <v>764648</v>
      </c>
      <c r="N40" s="1433"/>
    </row>
    <row r="41" spans="1:14" s="293" customFormat="1" ht="15.75">
      <c r="B41" s="316" t="s">
        <v>1000</v>
      </c>
      <c r="C41" s="1240">
        <v>64789106.030000001</v>
      </c>
      <c r="D41" s="1224"/>
      <c r="E41" s="514"/>
      <c r="F41" s="1240">
        <v>25986290.5</v>
      </c>
      <c r="G41" s="304"/>
      <c r="H41" s="514"/>
      <c r="I41" s="1240">
        <v>25003407</v>
      </c>
      <c r="J41" s="514"/>
      <c r="K41" s="1240">
        <v>25287468</v>
      </c>
      <c r="L41" s="514"/>
      <c r="M41" s="1239">
        <v>-698822.5</v>
      </c>
      <c r="N41" s="283"/>
    </row>
    <row r="42" spans="1:14" s="293" customFormat="1" ht="15.75">
      <c r="B42" s="316" t="s">
        <v>999</v>
      </c>
      <c r="C42" s="1240">
        <v>7679434.9500000002</v>
      </c>
      <c r="D42" s="1224"/>
      <c r="E42" s="514"/>
      <c r="F42" s="1240">
        <v>5608046.1399999997</v>
      </c>
      <c r="G42" s="304"/>
      <c r="H42" s="514"/>
      <c r="I42" s="1240">
        <v>5608046.1399999997</v>
      </c>
      <c r="J42" s="514"/>
      <c r="K42" s="1240">
        <v>6487273</v>
      </c>
      <c r="L42" s="514"/>
      <c r="M42" s="1239">
        <v>879226.86000000034</v>
      </c>
      <c r="N42" s="283"/>
    </row>
    <row r="43" spans="1:14" s="293" customFormat="1" ht="15.75">
      <c r="B43" s="1482" t="s">
        <v>1010</v>
      </c>
      <c r="C43" s="1240">
        <v>1785904.2200000002</v>
      </c>
      <c r="D43" s="514"/>
      <c r="E43" s="514"/>
      <c r="F43" s="1240">
        <v>0</v>
      </c>
      <c r="G43" s="1479">
        <v>3</v>
      </c>
      <c r="H43" s="514"/>
      <c r="I43" s="1240">
        <v>0</v>
      </c>
      <c r="J43" s="514"/>
      <c r="K43" s="1240">
        <v>0</v>
      </c>
      <c r="L43" s="514"/>
      <c r="M43" s="1239">
        <v>0</v>
      </c>
      <c r="N43" s="283"/>
    </row>
    <row r="44" spans="1:14" s="293" customFormat="1" ht="15.75">
      <c r="B44" s="1246" t="s">
        <v>22</v>
      </c>
      <c r="C44" s="1244">
        <v>964011643.79000008</v>
      </c>
      <c r="D44" s="1225">
        <v>0</v>
      </c>
      <c r="E44" s="1060"/>
      <c r="F44" s="1244">
        <v>628878897.63999999</v>
      </c>
      <c r="G44" s="1225">
        <v>6</v>
      </c>
      <c r="H44" s="1060"/>
      <c r="I44" s="1244">
        <v>609272871.13999999</v>
      </c>
      <c r="J44" s="1060"/>
      <c r="K44" s="1244">
        <v>644221539</v>
      </c>
      <c r="L44" s="1060"/>
      <c r="M44" s="1244">
        <v>15342641.359999999</v>
      </c>
      <c r="N44" s="283"/>
    </row>
    <row r="45" spans="1:14" s="293" customFormat="1" ht="15.75">
      <c r="B45" s="311"/>
      <c r="C45" s="554"/>
      <c r="D45" s="304"/>
      <c r="E45" s="514"/>
      <c r="F45" s="1241"/>
      <c r="G45" s="304"/>
      <c r="H45" s="514"/>
      <c r="I45" s="1241"/>
      <c r="J45" s="514"/>
      <c r="K45" s="1241"/>
      <c r="L45" s="514"/>
      <c r="M45" s="518"/>
      <c r="N45" s="283"/>
    </row>
    <row r="46" spans="1:14" s="293" customFormat="1" ht="15.75">
      <c r="B46" s="311" t="s">
        <v>1011</v>
      </c>
      <c r="C46" s="554">
        <v>0</v>
      </c>
      <c r="D46" s="304"/>
      <c r="E46" s="514"/>
      <c r="F46" s="1241">
        <v>2104890</v>
      </c>
      <c r="G46" s="304"/>
      <c r="H46" s="514"/>
      <c r="I46" s="1241">
        <v>0</v>
      </c>
      <c r="J46" s="514"/>
      <c r="K46" s="1241">
        <v>328449</v>
      </c>
      <c r="L46" s="514"/>
      <c r="M46" s="1239">
        <v>-1776441</v>
      </c>
      <c r="N46" s="283"/>
    </row>
    <row r="47" spans="1:14" s="293" customFormat="1" ht="15.75" hidden="1">
      <c r="B47" s="311" t="s">
        <v>973</v>
      </c>
      <c r="C47" s="554">
        <v>0</v>
      </c>
      <c r="D47" s="304"/>
      <c r="E47" s="514"/>
      <c r="F47" s="1241">
        <v>0</v>
      </c>
      <c r="G47" s="304"/>
      <c r="H47" s="514"/>
      <c r="I47" s="1241">
        <v>0</v>
      </c>
      <c r="J47" s="514"/>
      <c r="K47" s="1241">
        <v>0</v>
      </c>
      <c r="L47" s="514"/>
      <c r="M47" s="1239">
        <v>0</v>
      </c>
      <c r="N47" s="283"/>
    </row>
    <row r="48" spans="1:14" s="293" customFormat="1" ht="15.75">
      <c r="B48" s="1246" t="s">
        <v>970</v>
      </c>
      <c r="C48" s="1244">
        <v>0</v>
      </c>
      <c r="D48" s="1225"/>
      <c r="E48" s="1244" t="s">
        <v>58</v>
      </c>
      <c r="F48" s="1244">
        <v>2104890</v>
      </c>
      <c r="G48" s="1225"/>
      <c r="H48" s="523"/>
      <c r="I48" s="1244">
        <v>0</v>
      </c>
      <c r="J48" s="523"/>
      <c r="K48" s="1244">
        <v>328449</v>
      </c>
      <c r="L48" s="523"/>
      <c r="M48" s="1026">
        <v>-1776441</v>
      </c>
      <c r="N48" s="283"/>
    </row>
    <row r="49" spans="2:14" s="293" customFormat="1" ht="15.75">
      <c r="B49" s="311"/>
      <c r="C49" s="554"/>
      <c r="D49" s="304"/>
      <c r="E49" s="514"/>
      <c r="F49" s="1241"/>
      <c r="G49" s="304"/>
      <c r="H49" s="514"/>
      <c r="I49" s="1241"/>
      <c r="J49" s="514"/>
      <c r="K49" s="1241"/>
      <c r="L49" s="514"/>
      <c r="M49" s="518"/>
      <c r="N49" s="283"/>
    </row>
    <row r="50" spans="2:14" s="293" customFormat="1" ht="15.75" hidden="1">
      <c r="B50" s="313" t="s">
        <v>321</v>
      </c>
      <c r="C50" s="556"/>
      <c r="D50" s="311"/>
      <c r="E50" s="514"/>
      <c r="F50" s="554"/>
      <c r="G50" s="311"/>
      <c r="H50" s="514"/>
      <c r="I50" s="554"/>
      <c r="J50" s="514"/>
      <c r="K50" s="554"/>
      <c r="L50" s="514"/>
      <c r="M50" s="522" t="s">
        <v>58</v>
      </c>
      <c r="N50" s="283"/>
    </row>
    <row r="51" spans="2:14" s="293" customFormat="1" ht="15.75">
      <c r="B51" s="316" t="s">
        <v>31</v>
      </c>
      <c r="C51" s="1241">
        <v>97706327</v>
      </c>
      <c r="D51" s="304"/>
      <c r="E51" s="515"/>
      <c r="F51" s="1241">
        <v>94097160</v>
      </c>
      <c r="G51" s="304"/>
      <c r="H51" s="515"/>
      <c r="I51" s="1241">
        <v>109633314</v>
      </c>
      <c r="J51" s="515"/>
      <c r="K51" s="1241">
        <v>99563821</v>
      </c>
      <c r="L51" s="515"/>
      <c r="M51" s="1239">
        <v>5466661</v>
      </c>
      <c r="N51" s="283"/>
    </row>
    <row r="52" spans="2:14" s="293" customFormat="1" ht="15.75" hidden="1">
      <c r="B52" s="316" t="s">
        <v>37</v>
      </c>
      <c r="C52" s="1241">
        <v>0</v>
      </c>
      <c r="D52" s="304"/>
      <c r="E52" s="515"/>
      <c r="F52" s="1241">
        <v>0</v>
      </c>
      <c r="G52" s="304"/>
      <c r="H52" s="515"/>
      <c r="I52" s="1241">
        <v>0</v>
      </c>
      <c r="J52" s="515"/>
      <c r="K52" s="1241">
        <v>0</v>
      </c>
      <c r="L52" s="515"/>
      <c r="M52" s="1239">
        <v>0</v>
      </c>
      <c r="N52" s="283"/>
    </row>
    <row r="53" spans="2:14" s="293" customFormat="1" ht="15.75">
      <c r="B53" s="311" t="s">
        <v>782</v>
      </c>
      <c r="C53" s="1241">
        <v>4457240</v>
      </c>
      <c r="D53" s="304"/>
      <c r="E53" s="515"/>
      <c r="F53" s="1241">
        <v>4457240</v>
      </c>
      <c r="G53" s="304"/>
      <c r="H53" s="515"/>
      <c r="I53" s="1241">
        <v>4457240</v>
      </c>
      <c r="J53" s="515"/>
      <c r="K53" s="1241">
        <v>4457240</v>
      </c>
      <c r="L53" s="515"/>
      <c r="M53" s="1239">
        <v>0</v>
      </c>
      <c r="N53" s="283"/>
    </row>
    <row r="54" spans="2:14" s="293" customFormat="1" ht="15.75">
      <c r="B54" s="311" t="s">
        <v>690</v>
      </c>
      <c r="C54" s="1241">
        <v>4000000</v>
      </c>
      <c r="D54" s="304"/>
      <c r="E54" s="515"/>
      <c r="F54" s="1241">
        <v>5000000</v>
      </c>
      <c r="G54" s="304"/>
      <c r="H54" s="515"/>
      <c r="I54" s="1241">
        <v>5000000</v>
      </c>
      <c r="J54" s="515"/>
      <c r="K54" s="1241">
        <v>6000000</v>
      </c>
      <c r="L54" s="515"/>
      <c r="M54" s="1239">
        <v>1000000</v>
      </c>
      <c r="N54" s="283"/>
    </row>
    <row r="55" spans="2:14" s="625" customFormat="1" ht="15.75">
      <c r="B55" s="311" t="s">
        <v>830</v>
      </c>
      <c r="C55" s="1241">
        <v>13274563</v>
      </c>
      <c r="D55" s="304"/>
      <c r="E55" s="515"/>
      <c r="F55" s="1241">
        <v>4273912</v>
      </c>
      <c r="G55" s="304"/>
      <c r="H55" s="515"/>
      <c r="I55" s="1241">
        <v>4273912</v>
      </c>
      <c r="J55" s="515"/>
      <c r="K55" s="1241">
        <v>0</v>
      </c>
      <c r="L55" s="515"/>
      <c r="M55" s="1239">
        <v>-4273912</v>
      </c>
      <c r="N55" s="283"/>
    </row>
    <row r="56" spans="2:14" s="625" customFormat="1" ht="15.75">
      <c r="B56" s="316" t="s">
        <v>841</v>
      </c>
      <c r="C56" s="1241">
        <v>131841611</v>
      </c>
      <c r="D56" s="304">
        <v>0</v>
      </c>
      <c r="E56" s="514"/>
      <c r="F56" s="1241">
        <v>121773187</v>
      </c>
      <c r="G56" s="304">
        <v>121773187</v>
      </c>
      <c r="H56" s="514"/>
      <c r="I56" s="1241">
        <v>126201465</v>
      </c>
      <c r="J56" s="514"/>
      <c r="K56" s="1241">
        <v>117264334</v>
      </c>
      <c r="L56" s="514"/>
      <c r="M56" s="1239">
        <v>-4508853</v>
      </c>
      <c r="N56" s="283"/>
    </row>
    <row r="57" spans="2:14" s="293" customFormat="1" ht="15.75">
      <c r="B57" s="1246" t="s">
        <v>323</v>
      </c>
      <c r="C57" s="1251">
        <v>251279741</v>
      </c>
      <c r="D57" s="1225">
        <v>0</v>
      </c>
      <c r="E57" s="1060"/>
      <c r="F57" s="1251">
        <v>229601499</v>
      </c>
      <c r="G57" s="1225">
        <v>121773187</v>
      </c>
      <c r="H57" s="1060"/>
      <c r="I57" s="1251">
        <v>249565931</v>
      </c>
      <c r="J57" s="1060"/>
      <c r="K57" s="1251">
        <v>227285395</v>
      </c>
      <c r="L57" s="1060"/>
      <c r="M57" s="1251">
        <v>-2316104</v>
      </c>
      <c r="N57" s="283"/>
    </row>
    <row r="58" spans="2:14" s="293" customFormat="1" ht="21" customHeight="1">
      <c r="B58" s="313"/>
      <c r="C58" s="1245"/>
      <c r="D58" s="310"/>
      <c r="E58" s="514"/>
      <c r="F58" s="1245"/>
      <c r="G58" s="310"/>
      <c r="H58" s="514"/>
      <c r="I58" s="1245"/>
      <c r="J58" s="514"/>
      <c r="K58" s="1245"/>
      <c r="L58" s="514"/>
      <c r="M58" s="1024"/>
      <c r="N58" s="283"/>
    </row>
    <row r="59" spans="2:14" s="293" customFormat="1" ht="16.5" thickBot="1">
      <c r="B59" s="616" t="s">
        <v>25</v>
      </c>
      <c r="C59" s="1266">
        <v>1215291384.79</v>
      </c>
      <c r="D59" s="652">
        <v>0</v>
      </c>
      <c r="E59" s="1473"/>
      <c r="F59" s="1266">
        <v>860585286.63999999</v>
      </c>
      <c r="G59" s="652">
        <v>121773193</v>
      </c>
      <c r="H59" s="1473"/>
      <c r="I59" s="1266">
        <v>858838802.13999999</v>
      </c>
      <c r="J59" s="1473"/>
      <c r="K59" s="1266">
        <v>871835383</v>
      </c>
      <c r="L59" s="1473"/>
      <c r="M59" s="1266">
        <v>11250096</v>
      </c>
      <c r="N59" s="283"/>
    </row>
    <row r="60" spans="2:14" s="293" customFormat="1" ht="24.6" customHeight="1" thickTop="1">
      <c r="B60" s="313"/>
      <c r="C60" s="556"/>
      <c r="D60" s="332"/>
      <c r="E60" s="514"/>
      <c r="F60" s="556"/>
      <c r="G60" s="332"/>
      <c r="H60" s="514"/>
      <c r="I60" s="556"/>
      <c r="J60" s="514"/>
      <c r="K60" s="556"/>
      <c r="L60" s="514"/>
      <c r="M60" s="556"/>
      <c r="N60" s="283"/>
    </row>
  </sheetData>
  <mergeCells count="2">
    <mergeCell ref="B1:K1"/>
    <mergeCell ref="B3:M3"/>
  </mergeCells>
  <printOptions horizontalCentered="1"/>
  <pageMargins left="0.5" right="0.5" top="0.5" bottom="0.5" header="0.5" footer="0.5"/>
  <pageSetup scale="80"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100"/>
  <sheetViews>
    <sheetView workbookViewId="0">
      <selection activeCell="M14" sqref="M14:M18"/>
    </sheetView>
  </sheetViews>
  <sheetFormatPr defaultRowHeight="12.75"/>
  <cols>
    <col min="1" max="1" width="8.85546875" style="1595" customWidth="1"/>
    <col min="16" max="16" width="17.42578125" bestFit="1" customWidth="1"/>
    <col min="17" max="17" width="17.42578125" style="1601" customWidth="1"/>
    <col min="18" max="18" width="14.7109375" customWidth="1"/>
  </cols>
  <sheetData>
    <row r="1" spans="1:18" ht="35.450000000000003" customHeight="1">
      <c r="A1" s="1705" t="s">
        <v>865</v>
      </c>
      <c r="B1" s="1705"/>
      <c r="C1" s="1705"/>
      <c r="D1" s="1705"/>
      <c r="E1" s="1705"/>
      <c r="F1" s="1705"/>
      <c r="G1" s="1705"/>
      <c r="H1" s="1705"/>
      <c r="I1" s="1705"/>
      <c r="J1" s="1705"/>
      <c r="K1" s="1596"/>
      <c r="L1" s="1596"/>
    </row>
    <row r="2" spans="1:18">
      <c r="A2"/>
    </row>
    <row r="3" spans="1:18">
      <c r="A3"/>
    </row>
    <row r="4" spans="1:18">
      <c r="A4"/>
    </row>
    <row r="5" spans="1:18">
      <c r="A5"/>
      <c r="P5" s="1200" t="s">
        <v>3</v>
      </c>
      <c r="Q5" s="1602">
        <v>165974363</v>
      </c>
      <c r="R5" s="1199">
        <v>0.19</v>
      </c>
    </row>
    <row r="6" spans="1:18">
      <c r="A6"/>
      <c r="P6" s="1200" t="s">
        <v>4</v>
      </c>
      <c r="Q6" s="1602">
        <v>17478562</v>
      </c>
      <c r="R6" s="1199">
        <v>0.02</v>
      </c>
    </row>
    <row r="7" spans="1:18" ht="22.5">
      <c r="A7"/>
      <c r="P7" s="1203" t="s">
        <v>860</v>
      </c>
      <c r="Q7" s="1603">
        <v>36854206</v>
      </c>
      <c r="R7" s="1199">
        <v>4.2000000000000003E-2</v>
      </c>
    </row>
    <row r="8" spans="1:18">
      <c r="A8"/>
      <c r="P8" s="1201" t="s">
        <v>114</v>
      </c>
      <c r="Q8" s="1603">
        <v>258978040</v>
      </c>
      <c r="R8" s="1199">
        <v>0.29699999999999999</v>
      </c>
    </row>
    <row r="9" spans="1:18">
      <c r="A9"/>
      <c r="P9" s="1200" t="s">
        <v>368</v>
      </c>
      <c r="Q9" s="1603">
        <v>7839864</v>
      </c>
      <c r="R9" s="1199">
        <v>8.9999999999999993E-3</v>
      </c>
    </row>
    <row r="10" spans="1:18">
      <c r="A10"/>
      <c r="P10" s="1200" t="s">
        <v>8</v>
      </c>
      <c r="Q10" s="1603">
        <v>96164485</v>
      </c>
      <c r="R10" s="1199">
        <v>0.11</v>
      </c>
    </row>
    <row r="11" spans="1:18">
      <c r="A11"/>
      <c r="P11" s="1200" t="s">
        <v>28</v>
      </c>
      <c r="Q11" s="1603">
        <v>38651483</v>
      </c>
      <c r="R11" s="1199">
        <v>4.3999999999999997E-2</v>
      </c>
    </row>
    <row r="12" spans="1:18">
      <c r="A12"/>
      <c r="P12" s="1200" t="s">
        <v>319</v>
      </c>
      <c r="Q12" s="1603">
        <v>30839527</v>
      </c>
      <c r="R12" s="1199">
        <v>3.5000000000000003E-2</v>
      </c>
    </row>
    <row r="13" spans="1:18">
      <c r="A13"/>
      <c r="P13" s="1200" t="s">
        <v>20</v>
      </c>
      <c r="Q13" s="1603">
        <v>218726404</v>
      </c>
      <c r="R13" s="1199">
        <v>0.251</v>
      </c>
    </row>
    <row r="14" spans="1:18">
      <c r="A14"/>
      <c r="P14" s="1200" t="s">
        <v>1011</v>
      </c>
      <c r="Q14" s="1603">
        <v>328449</v>
      </c>
      <c r="R14" s="1199">
        <v>0</v>
      </c>
    </row>
    <row r="15" spans="1:18" ht="13.5" thickBot="1">
      <c r="A15"/>
      <c r="P15" s="668" t="s">
        <v>58</v>
      </c>
      <c r="Q15" s="727">
        <v>871835383</v>
      </c>
      <c r="R15" s="1199">
        <v>0.998</v>
      </c>
    </row>
    <row r="16" spans="1:18" ht="13.5" thickTop="1">
      <c r="A16"/>
      <c r="P16" s="293"/>
      <c r="Q16" s="293"/>
      <c r="R16" s="293"/>
    </row>
    <row r="17" spans="1:18">
      <c r="A17"/>
      <c r="R17" s="986">
        <v>100</v>
      </c>
    </row>
    <row r="18" spans="1:18">
      <c r="A18"/>
    </row>
    <row r="19" spans="1:18">
      <c r="A19"/>
    </row>
    <row r="20" spans="1:18">
      <c r="A20"/>
    </row>
    <row r="21" spans="1:18">
      <c r="A21"/>
    </row>
    <row r="22" spans="1:18">
      <c r="A22"/>
    </row>
    <row r="23" spans="1:18">
      <c r="A23"/>
    </row>
    <row r="24" spans="1:18">
      <c r="A24"/>
    </row>
    <row r="25" spans="1:18">
      <c r="A25"/>
    </row>
    <row r="26" spans="1:18">
      <c r="A26"/>
    </row>
    <row r="27" spans="1:18" s="1595" customFormat="1">
      <c r="Q27" s="1601"/>
    </row>
    <row r="28" spans="1:18" s="1595" customFormat="1">
      <c r="Q28" s="1601"/>
    </row>
    <row r="29" spans="1:18">
      <c r="A29"/>
    </row>
    <row r="30" spans="1:18">
      <c r="A30"/>
    </row>
    <row r="31" spans="1:18">
      <c r="A31"/>
    </row>
    <row r="32" spans="1:18">
      <c r="A32"/>
    </row>
    <row r="33" spans="1:18">
      <c r="A33"/>
    </row>
    <row r="34" spans="1:18">
      <c r="A34"/>
    </row>
    <row r="35" spans="1:18">
      <c r="A35"/>
    </row>
    <row r="36" spans="1:18">
      <c r="A36"/>
    </row>
    <row r="37" spans="1:18">
      <c r="A37"/>
    </row>
    <row r="38" spans="1:18">
      <c r="A38"/>
      <c r="P38" s="1202" t="s">
        <v>11</v>
      </c>
      <c r="Q38" s="1604">
        <v>181597430</v>
      </c>
      <c r="R38" s="1199">
        <v>0.20799999999999999</v>
      </c>
    </row>
    <row r="39" spans="1:18">
      <c r="A39"/>
      <c r="P39" s="1202" t="s">
        <v>12</v>
      </c>
      <c r="Q39" s="1604">
        <v>71056206</v>
      </c>
      <c r="R39" s="1199">
        <v>8.2000000000000003E-2</v>
      </c>
    </row>
    <row r="40" spans="1:18">
      <c r="A40"/>
      <c r="P40" s="1202" t="s">
        <v>801</v>
      </c>
      <c r="Q40" s="1604">
        <v>104674534</v>
      </c>
      <c r="R40" s="1199">
        <v>0.12</v>
      </c>
    </row>
    <row r="41" spans="1:18">
      <c r="A41"/>
      <c r="P41" s="1202" t="s">
        <v>14</v>
      </c>
      <c r="Q41" s="1604">
        <v>128218307</v>
      </c>
      <c r="R41" s="1199">
        <v>0.14699999999999999</v>
      </c>
    </row>
    <row r="42" spans="1:18">
      <c r="A42"/>
      <c r="P42" s="1202" t="s">
        <v>15</v>
      </c>
      <c r="Q42" s="1604">
        <v>9507378</v>
      </c>
      <c r="R42" s="1199">
        <v>1.0999999999999999E-2</v>
      </c>
    </row>
    <row r="43" spans="1:18">
      <c r="A43"/>
      <c r="P43" s="1202" t="s">
        <v>16</v>
      </c>
      <c r="Q43" s="1604">
        <v>67745707</v>
      </c>
      <c r="R43" s="1199">
        <v>7.8E-2</v>
      </c>
    </row>
    <row r="44" spans="1:18">
      <c r="A44"/>
      <c r="P44" s="1202" t="s">
        <v>85</v>
      </c>
      <c r="Q44" s="1604">
        <v>9005614</v>
      </c>
      <c r="R44" s="1199">
        <v>0.01</v>
      </c>
    </row>
    <row r="45" spans="1:18">
      <c r="A45"/>
      <c r="P45" s="1202" t="s">
        <v>38</v>
      </c>
      <c r="Q45" s="1604">
        <v>72416363</v>
      </c>
      <c r="R45" s="1199">
        <v>8.3000000000000004E-2</v>
      </c>
    </row>
    <row r="46" spans="1:18">
      <c r="A46"/>
      <c r="P46" s="1202" t="s">
        <v>1011</v>
      </c>
      <c r="Q46" s="1604">
        <v>328449</v>
      </c>
      <c r="R46" s="1199">
        <v>0</v>
      </c>
    </row>
    <row r="47" spans="1:18">
      <c r="A47"/>
      <c r="P47" s="1202" t="s">
        <v>323</v>
      </c>
      <c r="Q47" s="1604">
        <v>227285395</v>
      </c>
      <c r="R47" s="1199">
        <v>0.26100000000000001</v>
      </c>
    </row>
    <row r="48" spans="1:18" ht="13.5" thickBot="1">
      <c r="A48"/>
      <c r="P48" s="668" t="s">
        <v>58</v>
      </c>
      <c r="Q48" s="727">
        <v>871835383</v>
      </c>
      <c r="R48" s="1199">
        <v>0.99999999999999989</v>
      </c>
    </row>
    <row r="49" spans="1:18" ht="13.5" thickTop="1">
      <c r="A49"/>
    </row>
    <row r="50" spans="1:18">
      <c r="A50"/>
      <c r="R50" s="986">
        <v>100</v>
      </c>
    </row>
    <row r="51" spans="1:18">
      <c r="A51"/>
    </row>
    <row r="52" spans="1:18">
      <c r="A52"/>
    </row>
    <row r="53" spans="1:18">
      <c r="A53"/>
    </row>
    <row r="54" spans="1:18">
      <c r="A54"/>
    </row>
    <row r="55" spans="1:18">
      <c r="A55"/>
    </row>
    <row r="56" spans="1:18">
      <c r="A56"/>
    </row>
    <row r="57" spans="1:18">
      <c r="A57"/>
    </row>
    <row r="58" spans="1:18">
      <c r="A58"/>
    </row>
    <row r="59" spans="1:18">
      <c r="A59"/>
    </row>
    <row r="60" spans="1:18">
      <c r="A60"/>
    </row>
    <row r="61" spans="1:18">
      <c r="A61"/>
    </row>
    <row r="62" spans="1:18">
      <c r="A62"/>
    </row>
    <row r="63" spans="1:18">
      <c r="A63"/>
    </row>
    <row r="64" spans="1:18">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sheetData>
  <mergeCells count="1">
    <mergeCell ref="A1:J1"/>
  </mergeCells>
  <printOptions horizontalCentered="1"/>
  <pageMargins left="0.7" right="0.7" top="0.5" bottom="0.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1"/>
  <sheetViews>
    <sheetView showGridLines="0" zoomScaleNormal="100" zoomScaleSheetLayoutView="80" workbookViewId="0">
      <selection activeCell="E20" sqref="E20"/>
    </sheetView>
  </sheetViews>
  <sheetFormatPr defaultColWidth="9.140625" defaultRowHeight="15.75"/>
  <cols>
    <col min="1" max="1" width="36.85546875" style="380" customWidth="1"/>
    <col min="2" max="2" width="2.7109375" style="380" customWidth="1"/>
    <col min="3" max="3" width="19.28515625" style="375" customWidth="1"/>
    <col min="4" max="4" width="16.7109375" style="380" hidden="1" customWidth="1"/>
    <col min="5" max="5" width="19.28515625" style="380" customWidth="1"/>
    <col min="6" max="7" width="17" style="380" hidden="1" customWidth="1"/>
    <col min="8" max="9" width="17" style="380" customWidth="1"/>
    <col min="10" max="10" width="19.28515625" style="380" customWidth="1"/>
    <col min="11" max="11" width="13.5703125" style="1838" hidden="1" customWidth="1"/>
    <col min="12" max="12" width="15.42578125" style="380" hidden="1" customWidth="1"/>
    <col min="13" max="13" width="4.28515625" style="380" customWidth="1"/>
    <col min="14" max="14" width="15.7109375" style="380" customWidth="1"/>
    <col min="15" max="16384" width="9.140625" style="380"/>
  </cols>
  <sheetData>
    <row r="1" spans="1:14" s="1804" customFormat="1" ht="49.9" customHeight="1" thickBot="1">
      <c r="A1" s="1803" t="s">
        <v>1026</v>
      </c>
      <c r="B1" s="1803"/>
      <c r="C1" s="1803"/>
      <c r="D1" s="1803"/>
      <c r="E1" s="1803"/>
      <c r="F1" s="1803"/>
      <c r="G1" s="1803"/>
      <c r="H1" s="1803"/>
      <c r="I1" s="1803"/>
      <c r="J1" s="1803"/>
      <c r="K1" s="1803"/>
    </row>
    <row r="2" spans="1:14" ht="15.6" customHeight="1">
      <c r="A2" s="1805"/>
      <c r="B2" s="1805"/>
      <c r="C2" s="1806" t="s">
        <v>978</v>
      </c>
      <c r="D2" s="1806" t="s">
        <v>966</v>
      </c>
      <c r="E2" s="1806" t="s">
        <v>979</v>
      </c>
      <c r="F2" s="1807" t="s">
        <v>1027</v>
      </c>
      <c r="G2" s="1807" t="s">
        <v>1028</v>
      </c>
      <c r="H2" s="1808" t="s">
        <v>980</v>
      </c>
      <c r="I2" s="1806" t="s">
        <v>989</v>
      </c>
      <c r="J2" s="1806" t="s">
        <v>1029</v>
      </c>
      <c r="K2" s="1809"/>
    </row>
    <row r="3" spans="1:14" ht="15.6" customHeight="1">
      <c r="A3" s="1810"/>
      <c r="B3" s="1810"/>
      <c r="C3" s="1811"/>
      <c r="D3" s="1811"/>
      <c r="E3" s="1811"/>
      <c r="F3" s="358" t="s">
        <v>528</v>
      </c>
      <c r="G3" s="358" t="s">
        <v>1030</v>
      </c>
      <c r="H3" s="1812"/>
      <c r="I3" s="1811"/>
      <c r="J3" s="1811"/>
      <c r="K3" s="1813" t="s">
        <v>58</v>
      </c>
    </row>
    <row r="4" spans="1:14" ht="15.6" customHeight="1">
      <c r="A4" s="1810"/>
      <c r="B4" s="1810"/>
      <c r="C4" s="1811"/>
      <c r="D4" s="1811"/>
      <c r="E4" s="1811"/>
      <c r="F4" s="1814">
        <v>41172</v>
      </c>
      <c r="G4" s="1814">
        <v>41172</v>
      </c>
      <c r="H4" s="1812"/>
      <c r="I4" s="1811"/>
      <c r="J4" s="1811"/>
      <c r="K4" s="358" t="s">
        <v>1031</v>
      </c>
    </row>
    <row r="5" spans="1:14" ht="16.149999999999999" customHeight="1" thickBot="1">
      <c r="A5" s="1815"/>
      <c r="B5" s="1816"/>
      <c r="C5" s="1817"/>
      <c r="D5" s="1817"/>
      <c r="E5" s="1817"/>
      <c r="F5" s="1818" t="s">
        <v>186</v>
      </c>
      <c r="G5" s="1818" t="s">
        <v>186</v>
      </c>
      <c r="H5" s="1819"/>
      <c r="I5" s="1817"/>
      <c r="J5" s="1817"/>
      <c r="K5" s="1818" t="s">
        <v>686</v>
      </c>
    </row>
    <row r="6" spans="1:14" ht="20.45" customHeight="1">
      <c r="A6" s="1820" t="s">
        <v>947</v>
      </c>
      <c r="B6" s="1821"/>
      <c r="C6" s="1822"/>
      <c r="D6" s="359"/>
      <c r="E6" s="1822"/>
      <c r="F6" s="359"/>
      <c r="G6" s="359"/>
      <c r="H6" s="359"/>
      <c r="I6" s="359"/>
      <c r="J6" s="1823"/>
      <c r="K6" s="359"/>
    </row>
    <row r="7" spans="1:14" ht="16.149999999999999" customHeight="1">
      <c r="A7" s="1820" t="s">
        <v>1032</v>
      </c>
      <c r="B7" s="380" t="s">
        <v>424</v>
      </c>
      <c r="C7" s="375">
        <v>93756361</v>
      </c>
      <c r="D7" s="375">
        <v>97569296</v>
      </c>
      <c r="E7" s="375">
        <v>97569296</v>
      </c>
      <c r="F7" s="375">
        <v>94261201</v>
      </c>
      <c r="G7" s="375">
        <v>0</v>
      </c>
      <c r="H7" s="375">
        <v>97569296</v>
      </c>
      <c r="I7" s="375">
        <v>103148871</v>
      </c>
      <c r="J7" s="375">
        <v>5579575</v>
      </c>
      <c r="K7" s="1824">
        <v>-0.94281423328092884</v>
      </c>
      <c r="L7" s="1825">
        <v>0.58081809359107939</v>
      </c>
      <c r="N7" s="380" t="s">
        <v>58</v>
      </c>
    </row>
    <row r="8" spans="1:14" ht="15.6" hidden="1" customHeight="1">
      <c r="A8" s="1820" t="s">
        <v>1033</v>
      </c>
      <c r="C8" s="375">
        <v>0</v>
      </c>
      <c r="D8" s="375">
        <v>0</v>
      </c>
      <c r="E8" s="375">
        <v>0</v>
      </c>
      <c r="F8" s="375">
        <v>0</v>
      </c>
      <c r="G8" s="375">
        <v>0</v>
      </c>
      <c r="H8" s="375">
        <v>0</v>
      </c>
      <c r="I8" s="375">
        <v>0</v>
      </c>
      <c r="J8" s="375">
        <v>0</v>
      </c>
      <c r="K8" s="1824">
        <v>0</v>
      </c>
      <c r="L8" s="1826"/>
    </row>
    <row r="9" spans="1:14" ht="15.6" hidden="1" customHeight="1">
      <c r="A9" s="380" t="s">
        <v>1034</v>
      </c>
      <c r="D9" s="375"/>
      <c r="E9" s="375"/>
      <c r="F9" s="375"/>
      <c r="G9" s="375"/>
      <c r="H9" s="375"/>
      <c r="I9" s="375"/>
      <c r="J9" s="375">
        <v>0</v>
      </c>
      <c r="K9" s="1824">
        <v>0</v>
      </c>
      <c r="L9" s="1826"/>
    </row>
    <row r="10" spans="1:14" ht="15.6" hidden="1" customHeight="1">
      <c r="A10" s="380" t="s">
        <v>1035</v>
      </c>
      <c r="C10" s="375">
        <v>0</v>
      </c>
      <c r="D10" s="375">
        <v>0</v>
      </c>
      <c r="E10" s="375">
        <v>0</v>
      </c>
      <c r="F10" s="375">
        <v>0</v>
      </c>
      <c r="G10" s="375">
        <v>0</v>
      </c>
      <c r="H10" s="375">
        <v>0</v>
      </c>
      <c r="I10" s="375">
        <v>0</v>
      </c>
      <c r="J10" s="375">
        <v>0</v>
      </c>
      <c r="K10" s="1824">
        <v>0</v>
      </c>
      <c r="L10" s="1826"/>
    </row>
    <row r="11" spans="1:14" ht="15.6" hidden="1" customHeight="1">
      <c r="A11" s="356" t="s">
        <v>1036</v>
      </c>
      <c r="C11" s="375">
        <v>0</v>
      </c>
      <c r="D11" s="375">
        <v>0</v>
      </c>
      <c r="E11" s="375">
        <v>0</v>
      </c>
      <c r="F11" s="375">
        <v>0</v>
      </c>
      <c r="G11" s="375">
        <v>0</v>
      </c>
      <c r="H11" s="375">
        <v>0</v>
      </c>
      <c r="I11" s="375">
        <v>0</v>
      </c>
      <c r="J11" s="375">
        <v>0</v>
      </c>
      <c r="K11" s="1824">
        <v>0</v>
      </c>
      <c r="L11" s="1826"/>
    </row>
    <row r="12" spans="1:14" ht="15.6" hidden="1" customHeight="1">
      <c r="A12" s="356" t="s">
        <v>1037</v>
      </c>
      <c r="C12" s="375">
        <v>0</v>
      </c>
      <c r="D12" s="375">
        <v>0</v>
      </c>
      <c r="E12" s="375">
        <v>0</v>
      </c>
      <c r="F12" s="375">
        <v>0</v>
      </c>
      <c r="G12" s="375">
        <v>0</v>
      </c>
      <c r="H12" s="375">
        <v>0</v>
      </c>
      <c r="I12" s="375">
        <v>0</v>
      </c>
      <c r="J12" s="375">
        <v>0</v>
      </c>
      <c r="K12" s="1824">
        <v>0</v>
      </c>
      <c r="L12" s="1826"/>
    </row>
    <row r="13" spans="1:14" ht="15.6" hidden="1" customHeight="1">
      <c r="A13" s="356" t="s">
        <v>1038</v>
      </c>
      <c r="D13" s="375"/>
      <c r="E13" s="375"/>
      <c r="F13" s="375"/>
      <c r="G13" s="375"/>
      <c r="H13" s="375"/>
      <c r="I13" s="375"/>
      <c r="J13" s="375">
        <v>0</v>
      </c>
      <c r="K13" s="1824">
        <v>0</v>
      </c>
      <c r="L13" s="1826"/>
    </row>
    <row r="14" spans="1:14">
      <c r="A14" s="356" t="s">
        <v>1039</v>
      </c>
      <c r="C14" s="375">
        <v>6352818</v>
      </c>
      <c r="D14" s="375">
        <v>4882276</v>
      </c>
      <c r="E14" s="375">
        <v>4882276</v>
      </c>
      <c r="F14" s="375">
        <v>0</v>
      </c>
      <c r="G14" s="375">
        <v>0</v>
      </c>
      <c r="H14" s="375">
        <v>4882276</v>
      </c>
      <c r="I14" s="375">
        <v>6278915</v>
      </c>
      <c r="J14" s="375">
        <v>1396639</v>
      </c>
      <c r="K14" s="1824">
        <v>-0.71393690155984624</v>
      </c>
    </row>
    <row r="15" spans="1:14">
      <c r="A15" s="1820" t="s">
        <v>579</v>
      </c>
      <c r="B15" s="380">
        <v>1</v>
      </c>
      <c r="C15" s="375">
        <v>15380126</v>
      </c>
      <c r="D15" s="375">
        <v>15228206</v>
      </c>
      <c r="E15" s="375">
        <v>15228206</v>
      </c>
      <c r="F15" s="375">
        <v>7617613</v>
      </c>
      <c r="G15" s="375">
        <v>0</v>
      </c>
      <c r="H15" s="375">
        <v>15145782</v>
      </c>
      <c r="I15" s="375">
        <v>15025000</v>
      </c>
      <c r="J15" s="375">
        <v>-203206</v>
      </c>
      <c r="K15" s="1824">
        <v>-1.0133440537907092</v>
      </c>
      <c r="L15" s="1825">
        <v>-2.1153174126392938E-2</v>
      </c>
    </row>
    <row r="16" spans="1:14">
      <c r="A16" s="1820" t="s">
        <v>1040</v>
      </c>
      <c r="C16" s="375">
        <v>35881608</v>
      </c>
      <c r="D16" s="375">
        <v>36592965</v>
      </c>
      <c r="E16" s="375">
        <v>36592965</v>
      </c>
      <c r="F16" s="375">
        <v>20466115</v>
      </c>
      <c r="G16" s="375">
        <v>0</v>
      </c>
      <c r="H16" s="375">
        <v>36430597</v>
      </c>
      <c r="I16" s="375">
        <v>36590101</v>
      </c>
      <c r="J16" s="375">
        <v>-2864</v>
      </c>
      <c r="K16" s="1824">
        <v>-1.0000782664099506</v>
      </c>
      <c r="L16" s="1825">
        <v>-2.9813435970389344E-4</v>
      </c>
    </row>
    <row r="17" spans="1:14" ht="16.5" customHeight="1">
      <c r="A17" s="1827" t="s">
        <v>1041</v>
      </c>
      <c r="B17" s="1821"/>
      <c r="C17" s="1828">
        <v>151370913</v>
      </c>
      <c r="D17" s="1828">
        <v>154272743</v>
      </c>
      <c r="E17" s="1828">
        <v>154272743</v>
      </c>
      <c r="F17" s="1828">
        <v>122344929</v>
      </c>
      <c r="G17" s="1828">
        <v>0</v>
      </c>
      <c r="H17" s="1828">
        <v>154027951</v>
      </c>
      <c r="I17" s="1828">
        <v>161042887</v>
      </c>
      <c r="J17" s="1828">
        <v>6770144</v>
      </c>
      <c r="K17" s="1829">
        <v>-0.95611574754977946</v>
      </c>
      <c r="M17" s="1830"/>
      <c r="N17" s="1830" t="s">
        <v>58</v>
      </c>
    </row>
    <row r="18" spans="1:14" ht="12.75" customHeight="1">
      <c r="A18" s="1820"/>
      <c r="C18" s="375" t="s">
        <v>1122</v>
      </c>
      <c r="D18" s="375"/>
      <c r="E18" s="375"/>
      <c r="F18" s="375"/>
      <c r="G18" s="375"/>
      <c r="H18" s="375"/>
      <c r="I18" s="375"/>
      <c r="J18" s="375"/>
      <c r="K18" s="1824"/>
      <c r="M18" s="1830"/>
      <c r="N18" s="1830"/>
    </row>
    <row r="19" spans="1:14" ht="12.75" customHeight="1">
      <c r="A19" s="1820" t="s">
        <v>435</v>
      </c>
      <c r="D19" s="375"/>
      <c r="E19" s="375"/>
      <c r="F19" s="375"/>
      <c r="G19" s="375"/>
      <c r="H19" s="375"/>
      <c r="I19" s="375"/>
      <c r="J19" s="375"/>
      <c r="K19" s="1824"/>
      <c r="M19" s="1830"/>
      <c r="N19" s="1830"/>
    </row>
    <row r="20" spans="1:14">
      <c r="A20" s="1820" t="s">
        <v>1042</v>
      </c>
      <c r="C20" s="375">
        <v>2965445</v>
      </c>
      <c r="D20" s="375">
        <v>2619240</v>
      </c>
      <c r="E20" s="375">
        <v>2619240</v>
      </c>
      <c r="F20" s="375">
        <v>2224331</v>
      </c>
      <c r="G20" s="375">
        <v>0</v>
      </c>
      <c r="H20" s="375">
        <v>2624641</v>
      </c>
      <c r="I20" s="375">
        <v>2233700</v>
      </c>
      <c r="J20" s="375">
        <v>-385540</v>
      </c>
      <c r="K20" s="1824">
        <v>-1.1471953696492112</v>
      </c>
    </row>
    <row r="21" spans="1:14">
      <c r="A21" s="1820" t="s">
        <v>1043</v>
      </c>
      <c r="C21" s="375">
        <v>223320</v>
      </c>
      <c r="D21" s="375">
        <v>0</v>
      </c>
      <c r="E21" s="375">
        <v>305046</v>
      </c>
      <c r="F21" s="375">
        <v>0</v>
      </c>
      <c r="G21" s="375">
        <v>0</v>
      </c>
      <c r="H21" s="375">
        <v>235172</v>
      </c>
      <c r="I21" s="375">
        <v>217306</v>
      </c>
      <c r="J21" s="375">
        <v>-87740</v>
      </c>
      <c r="K21" s="1824">
        <v>-1.2876287510736086</v>
      </c>
    </row>
    <row r="22" spans="1:14">
      <c r="A22" s="1831" t="s">
        <v>1044</v>
      </c>
      <c r="B22" s="1821"/>
      <c r="C22" s="1828">
        <v>3188765</v>
      </c>
      <c r="D22" s="1828">
        <v>2619240</v>
      </c>
      <c r="E22" s="1828">
        <v>2924286</v>
      </c>
      <c r="F22" s="1828">
        <v>2224331</v>
      </c>
      <c r="G22" s="1828">
        <v>0</v>
      </c>
      <c r="H22" s="1828">
        <v>2859813</v>
      </c>
      <c r="I22" s="1828">
        <v>2451006</v>
      </c>
      <c r="J22" s="1828">
        <v>-473280</v>
      </c>
      <c r="K22" s="1829">
        <v>-1.1618446348954925</v>
      </c>
      <c r="L22" s="1825">
        <v>-4.9267119329838932E-2</v>
      </c>
    </row>
    <row r="23" spans="1:14">
      <c r="A23" s="1832"/>
      <c r="B23" s="1821"/>
      <c r="C23" s="1833"/>
      <c r="D23" s="1833"/>
      <c r="E23" s="1833"/>
      <c r="F23" s="1833"/>
      <c r="G23" s="1833"/>
      <c r="H23" s="1833"/>
      <c r="I23" s="1833"/>
      <c r="J23" s="1833"/>
      <c r="K23" s="1824"/>
    </row>
    <row r="24" spans="1:14">
      <c r="A24" s="1820" t="s">
        <v>1045</v>
      </c>
      <c r="D24" s="375"/>
      <c r="E24" s="375"/>
      <c r="F24" s="375"/>
      <c r="G24" s="375"/>
      <c r="H24" s="375"/>
      <c r="I24" s="375"/>
      <c r="J24" s="375"/>
      <c r="K24" s="1824"/>
    </row>
    <row r="25" spans="1:14" ht="15.6" hidden="1" customHeight="1">
      <c r="A25" s="1820" t="s">
        <v>1046</v>
      </c>
      <c r="C25" s="375">
        <v>0</v>
      </c>
      <c r="D25" s="375">
        <v>1</v>
      </c>
      <c r="E25" s="375">
        <v>0</v>
      </c>
      <c r="F25" s="375">
        <v>3</v>
      </c>
      <c r="G25" s="375">
        <v>4</v>
      </c>
      <c r="H25" s="375">
        <v>0</v>
      </c>
      <c r="I25" s="375">
        <v>0</v>
      </c>
      <c r="J25" s="375">
        <v>-1</v>
      </c>
      <c r="K25" s="1824">
        <v>0</v>
      </c>
    </row>
    <row r="26" spans="1:14">
      <c r="A26" s="1820" t="s">
        <v>1047</v>
      </c>
      <c r="C26" s="375">
        <v>16145310</v>
      </c>
      <c r="D26" s="375">
        <v>127927</v>
      </c>
      <c r="E26" s="375">
        <v>15877450</v>
      </c>
      <c r="F26" s="375">
        <v>42944</v>
      </c>
      <c r="G26" s="375">
        <v>0</v>
      </c>
      <c r="H26" s="375">
        <v>15985486</v>
      </c>
      <c r="I26" s="375">
        <v>15929994</v>
      </c>
      <c r="J26" s="375">
        <v>52544</v>
      </c>
      <c r="K26" s="1824">
        <v>-0.99669065246623356</v>
      </c>
    </row>
    <row r="27" spans="1:14">
      <c r="A27" s="1820" t="s">
        <v>1048</v>
      </c>
      <c r="C27" s="375">
        <v>2078082</v>
      </c>
      <c r="D27" s="375">
        <v>15892</v>
      </c>
      <c r="E27" s="375">
        <v>2564046</v>
      </c>
      <c r="F27" s="375">
        <v>4080</v>
      </c>
      <c r="G27" s="375">
        <v>6120</v>
      </c>
      <c r="H27" s="375">
        <v>2564046</v>
      </c>
      <c r="I27" s="375">
        <v>2588065</v>
      </c>
      <c r="J27" s="375">
        <v>24019</v>
      </c>
      <c r="K27" s="1824">
        <v>-0.99063238335037673</v>
      </c>
    </row>
    <row r="28" spans="1:14">
      <c r="A28" s="1831" t="s">
        <v>1049</v>
      </c>
      <c r="B28" s="1821"/>
      <c r="C28" s="1828">
        <v>18223392</v>
      </c>
      <c r="D28" s="1828">
        <v>143820</v>
      </c>
      <c r="E28" s="1828">
        <v>18441496</v>
      </c>
      <c r="F28" s="1828">
        <v>47027</v>
      </c>
      <c r="G28" s="1828">
        <v>6124</v>
      </c>
      <c r="H28" s="1828">
        <v>18549532</v>
      </c>
      <c r="I28" s="1828">
        <v>18518059</v>
      </c>
      <c r="J28" s="1828">
        <v>76563</v>
      </c>
      <c r="K28" s="1829">
        <v>-0.99584833030899444</v>
      </c>
      <c r="L28" s="1825">
        <v>7.9699933596400815E-3</v>
      </c>
    </row>
    <row r="29" spans="1:14">
      <c r="D29" s="375"/>
      <c r="E29" s="375"/>
      <c r="F29" s="375"/>
      <c r="G29" s="375"/>
      <c r="H29" s="375"/>
      <c r="I29" s="375"/>
      <c r="J29" s="375"/>
      <c r="K29" s="1824"/>
    </row>
    <row r="30" spans="1:14">
      <c r="A30" s="1820" t="s">
        <v>1050</v>
      </c>
      <c r="D30" s="375"/>
      <c r="E30" s="375"/>
      <c r="F30" s="375"/>
      <c r="G30" s="375"/>
      <c r="H30" s="375"/>
      <c r="I30" s="375"/>
      <c r="J30" s="375"/>
      <c r="K30" s="1824"/>
    </row>
    <row r="31" spans="1:14">
      <c r="A31" s="1820" t="s">
        <v>1051</v>
      </c>
      <c r="C31" s="375">
        <v>1613715</v>
      </c>
      <c r="D31" s="375">
        <v>6209</v>
      </c>
      <c r="E31" s="375">
        <v>1574690</v>
      </c>
      <c r="F31" s="375">
        <v>-100</v>
      </c>
      <c r="G31" s="375">
        <v>-150</v>
      </c>
      <c r="H31" s="375">
        <v>1514113</v>
      </c>
      <c r="I31" s="375">
        <v>1579040</v>
      </c>
      <c r="J31" s="375">
        <v>4350</v>
      </c>
      <c r="K31" s="1824">
        <v>-0.99723755151807658</v>
      </c>
    </row>
    <row r="32" spans="1:14">
      <c r="A32" s="1820" t="s">
        <v>596</v>
      </c>
      <c r="C32" s="375">
        <v>11390724</v>
      </c>
      <c r="D32" s="375">
        <v>1066</v>
      </c>
      <c r="E32" s="375">
        <v>11756983</v>
      </c>
      <c r="F32" s="375">
        <v>0</v>
      </c>
      <c r="G32" s="375">
        <v>0</v>
      </c>
      <c r="H32" s="375">
        <v>11600352</v>
      </c>
      <c r="I32" s="375">
        <v>11854142</v>
      </c>
      <c r="J32" s="375">
        <v>97159</v>
      </c>
      <c r="K32" s="1824">
        <v>-0.99173606017802352</v>
      </c>
    </row>
    <row r="33" spans="1:15">
      <c r="A33" s="1820" t="s">
        <v>597</v>
      </c>
      <c r="C33" s="375">
        <v>-51066</v>
      </c>
      <c r="D33" s="375">
        <v>0</v>
      </c>
      <c r="E33" s="375">
        <v>3645306</v>
      </c>
      <c r="F33" s="375">
        <v>0</v>
      </c>
      <c r="G33" s="375">
        <v>0</v>
      </c>
      <c r="H33" s="375">
        <v>5196198</v>
      </c>
      <c r="I33" s="375">
        <v>5801148</v>
      </c>
      <c r="J33" s="375">
        <v>2155842</v>
      </c>
      <c r="K33" s="1824">
        <v>-0.40859779672817587</v>
      </c>
    </row>
    <row r="34" spans="1:15">
      <c r="A34" s="1820" t="s">
        <v>598</v>
      </c>
      <c r="C34" s="375">
        <v>0</v>
      </c>
      <c r="D34" s="375">
        <v>250347</v>
      </c>
      <c r="E34" s="375">
        <v>0</v>
      </c>
      <c r="F34" s="375">
        <v>176550</v>
      </c>
      <c r="G34" s="375">
        <v>264825</v>
      </c>
      <c r="H34" s="375">
        <v>8000</v>
      </c>
      <c r="I34" s="375">
        <v>8000</v>
      </c>
      <c r="J34" s="375">
        <v>8000</v>
      </c>
      <c r="K34" s="1824">
        <v>0</v>
      </c>
      <c r="O34" s="380" t="s">
        <v>58</v>
      </c>
    </row>
    <row r="35" spans="1:15">
      <c r="A35" s="380" t="s">
        <v>454</v>
      </c>
      <c r="C35" s="375">
        <v>646250</v>
      </c>
      <c r="D35" s="375">
        <v>43125</v>
      </c>
      <c r="E35" s="375">
        <v>762494</v>
      </c>
      <c r="F35" s="375">
        <v>22755</v>
      </c>
      <c r="G35" s="375">
        <v>34133</v>
      </c>
      <c r="H35" s="375">
        <v>737147</v>
      </c>
      <c r="I35" s="375">
        <v>758842</v>
      </c>
      <c r="J35" s="375">
        <v>-3652</v>
      </c>
      <c r="K35" s="1824">
        <v>-1.0047895458849512</v>
      </c>
    </row>
    <row r="36" spans="1:15">
      <c r="A36" s="380" t="s">
        <v>1052</v>
      </c>
      <c r="C36" s="375">
        <v>42468</v>
      </c>
      <c r="D36" s="375">
        <v>19175</v>
      </c>
      <c r="E36" s="375">
        <v>43125</v>
      </c>
      <c r="F36" s="375">
        <v>13001</v>
      </c>
      <c r="G36" s="375">
        <v>19502</v>
      </c>
      <c r="H36" s="375">
        <v>43478</v>
      </c>
      <c r="I36" s="375">
        <v>42709</v>
      </c>
      <c r="J36" s="375">
        <v>-416</v>
      </c>
      <c r="K36" s="1824">
        <v>-1.0096463768115942</v>
      </c>
    </row>
    <row r="37" spans="1:15">
      <c r="A37" s="380" t="s">
        <v>1053</v>
      </c>
      <c r="C37" s="375">
        <v>5773038</v>
      </c>
      <c r="D37" s="375">
        <v>90125</v>
      </c>
      <c r="E37" s="375">
        <v>6216451</v>
      </c>
      <c r="F37" s="375">
        <v>37025</v>
      </c>
      <c r="G37" s="375">
        <v>55538</v>
      </c>
      <c r="H37" s="375">
        <v>6065677</v>
      </c>
      <c r="I37" s="375">
        <v>6289839</v>
      </c>
      <c r="J37" s="375">
        <v>73388</v>
      </c>
      <c r="K37" s="1824">
        <v>-0.98819455023453096</v>
      </c>
    </row>
    <row r="38" spans="1:15">
      <c r="A38" s="380" t="s">
        <v>1054</v>
      </c>
      <c r="C38" s="375">
        <v>790922</v>
      </c>
      <c r="D38" s="375">
        <v>18578</v>
      </c>
      <c r="E38" s="375">
        <v>653447</v>
      </c>
      <c r="F38" s="375">
        <v>4743</v>
      </c>
      <c r="G38" s="375">
        <v>7115</v>
      </c>
      <c r="H38" s="375">
        <v>654813</v>
      </c>
      <c r="I38" s="375">
        <v>693616</v>
      </c>
      <c r="J38" s="375">
        <v>40169</v>
      </c>
      <c r="K38" s="1824">
        <v>-0.93852753168963976</v>
      </c>
    </row>
    <row r="39" spans="1:15">
      <c r="A39" s="380" t="s">
        <v>8</v>
      </c>
      <c r="C39" s="375">
        <v>158571</v>
      </c>
      <c r="D39" s="375">
        <v>600654</v>
      </c>
      <c r="E39" s="375">
        <v>182959</v>
      </c>
      <c r="F39" s="375">
        <v>843678</v>
      </c>
      <c r="G39" s="375">
        <v>1265517</v>
      </c>
      <c r="H39" s="375">
        <v>183353</v>
      </c>
      <c r="I39" s="375">
        <v>300289</v>
      </c>
      <c r="J39" s="375">
        <v>117330</v>
      </c>
      <c r="K39" s="1824">
        <v>-0.35870878174891641</v>
      </c>
    </row>
    <row r="40" spans="1:15">
      <c r="A40" s="1831" t="s">
        <v>1055</v>
      </c>
      <c r="B40" s="1821"/>
      <c r="C40" s="1828">
        <v>20364622</v>
      </c>
      <c r="D40" s="1828">
        <v>1029279</v>
      </c>
      <c r="E40" s="1828">
        <v>24835455</v>
      </c>
      <c r="F40" s="1828">
        <v>1097652</v>
      </c>
      <c r="G40" s="1828">
        <v>1646480</v>
      </c>
      <c r="H40" s="1828">
        <v>26003131</v>
      </c>
      <c r="I40" s="1828">
        <v>27327625</v>
      </c>
      <c r="J40" s="1828">
        <v>2492170</v>
      </c>
      <c r="K40" s="1829">
        <v>-0.89965273436705706</v>
      </c>
      <c r="L40" s="1825">
        <v>0.259427900566778</v>
      </c>
    </row>
    <row r="41" spans="1:15">
      <c r="D41" s="375"/>
      <c r="E41" s="375"/>
      <c r="F41" s="375"/>
      <c r="G41" s="375"/>
      <c r="H41" s="375"/>
      <c r="I41" s="375"/>
      <c r="J41" s="375"/>
      <c r="K41" s="1824"/>
    </row>
    <row r="42" spans="1:15" ht="15.6" customHeight="1">
      <c r="A42" s="380" t="s">
        <v>1056</v>
      </c>
      <c r="D42" s="375"/>
      <c r="E42" s="375"/>
      <c r="F42" s="375"/>
      <c r="G42" s="375"/>
      <c r="H42" s="375"/>
      <c r="I42" s="375"/>
      <c r="J42" s="375"/>
      <c r="K42" s="1824"/>
    </row>
    <row r="43" spans="1:15">
      <c r="A43" s="380" t="s">
        <v>1057</v>
      </c>
      <c r="C43" s="375">
        <v>2697312</v>
      </c>
      <c r="D43" s="375">
        <v>464466</v>
      </c>
      <c r="E43" s="375">
        <v>4270381</v>
      </c>
      <c r="F43" s="375">
        <v>421763</v>
      </c>
      <c r="G43" s="375">
        <v>632645</v>
      </c>
      <c r="H43" s="375">
        <v>2594015</v>
      </c>
      <c r="I43" s="375">
        <v>2933628</v>
      </c>
      <c r="J43" s="375">
        <v>-1336753</v>
      </c>
      <c r="K43" s="1824">
        <v>-1.3130289779764381</v>
      </c>
    </row>
    <row r="44" spans="1:15">
      <c r="A44" s="1834" t="s">
        <v>1058</v>
      </c>
      <c r="C44" s="375">
        <v>1098293</v>
      </c>
      <c r="D44" s="375">
        <v>0</v>
      </c>
      <c r="E44" s="375">
        <v>529537</v>
      </c>
      <c r="F44" s="375">
        <v>0</v>
      </c>
      <c r="G44" s="375">
        <v>0</v>
      </c>
      <c r="H44" s="375">
        <v>650276</v>
      </c>
      <c r="I44" s="375">
        <v>740201</v>
      </c>
      <c r="J44" s="375">
        <v>210664</v>
      </c>
      <c r="K44" s="1824">
        <v>-0.60217321924624723</v>
      </c>
    </row>
    <row r="45" spans="1:15">
      <c r="A45" s="1831" t="s">
        <v>1059</v>
      </c>
      <c r="B45" s="1821"/>
      <c r="C45" s="1828">
        <v>3795605</v>
      </c>
      <c r="D45" s="1828">
        <v>464466</v>
      </c>
      <c r="E45" s="1828">
        <v>4799918</v>
      </c>
      <c r="F45" s="1828">
        <v>421763</v>
      </c>
      <c r="G45" s="1828">
        <v>632645</v>
      </c>
      <c r="H45" s="1828">
        <v>3244291</v>
      </c>
      <c r="I45" s="1828">
        <v>3673829</v>
      </c>
      <c r="J45" s="1828">
        <v>-1126089</v>
      </c>
      <c r="K45" s="1829">
        <v>-1.2346058828504987</v>
      </c>
      <c r="L45" s="1825">
        <v>-0.1172227035560746</v>
      </c>
    </row>
    <row r="46" spans="1:15">
      <c r="A46" s="1820"/>
      <c r="D46" s="375"/>
      <c r="E46" s="375"/>
      <c r="F46" s="375"/>
      <c r="G46" s="375"/>
      <c r="H46" s="375"/>
      <c r="I46" s="375"/>
      <c r="J46" s="375"/>
      <c r="K46" s="1824"/>
    </row>
    <row r="47" spans="1:15">
      <c r="A47" s="1820" t="s">
        <v>1060</v>
      </c>
      <c r="D47" s="375"/>
      <c r="E47" s="375"/>
      <c r="F47" s="375"/>
      <c r="G47" s="375"/>
      <c r="H47" s="375"/>
      <c r="I47" s="375"/>
      <c r="J47" s="375"/>
      <c r="K47" s="1824"/>
    </row>
    <row r="48" spans="1:15" ht="15.6" customHeight="1">
      <c r="A48" s="1820" t="s">
        <v>39</v>
      </c>
      <c r="C48" s="375">
        <v>421023</v>
      </c>
      <c r="D48" s="375">
        <v>0</v>
      </c>
      <c r="E48" s="375">
        <v>418444</v>
      </c>
      <c r="F48" s="375">
        <v>19500</v>
      </c>
      <c r="G48" s="375">
        <v>29250</v>
      </c>
      <c r="H48" s="375">
        <v>662335</v>
      </c>
      <c r="I48" s="375">
        <v>676300</v>
      </c>
      <c r="J48" s="375">
        <v>257856</v>
      </c>
      <c r="K48" s="1824">
        <v>-0.38377417288812843</v>
      </c>
    </row>
    <row r="49" spans="1:19">
      <c r="A49" s="1820" t="s">
        <v>1061</v>
      </c>
      <c r="C49" s="375">
        <v>3074165</v>
      </c>
      <c r="D49" s="375">
        <v>0</v>
      </c>
      <c r="E49" s="375">
        <v>2977358</v>
      </c>
      <c r="F49" s="375">
        <v>45500</v>
      </c>
      <c r="G49" s="375">
        <v>32000000</v>
      </c>
      <c r="H49" s="375">
        <v>3422163</v>
      </c>
      <c r="I49" s="375">
        <v>3315078</v>
      </c>
      <c r="J49" s="375">
        <v>337720</v>
      </c>
      <c r="K49" s="1824">
        <v>-0.88657057700148922</v>
      </c>
    </row>
    <row r="50" spans="1:19">
      <c r="A50" s="1820" t="s">
        <v>1062</v>
      </c>
      <c r="C50" s="375">
        <v>20605793</v>
      </c>
      <c r="D50" s="375">
        <v>33275963</v>
      </c>
      <c r="E50" s="375">
        <v>33321463</v>
      </c>
      <c r="F50" s="375">
        <v>31726734</v>
      </c>
      <c r="G50" s="375">
        <v>47590101</v>
      </c>
      <c r="H50" s="375">
        <v>32306500</v>
      </c>
      <c r="I50" s="375">
        <v>33184191</v>
      </c>
      <c r="J50" s="375">
        <v>-137272</v>
      </c>
      <c r="K50" s="1824">
        <v>-1.0041196270403854</v>
      </c>
    </row>
    <row r="51" spans="1:19">
      <c r="A51" s="380" t="s">
        <v>1063</v>
      </c>
      <c r="C51" s="375">
        <v>450300</v>
      </c>
      <c r="D51" s="375">
        <v>440028</v>
      </c>
      <c r="E51" s="375">
        <v>440028</v>
      </c>
      <c r="F51" s="375">
        <v>165144</v>
      </c>
      <c r="G51" s="375">
        <v>247716</v>
      </c>
      <c r="H51" s="375">
        <v>215028</v>
      </c>
      <c r="I51" s="375">
        <v>440028</v>
      </c>
      <c r="J51" s="375">
        <v>0</v>
      </c>
      <c r="K51" s="1824">
        <v>-1</v>
      </c>
    </row>
    <row r="52" spans="1:19">
      <c r="A52" s="380" t="s">
        <v>1064</v>
      </c>
      <c r="C52" s="375">
        <v>478661</v>
      </c>
      <c r="D52" s="375">
        <v>455349</v>
      </c>
      <c r="E52" s="375">
        <v>461249</v>
      </c>
      <c r="F52" s="375">
        <v>313017</v>
      </c>
      <c r="G52" s="375">
        <v>469526</v>
      </c>
      <c r="H52" s="375">
        <v>464411</v>
      </c>
      <c r="I52" s="375">
        <v>456211</v>
      </c>
      <c r="J52" s="375">
        <v>-5038</v>
      </c>
      <c r="K52" s="1824">
        <v>-1.0109225169051856</v>
      </c>
    </row>
    <row r="53" spans="1:19">
      <c r="A53" s="380" t="s">
        <v>1065</v>
      </c>
      <c r="C53" s="375">
        <v>43885604</v>
      </c>
      <c r="D53" s="375">
        <v>40817271</v>
      </c>
      <c r="E53" s="375">
        <v>40982688</v>
      </c>
      <c r="F53" s="375">
        <v>27759695</v>
      </c>
      <c r="G53" s="375">
        <v>41639543</v>
      </c>
      <c r="H53" s="375">
        <v>42292747</v>
      </c>
      <c r="I53" s="375">
        <v>42721347</v>
      </c>
      <c r="J53" s="375">
        <v>1738659</v>
      </c>
      <c r="K53" s="1824">
        <v>-0.95757576955420787</v>
      </c>
    </row>
    <row r="54" spans="1:19">
      <c r="A54" s="1827" t="s">
        <v>1066</v>
      </c>
      <c r="B54" s="1821"/>
      <c r="C54" s="1828">
        <v>68915546</v>
      </c>
      <c r="D54" s="1828">
        <v>74988611</v>
      </c>
      <c r="E54" s="1828">
        <v>78601230</v>
      </c>
      <c r="F54" s="1828">
        <v>60029590</v>
      </c>
      <c r="G54" s="1828">
        <v>121976136</v>
      </c>
      <c r="H54" s="1828">
        <v>79363184</v>
      </c>
      <c r="I54" s="1828">
        <v>80793155</v>
      </c>
      <c r="J54" s="1828">
        <v>2191925</v>
      </c>
      <c r="K54" s="1829">
        <v>-0.97211334988014819</v>
      </c>
      <c r="L54" s="1825">
        <v>0.22817323896437033</v>
      </c>
      <c r="M54" s="380" t="s">
        <v>58</v>
      </c>
      <c r="N54" s="380">
        <v>0</v>
      </c>
    </row>
    <row r="55" spans="1:19">
      <c r="A55" s="1820"/>
      <c r="D55" s="375"/>
      <c r="E55" s="375"/>
      <c r="F55" s="375"/>
      <c r="G55" s="375"/>
      <c r="H55" s="375"/>
      <c r="I55" s="375"/>
      <c r="J55" s="375"/>
      <c r="K55" s="1824"/>
    </row>
    <row r="56" spans="1:19">
      <c r="A56" s="1820" t="s">
        <v>1067</v>
      </c>
      <c r="D56" s="375"/>
      <c r="E56" s="375"/>
      <c r="F56" s="375"/>
      <c r="G56" s="375"/>
      <c r="H56" s="375"/>
      <c r="I56" s="375"/>
      <c r="J56" s="375"/>
      <c r="K56" s="1824"/>
      <c r="S56" s="380" t="s">
        <v>58</v>
      </c>
    </row>
    <row r="57" spans="1:19">
      <c r="A57" s="380" t="s">
        <v>1068</v>
      </c>
      <c r="C57" s="375">
        <v>18463241</v>
      </c>
      <c r="D57" s="375">
        <v>982884</v>
      </c>
      <c r="E57" s="375">
        <v>2617763</v>
      </c>
      <c r="F57" s="375">
        <v>2290135</v>
      </c>
      <c r="G57" s="375">
        <v>3435203</v>
      </c>
      <c r="H57" s="375">
        <v>1634879</v>
      </c>
      <c r="I57" s="375">
        <v>0</v>
      </c>
      <c r="J57" s="375">
        <v>-2617763</v>
      </c>
      <c r="K57" s="1824">
        <v>-2</v>
      </c>
      <c r="M57" s="380" t="s">
        <v>58</v>
      </c>
    </row>
    <row r="58" spans="1:19">
      <c r="A58" s="1827" t="s">
        <v>1069</v>
      </c>
      <c r="B58" s="1821"/>
      <c r="C58" s="1828">
        <v>18463241</v>
      </c>
      <c r="D58" s="1828">
        <v>982884</v>
      </c>
      <c r="E58" s="1828">
        <v>2617763</v>
      </c>
      <c r="F58" s="1828">
        <v>2290135</v>
      </c>
      <c r="G58" s="1828">
        <v>3435203</v>
      </c>
      <c r="H58" s="1828">
        <v>1634879</v>
      </c>
      <c r="I58" s="1828">
        <v>0</v>
      </c>
      <c r="J58" s="1828">
        <v>-2617763</v>
      </c>
      <c r="K58" s="1829">
        <v>-2</v>
      </c>
    </row>
    <row r="59" spans="1:19">
      <c r="D59" s="375"/>
      <c r="E59" s="375"/>
      <c r="F59" s="375"/>
      <c r="G59" s="375"/>
      <c r="H59" s="375"/>
      <c r="I59" s="375"/>
      <c r="J59" s="375"/>
      <c r="K59" s="1824"/>
      <c r="N59" s="380" t="s">
        <v>58</v>
      </c>
    </row>
    <row r="60" spans="1:19" ht="15.6" hidden="1" customHeight="1">
      <c r="A60" s="380" t="s">
        <v>1070</v>
      </c>
      <c r="C60" s="998">
        <v>0</v>
      </c>
      <c r="D60" s="998">
        <v>1</v>
      </c>
      <c r="E60" s="998">
        <v>2</v>
      </c>
      <c r="F60" s="998">
        <v>3</v>
      </c>
      <c r="G60" s="998">
        <v>4</v>
      </c>
      <c r="H60" s="998">
        <v>5</v>
      </c>
      <c r="I60" s="998">
        <v>6</v>
      </c>
      <c r="J60" s="375">
        <v>5</v>
      </c>
      <c r="K60" s="1824">
        <v>0.66666666666666674</v>
      </c>
    </row>
    <row r="61" spans="1:19">
      <c r="A61" s="1827" t="s">
        <v>1071</v>
      </c>
      <c r="B61" s="1821"/>
      <c r="C61" s="1828">
        <v>1600383</v>
      </c>
      <c r="D61" s="1828">
        <v>2858683</v>
      </c>
      <c r="E61" s="1828">
        <v>325026</v>
      </c>
      <c r="F61" s="1828">
        <v>2858683</v>
      </c>
      <c r="G61" s="1828">
        <v>2858683</v>
      </c>
      <c r="H61" s="1828">
        <v>0</v>
      </c>
      <c r="I61" s="1828">
        <v>0</v>
      </c>
      <c r="J61" s="1828">
        <v>-325026</v>
      </c>
      <c r="K61" s="1824">
        <v>-2</v>
      </c>
    </row>
    <row r="62" spans="1:19">
      <c r="C62" s="998"/>
      <c r="D62" s="998"/>
      <c r="E62" s="998"/>
      <c r="F62" s="998"/>
      <c r="G62" s="998"/>
      <c r="H62" s="998"/>
      <c r="I62" s="998"/>
      <c r="J62" s="998"/>
      <c r="K62" s="1824"/>
    </row>
    <row r="63" spans="1:19">
      <c r="A63" s="380" t="s">
        <v>1072</v>
      </c>
      <c r="C63" s="998"/>
      <c r="D63" s="998"/>
      <c r="E63" s="998"/>
      <c r="F63" s="998"/>
      <c r="G63" s="998"/>
      <c r="H63" s="998"/>
      <c r="I63" s="998"/>
      <c r="J63" s="375"/>
      <c r="K63" s="1824"/>
    </row>
    <row r="64" spans="1:19">
      <c r="A64" s="380" t="s">
        <v>782</v>
      </c>
      <c r="C64" s="998">
        <v>0</v>
      </c>
      <c r="D64" s="998">
        <v>4457240</v>
      </c>
      <c r="E64" s="998">
        <v>4457240</v>
      </c>
      <c r="F64" s="998">
        <v>4457240</v>
      </c>
      <c r="G64" s="998">
        <v>4457240</v>
      </c>
      <c r="H64" s="998">
        <v>4457240</v>
      </c>
      <c r="I64" s="998">
        <v>4457240</v>
      </c>
      <c r="J64" s="375">
        <v>0</v>
      </c>
      <c r="K64" s="1824">
        <v>-0.59080296029037871</v>
      </c>
      <c r="N64" s="380" t="s">
        <v>58</v>
      </c>
    </row>
    <row r="65" spans="1:14">
      <c r="A65" s="380" t="s">
        <v>690</v>
      </c>
      <c r="C65" s="998">
        <v>3000000</v>
      </c>
      <c r="D65" s="998">
        <v>4000000</v>
      </c>
      <c r="E65" s="998">
        <v>4000000</v>
      </c>
      <c r="F65" s="998">
        <v>4000000</v>
      </c>
      <c r="G65" s="998">
        <v>4000000</v>
      </c>
      <c r="H65" s="998">
        <v>4000000</v>
      </c>
      <c r="I65" s="998">
        <v>5000000</v>
      </c>
      <c r="J65" s="375">
        <v>1000000</v>
      </c>
      <c r="K65" s="1824">
        <v>-1</v>
      </c>
    </row>
    <row r="66" spans="1:14">
      <c r="A66" s="380" t="s">
        <v>830</v>
      </c>
      <c r="C66" s="998">
        <v>28088083</v>
      </c>
      <c r="D66" s="998">
        <v>13274563</v>
      </c>
      <c r="E66" s="998">
        <v>13274563</v>
      </c>
      <c r="F66" s="998">
        <v>13274563</v>
      </c>
      <c r="G66" s="998">
        <v>13274563</v>
      </c>
      <c r="H66" s="998">
        <v>13274563</v>
      </c>
      <c r="I66" s="998">
        <v>4273912</v>
      </c>
      <c r="J66" s="375">
        <v>-9000651</v>
      </c>
      <c r="K66" s="1824">
        <v>-0.75</v>
      </c>
    </row>
    <row r="67" spans="1:14">
      <c r="A67" s="380" t="s">
        <v>841</v>
      </c>
      <c r="C67" s="998">
        <v>635183</v>
      </c>
      <c r="D67" s="998">
        <v>778279</v>
      </c>
      <c r="E67" s="998">
        <v>778279</v>
      </c>
      <c r="F67" s="998">
        <v>778279</v>
      </c>
      <c r="G67" s="998">
        <v>778279</v>
      </c>
      <c r="H67" s="998">
        <v>778279</v>
      </c>
      <c r="I67" s="998">
        <v>833479</v>
      </c>
      <c r="J67" s="375">
        <v>55200</v>
      </c>
      <c r="K67" s="1824">
        <v>-1.6780374615721814</v>
      </c>
    </row>
    <row r="68" spans="1:14">
      <c r="A68" s="380" t="s">
        <v>1073</v>
      </c>
      <c r="C68" s="998">
        <v>26890224</v>
      </c>
      <c r="D68" s="998">
        <v>35778382</v>
      </c>
      <c r="E68" s="998">
        <v>35778382</v>
      </c>
      <c r="F68" s="998">
        <v>35778382</v>
      </c>
      <c r="G68" s="998">
        <v>35778382</v>
      </c>
      <c r="H68" s="998">
        <v>36103408</v>
      </c>
      <c r="I68" s="998">
        <v>50418790</v>
      </c>
      <c r="J68" s="375">
        <v>14640408</v>
      </c>
      <c r="K68" s="1824">
        <v>-0.92907427799028364</v>
      </c>
    </row>
    <row r="69" spans="1:14">
      <c r="A69" s="1827" t="s">
        <v>1074</v>
      </c>
      <c r="B69" s="1821"/>
      <c r="C69" s="1828">
        <v>58613490</v>
      </c>
      <c r="D69" s="1828">
        <v>58288464</v>
      </c>
      <c r="E69" s="1828">
        <v>58288464</v>
      </c>
      <c r="F69" s="1828">
        <v>58288464</v>
      </c>
      <c r="G69" s="1828">
        <v>58288464</v>
      </c>
      <c r="H69" s="1828">
        <v>58613490</v>
      </c>
      <c r="I69" s="1828">
        <v>64983421</v>
      </c>
      <c r="J69" s="1828">
        <v>6694957</v>
      </c>
      <c r="K69" s="1824"/>
      <c r="L69" s="1439" t="s">
        <v>58</v>
      </c>
    </row>
    <row r="70" spans="1:14">
      <c r="D70" s="375"/>
      <c r="E70" s="375"/>
      <c r="F70" s="375"/>
      <c r="G70" s="375"/>
      <c r="H70" s="375"/>
      <c r="I70" s="375"/>
      <c r="J70" s="375"/>
      <c r="K70" s="1829">
        <v>-0.88514096031077438</v>
      </c>
      <c r="N70" s="380" t="s">
        <v>58</v>
      </c>
    </row>
    <row r="71" spans="1:14" ht="16.5" thickBot="1">
      <c r="A71" s="1827" t="s">
        <v>1075</v>
      </c>
      <c r="B71" s="1821" t="s">
        <v>424</v>
      </c>
      <c r="C71" s="1835">
        <v>344535957</v>
      </c>
      <c r="D71" s="1835">
        <v>295648190</v>
      </c>
      <c r="E71" s="1835">
        <v>345106381</v>
      </c>
      <c r="F71" s="1835">
        <v>249602574</v>
      </c>
      <c r="G71" s="1835">
        <v>188843735</v>
      </c>
      <c r="H71" s="1835">
        <v>344296271</v>
      </c>
      <c r="I71" s="1835">
        <v>358789982</v>
      </c>
      <c r="J71" s="1835">
        <v>13683601</v>
      </c>
      <c r="K71" s="1836">
        <v>-11</v>
      </c>
      <c r="L71" s="1600">
        <v>0.88844809510985745</v>
      </c>
    </row>
    <row r="72" spans="1:14" ht="17.25" thickTop="1" thickBot="1">
      <c r="C72" s="380"/>
      <c r="J72" s="375" t="s">
        <v>58</v>
      </c>
      <c r="K72" s="1837">
        <v>-0.96034961463085788</v>
      </c>
    </row>
    <row r="73" spans="1:14" ht="16.5" thickTop="1">
      <c r="C73" s="380" t="s">
        <v>58</v>
      </c>
      <c r="E73" s="380" t="s">
        <v>58</v>
      </c>
      <c r="F73" s="380">
        <v>197879264</v>
      </c>
      <c r="G73" s="380">
        <v>-605091</v>
      </c>
      <c r="J73" s="375" t="s">
        <v>58</v>
      </c>
    </row>
    <row r="74" spans="1:14">
      <c r="C74" s="380"/>
    </row>
    <row r="75" spans="1:14">
      <c r="C75" s="380"/>
      <c r="F75" s="380" t="s">
        <v>879</v>
      </c>
    </row>
    <row r="76" spans="1:14">
      <c r="C76" s="380"/>
    </row>
    <row r="77" spans="1:14">
      <c r="C77" s="380"/>
    </row>
    <row r="78" spans="1:14">
      <c r="C78" s="380"/>
    </row>
    <row r="79" spans="1:14">
      <c r="C79" s="380"/>
    </row>
    <row r="80" spans="1:14">
      <c r="C80" s="380"/>
    </row>
    <row r="81" spans="3:4">
      <c r="C81" s="380"/>
    </row>
    <row r="82" spans="3:4">
      <c r="C82" s="380"/>
    </row>
    <row r="83" spans="3:4">
      <c r="C83" s="380"/>
    </row>
    <row r="84" spans="3:4">
      <c r="C84" s="380"/>
    </row>
    <row r="85" spans="3:4" ht="16.5" thickBot="1">
      <c r="C85" s="380"/>
      <c r="D85" s="1839">
        <v>0</v>
      </c>
    </row>
    <row r="86" spans="3:4">
      <c r="C86" s="380"/>
    </row>
    <row r="87" spans="3:4">
      <c r="C87" s="380"/>
    </row>
    <row r="88" spans="3:4">
      <c r="C88" s="380"/>
    </row>
    <row r="89" spans="3:4">
      <c r="C89" s="380"/>
    </row>
    <row r="90" spans="3:4">
      <c r="C90" s="380"/>
    </row>
    <row r="91" spans="3:4">
      <c r="C91" s="380"/>
    </row>
    <row r="92" spans="3:4">
      <c r="C92" s="380"/>
    </row>
    <row r="93" spans="3:4">
      <c r="C93" s="380"/>
    </row>
    <row r="94" spans="3:4">
      <c r="C94" s="380"/>
    </row>
    <row r="95" spans="3:4">
      <c r="C95" s="380"/>
    </row>
    <row r="96" spans="3:4">
      <c r="C96" s="380"/>
    </row>
    <row r="97" spans="3:3">
      <c r="C97" s="380"/>
    </row>
    <row r="98" spans="3:3">
      <c r="C98" s="380"/>
    </row>
    <row r="99" spans="3:3">
      <c r="C99" s="380"/>
    </row>
    <row r="100" spans="3:3">
      <c r="C100" s="380"/>
    </row>
    <row r="101" spans="3:3">
      <c r="C101" s="380"/>
    </row>
    <row r="102" spans="3:3">
      <c r="C102" s="380"/>
    </row>
    <row r="103" spans="3:3">
      <c r="C103" s="380"/>
    </row>
    <row r="104" spans="3:3">
      <c r="C104" s="380"/>
    </row>
    <row r="105" spans="3:3">
      <c r="C105" s="380"/>
    </row>
    <row r="106" spans="3:3">
      <c r="C106" s="380"/>
    </row>
    <row r="107" spans="3:3">
      <c r="C107" s="380"/>
    </row>
    <row r="108" spans="3:3">
      <c r="C108" s="380"/>
    </row>
    <row r="109" spans="3:3">
      <c r="C109" s="380"/>
    </row>
    <row r="110" spans="3:3">
      <c r="C110" s="380"/>
    </row>
    <row r="111" spans="3:3">
      <c r="C111" s="380"/>
    </row>
  </sheetData>
  <mergeCells count="7">
    <mergeCell ref="A1:K1"/>
    <mergeCell ref="C2:C5"/>
    <mergeCell ref="D2:D5"/>
    <mergeCell ref="E2:E5"/>
    <mergeCell ref="H2:H5"/>
    <mergeCell ref="I2:I5"/>
    <mergeCell ref="J2:J5"/>
  </mergeCells>
  <printOptions horizontalCentered="1"/>
  <pageMargins left="0.21" right="0.31" top="0.6" bottom="0.21" header="0.5" footer="0.5"/>
  <pageSetup scale="72" orientation="portrait" cellComments="asDisplayed"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1"/>
  <sheetViews>
    <sheetView showGridLines="0" zoomScaleNormal="100" zoomScaleSheetLayoutView="75" workbookViewId="0">
      <selection activeCell="M29" sqref="M29"/>
    </sheetView>
  </sheetViews>
  <sheetFormatPr defaultColWidth="9.140625" defaultRowHeight="12.75"/>
  <cols>
    <col min="1" max="1" width="36.85546875" style="377" customWidth="1"/>
    <col min="2" max="2" width="1.42578125" style="377" customWidth="1"/>
    <col min="3" max="3" width="19.28515625" style="1226" customWidth="1"/>
    <col min="4" max="4" width="15.85546875" style="377" hidden="1" customWidth="1"/>
    <col min="5" max="5" width="19.28515625" style="377" customWidth="1"/>
    <col min="6" max="6" width="19.28515625" style="377" hidden="1" customWidth="1"/>
    <col min="7" max="7" width="17" style="1226" customWidth="1"/>
    <col min="8" max="8" width="19.28515625" style="1226" customWidth="1"/>
    <col min="9" max="9" width="19.28515625" style="377" customWidth="1"/>
    <col min="10" max="10" width="13.28515625" style="1872" hidden="1" customWidth="1"/>
    <col min="11" max="11" width="4.85546875" style="377" bestFit="1" customWidth="1"/>
    <col min="12" max="12" width="11.140625" style="377" bestFit="1" customWidth="1"/>
    <col min="13" max="13" width="10.85546875" style="377" bestFit="1" customWidth="1"/>
    <col min="14" max="14" width="30.5703125" style="377" customWidth="1"/>
    <col min="15" max="15" width="15.7109375" style="377" customWidth="1"/>
    <col min="16" max="16" width="13.85546875" style="377" customWidth="1"/>
    <col min="17" max="16384" width="9.140625" style="377"/>
  </cols>
  <sheetData>
    <row r="1" spans="1:19" ht="49.9" customHeight="1" thickBot="1">
      <c r="A1" s="1803" t="s">
        <v>1076</v>
      </c>
      <c r="B1" s="1803"/>
      <c r="C1" s="1803"/>
      <c r="D1" s="1803"/>
      <c r="E1" s="1803"/>
      <c r="F1" s="1803"/>
      <c r="G1" s="1803"/>
      <c r="H1" s="1803"/>
      <c r="I1" s="1803"/>
      <c r="J1" s="1803"/>
      <c r="K1" s="1840"/>
    </row>
    <row r="2" spans="1:19" ht="15.6" customHeight="1">
      <c r="A2" s="1805"/>
      <c r="B2" s="1805"/>
      <c r="C2" s="1806" t="s">
        <v>978</v>
      </c>
      <c r="D2" s="1841" t="s">
        <v>58</v>
      </c>
      <c r="E2" s="1806" t="s">
        <v>979</v>
      </c>
      <c r="F2" s="1842"/>
      <c r="G2" s="1808" t="s">
        <v>980</v>
      </c>
      <c r="H2" s="1806" t="s">
        <v>989</v>
      </c>
      <c r="I2" s="1806" t="s">
        <v>1029</v>
      </c>
      <c r="J2" s="1843" t="s">
        <v>1029</v>
      </c>
      <c r="K2" s="1840"/>
    </row>
    <row r="3" spans="1:19" ht="15.6" customHeight="1">
      <c r="A3" s="1810"/>
      <c r="B3" s="1810"/>
      <c r="C3" s="1811"/>
      <c r="D3" s="358" t="s">
        <v>1077</v>
      </c>
      <c r="E3" s="1811"/>
      <c r="F3" s="1844"/>
      <c r="G3" s="1812"/>
      <c r="H3" s="1811"/>
      <c r="I3" s="1811"/>
      <c r="J3" s="1813" t="s">
        <v>58</v>
      </c>
    </row>
    <row r="4" spans="1:19" ht="15.6" customHeight="1">
      <c r="A4" s="1810"/>
      <c r="B4" s="1810"/>
      <c r="C4" s="1811"/>
      <c r="D4" s="358" t="s">
        <v>528</v>
      </c>
      <c r="E4" s="1811"/>
      <c r="F4" s="1844"/>
      <c r="G4" s="1812"/>
      <c r="H4" s="1811"/>
      <c r="I4" s="1811"/>
      <c r="J4" s="358" t="s">
        <v>1031</v>
      </c>
    </row>
    <row r="5" spans="1:19" ht="16.149999999999999" customHeight="1" thickBot="1">
      <c r="A5" s="1815"/>
      <c r="B5" s="1816"/>
      <c r="C5" s="1817"/>
      <c r="D5" s="1818" t="s">
        <v>186</v>
      </c>
      <c r="E5" s="1817"/>
      <c r="F5" s="1129"/>
      <c r="G5" s="1819"/>
      <c r="H5" s="1817"/>
      <c r="I5" s="1817"/>
      <c r="J5" s="1818" t="s">
        <v>686</v>
      </c>
    </row>
    <row r="6" spans="1:19" ht="20.45" customHeight="1">
      <c r="A6" s="1820" t="s">
        <v>1078</v>
      </c>
      <c r="B6" s="410"/>
      <c r="C6" s="412"/>
      <c r="D6" s="412"/>
      <c r="E6" s="412"/>
      <c r="F6" s="412"/>
      <c r="G6" s="412"/>
      <c r="H6" s="412"/>
      <c r="I6" s="1845"/>
      <c r="J6" s="1845"/>
    </row>
    <row r="7" spans="1:19" ht="15.75" customHeight="1">
      <c r="A7" s="1820" t="s">
        <v>1079</v>
      </c>
      <c r="B7" s="1846" t="s">
        <v>424</v>
      </c>
      <c r="C7" s="375">
        <v>111158871</v>
      </c>
      <c r="D7" s="375"/>
      <c r="E7" s="375">
        <v>114975251</v>
      </c>
      <c r="F7" s="375" t="s">
        <v>58</v>
      </c>
      <c r="G7" s="375">
        <v>113160490</v>
      </c>
      <c r="H7" s="375">
        <v>119297566</v>
      </c>
      <c r="I7" s="1847">
        <v>4322315</v>
      </c>
      <c r="J7" s="1824">
        <v>3.7593438260900225E-2</v>
      </c>
    </row>
    <row r="8" spans="1:19" ht="15.75" customHeight="1">
      <c r="A8" s="1820" t="s">
        <v>1080</v>
      </c>
      <c r="B8" s="410"/>
      <c r="C8" s="375">
        <v>2540871</v>
      </c>
      <c r="D8" s="1848">
        <v>0</v>
      </c>
      <c r="E8" s="375">
        <v>2328732</v>
      </c>
      <c r="F8" s="375"/>
      <c r="G8" s="375">
        <v>2259492</v>
      </c>
      <c r="H8" s="375">
        <v>2257010</v>
      </c>
      <c r="I8" s="1847">
        <v>-71722</v>
      </c>
      <c r="J8" s="1824">
        <v>-3.079873510562825E-2</v>
      </c>
    </row>
    <row r="9" spans="1:19" ht="15.75" customHeight="1">
      <c r="A9" s="1820" t="s">
        <v>1081</v>
      </c>
      <c r="B9" s="410"/>
      <c r="C9" s="375">
        <v>5560927</v>
      </c>
      <c r="D9" s="1848">
        <v>863429</v>
      </c>
      <c r="E9" s="375">
        <v>6261959</v>
      </c>
      <c r="F9" s="375"/>
      <c r="G9" s="375">
        <v>5709552</v>
      </c>
      <c r="H9" s="375">
        <v>6200769</v>
      </c>
      <c r="I9" s="1847">
        <v>-61190</v>
      </c>
      <c r="J9" s="1824">
        <v>-9.7717024336952951E-3</v>
      </c>
    </row>
    <row r="10" spans="1:19" ht="15.75" customHeight="1">
      <c r="A10" s="1820" t="s">
        <v>1082</v>
      </c>
      <c r="B10" s="410"/>
      <c r="C10" s="375">
        <v>848382</v>
      </c>
      <c r="D10" s="1848">
        <v>230667</v>
      </c>
      <c r="E10" s="375">
        <v>1019547</v>
      </c>
      <c r="F10" s="375"/>
      <c r="G10" s="375">
        <v>849178</v>
      </c>
      <c r="H10" s="375">
        <v>975064</v>
      </c>
      <c r="I10" s="1847">
        <v>-44483</v>
      </c>
      <c r="J10" s="1824">
        <v>-4.3630161238275456E-2</v>
      </c>
      <c r="O10" s="1849"/>
      <c r="P10" s="1849"/>
      <c r="S10" s="1850"/>
    </row>
    <row r="11" spans="1:19" ht="15.75" customHeight="1">
      <c r="A11" s="1820" t="s">
        <v>1083</v>
      </c>
      <c r="B11" s="410"/>
      <c r="C11" s="375">
        <v>5786308</v>
      </c>
      <c r="D11" s="1848">
        <v>65478</v>
      </c>
      <c r="E11" s="375">
        <v>5223100</v>
      </c>
      <c r="F11" s="375"/>
      <c r="G11" s="375">
        <v>5876613</v>
      </c>
      <c r="H11" s="375">
        <v>5015670</v>
      </c>
      <c r="I11" s="1847">
        <v>-207430</v>
      </c>
      <c r="J11" s="1824">
        <v>-3.9713962972181327E-2</v>
      </c>
    </row>
    <row r="12" spans="1:19" ht="15.75" customHeight="1">
      <c r="A12" s="1820" t="s">
        <v>1084</v>
      </c>
      <c r="B12" s="410"/>
      <c r="C12" s="375">
        <v>-53</v>
      </c>
      <c r="D12" s="1006">
        <v>0</v>
      </c>
      <c r="E12" s="375">
        <v>1000</v>
      </c>
      <c r="F12" s="375"/>
      <c r="G12" s="375">
        <v>-4639</v>
      </c>
      <c r="H12" s="375">
        <v>0</v>
      </c>
      <c r="I12" s="380">
        <v>-1000</v>
      </c>
      <c r="J12" s="1824">
        <v>-1</v>
      </c>
      <c r="L12" s="1226" t="s">
        <v>58</v>
      </c>
    </row>
    <row r="13" spans="1:19" ht="15.75">
      <c r="A13" s="1820" t="s">
        <v>1085</v>
      </c>
      <c r="B13" s="410"/>
      <c r="C13" s="375">
        <v>1114524</v>
      </c>
      <c r="D13" s="1848">
        <v>1000</v>
      </c>
      <c r="E13" s="375">
        <v>883646</v>
      </c>
      <c r="F13" s="375"/>
      <c r="G13" s="375">
        <v>1404515</v>
      </c>
      <c r="H13" s="375">
        <v>716600</v>
      </c>
      <c r="I13" s="1847">
        <v>-167046</v>
      </c>
      <c r="J13" s="1824">
        <v>-0.18904176559391428</v>
      </c>
      <c r="L13" s="1226"/>
    </row>
    <row r="14" spans="1:19" ht="15.75" hidden="1">
      <c r="A14" s="1820" t="s">
        <v>1086</v>
      </c>
      <c r="B14" s="410">
        <v>1</v>
      </c>
      <c r="C14" s="375">
        <v>0</v>
      </c>
      <c r="D14" s="1006">
        <v>1250</v>
      </c>
      <c r="E14" s="375">
        <v>0</v>
      </c>
      <c r="F14" s="375"/>
      <c r="G14" s="375">
        <v>0</v>
      </c>
      <c r="H14" s="375">
        <v>0</v>
      </c>
      <c r="I14" s="768">
        <v>0</v>
      </c>
      <c r="J14" s="1824">
        <v>0</v>
      </c>
      <c r="L14" s="1226"/>
    </row>
    <row r="15" spans="1:19" ht="15.75">
      <c r="A15" s="1827" t="s">
        <v>1087</v>
      </c>
      <c r="B15" s="1057"/>
      <c r="C15" s="1828">
        <v>127009830</v>
      </c>
      <c r="D15" s="1851">
        <v>1161824</v>
      </c>
      <c r="E15" s="1828">
        <v>130693235</v>
      </c>
      <c r="F15" s="1828"/>
      <c r="G15" s="1851">
        <v>129255201</v>
      </c>
      <c r="H15" s="1828">
        <v>134462679</v>
      </c>
      <c r="I15" s="1851">
        <v>3769444</v>
      </c>
      <c r="J15" s="1829">
        <v>2.8841921312912744E-2</v>
      </c>
      <c r="L15" s="1226" t="s">
        <v>58</v>
      </c>
      <c r="R15" s="1852"/>
    </row>
    <row r="16" spans="1:19" ht="12.75" customHeight="1">
      <c r="A16" s="380"/>
      <c r="B16" s="410"/>
      <c r="C16" s="375"/>
      <c r="D16" s="1853"/>
      <c r="E16" s="375"/>
      <c r="F16" s="375"/>
      <c r="G16" s="1853"/>
      <c r="H16" s="375"/>
      <c r="I16" s="1847" t="s">
        <v>58</v>
      </c>
      <c r="J16" s="1854" t="s">
        <v>58</v>
      </c>
      <c r="L16" s="1226"/>
    </row>
    <row r="17" spans="1:18" ht="15.75" customHeight="1">
      <c r="A17" s="1820" t="s">
        <v>1088</v>
      </c>
      <c r="B17" s="410"/>
      <c r="C17" s="375"/>
      <c r="D17" s="1853"/>
      <c r="E17" s="375"/>
      <c r="F17" s="375"/>
      <c r="G17" s="1853"/>
      <c r="H17" s="375"/>
      <c r="I17" s="1847" t="s">
        <v>58</v>
      </c>
      <c r="J17" s="1854" t="s">
        <v>58</v>
      </c>
      <c r="L17" s="1226"/>
      <c r="R17" s="1852"/>
    </row>
    <row r="18" spans="1:18" ht="15.75" customHeight="1">
      <c r="A18" s="1820" t="s">
        <v>1089</v>
      </c>
      <c r="B18" s="410"/>
      <c r="C18" s="375">
        <v>362651</v>
      </c>
      <c r="D18" s="1006">
        <v>0</v>
      </c>
      <c r="E18" s="375">
        <v>366548</v>
      </c>
      <c r="F18" s="375"/>
      <c r="G18" s="375">
        <v>364352</v>
      </c>
      <c r="H18" s="375">
        <v>363619</v>
      </c>
      <c r="I18" s="380">
        <v>-2929</v>
      </c>
      <c r="J18" s="1824">
        <v>-7.9907679212545268E-3</v>
      </c>
      <c r="L18" s="1226"/>
    </row>
    <row r="19" spans="1:18" ht="15.75" customHeight="1">
      <c r="A19" s="1820" t="s">
        <v>1090</v>
      </c>
      <c r="B19" s="410"/>
      <c r="C19" s="375">
        <v>22815227</v>
      </c>
      <c r="D19" s="1848">
        <v>0</v>
      </c>
      <c r="E19" s="375">
        <v>23744312</v>
      </c>
      <c r="F19" s="375"/>
      <c r="G19" s="375">
        <v>18740911</v>
      </c>
      <c r="H19" s="375">
        <v>23950633</v>
      </c>
      <c r="I19" s="1847">
        <v>206321</v>
      </c>
      <c r="J19" s="1824">
        <v>8.6892810370753359E-3</v>
      </c>
      <c r="L19" s="1226"/>
      <c r="R19" s="1852"/>
    </row>
    <row r="20" spans="1:18" ht="15.75" customHeight="1">
      <c r="A20" s="1820" t="s">
        <v>1091</v>
      </c>
      <c r="B20" s="410"/>
      <c r="C20" s="375">
        <v>9161133</v>
      </c>
      <c r="D20" s="1848">
        <v>13000</v>
      </c>
      <c r="E20" s="375">
        <v>9599443</v>
      </c>
      <c r="F20" s="375"/>
      <c r="G20" s="375">
        <v>9460325</v>
      </c>
      <c r="H20" s="375">
        <v>9840136</v>
      </c>
      <c r="I20" s="1847">
        <v>240693</v>
      </c>
      <c r="J20" s="1824">
        <v>2.5073642293620635E-2</v>
      </c>
      <c r="L20" s="1226"/>
    </row>
    <row r="21" spans="1:18" ht="15.75" customHeight="1">
      <c r="A21" s="1820" t="s">
        <v>1092</v>
      </c>
      <c r="B21" s="410"/>
      <c r="C21" s="375">
        <v>14030229</v>
      </c>
      <c r="D21" s="1848">
        <v>-7684288</v>
      </c>
      <c r="E21" s="375">
        <v>16760241</v>
      </c>
      <c r="F21" s="375"/>
      <c r="G21" s="375">
        <v>15866460</v>
      </c>
      <c r="H21" s="375">
        <v>18112967</v>
      </c>
      <c r="I21" s="1847">
        <v>1352726</v>
      </c>
      <c r="J21" s="1824">
        <v>8.0710414605613456E-2</v>
      </c>
      <c r="L21" s="1226"/>
    </row>
    <row r="22" spans="1:18" ht="15.75" customHeight="1">
      <c r="A22" s="1831" t="s">
        <v>1093</v>
      </c>
      <c r="B22" s="1057"/>
      <c r="C22" s="1828">
        <v>46369240</v>
      </c>
      <c r="D22" s="1851">
        <v>-7671288</v>
      </c>
      <c r="E22" s="1828">
        <v>50470544</v>
      </c>
      <c r="F22" s="1828"/>
      <c r="G22" s="1851">
        <v>44432048</v>
      </c>
      <c r="H22" s="1828">
        <v>52267355</v>
      </c>
      <c r="I22" s="1851">
        <v>1796811</v>
      </c>
      <c r="J22" s="1829">
        <v>3.5601181552550765E-2</v>
      </c>
      <c r="L22" s="1226" t="s">
        <v>58</v>
      </c>
    </row>
    <row r="23" spans="1:18" ht="12.75" customHeight="1">
      <c r="A23" s="1820"/>
      <c r="B23" s="410"/>
      <c r="C23" s="375"/>
      <c r="D23" s="1853"/>
      <c r="E23" s="375"/>
      <c r="F23" s="375"/>
      <c r="G23" s="1853"/>
      <c r="H23" s="375"/>
      <c r="I23" s="1847" t="s">
        <v>58</v>
      </c>
      <c r="J23" s="1854" t="s">
        <v>58</v>
      </c>
      <c r="L23" s="1226"/>
    </row>
    <row r="24" spans="1:18" ht="15.75" customHeight="1">
      <c r="A24" s="1820" t="s">
        <v>1094</v>
      </c>
      <c r="B24" s="410"/>
      <c r="C24" s="375"/>
      <c r="D24" s="1853"/>
      <c r="E24" s="375"/>
      <c r="F24" s="375"/>
      <c r="G24" s="1853"/>
      <c r="H24" s="375"/>
      <c r="I24" s="1847" t="s">
        <v>58</v>
      </c>
      <c r="J24" s="1824" t="s">
        <v>58</v>
      </c>
    </row>
    <row r="25" spans="1:18" ht="15.75" customHeight="1">
      <c r="A25" s="1820" t="s">
        <v>1095</v>
      </c>
      <c r="B25" s="410"/>
      <c r="C25" s="375">
        <v>3612813</v>
      </c>
      <c r="D25" s="1848">
        <v>19012082.359999999</v>
      </c>
      <c r="E25" s="375">
        <v>6054810</v>
      </c>
      <c r="F25" s="375"/>
      <c r="G25" s="375">
        <v>6048185</v>
      </c>
      <c r="H25" s="375">
        <v>6804777</v>
      </c>
      <c r="I25" s="1847">
        <v>749967</v>
      </c>
      <c r="J25" s="1824">
        <v>0.1238630113909438</v>
      </c>
    </row>
    <row r="26" spans="1:18" ht="15.75" customHeight="1">
      <c r="A26" s="1820" t="s">
        <v>1096</v>
      </c>
      <c r="B26" s="410"/>
      <c r="C26" s="375">
        <v>10161363</v>
      </c>
      <c r="D26" s="1848">
        <v>38255</v>
      </c>
      <c r="E26" s="375">
        <v>5871269</v>
      </c>
      <c r="F26" s="375"/>
      <c r="G26" s="375">
        <v>5570721</v>
      </c>
      <c r="H26" s="375">
        <v>4904507</v>
      </c>
      <c r="I26" s="1847">
        <v>-966762</v>
      </c>
      <c r="J26" s="1824">
        <v>-0.1646598035279937</v>
      </c>
    </row>
    <row r="27" spans="1:18" ht="15.75" customHeight="1">
      <c r="A27" s="1820" t="s">
        <v>1097</v>
      </c>
      <c r="B27" s="410"/>
      <c r="C27" s="375">
        <v>963748</v>
      </c>
      <c r="D27" s="1848">
        <v>195166</v>
      </c>
      <c r="E27" s="375">
        <v>1017247</v>
      </c>
      <c r="F27" s="375"/>
      <c r="G27" s="375">
        <v>1052243</v>
      </c>
      <c r="H27" s="375">
        <v>1257467</v>
      </c>
      <c r="I27" s="1847">
        <v>240220</v>
      </c>
      <c r="J27" s="1824">
        <v>0.23614716976309591</v>
      </c>
    </row>
    <row r="28" spans="1:18" ht="15.75" customHeight="1">
      <c r="A28" s="1820" t="s">
        <v>1098</v>
      </c>
      <c r="B28" s="410"/>
      <c r="C28" s="375">
        <v>1806654</v>
      </c>
      <c r="D28" s="1848">
        <v>64053</v>
      </c>
      <c r="E28" s="375">
        <v>2918677</v>
      </c>
      <c r="F28" s="375"/>
      <c r="G28" s="375">
        <v>2736995</v>
      </c>
      <c r="H28" s="375">
        <v>2108328</v>
      </c>
      <c r="I28" s="1847">
        <v>-810349</v>
      </c>
      <c r="J28" s="1824">
        <v>-0.27764257572866058</v>
      </c>
    </row>
    <row r="29" spans="1:18" ht="15.75" customHeight="1">
      <c r="A29" s="380" t="s">
        <v>1099</v>
      </c>
      <c r="B29" s="410"/>
      <c r="C29" s="375">
        <v>24320</v>
      </c>
      <c r="D29" s="1848">
        <v>375155</v>
      </c>
      <c r="E29" s="375">
        <v>94341</v>
      </c>
      <c r="F29" s="375"/>
      <c r="G29" s="375">
        <v>87816</v>
      </c>
      <c r="H29" s="375">
        <v>59924</v>
      </c>
      <c r="I29" s="1847">
        <v>-34417</v>
      </c>
      <c r="J29" s="1824">
        <v>-0.36481487370284393</v>
      </c>
    </row>
    <row r="30" spans="1:18" ht="15.75" customHeight="1">
      <c r="A30" s="380" t="s">
        <v>1100</v>
      </c>
      <c r="B30" s="410"/>
      <c r="C30" s="375">
        <v>7847754</v>
      </c>
      <c r="D30" s="1848">
        <v>0</v>
      </c>
      <c r="E30" s="375">
        <v>8501216</v>
      </c>
      <c r="F30" s="375"/>
      <c r="G30" s="375">
        <v>8503808</v>
      </c>
      <c r="H30" s="375">
        <v>8334716</v>
      </c>
      <c r="I30" s="1847">
        <v>-166500</v>
      </c>
      <c r="J30" s="1824">
        <v>-1.9585433425053589E-2</v>
      </c>
    </row>
    <row r="31" spans="1:18" ht="15.75" customHeight="1">
      <c r="A31" s="1820" t="s">
        <v>1101</v>
      </c>
      <c r="B31" s="410"/>
      <c r="C31" s="375">
        <v>95549</v>
      </c>
      <c r="D31" s="1848">
        <v>45604</v>
      </c>
      <c r="E31" s="375">
        <v>138845</v>
      </c>
      <c r="F31" s="375"/>
      <c r="G31" s="375">
        <v>145871</v>
      </c>
      <c r="H31" s="375">
        <v>134284</v>
      </c>
      <c r="I31" s="1847">
        <v>-4561</v>
      </c>
      <c r="J31" s="1824">
        <v>-3.2849580467427697E-2</v>
      </c>
    </row>
    <row r="32" spans="1:18" ht="15.75" customHeight="1">
      <c r="A32" s="380" t="s">
        <v>1102</v>
      </c>
      <c r="B32" s="410"/>
      <c r="C32" s="375">
        <v>3331885</v>
      </c>
      <c r="D32" s="1848">
        <v>2500</v>
      </c>
      <c r="E32" s="375">
        <v>3308298</v>
      </c>
      <c r="F32" s="375"/>
      <c r="G32" s="375">
        <v>3308404</v>
      </c>
      <c r="H32" s="375">
        <v>3111997</v>
      </c>
      <c r="I32" s="1847">
        <v>-196301</v>
      </c>
      <c r="J32" s="1824">
        <v>-5.9335948575370168E-2</v>
      </c>
    </row>
    <row r="33" spans="1:12" ht="15.75" customHeight="1">
      <c r="A33" s="1820" t="s">
        <v>1103</v>
      </c>
      <c r="B33" s="410"/>
      <c r="C33" s="375">
        <v>4849561</v>
      </c>
      <c r="D33" s="1848">
        <v>0</v>
      </c>
      <c r="E33" s="375">
        <v>5274847</v>
      </c>
      <c r="F33" s="375"/>
      <c r="G33" s="375">
        <v>5888674</v>
      </c>
      <c r="H33" s="375">
        <v>4609192</v>
      </c>
      <c r="I33" s="1847">
        <v>-665655</v>
      </c>
      <c r="J33" s="1824">
        <v>-0.12619418155635609</v>
      </c>
    </row>
    <row r="34" spans="1:12" ht="15.75" customHeight="1">
      <c r="A34" s="1831" t="s">
        <v>1104</v>
      </c>
      <c r="B34" s="1057"/>
      <c r="C34" s="1828">
        <v>32693647</v>
      </c>
      <c r="D34" s="1851">
        <v>19732815.359999999</v>
      </c>
      <c r="E34" s="1828">
        <v>33179550</v>
      </c>
      <c r="F34" s="1828"/>
      <c r="G34" s="1851">
        <v>33342717</v>
      </c>
      <c r="H34" s="1828">
        <v>31325192</v>
      </c>
      <c r="I34" s="1851">
        <v>-1854358</v>
      </c>
      <c r="J34" s="1829">
        <v>-5.5888581972932116E-2</v>
      </c>
      <c r="L34" s="377" t="s">
        <v>58</v>
      </c>
    </row>
    <row r="35" spans="1:12" ht="15.75">
      <c r="A35" s="1820"/>
      <c r="B35" s="410"/>
      <c r="C35" s="375"/>
      <c r="D35" s="1853"/>
      <c r="E35" s="375"/>
      <c r="F35" s="375"/>
      <c r="G35" s="1853"/>
      <c r="H35" s="375"/>
      <c r="I35" s="1847" t="s">
        <v>58</v>
      </c>
      <c r="J35" s="1854" t="s">
        <v>58</v>
      </c>
    </row>
    <row r="36" spans="1:12" ht="15.75">
      <c r="A36" s="1820" t="s">
        <v>1105</v>
      </c>
      <c r="B36" s="410"/>
      <c r="C36" s="375"/>
      <c r="D36" s="1853"/>
      <c r="E36" s="375"/>
      <c r="F36" s="375"/>
      <c r="G36" s="1853"/>
      <c r="H36" s="375"/>
      <c r="I36" s="1847" t="s">
        <v>58</v>
      </c>
      <c r="J36" s="1854" t="s">
        <v>58</v>
      </c>
    </row>
    <row r="37" spans="1:12" ht="15.75">
      <c r="A37" s="1820" t="s">
        <v>1106</v>
      </c>
      <c r="B37" s="410"/>
      <c r="C37" s="375">
        <v>607818</v>
      </c>
      <c r="D37" s="1848">
        <v>75000</v>
      </c>
      <c r="E37" s="375">
        <v>799929</v>
      </c>
      <c r="F37" s="375"/>
      <c r="G37" s="375">
        <v>854378</v>
      </c>
      <c r="H37" s="375">
        <v>952683</v>
      </c>
      <c r="I37" s="1847">
        <v>152754</v>
      </c>
      <c r="J37" s="1824">
        <v>0.19095944765097905</v>
      </c>
    </row>
    <row r="38" spans="1:12" ht="15.75">
      <c r="A38" s="1820" t="s">
        <v>1107</v>
      </c>
      <c r="B38" s="410"/>
      <c r="C38" s="375">
        <v>10703237</v>
      </c>
      <c r="D38" s="1848">
        <v>433661</v>
      </c>
      <c r="E38" s="375">
        <v>9660057</v>
      </c>
      <c r="F38" s="375"/>
      <c r="G38" s="375">
        <v>9460474</v>
      </c>
      <c r="H38" s="375">
        <v>9954423</v>
      </c>
      <c r="I38" s="1847">
        <v>294366</v>
      </c>
      <c r="J38" s="1824">
        <v>3.0472491000829605E-2</v>
      </c>
    </row>
    <row r="39" spans="1:12" ht="15.75">
      <c r="A39" s="1820" t="s">
        <v>1108</v>
      </c>
      <c r="B39" s="410"/>
      <c r="C39" s="375">
        <v>16721929</v>
      </c>
      <c r="D39" s="1848">
        <v>0</v>
      </c>
      <c r="E39" s="375">
        <v>20794960</v>
      </c>
      <c r="F39" s="375"/>
      <c r="G39" s="375">
        <v>20868499</v>
      </c>
      <c r="H39" s="375">
        <v>19869556</v>
      </c>
      <c r="I39" s="1847">
        <v>-925404</v>
      </c>
      <c r="J39" s="1824">
        <v>-4.450135994490978E-2</v>
      </c>
    </row>
    <row r="40" spans="1:12" ht="15.75">
      <c r="A40" s="1820" t="s">
        <v>1092</v>
      </c>
      <c r="B40" s="410"/>
      <c r="C40" s="375">
        <v>1205446</v>
      </c>
      <c r="D40" s="1848">
        <v>1357993.89</v>
      </c>
      <c r="E40" s="375">
        <v>3188219</v>
      </c>
      <c r="F40" s="375"/>
      <c r="G40" s="375">
        <v>3188219</v>
      </c>
      <c r="H40" s="375">
        <v>3356839</v>
      </c>
      <c r="I40" s="1847">
        <v>168620</v>
      </c>
      <c r="J40" s="1824">
        <v>5.2888462179041085E-2</v>
      </c>
    </row>
    <row r="41" spans="1:12" ht="15.75">
      <c r="A41" s="1831" t="s">
        <v>1109</v>
      </c>
      <c r="B41" s="1057"/>
      <c r="C41" s="1828">
        <v>29238430</v>
      </c>
      <c r="D41" s="1851">
        <v>1866654.89</v>
      </c>
      <c r="E41" s="1828">
        <v>34443165</v>
      </c>
      <c r="F41" s="1828"/>
      <c r="G41" s="1851">
        <v>34371570</v>
      </c>
      <c r="H41" s="1828">
        <v>34133501</v>
      </c>
      <c r="I41" s="1851">
        <v>-309664</v>
      </c>
      <c r="J41" s="1829">
        <v>-8.9905791178017669E-3</v>
      </c>
      <c r="L41" s="377" t="s">
        <v>58</v>
      </c>
    </row>
    <row r="42" spans="1:12" ht="15.6" customHeight="1">
      <c r="A42" s="380"/>
      <c r="B42" s="410"/>
      <c r="C42" s="375"/>
      <c r="D42" s="1853"/>
      <c r="E42" s="375"/>
      <c r="F42" s="375"/>
      <c r="G42" s="1853"/>
      <c r="H42" s="375"/>
      <c r="I42" s="1847" t="s">
        <v>58</v>
      </c>
      <c r="J42" s="1854" t="s">
        <v>58</v>
      </c>
    </row>
    <row r="43" spans="1:12" ht="15.75">
      <c r="A43" s="1831" t="s">
        <v>1110</v>
      </c>
      <c r="B43" s="1057"/>
      <c r="C43" s="1828">
        <v>8987370</v>
      </c>
      <c r="D43" s="1851">
        <v>0</v>
      </c>
      <c r="E43" s="1828">
        <v>61934</v>
      </c>
      <c r="F43" s="1828"/>
      <c r="G43" s="1828">
        <v>-59028</v>
      </c>
      <c r="H43" s="1828">
        <v>63000</v>
      </c>
      <c r="I43" s="1855">
        <v>1066</v>
      </c>
      <c r="J43" s="1829">
        <v>1.7211870701068888E-2</v>
      </c>
    </row>
    <row r="44" spans="1:12" ht="7.15" customHeight="1">
      <c r="A44" s="1820"/>
      <c r="B44" s="410"/>
      <c r="C44" s="375"/>
      <c r="D44" s="1853"/>
      <c r="E44" s="375"/>
      <c r="F44" s="375"/>
      <c r="G44" s="1853"/>
      <c r="H44" s="375"/>
      <c r="I44" s="1847" t="s">
        <v>58</v>
      </c>
      <c r="J44" s="1854" t="s">
        <v>58</v>
      </c>
    </row>
    <row r="45" spans="1:12" ht="15.75">
      <c r="A45" s="1820" t="s">
        <v>1111</v>
      </c>
      <c r="B45" s="410"/>
      <c r="C45" s="375"/>
      <c r="D45" s="1853"/>
      <c r="E45" s="375"/>
      <c r="F45" s="375"/>
      <c r="G45" s="1853"/>
      <c r="H45" s="375"/>
      <c r="I45" s="1847" t="s">
        <v>58</v>
      </c>
      <c r="J45" s="1854" t="s">
        <v>58</v>
      </c>
    </row>
    <row r="46" spans="1:12" ht="15.75">
      <c r="A46" s="1820" t="s">
        <v>1112</v>
      </c>
      <c r="B46" s="410"/>
      <c r="C46" s="375">
        <v>920807</v>
      </c>
      <c r="D46" s="1853">
        <v>29458</v>
      </c>
      <c r="E46" s="375">
        <v>1152572</v>
      </c>
      <c r="F46" s="375"/>
      <c r="G46" s="375">
        <v>1153424</v>
      </c>
      <c r="H46" s="375">
        <v>662298</v>
      </c>
      <c r="I46" s="1847">
        <v>-490274</v>
      </c>
      <c r="J46" s="1824">
        <v>-0.42537385950725859</v>
      </c>
    </row>
    <row r="47" spans="1:12" ht="15.75">
      <c r="A47" s="1827" t="s">
        <v>1113</v>
      </c>
      <c r="B47" s="1057"/>
      <c r="C47" s="1828">
        <v>920807</v>
      </c>
      <c r="D47" s="1851">
        <v>29458</v>
      </c>
      <c r="E47" s="1828">
        <v>1152572</v>
      </c>
      <c r="F47" s="1828"/>
      <c r="G47" s="1851">
        <v>1153424</v>
      </c>
      <c r="H47" s="1828">
        <v>662298</v>
      </c>
      <c r="I47" s="1851">
        <v>-490274</v>
      </c>
      <c r="J47" s="1829">
        <v>-0.42537385950725859</v>
      </c>
    </row>
    <row r="48" spans="1:12" ht="15.6" customHeight="1">
      <c r="A48" s="1820"/>
      <c r="B48" s="410"/>
      <c r="C48" s="375"/>
      <c r="D48" s="1853"/>
      <c r="E48" s="375"/>
      <c r="F48" s="375"/>
      <c r="G48" s="1853"/>
      <c r="H48" s="375"/>
      <c r="I48" s="1847" t="s">
        <v>58</v>
      </c>
      <c r="J48" s="1854" t="s">
        <v>58</v>
      </c>
    </row>
    <row r="49" spans="1:12" ht="15.75">
      <c r="A49" s="1827" t="s">
        <v>1114</v>
      </c>
      <c r="B49" s="1057"/>
      <c r="C49" s="1828">
        <v>351167</v>
      </c>
      <c r="D49" s="1851">
        <v>57451</v>
      </c>
      <c r="E49" s="1828">
        <v>0</v>
      </c>
      <c r="F49" s="1828"/>
      <c r="G49" s="1828">
        <v>0</v>
      </c>
      <c r="H49" s="1828">
        <v>0</v>
      </c>
      <c r="I49" s="1856">
        <v>0</v>
      </c>
      <c r="J49" s="1829">
        <v>0</v>
      </c>
    </row>
    <row r="50" spans="1:12" ht="7.15" customHeight="1">
      <c r="A50" s="1820"/>
      <c r="B50" s="410"/>
      <c r="C50" s="375"/>
      <c r="D50" s="1853"/>
      <c r="E50" s="375"/>
      <c r="F50" s="375"/>
      <c r="G50" s="1853"/>
      <c r="H50" s="375"/>
      <c r="I50" s="1847" t="s">
        <v>58</v>
      </c>
      <c r="J50" s="1854" t="s">
        <v>58</v>
      </c>
    </row>
    <row r="51" spans="1:12" ht="15.75" hidden="1">
      <c r="A51" s="1820" t="s">
        <v>1115</v>
      </c>
      <c r="B51" s="410"/>
      <c r="C51" s="1857">
        <v>0</v>
      </c>
      <c r="D51" s="1858">
        <v>0</v>
      </c>
      <c r="E51" s="1857">
        <v>0</v>
      </c>
      <c r="F51" s="1857"/>
      <c r="G51" s="1858">
        <v>0</v>
      </c>
      <c r="H51" s="1857">
        <v>0</v>
      </c>
      <c r="I51" s="1859">
        <v>0</v>
      </c>
      <c r="J51" s="1829">
        <v>0</v>
      </c>
    </row>
    <row r="52" spans="1:12" ht="15.75" hidden="1">
      <c r="A52" s="1820"/>
      <c r="B52" s="410"/>
      <c r="C52" s="375"/>
      <c r="D52" s="1853"/>
      <c r="E52" s="375"/>
      <c r="F52" s="375"/>
      <c r="G52" s="1853"/>
      <c r="H52" s="375"/>
      <c r="I52" s="1847" t="s">
        <v>58</v>
      </c>
      <c r="J52" s="1854" t="s">
        <v>58</v>
      </c>
    </row>
    <row r="53" spans="1:12" ht="15.75">
      <c r="A53" s="380" t="s">
        <v>1116</v>
      </c>
      <c r="B53" s="410"/>
      <c r="C53" s="375"/>
      <c r="D53" s="1853"/>
      <c r="E53" s="375"/>
      <c r="F53" s="375"/>
      <c r="G53" s="1853"/>
      <c r="H53" s="375"/>
      <c r="I53" s="1847" t="s">
        <v>58</v>
      </c>
      <c r="J53" s="1854" t="s">
        <v>58</v>
      </c>
    </row>
    <row r="54" spans="1:12" ht="15.75">
      <c r="A54" s="380" t="s">
        <v>463</v>
      </c>
      <c r="B54" s="410"/>
      <c r="C54" s="375">
        <v>38784998</v>
      </c>
      <c r="D54" s="1853"/>
      <c r="E54" s="375">
        <v>30878063</v>
      </c>
      <c r="F54" s="375"/>
      <c r="G54" s="375">
        <v>30878064</v>
      </c>
      <c r="H54" s="375">
        <v>31774027</v>
      </c>
      <c r="I54" s="1847">
        <v>895964</v>
      </c>
      <c r="J54" s="1824">
        <v>2.9016198328243537E-2</v>
      </c>
    </row>
    <row r="55" spans="1:12" ht="15.75">
      <c r="A55" s="380" t="s">
        <v>1117</v>
      </c>
      <c r="B55" s="410"/>
      <c r="C55" s="375">
        <v>54242</v>
      </c>
      <c r="D55" s="1853">
        <v>0</v>
      </c>
      <c r="E55" s="375">
        <v>741300</v>
      </c>
      <c r="F55" s="375"/>
      <c r="G55" s="375">
        <v>741300</v>
      </c>
      <c r="H55" s="375">
        <v>1213199</v>
      </c>
      <c r="I55" s="1847">
        <v>471899</v>
      </c>
      <c r="J55" s="1824">
        <v>0.63658302981249149</v>
      </c>
    </row>
    <row r="56" spans="1:12" ht="15.75">
      <c r="A56" s="380" t="s">
        <v>465</v>
      </c>
      <c r="B56" s="410"/>
      <c r="C56" s="375">
        <v>1512736</v>
      </c>
      <c r="D56" s="1853"/>
      <c r="E56" s="375">
        <v>5197554</v>
      </c>
      <c r="F56" s="375"/>
      <c r="G56" s="375">
        <v>5197554</v>
      </c>
      <c r="H56" s="375">
        <v>6863750</v>
      </c>
      <c r="I56" s="1847">
        <v>1666196</v>
      </c>
      <c r="J56" s="1824">
        <v>0.32057310034681707</v>
      </c>
    </row>
    <row r="57" spans="1:12" ht="15.75">
      <c r="A57" s="1827" t="s">
        <v>1118</v>
      </c>
      <c r="B57" s="1057"/>
      <c r="C57" s="1828">
        <v>40351976</v>
      </c>
      <c r="D57" s="1851">
        <v>0</v>
      </c>
      <c r="E57" s="1828">
        <v>36816917</v>
      </c>
      <c r="F57" s="1828"/>
      <c r="G57" s="1851">
        <v>36816918</v>
      </c>
      <c r="H57" s="1828">
        <v>39850976</v>
      </c>
      <c r="I57" s="1851">
        <v>3034059</v>
      </c>
      <c r="J57" s="1829">
        <v>8.2409371757010463E-2</v>
      </c>
      <c r="L57" s="377" t="s">
        <v>58</v>
      </c>
    </row>
    <row r="58" spans="1:12" ht="7.15" customHeight="1">
      <c r="A58" s="1860"/>
      <c r="B58" s="410"/>
      <c r="C58" s="998"/>
      <c r="D58" s="1861"/>
      <c r="E58" s="998"/>
      <c r="F58" s="998"/>
      <c r="G58" s="1861"/>
      <c r="H58" s="998"/>
      <c r="I58" s="1861"/>
      <c r="J58" s="1862"/>
    </row>
    <row r="59" spans="1:12" ht="15.75">
      <c r="A59" s="380" t="s">
        <v>972</v>
      </c>
      <c r="B59" s="410"/>
      <c r="C59" s="998"/>
      <c r="D59" s="1861"/>
      <c r="E59" s="998"/>
      <c r="F59" s="998"/>
      <c r="G59" s="1861"/>
      <c r="H59" s="998"/>
      <c r="I59" s="1861"/>
      <c r="J59" s="1862"/>
    </row>
    <row r="60" spans="1:12" ht="15.75">
      <c r="A60" s="380" t="s">
        <v>950</v>
      </c>
      <c r="C60" s="375">
        <v>0</v>
      </c>
      <c r="E60" s="375">
        <v>2104890</v>
      </c>
      <c r="F60" s="375"/>
      <c r="G60" s="375">
        <v>0</v>
      </c>
      <c r="H60" s="375">
        <v>328449</v>
      </c>
      <c r="I60" s="380">
        <v>-1776441</v>
      </c>
      <c r="J60" s="1824">
        <v>0</v>
      </c>
    </row>
    <row r="61" spans="1:12" ht="15.75">
      <c r="A61" s="1827" t="s">
        <v>1118</v>
      </c>
      <c r="B61" s="1057"/>
      <c r="C61" s="1828">
        <v>0</v>
      </c>
      <c r="D61" s="1851">
        <v>0</v>
      </c>
      <c r="E61" s="1828">
        <v>2104890</v>
      </c>
      <c r="F61" s="1828"/>
      <c r="G61" s="1828">
        <v>0</v>
      </c>
      <c r="H61" s="1828">
        <v>328449</v>
      </c>
      <c r="I61" s="1828">
        <v>-1776441</v>
      </c>
      <c r="J61" s="1829">
        <v>-0.84395906674458043</v>
      </c>
      <c r="L61" s="377" t="s">
        <v>58</v>
      </c>
    </row>
    <row r="62" spans="1:12" ht="7.15" customHeight="1">
      <c r="A62" s="1860"/>
      <c r="B62" s="410"/>
      <c r="C62" s="998"/>
      <c r="D62" s="1861"/>
      <c r="E62" s="998"/>
      <c r="F62" s="998"/>
      <c r="G62" s="1861"/>
      <c r="H62" s="998"/>
      <c r="I62" s="1861"/>
      <c r="J62" s="1862"/>
    </row>
    <row r="63" spans="1:12" ht="15.75">
      <c r="A63" s="380" t="s">
        <v>1119</v>
      </c>
      <c r="B63" s="410"/>
      <c r="C63" s="998"/>
      <c r="D63" s="1861"/>
      <c r="E63" s="998"/>
      <c r="F63" s="998"/>
      <c r="G63" s="1861"/>
      <c r="H63" s="998"/>
      <c r="I63" s="1861"/>
      <c r="J63" s="1862"/>
    </row>
    <row r="64" spans="1:12" ht="15.75" hidden="1">
      <c r="A64" s="380" t="s">
        <v>37</v>
      </c>
      <c r="B64" s="410"/>
      <c r="C64" s="375">
        <v>0</v>
      </c>
      <c r="D64" s="1006"/>
      <c r="E64" s="375">
        <v>0</v>
      </c>
      <c r="F64" s="375"/>
      <c r="G64" s="1006">
        <v>0</v>
      </c>
      <c r="H64" s="375">
        <v>0</v>
      </c>
      <c r="I64" s="768">
        <v>0</v>
      </c>
      <c r="J64" s="1824">
        <v>0.30591046005180855</v>
      </c>
    </row>
    <row r="65" spans="1:12" ht="15.75">
      <c r="A65" s="380" t="s">
        <v>782</v>
      </c>
      <c r="C65" s="375">
        <v>4457240</v>
      </c>
      <c r="E65" s="375">
        <v>4457240</v>
      </c>
      <c r="F65" s="375"/>
      <c r="G65" s="375">
        <v>4457240</v>
      </c>
      <c r="H65" s="375">
        <v>4457240</v>
      </c>
      <c r="I65" s="768">
        <v>0</v>
      </c>
      <c r="J65" s="1824">
        <v>0</v>
      </c>
    </row>
    <row r="66" spans="1:12" ht="15.75">
      <c r="A66" s="380" t="s">
        <v>690</v>
      </c>
      <c r="C66" s="375">
        <v>4000000</v>
      </c>
      <c r="E66" s="375">
        <v>5000000</v>
      </c>
      <c r="F66" s="375"/>
      <c r="G66" s="375">
        <v>5000000</v>
      </c>
      <c r="H66" s="375">
        <v>6000000</v>
      </c>
      <c r="I66" s="1847">
        <v>1000000</v>
      </c>
      <c r="J66" s="1824">
        <v>0</v>
      </c>
    </row>
    <row r="67" spans="1:12" ht="15.75">
      <c r="A67" s="380" t="s">
        <v>830</v>
      </c>
      <c r="C67" s="375">
        <v>13274563</v>
      </c>
      <c r="E67" s="375">
        <v>4273912</v>
      </c>
      <c r="F67" s="375"/>
      <c r="G67" s="375">
        <v>4273912</v>
      </c>
      <c r="H67" s="375">
        <v>0</v>
      </c>
      <c r="I67" s="380">
        <v>-4273912</v>
      </c>
      <c r="J67" s="1824"/>
    </row>
    <row r="68" spans="1:12" ht="15.75">
      <c r="A68" s="380" t="s">
        <v>841</v>
      </c>
      <c r="B68" s="410"/>
      <c r="C68" s="375">
        <v>778279</v>
      </c>
      <c r="D68" s="1848"/>
      <c r="E68" s="375">
        <v>833479</v>
      </c>
      <c r="F68" s="375"/>
      <c r="G68" s="375">
        <v>833479</v>
      </c>
      <c r="H68" s="375">
        <v>888679</v>
      </c>
      <c r="I68" s="380">
        <v>55200</v>
      </c>
      <c r="J68" s="1824"/>
    </row>
    <row r="69" spans="1:12" ht="15.75">
      <c r="A69" s="380" t="s">
        <v>31</v>
      </c>
      <c r="B69" s="410"/>
      <c r="C69" s="375">
        <v>36103408</v>
      </c>
      <c r="D69" s="1848"/>
      <c r="E69" s="375">
        <v>41618943</v>
      </c>
      <c r="F69" s="375"/>
      <c r="G69" s="375">
        <v>50418790</v>
      </c>
      <c r="H69" s="375">
        <v>54350613</v>
      </c>
      <c r="I69" s="1847">
        <v>12731670</v>
      </c>
      <c r="J69" s="1824">
        <v>6.6228423271612158E-2</v>
      </c>
    </row>
    <row r="70" spans="1:12" ht="15.75">
      <c r="A70" s="1831" t="s">
        <v>1120</v>
      </c>
      <c r="B70" s="1057"/>
      <c r="C70" s="1828">
        <v>58613490</v>
      </c>
      <c r="D70" s="1863"/>
      <c r="E70" s="1828">
        <v>56183574</v>
      </c>
      <c r="F70" s="1828"/>
      <c r="G70" s="1863">
        <v>64983421</v>
      </c>
      <c r="H70" s="1828">
        <v>65696532</v>
      </c>
      <c r="I70" s="1863">
        <v>9512958</v>
      </c>
      <c r="J70" s="1824"/>
    </row>
    <row r="71" spans="1:12" ht="15.75">
      <c r="A71" s="1831"/>
      <c r="B71" s="1057"/>
      <c r="C71" s="1864"/>
      <c r="D71" s="1865"/>
      <c r="E71" s="1864"/>
      <c r="F71" s="1864"/>
      <c r="G71" s="1865"/>
      <c r="H71" s="1864"/>
      <c r="I71" s="1865"/>
      <c r="J71" s="1824"/>
    </row>
    <row r="72" spans="1:12" ht="16.5" thickBot="1">
      <c r="A72" s="1827" t="s">
        <v>1121</v>
      </c>
      <c r="B72" s="1866" t="s">
        <v>424</v>
      </c>
      <c r="C72" s="1867">
        <v>344535957</v>
      </c>
      <c r="D72" s="1868">
        <v>15176915.25</v>
      </c>
      <c r="E72" s="1867">
        <v>345106381</v>
      </c>
      <c r="F72" s="1867"/>
      <c r="G72" s="1868">
        <v>344296271</v>
      </c>
      <c r="H72" s="1867">
        <v>358789982</v>
      </c>
      <c r="I72" s="1868">
        <v>13683601</v>
      </c>
      <c r="J72" s="1829">
        <v>0.16931920350955254</v>
      </c>
    </row>
    <row r="73" spans="1:12" ht="21" customHeight="1" thickTop="1" thickBot="1">
      <c r="C73" s="380"/>
      <c r="D73" s="375"/>
      <c r="E73" s="1869"/>
      <c r="F73" s="1869"/>
      <c r="G73" s="1869"/>
      <c r="H73" s="1869"/>
      <c r="I73" s="380"/>
      <c r="J73" s="1870">
        <v>3.9650385369142116E-2</v>
      </c>
      <c r="L73" s="377" t="s">
        <v>58</v>
      </c>
    </row>
    <row r="74" spans="1:12" s="1226" customFormat="1" ht="20.45" customHeight="1" thickTop="1">
      <c r="A74" s="705"/>
      <c r="B74" s="705"/>
      <c r="C74" s="1878"/>
      <c r="D74" s="1878"/>
      <c r="E74" s="1878"/>
      <c r="F74" s="1878"/>
      <c r="G74" s="1878"/>
      <c r="H74" s="1878"/>
      <c r="I74" s="1878"/>
      <c r="J74" s="1879"/>
    </row>
    <row r="75" spans="1:12">
      <c r="J75" s="1871" t="s">
        <v>58</v>
      </c>
    </row>
    <row r="77" spans="1:12">
      <c r="E77" s="1873"/>
      <c r="F77" s="1873"/>
      <c r="G77" s="1874"/>
      <c r="H77" s="1873"/>
      <c r="I77" s="377" t="s">
        <v>58</v>
      </c>
    </row>
    <row r="78" spans="1:12" ht="15">
      <c r="E78" s="1875"/>
      <c r="F78" s="1875"/>
      <c r="G78" s="1876"/>
      <c r="H78" s="1875"/>
      <c r="I78" s="571" t="s">
        <v>58</v>
      </c>
    </row>
    <row r="79" spans="1:12">
      <c r="E79" s="1873"/>
      <c r="F79" s="1873"/>
      <c r="G79" s="1874"/>
      <c r="H79" s="1874"/>
    </row>
    <row r="80" spans="1:12">
      <c r="E80" s="1873"/>
      <c r="F80" s="1873"/>
      <c r="G80" s="1874"/>
      <c r="H80" s="1873"/>
    </row>
    <row r="81" spans="5:8" ht="15">
      <c r="E81" s="1877"/>
      <c r="F81" s="1877"/>
      <c r="G81" s="1876"/>
      <c r="H81" s="1875"/>
    </row>
  </sheetData>
  <mergeCells count="6">
    <mergeCell ref="A1:J1"/>
    <mergeCell ref="C2:C5"/>
    <mergeCell ref="E2:E5"/>
    <mergeCell ref="G2:G5"/>
    <mergeCell ref="H2:H5"/>
    <mergeCell ref="I2:I5"/>
  </mergeCells>
  <printOptions horizontalCentered="1"/>
  <pageMargins left="0.21" right="0.31" top="0.35" bottom="0.21" header="0.25" footer="0.25"/>
  <pageSetup scale="70"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B1:S22"/>
  <sheetViews>
    <sheetView workbookViewId="0">
      <selection activeCell="B25" sqref="B25"/>
    </sheetView>
  </sheetViews>
  <sheetFormatPr defaultRowHeight="12.75"/>
  <cols>
    <col min="2" max="2" width="27.42578125" bestFit="1" customWidth="1"/>
    <col min="3" max="3" width="17.28515625" style="43" bestFit="1" customWidth="1"/>
    <col min="5" max="5" width="11" customWidth="1"/>
  </cols>
  <sheetData>
    <row r="1" spans="2:19">
      <c r="F1" s="1091"/>
      <c r="G1" s="1091"/>
      <c r="H1" s="1091"/>
      <c r="I1" s="1091"/>
      <c r="J1" s="1091"/>
      <c r="K1" s="1091"/>
      <c r="L1" s="1091"/>
      <c r="M1" s="1091"/>
      <c r="N1" s="1091"/>
      <c r="O1" s="1091"/>
    </row>
    <row r="2" spans="2:19">
      <c r="F2" s="1091"/>
      <c r="G2" s="1091"/>
      <c r="H2" s="1091"/>
      <c r="I2" s="1091"/>
      <c r="J2" s="1091"/>
      <c r="K2" s="1091"/>
      <c r="L2" s="1091"/>
      <c r="M2" s="1091"/>
      <c r="N2" s="1091"/>
      <c r="O2" s="1091"/>
    </row>
    <row r="3" spans="2:19">
      <c r="B3" s="766" t="s">
        <v>887</v>
      </c>
      <c r="C3" s="43">
        <f>'All Funds Sch A 2014 Page (1)'!D18</f>
        <v>97569296</v>
      </c>
      <c r="D3" s="1192">
        <f t="shared" ref="D3:D11" si="0">ROUND(C3/$C$12,3)</f>
        <v>0.28299999999999997</v>
      </c>
      <c r="E3" s="1284">
        <f>C3/1000000</f>
        <v>97.569295999999994</v>
      </c>
      <c r="F3" s="1091"/>
      <c r="G3" s="1091"/>
      <c r="H3" s="1091"/>
      <c r="I3" s="1091"/>
      <c r="J3" s="1091"/>
      <c r="K3" s="1091"/>
      <c r="L3" s="1091"/>
      <c r="M3" s="1091"/>
      <c r="N3" s="1091"/>
      <c r="O3" s="1091"/>
      <c r="R3" s="1192">
        <f t="shared" ref="R3:R10" si="1">C3/($C$12-$C$11)</f>
        <v>0.34935331484961557</v>
      </c>
      <c r="S3" t="s">
        <v>896</v>
      </c>
    </row>
    <row r="4" spans="2:19" ht="13.15" customHeight="1">
      <c r="B4" s="1282" t="s">
        <v>883</v>
      </c>
      <c r="C4" s="43">
        <f>'All Funds Sch A 2014 Page (1)'!D22+'All Funds Sch A 2014 Page (1)'!D23</f>
        <v>51821171</v>
      </c>
      <c r="D4" s="1192">
        <f t="shared" si="0"/>
        <v>0.15</v>
      </c>
      <c r="E4" s="1284">
        <f t="shared" ref="E4:E11" si="2">C4/1000000</f>
        <v>51.821171</v>
      </c>
      <c r="F4" s="1091"/>
      <c r="G4" s="1091"/>
      <c r="H4" s="1091"/>
      <c r="I4" s="1091"/>
      <c r="J4" s="1091"/>
      <c r="K4" s="1091"/>
      <c r="L4" s="1091"/>
      <c r="M4" s="1091"/>
      <c r="N4" s="1091"/>
      <c r="O4" s="1091"/>
      <c r="R4" s="1192">
        <f t="shared" si="1"/>
        <v>0.18554912877754873</v>
      </c>
      <c r="S4" t="str">
        <f>B4</f>
        <v>Taxes 
$51.8</v>
      </c>
    </row>
    <row r="5" spans="2:19" ht="13.15" customHeight="1">
      <c r="B5" s="1282" t="s">
        <v>892</v>
      </c>
      <c r="C5" s="43">
        <f>'All Funds Sch A 2014 Page (1)'!D24</f>
        <v>2924286</v>
      </c>
      <c r="D5" s="1192">
        <f t="shared" si="0"/>
        <v>8.0000000000000002E-3</v>
      </c>
      <c r="E5" s="1284">
        <f t="shared" si="2"/>
        <v>2.9242859999999999</v>
      </c>
      <c r="G5" s="1195" t="s">
        <v>58</v>
      </c>
      <c r="H5" s="1196"/>
      <c r="I5" s="1196"/>
      <c r="J5" s="1196"/>
      <c r="K5" s="1196"/>
      <c r="L5" s="1196"/>
      <c r="M5" s="1196"/>
      <c r="R5" s="1192">
        <f t="shared" si="1"/>
        <v>1.0470599354005003E-2</v>
      </c>
    </row>
    <row r="6" spans="2:19" ht="13.15" customHeight="1">
      <c r="B6" s="1282" t="s">
        <v>884</v>
      </c>
      <c r="C6" s="43">
        <f>'All Funds Sch A 2014 Page (1)'!D25</f>
        <v>17749691</v>
      </c>
      <c r="D6" s="1192">
        <f t="shared" si="0"/>
        <v>5.0999999999999997E-2</v>
      </c>
      <c r="E6" s="1284">
        <f t="shared" si="2"/>
        <v>17.749690999999999</v>
      </c>
      <c r="G6" s="1196"/>
      <c r="H6" s="1196"/>
      <c r="I6" s="1196"/>
      <c r="J6" s="1196"/>
      <c r="K6" s="1196"/>
      <c r="L6" s="1196"/>
      <c r="M6" s="1196"/>
      <c r="R6" s="1192">
        <f t="shared" si="1"/>
        <v>6.3553942096767693E-2</v>
      </c>
    </row>
    <row r="7" spans="2:19" ht="13.15" customHeight="1">
      <c r="B7" s="1282" t="s">
        <v>893</v>
      </c>
      <c r="C7" s="43">
        <f>'All Funds Sch A 2014 Page (1)'!D26</f>
        <v>26036670</v>
      </c>
      <c r="D7" s="1192">
        <f t="shared" si="0"/>
        <v>7.4999999999999997E-2</v>
      </c>
      <c r="E7" s="1284">
        <f t="shared" si="2"/>
        <v>26.036670000000001</v>
      </c>
      <c r="R7" s="1192">
        <f t="shared" si="1"/>
        <v>9.3226018276749076E-2</v>
      </c>
    </row>
    <row r="8" spans="2:19" ht="13.15" customHeight="1">
      <c r="B8" s="1282" t="s">
        <v>894</v>
      </c>
      <c r="C8" s="43">
        <f>'All Funds Sch A 2014 Page (1)'!D27</f>
        <v>4799918</v>
      </c>
      <c r="D8" s="1192">
        <f t="shared" si="0"/>
        <v>1.4E-2</v>
      </c>
      <c r="E8" s="1284">
        <f t="shared" si="2"/>
        <v>4.7999179999999999</v>
      </c>
      <c r="R8" s="1192">
        <f t="shared" si="1"/>
        <v>1.718642373217838E-2</v>
      </c>
    </row>
    <row r="9" spans="2:19" ht="13.15" customHeight="1">
      <c r="B9" s="1282" t="s">
        <v>886</v>
      </c>
      <c r="C9" s="43">
        <f>'[5]As of June 28, 2013'!$S$248</f>
        <v>32274253</v>
      </c>
      <c r="D9" s="1192">
        <f t="shared" si="0"/>
        <v>9.2999999999999999E-2</v>
      </c>
      <c r="E9" s="1284">
        <f t="shared" si="2"/>
        <v>32.274253000000002</v>
      </c>
      <c r="R9" s="1192">
        <f t="shared" si="1"/>
        <v>0.11556009658863534</v>
      </c>
    </row>
    <row r="10" spans="2:19" ht="13.15" customHeight="1">
      <c r="B10" s="1282" t="s">
        <v>885</v>
      </c>
      <c r="C10" s="43">
        <f>'All Funds Sch A 2014 Page (1)'!D28-C9</f>
        <v>46110160</v>
      </c>
      <c r="D10" s="1192">
        <f t="shared" si="0"/>
        <v>0.13400000000000001</v>
      </c>
      <c r="E10" s="1284">
        <f t="shared" si="2"/>
        <v>46.11016</v>
      </c>
      <c r="R10" s="1192">
        <f t="shared" si="1"/>
        <v>0.1651004763245002</v>
      </c>
    </row>
    <row r="11" spans="2:19" ht="13.15" customHeight="1">
      <c r="B11" s="1282" t="s">
        <v>890</v>
      </c>
      <c r="C11" s="1194">
        <f>'All Funds Sch A 2014 Page (1)'!D14+'All Funds Sch A 2014 Page (1)'!D31</f>
        <v>65966305</v>
      </c>
      <c r="D11" s="1204">
        <f t="shared" si="0"/>
        <v>0.191</v>
      </c>
      <c r="E11" s="1284">
        <f t="shared" si="2"/>
        <v>65.966305000000006</v>
      </c>
      <c r="R11" s="1192" t="s">
        <v>58</v>
      </c>
    </row>
    <row r="12" spans="2:19">
      <c r="C12" s="43">
        <f>SUM(C3:C11)</f>
        <v>345251750</v>
      </c>
      <c r="D12" s="1193">
        <f>SUM(D3:D11)</f>
        <v>0.99899999999999989</v>
      </c>
      <c r="E12" s="1284">
        <f>C12/1000000</f>
        <v>345.25175000000002</v>
      </c>
      <c r="R12" s="1193">
        <f>SUM(R3:R11)</f>
        <v>0.99999999999999989</v>
      </c>
    </row>
    <row r="15" spans="2:19" ht="13.15" customHeight="1">
      <c r="B15" s="1282" t="s">
        <v>899</v>
      </c>
      <c r="C15" s="43" t="e">
        <f>'All Funds Sch A 2014 Page (1)'!D46</f>
        <v>#REF!</v>
      </c>
      <c r="D15" s="1192" t="e">
        <f>ROUNDDOWN(C15/$C$22,3)</f>
        <v>#REF!</v>
      </c>
      <c r="E15" s="1284" t="e">
        <f t="shared" ref="E15:E21" si="3">C15/1000000</f>
        <v>#REF!</v>
      </c>
    </row>
    <row r="16" spans="2:19" ht="13.15" customHeight="1">
      <c r="B16" s="1282" t="s">
        <v>897</v>
      </c>
      <c r="C16" s="43" t="e">
        <f>'All Funds Sch A 2014 Page (1)'!D47</f>
        <v>#REF!</v>
      </c>
      <c r="D16" s="1192" t="e">
        <f>ROUND(C16/$C$22,3)</f>
        <v>#REF!</v>
      </c>
      <c r="E16" s="1284" t="e">
        <f t="shared" si="3"/>
        <v>#REF!</v>
      </c>
    </row>
    <row r="17" spans="2:5" ht="13.15" customHeight="1">
      <c r="B17" s="1282" t="s">
        <v>898</v>
      </c>
      <c r="C17" s="43" t="e">
        <f>+'All Funds Sch A 2014 Page (1)'!D44</f>
        <v>#REF!</v>
      </c>
      <c r="D17" s="1192" t="e">
        <f>ROUND(C17/$C$22,3)</f>
        <v>#REF!</v>
      </c>
      <c r="E17" s="1284" t="e">
        <f t="shared" si="3"/>
        <v>#REF!</v>
      </c>
    </row>
    <row r="18" spans="2:5" ht="13.15" customHeight="1">
      <c r="B18" s="1282" t="s">
        <v>895</v>
      </c>
      <c r="C18" s="43" t="e">
        <f>'All Funds Sch A 2014 Page (1)'!D48</f>
        <v>#REF!</v>
      </c>
      <c r="D18" s="1192" t="e">
        <f>ROUNDUP(C18/$C$22,3)</f>
        <v>#REF!</v>
      </c>
      <c r="E18" s="1284" t="e">
        <f t="shared" si="3"/>
        <v>#REF!</v>
      </c>
    </row>
    <row r="19" spans="2:5" ht="13.15" customHeight="1">
      <c r="B19" s="1282" t="s">
        <v>888</v>
      </c>
      <c r="C19" s="43" t="e">
        <f>'All Funds Sch A 2014 Page (1)'!D49</f>
        <v>#REF!</v>
      </c>
      <c r="D19" s="1192" t="e">
        <f>ROUND(C19/$C$22,3)</f>
        <v>#REF!</v>
      </c>
      <c r="E19" s="1284" t="e">
        <f t="shared" si="3"/>
        <v>#REF!</v>
      </c>
    </row>
    <row r="20" spans="2:5" ht="13.15" customHeight="1">
      <c r="B20" s="1282" t="s">
        <v>889</v>
      </c>
      <c r="C20" s="43" t="e">
        <f>'All Funds Sch A 2014 Page (1)'!D53-C15-C16-C18-C19</f>
        <v>#REF!</v>
      </c>
      <c r="D20" s="1192" t="e">
        <f>ROUND(C20/$C$22,3)</f>
        <v>#REF!</v>
      </c>
      <c r="E20" s="1284" t="e">
        <f t="shared" si="3"/>
        <v>#REF!</v>
      </c>
    </row>
    <row r="21" spans="2:5" ht="13.15" customHeight="1">
      <c r="B21" s="1282" t="s">
        <v>891</v>
      </c>
      <c r="C21" s="1194" t="e">
        <f>'All Funds Sch A 2014 Page (1)'!D60+'All Funds Sch A 2014 Page (1)'!D67</f>
        <v>#REF!</v>
      </c>
      <c r="D21" s="1192" t="e">
        <f>ROUND(C21/$C$22,3)</f>
        <v>#REF!</v>
      </c>
      <c r="E21" s="1284" t="e">
        <f t="shared" si="3"/>
        <v>#REF!</v>
      </c>
    </row>
    <row r="22" spans="2:5">
      <c r="B22" s="1091"/>
      <c r="C22" s="43" t="e">
        <f>SUM(C15:C21)</f>
        <v>#REF!</v>
      </c>
      <c r="D22" s="1193" t="e">
        <f>SUM(D15:D21)</f>
        <v>#REF!</v>
      </c>
    </row>
  </sheetData>
  <printOptions horizontalCentered="1"/>
  <pageMargins left="0.7" right="0.7" top="0.75" bottom="0.75" header="0.3" footer="0.3"/>
  <pageSetup scale="7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pageSetUpPr fitToPage="1"/>
  </sheetPr>
  <dimension ref="A1:W84"/>
  <sheetViews>
    <sheetView showGridLines="0" showRuler="0" zoomScaleNormal="100" zoomScaleSheetLayoutView="130" workbookViewId="0">
      <pane xSplit="2" ySplit="5" topLeftCell="C6" activePane="bottomRight" state="frozen"/>
      <selection activeCell="E25" sqref="E25"/>
      <selection pane="topRight" activeCell="E25" sqref="E25"/>
      <selection pane="bottomLeft" activeCell="E25" sqref="E25"/>
      <selection pane="bottomRight" activeCell="B64" sqref="B64"/>
    </sheetView>
  </sheetViews>
  <sheetFormatPr defaultColWidth="8.85546875" defaultRowHeight="12.75"/>
  <cols>
    <col min="1" max="1" width="18.85546875" style="283" hidden="1" customWidth="1"/>
    <col min="2" max="2" width="36.5703125" style="283" customWidth="1"/>
    <col min="3" max="3" width="16.7109375" style="783" customWidth="1"/>
    <col min="4" max="4" width="18.7109375" style="283" hidden="1" customWidth="1"/>
    <col min="5" max="5" width="3" style="510" hidden="1" customWidth="1"/>
    <col min="6" max="6" width="16.7109375" style="783" customWidth="1"/>
    <col min="7" max="7" width="17.28515625" style="283" hidden="1" customWidth="1"/>
    <col min="8" max="8" width="3" style="510" hidden="1" customWidth="1"/>
    <col min="9" max="9" width="16.7109375" style="783" customWidth="1"/>
    <col min="10" max="10" width="1.85546875" style="510" hidden="1" customWidth="1"/>
    <col min="11" max="11" width="16.7109375" style="775" customWidth="1"/>
    <col min="12" max="12" width="3" style="510" hidden="1" customWidth="1"/>
    <col min="13" max="13" width="16.7109375" style="1115" customWidth="1"/>
    <col min="14" max="14" width="13.140625" style="283" bestFit="1" customWidth="1"/>
    <col min="15" max="15" width="22.28515625" style="793" bestFit="1" customWidth="1"/>
    <col min="16" max="16" width="22.28515625" style="793" customWidth="1"/>
    <col min="17" max="17" width="18.28515625" style="722" bestFit="1" customWidth="1"/>
    <col min="18" max="18" width="11" style="283" bestFit="1" customWidth="1"/>
    <col min="19" max="19" width="15.7109375" style="722" bestFit="1" customWidth="1"/>
    <col min="20" max="20" width="10" style="283" bestFit="1" customWidth="1"/>
    <col min="21" max="21" width="12" style="283" bestFit="1" customWidth="1"/>
    <col min="22" max="22" width="14.5703125" style="722" bestFit="1" customWidth="1"/>
    <col min="23" max="23" width="21.42578125" style="283" customWidth="1"/>
    <col min="24" max="16384" width="8.85546875" style="283"/>
  </cols>
  <sheetData>
    <row r="1" spans="1:23" ht="23.25" hidden="1">
      <c r="B1" s="1702" t="s">
        <v>769</v>
      </c>
      <c r="C1" s="1703"/>
      <c r="D1" s="1703"/>
      <c r="E1" s="1703"/>
      <c r="F1" s="1703"/>
      <c r="G1" s="1703"/>
      <c r="H1" s="1703"/>
      <c r="I1" s="1703"/>
      <c r="J1" s="1703"/>
      <c r="K1" s="1703"/>
      <c r="L1" s="283"/>
      <c r="M1" s="722"/>
    </row>
    <row r="2" spans="1:23" ht="18.75" hidden="1">
      <c r="B2" s="284"/>
      <c r="C2" s="773"/>
      <c r="D2" s="285"/>
      <c r="E2" s="493"/>
      <c r="F2" s="773"/>
      <c r="G2" s="285"/>
      <c r="H2" s="493"/>
      <c r="I2" s="773"/>
      <c r="J2" s="493"/>
      <c r="K2" s="773"/>
      <c r="L2" s="493"/>
      <c r="M2" s="1022"/>
    </row>
    <row r="3" spans="1:23" ht="35.450000000000003" customHeight="1">
      <c r="B3" s="1704" t="s">
        <v>865</v>
      </c>
      <c r="C3" s="1704"/>
      <c r="D3" s="1704"/>
      <c r="E3" s="1704"/>
      <c r="F3" s="1704"/>
      <c r="G3" s="1704"/>
      <c r="H3" s="1704"/>
      <c r="I3" s="1704"/>
      <c r="J3" s="1704"/>
      <c r="K3" s="1704"/>
      <c r="L3" s="1704"/>
      <c r="M3" s="1704"/>
    </row>
    <row r="4" spans="1:23" ht="16.149999999999999" customHeight="1" thickBot="1">
      <c r="B4" s="746"/>
      <c r="C4" s="774"/>
      <c r="D4" s="746"/>
      <c r="E4" s="746"/>
      <c r="F4" s="774"/>
      <c r="G4" s="746"/>
      <c r="H4" s="746"/>
      <c r="I4" s="774"/>
      <c r="J4" s="746"/>
      <c r="K4" s="774"/>
      <c r="L4" s="746"/>
      <c r="M4" s="1197"/>
    </row>
    <row r="5" spans="1:23" s="298" customFormat="1" ht="52.9" customHeight="1" thickBot="1">
      <c r="B5" s="1126"/>
      <c r="C5" s="1141" t="s">
        <v>978</v>
      </c>
      <c r="D5" s="1141" t="s">
        <v>314</v>
      </c>
      <c r="E5" s="1142"/>
      <c r="F5" s="1142" t="s">
        <v>979</v>
      </c>
      <c r="G5" s="1142" t="s">
        <v>407</v>
      </c>
      <c r="H5" s="1142"/>
      <c r="I5" s="1142" t="s">
        <v>980</v>
      </c>
      <c r="J5" s="1142"/>
      <c r="K5" s="1462" t="s">
        <v>989</v>
      </c>
      <c r="L5" s="1141"/>
      <c r="M5" s="1129" t="s">
        <v>985</v>
      </c>
      <c r="N5" s="1129"/>
      <c r="O5" s="781">
        <f>103148871+4851378+80098+6278915+15025000+36590101</f>
        <v>165974363</v>
      </c>
      <c r="P5" s="781"/>
      <c r="Q5" s="543"/>
      <c r="S5" s="543"/>
      <c r="V5" s="543"/>
    </row>
    <row r="6" spans="1:23">
      <c r="B6" s="288"/>
      <c r="C6" s="780"/>
      <c r="D6" s="289"/>
      <c r="E6" s="496"/>
      <c r="F6" s="780"/>
      <c r="G6" s="288"/>
      <c r="H6" s="496"/>
      <c r="I6" s="780"/>
      <c r="J6" s="496"/>
      <c r="L6" s="496"/>
      <c r="O6" s="1200" t="str">
        <f>B8</f>
        <v>Taxes</v>
      </c>
      <c r="P6" s="1199" t="e">
        <f>ROUNDUP(Q6/$Q$16,3)</f>
        <v>#REF!</v>
      </c>
      <c r="Q6" s="792" t="e">
        <f t="shared" ref="Q6:Q13" si="0">K8</f>
        <v>#REF!</v>
      </c>
      <c r="S6" s="792">
        <f>101310996+71289+16828206+36041133</f>
        <v>154251624</v>
      </c>
    </row>
    <row r="7" spans="1:23" ht="15.75">
      <c r="B7" s="299" t="s">
        <v>2</v>
      </c>
      <c r="C7" s="781"/>
      <c r="D7" s="1223"/>
      <c r="E7" s="520"/>
      <c r="F7" s="1242"/>
      <c r="G7" s="301"/>
      <c r="H7" s="520"/>
      <c r="I7" s="784"/>
      <c r="J7" s="520"/>
      <c r="K7" s="554"/>
      <c r="L7" s="520"/>
      <c r="M7" s="518"/>
      <c r="O7" s="1200" t="str">
        <f>B9</f>
        <v>Licenses &amp; Permits</v>
      </c>
      <c r="P7" s="1199" t="e">
        <f>ROUNDUP(Q7/$Q$16,3)</f>
        <v>#REF!</v>
      </c>
      <c r="Q7" s="792" t="e">
        <f t="shared" si="0"/>
        <v>#REF!</v>
      </c>
      <c r="R7" s="792"/>
      <c r="S7" s="792"/>
    </row>
    <row r="8" spans="1:23" ht="15.6" customHeight="1">
      <c r="A8" s="321" t="s">
        <v>366</v>
      </c>
      <c r="B8" s="298" t="s">
        <v>3</v>
      </c>
      <c r="C8" s="1268" t="e">
        <f>ROUND(#REF!,0)</f>
        <v>#REF!</v>
      </c>
      <c r="D8" s="1243" t="e">
        <f>VLOOKUP(A8,#REF!,3,FALSE)</f>
        <v>#REF!</v>
      </c>
      <c r="E8" s="1243"/>
      <c r="F8" s="1268" t="e">
        <f>ROUND(#REF!,0)</f>
        <v>#REF!</v>
      </c>
      <c r="G8" s="1268">
        <v>0</v>
      </c>
      <c r="H8" s="1268"/>
      <c r="I8" s="1268" t="e">
        <f>ROUND(#REF!,0)</f>
        <v>#REF!</v>
      </c>
      <c r="J8" s="1268"/>
      <c r="K8" s="1268" t="e">
        <f>ROUND(#REF!,0)</f>
        <v>#REF!</v>
      </c>
      <c r="L8" s="1268"/>
      <c r="M8" s="1268" t="e">
        <f t="shared" ref="M8:M15" si="1">K8-F8</f>
        <v>#REF!</v>
      </c>
      <c r="N8" s="1255" t="s">
        <v>58</v>
      </c>
      <c r="O8" s="1203" t="s">
        <v>860</v>
      </c>
      <c r="P8" s="1199" t="e">
        <f>ROUNDUP(Q8/$Q$16,3)</f>
        <v>#REF!</v>
      </c>
      <c r="Q8" s="792" t="e">
        <f t="shared" si="0"/>
        <v>#REF!</v>
      </c>
      <c r="R8" s="792"/>
      <c r="S8" s="792"/>
    </row>
    <row r="9" spans="1:23" ht="15.75">
      <c r="A9" s="321" t="s">
        <v>354</v>
      </c>
      <c r="B9" s="298" t="s">
        <v>4</v>
      </c>
      <c r="C9" s="1240" t="e">
        <f>ROUND(#REF!,0)</f>
        <v>#REF!</v>
      </c>
      <c r="D9" s="1224" t="e">
        <f>VLOOKUP(A9,#REF!,3,FALSE)</f>
        <v>#REF!</v>
      </c>
      <c r="E9" s="514"/>
      <c r="F9" s="1240" t="e">
        <f>ROUND(#REF!,0)</f>
        <v>#REF!</v>
      </c>
      <c r="G9" s="304">
        <v>0</v>
      </c>
      <c r="H9" s="514"/>
      <c r="I9" s="1240" t="e">
        <f>ROUND(#REF!,0)</f>
        <v>#REF!</v>
      </c>
      <c r="J9" s="514"/>
      <c r="K9" s="1240" t="e">
        <f>ROUND(#REF!,0)</f>
        <v>#REF!</v>
      </c>
      <c r="L9" s="514"/>
      <c r="M9" s="1239" t="e">
        <f t="shared" si="1"/>
        <v>#REF!</v>
      </c>
      <c r="O9" s="1201" t="s">
        <v>114</v>
      </c>
      <c r="P9" s="1199" t="e">
        <f>ROUND(Q9/$Q$16,3)</f>
        <v>#REF!</v>
      </c>
      <c r="Q9" s="792" t="e">
        <f t="shared" si="0"/>
        <v>#REF!</v>
      </c>
      <c r="R9" s="792"/>
      <c r="S9" s="792"/>
    </row>
    <row r="10" spans="1:23" ht="15.75">
      <c r="A10" s="321" t="s">
        <v>367</v>
      </c>
      <c r="B10" s="305" t="s">
        <v>5</v>
      </c>
      <c r="C10" s="1240" t="e">
        <f>ROUND(#REF!,0)</f>
        <v>#REF!</v>
      </c>
      <c r="D10" s="1224" t="e">
        <f>VLOOKUP(A10,#REF!,3,FALSE)</f>
        <v>#REF!</v>
      </c>
      <c r="E10" s="514"/>
      <c r="F10" s="1240" t="e">
        <f>ROUND(#REF!,0)</f>
        <v>#REF!</v>
      </c>
      <c r="G10" s="304">
        <v>0</v>
      </c>
      <c r="H10" s="514"/>
      <c r="I10" s="1240" t="e">
        <f>ROUND(#REF!,0)</f>
        <v>#REF!</v>
      </c>
      <c r="J10" s="514"/>
      <c r="K10" s="1240" t="e">
        <f>ROUND(#REF!,0)</f>
        <v>#REF!</v>
      </c>
      <c r="L10" s="514"/>
      <c r="M10" s="1239" t="e">
        <f t="shared" si="1"/>
        <v>#REF!</v>
      </c>
      <c r="O10" s="1200" t="str">
        <f>B12</f>
        <v>Fines and Forfeits</v>
      </c>
      <c r="P10" s="1199" t="e">
        <f>ROUND(Q10/$Q$16,3)</f>
        <v>#REF!</v>
      </c>
      <c r="Q10" s="792" t="e">
        <f t="shared" si="0"/>
        <v>#REF!</v>
      </c>
      <c r="R10" s="792"/>
      <c r="S10" s="792">
        <f>3537265</f>
        <v>3537265</v>
      </c>
    </row>
    <row r="11" spans="1:23" s="293" customFormat="1" ht="15.75">
      <c r="A11" s="621" t="s">
        <v>336</v>
      </c>
      <c r="B11" s="311" t="s">
        <v>6</v>
      </c>
      <c r="C11" s="1240" t="e">
        <f>ROUND(#REF!,0)</f>
        <v>#REF!</v>
      </c>
      <c r="D11" s="1224" t="e">
        <f>VLOOKUP(A11,#REF!,3,FALSE)</f>
        <v>#REF!</v>
      </c>
      <c r="E11" s="514"/>
      <c r="F11" s="1240" t="e">
        <f>ROUND(#REF!,0)</f>
        <v>#REF!</v>
      </c>
      <c r="G11" s="304">
        <v>0</v>
      </c>
      <c r="H11" s="514"/>
      <c r="I11" s="1240" t="e">
        <f>ROUND(#REF!,0)</f>
        <v>#REF!</v>
      </c>
      <c r="J11" s="514"/>
      <c r="K11" s="1240" t="e">
        <f>ROUNDUP(#REF!,0)</f>
        <v>#REF!</v>
      </c>
      <c r="L11" s="514"/>
      <c r="M11" s="1239" t="e">
        <f t="shared" si="1"/>
        <v>#REF!</v>
      </c>
      <c r="O11" s="1200" t="str">
        <f>B13</f>
        <v>Miscellaneous</v>
      </c>
      <c r="P11" s="1199" t="e">
        <f>ROUNDDOWN(Q11/$Q$16,3)</f>
        <v>#REF!</v>
      </c>
      <c r="Q11" s="792" t="e">
        <f t="shared" si="0"/>
        <v>#REF!</v>
      </c>
      <c r="R11" s="792"/>
      <c r="S11" s="792"/>
      <c r="U11" s="283"/>
      <c r="V11" s="722"/>
      <c r="W11" s="283"/>
    </row>
    <row r="12" spans="1:23" s="293" customFormat="1" ht="15.75">
      <c r="A12" s="621" t="s">
        <v>337</v>
      </c>
      <c r="B12" s="311" t="s">
        <v>368</v>
      </c>
      <c r="C12" s="1240" t="e">
        <f>ROUND(#REF!,0)</f>
        <v>#REF!</v>
      </c>
      <c r="D12" s="1224" t="e">
        <f>VLOOKUP(A12,#REF!,3,FALSE)</f>
        <v>#REF!</v>
      </c>
      <c r="E12" s="514"/>
      <c r="F12" s="1240" t="e">
        <f>ROUND(#REF!,0)</f>
        <v>#REF!</v>
      </c>
      <c r="G12" s="304">
        <v>0</v>
      </c>
      <c r="H12" s="514"/>
      <c r="I12" s="1240" t="e">
        <f>ROUND(#REF!,0)</f>
        <v>#REF!</v>
      </c>
      <c r="J12" s="514"/>
      <c r="K12" s="1240" t="e">
        <f>ROUND(#REF!,0)</f>
        <v>#REF!</v>
      </c>
      <c r="L12" s="514"/>
      <c r="M12" s="1239" t="e">
        <f t="shared" si="1"/>
        <v>#REF!</v>
      </c>
      <c r="O12" s="1200" t="str">
        <f>B14</f>
        <v>Other Sources</v>
      </c>
      <c r="P12" s="1199" t="e">
        <f>ROUND(Q12/$Q$16,3)</f>
        <v>#REF!</v>
      </c>
      <c r="Q12" s="792" t="e">
        <f t="shared" si="0"/>
        <v>#REF!</v>
      </c>
      <c r="R12" s="792"/>
      <c r="S12" s="792"/>
      <c r="U12" s="283"/>
      <c r="V12" s="722"/>
      <c r="W12" s="283"/>
    </row>
    <row r="13" spans="1:23" s="293" customFormat="1" ht="15.75">
      <c r="A13" s="621" t="s">
        <v>338</v>
      </c>
      <c r="B13" s="316" t="s">
        <v>8</v>
      </c>
      <c r="C13" s="1240" t="e">
        <f>ROUND(#REF!,0)</f>
        <v>#REF!</v>
      </c>
      <c r="D13" s="1224" t="e">
        <f>VLOOKUP(A13,#REF!,3,FALSE)</f>
        <v>#REF!</v>
      </c>
      <c r="E13" s="514"/>
      <c r="F13" s="1240" t="e">
        <f>ROUND(#REF!,0)+3</f>
        <v>#REF!</v>
      </c>
      <c r="G13" s="304">
        <v>0</v>
      </c>
      <c r="H13" s="514"/>
      <c r="I13" s="1240" t="e">
        <f>ROUND(#REF!,0)</f>
        <v>#REF!</v>
      </c>
      <c r="J13" s="514"/>
      <c r="K13" s="1240" t="e">
        <f>ROUNDDOWN(#REF!,0)</f>
        <v>#REF!</v>
      </c>
      <c r="L13" s="514"/>
      <c r="M13" s="1239" t="e">
        <f t="shared" si="1"/>
        <v>#REF!</v>
      </c>
      <c r="N13" s="653" t="s">
        <v>58</v>
      </c>
      <c r="O13" s="1200" t="str">
        <f>B15</f>
        <v>Appropriated Fund Balance</v>
      </c>
      <c r="P13" s="1199" t="e">
        <f>ROUND(Q13/$Q$16,3)</f>
        <v>#REF!</v>
      </c>
      <c r="Q13" s="792" t="e">
        <f t="shared" si="0"/>
        <v>#REF!</v>
      </c>
      <c r="R13" s="792"/>
      <c r="S13" s="792" t="e">
        <f>90685444-K13</f>
        <v>#REF!</v>
      </c>
      <c r="U13" s="283"/>
      <c r="V13" s="722"/>
      <c r="W13" s="283"/>
    </row>
    <row r="14" spans="1:23" s="293" customFormat="1" ht="15.75">
      <c r="A14" s="621" t="s">
        <v>349</v>
      </c>
      <c r="B14" s="316" t="s">
        <v>28</v>
      </c>
      <c r="C14" s="1240" t="e">
        <f>ROUND(#REF!,0)</f>
        <v>#REF!</v>
      </c>
      <c r="D14" s="1224" t="e">
        <f>VLOOKUP(A14,#REF!,3,FALSE)</f>
        <v>#REF!</v>
      </c>
      <c r="E14" s="514"/>
      <c r="F14" s="1240" t="e">
        <f>ROUND(#REF!,0)</f>
        <v>#REF!</v>
      </c>
      <c r="G14" s="304">
        <v>0</v>
      </c>
      <c r="H14" s="514"/>
      <c r="I14" s="1240" t="e">
        <f>ROUND(#REF!,0)</f>
        <v>#REF!</v>
      </c>
      <c r="J14" s="514"/>
      <c r="K14" s="1240" t="e">
        <f>ROUNDUP(#REF!,0)</f>
        <v>#REF!</v>
      </c>
      <c r="L14" s="514"/>
      <c r="M14" s="1239" t="e">
        <f t="shared" si="1"/>
        <v>#REF!</v>
      </c>
      <c r="O14" s="1200" t="str">
        <f>B24</f>
        <v>Total Other Resources</v>
      </c>
      <c r="P14" s="1199" t="e">
        <f t="shared" ref="P14:P15" si="2">ROUND(Q14/$Q$16,3)</f>
        <v>#REF!</v>
      </c>
      <c r="Q14" s="792" t="e">
        <f>K24</f>
        <v>#REF!</v>
      </c>
      <c r="R14" s="792"/>
      <c r="S14" s="792"/>
      <c r="U14" s="283"/>
      <c r="V14" s="722"/>
      <c r="W14" s="283"/>
    </row>
    <row r="15" spans="1:23" s="293" customFormat="1" ht="15.75">
      <c r="A15" s="658"/>
      <c r="B15" s="316" t="s">
        <v>319</v>
      </c>
      <c r="C15" s="1240" t="e">
        <f>ROUND(#REF!,0)</f>
        <v>#REF!</v>
      </c>
      <c r="D15" s="1224"/>
      <c r="E15" s="514"/>
      <c r="F15" s="1240" t="e">
        <f>ROUND(#REF!,0)</f>
        <v>#REF!</v>
      </c>
      <c r="G15" s="304">
        <v>0</v>
      </c>
      <c r="H15" s="514"/>
      <c r="I15" s="1240" t="e">
        <f>ROUND(#REF!,0)</f>
        <v>#REF!</v>
      </c>
      <c r="J15" s="514"/>
      <c r="K15" s="1240" t="e">
        <f>ROUNDDOWN(#REF!,0)</f>
        <v>#REF!</v>
      </c>
      <c r="L15" s="514"/>
      <c r="M15" s="1239" t="e">
        <f t="shared" si="1"/>
        <v>#REF!</v>
      </c>
      <c r="O15" s="1200" t="str">
        <f>B26</f>
        <v>Due From Health Benefits</v>
      </c>
      <c r="P15" s="1199" t="e">
        <f t="shared" si="2"/>
        <v>#REF!</v>
      </c>
      <c r="Q15" s="792" t="e">
        <f>K26</f>
        <v>#REF!</v>
      </c>
      <c r="R15" s="792"/>
      <c r="S15" s="792"/>
      <c r="U15" s="283"/>
      <c r="V15" s="722"/>
      <c r="W15" s="283"/>
    </row>
    <row r="16" spans="1:23" s="625" customFormat="1" ht="16.5" thickBot="1">
      <c r="B16" s="1246" t="s">
        <v>9</v>
      </c>
      <c r="C16" s="1244" t="e">
        <f>SUM(C8:C15)</f>
        <v>#REF!</v>
      </c>
      <c r="D16" s="1225">
        <f>D44</f>
        <v>0</v>
      </c>
      <c r="E16" s="1060"/>
      <c r="F16" s="1244" t="e">
        <f>SUM(F8:F15)</f>
        <v>#REF!</v>
      </c>
      <c r="G16" s="1225">
        <f>SUM(G8:G14)</f>
        <v>0</v>
      </c>
      <c r="H16" s="1060"/>
      <c r="I16" s="1244" t="e">
        <f>SUM(I8:I15)</f>
        <v>#REF!</v>
      </c>
      <c r="J16" s="1060"/>
      <c r="K16" s="1244" t="e">
        <f>SUM(K8:K15)</f>
        <v>#REF!</v>
      </c>
      <c r="L16" s="1060"/>
      <c r="M16" s="1244" t="e">
        <f>SUM(M8:M15)</f>
        <v>#REF!</v>
      </c>
      <c r="N16" s="1259" t="s">
        <v>58</v>
      </c>
      <c r="O16" s="668" t="s">
        <v>58</v>
      </c>
      <c r="P16" s="1199" t="e">
        <f>SUM(P6:P15)</f>
        <v>#REF!</v>
      </c>
      <c r="Q16" s="792" t="e">
        <f>SUM(Q6:Q15)</f>
        <v>#REF!</v>
      </c>
      <c r="R16" s="792"/>
      <c r="S16" s="792"/>
      <c r="U16" s="283"/>
      <c r="V16" s="722"/>
      <c r="W16" s="283"/>
    </row>
    <row r="17" spans="1:23" s="293" customFormat="1" ht="16.5" thickTop="1">
      <c r="B17" s="310"/>
      <c r="C17" s="556"/>
      <c r="D17" s="304"/>
      <c r="E17" s="514"/>
      <c r="F17" s="1241"/>
      <c r="G17" s="304"/>
      <c r="H17" s="514"/>
      <c r="I17" s="1241"/>
      <c r="J17" s="514"/>
      <c r="K17" s="1241"/>
      <c r="L17" s="514"/>
      <c r="M17" s="522"/>
      <c r="N17" s="293" t="s">
        <v>58</v>
      </c>
      <c r="Q17" s="792"/>
      <c r="R17" s="792"/>
      <c r="S17" s="792"/>
      <c r="U17" s="283"/>
      <c r="V17" s="722"/>
      <c r="W17" s="283"/>
    </row>
    <row r="18" spans="1:23" s="293" customFormat="1" ht="15.75">
      <c r="B18" s="313" t="s">
        <v>320</v>
      </c>
      <c r="C18" s="556"/>
      <c r="D18" s="306"/>
      <c r="E18" s="514"/>
      <c r="F18" s="1241" t="s">
        <v>58</v>
      </c>
      <c r="G18" s="304"/>
      <c r="H18" s="514"/>
      <c r="I18" s="1241"/>
      <c r="J18" s="514"/>
      <c r="K18" s="1243"/>
      <c r="L18" s="514"/>
      <c r="M18" s="522"/>
      <c r="O18" s="1202" t="str">
        <f>B31</f>
        <v>Salaries &amp; Wages</v>
      </c>
      <c r="P18" s="1199" t="e">
        <f>ROUNDUP(Q18/$Q$28,3)</f>
        <v>#REF!</v>
      </c>
      <c r="Q18" s="792" t="e">
        <f>K31</f>
        <v>#REF!</v>
      </c>
      <c r="R18" s="792"/>
      <c r="S18" s="792"/>
      <c r="U18" s="283"/>
      <c r="V18" s="722"/>
      <c r="W18" s="283"/>
    </row>
    <row r="19" spans="1:23" s="293" customFormat="1" ht="15.75">
      <c r="B19" s="311" t="s">
        <v>27</v>
      </c>
      <c r="C19" s="1240" t="e">
        <f>ROUND(#REF!,0)</f>
        <v>#REF!</v>
      </c>
      <c r="D19" s="1224"/>
      <c r="E19" s="514"/>
      <c r="F19" s="1240" t="e">
        <f>ROUND(#REF!,0)</f>
        <v>#REF!</v>
      </c>
      <c r="G19" s="304">
        <v>0</v>
      </c>
      <c r="H19" s="514"/>
      <c r="I19" s="1240" t="e">
        <f>ROUND(#REF!,0)</f>
        <v>#REF!</v>
      </c>
      <c r="J19" s="514"/>
      <c r="K19" s="1240" t="e">
        <f>ROUNDDOWN(#REF!,0)</f>
        <v>#REF!</v>
      </c>
      <c r="L19" s="514"/>
      <c r="M19" s="1239" t="e">
        <f t="shared" ref="M19:M26" si="3">K19-F19</f>
        <v>#REF!</v>
      </c>
      <c r="O19" s="1202" t="str">
        <f t="shared" ref="O19:O21" si="4">B32</f>
        <v>Fringe Benefits</v>
      </c>
      <c r="P19" s="1199" t="e">
        <f>ROUNDUP(Q19/$Q$28,3)</f>
        <v>#REF!</v>
      </c>
      <c r="Q19" s="792" t="e">
        <f t="shared" ref="Q19:Q24" si="5">K32</f>
        <v>#REF!</v>
      </c>
      <c r="R19" s="792"/>
      <c r="S19" s="792"/>
      <c r="U19" s="283"/>
      <c r="V19" s="722"/>
      <c r="W19" s="283"/>
    </row>
    <row r="20" spans="1:23" s="293" customFormat="1" ht="15.75">
      <c r="B20" s="311" t="s">
        <v>782</v>
      </c>
      <c r="C20" s="1240" t="e">
        <f>ROUND(#REF!,0)</f>
        <v>#REF!</v>
      </c>
      <c r="D20" s="1224"/>
      <c r="E20" s="514"/>
      <c r="F20" s="1240" t="e">
        <f>ROUND(#REF!,0)</f>
        <v>#REF!</v>
      </c>
      <c r="G20" s="304">
        <v>0</v>
      </c>
      <c r="H20" s="514"/>
      <c r="I20" s="1240" t="e">
        <f>ROUND(#REF!,0)</f>
        <v>#REF!</v>
      </c>
      <c r="J20" s="514"/>
      <c r="K20" s="1240" t="e">
        <f>ROUND(#REF!,0)</f>
        <v>#REF!</v>
      </c>
      <c r="L20" s="514"/>
      <c r="M20" s="1239" t="e">
        <f t="shared" si="3"/>
        <v>#REF!</v>
      </c>
      <c r="O20" s="1202" t="s">
        <v>801</v>
      </c>
      <c r="P20" s="1199" t="e">
        <f>ROUNDUP(Q20/$Q$28,3)</f>
        <v>#REF!</v>
      </c>
      <c r="Q20" s="792" t="e">
        <f t="shared" si="5"/>
        <v>#REF!</v>
      </c>
      <c r="R20" s="792"/>
      <c r="S20" s="792"/>
      <c r="U20" s="283"/>
      <c r="V20" s="722"/>
      <c r="W20" s="283"/>
    </row>
    <row r="21" spans="1:23" s="293" customFormat="1" ht="15.75">
      <c r="B21" s="311" t="s">
        <v>690</v>
      </c>
      <c r="C21" s="1240" t="e">
        <f>ROUND(#REF!,0)</f>
        <v>#REF!</v>
      </c>
      <c r="D21" s="1224"/>
      <c r="E21" s="514"/>
      <c r="F21" s="1240" t="e">
        <f>ROUND(#REF!,0)</f>
        <v>#REF!</v>
      </c>
      <c r="G21" s="304">
        <v>0</v>
      </c>
      <c r="H21" s="514"/>
      <c r="I21" s="1240" t="e">
        <f>ROUND(#REF!,0)</f>
        <v>#REF!</v>
      </c>
      <c r="J21" s="514"/>
      <c r="K21" s="1240" t="e">
        <f>ROUND(#REF!,0)</f>
        <v>#REF!</v>
      </c>
      <c r="L21" s="514"/>
      <c r="M21" s="1239" t="e">
        <f t="shared" si="3"/>
        <v>#REF!</v>
      </c>
      <c r="O21" s="1202" t="str">
        <f t="shared" si="4"/>
        <v>Other Operating Expenses</v>
      </c>
      <c r="P21" s="1199" t="e">
        <f t="shared" ref="P21:P27" si="6">ROUND(Q21/$Q$28,3)</f>
        <v>#REF!</v>
      </c>
      <c r="Q21" s="792" t="e">
        <f t="shared" si="5"/>
        <v>#REF!</v>
      </c>
      <c r="R21" s="792"/>
      <c r="S21" s="792"/>
      <c r="U21" s="283"/>
      <c r="V21" s="722"/>
      <c r="W21" s="283"/>
    </row>
    <row r="22" spans="1:23" s="293" customFormat="1" ht="15.75">
      <c r="B22" s="311" t="s">
        <v>830</v>
      </c>
      <c r="C22" s="1240" t="e">
        <f>ROUND(#REF!,0)</f>
        <v>#REF!</v>
      </c>
      <c r="D22" s="1224"/>
      <c r="E22" s="514"/>
      <c r="F22" s="1240" t="e">
        <f>ROUND(#REF!,0)</f>
        <v>#REF!</v>
      </c>
      <c r="G22" s="304">
        <v>0</v>
      </c>
      <c r="H22" s="514"/>
      <c r="I22" s="1240" t="e">
        <f>ROUND(#REF!,0)</f>
        <v>#REF!</v>
      </c>
      <c r="J22" s="514"/>
      <c r="K22" s="1240" t="e">
        <f>ROUND(#REF!,0)</f>
        <v>#REF!</v>
      </c>
      <c r="L22" s="514"/>
      <c r="M22" s="1239" t="e">
        <f t="shared" si="3"/>
        <v>#REF!</v>
      </c>
      <c r="O22" s="1202" t="str">
        <f>B35</f>
        <v>Capital Outlay</v>
      </c>
      <c r="P22" s="1199" t="e">
        <f t="shared" si="6"/>
        <v>#REF!</v>
      </c>
      <c r="Q22" s="792" t="e">
        <f t="shared" si="5"/>
        <v>#REF!</v>
      </c>
      <c r="R22" s="792"/>
      <c r="S22" s="792"/>
      <c r="U22" s="283"/>
      <c r="V22" s="722"/>
      <c r="W22" s="283"/>
    </row>
    <row r="23" spans="1:23" s="293" customFormat="1" ht="15.75">
      <c r="B23" s="311" t="s">
        <v>841</v>
      </c>
      <c r="C23" s="1240" t="e">
        <f>ROUNDDOWN(#REF!,0)</f>
        <v>#REF!</v>
      </c>
      <c r="D23" s="1224"/>
      <c r="E23" s="514"/>
      <c r="F23" s="1240" t="e">
        <f>ROUND(#REF!,0)</f>
        <v>#REF!</v>
      </c>
      <c r="G23" s="304">
        <v>0</v>
      </c>
      <c r="H23" s="514"/>
      <c r="I23" s="1240" t="e">
        <f>ROUND(#REF!,0)+6</f>
        <v>#REF!</v>
      </c>
      <c r="J23" s="514"/>
      <c r="K23" s="1240" t="e">
        <f>ROUNDDOWN(#REF!,0)</f>
        <v>#REF!</v>
      </c>
      <c r="L23" s="514"/>
      <c r="M23" s="1239" t="e">
        <f t="shared" si="3"/>
        <v>#REF!</v>
      </c>
      <c r="O23" s="1202" t="str">
        <f>B36</f>
        <v>Debt Service</v>
      </c>
      <c r="P23" s="1199" t="e">
        <f t="shared" si="6"/>
        <v>#REF!</v>
      </c>
      <c r="Q23" s="792" t="e">
        <f t="shared" si="5"/>
        <v>#REF!</v>
      </c>
      <c r="R23" s="792"/>
      <c r="S23" s="792"/>
      <c r="U23" s="283"/>
      <c r="V23" s="722"/>
      <c r="W23" s="283"/>
    </row>
    <row r="24" spans="1:23" s="293" customFormat="1" ht="15.75">
      <c r="B24" s="1246" t="s">
        <v>20</v>
      </c>
      <c r="C24" s="1244" t="e">
        <f>SUM(C19:C23)</f>
        <v>#REF!</v>
      </c>
      <c r="D24" s="1225">
        <f>SUM(D19:D19)</f>
        <v>0</v>
      </c>
      <c r="E24" s="1060"/>
      <c r="F24" s="1244" t="e">
        <f>SUM(F19:F23)</f>
        <v>#REF!</v>
      </c>
      <c r="G24" s="1225">
        <f>SUM(G19:G19)</f>
        <v>0</v>
      </c>
      <c r="H24" s="1060"/>
      <c r="I24" s="1244" t="e">
        <f>SUM(I19:I23)</f>
        <v>#REF!</v>
      </c>
      <c r="J24" s="1060"/>
      <c r="K24" s="1244" t="e">
        <f>SUM(K19:K23)</f>
        <v>#REF!</v>
      </c>
      <c r="L24" s="1060"/>
      <c r="M24" s="1244" t="e">
        <f t="shared" si="3"/>
        <v>#REF!</v>
      </c>
      <c r="N24" s="293" t="s">
        <v>58</v>
      </c>
      <c r="O24" s="1202" t="s">
        <v>85</v>
      </c>
      <c r="P24" s="1199" t="e">
        <f t="shared" si="6"/>
        <v>#REF!</v>
      </c>
      <c r="Q24" s="792" t="e">
        <f t="shared" si="5"/>
        <v>#REF!</v>
      </c>
      <c r="R24" s="792"/>
      <c r="S24" s="792"/>
      <c r="U24" s="283"/>
      <c r="V24" s="722"/>
      <c r="W24" s="283"/>
    </row>
    <row r="25" spans="1:23" s="293" customFormat="1" ht="15.75">
      <c r="B25" s="1465"/>
      <c r="C25" s="556"/>
      <c r="D25" s="310"/>
      <c r="E25" s="514"/>
      <c r="F25" s="556"/>
      <c r="G25" s="310"/>
      <c r="H25" s="514"/>
      <c r="I25" s="556"/>
      <c r="J25" s="514"/>
      <c r="K25" s="556"/>
      <c r="L25" s="514"/>
      <c r="M25" s="556"/>
      <c r="O25" s="1202" t="s">
        <v>38</v>
      </c>
      <c r="P25" s="1199" t="e">
        <f t="shared" si="6"/>
        <v>#REF!</v>
      </c>
      <c r="Q25" s="792" t="e">
        <f>K38+K39+K40+K41+K42+K43</f>
        <v>#REF!</v>
      </c>
      <c r="R25" s="792"/>
      <c r="S25" s="792"/>
      <c r="U25" s="283"/>
      <c r="V25" s="722"/>
      <c r="W25" s="283"/>
    </row>
    <row r="26" spans="1:23" s="293" customFormat="1" ht="15.75">
      <c r="B26" s="1246" t="s">
        <v>1011</v>
      </c>
      <c r="C26" s="1244" t="e">
        <f>#REF!</f>
        <v>#REF!</v>
      </c>
      <c r="D26" s="1225"/>
      <c r="E26" s="1060"/>
      <c r="F26" s="1244" t="e">
        <f>#REF!</f>
        <v>#REF!</v>
      </c>
      <c r="G26" s="1244" t="e">
        <f>#REF!</f>
        <v>#REF!</v>
      </c>
      <c r="H26" s="1244" t="e">
        <f>#REF!</f>
        <v>#REF!</v>
      </c>
      <c r="I26" s="1244" t="e">
        <f>#REF!</f>
        <v>#REF!</v>
      </c>
      <c r="J26" s="1060"/>
      <c r="K26" s="1244" t="e">
        <f>#REF!</f>
        <v>#REF!</v>
      </c>
      <c r="L26" s="1060"/>
      <c r="M26" s="1244" t="e">
        <f t="shared" si="3"/>
        <v>#REF!</v>
      </c>
      <c r="O26" s="1202" t="str">
        <f>B46</f>
        <v>Due From Health Benefits</v>
      </c>
      <c r="P26" s="1199" t="e">
        <f t="shared" si="6"/>
        <v>#REF!</v>
      </c>
      <c r="Q26" s="792" t="e">
        <f>K46</f>
        <v>#REF!</v>
      </c>
      <c r="R26" s="792"/>
      <c r="S26" s="792"/>
      <c r="U26" s="283"/>
      <c r="V26" s="722"/>
      <c r="W26" s="283"/>
    </row>
    <row r="27" spans="1:23" s="293" customFormat="1" ht="15.75">
      <c r="B27" s="313"/>
      <c r="C27" s="556"/>
      <c r="D27" s="310"/>
      <c r="E27" s="514"/>
      <c r="F27" s="556"/>
      <c r="G27" s="310"/>
      <c r="H27" s="514"/>
      <c r="I27" s="556"/>
      <c r="J27" s="514"/>
      <c r="K27" s="556"/>
      <c r="L27" s="514"/>
      <c r="M27" s="556"/>
      <c r="O27" s="1202" t="str">
        <f>B57</f>
        <v>Total Other Uses</v>
      </c>
      <c r="P27" s="1199" t="e">
        <f t="shared" si="6"/>
        <v>#REF!</v>
      </c>
      <c r="Q27" s="792" t="e">
        <f>K57</f>
        <v>#REF!</v>
      </c>
      <c r="R27" s="792"/>
      <c r="S27" s="792"/>
      <c r="U27" s="283"/>
      <c r="V27" s="722"/>
      <c r="W27" s="283"/>
    </row>
    <row r="28" spans="1:23" s="293" customFormat="1" ht="16.5" thickBot="1">
      <c r="B28" s="616" t="s">
        <v>21</v>
      </c>
      <c r="C28" s="1248" t="e">
        <f>C16+C24+C26</f>
        <v>#REF!</v>
      </c>
      <c r="D28" s="1247">
        <f>D16+D24</f>
        <v>0</v>
      </c>
      <c r="E28" s="1473"/>
      <c r="F28" s="1248" t="e">
        <f>F16+F24+F26</f>
        <v>#REF!</v>
      </c>
      <c r="G28" s="1247">
        <f>G16+G24</f>
        <v>0</v>
      </c>
      <c r="H28" s="1473"/>
      <c r="I28" s="1248" t="e">
        <f>I16+I24</f>
        <v>#REF!</v>
      </c>
      <c r="J28" s="1473"/>
      <c r="K28" s="1248" t="e">
        <f>K16+K24+K26</f>
        <v>#REF!</v>
      </c>
      <c r="L28" s="1473"/>
      <c r="M28" s="1248" t="e">
        <f>M16+M24+M26</f>
        <v>#REF!</v>
      </c>
      <c r="N28" s="653" t="e">
        <f>'FY2015 Proposed All Funds-pg2'!N37-K28</f>
        <v>#REF!</v>
      </c>
      <c r="O28" s="668" t="s">
        <v>58</v>
      </c>
      <c r="P28" s="1199" t="e">
        <f>SUM(P18:P27)</f>
        <v>#REF!</v>
      </c>
      <c r="Q28" s="792" t="e">
        <f>SUM(Q18:Q27)</f>
        <v>#REF!</v>
      </c>
      <c r="R28" s="792"/>
      <c r="S28" s="792"/>
      <c r="T28" s="291" t="s">
        <v>58</v>
      </c>
      <c r="U28" s="283"/>
      <c r="V28" s="722"/>
      <c r="W28" s="283"/>
    </row>
    <row r="29" spans="1:23" s="293" customFormat="1" ht="16.5" thickTop="1">
      <c r="B29" s="316"/>
      <c r="C29" s="1241" t="s">
        <v>58</v>
      </c>
      <c r="D29" s="304"/>
      <c r="E29" s="514"/>
      <c r="F29" s="1241" t="s">
        <v>58</v>
      </c>
      <c r="G29" s="304"/>
      <c r="H29" s="514"/>
      <c r="I29" s="1241"/>
      <c r="J29" s="514"/>
      <c r="K29" s="1241"/>
      <c r="L29" s="514"/>
      <c r="M29" s="522"/>
      <c r="O29" s="792"/>
      <c r="P29" s="792">
        <f>7+4+8+8+7+7+3</f>
        <v>44</v>
      </c>
      <c r="Q29" s="792"/>
      <c r="R29" s="792"/>
      <c r="S29" s="792"/>
      <c r="T29" s="291" t="s">
        <v>58</v>
      </c>
      <c r="U29" s="283"/>
      <c r="V29" s="722"/>
      <c r="W29" s="283"/>
    </row>
    <row r="30" spans="1:23" s="293" customFormat="1" ht="15.75">
      <c r="B30" s="349" t="s">
        <v>10</v>
      </c>
      <c r="C30" s="660"/>
      <c r="D30" s="302"/>
      <c r="E30" s="514"/>
      <c r="F30" s="1241"/>
      <c r="G30" s="304"/>
      <c r="H30" s="514"/>
      <c r="I30" s="1241"/>
      <c r="J30" s="514"/>
      <c r="K30" s="554"/>
      <c r="L30" s="514"/>
      <c r="M30" s="518"/>
      <c r="O30" s="792" t="s">
        <v>58</v>
      </c>
      <c r="P30" s="792"/>
      <c r="Q30" s="792"/>
      <c r="R30" s="792"/>
      <c r="S30" s="792"/>
      <c r="U30" s="283"/>
      <c r="V30" s="722"/>
      <c r="W30" s="283"/>
    </row>
    <row r="31" spans="1:23" s="293" customFormat="1" ht="15.6" customHeight="1">
      <c r="A31" s="621" t="s">
        <v>340</v>
      </c>
      <c r="B31" s="316" t="s">
        <v>11</v>
      </c>
      <c r="C31" s="1240" t="e">
        <f>ROUND(#REF!,0)</f>
        <v>#REF!</v>
      </c>
      <c r="D31" s="1224"/>
      <c r="E31" s="514"/>
      <c r="F31" s="1240" t="e">
        <f>ROUND(#REF!,0)</f>
        <v>#REF!</v>
      </c>
      <c r="G31" s="304">
        <v>0</v>
      </c>
      <c r="H31" s="514"/>
      <c r="I31" s="1240" t="e">
        <f>ROUND(#REF!,0)</f>
        <v>#REF!</v>
      </c>
      <c r="J31" s="514"/>
      <c r="K31" s="1240" t="e">
        <f>ROUNDDOWN(#REF!,0)</f>
        <v>#REF!</v>
      </c>
      <c r="L31" s="514"/>
      <c r="M31" s="1239" t="e">
        <f t="shared" ref="M31:M43" si="7">K31-F31</f>
        <v>#REF!</v>
      </c>
      <c r="O31" s="792"/>
      <c r="P31" s="792"/>
      <c r="Q31" s="792"/>
      <c r="R31" s="792"/>
      <c r="S31" s="792"/>
      <c r="U31" s="283"/>
      <c r="V31" s="722"/>
      <c r="W31" s="283"/>
    </row>
    <row r="32" spans="1:23" s="293" customFormat="1" ht="15.6" customHeight="1">
      <c r="A32" s="621" t="s">
        <v>341</v>
      </c>
      <c r="B32" s="316" t="s">
        <v>12</v>
      </c>
      <c r="C32" s="1240" t="e">
        <f>ROUND(#REF!,0)</f>
        <v>#REF!</v>
      </c>
      <c r="D32" s="1224"/>
      <c r="E32" s="514"/>
      <c r="F32" s="1240" t="e">
        <f>ROUND(#REF!,0)</f>
        <v>#REF!</v>
      </c>
      <c r="G32" s="304">
        <v>0</v>
      </c>
      <c r="H32" s="514"/>
      <c r="I32" s="1240" t="e">
        <f>ROUND(#REF!,0)</f>
        <v>#REF!</v>
      </c>
      <c r="J32" s="514"/>
      <c r="K32" s="1240" t="e">
        <f>ROUND(#REF!,0)</f>
        <v>#REF!</v>
      </c>
      <c r="L32" s="514"/>
      <c r="M32" s="1239" t="e">
        <f t="shared" si="7"/>
        <v>#REF!</v>
      </c>
      <c r="O32" s="792" t="e">
        <f>F24+F15-C57</f>
        <v>#REF!</v>
      </c>
      <c r="P32" s="792"/>
      <c r="Q32" s="792"/>
      <c r="R32" s="792"/>
      <c r="S32" s="792"/>
      <c r="U32" s="283"/>
      <c r="V32" s="722"/>
      <c r="W32" s="283"/>
    </row>
    <row r="33" spans="1:23" s="293" customFormat="1" ht="15.6" customHeight="1">
      <c r="A33" s="621" t="s">
        <v>342</v>
      </c>
      <c r="B33" s="316" t="s">
        <v>13</v>
      </c>
      <c r="C33" s="1240" t="e">
        <f>ROUND(#REF!,0)+2</f>
        <v>#REF!</v>
      </c>
      <c r="D33" s="1224"/>
      <c r="E33" s="514"/>
      <c r="F33" s="1240" t="e">
        <f>ROUND(#REF!,0)</f>
        <v>#REF!</v>
      </c>
      <c r="G33" s="304">
        <v>0</v>
      </c>
      <c r="H33" s="514"/>
      <c r="I33" s="1240" t="e">
        <f>ROUND(#REF!,0)</f>
        <v>#REF!</v>
      </c>
      <c r="J33" s="514"/>
      <c r="K33" s="1240" t="e">
        <f>ROUND(#REF!,0)</f>
        <v>#REF!</v>
      </c>
      <c r="L33" s="514"/>
      <c r="M33" s="1239" t="e">
        <f t="shared" si="7"/>
        <v>#REF!</v>
      </c>
      <c r="O33" s="792"/>
      <c r="P33" s="792"/>
      <c r="Q33" s="792"/>
      <c r="R33" s="792"/>
      <c r="S33" s="792"/>
      <c r="U33" s="283"/>
      <c r="V33" s="722"/>
      <c r="W33" s="283"/>
    </row>
    <row r="34" spans="1:23" s="293" customFormat="1" ht="15.6" customHeight="1">
      <c r="A34" s="621" t="s">
        <v>343</v>
      </c>
      <c r="B34" s="316" t="s">
        <v>14</v>
      </c>
      <c r="C34" s="1240" t="e">
        <f>ROUND(#REF!,0)+1-2</f>
        <v>#REF!</v>
      </c>
      <c r="D34" s="1224"/>
      <c r="E34" s="514"/>
      <c r="F34" s="1240" t="e">
        <f>ROUND(#REF!,0)</f>
        <v>#REF!</v>
      </c>
      <c r="G34" s="304">
        <v>0</v>
      </c>
      <c r="H34" s="514"/>
      <c r="I34" s="1240" t="e">
        <f>ROUND(#REF!,0)+3</f>
        <v>#REF!</v>
      </c>
      <c r="J34" s="514"/>
      <c r="K34" s="1240" t="e">
        <f>ROUND(#REF!,0)</f>
        <v>#REF!</v>
      </c>
      <c r="L34" s="514"/>
      <c r="M34" s="1239" t="e">
        <f t="shared" si="7"/>
        <v>#REF!</v>
      </c>
      <c r="O34" s="792"/>
      <c r="P34" s="792"/>
      <c r="Q34" s="792"/>
      <c r="R34" s="792"/>
      <c r="S34" s="792"/>
      <c r="U34" s="283"/>
      <c r="V34" s="722"/>
      <c r="W34" s="283"/>
    </row>
    <row r="35" spans="1:23" s="293" customFormat="1" ht="15.6" customHeight="1">
      <c r="A35" s="621" t="s">
        <v>350</v>
      </c>
      <c r="B35" s="316" t="s">
        <v>15</v>
      </c>
      <c r="C35" s="1240" t="e">
        <f>ROUND(#REF!,0)+1</f>
        <v>#REF!</v>
      </c>
      <c r="D35" s="1224"/>
      <c r="E35" s="514"/>
      <c r="F35" s="1240" t="e">
        <f>ROUND(#REF!,0)</f>
        <v>#REF!</v>
      </c>
      <c r="G35" s="304">
        <v>1</v>
      </c>
      <c r="H35" s="514"/>
      <c r="I35" s="1240" t="e">
        <f>ROUND(#REF!,0)</f>
        <v>#REF!</v>
      </c>
      <c r="J35" s="514"/>
      <c r="K35" s="1240" t="e">
        <f>ROUND(#REF!,0)</f>
        <v>#REF!</v>
      </c>
      <c r="L35" s="514"/>
      <c r="M35" s="1239" t="e">
        <f t="shared" si="7"/>
        <v>#REF!</v>
      </c>
      <c r="O35" s="792"/>
      <c r="P35" s="792"/>
      <c r="Q35" s="792"/>
      <c r="R35" s="792"/>
      <c r="S35" s="792"/>
      <c r="U35" s="283"/>
      <c r="V35" s="722"/>
      <c r="W35" s="283"/>
    </row>
    <row r="36" spans="1:23" s="293" customFormat="1" ht="15.6" customHeight="1">
      <c r="A36" s="621" t="s">
        <v>351</v>
      </c>
      <c r="B36" s="316" t="s">
        <v>16</v>
      </c>
      <c r="C36" s="1240" t="e">
        <f>ROUND(#REF!,0)-1</f>
        <v>#REF!</v>
      </c>
      <c r="D36" s="1224"/>
      <c r="E36" s="514"/>
      <c r="F36" s="1240" t="e">
        <f>ROUND(#REF!,0)</f>
        <v>#REF!</v>
      </c>
      <c r="G36" s="304">
        <v>2</v>
      </c>
      <c r="H36" s="514"/>
      <c r="I36" s="1240" t="e">
        <f>ROUND(#REF!,0)</f>
        <v>#REF!</v>
      </c>
      <c r="J36" s="514"/>
      <c r="K36" s="1240" t="e">
        <f>ROUND(#REF!,0)</f>
        <v>#REF!</v>
      </c>
      <c r="L36" s="514"/>
      <c r="M36" s="1239" t="e">
        <f t="shared" si="7"/>
        <v>#REF!</v>
      </c>
      <c r="O36" s="792">
        <f>2+4+2+1+2+5+8+5</f>
        <v>29</v>
      </c>
      <c r="P36" s="792"/>
      <c r="Q36" s="792"/>
      <c r="R36" s="792"/>
      <c r="S36" s="792"/>
      <c r="U36" s="283"/>
      <c r="V36" s="722"/>
      <c r="W36" s="283"/>
    </row>
    <row r="37" spans="1:23" s="293" customFormat="1" ht="15.6" customHeight="1">
      <c r="A37" s="621"/>
      <c r="B37" s="316" t="s">
        <v>85</v>
      </c>
      <c r="C37" s="1240" t="e">
        <f>ROUND(#REF!,0)-1</f>
        <v>#REF!</v>
      </c>
      <c r="D37" s="1224"/>
      <c r="E37" s="514"/>
      <c r="F37" s="1240" t="e">
        <f>ROUND(#REF!,0)</f>
        <v>#REF!</v>
      </c>
      <c r="G37" s="304"/>
      <c r="H37" s="514"/>
      <c r="I37" s="1240" t="e">
        <f>ROUND(#REF!,0)</f>
        <v>#REF!</v>
      </c>
      <c r="J37" s="514"/>
      <c r="K37" s="1240" t="e">
        <f>ROUND(#REF!,0)</f>
        <v>#REF!</v>
      </c>
      <c r="L37" s="514"/>
      <c r="M37" s="1239" t="e">
        <f t="shared" si="7"/>
        <v>#REF!</v>
      </c>
      <c r="O37" s="792">
        <v>2</v>
      </c>
      <c r="P37" s="792"/>
      <c r="Q37" s="792"/>
      <c r="R37" s="792"/>
      <c r="S37" s="792"/>
      <c r="U37" s="283"/>
      <c r="V37" s="722"/>
      <c r="W37" s="283"/>
    </row>
    <row r="38" spans="1:23" s="1480" customFormat="1" ht="15.6" customHeight="1">
      <c r="A38" s="1478" t="s">
        <v>346</v>
      </c>
      <c r="B38" s="316" t="s">
        <v>997</v>
      </c>
      <c r="C38" s="1240" t="e">
        <f>#REF!</f>
        <v>#REF!</v>
      </c>
      <c r="D38" s="1224"/>
      <c r="E38" s="514"/>
      <c r="F38" s="1240" t="e">
        <f>#REF!</f>
        <v>#REF!</v>
      </c>
      <c r="G38" s="304"/>
      <c r="H38" s="514"/>
      <c r="I38" s="1240" t="e">
        <f>#REF!</f>
        <v>#REF!</v>
      </c>
      <c r="J38" s="514"/>
      <c r="K38" s="1240" t="e">
        <f>#REF!</f>
        <v>#REF!</v>
      </c>
      <c r="L38" s="514"/>
      <c r="M38" s="1239" t="e">
        <f t="shared" si="7"/>
        <v>#REF!</v>
      </c>
      <c r="O38" s="792">
        <v>1</v>
      </c>
      <c r="P38" s="792"/>
      <c r="Q38" s="792"/>
      <c r="R38" s="1481"/>
      <c r="S38" s="1481"/>
      <c r="U38" s="1433"/>
      <c r="V38" s="1434"/>
      <c r="W38" s="1433"/>
    </row>
    <row r="39" spans="1:23" s="1480" customFormat="1" ht="15.6" customHeight="1">
      <c r="A39" s="1524"/>
      <c r="B39" s="316" t="s">
        <v>1001</v>
      </c>
      <c r="C39" s="1240" t="e">
        <f>#REF!</f>
        <v>#REF!</v>
      </c>
      <c r="D39" s="1224"/>
      <c r="E39" s="514"/>
      <c r="F39" s="1240" t="e">
        <f>#REF!</f>
        <v>#REF!</v>
      </c>
      <c r="G39" s="304"/>
      <c r="H39" s="514"/>
      <c r="I39" s="1240" t="e">
        <f>#REF!</f>
        <v>#REF!</v>
      </c>
      <c r="J39" s="514"/>
      <c r="K39" s="1240" t="e">
        <f>#REF!</f>
        <v>#REF!</v>
      </c>
      <c r="L39" s="514"/>
      <c r="M39" s="1239" t="e">
        <f t="shared" si="7"/>
        <v>#REF!</v>
      </c>
      <c r="O39" s="792">
        <v>8</v>
      </c>
      <c r="P39" s="792"/>
      <c r="Q39" s="792"/>
      <c r="R39" s="1481"/>
      <c r="S39" s="1481"/>
      <c r="U39" s="1433"/>
      <c r="V39" s="1434"/>
      <c r="W39" s="1433"/>
    </row>
    <row r="40" spans="1:23" s="1480" customFormat="1" ht="15.6" customHeight="1">
      <c r="A40" s="1524"/>
      <c r="B40" s="316" t="s">
        <v>998</v>
      </c>
      <c r="C40" s="1240" t="e">
        <f>#REF!</f>
        <v>#REF!</v>
      </c>
      <c r="D40" s="1224"/>
      <c r="E40" s="514"/>
      <c r="F40" s="1240" t="e">
        <f>#REF!</f>
        <v>#REF!</v>
      </c>
      <c r="G40" s="304"/>
      <c r="H40" s="514"/>
      <c r="I40" s="1240" t="e">
        <f>#REF!</f>
        <v>#REF!</v>
      </c>
      <c r="J40" s="514"/>
      <c r="K40" s="1240" t="e">
        <f>#REF!</f>
        <v>#REF!</v>
      </c>
      <c r="L40" s="514"/>
      <c r="M40" s="1239" t="e">
        <f t="shared" si="7"/>
        <v>#REF!</v>
      </c>
      <c r="O40" s="792">
        <v>9</v>
      </c>
      <c r="P40" s="792"/>
      <c r="Q40" s="792"/>
      <c r="R40" s="1481"/>
      <c r="S40" s="1481"/>
      <c r="U40" s="1433"/>
      <c r="V40" s="1434"/>
      <c r="W40" s="1433"/>
    </row>
    <row r="41" spans="1:23" s="293" customFormat="1" ht="15.75">
      <c r="B41" s="316" t="s">
        <v>1000</v>
      </c>
      <c r="C41" s="1240" t="e">
        <f>#REF!</f>
        <v>#REF!</v>
      </c>
      <c r="D41" s="1224"/>
      <c r="E41" s="514"/>
      <c r="F41" s="1240" t="e">
        <f>#REF!</f>
        <v>#REF!</v>
      </c>
      <c r="G41" s="304"/>
      <c r="H41" s="514"/>
      <c r="I41" s="1240" t="e">
        <f>#REF!</f>
        <v>#REF!</v>
      </c>
      <c r="J41" s="514"/>
      <c r="K41" s="1240" t="e">
        <f>#REF!</f>
        <v>#REF!</v>
      </c>
      <c r="L41" s="514"/>
      <c r="M41" s="1239" t="e">
        <f t="shared" si="7"/>
        <v>#REF!</v>
      </c>
      <c r="O41" s="792">
        <v>0</v>
      </c>
      <c r="P41" s="792"/>
      <c r="Q41" s="792"/>
      <c r="R41" s="792"/>
      <c r="S41" s="792"/>
      <c r="U41" s="283"/>
      <c r="V41" s="722"/>
      <c r="W41" s="283"/>
    </row>
    <row r="42" spans="1:23" s="293" customFormat="1" ht="15.75">
      <c r="B42" s="316" t="s">
        <v>999</v>
      </c>
      <c r="C42" s="1240" t="e">
        <f>#REF!</f>
        <v>#REF!</v>
      </c>
      <c r="D42" s="1224"/>
      <c r="E42" s="514"/>
      <c r="F42" s="1240" t="e">
        <f>#REF!</f>
        <v>#REF!</v>
      </c>
      <c r="G42" s="304"/>
      <c r="H42" s="514"/>
      <c r="I42" s="1240" t="e">
        <f>#REF!</f>
        <v>#REF!</v>
      </c>
      <c r="J42" s="514"/>
      <c r="K42" s="1240" t="e">
        <f>#REF!</f>
        <v>#REF!</v>
      </c>
      <c r="L42" s="514"/>
      <c r="M42" s="1239" t="e">
        <f t="shared" si="7"/>
        <v>#REF!</v>
      </c>
      <c r="O42" s="1481">
        <f>1+6+4+7+8+7+4+6+6+8+3</f>
        <v>60</v>
      </c>
      <c r="P42" s="1481"/>
      <c r="Q42" s="1481"/>
      <c r="R42" s="792"/>
      <c r="S42" s="792"/>
      <c r="U42" s="283"/>
      <c r="V42" s="722"/>
      <c r="W42" s="283"/>
    </row>
    <row r="43" spans="1:23" s="293" customFormat="1" ht="15.75">
      <c r="B43" s="1482" t="s">
        <v>1010</v>
      </c>
      <c r="C43" s="1240" t="e">
        <f>#REF!</f>
        <v>#REF!</v>
      </c>
      <c r="D43" s="514"/>
      <c r="E43" s="514"/>
      <c r="F43" s="1240" t="e">
        <f>#REF!</f>
        <v>#REF!</v>
      </c>
      <c r="G43" s="1479">
        <v>3</v>
      </c>
      <c r="H43" s="514"/>
      <c r="I43" s="1240" t="e">
        <f>#REF!</f>
        <v>#REF!</v>
      </c>
      <c r="J43" s="514"/>
      <c r="K43" s="1240" t="e">
        <f>#REF!</f>
        <v>#REF!</v>
      </c>
      <c r="L43" s="514"/>
      <c r="M43" s="1239" t="e">
        <f t="shared" si="7"/>
        <v>#REF!</v>
      </c>
      <c r="O43" s="1481"/>
      <c r="P43" s="1481"/>
      <c r="Q43" s="1481"/>
      <c r="R43" s="792"/>
      <c r="S43" s="792"/>
      <c r="U43" s="283"/>
      <c r="V43" s="722"/>
      <c r="W43" s="283"/>
    </row>
    <row r="44" spans="1:23" s="293" customFormat="1" ht="15.75">
      <c r="B44" s="1246" t="s">
        <v>22</v>
      </c>
      <c r="C44" s="1244" t="e">
        <f>SUM(C31:C43)</f>
        <v>#REF!</v>
      </c>
      <c r="D44" s="1225">
        <f>SUM(D31:D43)</f>
        <v>0</v>
      </c>
      <c r="E44" s="1060"/>
      <c r="F44" s="1244" t="e">
        <f>SUM(F31:F43)</f>
        <v>#REF!</v>
      </c>
      <c r="G44" s="1225">
        <f>SUM(G31:G43)</f>
        <v>6</v>
      </c>
      <c r="H44" s="1060"/>
      <c r="I44" s="1244" t="e">
        <f>SUM(I31:I43)</f>
        <v>#REF!</v>
      </c>
      <c r="J44" s="1060"/>
      <c r="K44" s="1244" t="e">
        <f>SUM(K31:K43)</f>
        <v>#REF!</v>
      </c>
      <c r="L44" s="1060"/>
      <c r="M44" s="1244" t="e">
        <f>SUM(M31:M43)</f>
        <v>#REF!</v>
      </c>
      <c r="N44" s="293" t="s">
        <v>58</v>
      </c>
      <c r="O44" s="1481" t="e">
        <f>F44-F43-F42-F41-F40-F39-F38</f>
        <v>#REF!</v>
      </c>
      <c r="P44" s="1481">
        <f>J44-J42-J41-J40-J39-J38</f>
        <v>0</v>
      </c>
      <c r="Q44" s="1481" t="e">
        <f>K44-K42-K41-K40-K39-K38</f>
        <v>#REF!</v>
      </c>
      <c r="R44" s="792"/>
      <c r="S44" s="792"/>
      <c r="U44" s="283"/>
      <c r="V44" s="722"/>
      <c r="W44" s="283"/>
    </row>
    <row r="45" spans="1:23" s="293" customFormat="1" ht="15.75">
      <c r="B45" s="311"/>
      <c r="C45" s="554"/>
      <c r="D45" s="304"/>
      <c r="E45" s="514"/>
      <c r="F45" s="1241"/>
      <c r="G45" s="304"/>
      <c r="H45" s="514"/>
      <c r="I45" s="1241"/>
      <c r="J45" s="514"/>
      <c r="K45" s="1241"/>
      <c r="L45" s="514"/>
      <c r="M45" s="518"/>
      <c r="O45" s="792" t="e">
        <f>Q44-O44</f>
        <v>#REF!</v>
      </c>
      <c r="P45" s="792" t="s">
        <v>864</v>
      </c>
      <c r="Q45" s="792">
        <f>'FY2015 Proposed All Funds-pg2'!N58</f>
        <v>571805176</v>
      </c>
      <c r="R45" s="792"/>
      <c r="S45" s="792"/>
      <c r="U45" s="283"/>
      <c r="V45" s="722"/>
      <c r="W45" s="283"/>
    </row>
    <row r="46" spans="1:23" s="293" customFormat="1" ht="15.75">
      <c r="B46" s="311" t="s">
        <v>1011</v>
      </c>
      <c r="C46" s="554" t="e">
        <f>#REF!</f>
        <v>#REF!</v>
      </c>
      <c r="D46" s="304"/>
      <c r="E46" s="514"/>
      <c r="F46" s="1241" t="e">
        <f>#REF!</f>
        <v>#REF!</v>
      </c>
      <c r="G46" s="304"/>
      <c r="H46" s="514"/>
      <c r="I46" s="1241">
        <v>0</v>
      </c>
      <c r="J46" s="514"/>
      <c r="K46" s="1241" t="e">
        <f>#REF!</f>
        <v>#REF!</v>
      </c>
      <c r="L46" s="514"/>
      <c r="M46" s="1239" t="e">
        <f t="shared" ref="M46:M48" si="8">K46-F46</f>
        <v>#REF!</v>
      </c>
      <c r="O46" s="1271" t="e">
        <f>O45/O44</f>
        <v>#REF!</v>
      </c>
      <c r="P46" s="792"/>
      <c r="Q46" s="792" t="e">
        <f>Q44-Q45</f>
        <v>#REF!</v>
      </c>
      <c r="R46" s="792"/>
      <c r="S46" s="792"/>
      <c r="U46" s="283"/>
      <c r="V46" s="722"/>
      <c r="W46" s="283"/>
    </row>
    <row r="47" spans="1:23" s="293" customFormat="1" ht="15.75" hidden="1">
      <c r="B47" s="311" t="s">
        <v>973</v>
      </c>
      <c r="C47" s="554">
        <v>0</v>
      </c>
      <c r="D47" s="304"/>
      <c r="E47" s="514"/>
      <c r="F47" s="1241" t="e">
        <f>#REF!</f>
        <v>#REF!</v>
      </c>
      <c r="G47" s="304"/>
      <c r="H47" s="514"/>
      <c r="I47" s="1241">
        <v>0</v>
      </c>
      <c r="J47" s="514"/>
      <c r="K47" s="1241" t="e">
        <f>#REF!</f>
        <v>#REF!</v>
      </c>
      <c r="L47" s="514"/>
      <c r="M47" s="1239" t="e">
        <f t="shared" si="8"/>
        <v>#REF!</v>
      </c>
      <c r="O47" s="792" t="e">
        <f>SUM(O36:O45)</f>
        <v>#REF!</v>
      </c>
      <c r="P47" s="792"/>
      <c r="Q47" s="792"/>
      <c r="R47" s="792"/>
      <c r="S47" s="792"/>
      <c r="U47" s="283"/>
      <c r="V47" s="722"/>
      <c r="W47" s="283"/>
    </row>
    <row r="48" spans="1:23" s="293" customFormat="1" ht="15.75">
      <c r="B48" s="1246" t="s">
        <v>970</v>
      </c>
      <c r="C48" s="1244" t="e">
        <f>SUM(C46:C47)</f>
        <v>#REF!</v>
      </c>
      <c r="D48" s="1225"/>
      <c r="E48" s="1244" t="s">
        <v>58</v>
      </c>
      <c r="F48" s="1244" t="e">
        <f>SUM(F46:F47)</f>
        <v>#REF!</v>
      </c>
      <c r="G48" s="1225"/>
      <c r="H48" s="523"/>
      <c r="I48" s="1244">
        <f>SUM(I46:I47)</f>
        <v>0</v>
      </c>
      <c r="J48" s="523"/>
      <c r="K48" s="1244" t="e">
        <f>SUM(K46:K47)</f>
        <v>#REF!</v>
      </c>
      <c r="L48" s="523"/>
      <c r="M48" s="1026" t="e">
        <f t="shared" si="8"/>
        <v>#REF!</v>
      </c>
      <c r="O48" s="792" t="s">
        <v>58</v>
      </c>
      <c r="P48" s="792"/>
      <c r="Q48" s="792"/>
      <c r="R48" s="792"/>
      <c r="S48" s="792"/>
      <c r="U48" s="283"/>
      <c r="V48" s="722"/>
      <c r="W48" s="283"/>
    </row>
    <row r="49" spans="2:23" s="293" customFormat="1" ht="15.75">
      <c r="B49" s="311"/>
      <c r="C49" s="554"/>
      <c r="D49" s="304"/>
      <c r="E49" s="514"/>
      <c r="F49" s="1241"/>
      <c r="G49" s="304"/>
      <c r="H49" s="514"/>
      <c r="I49" s="1241"/>
      <c r="J49" s="514"/>
      <c r="K49" s="1241"/>
      <c r="L49" s="514"/>
      <c r="M49" s="518"/>
      <c r="O49" s="792"/>
      <c r="P49" s="792"/>
      <c r="Q49" s="792"/>
      <c r="R49" s="792"/>
      <c r="S49" s="792"/>
      <c r="U49" s="283"/>
      <c r="V49" s="722"/>
      <c r="W49" s="283"/>
    </row>
    <row r="50" spans="2:23" s="293" customFormat="1" ht="15.75" hidden="1">
      <c r="B50" s="313" t="s">
        <v>321</v>
      </c>
      <c r="C50" s="556"/>
      <c r="D50" s="311"/>
      <c r="E50" s="514"/>
      <c r="F50" s="554"/>
      <c r="G50" s="311"/>
      <c r="H50" s="514"/>
      <c r="I50" s="554"/>
      <c r="J50" s="514"/>
      <c r="K50" s="554"/>
      <c r="L50" s="514"/>
      <c r="M50" s="522" t="s">
        <v>58</v>
      </c>
      <c r="O50" s="792"/>
      <c r="P50" s="792"/>
      <c r="Q50" s="792"/>
      <c r="R50" s="792"/>
      <c r="S50" s="792"/>
      <c r="U50" s="283"/>
      <c r="V50" s="722"/>
      <c r="W50" s="283"/>
    </row>
    <row r="51" spans="2:23" s="293" customFormat="1" ht="15.75">
      <c r="B51" s="316" t="s">
        <v>31</v>
      </c>
      <c r="C51" s="1241" t="e">
        <f>ROUND(#REF!,0)-1</f>
        <v>#REF!</v>
      </c>
      <c r="D51" s="304"/>
      <c r="E51" s="515"/>
      <c r="F51" s="1241" t="e">
        <f>ROUND(#REF!,0)</f>
        <v>#REF!</v>
      </c>
      <c r="G51" s="304"/>
      <c r="H51" s="515"/>
      <c r="I51" s="1241" t="e">
        <f>ROUND(#REF!,0)</f>
        <v>#REF!</v>
      </c>
      <c r="J51" s="515"/>
      <c r="K51" s="1241" t="e">
        <f>ROUND(#REF!,0)</f>
        <v>#REF!</v>
      </c>
      <c r="L51" s="515"/>
      <c r="M51" s="1239" t="e">
        <f t="shared" ref="M51:M56" si="9">K51-F51</f>
        <v>#REF!</v>
      </c>
      <c r="O51" s="792"/>
      <c r="P51" s="792"/>
      <c r="Q51" s="792"/>
      <c r="R51" s="792"/>
      <c r="S51" s="792"/>
      <c r="U51" s="283"/>
      <c r="V51" s="722"/>
      <c r="W51" s="283"/>
    </row>
    <row r="52" spans="2:23" s="293" customFormat="1" ht="15.75" hidden="1">
      <c r="B52" s="316" t="s">
        <v>37</v>
      </c>
      <c r="C52" s="1241" t="e">
        <f>ROUND(#REF!,0)</f>
        <v>#REF!</v>
      </c>
      <c r="D52" s="304"/>
      <c r="E52" s="515"/>
      <c r="F52" s="1241" t="e">
        <f>ROUND(#REF!,0)</f>
        <v>#REF!</v>
      </c>
      <c r="G52" s="304"/>
      <c r="H52" s="515"/>
      <c r="I52" s="1241" t="e">
        <f>ROUND(#REF!,0)</f>
        <v>#REF!</v>
      </c>
      <c r="J52" s="515"/>
      <c r="K52" s="1241" t="e">
        <f>ROUND(#REF!,0)</f>
        <v>#REF!</v>
      </c>
      <c r="L52" s="515"/>
      <c r="M52" s="1239" t="e">
        <f t="shared" si="9"/>
        <v>#REF!</v>
      </c>
      <c r="O52" s="792"/>
      <c r="P52" s="792"/>
      <c r="Q52" s="792"/>
      <c r="R52" s="792"/>
      <c r="S52" s="792"/>
      <c r="U52" s="283"/>
      <c r="V52" s="722"/>
      <c r="W52" s="283"/>
    </row>
    <row r="53" spans="2:23" s="293" customFormat="1" ht="15.75">
      <c r="B53" s="311" t="s">
        <v>782</v>
      </c>
      <c r="C53" s="1241" t="e">
        <f>ROUND(#REF!,0)</f>
        <v>#REF!</v>
      </c>
      <c r="D53" s="304"/>
      <c r="E53" s="515"/>
      <c r="F53" s="1241" t="e">
        <f>ROUND(#REF!,0)</f>
        <v>#REF!</v>
      </c>
      <c r="G53" s="304"/>
      <c r="H53" s="515"/>
      <c r="I53" s="1241" t="e">
        <f>ROUND(#REF!,0)</f>
        <v>#REF!</v>
      </c>
      <c r="J53" s="515"/>
      <c r="K53" s="1241" t="e">
        <f>ROUND(#REF!,0)</f>
        <v>#REF!</v>
      </c>
      <c r="L53" s="515"/>
      <c r="M53" s="1239" t="e">
        <f t="shared" si="9"/>
        <v>#REF!</v>
      </c>
      <c r="O53" s="792">
        <f>9+3+9</f>
        <v>21</v>
      </c>
      <c r="P53" s="792"/>
      <c r="Q53" s="792"/>
      <c r="R53" s="792"/>
      <c r="S53" s="792"/>
      <c r="U53" s="283"/>
      <c r="V53" s="722"/>
      <c r="W53" s="283"/>
    </row>
    <row r="54" spans="2:23" s="293" customFormat="1" ht="15.75">
      <c r="B54" s="311" t="s">
        <v>690</v>
      </c>
      <c r="C54" s="1241" t="e">
        <f>ROUND(#REF!,0)</f>
        <v>#REF!</v>
      </c>
      <c r="D54" s="304"/>
      <c r="E54" s="515"/>
      <c r="F54" s="1241" t="e">
        <f>ROUND(#REF!,0)</f>
        <v>#REF!</v>
      </c>
      <c r="G54" s="304"/>
      <c r="H54" s="515"/>
      <c r="I54" s="1241" t="e">
        <f>ROUND(#REF!,0)</f>
        <v>#REF!</v>
      </c>
      <c r="J54" s="515"/>
      <c r="K54" s="1241" t="e">
        <f>ROUND(#REF!,0)</f>
        <v>#REF!</v>
      </c>
      <c r="L54" s="515"/>
      <c r="M54" s="1239" t="e">
        <f t="shared" si="9"/>
        <v>#REF!</v>
      </c>
      <c r="O54" s="792">
        <f>50794054-50825069</f>
        <v>-31015</v>
      </c>
      <c r="P54" s="792"/>
      <c r="Q54" s="792"/>
      <c r="R54" s="792"/>
      <c r="S54" s="792"/>
      <c r="U54" s="283"/>
      <c r="V54" s="722"/>
      <c r="W54" s="283"/>
    </row>
    <row r="55" spans="2:23" s="625" customFormat="1" ht="15.75">
      <c r="B55" s="311" t="s">
        <v>830</v>
      </c>
      <c r="C55" s="1241" t="e">
        <f>ROUND(#REF!,0)</f>
        <v>#REF!</v>
      </c>
      <c r="D55" s="304"/>
      <c r="E55" s="515"/>
      <c r="F55" s="1241" t="e">
        <f>ROUND(#REF!,0)</f>
        <v>#REF!</v>
      </c>
      <c r="G55" s="304"/>
      <c r="H55" s="515"/>
      <c r="I55" s="1241" t="e">
        <f>ROUND(#REF!,0)</f>
        <v>#REF!</v>
      </c>
      <c r="J55" s="515"/>
      <c r="K55" s="1241" t="e">
        <f>ROUND(#REF!,0)</f>
        <v>#REF!</v>
      </c>
      <c r="L55" s="515"/>
      <c r="M55" s="1239" t="e">
        <f t="shared" si="9"/>
        <v>#REF!</v>
      </c>
      <c r="N55" s="1259" t="s">
        <v>58</v>
      </c>
      <c r="O55" s="792"/>
      <c r="P55" s="792"/>
      <c r="Q55" s="792"/>
      <c r="R55" s="792"/>
      <c r="S55" s="792"/>
      <c r="U55" s="283"/>
      <c r="V55" s="722"/>
      <c r="W55" s="283"/>
    </row>
    <row r="56" spans="2:23" s="625" customFormat="1" ht="15.75">
      <c r="B56" s="316" t="s">
        <v>841</v>
      </c>
      <c r="C56" s="1241" t="e">
        <f>ROUND(#REF!,0)+2</f>
        <v>#REF!</v>
      </c>
      <c r="D56" s="304">
        <f>D24</f>
        <v>0</v>
      </c>
      <c r="E56" s="514"/>
      <c r="F56" s="1241" t="e">
        <f>ROUND(#REF!,0)+2</f>
        <v>#REF!</v>
      </c>
      <c r="G56" s="304" t="e">
        <f>F56</f>
        <v>#REF!</v>
      </c>
      <c r="H56" s="514"/>
      <c r="I56" s="1241" t="e">
        <f>ROUND(#REF!,0)+1</f>
        <v>#REF!</v>
      </c>
      <c r="J56" s="514"/>
      <c r="K56" s="1241" t="e">
        <f>ROUNDDOWN(#REF!,0)+1</f>
        <v>#REF!</v>
      </c>
      <c r="L56" s="514"/>
      <c r="M56" s="1239" t="e">
        <f t="shared" si="9"/>
        <v>#REF!</v>
      </c>
      <c r="O56" s="792"/>
      <c r="P56" s="792"/>
      <c r="Q56" s="792"/>
      <c r="R56" s="792"/>
      <c r="S56" s="792"/>
      <c r="U56" s="283"/>
      <c r="V56" s="722"/>
      <c r="W56" s="283"/>
    </row>
    <row r="57" spans="2:23" s="293" customFormat="1" ht="15.75">
      <c r="B57" s="1246" t="s">
        <v>323</v>
      </c>
      <c r="C57" s="1251" t="e">
        <f>SUM(C51:C56)</f>
        <v>#REF!</v>
      </c>
      <c r="D57" s="1225">
        <f>D56</f>
        <v>0</v>
      </c>
      <c r="E57" s="1060"/>
      <c r="F57" s="1251" t="e">
        <f>SUM(F51:F56)</f>
        <v>#REF!</v>
      </c>
      <c r="G57" s="1225" t="e">
        <f>SUM(G56:G56)</f>
        <v>#REF!</v>
      </c>
      <c r="H57" s="1060"/>
      <c r="I57" s="1251" t="e">
        <f>SUM(I51:I56)</f>
        <v>#REF!</v>
      </c>
      <c r="J57" s="1060"/>
      <c r="K57" s="1251" t="e">
        <f>SUM(K51:K56)</f>
        <v>#REF!</v>
      </c>
      <c r="L57" s="1060"/>
      <c r="M57" s="1251" t="e">
        <f>SUM(M51:M56)</f>
        <v>#REF!</v>
      </c>
      <c r="O57" s="792" t="e">
        <f>I59-I57-I42-I41-I40-I39-I38</f>
        <v>#REF!</v>
      </c>
      <c r="P57" s="792" t="e">
        <f>K59-K57-K42-K41-K40-K39-K38</f>
        <v>#REF!</v>
      </c>
      <c r="R57" s="792"/>
      <c r="S57" s="792"/>
      <c r="U57" s="283"/>
      <c r="V57" s="722"/>
      <c r="W57" s="283"/>
    </row>
    <row r="58" spans="2:23" s="293" customFormat="1" ht="21" customHeight="1">
      <c r="B58" s="313"/>
      <c r="C58" s="1245"/>
      <c r="D58" s="310"/>
      <c r="E58" s="514"/>
      <c r="F58" s="1245"/>
      <c r="G58" s="310"/>
      <c r="H58" s="514"/>
      <c r="I58" s="1245"/>
      <c r="J58" s="514"/>
      <c r="K58" s="1245"/>
      <c r="L58" s="514"/>
      <c r="M58" s="1024"/>
      <c r="O58" s="293">
        <f>225-135</f>
        <v>90</v>
      </c>
      <c r="P58" s="653" t="e">
        <f>K15+K19</f>
        <v>#REF!</v>
      </c>
      <c r="Q58" s="792"/>
      <c r="R58" s="792"/>
      <c r="S58" s="792"/>
      <c r="U58" s="283"/>
      <c r="V58" s="722"/>
      <c r="W58" s="283"/>
    </row>
    <row r="59" spans="2:23" s="293" customFormat="1" ht="16.5" thickBot="1">
      <c r="B59" s="616" t="s">
        <v>25</v>
      </c>
      <c r="C59" s="1266" t="e">
        <f>C44+C57+C48</f>
        <v>#REF!</v>
      </c>
      <c r="D59" s="652">
        <f>D44+D57</f>
        <v>0</v>
      </c>
      <c r="E59" s="1473"/>
      <c r="F59" s="1266" t="e">
        <f>F44+F57+F48</f>
        <v>#REF!</v>
      </c>
      <c r="G59" s="652" t="e">
        <f>G44+G57</f>
        <v>#REF!</v>
      </c>
      <c r="H59" s="1473"/>
      <c r="I59" s="1266" t="e">
        <f>I44+I57</f>
        <v>#REF!</v>
      </c>
      <c r="J59" s="1473"/>
      <c r="K59" s="1266" t="e">
        <f>ROUND(K44+K57+K48,0)</f>
        <v>#REF!</v>
      </c>
      <c r="L59" s="1473"/>
      <c r="M59" s="1266" t="e">
        <f>ROUND(M44+M57+M48,0)</f>
        <v>#REF!</v>
      </c>
      <c r="N59" s="1469" t="e">
        <f>'FY2015 Proposed All Funds-pg2'!N79-K59</f>
        <v>#REF!</v>
      </c>
      <c r="O59" s="1249" t="e">
        <f>'FY2015 Proposed All Funds-pg2'!N79-K59</f>
        <v>#REF!</v>
      </c>
      <c r="P59" s="792"/>
      <c r="Q59" s="792"/>
      <c r="R59" s="792"/>
      <c r="S59" s="792"/>
      <c r="U59" s="283"/>
      <c r="V59" s="722"/>
      <c r="W59" s="283"/>
    </row>
    <row r="60" spans="2:23" s="293" customFormat="1" ht="16.149999999999999" customHeight="1" thickTop="1">
      <c r="B60" s="313"/>
      <c r="C60" s="556"/>
      <c r="D60" s="332"/>
      <c r="E60" s="514"/>
      <c r="F60" s="556"/>
      <c r="G60" s="332"/>
      <c r="H60" s="514"/>
      <c r="I60" s="556"/>
      <c r="J60" s="514"/>
      <c r="K60" s="556"/>
      <c r="L60" s="514"/>
      <c r="M60" s="556"/>
      <c r="O60" s="792" t="e">
        <f>832277622-K59</f>
        <v>#REF!</v>
      </c>
      <c r="P60" s="1260">
        <v>1141393</v>
      </c>
      <c r="Q60" s="1477">
        <f>335953947/1000000</f>
        <v>335.95394700000003</v>
      </c>
      <c r="R60" s="792"/>
      <c r="S60" s="792"/>
      <c r="U60" s="283"/>
      <c r="V60" s="722"/>
      <c r="W60" s="283"/>
    </row>
    <row r="61" spans="2:23" s="293" customFormat="1" ht="15.75">
      <c r="B61" s="313"/>
      <c r="C61" s="556"/>
      <c r="D61" s="332"/>
      <c r="E61" s="514"/>
      <c r="F61" s="556"/>
      <c r="G61" s="332"/>
      <c r="H61" s="514"/>
      <c r="I61" s="556"/>
      <c r="J61" s="514"/>
      <c r="K61" s="556"/>
      <c r="L61" s="514"/>
      <c r="M61" s="556"/>
      <c r="O61" s="792" t="s">
        <v>863</v>
      </c>
      <c r="P61" s="792"/>
      <c r="Q61" s="792"/>
      <c r="R61" s="792"/>
      <c r="S61" s="792"/>
      <c r="U61" s="283"/>
      <c r="V61" s="722"/>
      <c r="W61" s="283"/>
    </row>
    <row r="62" spans="2:23" s="293" customFormat="1" ht="15.75">
      <c r="B62" s="313"/>
      <c r="C62" s="556"/>
      <c r="D62" s="332"/>
      <c r="E62" s="514"/>
      <c r="F62" s="556"/>
      <c r="G62" s="332"/>
      <c r="H62" s="514"/>
      <c r="I62" s="556"/>
      <c r="J62" s="514"/>
      <c r="K62" s="556"/>
      <c r="L62" s="514"/>
      <c r="M62" s="556"/>
      <c r="O62" s="792"/>
      <c r="P62" s="792"/>
      <c r="Q62" s="792"/>
      <c r="R62" s="792"/>
      <c r="S62" s="792"/>
      <c r="U62" s="283"/>
      <c r="V62" s="722"/>
      <c r="W62" s="283"/>
    </row>
    <row r="63" spans="2:23" s="293" customFormat="1" ht="15.75">
      <c r="B63" s="313"/>
      <c r="C63" s="556"/>
      <c r="D63" s="332"/>
      <c r="E63" s="514"/>
      <c r="F63" s="556"/>
      <c r="G63" s="332"/>
      <c r="H63" s="514"/>
      <c r="I63" s="556"/>
      <c r="J63" s="514"/>
      <c r="K63" s="556"/>
      <c r="L63" s="514"/>
      <c r="M63" s="556"/>
      <c r="O63" s="792"/>
      <c r="P63" s="792"/>
      <c r="Q63" s="792"/>
      <c r="R63" s="792"/>
      <c r="S63" s="792"/>
      <c r="U63" s="283"/>
      <c r="V63" s="722"/>
      <c r="W63" s="283"/>
    </row>
    <row r="64" spans="2:23" s="293" customFormat="1" ht="15.75">
      <c r="B64" s="313"/>
      <c r="C64" s="556"/>
      <c r="D64" s="332"/>
      <c r="E64" s="514"/>
      <c r="F64" s="556"/>
      <c r="G64" s="332"/>
      <c r="H64" s="514"/>
      <c r="I64" s="556"/>
      <c r="J64" s="514"/>
      <c r="K64" s="556"/>
      <c r="L64" s="514"/>
      <c r="M64" s="556"/>
      <c r="O64" s="792"/>
      <c r="P64" s="792"/>
      <c r="Q64" s="792"/>
      <c r="R64" s="792"/>
      <c r="S64" s="792"/>
      <c r="U64" s="283"/>
      <c r="V64" s="722"/>
      <c r="W64" s="283"/>
    </row>
    <row r="65" spans="2:23" s="293" customFormat="1" ht="15.75">
      <c r="B65" s="313"/>
      <c r="C65" s="556"/>
      <c r="D65" s="332"/>
      <c r="E65" s="514"/>
      <c r="F65" s="556"/>
      <c r="G65" s="332"/>
      <c r="H65" s="514"/>
      <c r="I65" s="556"/>
      <c r="J65" s="514"/>
      <c r="K65" s="556"/>
      <c r="L65" s="514"/>
      <c r="M65" s="556"/>
      <c r="O65" s="792"/>
      <c r="P65" s="792"/>
      <c r="Q65" s="792"/>
      <c r="R65" s="792"/>
      <c r="S65" s="792"/>
      <c r="U65" s="283"/>
      <c r="V65" s="722"/>
      <c r="W65" s="283"/>
    </row>
    <row r="66" spans="2:23" s="293" customFormat="1" ht="15.75">
      <c r="B66" s="313"/>
      <c r="C66" s="556"/>
      <c r="D66" s="332"/>
      <c r="E66" s="514"/>
      <c r="F66" s="556"/>
      <c r="G66" s="332"/>
      <c r="H66" s="514"/>
      <c r="I66" s="556"/>
      <c r="J66" s="514"/>
      <c r="K66" s="556"/>
      <c r="L66" s="514"/>
      <c r="M66" s="556"/>
      <c r="O66" s="792"/>
      <c r="P66" s="792"/>
      <c r="Q66" s="792"/>
      <c r="R66" s="792"/>
      <c r="S66" s="792"/>
      <c r="U66" s="283"/>
      <c r="V66" s="722"/>
      <c r="W66" s="283"/>
    </row>
    <row r="67" spans="2:23" s="293" customFormat="1" ht="15.75">
      <c r="B67" s="313"/>
      <c r="C67" s="556"/>
      <c r="D67" s="332"/>
      <c r="E67" s="514"/>
      <c r="F67" s="556"/>
      <c r="G67" s="332"/>
      <c r="H67" s="514"/>
      <c r="I67" s="556"/>
      <c r="J67" s="514"/>
      <c r="K67" s="556"/>
      <c r="L67" s="514"/>
      <c r="M67" s="556"/>
      <c r="O67" s="792"/>
      <c r="P67" s="792"/>
      <c r="Q67" s="792"/>
      <c r="R67" s="792"/>
      <c r="S67" s="792"/>
      <c r="U67" s="283"/>
      <c r="V67" s="722"/>
      <c r="W67" s="283"/>
    </row>
    <row r="68" spans="2:23" s="293" customFormat="1" ht="15.75">
      <c r="B68" s="313"/>
      <c r="C68" s="556"/>
      <c r="D68" s="332"/>
      <c r="E68" s="514"/>
      <c r="F68" s="556"/>
      <c r="G68" s="332"/>
      <c r="H68" s="514"/>
      <c r="I68" s="556"/>
      <c r="J68" s="514"/>
      <c r="K68" s="556"/>
      <c r="L68" s="514"/>
      <c r="M68" s="556"/>
      <c r="O68" s="792"/>
      <c r="P68" s="792"/>
      <c r="Q68" s="792"/>
      <c r="R68" s="792"/>
      <c r="S68" s="792"/>
      <c r="U68" s="283"/>
      <c r="V68" s="722"/>
      <c r="W68" s="283"/>
    </row>
    <row r="69" spans="2:23" s="293" customFormat="1" ht="15.75">
      <c r="B69" s="313"/>
      <c r="C69" s="556"/>
      <c r="D69" s="332"/>
      <c r="E69" s="514"/>
      <c r="F69" s="556"/>
      <c r="G69" s="332"/>
      <c r="H69" s="514"/>
      <c r="I69" s="556"/>
      <c r="J69" s="514"/>
      <c r="K69" s="556"/>
      <c r="L69" s="514"/>
      <c r="M69" s="556"/>
      <c r="O69" s="792"/>
      <c r="P69" s="792"/>
      <c r="Q69" s="792"/>
      <c r="R69" s="792"/>
      <c r="S69" s="792"/>
      <c r="U69" s="283"/>
      <c r="V69" s="722"/>
      <c r="W69" s="283"/>
    </row>
    <row r="70" spans="2:23" s="293" customFormat="1" ht="15.75">
      <c r="B70" s="313"/>
      <c r="C70" s="556"/>
      <c r="D70" s="332"/>
      <c r="E70" s="514"/>
      <c r="F70" s="556"/>
      <c r="G70" s="332"/>
      <c r="H70" s="514"/>
      <c r="I70" s="556"/>
      <c r="J70" s="514"/>
      <c r="K70" s="556"/>
      <c r="L70" s="514"/>
      <c r="M70" s="556"/>
      <c r="O70" s="724">
        <f>3.3+22.4+19.8+2.1+4.4+30.8+0.9+11.7+4.6</f>
        <v>100</v>
      </c>
      <c r="P70" s="792"/>
      <c r="Q70" s="792"/>
      <c r="R70" s="792"/>
      <c r="S70" s="792"/>
      <c r="U70" s="283"/>
      <c r="V70" s="722"/>
      <c r="W70" s="283"/>
    </row>
    <row r="71" spans="2:23" s="293" customFormat="1" ht="15.75">
      <c r="B71" s="313"/>
      <c r="C71" s="556"/>
      <c r="D71" s="332"/>
      <c r="E71" s="514"/>
      <c r="F71" s="556"/>
      <c r="G71" s="332"/>
      <c r="H71" s="514"/>
      <c r="I71" s="556"/>
      <c r="J71" s="514"/>
      <c r="K71" s="556"/>
      <c r="L71" s="514"/>
      <c r="M71" s="556"/>
      <c r="O71" s="724">
        <f>23.4+21.6+8.5+12.5+15.2+1.1+8+1.1+8.6</f>
        <v>99.999999999999986</v>
      </c>
      <c r="P71" s="792"/>
      <c r="Q71" s="792"/>
      <c r="R71" s="792"/>
      <c r="S71" s="792"/>
      <c r="U71" s="283"/>
      <c r="V71" s="722"/>
      <c r="W71" s="283"/>
    </row>
    <row r="72" spans="2:23" s="293" customFormat="1" ht="15.75">
      <c r="B72" s="313"/>
      <c r="C72" s="556"/>
      <c r="D72" s="332"/>
      <c r="E72" s="514"/>
      <c r="F72" s="556"/>
      <c r="G72" s="332"/>
      <c r="H72" s="514"/>
      <c r="I72" s="556"/>
      <c r="J72" s="514"/>
      <c r="K72" s="556"/>
      <c r="L72" s="514"/>
      <c r="M72" s="556"/>
      <c r="O72" s="792"/>
      <c r="P72" s="792" t="s">
        <v>58</v>
      </c>
      <c r="Q72" s="792"/>
      <c r="R72" s="792"/>
      <c r="S72" s="792"/>
      <c r="U72" s="283"/>
      <c r="V72" s="722"/>
      <c r="W72" s="283"/>
    </row>
    <row r="73" spans="2:23" s="293" customFormat="1" ht="15.75">
      <c r="B73" s="313"/>
      <c r="C73" s="556"/>
      <c r="D73" s="332"/>
      <c r="E73" s="514"/>
      <c r="F73" s="556"/>
      <c r="G73" s="332"/>
      <c r="H73" s="514"/>
      <c r="I73" s="556"/>
      <c r="J73" s="514"/>
      <c r="K73" s="556"/>
      <c r="L73" s="514"/>
      <c r="M73" s="556"/>
      <c r="O73" s="792"/>
      <c r="P73" s="792" t="s">
        <v>58</v>
      </c>
      <c r="Q73" s="792"/>
      <c r="R73" s="792"/>
      <c r="S73" s="792"/>
      <c r="U73" s="283"/>
      <c r="V73" s="722"/>
      <c r="W73" s="283"/>
    </row>
    <row r="74" spans="2:23" s="293" customFormat="1" ht="15.75">
      <c r="B74" s="313"/>
      <c r="C74" s="556"/>
      <c r="D74" s="332"/>
      <c r="E74" s="514"/>
      <c r="F74" s="556"/>
      <c r="G74" s="332"/>
      <c r="H74" s="514"/>
      <c r="I74" s="556"/>
      <c r="J74" s="514"/>
      <c r="K74" s="556"/>
      <c r="L74" s="514"/>
      <c r="M74" s="556"/>
      <c r="O74" s="792"/>
      <c r="P74" s="792"/>
      <c r="Q74" s="792"/>
      <c r="R74" s="792"/>
      <c r="S74" s="792"/>
      <c r="U74" s="283"/>
      <c r="V74" s="722"/>
      <c r="W74" s="283"/>
    </row>
    <row r="75" spans="2:23" s="293" customFormat="1" ht="15.75">
      <c r="B75" s="313"/>
      <c r="C75" s="556"/>
      <c r="D75" s="332"/>
      <c r="E75" s="514"/>
      <c r="F75" s="556"/>
      <c r="G75" s="332"/>
      <c r="H75" s="514"/>
      <c r="I75" s="556"/>
      <c r="J75" s="514"/>
      <c r="K75" s="556"/>
      <c r="L75" s="514"/>
      <c r="M75" s="556"/>
      <c r="O75" s="792"/>
      <c r="P75" s="792"/>
      <c r="Q75" s="792"/>
      <c r="R75" s="792"/>
      <c r="S75" s="792"/>
      <c r="U75" s="283"/>
      <c r="V75" s="722"/>
      <c r="W75" s="283"/>
    </row>
    <row r="76" spans="2:23" s="293" customFormat="1" ht="15.75">
      <c r="B76" s="313"/>
      <c r="C76" s="556"/>
      <c r="D76" s="332"/>
      <c r="E76" s="514"/>
      <c r="F76" s="556"/>
      <c r="G76" s="332"/>
      <c r="H76" s="514"/>
      <c r="I76" s="556"/>
      <c r="J76" s="514"/>
      <c r="K76" s="556"/>
      <c r="L76" s="514"/>
      <c r="M76" s="556"/>
      <c r="O76" s="792"/>
      <c r="P76" s="792"/>
      <c r="Q76" s="792"/>
      <c r="R76" s="792"/>
      <c r="S76" s="792"/>
      <c r="U76" s="283"/>
      <c r="V76" s="722"/>
      <c r="W76" s="283"/>
    </row>
    <row r="77" spans="2:23" s="293" customFormat="1" ht="15.75">
      <c r="B77" s="313"/>
      <c r="C77" s="556"/>
      <c r="D77" s="332"/>
      <c r="E77" s="514"/>
      <c r="F77" s="556"/>
      <c r="G77" s="332"/>
      <c r="H77" s="514"/>
      <c r="I77" s="556"/>
      <c r="J77" s="514"/>
      <c r="K77" s="556"/>
      <c r="L77" s="514"/>
      <c r="M77" s="556"/>
      <c r="O77" s="792"/>
      <c r="P77" s="792"/>
      <c r="Q77" s="792"/>
      <c r="R77" s="792"/>
      <c r="S77" s="792"/>
      <c r="U77" s="283"/>
      <c r="V77" s="722"/>
      <c r="W77" s="283"/>
    </row>
    <row r="78" spans="2:23" ht="15.75">
      <c r="B78" s="313"/>
      <c r="C78" s="556"/>
      <c r="D78" s="332"/>
      <c r="E78" s="514"/>
      <c r="F78" s="556"/>
      <c r="G78" s="332"/>
      <c r="H78" s="514"/>
      <c r="I78" s="556"/>
      <c r="J78" s="514"/>
      <c r="K78" s="556"/>
      <c r="L78" s="514"/>
      <c r="M78" s="556"/>
      <c r="O78" s="792"/>
      <c r="P78" s="792"/>
      <c r="Q78" s="792"/>
      <c r="S78" s="283"/>
      <c r="V78" s="283"/>
    </row>
    <row r="79" spans="2:23" ht="15.75">
      <c r="B79" s="313"/>
      <c r="C79" s="556"/>
      <c r="D79" s="332"/>
      <c r="E79" s="514"/>
      <c r="F79" s="556"/>
      <c r="G79" s="332"/>
      <c r="H79" s="514"/>
      <c r="I79" s="556"/>
      <c r="J79" s="514"/>
      <c r="K79" s="556"/>
      <c r="L79" s="514"/>
      <c r="M79" s="556"/>
      <c r="O79" s="792"/>
      <c r="P79" s="792"/>
      <c r="Q79" s="792"/>
      <c r="S79" s="283"/>
      <c r="V79" s="283"/>
    </row>
    <row r="80" spans="2:23">
      <c r="C80" s="1255" t="e">
        <f t="shared" ref="C80:M80" si="10">C28-C59</f>
        <v>#REF!</v>
      </c>
      <c r="D80" s="1255">
        <f t="shared" si="10"/>
        <v>0</v>
      </c>
      <c r="E80" s="1255">
        <f t="shared" si="10"/>
        <v>0</v>
      </c>
      <c r="F80" s="783" t="e">
        <f t="shared" si="10"/>
        <v>#REF!</v>
      </c>
      <c r="G80" s="1255" t="e">
        <f t="shared" si="10"/>
        <v>#REF!</v>
      </c>
      <c r="H80" s="1255">
        <f t="shared" si="10"/>
        <v>0</v>
      </c>
      <c r="I80" s="1255" t="e">
        <f t="shared" si="10"/>
        <v>#REF!</v>
      </c>
      <c r="J80" s="1255">
        <f t="shared" si="10"/>
        <v>0</v>
      </c>
      <c r="K80" s="1255" t="e">
        <f t="shared" si="10"/>
        <v>#REF!</v>
      </c>
      <c r="L80" s="1255">
        <f t="shared" si="10"/>
        <v>0</v>
      </c>
      <c r="M80" s="1255" t="e">
        <f t="shared" si="10"/>
        <v>#REF!</v>
      </c>
      <c r="O80" s="792"/>
      <c r="P80" s="792"/>
      <c r="Q80" s="792"/>
      <c r="S80" s="283"/>
      <c r="V80" s="283"/>
    </row>
    <row r="81" spans="3:17" ht="15.75">
      <c r="C81" s="283"/>
      <c r="M81" s="981"/>
      <c r="O81" s="792"/>
      <c r="P81" s="792"/>
      <c r="Q81" s="792"/>
    </row>
    <row r="82" spans="3:17" ht="15.75">
      <c r="C82" s="283"/>
      <c r="M82" s="981"/>
      <c r="O82" s="792"/>
      <c r="P82" s="792"/>
      <c r="Q82" s="792"/>
    </row>
    <row r="83" spans="3:17">
      <c r="O83" s="283"/>
      <c r="P83" s="283"/>
      <c r="Q83" s="283"/>
    </row>
    <row r="84" spans="3:17">
      <c r="O84" s="283"/>
      <c r="P84" s="283"/>
      <c r="Q84" s="283"/>
    </row>
  </sheetData>
  <mergeCells count="2">
    <mergeCell ref="B1:K1"/>
    <mergeCell ref="B3:M3"/>
  </mergeCells>
  <printOptions horizontalCentered="1"/>
  <pageMargins left="0.5" right="0.5" top="0.5" bottom="0.5" header="0.5" footer="0.5"/>
  <pageSetup scale="81"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pageSetUpPr fitToPage="1"/>
  </sheetPr>
  <dimension ref="A1:T307"/>
  <sheetViews>
    <sheetView showGridLines="0" zoomScaleNormal="100" workbookViewId="0">
      <selection activeCell="P30" sqref="P30"/>
    </sheetView>
  </sheetViews>
  <sheetFormatPr defaultRowHeight="15.75"/>
  <cols>
    <col min="1" max="1" width="46" style="356" bestFit="1" customWidth="1"/>
    <col min="2" max="2" width="2.85546875" style="356" customWidth="1"/>
    <col min="3" max="3" width="2.140625" style="356" bestFit="1" customWidth="1"/>
    <col min="4" max="4" width="17.5703125" style="356" bestFit="1" customWidth="1"/>
    <col min="5" max="6" width="15.28515625" style="356" bestFit="1" customWidth="1"/>
    <col min="7" max="7" width="15.7109375" style="356" bestFit="1" customWidth="1"/>
    <col min="8" max="8" width="0.85546875" style="356" customWidth="1"/>
    <col min="9" max="9" width="10.28515625" style="356" customWidth="1"/>
    <col min="10" max="10" width="0.7109375" style="356" customWidth="1"/>
    <col min="11" max="11" width="2.5703125" style="356" customWidth="1"/>
    <col min="12" max="12" width="0.5703125" style="356" customWidth="1"/>
    <col min="13" max="13" width="11.28515625" style="356" customWidth="1"/>
    <col min="14" max="14" width="0.5703125" style="356" customWidth="1"/>
    <col min="15" max="15" width="0.7109375" style="356" customWidth="1"/>
    <col min="16" max="16" width="36.85546875" style="356" bestFit="1" customWidth="1"/>
    <col min="17" max="17" width="13.5703125" style="380" bestFit="1" customWidth="1"/>
    <col min="18" max="18" width="13.7109375" style="356" bestFit="1" customWidth="1"/>
    <col min="19" max="19" width="25.7109375" style="356" bestFit="1" customWidth="1"/>
    <col min="20" max="20" width="17.7109375" style="356" bestFit="1" customWidth="1"/>
    <col min="21" max="247" width="9.140625" style="356"/>
    <col min="248" max="248" width="39.7109375" style="356" bestFit="1" customWidth="1"/>
    <col min="249" max="249" width="5.140625" style="356" customWidth="1"/>
    <col min="250" max="250" width="2.140625" style="356" bestFit="1" customWidth="1"/>
    <col min="251" max="251" width="17.42578125" style="356" bestFit="1" customWidth="1"/>
    <col min="252" max="252" width="1.28515625" style="356" customWidth="1"/>
    <col min="253" max="253" width="13.28515625" style="356" bestFit="1" customWidth="1"/>
    <col min="254" max="254" width="1.140625" style="356" customWidth="1"/>
    <col min="255" max="255" width="13.5703125" style="356" bestFit="1" customWidth="1"/>
    <col min="256" max="256" width="0.7109375" style="356" customWidth="1"/>
    <col min="257" max="257" width="0.85546875" style="356" customWidth="1"/>
    <col min="258" max="258" width="10.28515625" style="356" customWidth="1"/>
    <col min="259" max="259" width="0.7109375" style="356" customWidth="1"/>
    <col min="260" max="260" width="2.5703125" style="356" customWidth="1"/>
    <col min="261" max="261" width="0.5703125" style="356" customWidth="1"/>
    <col min="262" max="262" width="11.28515625" style="356" customWidth="1"/>
    <col min="263" max="263" width="0.5703125" style="356" customWidth="1"/>
    <col min="264" max="264" width="11.28515625" style="356" customWidth="1"/>
    <col min="265" max="265" width="0.85546875" style="356" customWidth="1"/>
    <col min="266" max="266" width="10.28515625" style="356" customWidth="1"/>
    <col min="267" max="267" width="0.85546875" style="356" customWidth="1"/>
    <col min="268" max="268" width="11.28515625" style="356" customWidth="1"/>
    <col min="269" max="269" width="0.7109375" style="356" customWidth="1"/>
    <col min="270" max="270" width="10.28515625" style="356" customWidth="1"/>
    <col min="271" max="271" width="0.7109375" style="356" customWidth="1"/>
    <col min="272" max="272" width="12.28515625" style="356" customWidth="1"/>
    <col min="273" max="503" width="9.140625" style="356"/>
    <col min="504" max="504" width="39.7109375" style="356" bestFit="1" customWidth="1"/>
    <col min="505" max="505" width="5.140625" style="356" customWidth="1"/>
    <col min="506" max="506" width="2.140625" style="356" bestFit="1" customWidth="1"/>
    <col min="507" max="507" width="17.42578125" style="356" bestFit="1" customWidth="1"/>
    <col min="508" max="508" width="1.28515625" style="356" customWidth="1"/>
    <col min="509" max="509" width="13.28515625" style="356" bestFit="1" customWidth="1"/>
    <col min="510" max="510" width="1.140625" style="356" customWidth="1"/>
    <col min="511" max="511" width="13.5703125" style="356" bestFit="1" customWidth="1"/>
    <col min="512" max="512" width="0.7109375" style="356" customWidth="1"/>
    <col min="513" max="513" width="0.85546875" style="356" customWidth="1"/>
    <col min="514" max="514" width="10.28515625" style="356" customWidth="1"/>
    <col min="515" max="515" width="0.7109375" style="356" customWidth="1"/>
    <col min="516" max="516" width="2.5703125" style="356" customWidth="1"/>
    <col min="517" max="517" width="0.5703125" style="356" customWidth="1"/>
    <col min="518" max="518" width="11.28515625" style="356" customWidth="1"/>
    <col min="519" max="519" width="0.5703125" style="356" customWidth="1"/>
    <col min="520" max="520" width="11.28515625" style="356" customWidth="1"/>
    <col min="521" max="521" width="0.85546875" style="356" customWidth="1"/>
    <col min="522" max="522" width="10.28515625" style="356" customWidth="1"/>
    <col min="523" max="523" width="0.85546875" style="356" customWidth="1"/>
    <col min="524" max="524" width="11.28515625" style="356" customWidth="1"/>
    <col min="525" max="525" width="0.7109375" style="356" customWidth="1"/>
    <col min="526" max="526" width="10.28515625" style="356" customWidth="1"/>
    <col min="527" max="527" width="0.7109375" style="356" customWidth="1"/>
    <col min="528" max="528" width="12.28515625" style="356" customWidth="1"/>
    <col min="529" max="759" width="9.140625" style="356"/>
    <col min="760" max="760" width="39.7109375" style="356" bestFit="1" customWidth="1"/>
    <col min="761" max="761" width="5.140625" style="356" customWidth="1"/>
    <col min="762" max="762" width="2.140625" style="356" bestFit="1" customWidth="1"/>
    <col min="763" max="763" width="17.42578125" style="356" bestFit="1" customWidth="1"/>
    <col min="764" max="764" width="1.28515625" style="356" customWidth="1"/>
    <col min="765" max="765" width="13.28515625" style="356" bestFit="1" customWidth="1"/>
    <col min="766" max="766" width="1.140625" style="356" customWidth="1"/>
    <col min="767" max="767" width="13.5703125" style="356" bestFit="1" customWidth="1"/>
    <col min="768" max="768" width="0.7109375" style="356" customWidth="1"/>
    <col min="769" max="769" width="0.85546875" style="356" customWidth="1"/>
    <col min="770" max="770" width="10.28515625" style="356" customWidth="1"/>
    <col min="771" max="771" width="0.7109375" style="356" customWidth="1"/>
    <col min="772" max="772" width="2.5703125" style="356" customWidth="1"/>
    <col min="773" max="773" width="0.5703125" style="356" customWidth="1"/>
    <col min="774" max="774" width="11.28515625" style="356" customWidth="1"/>
    <col min="775" max="775" width="0.5703125" style="356" customWidth="1"/>
    <col min="776" max="776" width="11.28515625" style="356" customWidth="1"/>
    <col min="777" max="777" width="0.85546875" style="356" customWidth="1"/>
    <col min="778" max="778" width="10.28515625" style="356" customWidth="1"/>
    <col min="779" max="779" width="0.85546875" style="356" customWidth="1"/>
    <col min="780" max="780" width="11.28515625" style="356" customWidth="1"/>
    <col min="781" max="781" width="0.7109375" style="356" customWidth="1"/>
    <col min="782" max="782" width="10.28515625" style="356" customWidth="1"/>
    <col min="783" max="783" width="0.7109375" style="356" customWidth="1"/>
    <col min="784" max="784" width="12.28515625" style="356" customWidth="1"/>
    <col min="785" max="1015" width="9.140625" style="356"/>
    <col min="1016" max="1016" width="39.7109375" style="356" bestFit="1" customWidth="1"/>
    <col min="1017" max="1017" width="5.140625" style="356" customWidth="1"/>
    <col min="1018" max="1018" width="2.140625" style="356" bestFit="1" customWidth="1"/>
    <col min="1019" max="1019" width="17.42578125" style="356" bestFit="1" customWidth="1"/>
    <col min="1020" max="1020" width="1.28515625" style="356" customWidth="1"/>
    <col min="1021" max="1021" width="13.28515625" style="356" bestFit="1" customWidth="1"/>
    <col min="1022" max="1022" width="1.140625" style="356" customWidth="1"/>
    <col min="1023" max="1023" width="13.5703125" style="356" bestFit="1" customWidth="1"/>
    <col min="1024" max="1024" width="0.7109375" style="356" customWidth="1"/>
    <col min="1025" max="1025" width="0.85546875" style="356" customWidth="1"/>
    <col min="1026" max="1026" width="10.28515625" style="356" customWidth="1"/>
    <col min="1027" max="1027" width="0.7109375" style="356" customWidth="1"/>
    <col min="1028" max="1028" width="2.5703125" style="356" customWidth="1"/>
    <col min="1029" max="1029" width="0.5703125" style="356" customWidth="1"/>
    <col min="1030" max="1030" width="11.28515625" style="356" customWidth="1"/>
    <col min="1031" max="1031" width="0.5703125" style="356" customWidth="1"/>
    <col min="1032" max="1032" width="11.28515625" style="356" customWidth="1"/>
    <col min="1033" max="1033" width="0.85546875" style="356" customWidth="1"/>
    <col min="1034" max="1034" width="10.28515625" style="356" customWidth="1"/>
    <col min="1035" max="1035" width="0.85546875" style="356" customWidth="1"/>
    <col min="1036" max="1036" width="11.28515625" style="356" customWidth="1"/>
    <col min="1037" max="1037" width="0.7109375" style="356" customWidth="1"/>
    <col min="1038" max="1038" width="10.28515625" style="356" customWidth="1"/>
    <col min="1039" max="1039" width="0.7109375" style="356" customWidth="1"/>
    <col min="1040" max="1040" width="12.28515625" style="356" customWidth="1"/>
    <col min="1041" max="1271" width="9.140625" style="356"/>
    <col min="1272" max="1272" width="39.7109375" style="356" bestFit="1" customWidth="1"/>
    <col min="1273" max="1273" width="5.140625" style="356" customWidth="1"/>
    <col min="1274" max="1274" width="2.140625" style="356" bestFit="1" customWidth="1"/>
    <col min="1275" max="1275" width="17.42578125" style="356" bestFit="1" customWidth="1"/>
    <col min="1276" max="1276" width="1.28515625" style="356" customWidth="1"/>
    <col min="1277" max="1277" width="13.28515625" style="356" bestFit="1" customWidth="1"/>
    <col min="1278" max="1278" width="1.140625" style="356" customWidth="1"/>
    <col min="1279" max="1279" width="13.5703125" style="356" bestFit="1" customWidth="1"/>
    <col min="1280" max="1280" width="0.7109375" style="356" customWidth="1"/>
    <col min="1281" max="1281" width="0.85546875" style="356" customWidth="1"/>
    <col min="1282" max="1282" width="10.28515625" style="356" customWidth="1"/>
    <col min="1283" max="1283" width="0.7109375" style="356" customWidth="1"/>
    <col min="1284" max="1284" width="2.5703125" style="356" customWidth="1"/>
    <col min="1285" max="1285" width="0.5703125" style="356" customWidth="1"/>
    <col min="1286" max="1286" width="11.28515625" style="356" customWidth="1"/>
    <col min="1287" max="1287" width="0.5703125" style="356" customWidth="1"/>
    <col min="1288" max="1288" width="11.28515625" style="356" customWidth="1"/>
    <col min="1289" max="1289" width="0.85546875" style="356" customWidth="1"/>
    <col min="1290" max="1290" width="10.28515625" style="356" customWidth="1"/>
    <col min="1291" max="1291" width="0.85546875" style="356" customWidth="1"/>
    <col min="1292" max="1292" width="11.28515625" style="356" customWidth="1"/>
    <col min="1293" max="1293" width="0.7109375" style="356" customWidth="1"/>
    <col min="1294" max="1294" width="10.28515625" style="356" customWidth="1"/>
    <col min="1295" max="1295" width="0.7109375" style="356" customWidth="1"/>
    <col min="1296" max="1296" width="12.28515625" style="356" customWidth="1"/>
    <col min="1297" max="1527" width="9.140625" style="356"/>
    <col min="1528" max="1528" width="39.7109375" style="356" bestFit="1" customWidth="1"/>
    <col min="1529" max="1529" width="5.140625" style="356" customWidth="1"/>
    <col min="1530" max="1530" width="2.140625" style="356" bestFit="1" customWidth="1"/>
    <col min="1531" max="1531" width="17.42578125" style="356" bestFit="1" customWidth="1"/>
    <col min="1532" max="1532" width="1.28515625" style="356" customWidth="1"/>
    <col min="1533" max="1533" width="13.28515625" style="356" bestFit="1" customWidth="1"/>
    <col min="1534" max="1534" width="1.140625" style="356" customWidth="1"/>
    <col min="1535" max="1535" width="13.5703125" style="356" bestFit="1" customWidth="1"/>
    <col min="1536" max="1536" width="0.7109375" style="356" customWidth="1"/>
    <col min="1537" max="1537" width="0.85546875" style="356" customWidth="1"/>
    <col min="1538" max="1538" width="10.28515625" style="356" customWidth="1"/>
    <col min="1539" max="1539" width="0.7109375" style="356" customWidth="1"/>
    <col min="1540" max="1540" width="2.5703125" style="356" customWidth="1"/>
    <col min="1541" max="1541" width="0.5703125" style="356" customWidth="1"/>
    <col min="1542" max="1542" width="11.28515625" style="356" customWidth="1"/>
    <col min="1543" max="1543" width="0.5703125" style="356" customWidth="1"/>
    <col min="1544" max="1544" width="11.28515625" style="356" customWidth="1"/>
    <col min="1545" max="1545" width="0.85546875" style="356" customWidth="1"/>
    <col min="1546" max="1546" width="10.28515625" style="356" customWidth="1"/>
    <col min="1547" max="1547" width="0.85546875" style="356" customWidth="1"/>
    <col min="1548" max="1548" width="11.28515625" style="356" customWidth="1"/>
    <col min="1549" max="1549" width="0.7109375" style="356" customWidth="1"/>
    <col min="1550" max="1550" width="10.28515625" style="356" customWidth="1"/>
    <col min="1551" max="1551" width="0.7109375" style="356" customWidth="1"/>
    <col min="1552" max="1552" width="12.28515625" style="356" customWidth="1"/>
    <col min="1553" max="1783" width="9.140625" style="356"/>
    <col min="1784" max="1784" width="39.7109375" style="356" bestFit="1" customWidth="1"/>
    <col min="1785" max="1785" width="5.140625" style="356" customWidth="1"/>
    <col min="1786" max="1786" width="2.140625" style="356" bestFit="1" customWidth="1"/>
    <col min="1787" max="1787" width="17.42578125" style="356" bestFit="1" customWidth="1"/>
    <col min="1788" max="1788" width="1.28515625" style="356" customWidth="1"/>
    <col min="1789" max="1789" width="13.28515625" style="356" bestFit="1" customWidth="1"/>
    <col min="1790" max="1790" width="1.140625" style="356" customWidth="1"/>
    <col min="1791" max="1791" width="13.5703125" style="356" bestFit="1" customWidth="1"/>
    <col min="1792" max="1792" width="0.7109375" style="356" customWidth="1"/>
    <col min="1793" max="1793" width="0.85546875" style="356" customWidth="1"/>
    <col min="1794" max="1794" width="10.28515625" style="356" customWidth="1"/>
    <col min="1795" max="1795" width="0.7109375" style="356" customWidth="1"/>
    <col min="1796" max="1796" width="2.5703125" style="356" customWidth="1"/>
    <col min="1797" max="1797" width="0.5703125" style="356" customWidth="1"/>
    <col min="1798" max="1798" width="11.28515625" style="356" customWidth="1"/>
    <col min="1799" max="1799" width="0.5703125" style="356" customWidth="1"/>
    <col min="1800" max="1800" width="11.28515625" style="356" customWidth="1"/>
    <col min="1801" max="1801" width="0.85546875" style="356" customWidth="1"/>
    <col min="1802" max="1802" width="10.28515625" style="356" customWidth="1"/>
    <col min="1803" max="1803" width="0.85546875" style="356" customWidth="1"/>
    <col min="1804" max="1804" width="11.28515625" style="356" customWidth="1"/>
    <col min="1805" max="1805" width="0.7109375" style="356" customWidth="1"/>
    <col min="1806" max="1806" width="10.28515625" style="356" customWidth="1"/>
    <col min="1807" max="1807" width="0.7109375" style="356" customWidth="1"/>
    <col min="1808" max="1808" width="12.28515625" style="356" customWidth="1"/>
    <col min="1809" max="2039" width="9.140625" style="356"/>
    <col min="2040" max="2040" width="39.7109375" style="356" bestFit="1" customWidth="1"/>
    <col min="2041" max="2041" width="5.140625" style="356" customWidth="1"/>
    <col min="2042" max="2042" width="2.140625" style="356" bestFit="1" customWidth="1"/>
    <col min="2043" max="2043" width="17.42578125" style="356" bestFit="1" customWidth="1"/>
    <col min="2044" max="2044" width="1.28515625" style="356" customWidth="1"/>
    <col min="2045" max="2045" width="13.28515625" style="356" bestFit="1" customWidth="1"/>
    <col min="2046" max="2046" width="1.140625" style="356" customWidth="1"/>
    <col min="2047" max="2047" width="13.5703125" style="356" bestFit="1" customWidth="1"/>
    <col min="2048" max="2048" width="0.7109375" style="356" customWidth="1"/>
    <col min="2049" max="2049" width="0.85546875" style="356" customWidth="1"/>
    <col min="2050" max="2050" width="10.28515625" style="356" customWidth="1"/>
    <col min="2051" max="2051" width="0.7109375" style="356" customWidth="1"/>
    <col min="2052" max="2052" width="2.5703125" style="356" customWidth="1"/>
    <col min="2053" max="2053" width="0.5703125" style="356" customWidth="1"/>
    <col min="2054" max="2054" width="11.28515625" style="356" customWidth="1"/>
    <col min="2055" max="2055" width="0.5703125" style="356" customWidth="1"/>
    <col min="2056" max="2056" width="11.28515625" style="356" customWidth="1"/>
    <col min="2057" max="2057" width="0.85546875" style="356" customWidth="1"/>
    <col min="2058" max="2058" width="10.28515625" style="356" customWidth="1"/>
    <col min="2059" max="2059" width="0.85546875" style="356" customWidth="1"/>
    <col min="2060" max="2060" width="11.28515625" style="356" customWidth="1"/>
    <col min="2061" max="2061" width="0.7109375" style="356" customWidth="1"/>
    <col min="2062" max="2062" width="10.28515625" style="356" customWidth="1"/>
    <col min="2063" max="2063" width="0.7109375" style="356" customWidth="1"/>
    <col min="2064" max="2064" width="12.28515625" style="356" customWidth="1"/>
    <col min="2065" max="2295" width="9.140625" style="356"/>
    <col min="2296" max="2296" width="39.7109375" style="356" bestFit="1" customWidth="1"/>
    <col min="2297" max="2297" width="5.140625" style="356" customWidth="1"/>
    <col min="2298" max="2298" width="2.140625" style="356" bestFit="1" customWidth="1"/>
    <col min="2299" max="2299" width="17.42578125" style="356" bestFit="1" customWidth="1"/>
    <col min="2300" max="2300" width="1.28515625" style="356" customWidth="1"/>
    <col min="2301" max="2301" width="13.28515625" style="356" bestFit="1" customWidth="1"/>
    <col min="2302" max="2302" width="1.140625" style="356" customWidth="1"/>
    <col min="2303" max="2303" width="13.5703125" style="356" bestFit="1" customWidth="1"/>
    <col min="2304" max="2304" width="0.7109375" style="356" customWidth="1"/>
    <col min="2305" max="2305" width="0.85546875" style="356" customWidth="1"/>
    <col min="2306" max="2306" width="10.28515625" style="356" customWidth="1"/>
    <col min="2307" max="2307" width="0.7109375" style="356" customWidth="1"/>
    <col min="2308" max="2308" width="2.5703125" style="356" customWidth="1"/>
    <col min="2309" max="2309" width="0.5703125" style="356" customWidth="1"/>
    <col min="2310" max="2310" width="11.28515625" style="356" customWidth="1"/>
    <col min="2311" max="2311" width="0.5703125" style="356" customWidth="1"/>
    <col min="2312" max="2312" width="11.28515625" style="356" customWidth="1"/>
    <col min="2313" max="2313" width="0.85546875" style="356" customWidth="1"/>
    <col min="2314" max="2314" width="10.28515625" style="356" customWidth="1"/>
    <col min="2315" max="2315" width="0.85546875" style="356" customWidth="1"/>
    <col min="2316" max="2316" width="11.28515625" style="356" customWidth="1"/>
    <col min="2317" max="2317" width="0.7109375" style="356" customWidth="1"/>
    <col min="2318" max="2318" width="10.28515625" style="356" customWidth="1"/>
    <col min="2319" max="2319" width="0.7109375" style="356" customWidth="1"/>
    <col min="2320" max="2320" width="12.28515625" style="356" customWidth="1"/>
    <col min="2321" max="2551" width="9.140625" style="356"/>
    <col min="2552" max="2552" width="39.7109375" style="356" bestFit="1" customWidth="1"/>
    <col min="2553" max="2553" width="5.140625" style="356" customWidth="1"/>
    <col min="2554" max="2554" width="2.140625" style="356" bestFit="1" customWidth="1"/>
    <col min="2555" max="2555" width="17.42578125" style="356" bestFit="1" customWidth="1"/>
    <col min="2556" max="2556" width="1.28515625" style="356" customWidth="1"/>
    <col min="2557" max="2557" width="13.28515625" style="356" bestFit="1" customWidth="1"/>
    <col min="2558" max="2558" width="1.140625" style="356" customWidth="1"/>
    <col min="2559" max="2559" width="13.5703125" style="356" bestFit="1" customWidth="1"/>
    <col min="2560" max="2560" width="0.7109375" style="356" customWidth="1"/>
    <col min="2561" max="2561" width="0.85546875" style="356" customWidth="1"/>
    <col min="2562" max="2562" width="10.28515625" style="356" customWidth="1"/>
    <col min="2563" max="2563" width="0.7109375" style="356" customWidth="1"/>
    <col min="2564" max="2564" width="2.5703125" style="356" customWidth="1"/>
    <col min="2565" max="2565" width="0.5703125" style="356" customWidth="1"/>
    <col min="2566" max="2566" width="11.28515625" style="356" customWidth="1"/>
    <col min="2567" max="2567" width="0.5703125" style="356" customWidth="1"/>
    <col min="2568" max="2568" width="11.28515625" style="356" customWidth="1"/>
    <col min="2569" max="2569" width="0.85546875" style="356" customWidth="1"/>
    <col min="2570" max="2570" width="10.28515625" style="356" customWidth="1"/>
    <col min="2571" max="2571" width="0.85546875" style="356" customWidth="1"/>
    <col min="2572" max="2572" width="11.28515625" style="356" customWidth="1"/>
    <col min="2573" max="2573" width="0.7109375" style="356" customWidth="1"/>
    <col min="2574" max="2574" width="10.28515625" style="356" customWidth="1"/>
    <col min="2575" max="2575" width="0.7109375" style="356" customWidth="1"/>
    <col min="2576" max="2576" width="12.28515625" style="356" customWidth="1"/>
    <col min="2577" max="2807" width="9.140625" style="356"/>
    <col min="2808" max="2808" width="39.7109375" style="356" bestFit="1" customWidth="1"/>
    <col min="2809" max="2809" width="5.140625" style="356" customWidth="1"/>
    <col min="2810" max="2810" width="2.140625" style="356" bestFit="1" customWidth="1"/>
    <col min="2811" max="2811" width="17.42578125" style="356" bestFit="1" customWidth="1"/>
    <col min="2812" max="2812" width="1.28515625" style="356" customWidth="1"/>
    <col min="2813" max="2813" width="13.28515625" style="356" bestFit="1" customWidth="1"/>
    <col min="2814" max="2814" width="1.140625" style="356" customWidth="1"/>
    <col min="2815" max="2815" width="13.5703125" style="356" bestFit="1" customWidth="1"/>
    <col min="2816" max="2816" width="0.7109375" style="356" customWidth="1"/>
    <col min="2817" max="2817" width="0.85546875" style="356" customWidth="1"/>
    <col min="2818" max="2818" width="10.28515625" style="356" customWidth="1"/>
    <col min="2819" max="2819" width="0.7109375" style="356" customWidth="1"/>
    <col min="2820" max="2820" width="2.5703125" style="356" customWidth="1"/>
    <col min="2821" max="2821" width="0.5703125" style="356" customWidth="1"/>
    <col min="2822" max="2822" width="11.28515625" style="356" customWidth="1"/>
    <col min="2823" max="2823" width="0.5703125" style="356" customWidth="1"/>
    <col min="2824" max="2824" width="11.28515625" style="356" customWidth="1"/>
    <col min="2825" max="2825" width="0.85546875" style="356" customWidth="1"/>
    <col min="2826" max="2826" width="10.28515625" style="356" customWidth="1"/>
    <col min="2827" max="2827" width="0.85546875" style="356" customWidth="1"/>
    <col min="2828" max="2828" width="11.28515625" style="356" customWidth="1"/>
    <col min="2829" max="2829" width="0.7109375" style="356" customWidth="1"/>
    <col min="2830" max="2830" width="10.28515625" style="356" customWidth="1"/>
    <col min="2831" max="2831" width="0.7109375" style="356" customWidth="1"/>
    <col min="2832" max="2832" width="12.28515625" style="356" customWidth="1"/>
    <col min="2833" max="3063" width="9.140625" style="356"/>
    <col min="3064" max="3064" width="39.7109375" style="356" bestFit="1" customWidth="1"/>
    <col min="3065" max="3065" width="5.140625" style="356" customWidth="1"/>
    <col min="3066" max="3066" width="2.140625" style="356" bestFit="1" customWidth="1"/>
    <col min="3067" max="3067" width="17.42578125" style="356" bestFit="1" customWidth="1"/>
    <col min="3068" max="3068" width="1.28515625" style="356" customWidth="1"/>
    <col min="3069" max="3069" width="13.28515625" style="356" bestFit="1" customWidth="1"/>
    <col min="3070" max="3070" width="1.140625" style="356" customWidth="1"/>
    <col min="3071" max="3071" width="13.5703125" style="356" bestFit="1" customWidth="1"/>
    <col min="3072" max="3072" width="0.7109375" style="356" customWidth="1"/>
    <col min="3073" max="3073" width="0.85546875" style="356" customWidth="1"/>
    <col min="3074" max="3074" width="10.28515625" style="356" customWidth="1"/>
    <col min="3075" max="3075" width="0.7109375" style="356" customWidth="1"/>
    <col min="3076" max="3076" width="2.5703125" style="356" customWidth="1"/>
    <col min="3077" max="3077" width="0.5703125" style="356" customWidth="1"/>
    <col min="3078" max="3078" width="11.28515625" style="356" customWidth="1"/>
    <col min="3079" max="3079" width="0.5703125" style="356" customWidth="1"/>
    <col min="3080" max="3080" width="11.28515625" style="356" customWidth="1"/>
    <col min="3081" max="3081" width="0.85546875" style="356" customWidth="1"/>
    <col min="3082" max="3082" width="10.28515625" style="356" customWidth="1"/>
    <col min="3083" max="3083" width="0.85546875" style="356" customWidth="1"/>
    <col min="3084" max="3084" width="11.28515625" style="356" customWidth="1"/>
    <col min="3085" max="3085" width="0.7109375" style="356" customWidth="1"/>
    <col min="3086" max="3086" width="10.28515625" style="356" customWidth="1"/>
    <col min="3087" max="3087" width="0.7109375" style="356" customWidth="1"/>
    <col min="3088" max="3088" width="12.28515625" style="356" customWidth="1"/>
    <col min="3089" max="3319" width="9.140625" style="356"/>
    <col min="3320" max="3320" width="39.7109375" style="356" bestFit="1" customWidth="1"/>
    <col min="3321" max="3321" width="5.140625" style="356" customWidth="1"/>
    <col min="3322" max="3322" width="2.140625" style="356" bestFit="1" customWidth="1"/>
    <col min="3323" max="3323" width="17.42578125" style="356" bestFit="1" customWidth="1"/>
    <col min="3324" max="3324" width="1.28515625" style="356" customWidth="1"/>
    <col min="3325" max="3325" width="13.28515625" style="356" bestFit="1" customWidth="1"/>
    <col min="3326" max="3326" width="1.140625" style="356" customWidth="1"/>
    <col min="3327" max="3327" width="13.5703125" style="356" bestFit="1" customWidth="1"/>
    <col min="3328" max="3328" width="0.7109375" style="356" customWidth="1"/>
    <col min="3329" max="3329" width="0.85546875" style="356" customWidth="1"/>
    <col min="3330" max="3330" width="10.28515625" style="356" customWidth="1"/>
    <col min="3331" max="3331" width="0.7109375" style="356" customWidth="1"/>
    <col min="3332" max="3332" width="2.5703125" style="356" customWidth="1"/>
    <col min="3333" max="3333" width="0.5703125" style="356" customWidth="1"/>
    <col min="3334" max="3334" width="11.28515625" style="356" customWidth="1"/>
    <col min="3335" max="3335" width="0.5703125" style="356" customWidth="1"/>
    <col min="3336" max="3336" width="11.28515625" style="356" customWidth="1"/>
    <col min="3337" max="3337" width="0.85546875" style="356" customWidth="1"/>
    <col min="3338" max="3338" width="10.28515625" style="356" customWidth="1"/>
    <col min="3339" max="3339" width="0.85546875" style="356" customWidth="1"/>
    <col min="3340" max="3340" width="11.28515625" style="356" customWidth="1"/>
    <col min="3341" max="3341" width="0.7109375" style="356" customWidth="1"/>
    <col min="3342" max="3342" width="10.28515625" style="356" customWidth="1"/>
    <col min="3343" max="3343" width="0.7109375" style="356" customWidth="1"/>
    <col min="3344" max="3344" width="12.28515625" style="356" customWidth="1"/>
    <col min="3345" max="3575" width="9.140625" style="356"/>
    <col min="3576" max="3576" width="39.7109375" style="356" bestFit="1" customWidth="1"/>
    <col min="3577" max="3577" width="5.140625" style="356" customWidth="1"/>
    <col min="3578" max="3578" width="2.140625" style="356" bestFit="1" customWidth="1"/>
    <col min="3579" max="3579" width="17.42578125" style="356" bestFit="1" customWidth="1"/>
    <col min="3580" max="3580" width="1.28515625" style="356" customWidth="1"/>
    <col min="3581" max="3581" width="13.28515625" style="356" bestFit="1" customWidth="1"/>
    <col min="3582" max="3582" width="1.140625" style="356" customWidth="1"/>
    <col min="3583" max="3583" width="13.5703125" style="356" bestFit="1" customWidth="1"/>
    <col min="3584" max="3584" width="0.7109375" style="356" customWidth="1"/>
    <col min="3585" max="3585" width="0.85546875" style="356" customWidth="1"/>
    <col min="3586" max="3586" width="10.28515625" style="356" customWidth="1"/>
    <col min="3587" max="3587" width="0.7109375" style="356" customWidth="1"/>
    <col min="3588" max="3588" width="2.5703125" style="356" customWidth="1"/>
    <col min="3589" max="3589" width="0.5703125" style="356" customWidth="1"/>
    <col min="3590" max="3590" width="11.28515625" style="356" customWidth="1"/>
    <col min="3591" max="3591" width="0.5703125" style="356" customWidth="1"/>
    <col min="3592" max="3592" width="11.28515625" style="356" customWidth="1"/>
    <col min="3593" max="3593" width="0.85546875" style="356" customWidth="1"/>
    <col min="3594" max="3594" width="10.28515625" style="356" customWidth="1"/>
    <col min="3595" max="3595" width="0.85546875" style="356" customWidth="1"/>
    <col min="3596" max="3596" width="11.28515625" style="356" customWidth="1"/>
    <col min="3597" max="3597" width="0.7109375" style="356" customWidth="1"/>
    <col min="3598" max="3598" width="10.28515625" style="356" customWidth="1"/>
    <col min="3599" max="3599" width="0.7109375" style="356" customWidth="1"/>
    <col min="3600" max="3600" width="12.28515625" style="356" customWidth="1"/>
    <col min="3601" max="3831" width="9.140625" style="356"/>
    <col min="3832" max="3832" width="39.7109375" style="356" bestFit="1" customWidth="1"/>
    <col min="3833" max="3833" width="5.140625" style="356" customWidth="1"/>
    <col min="3834" max="3834" width="2.140625" style="356" bestFit="1" customWidth="1"/>
    <col min="3835" max="3835" width="17.42578125" style="356" bestFit="1" customWidth="1"/>
    <col min="3836" max="3836" width="1.28515625" style="356" customWidth="1"/>
    <col min="3837" max="3837" width="13.28515625" style="356" bestFit="1" customWidth="1"/>
    <col min="3838" max="3838" width="1.140625" style="356" customWidth="1"/>
    <col min="3839" max="3839" width="13.5703125" style="356" bestFit="1" customWidth="1"/>
    <col min="3840" max="3840" width="0.7109375" style="356" customWidth="1"/>
    <col min="3841" max="3841" width="0.85546875" style="356" customWidth="1"/>
    <col min="3842" max="3842" width="10.28515625" style="356" customWidth="1"/>
    <col min="3843" max="3843" width="0.7109375" style="356" customWidth="1"/>
    <col min="3844" max="3844" width="2.5703125" style="356" customWidth="1"/>
    <col min="3845" max="3845" width="0.5703125" style="356" customWidth="1"/>
    <col min="3846" max="3846" width="11.28515625" style="356" customWidth="1"/>
    <col min="3847" max="3847" width="0.5703125" style="356" customWidth="1"/>
    <col min="3848" max="3848" width="11.28515625" style="356" customWidth="1"/>
    <col min="3849" max="3849" width="0.85546875" style="356" customWidth="1"/>
    <col min="3850" max="3850" width="10.28515625" style="356" customWidth="1"/>
    <col min="3851" max="3851" width="0.85546875" style="356" customWidth="1"/>
    <col min="3852" max="3852" width="11.28515625" style="356" customWidth="1"/>
    <col min="3853" max="3853" width="0.7109375" style="356" customWidth="1"/>
    <col min="3854" max="3854" width="10.28515625" style="356" customWidth="1"/>
    <col min="3855" max="3855" width="0.7109375" style="356" customWidth="1"/>
    <col min="3856" max="3856" width="12.28515625" style="356" customWidth="1"/>
    <col min="3857" max="4087" width="9.140625" style="356"/>
    <col min="4088" max="4088" width="39.7109375" style="356" bestFit="1" customWidth="1"/>
    <col min="4089" max="4089" width="5.140625" style="356" customWidth="1"/>
    <col min="4090" max="4090" width="2.140625" style="356" bestFit="1" customWidth="1"/>
    <col min="4091" max="4091" width="17.42578125" style="356" bestFit="1" customWidth="1"/>
    <col min="4092" max="4092" width="1.28515625" style="356" customWidth="1"/>
    <col min="4093" max="4093" width="13.28515625" style="356" bestFit="1" customWidth="1"/>
    <col min="4094" max="4094" width="1.140625" style="356" customWidth="1"/>
    <col min="4095" max="4095" width="13.5703125" style="356" bestFit="1" customWidth="1"/>
    <col min="4096" max="4096" width="0.7109375" style="356" customWidth="1"/>
    <col min="4097" max="4097" width="0.85546875" style="356" customWidth="1"/>
    <col min="4098" max="4098" width="10.28515625" style="356" customWidth="1"/>
    <col min="4099" max="4099" width="0.7109375" style="356" customWidth="1"/>
    <col min="4100" max="4100" width="2.5703125" style="356" customWidth="1"/>
    <col min="4101" max="4101" width="0.5703125" style="356" customWidth="1"/>
    <col min="4102" max="4102" width="11.28515625" style="356" customWidth="1"/>
    <col min="4103" max="4103" width="0.5703125" style="356" customWidth="1"/>
    <col min="4104" max="4104" width="11.28515625" style="356" customWidth="1"/>
    <col min="4105" max="4105" width="0.85546875" style="356" customWidth="1"/>
    <col min="4106" max="4106" width="10.28515625" style="356" customWidth="1"/>
    <col min="4107" max="4107" width="0.85546875" style="356" customWidth="1"/>
    <col min="4108" max="4108" width="11.28515625" style="356" customWidth="1"/>
    <col min="4109" max="4109" width="0.7109375" style="356" customWidth="1"/>
    <col min="4110" max="4110" width="10.28515625" style="356" customWidth="1"/>
    <col min="4111" max="4111" width="0.7109375" style="356" customWidth="1"/>
    <col min="4112" max="4112" width="12.28515625" style="356" customWidth="1"/>
    <col min="4113" max="4343" width="9.140625" style="356"/>
    <col min="4344" max="4344" width="39.7109375" style="356" bestFit="1" customWidth="1"/>
    <col min="4345" max="4345" width="5.140625" style="356" customWidth="1"/>
    <col min="4346" max="4346" width="2.140625" style="356" bestFit="1" customWidth="1"/>
    <col min="4347" max="4347" width="17.42578125" style="356" bestFit="1" customWidth="1"/>
    <col min="4348" max="4348" width="1.28515625" style="356" customWidth="1"/>
    <col min="4349" max="4349" width="13.28515625" style="356" bestFit="1" customWidth="1"/>
    <col min="4350" max="4350" width="1.140625" style="356" customWidth="1"/>
    <col min="4351" max="4351" width="13.5703125" style="356" bestFit="1" customWidth="1"/>
    <col min="4352" max="4352" width="0.7109375" style="356" customWidth="1"/>
    <col min="4353" max="4353" width="0.85546875" style="356" customWidth="1"/>
    <col min="4354" max="4354" width="10.28515625" style="356" customWidth="1"/>
    <col min="4355" max="4355" width="0.7109375" style="356" customWidth="1"/>
    <col min="4356" max="4356" width="2.5703125" style="356" customWidth="1"/>
    <col min="4357" max="4357" width="0.5703125" style="356" customWidth="1"/>
    <col min="4358" max="4358" width="11.28515625" style="356" customWidth="1"/>
    <col min="4359" max="4359" width="0.5703125" style="356" customWidth="1"/>
    <col min="4360" max="4360" width="11.28515625" style="356" customWidth="1"/>
    <col min="4361" max="4361" width="0.85546875" style="356" customWidth="1"/>
    <col min="4362" max="4362" width="10.28515625" style="356" customWidth="1"/>
    <col min="4363" max="4363" width="0.85546875" style="356" customWidth="1"/>
    <col min="4364" max="4364" width="11.28515625" style="356" customWidth="1"/>
    <col min="4365" max="4365" width="0.7109375" style="356" customWidth="1"/>
    <col min="4366" max="4366" width="10.28515625" style="356" customWidth="1"/>
    <col min="4367" max="4367" width="0.7109375" style="356" customWidth="1"/>
    <col min="4368" max="4368" width="12.28515625" style="356" customWidth="1"/>
    <col min="4369" max="4599" width="9.140625" style="356"/>
    <col min="4600" max="4600" width="39.7109375" style="356" bestFit="1" customWidth="1"/>
    <col min="4601" max="4601" width="5.140625" style="356" customWidth="1"/>
    <col min="4602" max="4602" width="2.140625" style="356" bestFit="1" customWidth="1"/>
    <col min="4603" max="4603" width="17.42578125" style="356" bestFit="1" customWidth="1"/>
    <col min="4604" max="4604" width="1.28515625" style="356" customWidth="1"/>
    <col min="4605" max="4605" width="13.28515625" style="356" bestFit="1" customWidth="1"/>
    <col min="4606" max="4606" width="1.140625" style="356" customWidth="1"/>
    <col min="4607" max="4607" width="13.5703125" style="356" bestFit="1" customWidth="1"/>
    <col min="4608" max="4608" width="0.7109375" style="356" customWidth="1"/>
    <col min="4609" max="4609" width="0.85546875" style="356" customWidth="1"/>
    <col min="4610" max="4610" width="10.28515625" style="356" customWidth="1"/>
    <col min="4611" max="4611" width="0.7109375" style="356" customWidth="1"/>
    <col min="4612" max="4612" width="2.5703125" style="356" customWidth="1"/>
    <col min="4613" max="4613" width="0.5703125" style="356" customWidth="1"/>
    <col min="4614" max="4614" width="11.28515625" style="356" customWidth="1"/>
    <col min="4615" max="4615" width="0.5703125" style="356" customWidth="1"/>
    <col min="4616" max="4616" width="11.28515625" style="356" customWidth="1"/>
    <col min="4617" max="4617" width="0.85546875" style="356" customWidth="1"/>
    <col min="4618" max="4618" width="10.28515625" style="356" customWidth="1"/>
    <col min="4619" max="4619" width="0.85546875" style="356" customWidth="1"/>
    <col min="4620" max="4620" width="11.28515625" style="356" customWidth="1"/>
    <col min="4621" max="4621" width="0.7109375" style="356" customWidth="1"/>
    <col min="4622" max="4622" width="10.28515625" style="356" customWidth="1"/>
    <col min="4623" max="4623" width="0.7109375" style="356" customWidth="1"/>
    <col min="4624" max="4624" width="12.28515625" style="356" customWidth="1"/>
    <col min="4625" max="4855" width="9.140625" style="356"/>
    <col min="4856" max="4856" width="39.7109375" style="356" bestFit="1" customWidth="1"/>
    <col min="4857" max="4857" width="5.140625" style="356" customWidth="1"/>
    <col min="4858" max="4858" width="2.140625" style="356" bestFit="1" customWidth="1"/>
    <col min="4859" max="4859" width="17.42578125" style="356" bestFit="1" customWidth="1"/>
    <col min="4860" max="4860" width="1.28515625" style="356" customWidth="1"/>
    <col min="4861" max="4861" width="13.28515625" style="356" bestFit="1" customWidth="1"/>
    <col min="4862" max="4862" width="1.140625" style="356" customWidth="1"/>
    <col min="4863" max="4863" width="13.5703125" style="356" bestFit="1" customWidth="1"/>
    <col min="4864" max="4864" width="0.7109375" style="356" customWidth="1"/>
    <col min="4865" max="4865" width="0.85546875" style="356" customWidth="1"/>
    <col min="4866" max="4866" width="10.28515625" style="356" customWidth="1"/>
    <col min="4867" max="4867" width="0.7109375" style="356" customWidth="1"/>
    <col min="4868" max="4868" width="2.5703125" style="356" customWidth="1"/>
    <col min="4869" max="4869" width="0.5703125" style="356" customWidth="1"/>
    <col min="4870" max="4870" width="11.28515625" style="356" customWidth="1"/>
    <col min="4871" max="4871" width="0.5703125" style="356" customWidth="1"/>
    <col min="4872" max="4872" width="11.28515625" style="356" customWidth="1"/>
    <col min="4873" max="4873" width="0.85546875" style="356" customWidth="1"/>
    <col min="4874" max="4874" width="10.28515625" style="356" customWidth="1"/>
    <col min="4875" max="4875" width="0.85546875" style="356" customWidth="1"/>
    <col min="4876" max="4876" width="11.28515625" style="356" customWidth="1"/>
    <col min="4877" max="4877" width="0.7109375" style="356" customWidth="1"/>
    <col min="4878" max="4878" width="10.28515625" style="356" customWidth="1"/>
    <col min="4879" max="4879" width="0.7109375" style="356" customWidth="1"/>
    <col min="4880" max="4880" width="12.28515625" style="356" customWidth="1"/>
    <col min="4881" max="5111" width="9.140625" style="356"/>
    <col min="5112" max="5112" width="39.7109375" style="356" bestFit="1" customWidth="1"/>
    <col min="5113" max="5113" width="5.140625" style="356" customWidth="1"/>
    <col min="5114" max="5114" width="2.140625" style="356" bestFit="1" customWidth="1"/>
    <col min="5115" max="5115" width="17.42578125" style="356" bestFit="1" customWidth="1"/>
    <col min="5116" max="5116" width="1.28515625" style="356" customWidth="1"/>
    <col min="5117" max="5117" width="13.28515625" style="356" bestFit="1" customWidth="1"/>
    <col min="5118" max="5118" width="1.140625" style="356" customWidth="1"/>
    <col min="5119" max="5119" width="13.5703125" style="356" bestFit="1" customWidth="1"/>
    <col min="5120" max="5120" width="0.7109375" style="356" customWidth="1"/>
    <col min="5121" max="5121" width="0.85546875" style="356" customWidth="1"/>
    <col min="5122" max="5122" width="10.28515625" style="356" customWidth="1"/>
    <col min="5123" max="5123" width="0.7109375" style="356" customWidth="1"/>
    <col min="5124" max="5124" width="2.5703125" style="356" customWidth="1"/>
    <col min="5125" max="5125" width="0.5703125" style="356" customWidth="1"/>
    <col min="5126" max="5126" width="11.28515625" style="356" customWidth="1"/>
    <col min="5127" max="5127" width="0.5703125" style="356" customWidth="1"/>
    <col min="5128" max="5128" width="11.28515625" style="356" customWidth="1"/>
    <col min="5129" max="5129" width="0.85546875" style="356" customWidth="1"/>
    <col min="5130" max="5130" width="10.28515625" style="356" customWidth="1"/>
    <col min="5131" max="5131" width="0.85546875" style="356" customWidth="1"/>
    <col min="5132" max="5132" width="11.28515625" style="356" customWidth="1"/>
    <col min="5133" max="5133" width="0.7109375" style="356" customWidth="1"/>
    <col min="5134" max="5134" width="10.28515625" style="356" customWidth="1"/>
    <col min="5135" max="5135" width="0.7109375" style="356" customWidth="1"/>
    <col min="5136" max="5136" width="12.28515625" style="356" customWidth="1"/>
    <col min="5137" max="5367" width="9.140625" style="356"/>
    <col min="5368" max="5368" width="39.7109375" style="356" bestFit="1" customWidth="1"/>
    <col min="5369" max="5369" width="5.140625" style="356" customWidth="1"/>
    <col min="5370" max="5370" width="2.140625" style="356" bestFit="1" customWidth="1"/>
    <col min="5371" max="5371" width="17.42578125" style="356" bestFit="1" customWidth="1"/>
    <col min="5372" max="5372" width="1.28515625" style="356" customWidth="1"/>
    <col min="5373" max="5373" width="13.28515625" style="356" bestFit="1" customWidth="1"/>
    <col min="5374" max="5374" width="1.140625" style="356" customWidth="1"/>
    <col min="5375" max="5375" width="13.5703125" style="356" bestFit="1" customWidth="1"/>
    <col min="5376" max="5376" width="0.7109375" style="356" customWidth="1"/>
    <col min="5377" max="5377" width="0.85546875" style="356" customWidth="1"/>
    <col min="5378" max="5378" width="10.28515625" style="356" customWidth="1"/>
    <col min="5379" max="5379" width="0.7109375" style="356" customWidth="1"/>
    <col min="5380" max="5380" width="2.5703125" style="356" customWidth="1"/>
    <col min="5381" max="5381" width="0.5703125" style="356" customWidth="1"/>
    <col min="5382" max="5382" width="11.28515625" style="356" customWidth="1"/>
    <col min="5383" max="5383" width="0.5703125" style="356" customWidth="1"/>
    <col min="5384" max="5384" width="11.28515625" style="356" customWidth="1"/>
    <col min="5385" max="5385" width="0.85546875" style="356" customWidth="1"/>
    <col min="5386" max="5386" width="10.28515625" style="356" customWidth="1"/>
    <col min="5387" max="5387" width="0.85546875" style="356" customWidth="1"/>
    <col min="5388" max="5388" width="11.28515625" style="356" customWidth="1"/>
    <col min="5389" max="5389" width="0.7109375" style="356" customWidth="1"/>
    <col min="5390" max="5390" width="10.28515625" style="356" customWidth="1"/>
    <col min="5391" max="5391" width="0.7109375" style="356" customWidth="1"/>
    <col min="5392" max="5392" width="12.28515625" style="356" customWidth="1"/>
    <col min="5393" max="5623" width="9.140625" style="356"/>
    <col min="5624" max="5624" width="39.7109375" style="356" bestFit="1" customWidth="1"/>
    <col min="5625" max="5625" width="5.140625" style="356" customWidth="1"/>
    <col min="5626" max="5626" width="2.140625" style="356" bestFit="1" customWidth="1"/>
    <col min="5627" max="5627" width="17.42578125" style="356" bestFit="1" customWidth="1"/>
    <col min="5628" max="5628" width="1.28515625" style="356" customWidth="1"/>
    <col min="5629" max="5629" width="13.28515625" style="356" bestFit="1" customWidth="1"/>
    <col min="5630" max="5630" width="1.140625" style="356" customWidth="1"/>
    <col min="5631" max="5631" width="13.5703125" style="356" bestFit="1" customWidth="1"/>
    <col min="5632" max="5632" width="0.7109375" style="356" customWidth="1"/>
    <col min="5633" max="5633" width="0.85546875" style="356" customWidth="1"/>
    <col min="5634" max="5634" width="10.28515625" style="356" customWidth="1"/>
    <col min="5635" max="5635" width="0.7109375" style="356" customWidth="1"/>
    <col min="5636" max="5636" width="2.5703125" style="356" customWidth="1"/>
    <col min="5637" max="5637" width="0.5703125" style="356" customWidth="1"/>
    <col min="5638" max="5638" width="11.28515625" style="356" customWidth="1"/>
    <col min="5639" max="5639" width="0.5703125" style="356" customWidth="1"/>
    <col min="5640" max="5640" width="11.28515625" style="356" customWidth="1"/>
    <col min="5641" max="5641" width="0.85546875" style="356" customWidth="1"/>
    <col min="5642" max="5642" width="10.28515625" style="356" customWidth="1"/>
    <col min="5643" max="5643" width="0.85546875" style="356" customWidth="1"/>
    <col min="5644" max="5644" width="11.28515625" style="356" customWidth="1"/>
    <col min="5645" max="5645" width="0.7109375" style="356" customWidth="1"/>
    <col min="5646" max="5646" width="10.28515625" style="356" customWidth="1"/>
    <col min="5647" max="5647" width="0.7109375" style="356" customWidth="1"/>
    <col min="5648" max="5648" width="12.28515625" style="356" customWidth="1"/>
    <col min="5649" max="5879" width="9.140625" style="356"/>
    <col min="5880" max="5880" width="39.7109375" style="356" bestFit="1" customWidth="1"/>
    <col min="5881" max="5881" width="5.140625" style="356" customWidth="1"/>
    <col min="5882" max="5882" width="2.140625" style="356" bestFit="1" customWidth="1"/>
    <col min="5883" max="5883" width="17.42578125" style="356" bestFit="1" customWidth="1"/>
    <col min="5884" max="5884" width="1.28515625" style="356" customWidth="1"/>
    <col min="5885" max="5885" width="13.28515625" style="356" bestFit="1" customWidth="1"/>
    <col min="5886" max="5886" width="1.140625" style="356" customWidth="1"/>
    <col min="5887" max="5887" width="13.5703125" style="356" bestFit="1" customWidth="1"/>
    <col min="5888" max="5888" width="0.7109375" style="356" customWidth="1"/>
    <col min="5889" max="5889" width="0.85546875" style="356" customWidth="1"/>
    <col min="5890" max="5890" width="10.28515625" style="356" customWidth="1"/>
    <col min="5891" max="5891" width="0.7109375" style="356" customWidth="1"/>
    <col min="5892" max="5892" width="2.5703125" style="356" customWidth="1"/>
    <col min="5893" max="5893" width="0.5703125" style="356" customWidth="1"/>
    <col min="5894" max="5894" width="11.28515625" style="356" customWidth="1"/>
    <col min="5895" max="5895" width="0.5703125" style="356" customWidth="1"/>
    <col min="5896" max="5896" width="11.28515625" style="356" customWidth="1"/>
    <col min="5897" max="5897" width="0.85546875" style="356" customWidth="1"/>
    <col min="5898" max="5898" width="10.28515625" style="356" customWidth="1"/>
    <col min="5899" max="5899" width="0.85546875" style="356" customWidth="1"/>
    <col min="5900" max="5900" width="11.28515625" style="356" customWidth="1"/>
    <col min="5901" max="5901" width="0.7109375" style="356" customWidth="1"/>
    <col min="5902" max="5902" width="10.28515625" style="356" customWidth="1"/>
    <col min="5903" max="5903" width="0.7109375" style="356" customWidth="1"/>
    <col min="5904" max="5904" width="12.28515625" style="356" customWidth="1"/>
    <col min="5905" max="6135" width="9.140625" style="356"/>
    <col min="6136" max="6136" width="39.7109375" style="356" bestFit="1" customWidth="1"/>
    <col min="6137" max="6137" width="5.140625" style="356" customWidth="1"/>
    <col min="6138" max="6138" width="2.140625" style="356" bestFit="1" customWidth="1"/>
    <col min="6139" max="6139" width="17.42578125" style="356" bestFit="1" customWidth="1"/>
    <col min="6140" max="6140" width="1.28515625" style="356" customWidth="1"/>
    <col min="6141" max="6141" width="13.28515625" style="356" bestFit="1" customWidth="1"/>
    <col min="6142" max="6142" width="1.140625" style="356" customWidth="1"/>
    <col min="6143" max="6143" width="13.5703125" style="356" bestFit="1" customWidth="1"/>
    <col min="6144" max="6144" width="0.7109375" style="356" customWidth="1"/>
    <col min="6145" max="6145" width="0.85546875" style="356" customWidth="1"/>
    <col min="6146" max="6146" width="10.28515625" style="356" customWidth="1"/>
    <col min="6147" max="6147" width="0.7109375" style="356" customWidth="1"/>
    <col min="6148" max="6148" width="2.5703125" style="356" customWidth="1"/>
    <col min="6149" max="6149" width="0.5703125" style="356" customWidth="1"/>
    <col min="6150" max="6150" width="11.28515625" style="356" customWidth="1"/>
    <col min="6151" max="6151" width="0.5703125" style="356" customWidth="1"/>
    <col min="6152" max="6152" width="11.28515625" style="356" customWidth="1"/>
    <col min="6153" max="6153" width="0.85546875" style="356" customWidth="1"/>
    <col min="6154" max="6154" width="10.28515625" style="356" customWidth="1"/>
    <col min="6155" max="6155" width="0.85546875" style="356" customWidth="1"/>
    <col min="6156" max="6156" width="11.28515625" style="356" customWidth="1"/>
    <col min="6157" max="6157" width="0.7109375" style="356" customWidth="1"/>
    <col min="6158" max="6158" width="10.28515625" style="356" customWidth="1"/>
    <col min="6159" max="6159" width="0.7109375" style="356" customWidth="1"/>
    <col min="6160" max="6160" width="12.28515625" style="356" customWidth="1"/>
    <col min="6161" max="6391" width="9.140625" style="356"/>
    <col min="6392" max="6392" width="39.7109375" style="356" bestFit="1" customWidth="1"/>
    <col min="6393" max="6393" width="5.140625" style="356" customWidth="1"/>
    <col min="6394" max="6394" width="2.140625" style="356" bestFit="1" customWidth="1"/>
    <col min="6395" max="6395" width="17.42578125" style="356" bestFit="1" customWidth="1"/>
    <col min="6396" max="6396" width="1.28515625" style="356" customWidth="1"/>
    <col min="6397" max="6397" width="13.28515625" style="356" bestFit="1" customWidth="1"/>
    <col min="6398" max="6398" width="1.140625" style="356" customWidth="1"/>
    <col min="6399" max="6399" width="13.5703125" style="356" bestFit="1" customWidth="1"/>
    <col min="6400" max="6400" width="0.7109375" style="356" customWidth="1"/>
    <col min="6401" max="6401" width="0.85546875" style="356" customWidth="1"/>
    <col min="6402" max="6402" width="10.28515625" style="356" customWidth="1"/>
    <col min="6403" max="6403" width="0.7109375" style="356" customWidth="1"/>
    <col min="6404" max="6404" width="2.5703125" style="356" customWidth="1"/>
    <col min="6405" max="6405" width="0.5703125" style="356" customWidth="1"/>
    <col min="6406" max="6406" width="11.28515625" style="356" customWidth="1"/>
    <col min="6407" max="6407" width="0.5703125" style="356" customWidth="1"/>
    <col min="6408" max="6408" width="11.28515625" style="356" customWidth="1"/>
    <col min="6409" max="6409" width="0.85546875" style="356" customWidth="1"/>
    <col min="6410" max="6410" width="10.28515625" style="356" customWidth="1"/>
    <col min="6411" max="6411" width="0.85546875" style="356" customWidth="1"/>
    <col min="6412" max="6412" width="11.28515625" style="356" customWidth="1"/>
    <col min="6413" max="6413" width="0.7109375" style="356" customWidth="1"/>
    <col min="6414" max="6414" width="10.28515625" style="356" customWidth="1"/>
    <col min="6415" max="6415" width="0.7109375" style="356" customWidth="1"/>
    <col min="6416" max="6416" width="12.28515625" style="356" customWidth="1"/>
    <col min="6417" max="6647" width="9.140625" style="356"/>
    <col min="6648" max="6648" width="39.7109375" style="356" bestFit="1" customWidth="1"/>
    <col min="6649" max="6649" width="5.140625" style="356" customWidth="1"/>
    <col min="6650" max="6650" width="2.140625" style="356" bestFit="1" customWidth="1"/>
    <col min="6651" max="6651" width="17.42578125" style="356" bestFit="1" customWidth="1"/>
    <col min="6652" max="6652" width="1.28515625" style="356" customWidth="1"/>
    <col min="6653" max="6653" width="13.28515625" style="356" bestFit="1" customWidth="1"/>
    <col min="6654" max="6654" width="1.140625" style="356" customWidth="1"/>
    <col min="6655" max="6655" width="13.5703125" style="356" bestFit="1" customWidth="1"/>
    <col min="6656" max="6656" width="0.7109375" style="356" customWidth="1"/>
    <col min="6657" max="6657" width="0.85546875" style="356" customWidth="1"/>
    <col min="6658" max="6658" width="10.28515625" style="356" customWidth="1"/>
    <col min="6659" max="6659" width="0.7109375" style="356" customWidth="1"/>
    <col min="6660" max="6660" width="2.5703125" style="356" customWidth="1"/>
    <col min="6661" max="6661" width="0.5703125" style="356" customWidth="1"/>
    <col min="6662" max="6662" width="11.28515625" style="356" customWidth="1"/>
    <col min="6663" max="6663" width="0.5703125" style="356" customWidth="1"/>
    <col min="6664" max="6664" width="11.28515625" style="356" customWidth="1"/>
    <col min="6665" max="6665" width="0.85546875" style="356" customWidth="1"/>
    <col min="6666" max="6666" width="10.28515625" style="356" customWidth="1"/>
    <col min="6667" max="6667" width="0.85546875" style="356" customWidth="1"/>
    <col min="6668" max="6668" width="11.28515625" style="356" customWidth="1"/>
    <col min="6669" max="6669" width="0.7109375" style="356" customWidth="1"/>
    <col min="6670" max="6670" width="10.28515625" style="356" customWidth="1"/>
    <col min="6671" max="6671" width="0.7109375" style="356" customWidth="1"/>
    <col min="6672" max="6672" width="12.28515625" style="356" customWidth="1"/>
    <col min="6673" max="6903" width="9.140625" style="356"/>
    <col min="6904" max="6904" width="39.7109375" style="356" bestFit="1" customWidth="1"/>
    <col min="6905" max="6905" width="5.140625" style="356" customWidth="1"/>
    <col min="6906" max="6906" width="2.140625" style="356" bestFit="1" customWidth="1"/>
    <col min="6907" max="6907" width="17.42578125" style="356" bestFit="1" customWidth="1"/>
    <col min="6908" max="6908" width="1.28515625" style="356" customWidth="1"/>
    <col min="6909" max="6909" width="13.28515625" style="356" bestFit="1" customWidth="1"/>
    <col min="6910" max="6910" width="1.140625" style="356" customWidth="1"/>
    <col min="6911" max="6911" width="13.5703125" style="356" bestFit="1" customWidth="1"/>
    <col min="6912" max="6912" width="0.7109375" style="356" customWidth="1"/>
    <col min="6913" max="6913" width="0.85546875" style="356" customWidth="1"/>
    <col min="6914" max="6914" width="10.28515625" style="356" customWidth="1"/>
    <col min="6915" max="6915" width="0.7109375" style="356" customWidth="1"/>
    <col min="6916" max="6916" width="2.5703125" style="356" customWidth="1"/>
    <col min="6917" max="6917" width="0.5703125" style="356" customWidth="1"/>
    <col min="6918" max="6918" width="11.28515625" style="356" customWidth="1"/>
    <col min="6919" max="6919" width="0.5703125" style="356" customWidth="1"/>
    <col min="6920" max="6920" width="11.28515625" style="356" customWidth="1"/>
    <col min="6921" max="6921" width="0.85546875" style="356" customWidth="1"/>
    <col min="6922" max="6922" width="10.28515625" style="356" customWidth="1"/>
    <col min="6923" max="6923" width="0.85546875" style="356" customWidth="1"/>
    <col min="6924" max="6924" width="11.28515625" style="356" customWidth="1"/>
    <col min="6925" max="6925" width="0.7109375" style="356" customWidth="1"/>
    <col min="6926" max="6926" width="10.28515625" style="356" customWidth="1"/>
    <col min="6927" max="6927" width="0.7109375" style="356" customWidth="1"/>
    <col min="6928" max="6928" width="12.28515625" style="356" customWidth="1"/>
    <col min="6929" max="7159" width="9.140625" style="356"/>
    <col min="7160" max="7160" width="39.7109375" style="356" bestFit="1" customWidth="1"/>
    <col min="7161" max="7161" width="5.140625" style="356" customWidth="1"/>
    <col min="7162" max="7162" width="2.140625" style="356" bestFit="1" customWidth="1"/>
    <col min="7163" max="7163" width="17.42578125" style="356" bestFit="1" customWidth="1"/>
    <col min="7164" max="7164" width="1.28515625" style="356" customWidth="1"/>
    <col min="7165" max="7165" width="13.28515625" style="356" bestFit="1" customWidth="1"/>
    <col min="7166" max="7166" width="1.140625" style="356" customWidth="1"/>
    <col min="7167" max="7167" width="13.5703125" style="356" bestFit="1" customWidth="1"/>
    <col min="7168" max="7168" width="0.7109375" style="356" customWidth="1"/>
    <col min="7169" max="7169" width="0.85546875" style="356" customWidth="1"/>
    <col min="7170" max="7170" width="10.28515625" style="356" customWidth="1"/>
    <col min="7171" max="7171" width="0.7109375" style="356" customWidth="1"/>
    <col min="7172" max="7172" width="2.5703125" style="356" customWidth="1"/>
    <col min="7173" max="7173" width="0.5703125" style="356" customWidth="1"/>
    <col min="7174" max="7174" width="11.28515625" style="356" customWidth="1"/>
    <col min="7175" max="7175" width="0.5703125" style="356" customWidth="1"/>
    <col min="7176" max="7176" width="11.28515625" style="356" customWidth="1"/>
    <col min="7177" max="7177" width="0.85546875" style="356" customWidth="1"/>
    <col min="7178" max="7178" width="10.28515625" style="356" customWidth="1"/>
    <col min="7179" max="7179" width="0.85546875" style="356" customWidth="1"/>
    <col min="7180" max="7180" width="11.28515625" style="356" customWidth="1"/>
    <col min="7181" max="7181" width="0.7109375" style="356" customWidth="1"/>
    <col min="7182" max="7182" width="10.28515625" style="356" customWidth="1"/>
    <col min="7183" max="7183" width="0.7109375" style="356" customWidth="1"/>
    <col min="7184" max="7184" width="12.28515625" style="356" customWidth="1"/>
    <col min="7185" max="7415" width="9.140625" style="356"/>
    <col min="7416" max="7416" width="39.7109375" style="356" bestFit="1" customWidth="1"/>
    <col min="7417" max="7417" width="5.140625" style="356" customWidth="1"/>
    <col min="7418" max="7418" width="2.140625" style="356" bestFit="1" customWidth="1"/>
    <col min="7419" max="7419" width="17.42578125" style="356" bestFit="1" customWidth="1"/>
    <col min="7420" max="7420" width="1.28515625" style="356" customWidth="1"/>
    <col min="7421" max="7421" width="13.28515625" style="356" bestFit="1" customWidth="1"/>
    <col min="7422" max="7422" width="1.140625" style="356" customWidth="1"/>
    <col min="7423" max="7423" width="13.5703125" style="356" bestFit="1" customWidth="1"/>
    <col min="7424" max="7424" width="0.7109375" style="356" customWidth="1"/>
    <col min="7425" max="7425" width="0.85546875" style="356" customWidth="1"/>
    <col min="7426" max="7426" width="10.28515625" style="356" customWidth="1"/>
    <col min="7427" max="7427" width="0.7109375" style="356" customWidth="1"/>
    <col min="7428" max="7428" width="2.5703125" style="356" customWidth="1"/>
    <col min="7429" max="7429" width="0.5703125" style="356" customWidth="1"/>
    <col min="7430" max="7430" width="11.28515625" style="356" customWidth="1"/>
    <col min="7431" max="7431" width="0.5703125" style="356" customWidth="1"/>
    <col min="7432" max="7432" width="11.28515625" style="356" customWidth="1"/>
    <col min="7433" max="7433" width="0.85546875" style="356" customWidth="1"/>
    <col min="7434" max="7434" width="10.28515625" style="356" customWidth="1"/>
    <col min="7435" max="7435" width="0.85546875" style="356" customWidth="1"/>
    <col min="7436" max="7436" width="11.28515625" style="356" customWidth="1"/>
    <col min="7437" max="7437" width="0.7109375" style="356" customWidth="1"/>
    <col min="7438" max="7438" width="10.28515625" style="356" customWidth="1"/>
    <col min="7439" max="7439" width="0.7109375" style="356" customWidth="1"/>
    <col min="7440" max="7440" width="12.28515625" style="356" customWidth="1"/>
    <col min="7441" max="7671" width="9.140625" style="356"/>
    <col min="7672" max="7672" width="39.7109375" style="356" bestFit="1" customWidth="1"/>
    <col min="7673" max="7673" width="5.140625" style="356" customWidth="1"/>
    <col min="7674" max="7674" width="2.140625" style="356" bestFit="1" customWidth="1"/>
    <col min="7675" max="7675" width="17.42578125" style="356" bestFit="1" customWidth="1"/>
    <col min="7676" max="7676" width="1.28515625" style="356" customWidth="1"/>
    <col min="7677" max="7677" width="13.28515625" style="356" bestFit="1" customWidth="1"/>
    <col min="7678" max="7678" width="1.140625" style="356" customWidth="1"/>
    <col min="7679" max="7679" width="13.5703125" style="356" bestFit="1" customWidth="1"/>
    <col min="7680" max="7680" width="0.7109375" style="356" customWidth="1"/>
    <col min="7681" max="7681" width="0.85546875" style="356" customWidth="1"/>
    <col min="7682" max="7682" width="10.28515625" style="356" customWidth="1"/>
    <col min="7683" max="7683" width="0.7109375" style="356" customWidth="1"/>
    <col min="7684" max="7684" width="2.5703125" style="356" customWidth="1"/>
    <col min="7685" max="7685" width="0.5703125" style="356" customWidth="1"/>
    <col min="7686" max="7686" width="11.28515625" style="356" customWidth="1"/>
    <col min="7687" max="7687" width="0.5703125" style="356" customWidth="1"/>
    <col min="7688" max="7688" width="11.28515625" style="356" customWidth="1"/>
    <col min="7689" max="7689" width="0.85546875" style="356" customWidth="1"/>
    <col min="7690" max="7690" width="10.28515625" style="356" customWidth="1"/>
    <col min="7691" max="7691" width="0.85546875" style="356" customWidth="1"/>
    <col min="7692" max="7692" width="11.28515625" style="356" customWidth="1"/>
    <col min="7693" max="7693" width="0.7109375" style="356" customWidth="1"/>
    <col min="7694" max="7694" width="10.28515625" style="356" customWidth="1"/>
    <col min="7695" max="7695" width="0.7109375" style="356" customWidth="1"/>
    <col min="7696" max="7696" width="12.28515625" style="356" customWidth="1"/>
    <col min="7697" max="7927" width="9.140625" style="356"/>
    <col min="7928" max="7928" width="39.7109375" style="356" bestFit="1" customWidth="1"/>
    <col min="7929" max="7929" width="5.140625" style="356" customWidth="1"/>
    <col min="7930" max="7930" width="2.140625" style="356" bestFit="1" customWidth="1"/>
    <col min="7931" max="7931" width="17.42578125" style="356" bestFit="1" customWidth="1"/>
    <col min="7932" max="7932" width="1.28515625" style="356" customWidth="1"/>
    <col min="7933" max="7933" width="13.28515625" style="356" bestFit="1" customWidth="1"/>
    <col min="7934" max="7934" width="1.140625" style="356" customWidth="1"/>
    <col min="7935" max="7935" width="13.5703125" style="356" bestFit="1" customWidth="1"/>
    <col min="7936" max="7936" width="0.7109375" style="356" customWidth="1"/>
    <col min="7937" max="7937" width="0.85546875" style="356" customWidth="1"/>
    <col min="7938" max="7938" width="10.28515625" style="356" customWidth="1"/>
    <col min="7939" max="7939" width="0.7109375" style="356" customWidth="1"/>
    <col min="7940" max="7940" width="2.5703125" style="356" customWidth="1"/>
    <col min="7941" max="7941" width="0.5703125" style="356" customWidth="1"/>
    <col min="7942" max="7942" width="11.28515625" style="356" customWidth="1"/>
    <col min="7943" max="7943" width="0.5703125" style="356" customWidth="1"/>
    <col min="7944" max="7944" width="11.28515625" style="356" customWidth="1"/>
    <col min="7945" max="7945" width="0.85546875" style="356" customWidth="1"/>
    <col min="7946" max="7946" width="10.28515625" style="356" customWidth="1"/>
    <col min="7947" max="7947" width="0.85546875" style="356" customWidth="1"/>
    <col min="7948" max="7948" width="11.28515625" style="356" customWidth="1"/>
    <col min="7949" max="7949" width="0.7109375" style="356" customWidth="1"/>
    <col min="7950" max="7950" width="10.28515625" style="356" customWidth="1"/>
    <col min="7951" max="7951" width="0.7109375" style="356" customWidth="1"/>
    <col min="7952" max="7952" width="12.28515625" style="356" customWidth="1"/>
    <col min="7953" max="8183" width="9.140625" style="356"/>
    <col min="8184" max="8184" width="39.7109375" style="356" bestFit="1" customWidth="1"/>
    <col min="8185" max="8185" width="5.140625" style="356" customWidth="1"/>
    <col min="8186" max="8186" width="2.140625" style="356" bestFit="1" customWidth="1"/>
    <col min="8187" max="8187" width="17.42578125" style="356" bestFit="1" customWidth="1"/>
    <col min="8188" max="8188" width="1.28515625" style="356" customWidth="1"/>
    <col min="8189" max="8189" width="13.28515625" style="356" bestFit="1" customWidth="1"/>
    <col min="8190" max="8190" width="1.140625" style="356" customWidth="1"/>
    <col min="8191" max="8191" width="13.5703125" style="356" bestFit="1" customWidth="1"/>
    <col min="8192" max="8192" width="0.7109375" style="356" customWidth="1"/>
    <col min="8193" max="8193" width="0.85546875" style="356" customWidth="1"/>
    <col min="8194" max="8194" width="10.28515625" style="356" customWidth="1"/>
    <col min="8195" max="8195" width="0.7109375" style="356" customWidth="1"/>
    <col min="8196" max="8196" width="2.5703125" style="356" customWidth="1"/>
    <col min="8197" max="8197" width="0.5703125" style="356" customWidth="1"/>
    <col min="8198" max="8198" width="11.28515625" style="356" customWidth="1"/>
    <col min="8199" max="8199" width="0.5703125" style="356" customWidth="1"/>
    <col min="8200" max="8200" width="11.28515625" style="356" customWidth="1"/>
    <col min="8201" max="8201" width="0.85546875" style="356" customWidth="1"/>
    <col min="8202" max="8202" width="10.28515625" style="356" customWidth="1"/>
    <col min="8203" max="8203" width="0.85546875" style="356" customWidth="1"/>
    <col min="8204" max="8204" width="11.28515625" style="356" customWidth="1"/>
    <col min="8205" max="8205" width="0.7109375" style="356" customWidth="1"/>
    <col min="8206" max="8206" width="10.28515625" style="356" customWidth="1"/>
    <col min="8207" max="8207" width="0.7109375" style="356" customWidth="1"/>
    <col min="8208" max="8208" width="12.28515625" style="356" customWidth="1"/>
    <col min="8209" max="8439" width="9.140625" style="356"/>
    <col min="8440" max="8440" width="39.7109375" style="356" bestFit="1" customWidth="1"/>
    <col min="8441" max="8441" width="5.140625" style="356" customWidth="1"/>
    <col min="8442" max="8442" width="2.140625" style="356" bestFit="1" customWidth="1"/>
    <col min="8443" max="8443" width="17.42578125" style="356" bestFit="1" customWidth="1"/>
    <col min="8444" max="8444" width="1.28515625" style="356" customWidth="1"/>
    <col min="8445" max="8445" width="13.28515625" style="356" bestFit="1" customWidth="1"/>
    <col min="8446" max="8446" width="1.140625" style="356" customWidth="1"/>
    <col min="8447" max="8447" width="13.5703125" style="356" bestFit="1" customWidth="1"/>
    <col min="8448" max="8448" width="0.7109375" style="356" customWidth="1"/>
    <col min="8449" max="8449" width="0.85546875" style="356" customWidth="1"/>
    <col min="8450" max="8450" width="10.28515625" style="356" customWidth="1"/>
    <col min="8451" max="8451" width="0.7109375" style="356" customWidth="1"/>
    <col min="8452" max="8452" width="2.5703125" style="356" customWidth="1"/>
    <col min="8453" max="8453" width="0.5703125" style="356" customWidth="1"/>
    <col min="8454" max="8454" width="11.28515625" style="356" customWidth="1"/>
    <col min="8455" max="8455" width="0.5703125" style="356" customWidth="1"/>
    <col min="8456" max="8456" width="11.28515625" style="356" customWidth="1"/>
    <col min="8457" max="8457" width="0.85546875" style="356" customWidth="1"/>
    <col min="8458" max="8458" width="10.28515625" style="356" customWidth="1"/>
    <col min="8459" max="8459" width="0.85546875" style="356" customWidth="1"/>
    <col min="8460" max="8460" width="11.28515625" style="356" customWidth="1"/>
    <col min="8461" max="8461" width="0.7109375" style="356" customWidth="1"/>
    <col min="8462" max="8462" width="10.28515625" style="356" customWidth="1"/>
    <col min="8463" max="8463" width="0.7109375" style="356" customWidth="1"/>
    <col min="8464" max="8464" width="12.28515625" style="356" customWidth="1"/>
    <col min="8465" max="8695" width="9.140625" style="356"/>
    <col min="8696" max="8696" width="39.7109375" style="356" bestFit="1" customWidth="1"/>
    <col min="8697" max="8697" width="5.140625" style="356" customWidth="1"/>
    <col min="8698" max="8698" width="2.140625" style="356" bestFit="1" customWidth="1"/>
    <col min="8699" max="8699" width="17.42578125" style="356" bestFit="1" customWidth="1"/>
    <col min="8700" max="8700" width="1.28515625" style="356" customWidth="1"/>
    <col min="8701" max="8701" width="13.28515625" style="356" bestFit="1" customWidth="1"/>
    <col min="8702" max="8702" width="1.140625" style="356" customWidth="1"/>
    <col min="8703" max="8703" width="13.5703125" style="356" bestFit="1" customWidth="1"/>
    <col min="8704" max="8704" width="0.7109375" style="356" customWidth="1"/>
    <col min="8705" max="8705" width="0.85546875" style="356" customWidth="1"/>
    <col min="8706" max="8706" width="10.28515625" style="356" customWidth="1"/>
    <col min="8707" max="8707" width="0.7109375" style="356" customWidth="1"/>
    <col min="8708" max="8708" width="2.5703125" style="356" customWidth="1"/>
    <col min="8709" max="8709" width="0.5703125" style="356" customWidth="1"/>
    <col min="8710" max="8710" width="11.28515625" style="356" customWidth="1"/>
    <col min="8711" max="8711" width="0.5703125" style="356" customWidth="1"/>
    <col min="8712" max="8712" width="11.28515625" style="356" customWidth="1"/>
    <col min="8713" max="8713" width="0.85546875" style="356" customWidth="1"/>
    <col min="8714" max="8714" width="10.28515625" style="356" customWidth="1"/>
    <col min="8715" max="8715" width="0.85546875" style="356" customWidth="1"/>
    <col min="8716" max="8716" width="11.28515625" style="356" customWidth="1"/>
    <col min="8717" max="8717" width="0.7109375" style="356" customWidth="1"/>
    <col min="8718" max="8718" width="10.28515625" style="356" customWidth="1"/>
    <col min="8719" max="8719" width="0.7109375" style="356" customWidth="1"/>
    <col min="8720" max="8720" width="12.28515625" style="356" customWidth="1"/>
    <col min="8721" max="8951" width="9.140625" style="356"/>
    <col min="8952" max="8952" width="39.7109375" style="356" bestFit="1" customWidth="1"/>
    <col min="8953" max="8953" width="5.140625" style="356" customWidth="1"/>
    <col min="8954" max="8954" width="2.140625" style="356" bestFit="1" customWidth="1"/>
    <col min="8955" max="8955" width="17.42578125" style="356" bestFit="1" customWidth="1"/>
    <col min="8956" max="8956" width="1.28515625" style="356" customWidth="1"/>
    <col min="8957" max="8957" width="13.28515625" style="356" bestFit="1" customWidth="1"/>
    <col min="8958" max="8958" width="1.140625" style="356" customWidth="1"/>
    <col min="8959" max="8959" width="13.5703125" style="356" bestFit="1" customWidth="1"/>
    <col min="8960" max="8960" width="0.7109375" style="356" customWidth="1"/>
    <col min="8961" max="8961" width="0.85546875" style="356" customWidth="1"/>
    <col min="8962" max="8962" width="10.28515625" style="356" customWidth="1"/>
    <col min="8963" max="8963" width="0.7109375" style="356" customWidth="1"/>
    <col min="8964" max="8964" width="2.5703125" style="356" customWidth="1"/>
    <col min="8965" max="8965" width="0.5703125" style="356" customWidth="1"/>
    <col min="8966" max="8966" width="11.28515625" style="356" customWidth="1"/>
    <col min="8967" max="8967" width="0.5703125" style="356" customWidth="1"/>
    <col min="8968" max="8968" width="11.28515625" style="356" customWidth="1"/>
    <col min="8969" max="8969" width="0.85546875" style="356" customWidth="1"/>
    <col min="8970" max="8970" width="10.28515625" style="356" customWidth="1"/>
    <col min="8971" max="8971" width="0.85546875" style="356" customWidth="1"/>
    <col min="8972" max="8972" width="11.28515625" style="356" customWidth="1"/>
    <col min="8973" max="8973" width="0.7109375" style="356" customWidth="1"/>
    <col min="8974" max="8974" width="10.28515625" style="356" customWidth="1"/>
    <col min="8975" max="8975" width="0.7109375" style="356" customWidth="1"/>
    <col min="8976" max="8976" width="12.28515625" style="356" customWidth="1"/>
    <col min="8977" max="9207" width="9.140625" style="356"/>
    <col min="9208" max="9208" width="39.7109375" style="356" bestFit="1" customWidth="1"/>
    <col min="9209" max="9209" width="5.140625" style="356" customWidth="1"/>
    <col min="9210" max="9210" width="2.140625" style="356" bestFit="1" customWidth="1"/>
    <col min="9211" max="9211" width="17.42578125" style="356" bestFit="1" customWidth="1"/>
    <col min="9212" max="9212" width="1.28515625" style="356" customWidth="1"/>
    <col min="9213" max="9213" width="13.28515625" style="356" bestFit="1" customWidth="1"/>
    <col min="9214" max="9214" width="1.140625" style="356" customWidth="1"/>
    <col min="9215" max="9215" width="13.5703125" style="356" bestFit="1" customWidth="1"/>
    <col min="9216" max="9216" width="0.7109375" style="356" customWidth="1"/>
    <col min="9217" max="9217" width="0.85546875" style="356" customWidth="1"/>
    <col min="9218" max="9218" width="10.28515625" style="356" customWidth="1"/>
    <col min="9219" max="9219" width="0.7109375" style="356" customWidth="1"/>
    <col min="9220" max="9220" width="2.5703125" style="356" customWidth="1"/>
    <col min="9221" max="9221" width="0.5703125" style="356" customWidth="1"/>
    <col min="9222" max="9222" width="11.28515625" style="356" customWidth="1"/>
    <col min="9223" max="9223" width="0.5703125" style="356" customWidth="1"/>
    <col min="9224" max="9224" width="11.28515625" style="356" customWidth="1"/>
    <col min="9225" max="9225" width="0.85546875" style="356" customWidth="1"/>
    <col min="9226" max="9226" width="10.28515625" style="356" customWidth="1"/>
    <col min="9227" max="9227" width="0.85546875" style="356" customWidth="1"/>
    <col min="9228" max="9228" width="11.28515625" style="356" customWidth="1"/>
    <col min="9229" max="9229" width="0.7109375" style="356" customWidth="1"/>
    <col min="9230" max="9230" width="10.28515625" style="356" customWidth="1"/>
    <col min="9231" max="9231" width="0.7109375" style="356" customWidth="1"/>
    <col min="9232" max="9232" width="12.28515625" style="356" customWidth="1"/>
    <col min="9233" max="9463" width="9.140625" style="356"/>
    <col min="9464" max="9464" width="39.7109375" style="356" bestFit="1" customWidth="1"/>
    <col min="9465" max="9465" width="5.140625" style="356" customWidth="1"/>
    <col min="9466" max="9466" width="2.140625" style="356" bestFit="1" customWidth="1"/>
    <col min="9467" max="9467" width="17.42578125" style="356" bestFit="1" customWidth="1"/>
    <col min="9468" max="9468" width="1.28515625" style="356" customWidth="1"/>
    <col min="9469" max="9469" width="13.28515625" style="356" bestFit="1" customWidth="1"/>
    <col min="9470" max="9470" width="1.140625" style="356" customWidth="1"/>
    <col min="9471" max="9471" width="13.5703125" style="356" bestFit="1" customWidth="1"/>
    <col min="9472" max="9472" width="0.7109375" style="356" customWidth="1"/>
    <col min="9473" max="9473" width="0.85546875" style="356" customWidth="1"/>
    <col min="9474" max="9474" width="10.28515625" style="356" customWidth="1"/>
    <col min="9475" max="9475" width="0.7109375" style="356" customWidth="1"/>
    <col min="9476" max="9476" width="2.5703125" style="356" customWidth="1"/>
    <col min="9477" max="9477" width="0.5703125" style="356" customWidth="1"/>
    <col min="9478" max="9478" width="11.28515625" style="356" customWidth="1"/>
    <col min="9479" max="9479" width="0.5703125" style="356" customWidth="1"/>
    <col min="9480" max="9480" width="11.28515625" style="356" customWidth="1"/>
    <col min="9481" max="9481" width="0.85546875" style="356" customWidth="1"/>
    <col min="9482" max="9482" width="10.28515625" style="356" customWidth="1"/>
    <col min="9483" max="9483" width="0.85546875" style="356" customWidth="1"/>
    <col min="9484" max="9484" width="11.28515625" style="356" customWidth="1"/>
    <col min="9485" max="9485" width="0.7109375" style="356" customWidth="1"/>
    <col min="9486" max="9486" width="10.28515625" style="356" customWidth="1"/>
    <col min="9487" max="9487" width="0.7109375" style="356" customWidth="1"/>
    <col min="9488" max="9488" width="12.28515625" style="356" customWidth="1"/>
    <col min="9489" max="9719" width="9.140625" style="356"/>
    <col min="9720" max="9720" width="39.7109375" style="356" bestFit="1" customWidth="1"/>
    <col min="9721" max="9721" width="5.140625" style="356" customWidth="1"/>
    <col min="9722" max="9722" width="2.140625" style="356" bestFit="1" customWidth="1"/>
    <col min="9723" max="9723" width="17.42578125" style="356" bestFit="1" customWidth="1"/>
    <col min="9724" max="9724" width="1.28515625" style="356" customWidth="1"/>
    <col min="9725" max="9725" width="13.28515625" style="356" bestFit="1" customWidth="1"/>
    <col min="9726" max="9726" width="1.140625" style="356" customWidth="1"/>
    <col min="9727" max="9727" width="13.5703125" style="356" bestFit="1" customWidth="1"/>
    <col min="9728" max="9728" width="0.7109375" style="356" customWidth="1"/>
    <col min="9729" max="9729" width="0.85546875" style="356" customWidth="1"/>
    <col min="9730" max="9730" width="10.28515625" style="356" customWidth="1"/>
    <col min="9731" max="9731" width="0.7109375" style="356" customWidth="1"/>
    <col min="9732" max="9732" width="2.5703125" style="356" customWidth="1"/>
    <col min="9733" max="9733" width="0.5703125" style="356" customWidth="1"/>
    <col min="9734" max="9734" width="11.28515625" style="356" customWidth="1"/>
    <col min="9735" max="9735" width="0.5703125" style="356" customWidth="1"/>
    <col min="9736" max="9736" width="11.28515625" style="356" customWidth="1"/>
    <col min="9737" max="9737" width="0.85546875" style="356" customWidth="1"/>
    <col min="9738" max="9738" width="10.28515625" style="356" customWidth="1"/>
    <col min="9739" max="9739" width="0.85546875" style="356" customWidth="1"/>
    <col min="9740" max="9740" width="11.28515625" style="356" customWidth="1"/>
    <col min="9741" max="9741" width="0.7109375" style="356" customWidth="1"/>
    <col min="9742" max="9742" width="10.28515625" style="356" customWidth="1"/>
    <col min="9743" max="9743" width="0.7109375" style="356" customWidth="1"/>
    <col min="9744" max="9744" width="12.28515625" style="356" customWidth="1"/>
    <col min="9745" max="9975" width="9.140625" style="356"/>
    <col min="9976" max="9976" width="39.7109375" style="356" bestFit="1" customWidth="1"/>
    <col min="9977" max="9977" width="5.140625" style="356" customWidth="1"/>
    <col min="9978" max="9978" width="2.140625" style="356" bestFit="1" customWidth="1"/>
    <col min="9979" max="9979" width="17.42578125" style="356" bestFit="1" customWidth="1"/>
    <col min="9980" max="9980" width="1.28515625" style="356" customWidth="1"/>
    <col min="9981" max="9981" width="13.28515625" style="356" bestFit="1" customWidth="1"/>
    <col min="9982" max="9982" width="1.140625" style="356" customWidth="1"/>
    <col min="9983" max="9983" width="13.5703125" style="356" bestFit="1" customWidth="1"/>
    <col min="9984" max="9984" width="0.7109375" style="356" customWidth="1"/>
    <col min="9985" max="9985" width="0.85546875" style="356" customWidth="1"/>
    <col min="9986" max="9986" width="10.28515625" style="356" customWidth="1"/>
    <col min="9987" max="9987" width="0.7109375" style="356" customWidth="1"/>
    <col min="9988" max="9988" width="2.5703125" style="356" customWidth="1"/>
    <col min="9989" max="9989" width="0.5703125" style="356" customWidth="1"/>
    <col min="9990" max="9990" width="11.28515625" style="356" customWidth="1"/>
    <col min="9991" max="9991" width="0.5703125" style="356" customWidth="1"/>
    <col min="9992" max="9992" width="11.28515625" style="356" customWidth="1"/>
    <col min="9993" max="9993" width="0.85546875" style="356" customWidth="1"/>
    <col min="9994" max="9994" width="10.28515625" style="356" customWidth="1"/>
    <col min="9995" max="9995" width="0.85546875" style="356" customWidth="1"/>
    <col min="9996" max="9996" width="11.28515625" style="356" customWidth="1"/>
    <col min="9997" max="9997" width="0.7109375" style="356" customWidth="1"/>
    <col min="9998" max="9998" width="10.28515625" style="356" customWidth="1"/>
    <col min="9999" max="9999" width="0.7109375" style="356" customWidth="1"/>
    <col min="10000" max="10000" width="12.28515625" style="356" customWidth="1"/>
    <col min="10001" max="10231" width="9.140625" style="356"/>
    <col min="10232" max="10232" width="39.7109375" style="356" bestFit="1" customWidth="1"/>
    <col min="10233" max="10233" width="5.140625" style="356" customWidth="1"/>
    <col min="10234" max="10234" width="2.140625" style="356" bestFit="1" customWidth="1"/>
    <col min="10235" max="10235" width="17.42578125" style="356" bestFit="1" customWidth="1"/>
    <col min="10236" max="10236" width="1.28515625" style="356" customWidth="1"/>
    <col min="10237" max="10237" width="13.28515625" style="356" bestFit="1" customWidth="1"/>
    <col min="10238" max="10238" width="1.140625" style="356" customWidth="1"/>
    <col min="10239" max="10239" width="13.5703125" style="356" bestFit="1" customWidth="1"/>
    <col min="10240" max="10240" width="0.7109375" style="356" customWidth="1"/>
    <col min="10241" max="10241" width="0.85546875" style="356" customWidth="1"/>
    <col min="10242" max="10242" width="10.28515625" style="356" customWidth="1"/>
    <col min="10243" max="10243" width="0.7109375" style="356" customWidth="1"/>
    <col min="10244" max="10244" width="2.5703125" style="356" customWidth="1"/>
    <col min="10245" max="10245" width="0.5703125" style="356" customWidth="1"/>
    <col min="10246" max="10246" width="11.28515625" style="356" customWidth="1"/>
    <col min="10247" max="10247" width="0.5703125" style="356" customWidth="1"/>
    <col min="10248" max="10248" width="11.28515625" style="356" customWidth="1"/>
    <col min="10249" max="10249" width="0.85546875" style="356" customWidth="1"/>
    <col min="10250" max="10250" width="10.28515625" style="356" customWidth="1"/>
    <col min="10251" max="10251" width="0.85546875" style="356" customWidth="1"/>
    <col min="10252" max="10252" width="11.28515625" style="356" customWidth="1"/>
    <col min="10253" max="10253" width="0.7109375" style="356" customWidth="1"/>
    <col min="10254" max="10254" width="10.28515625" style="356" customWidth="1"/>
    <col min="10255" max="10255" width="0.7109375" style="356" customWidth="1"/>
    <col min="10256" max="10256" width="12.28515625" style="356" customWidth="1"/>
    <col min="10257" max="10487" width="9.140625" style="356"/>
    <col min="10488" max="10488" width="39.7109375" style="356" bestFit="1" customWidth="1"/>
    <col min="10489" max="10489" width="5.140625" style="356" customWidth="1"/>
    <col min="10490" max="10490" width="2.140625" style="356" bestFit="1" customWidth="1"/>
    <col min="10491" max="10491" width="17.42578125" style="356" bestFit="1" customWidth="1"/>
    <col min="10492" max="10492" width="1.28515625" style="356" customWidth="1"/>
    <col min="10493" max="10493" width="13.28515625" style="356" bestFit="1" customWidth="1"/>
    <col min="10494" max="10494" width="1.140625" style="356" customWidth="1"/>
    <col min="10495" max="10495" width="13.5703125" style="356" bestFit="1" customWidth="1"/>
    <col min="10496" max="10496" width="0.7109375" style="356" customWidth="1"/>
    <col min="10497" max="10497" width="0.85546875" style="356" customWidth="1"/>
    <col min="10498" max="10498" width="10.28515625" style="356" customWidth="1"/>
    <col min="10499" max="10499" width="0.7109375" style="356" customWidth="1"/>
    <col min="10500" max="10500" width="2.5703125" style="356" customWidth="1"/>
    <col min="10501" max="10501" width="0.5703125" style="356" customWidth="1"/>
    <col min="10502" max="10502" width="11.28515625" style="356" customWidth="1"/>
    <col min="10503" max="10503" width="0.5703125" style="356" customWidth="1"/>
    <col min="10504" max="10504" width="11.28515625" style="356" customWidth="1"/>
    <col min="10505" max="10505" width="0.85546875" style="356" customWidth="1"/>
    <col min="10506" max="10506" width="10.28515625" style="356" customWidth="1"/>
    <col min="10507" max="10507" width="0.85546875" style="356" customWidth="1"/>
    <col min="10508" max="10508" width="11.28515625" style="356" customWidth="1"/>
    <col min="10509" max="10509" width="0.7109375" style="356" customWidth="1"/>
    <col min="10510" max="10510" width="10.28515625" style="356" customWidth="1"/>
    <col min="10511" max="10511" width="0.7109375" style="356" customWidth="1"/>
    <col min="10512" max="10512" width="12.28515625" style="356" customWidth="1"/>
    <col min="10513" max="10743" width="9.140625" style="356"/>
    <col min="10744" max="10744" width="39.7109375" style="356" bestFit="1" customWidth="1"/>
    <col min="10745" max="10745" width="5.140625" style="356" customWidth="1"/>
    <col min="10746" max="10746" width="2.140625" style="356" bestFit="1" customWidth="1"/>
    <col min="10747" max="10747" width="17.42578125" style="356" bestFit="1" customWidth="1"/>
    <col min="10748" max="10748" width="1.28515625" style="356" customWidth="1"/>
    <col min="10749" max="10749" width="13.28515625" style="356" bestFit="1" customWidth="1"/>
    <col min="10750" max="10750" width="1.140625" style="356" customWidth="1"/>
    <col min="10751" max="10751" width="13.5703125" style="356" bestFit="1" customWidth="1"/>
    <col min="10752" max="10752" width="0.7109375" style="356" customWidth="1"/>
    <col min="10753" max="10753" width="0.85546875" style="356" customWidth="1"/>
    <col min="10754" max="10754" width="10.28515625" style="356" customWidth="1"/>
    <col min="10755" max="10755" width="0.7109375" style="356" customWidth="1"/>
    <col min="10756" max="10756" width="2.5703125" style="356" customWidth="1"/>
    <col min="10757" max="10757" width="0.5703125" style="356" customWidth="1"/>
    <col min="10758" max="10758" width="11.28515625" style="356" customWidth="1"/>
    <col min="10759" max="10759" width="0.5703125" style="356" customWidth="1"/>
    <col min="10760" max="10760" width="11.28515625" style="356" customWidth="1"/>
    <col min="10761" max="10761" width="0.85546875" style="356" customWidth="1"/>
    <col min="10762" max="10762" width="10.28515625" style="356" customWidth="1"/>
    <col min="10763" max="10763" width="0.85546875" style="356" customWidth="1"/>
    <col min="10764" max="10764" width="11.28515625" style="356" customWidth="1"/>
    <col min="10765" max="10765" width="0.7109375" style="356" customWidth="1"/>
    <col min="10766" max="10766" width="10.28515625" style="356" customWidth="1"/>
    <col min="10767" max="10767" width="0.7109375" style="356" customWidth="1"/>
    <col min="10768" max="10768" width="12.28515625" style="356" customWidth="1"/>
    <col min="10769" max="10999" width="9.140625" style="356"/>
    <col min="11000" max="11000" width="39.7109375" style="356" bestFit="1" customWidth="1"/>
    <col min="11001" max="11001" width="5.140625" style="356" customWidth="1"/>
    <col min="11002" max="11002" width="2.140625" style="356" bestFit="1" customWidth="1"/>
    <col min="11003" max="11003" width="17.42578125" style="356" bestFit="1" customWidth="1"/>
    <col min="11004" max="11004" width="1.28515625" style="356" customWidth="1"/>
    <col min="11005" max="11005" width="13.28515625" style="356" bestFit="1" customWidth="1"/>
    <col min="11006" max="11006" width="1.140625" style="356" customWidth="1"/>
    <col min="11007" max="11007" width="13.5703125" style="356" bestFit="1" customWidth="1"/>
    <col min="11008" max="11008" width="0.7109375" style="356" customWidth="1"/>
    <col min="11009" max="11009" width="0.85546875" style="356" customWidth="1"/>
    <col min="11010" max="11010" width="10.28515625" style="356" customWidth="1"/>
    <col min="11011" max="11011" width="0.7109375" style="356" customWidth="1"/>
    <col min="11012" max="11012" width="2.5703125" style="356" customWidth="1"/>
    <col min="11013" max="11013" width="0.5703125" style="356" customWidth="1"/>
    <col min="11014" max="11014" width="11.28515625" style="356" customWidth="1"/>
    <col min="11015" max="11015" width="0.5703125" style="356" customWidth="1"/>
    <col min="11016" max="11016" width="11.28515625" style="356" customWidth="1"/>
    <col min="11017" max="11017" width="0.85546875" style="356" customWidth="1"/>
    <col min="11018" max="11018" width="10.28515625" style="356" customWidth="1"/>
    <col min="11019" max="11019" width="0.85546875" style="356" customWidth="1"/>
    <col min="11020" max="11020" width="11.28515625" style="356" customWidth="1"/>
    <col min="11021" max="11021" width="0.7109375" style="356" customWidth="1"/>
    <col min="11022" max="11022" width="10.28515625" style="356" customWidth="1"/>
    <col min="11023" max="11023" width="0.7109375" style="356" customWidth="1"/>
    <col min="11024" max="11024" width="12.28515625" style="356" customWidth="1"/>
    <col min="11025" max="11255" width="9.140625" style="356"/>
    <col min="11256" max="11256" width="39.7109375" style="356" bestFit="1" customWidth="1"/>
    <col min="11257" max="11257" width="5.140625" style="356" customWidth="1"/>
    <col min="11258" max="11258" width="2.140625" style="356" bestFit="1" customWidth="1"/>
    <col min="11259" max="11259" width="17.42578125" style="356" bestFit="1" customWidth="1"/>
    <col min="11260" max="11260" width="1.28515625" style="356" customWidth="1"/>
    <col min="11261" max="11261" width="13.28515625" style="356" bestFit="1" customWidth="1"/>
    <col min="11262" max="11262" width="1.140625" style="356" customWidth="1"/>
    <col min="11263" max="11263" width="13.5703125" style="356" bestFit="1" customWidth="1"/>
    <col min="11264" max="11264" width="0.7109375" style="356" customWidth="1"/>
    <col min="11265" max="11265" width="0.85546875" style="356" customWidth="1"/>
    <col min="11266" max="11266" width="10.28515625" style="356" customWidth="1"/>
    <col min="11267" max="11267" width="0.7109375" style="356" customWidth="1"/>
    <col min="11268" max="11268" width="2.5703125" style="356" customWidth="1"/>
    <col min="11269" max="11269" width="0.5703125" style="356" customWidth="1"/>
    <col min="11270" max="11270" width="11.28515625" style="356" customWidth="1"/>
    <col min="11271" max="11271" width="0.5703125" style="356" customWidth="1"/>
    <col min="11272" max="11272" width="11.28515625" style="356" customWidth="1"/>
    <col min="11273" max="11273" width="0.85546875" style="356" customWidth="1"/>
    <col min="11274" max="11274" width="10.28515625" style="356" customWidth="1"/>
    <col min="11275" max="11275" width="0.85546875" style="356" customWidth="1"/>
    <col min="11276" max="11276" width="11.28515625" style="356" customWidth="1"/>
    <col min="11277" max="11277" width="0.7109375" style="356" customWidth="1"/>
    <col min="11278" max="11278" width="10.28515625" style="356" customWidth="1"/>
    <col min="11279" max="11279" width="0.7109375" style="356" customWidth="1"/>
    <col min="11280" max="11280" width="12.28515625" style="356" customWidth="1"/>
    <col min="11281" max="11511" width="9.140625" style="356"/>
    <col min="11512" max="11512" width="39.7109375" style="356" bestFit="1" customWidth="1"/>
    <col min="11513" max="11513" width="5.140625" style="356" customWidth="1"/>
    <col min="11514" max="11514" width="2.140625" style="356" bestFit="1" customWidth="1"/>
    <col min="11515" max="11515" width="17.42578125" style="356" bestFit="1" customWidth="1"/>
    <col min="11516" max="11516" width="1.28515625" style="356" customWidth="1"/>
    <col min="11517" max="11517" width="13.28515625" style="356" bestFit="1" customWidth="1"/>
    <col min="11518" max="11518" width="1.140625" style="356" customWidth="1"/>
    <col min="11519" max="11519" width="13.5703125" style="356" bestFit="1" customWidth="1"/>
    <col min="11520" max="11520" width="0.7109375" style="356" customWidth="1"/>
    <col min="11521" max="11521" width="0.85546875" style="356" customWidth="1"/>
    <col min="11522" max="11522" width="10.28515625" style="356" customWidth="1"/>
    <col min="11523" max="11523" width="0.7109375" style="356" customWidth="1"/>
    <col min="11524" max="11524" width="2.5703125" style="356" customWidth="1"/>
    <col min="11525" max="11525" width="0.5703125" style="356" customWidth="1"/>
    <col min="11526" max="11526" width="11.28515625" style="356" customWidth="1"/>
    <col min="11527" max="11527" width="0.5703125" style="356" customWidth="1"/>
    <col min="11528" max="11528" width="11.28515625" style="356" customWidth="1"/>
    <col min="11529" max="11529" width="0.85546875" style="356" customWidth="1"/>
    <col min="11530" max="11530" width="10.28515625" style="356" customWidth="1"/>
    <col min="11531" max="11531" width="0.85546875" style="356" customWidth="1"/>
    <col min="11532" max="11532" width="11.28515625" style="356" customWidth="1"/>
    <col min="11533" max="11533" width="0.7109375" style="356" customWidth="1"/>
    <col min="11534" max="11534" width="10.28515625" style="356" customWidth="1"/>
    <col min="11535" max="11535" width="0.7109375" style="356" customWidth="1"/>
    <col min="11536" max="11536" width="12.28515625" style="356" customWidth="1"/>
    <col min="11537" max="11767" width="9.140625" style="356"/>
    <col min="11768" max="11768" width="39.7109375" style="356" bestFit="1" customWidth="1"/>
    <col min="11769" max="11769" width="5.140625" style="356" customWidth="1"/>
    <col min="11770" max="11770" width="2.140625" style="356" bestFit="1" customWidth="1"/>
    <col min="11771" max="11771" width="17.42578125" style="356" bestFit="1" customWidth="1"/>
    <col min="11772" max="11772" width="1.28515625" style="356" customWidth="1"/>
    <col min="11773" max="11773" width="13.28515625" style="356" bestFit="1" customWidth="1"/>
    <col min="11774" max="11774" width="1.140625" style="356" customWidth="1"/>
    <col min="11775" max="11775" width="13.5703125" style="356" bestFit="1" customWidth="1"/>
    <col min="11776" max="11776" width="0.7109375" style="356" customWidth="1"/>
    <col min="11777" max="11777" width="0.85546875" style="356" customWidth="1"/>
    <col min="11778" max="11778" width="10.28515625" style="356" customWidth="1"/>
    <col min="11779" max="11779" width="0.7109375" style="356" customWidth="1"/>
    <col min="11780" max="11780" width="2.5703125" style="356" customWidth="1"/>
    <col min="11781" max="11781" width="0.5703125" style="356" customWidth="1"/>
    <col min="11782" max="11782" width="11.28515625" style="356" customWidth="1"/>
    <col min="11783" max="11783" width="0.5703125" style="356" customWidth="1"/>
    <col min="11784" max="11784" width="11.28515625" style="356" customWidth="1"/>
    <col min="11785" max="11785" width="0.85546875" style="356" customWidth="1"/>
    <col min="11786" max="11786" width="10.28515625" style="356" customWidth="1"/>
    <col min="11787" max="11787" width="0.85546875" style="356" customWidth="1"/>
    <col min="11788" max="11788" width="11.28515625" style="356" customWidth="1"/>
    <col min="11789" max="11789" width="0.7109375" style="356" customWidth="1"/>
    <col min="11790" max="11790" width="10.28515625" style="356" customWidth="1"/>
    <col min="11791" max="11791" width="0.7109375" style="356" customWidth="1"/>
    <col min="11792" max="11792" width="12.28515625" style="356" customWidth="1"/>
    <col min="11793" max="12023" width="9.140625" style="356"/>
    <col min="12024" max="12024" width="39.7109375" style="356" bestFit="1" customWidth="1"/>
    <col min="12025" max="12025" width="5.140625" style="356" customWidth="1"/>
    <col min="12026" max="12026" width="2.140625" style="356" bestFit="1" customWidth="1"/>
    <col min="12027" max="12027" width="17.42578125" style="356" bestFit="1" customWidth="1"/>
    <col min="12028" max="12028" width="1.28515625" style="356" customWidth="1"/>
    <col min="12029" max="12029" width="13.28515625" style="356" bestFit="1" customWidth="1"/>
    <col min="12030" max="12030" width="1.140625" style="356" customWidth="1"/>
    <col min="12031" max="12031" width="13.5703125" style="356" bestFit="1" customWidth="1"/>
    <col min="12032" max="12032" width="0.7109375" style="356" customWidth="1"/>
    <col min="12033" max="12033" width="0.85546875" style="356" customWidth="1"/>
    <col min="12034" max="12034" width="10.28515625" style="356" customWidth="1"/>
    <col min="12035" max="12035" width="0.7109375" style="356" customWidth="1"/>
    <col min="12036" max="12036" width="2.5703125" style="356" customWidth="1"/>
    <col min="12037" max="12037" width="0.5703125" style="356" customWidth="1"/>
    <col min="12038" max="12038" width="11.28515625" style="356" customWidth="1"/>
    <col min="12039" max="12039" width="0.5703125" style="356" customWidth="1"/>
    <col min="12040" max="12040" width="11.28515625" style="356" customWidth="1"/>
    <col min="12041" max="12041" width="0.85546875" style="356" customWidth="1"/>
    <col min="12042" max="12042" width="10.28515625" style="356" customWidth="1"/>
    <col min="12043" max="12043" width="0.85546875" style="356" customWidth="1"/>
    <col min="12044" max="12044" width="11.28515625" style="356" customWidth="1"/>
    <col min="12045" max="12045" width="0.7109375" style="356" customWidth="1"/>
    <col min="12046" max="12046" width="10.28515625" style="356" customWidth="1"/>
    <col min="12047" max="12047" width="0.7109375" style="356" customWidth="1"/>
    <col min="12048" max="12048" width="12.28515625" style="356" customWidth="1"/>
    <col min="12049" max="12279" width="9.140625" style="356"/>
    <col min="12280" max="12280" width="39.7109375" style="356" bestFit="1" customWidth="1"/>
    <col min="12281" max="12281" width="5.140625" style="356" customWidth="1"/>
    <col min="12282" max="12282" width="2.140625" style="356" bestFit="1" customWidth="1"/>
    <col min="12283" max="12283" width="17.42578125" style="356" bestFit="1" customWidth="1"/>
    <col min="12284" max="12284" width="1.28515625" style="356" customWidth="1"/>
    <col min="12285" max="12285" width="13.28515625" style="356" bestFit="1" customWidth="1"/>
    <col min="12286" max="12286" width="1.140625" style="356" customWidth="1"/>
    <col min="12287" max="12287" width="13.5703125" style="356" bestFit="1" customWidth="1"/>
    <col min="12288" max="12288" width="0.7109375" style="356" customWidth="1"/>
    <col min="12289" max="12289" width="0.85546875" style="356" customWidth="1"/>
    <col min="12290" max="12290" width="10.28515625" style="356" customWidth="1"/>
    <col min="12291" max="12291" width="0.7109375" style="356" customWidth="1"/>
    <col min="12292" max="12292" width="2.5703125" style="356" customWidth="1"/>
    <col min="12293" max="12293" width="0.5703125" style="356" customWidth="1"/>
    <col min="12294" max="12294" width="11.28515625" style="356" customWidth="1"/>
    <col min="12295" max="12295" width="0.5703125" style="356" customWidth="1"/>
    <col min="12296" max="12296" width="11.28515625" style="356" customWidth="1"/>
    <col min="12297" max="12297" width="0.85546875" style="356" customWidth="1"/>
    <col min="12298" max="12298" width="10.28515625" style="356" customWidth="1"/>
    <col min="12299" max="12299" width="0.85546875" style="356" customWidth="1"/>
    <col min="12300" max="12300" width="11.28515625" style="356" customWidth="1"/>
    <col min="12301" max="12301" width="0.7109375" style="356" customWidth="1"/>
    <col min="12302" max="12302" width="10.28515625" style="356" customWidth="1"/>
    <col min="12303" max="12303" width="0.7109375" style="356" customWidth="1"/>
    <col min="12304" max="12304" width="12.28515625" style="356" customWidth="1"/>
    <col min="12305" max="12535" width="9.140625" style="356"/>
    <col min="12536" max="12536" width="39.7109375" style="356" bestFit="1" customWidth="1"/>
    <col min="12537" max="12537" width="5.140625" style="356" customWidth="1"/>
    <col min="12538" max="12538" width="2.140625" style="356" bestFit="1" customWidth="1"/>
    <col min="12539" max="12539" width="17.42578125" style="356" bestFit="1" customWidth="1"/>
    <col min="12540" max="12540" width="1.28515625" style="356" customWidth="1"/>
    <col min="12541" max="12541" width="13.28515625" style="356" bestFit="1" customWidth="1"/>
    <col min="12542" max="12542" width="1.140625" style="356" customWidth="1"/>
    <col min="12543" max="12543" width="13.5703125" style="356" bestFit="1" customWidth="1"/>
    <col min="12544" max="12544" width="0.7109375" style="356" customWidth="1"/>
    <col min="12545" max="12545" width="0.85546875" style="356" customWidth="1"/>
    <col min="12546" max="12546" width="10.28515625" style="356" customWidth="1"/>
    <col min="12547" max="12547" width="0.7109375" style="356" customWidth="1"/>
    <col min="12548" max="12548" width="2.5703125" style="356" customWidth="1"/>
    <col min="12549" max="12549" width="0.5703125" style="356" customWidth="1"/>
    <col min="12550" max="12550" width="11.28515625" style="356" customWidth="1"/>
    <col min="12551" max="12551" width="0.5703125" style="356" customWidth="1"/>
    <col min="12552" max="12552" width="11.28515625" style="356" customWidth="1"/>
    <col min="12553" max="12553" width="0.85546875" style="356" customWidth="1"/>
    <col min="12554" max="12554" width="10.28515625" style="356" customWidth="1"/>
    <col min="12555" max="12555" width="0.85546875" style="356" customWidth="1"/>
    <col min="12556" max="12556" width="11.28515625" style="356" customWidth="1"/>
    <col min="12557" max="12557" width="0.7109375" style="356" customWidth="1"/>
    <col min="12558" max="12558" width="10.28515625" style="356" customWidth="1"/>
    <col min="12559" max="12559" width="0.7109375" style="356" customWidth="1"/>
    <col min="12560" max="12560" width="12.28515625" style="356" customWidth="1"/>
    <col min="12561" max="12791" width="9.140625" style="356"/>
    <col min="12792" max="12792" width="39.7109375" style="356" bestFit="1" customWidth="1"/>
    <col min="12793" max="12793" width="5.140625" style="356" customWidth="1"/>
    <col min="12794" max="12794" width="2.140625" style="356" bestFit="1" customWidth="1"/>
    <col min="12795" max="12795" width="17.42578125" style="356" bestFit="1" customWidth="1"/>
    <col min="12796" max="12796" width="1.28515625" style="356" customWidth="1"/>
    <col min="12797" max="12797" width="13.28515625" style="356" bestFit="1" customWidth="1"/>
    <col min="12798" max="12798" width="1.140625" style="356" customWidth="1"/>
    <col min="12799" max="12799" width="13.5703125" style="356" bestFit="1" customWidth="1"/>
    <col min="12800" max="12800" width="0.7109375" style="356" customWidth="1"/>
    <col min="12801" max="12801" width="0.85546875" style="356" customWidth="1"/>
    <col min="12802" max="12802" width="10.28515625" style="356" customWidth="1"/>
    <col min="12803" max="12803" width="0.7109375" style="356" customWidth="1"/>
    <col min="12804" max="12804" width="2.5703125" style="356" customWidth="1"/>
    <col min="12805" max="12805" width="0.5703125" style="356" customWidth="1"/>
    <col min="12806" max="12806" width="11.28515625" style="356" customWidth="1"/>
    <col min="12807" max="12807" width="0.5703125" style="356" customWidth="1"/>
    <col min="12808" max="12808" width="11.28515625" style="356" customWidth="1"/>
    <col min="12809" max="12809" width="0.85546875" style="356" customWidth="1"/>
    <col min="12810" max="12810" width="10.28515625" style="356" customWidth="1"/>
    <col min="12811" max="12811" width="0.85546875" style="356" customWidth="1"/>
    <col min="12812" max="12812" width="11.28515625" style="356" customWidth="1"/>
    <col min="12813" max="12813" width="0.7109375" style="356" customWidth="1"/>
    <col min="12814" max="12814" width="10.28515625" style="356" customWidth="1"/>
    <col min="12815" max="12815" width="0.7109375" style="356" customWidth="1"/>
    <col min="12816" max="12816" width="12.28515625" style="356" customWidth="1"/>
    <col min="12817" max="13047" width="9.140625" style="356"/>
    <col min="13048" max="13048" width="39.7109375" style="356" bestFit="1" customWidth="1"/>
    <col min="13049" max="13049" width="5.140625" style="356" customWidth="1"/>
    <col min="13050" max="13050" width="2.140625" style="356" bestFit="1" customWidth="1"/>
    <col min="13051" max="13051" width="17.42578125" style="356" bestFit="1" customWidth="1"/>
    <col min="13052" max="13052" width="1.28515625" style="356" customWidth="1"/>
    <col min="13053" max="13053" width="13.28515625" style="356" bestFit="1" customWidth="1"/>
    <col min="13054" max="13054" width="1.140625" style="356" customWidth="1"/>
    <col min="13055" max="13055" width="13.5703125" style="356" bestFit="1" customWidth="1"/>
    <col min="13056" max="13056" width="0.7109375" style="356" customWidth="1"/>
    <col min="13057" max="13057" width="0.85546875" style="356" customWidth="1"/>
    <col min="13058" max="13058" width="10.28515625" style="356" customWidth="1"/>
    <col min="13059" max="13059" width="0.7109375" style="356" customWidth="1"/>
    <col min="13060" max="13060" width="2.5703125" style="356" customWidth="1"/>
    <col min="13061" max="13061" width="0.5703125" style="356" customWidth="1"/>
    <col min="13062" max="13062" width="11.28515625" style="356" customWidth="1"/>
    <col min="13063" max="13063" width="0.5703125" style="356" customWidth="1"/>
    <col min="13064" max="13064" width="11.28515625" style="356" customWidth="1"/>
    <col min="13065" max="13065" width="0.85546875" style="356" customWidth="1"/>
    <col min="13066" max="13066" width="10.28515625" style="356" customWidth="1"/>
    <col min="13067" max="13067" width="0.85546875" style="356" customWidth="1"/>
    <col min="13068" max="13068" width="11.28515625" style="356" customWidth="1"/>
    <col min="13069" max="13069" width="0.7109375" style="356" customWidth="1"/>
    <col min="13070" max="13070" width="10.28515625" style="356" customWidth="1"/>
    <col min="13071" max="13071" width="0.7109375" style="356" customWidth="1"/>
    <col min="13072" max="13072" width="12.28515625" style="356" customWidth="1"/>
    <col min="13073" max="13303" width="9.140625" style="356"/>
    <col min="13304" max="13304" width="39.7109375" style="356" bestFit="1" customWidth="1"/>
    <col min="13305" max="13305" width="5.140625" style="356" customWidth="1"/>
    <col min="13306" max="13306" width="2.140625" style="356" bestFit="1" customWidth="1"/>
    <col min="13307" max="13307" width="17.42578125" style="356" bestFit="1" customWidth="1"/>
    <col min="13308" max="13308" width="1.28515625" style="356" customWidth="1"/>
    <col min="13309" max="13309" width="13.28515625" style="356" bestFit="1" customWidth="1"/>
    <col min="13310" max="13310" width="1.140625" style="356" customWidth="1"/>
    <col min="13311" max="13311" width="13.5703125" style="356" bestFit="1" customWidth="1"/>
    <col min="13312" max="13312" width="0.7109375" style="356" customWidth="1"/>
    <col min="13313" max="13313" width="0.85546875" style="356" customWidth="1"/>
    <col min="13314" max="13314" width="10.28515625" style="356" customWidth="1"/>
    <col min="13315" max="13315" width="0.7109375" style="356" customWidth="1"/>
    <col min="13316" max="13316" width="2.5703125" style="356" customWidth="1"/>
    <col min="13317" max="13317" width="0.5703125" style="356" customWidth="1"/>
    <col min="13318" max="13318" width="11.28515625" style="356" customWidth="1"/>
    <col min="13319" max="13319" width="0.5703125" style="356" customWidth="1"/>
    <col min="13320" max="13320" width="11.28515625" style="356" customWidth="1"/>
    <col min="13321" max="13321" width="0.85546875" style="356" customWidth="1"/>
    <col min="13322" max="13322" width="10.28515625" style="356" customWidth="1"/>
    <col min="13323" max="13323" width="0.85546875" style="356" customWidth="1"/>
    <col min="13324" max="13324" width="11.28515625" style="356" customWidth="1"/>
    <col min="13325" max="13325" width="0.7109375" style="356" customWidth="1"/>
    <col min="13326" max="13326" width="10.28515625" style="356" customWidth="1"/>
    <col min="13327" max="13327" width="0.7109375" style="356" customWidth="1"/>
    <col min="13328" max="13328" width="12.28515625" style="356" customWidth="1"/>
    <col min="13329" max="13559" width="9.140625" style="356"/>
    <col min="13560" max="13560" width="39.7109375" style="356" bestFit="1" customWidth="1"/>
    <col min="13561" max="13561" width="5.140625" style="356" customWidth="1"/>
    <col min="13562" max="13562" width="2.140625" style="356" bestFit="1" customWidth="1"/>
    <col min="13563" max="13563" width="17.42578125" style="356" bestFit="1" customWidth="1"/>
    <col min="13564" max="13564" width="1.28515625" style="356" customWidth="1"/>
    <col min="13565" max="13565" width="13.28515625" style="356" bestFit="1" customWidth="1"/>
    <col min="13566" max="13566" width="1.140625" style="356" customWidth="1"/>
    <col min="13567" max="13567" width="13.5703125" style="356" bestFit="1" customWidth="1"/>
    <col min="13568" max="13568" width="0.7109375" style="356" customWidth="1"/>
    <col min="13569" max="13569" width="0.85546875" style="356" customWidth="1"/>
    <col min="13570" max="13570" width="10.28515625" style="356" customWidth="1"/>
    <col min="13571" max="13571" width="0.7109375" style="356" customWidth="1"/>
    <col min="13572" max="13572" width="2.5703125" style="356" customWidth="1"/>
    <col min="13573" max="13573" width="0.5703125" style="356" customWidth="1"/>
    <col min="13574" max="13574" width="11.28515625" style="356" customWidth="1"/>
    <col min="13575" max="13575" width="0.5703125" style="356" customWidth="1"/>
    <col min="13576" max="13576" width="11.28515625" style="356" customWidth="1"/>
    <col min="13577" max="13577" width="0.85546875" style="356" customWidth="1"/>
    <col min="13578" max="13578" width="10.28515625" style="356" customWidth="1"/>
    <col min="13579" max="13579" width="0.85546875" style="356" customWidth="1"/>
    <col min="13580" max="13580" width="11.28515625" style="356" customWidth="1"/>
    <col min="13581" max="13581" width="0.7109375" style="356" customWidth="1"/>
    <col min="13582" max="13582" width="10.28515625" style="356" customWidth="1"/>
    <col min="13583" max="13583" width="0.7109375" style="356" customWidth="1"/>
    <col min="13584" max="13584" width="12.28515625" style="356" customWidth="1"/>
    <col min="13585" max="13815" width="9.140625" style="356"/>
    <col min="13816" max="13816" width="39.7109375" style="356" bestFit="1" customWidth="1"/>
    <col min="13817" max="13817" width="5.140625" style="356" customWidth="1"/>
    <col min="13818" max="13818" width="2.140625" style="356" bestFit="1" customWidth="1"/>
    <col min="13819" max="13819" width="17.42578125" style="356" bestFit="1" customWidth="1"/>
    <col min="13820" max="13820" width="1.28515625" style="356" customWidth="1"/>
    <col min="13821" max="13821" width="13.28515625" style="356" bestFit="1" customWidth="1"/>
    <col min="13822" max="13822" width="1.140625" style="356" customWidth="1"/>
    <col min="13823" max="13823" width="13.5703125" style="356" bestFit="1" customWidth="1"/>
    <col min="13824" max="13824" width="0.7109375" style="356" customWidth="1"/>
    <col min="13825" max="13825" width="0.85546875" style="356" customWidth="1"/>
    <col min="13826" max="13826" width="10.28515625" style="356" customWidth="1"/>
    <col min="13827" max="13827" width="0.7109375" style="356" customWidth="1"/>
    <col min="13828" max="13828" width="2.5703125" style="356" customWidth="1"/>
    <col min="13829" max="13829" width="0.5703125" style="356" customWidth="1"/>
    <col min="13830" max="13830" width="11.28515625" style="356" customWidth="1"/>
    <col min="13831" max="13831" width="0.5703125" style="356" customWidth="1"/>
    <col min="13832" max="13832" width="11.28515625" style="356" customWidth="1"/>
    <col min="13833" max="13833" width="0.85546875" style="356" customWidth="1"/>
    <col min="13834" max="13834" width="10.28515625" style="356" customWidth="1"/>
    <col min="13835" max="13835" width="0.85546875" style="356" customWidth="1"/>
    <col min="13836" max="13836" width="11.28515625" style="356" customWidth="1"/>
    <col min="13837" max="13837" width="0.7109375" style="356" customWidth="1"/>
    <col min="13838" max="13838" width="10.28515625" style="356" customWidth="1"/>
    <col min="13839" max="13839" width="0.7109375" style="356" customWidth="1"/>
    <col min="13840" max="13840" width="12.28515625" style="356" customWidth="1"/>
    <col min="13841" max="14071" width="9.140625" style="356"/>
    <col min="14072" max="14072" width="39.7109375" style="356" bestFit="1" customWidth="1"/>
    <col min="14073" max="14073" width="5.140625" style="356" customWidth="1"/>
    <col min="14074" max="14074" width="2.140625" style="356" bestFit="1" customWidth="1"/>
    <col min="14075" max="14075" width="17.42578125" style="356" bestFit="1" customWidth="1"/>
    <col min="14076" max="14076" width="1.28515625" style="356" customWidth="1"/>
    <col min="14077" max="14077" width="13.28515625" style="356" bestFit="1" customWidth="1"/>
    <col min="14078" max="14078" width="1.140625" style="356" customWidth="1"/>
    <col min="14079" max="14079" width="13.5703125" style="356" bestFit="1" customWidth="1"/>
    <col min="14080" max="14080" width="0.7109375" style="356" customWidth="1"/>
    <col min="14081" max="14081" width="0.85546875" style="356" customWidth="1"/>
    <col min="14082" max="14082" width="10.28515625" style="356" customWidth="1"/>
    <col min="14083" max="14083" width="0.7109375" style="356" customWidth="1"/>
    <col min="14084" max="14084" width="2.5703125" style="356" customWidth="1"/>
    <col min="14085" max="14085" width="0.5703125" style="356" customWidth="1"/>
    <col min="14086" max="14086" width="11.28515625" style="356" customWidth="1"/>
    <col min="14087" max="14087" width="0.5703125" style="356" customWidth="1"/>
    <col min="14088" max="14088" width="11.28515625" style="356" customWidth="1"/>
    <col min="14089" max="14089" width="0.85546875" style="356" customWidth="1"/>
    <col min="14090" max="14090" width="10.28515625" style="356" customWidth="1"/>
    <col min="14091" max="14091" width="0.85546875" style="356" customWidth="1"/>
    <col min="14092" max="14092" width="11.28515625" style="356" customWidth="1"/>
    <col min="14093" max="14093" width="0.7109375" style="356" customWidth="1"/>
    <col min="14094" max="14094" width="10.28515625" style="356" customWidth="1"/>
    <col min="14095" max="14095" width="0.7109375" style="356" customWidth="1"/>
    <col min="14096" max="14096" width="12.28515625" style="356" customWidth="1"/>
    <col min="14097" max="14327" width="9.140625" style="356"/>
    <col min="14328" max="14328" width="39.7109375" style="356" bestFit="1" customWidth="1"/>
    <col min="14329" max="14329" width="5.140625" style="356" customWidth="1"/>
    <col min="14330" max="14330" width="2.140625" style="356" bestFit="1" customWidth="1"/>
    <col min="14331" max="14331" width="17.42578125" style="356" bestFit="1" customWidth="1"/>
    <col min="14332" max="14332" width="1.28515625" style="356" customWidth="1"/>
    <col min="14333" max="14333" width="13.28515625" style="356" bestFit="1" customWidth="1"/>
    <col min="14334" max="14334" width="1.140625" style="356" customWidth="1"/>
    <col min="14335" max="14335" width="13.5703125" style="356" bestFit="1" customWidth="1"/>
    <col min="14336" max="14336" width="0.7109375" style="356" customWidth="1"/>
    <col min="14337" max="14337" width="0.85546875" style="356" customWidth="1"/>
    <col min="14338" max="14338" width="10.28515625" style="356" customWidth="1"/>
    <col min="14339" max="14339" width="0.7109375" style="356" customWidth="1"/>
    <col min="14340" max="14340" width="2.5703125" style="356" customWidth="1"/>
    <col min="14341" max="14341" width="0.5703125" style="356" customWidth="1"/>
    <col min="14342" max="14342" width="11.28515625" style="356" customWidth="1"/>
    <col min="14343" max="14343" width="0.5703125" style="356" customWidth="1"/>
    <col min="14344" max="14344" width="11.28515625" style="356" customWidth="1"/>
    <col min="14345" max="14345" width="0.85546875" style="356" customWidth="1"/>
    <col min="14346" max="14346" width="10.28515625" style="356" customWidth="1"/>
    <col min="14347" max="14347" width="0.85546875" style="356" customWidth="1"/>
    <col min="14348" max="14348" width="11.28515625" style="356" customWidth="1"/>
    <col min="14349" max="14349" width="0.7109375" style="356" customWidth="1"/>
    <col min="14350" max="14350" width="10.28515625" style="356" customWidth="1"/>
    <col min="14351" max="14351" width="0.7109375" style="356" customWidth="1"/>
    <col min="14352" max="14352" width="12.28515625" style="356" customWidth="1"/>
    <col min="14353" max="14583" width="9.140625" style="356"/>
    <col min="14584" max="14584" width="39.7109375" style="356" bestFit="1" customWidth="1"/>
    <col min="14585" max="14585" width="5.140625" style="356" customWidth="1"/>
    <col min="14586" max="14586" width="2.140625" style="356" bestFit="1" customWidth="1"/>
    <col min="14587" max="14587" width="17.42578125" style="356" bestFit="1" customWidth="1"/>
    <col min="14588" max="14588" width="1.28515625" style="356" customWidth="1"/>
    <col min="14589" max="14589" width="13.28515625" style="356" bestFit="1" customWidth="1"/>
    <col min="14590" max="14590" width="1.140625" style="356" customWidth="1"/>
    <col min="14591" max="14591" width="13.5703125" style="356" bestFit="1" customWidth="1"/>
    <col min="14592" max="14592" width="0.7109375" style="356" customWidth="1"/>
    <col min="14593" max="14593" width="0.85546875" style="356" customWidth="1"/>
    <col min="14594" max="14594" width="10.28515625" style="356" customWidth="1"/>
    <col min="14595" max="14595" width="0.7109375" style="356" customWidth="1"/>
    <col min="14596" max="14596" width="2.5703125" style="356" customWidth="1"/>
    <col min="14597" max="14597" width="0.5703125" style="356" customWidth="1"/>
    <col min="14598" max="14598" width="11.28515625" style="356" customWidth="1"/>
    <col min="14599" max="14599" width="0.5703125" style="356" customWidth="1"/>
    <col min="14600" max="14600" width="11.28515625" style="356" customWidth="1"/>
    <col min="14601" max="14601" width="0.85546875" style="356" customWidth="1"/>
    <col min="14602" max="14602" width="10.28515625" style="356" customWidth="1"/>
    <col min="14603" max="14603" width="0.85546875" style="356" customWidth="1"/>
    <col min="14604" max="14604" width="11.28515625" style="356" customWidth="1"/>
    <col min="14605" max="14605" width="0.7109375" style="356" customWidth="1"/>
    <col min="14606" max="14606" width="10.28515625" style="356" customWidth="1"/>
    <col min="14607" max="14607" width="0.7109375" style="356" customWidth="1"/>
    <col min="14608" max="14608" width="12.28515625" style="356" customWidth="1"/>
    <col min="14609" max="14839" width="9.140625" style="356"/>
    <col min="14840" max="14840" width="39.7109375" style="356" bestFit="1" customWidth="1"/>
    <col min="14841" max="14841" width="5.140625" style="356" customWidth="1"/>
    <col min="14842" max="14842" width="2.140625" style="356" bestFit="1" customWidth="1"/>
    <col min="14843" max="14843" width="17.42578125" style="356" bestFit="1" customWidth="1"/>
    <col min="14844" max="14844" width="1.28515625" style="356" customWidth="1"/>
    <col min="14845" max="14845" width="13.28515625" style="356" bestFit="1" customWidth="1"/>
    <col min="14846" max="14846" width="1.140625" style="356" customWidth="1"/>
    <col min="14847" max="14847" width="13.5703125" style="356" bestFit="1" customWidth="1"/>
    <col min="14848" max="14848" width="0.7109375" style="356" customWidth="1"/>
    <col min="14849" max="14849" width="0.85546875" style="356" customWidth="1"/>
    <col min="14850" max="14850" width="10.28515625" style="356" customWidth="1"/>
    <col min="14851" max="14851" width="0.7109375" style="356" customWidth="1"/>
    <col min="14852" max="14852" width="2.5703125" style="356" customWidth="1"/>
    <col min="14853" max="14853" width="0.5703125" style="356" customWidth="1"/>
    <col min="14854" max="14854" width="11.28515625" style="356" customWidth="1"/>
    <col min="14855" max="14855" width="0.5703125" style="356" customWidth="1"/>
    <col min="14856" max="14856" width="11.28515625" style="356" customWidth="1"/>
    <col min="14857" max="14857" width="0.85546875" style="356" customWidth="1"/>
    <col min="14858" max="14858" width="10.28515625" style="356" customWidth="1"/>
    <col min="14859" max="14859" width="0.85546875" style="356" customWidth="1"/>
    <col min="14860" max="14860" width="11.28515625" style="356" customWidth="1"/>
    <col min="14861" max="14861" width="0.7109375" style="356" customWidth="1"/>
    <col min="14862" max="14862" width="10.28515625" style="356" customWidth="1"/>
    <col min="14863" max="14863" width="0.7109375" style="356" customWidth="1"/>
    <col min="14864" max="14864" width="12.28515625" style="356" customWidth="1"/>
    <col min="14865" max="15095" width="9.140625" style="356"/>
    <col min="15096" max="15096" width="39.7109375" style="356" bestFit="1" customWidth="1"/>
    <col min="15097" max="15097" width="5.140625" style="356" customWidth="1"/>
    <col min="15098" max="15098" width="2.140625" style="356" bestFit="1" customWidth="1"/>
    <col min="15099" max="15099" width="17.42578125" style="356" bestFit="1" customWidth="1"/>
    <col min="15100" max="15100" width="1.28515625" style="356" customWidth="1"/>
    <col min="15101" max="15101" width="13.28515625" style="356" bestFit="1" customWidth="1"/>
    <col min="15102" max="15102" width="1.140625" style="356" customWidth="1"/>
    <col min="15103" max="15103" width="13.5703125" style="356" bestFit="1" customWidth="1"/>
    <col min="15104" max="15104" width="0.7109375" style="356" customWidth="1"/>
    <col min="15105" max="15105" width="0.85546875" style="356" customWidth="1"/>
    <col min="15106" max="15106" width="10.28515625" style="356" customWidth="1"/>
    <col min="15107" max="15107" width="0.7109375" style="356" customWidth="1"/>
    <col min="15108" max="15108" width="2.5703125" style="356" customWidth="1"/>
    <col min="15109" max="15109" width="0.5703125" style="356" customWidth="1"/>
    <col min="15110" max="15110" width="11.28515625" style="356" customWidth="1"/>
    <col min="15111" max="15111" width="0.5703125" style="356" customWidth="1"/>
    <col min="15112" max="15112" width="11.28515625" style="356" customWidth="1"/>
    <col min="15113" max="15113" width="0.85546875" style="356" customWidth="1"/>
    <col min="15114" max="15114" width="10.28515625" style="356" customWidth="1"/>
    <col min="15115" max="15115" width="0.85546875" style="356" customWidth="1"/>
    <col min="15116" max="15116" width="11.28515625" style="356" customWidth="1"/>
    <col min="15117" max="15117" width="0.7109375" style="356" customWidth="1"/>
    <col min="15118" max="15118" width="10.28515625" style="356" customWidth="1"/>
    <col min="15119" max="15119" width="0.7109375" style="356" customWidth="1"/>
    <col min="15120" max="15120" width="12.28515625" style="356" customWidth="1"/>
    <col min="15121" max="15351" width="9.140625" style="356"/>
    <col min="15352" max="15352" width="39.7109375" style="356" bestFit="1" customWidth="1"/>
    <col min="15353" max="15353" width="5.140625" style="356" customWidth="1"/>
    <col min="15354" max="15354" width="2.140625" style="356" bestFit="1" customWidth="1"/>
    <col min="15355" max="15355" width="17.42578125" style="356" bestFit="1" customWidth="1"/>
    <col min="15356" max="15356" width="1.28515625" style="356" customWidth="1"/>
    <col min="15357" max="15357" width="13.28515625" style="356" bestFit="1" customWidth="1"/>
    <col min="15358" max="15358" width="1.140625" style="356" customWidth="1"/>
    <col min="15359" max="15359" width="13.5703125" style="356" bestFit="1" customWidth="1"/>
    <col min="15360" max="15360" width="0.7109375" style="356" customWidth="1"/>
    <col min="15361" max="15361" width="0.85546875" style="356" customWidth="1"/>
    <col min="15362" max="15362" width="10.28515625" style="356" customWidth="1"/>
    <col min="15363" max="15363" width="0.7109375" style="356" customWidth="1"/>
    <col min="15364" max="15364" width="2.5703125" style="356" customWidth="1"/>
    <col min="15365" max="15365" width="0.5703125" style="356" customWidth="1"/>
    <col min="15366" max="15366" width="11.28515625" style="356" customWidth="1"/>
    <col min="15367" max="15367" width="0.5703125" style="356" customWidth="1"/>
    <col min="15368" max="15368" width="11.28515625" style="356" customWidth="1"/>
    <col min="15369" max="15369" width="0.85546875" style="356" customWidth="1"/>
    <col min="15370" max="15370" width="10.28515625" style="356" customWidth="1"/>
    <col min="15371" max="15371" width="0.85546875" style="356" customWidth="1"/>
    <col min="15372" max="15372" width="11.28515625" style="356" customWidth="1"/>
    <col min="15373" max="15373" width="0.7109375" style="356" customWidth="1"/>
    <col min="15374" max="15374" width="10.28515625" style="356" customWidth="1"/>
    <col min="15375" max="15375" width="0.7109375" style="356" customWidth="1"/>
    <col min="15376" max="15376" width="12.28515625" style="356" customWidth="1"/>
    <col min="15377" max="15607" width="9.140625" style="356"/>
    <col min="15608" max="15608" width="39.7109375" style="356" bestFit="1" customWidth="1"/>
    <col min="15609" max="15609" width="5.140625" style="356" customWidth="1"/>
    <col min="15610" max="15610" width="2.140625" style="356" bestFit="1" customWidth="1"/>
    <col min="15611" max="15611" width="17.42578125" style="356" bestFit="1" customWidth="1"/>
    <col min="15612" max="15612" width="1.28515625" style="356" customWidth="1"/>
    <col min="15613" max="15613" width="13.28515625" style="356" bestFit="1" customWidth="1"/>
    <col min="15614" max="15614" width="1.140625" style="356" customWidth="1"/>
    <col min="15615" max="15615" width="13.5703125" style="356" bestFit="1" customWidth="1"/>
    <col min="15616" max="15616" width="0.7109375" style="356" customWidth="1"/>
    <col min="15617" max="15617" width="0.85546875" style="356" customWidth="1"/>
    <col min="15618" max="15618" width="10.28515625" style="356" customWidth="1"/>
    <col min="15619" max="15619" width="0.7109375" style="356" customWidth="1"/>
    <col min="15620" max="15620" width="2.5703125" style="356" customWidth="1"/>
    <col min="15621" max="15621" width="0.5703125" style="356" customWidth="1"/>
    <col min="15622" max="15622" width="11.28515625" style="356" customWidth="1"/>
    <col min="15623" max="15623" width="0.5703125" style="356" customWidth="1"/>
    <col min="15624" max="15624" width="11.28515625" style="356" customWidth="1"/>
    <col min="15625" max="15625" width="0.85546875" style="356" customWidth="1"/>
    <col min="15626" max="15626" width="10.28515625" style="356" customWidth="1"/>
    <col min="15627" max="15627" width="0.85546875" style="356" customWidth="1"/>
    <col min="15628" max="15628" width="11.28515625" style="356" customWidth="1"/>
    <col min="15629" max="15629" width="0.7109375" style="356" customWidth="1"/>
    <col min="15630" max="15630" width="10.28515625" style="356" customWidth="1"/>
    <col min="15631" max="15631" width="0.7109375" style="356" customWidth="1"/>
    <col min="15632" max="15632" width="12.28515625" style="356" customWidth="1"/>
    <col min="15633" max="15863" width="9.140625" style="356"/>
    <col min="15864" max="15864" width="39.7109375" style="356" bestFit="1" customWidth="1"/>
    <col min="15865" max="15865" width="5.140625" style="356" customWidth="1"/>
    <col min="15866" max="15866" width="2.140625" style="356" bestFit="1" customWidth="1"/>
    <col min="15867" max="15867" width="17.42578125" style="356" bestFit="1" customWidth="1"/>
    <col min="15868" max="15868" width="1.28515625" style="356" customWidth="1"/>
    <col min="15869" max="15869" width="13.28515625" style="356" bestFit="1" customWidth="1"/>
    <col min="15870" max="15870" width="1.140625" style="356" customWidth="1"/>
    <col min="15871" max="15871" width="13.5703125" style="356" bestFit="1" customWidth="1"/>
    <col min="15872" max="15872" width="0.7109375" style="356" customWidth="1"/>
    <col min="15873" max="15873" width="0.85546875" style="356" customWidth="1"/>
    <col min="15874" max="15874" width="10.28515625" style="356" customWidth="1"/>
    <col min="15875" max="15875" width="0.7109375" style="356" customWidth="1"/>
    <col min="15876" max="15876" width="2.5703125" style="356" customWidth="1"/>
    <col min="15877" max="15877" width="0.5703125" style="356" customWidth="1"/>
    <col min="15878" max="15878" width="11.28515625" style="356" customWidth="1"/>
    <col min="15879" max="15879" width="0.5703125" style="356" customWidth="1"/>
    <col min="15880" max="15880" width="11.28515625" style="356" customWidth="1"/>
    <col min="15881" max="15881" width="0.85546875" style="356" customWidth="1"/>
    <col min="15882" max="15882" width="10.28515625" style="356" customWidth="1"/>
    <col min="15883" max="15883" width="0.85546875" style="356" customWidth="1"/>
    <col min="15884" max="15884" width="11.28515625" style="356" customWidth="1"/>
    <col min="15885" max="15885" width="0.7109375" style="356" customWidth="1"/>
    <col min="15886" max="15886" width="10.28515625" style="356" customWidth="1"/>
    <col min="15887" max="15887" width="0.7109375" style="356" customWidth="1"/>
    <col min="15888" max="15888" width="12.28515625" style="356" customWidth="1"/>
    <col min="15889" max="16119" width="9.140625" style="356"/>
    <col min="16120" max="16120" width="39.7109375" style="356" bestFit="1" customWidth="1"/>
    <col min="16121" max="16121" width="5.140625" style="356" customWidth="1"/>
    <col min="16122" max="16122" width="2.140625" style="356" bestFit="1" customWidth="1"/>
    <col min="16123" max="16123" width="17.42578125" style="356" bestFit="1" customWidth="1"/>
    <col min="16124" max="16124" width="1.28515625" style="356" customWidth="1"/>
    <col min="16125" max="16125" width="13.28515625" style="356" bestFit="1" customWidth="1"/>
    <col min="16126" max="16126" width="1.140625" style="356" customWidth="1"/>
    <col min="16127" max="16127" width="13.5703125" style="356" bestFit="1" customWidth="1"/>
    <col min="16128" max="16128" width="0.7109375" style="356" customWidth="1"/>
    <col min="16129" max="16129" width="0.85546875" style="356" customWidth="1"/>
    <col min="16130" max="16130" width="10.28515625" style="356" customWidth="1"/>
    <col min="16131" max="16131" width="0.7109375" style="356" customWidth="1"/>
    <col min="16132" max="16132" width="2.5703125" style="356" customWidth="1"/>
    <col min="16133" max="16133" width="0.5703125" style="356" customWidth="1"/>
    <col min="16134" max="16134" width="11.28515625" style="356" customWidth="1"/>
    <col min="16135" max="16135" width="0.5703125" style="356" customWidth="1"/>
    <col min="16136" max="16136" width="11.28515625" style="356" customWidth="1"/>
    <col min="16137" max="16137" width="0.85546875" style="356" customWidth="1"/>
    <col min="16138" max="16138" width="10.28515625" style="356" customWidth="1"/>
    <col min="16139" max="16139" width="0.85546875" style="356" customWidth="1"/>
    <col min="16140" max="16140" width="11.28515625" style="356" customWidth="1"/>
    <col min="16141" max="16141" width="0.7109375" style="356" customWidth="1"/>
    <col min="16142" max="16142" width="10.28515625" style="356" customWidth="1"/>
    <col min="16143" max="16143" width="0.7109375" style="356" customWidth="1"/>
    <col min="16144" max="16144" width="12.28515625" style="356" customWidth="1"/>
    <col min="16145" max="16384" width="8.85546875" style="356"/>
  </cols>
  <sheetData>
    <row r="1" spans="1:17" ht="35.450000000000003" customHeight="1">
      <c r="A1" s="1701" t="s">
        <v>797</v>
      </c>
      <c r="B1" s="1701"/>
      <c r="C1" s="1701"/>
      <c r="D1" s="1701"/>
      <c r="E1" s="1701"/>
      <c r="F1" s="1701"/>
      <c r="G1" s="1701"/>
      <c r="H1" s="400"/>
      <c r="I1" s="400"/>
      <c r="J1" s="400"/>
      <c r="K1" s="400"/>
      <c r="L1" s="596" t="s">
        <v>774</v>
      </c>
      <c r="M1" s="400"/>
      <c r="N1" s="400"/>
      <c r="O1" s="400"/>
      <c r="P1" s="400"/>
    </row>
    <row r="2" spans="1:17" ht="15" hidden="1" customHeight="1">
      <c r="A2" s="1692"/>
      <c r="B2" s="1692"/>
      <c r="C2" s="1692"/>
      <c r="D2" s="1692"/>
      <c r="E2" s="1692"/>
      <c r="F2" s="1692"/>
      <c r="G2" s="1692"/>
      <c r="H2" s="401"/>
      <c r="I2" s="401"/>
      <c r="J2" s="401"/>
      <c r="K2" s="401"/>
      <c r="L2" s="402"/>
      <c r="M2" s="402"/>
      <c r="N2" s="402"/>
      <c r="O2" s="402"/>
      <c r="P2" s="402"/>
    </row>
    <row r="3" spans="1:17" ht="4.9000000000000004" customHeight="1" thickBot="1">
      <c r="A3" s="1262"/>
      <c r="B3" s="1263" t="s">
        <v>774</v>
      </c>
      <c r="C3" s="1263"/>
      <c r="D3" s="1263"/>
      <c r="E3" s="1263"/>
      <c r="F3" s="1263"/>
      <c r="G3" s="1263"/>
      <c r="H3" s="1054"/>
      <c r="I3" s="1054"/>
      <c r="J3" s="1054"/>
      <c r="K3" s="1054"/>
      <c r="L3" s="1054"/>
      <c r="M3" s="402"/>
      <c r="N3" s="402"/>
      <c r="O3" s="402"/>
      <c r="P3" s="402"/>
    </row>
    <row r="4" spans="1:17" ht="12.75" hidden="1" customHeight="1">
      <c r="A4" s="1261"/>
      <c r="B4" s="1261"/>
      <c r="C4" s="1261"/>
      <c r="D4" s="1261"/>
      <c r="E4" s="1261"/>
      <c r="F4" s="1261"/>
      <c r="G4" s="1261"/>
    </row>
    <row r="5" spans="1:17" s="403" customFormat="1" ht="53.1" customHeight="1" thickBot="1">
      <c r="A5" s="992" t="s">
        <v>490</v>
      </c>
      <c r="B5" s="295" t="s">
        <v>58</v>
      </c>
      <c r="C5" s="295" t="s">
        <v>58</v>
      </c>
      <c r="D5" s="492" t="s">
        <v>981</v>
      </c>
      <c r="E5" s="492" t="s">
        <v>992</v>
      </c>
      <c r="F5" s="492" t="s">
        <v>1015</v>
      </c>
      <c r="G5" s="492" t="s">
        <v>993</v>
      </c>
      <c r="Q5" s="1256"/>
    </row>
    <row r="6" spans="1:17" s="403" customFormat="1" ht="15">
      <c r="C6" s="406"/>
      <c r="D6" s="409"/>
      <c r="E6" s="409"/>
      <c r="F6" s="409"/>
      <c r="G6" s="409"/>
      <c r="L6" s="610"/>
    </row>
    <row r="7" spans="1:17" s="403" customFormat="1" ht="15">
      <c r="A7" s="403" t="s">
        <v>58</v>
      </c>
      <c r="C7" s="406"/>
      <c r="D7" s="409"/>
      <c r="E7" s="409"/>
      <c r="F7" s="409"/>
      <c r="G7" s="409"/>
      <c r="L7" s="610"/>
    </row>
    <row r="8" spans="1:17" s="403" customFormat="1">
      <c r="A8" s="356" t="s">
        <v>1020</v>
      </c>
      <c r="B8" s="356"/>
      <c r="C8" s="356" t="s">
        <v>424</v>
      </c>
      <c r="D8" s="375">
        <v>648254</v>
      </c>
      <c r="E8" s="375">
        <v>982884</v>
      </c>
      <c r="F8" s="375">
        <v>0</v>
      </c>
      <c r="G8" s="375">
        <v>0</v>
      </c>
      <c r="L8" s="610"/>
      <c r="M8" s="410" t="s">
        <v>58</v>
      </c>
    </row>
    <row r="9" spans="1:17" s="411" customFormat="1">
      <c r="A9" s="361" t="s">
        <v>869</v>
      </c>
      <c r="B9" s="361"/>
      <c r="C9" s="361"/>
      <c r="D9" s="527">
        <v>16144538</v>
      </c>
      <c r="E9" s="1239">
        <v>0</v>
      </c>
      <c r="F9" s="1239">
        <v>0</v>
      </c>
      <c r="G9" s="1239">
        <v>0</v>
      </c>
      <c r="H9" s="403"/>
      <c r="I9" s="403"/>
      <c r="J9" s="403"/>
      <c r="K9" s="403"/>
      <c r="L9" s="610"/>
      <c r="M9" s="403"/>
      <c r="N9" s="403"/>
      <c r="O9" s="403"/>
    </row>
    <row r="10" spans="1:17" s="411" customFormat="1">
      <c r="A10" s="361" t="s">
        <v>867</v>
      </c>
      <c r="B10" s="361"/>
      <c r="C10" s="361"/>
      <c r="D10" s="1239">
        <v>685133</v>
      </c>
      <c r="E10" s="1239">
        <v>0</v>
      </c>
      <c r="F10" s="1239">
        <v>0</v>
      </c>
      <c r="G10" s="1239">
        <v>0</v>
      </c>
      <c r="L10" s="681"/>
    </row>
    <row r="11" spans="1:17" s="411" customFormat="1">
      <c r="A11" s="361" t="s">
        <v>509</v>
      </c>
      <c r="B11" s="361"/>
      <c r="C11" s="361"/>
      <c r="D11" s="375">
        <v>343537</v>
      </c>
      <c r="E11" s="375">
        <v>1038238</v>
      </c>
      <c r="F11" s="375">
        <v>1038238</v>
      </c>
      <c r="G11" s="375">
        <v>0</v>
      </c>
      <c r="L11" s="681"/>
      <c r="M11" s="412"/>
    </row>
    <row r="12" spans="1:17" s="411" customFormat="1">
      <c r="A12" s="361" t="s">
        <v>409</v>
      </c>
      <c r="B12" s="361"/>
      <c r="C12" s="361"/>
      <c r="D12" s="375">
        <v>0</v>
      </c>
      <c r="E12" s="375">
        <v>17041</v>
      </c>
      <c r="F12" s="375">
        <v>17041</v>
      </c>
      <c r="G12" s="375">
        <v>0</v>
      </c>
      <c r="L12" s="681"/>
      <c r="M12" s="412"/>
    </row>
    <row r="13" spans="1:17" s="411" customFormat="1">
      <c r="A13" s="361" t="s">
        <v>868</v>
      </c>
      <c r="B13" s="361"/>
      <c r="C13" s="361"/>
      <c r="D13" s="1239">
        <v>226912</v>
      </c>
      <c r="E13" s="1239">
        <v>0</v>
      </c>
      <c r="F13" s="1239">
        <v>0</v>
      </c>
      <c r="G13" s="1239">
        <v>0</v>
      </c>
      <c r="L13" s="681"/>
      <c r="M13" s="412"/>
    </row>
    <row r="14" spans="1:17" s="411" customFormat="1">
      <c r="A14" s="361" t="s">
        <v>1014</v>
      </c>
      <c r="B14" s="361"/>
      <c r="C14" s="361"/>
      <c r="D14" s="375">
        <v>0</v>
      </c>
      <c r="E14" s="375">
        <v>579600</v>
      </c>
      <c r="F14" s="375">
        <v>579600</v>
      </c>
      <c r="G14" s="375">
        <v>0</v>
      </c>
      <c r="L14" s="681"/>
    </row>
    <row r="15" spans="1:17" s="411" customFormat="1">
      <c r="A15" s="361" t="s">
        <v>870</v>
      </c>
      <c r="B15" s="361"/>
      <c r="C15" s="361"/>
      <c r="D15" s="375">
        <v>414867</v>
      </c>
      <c r="E15" s="375">
        <v>0</v>
      </c>
      <c r="F15" s="375">
        <v>0</v>
      </c>
      <c r="G15" s="375">
        <v>0</v>
      </c>
      <c r="L15" s="681"/>
    </row>
    <row r="16" spans="1:17" s="411" customFormat="1" ht="16.5" thickBot="1">
      <c r="A16" s="1253" t="s">
        <v>798</v>
      </c>
      <c r="B16" s="360"/>
      <c r="C16" s="360" t="s">
        <v>424</v>
      </c>
      <c r="D16" s="1046">
        <v>18463241</v>
      </c>
      <c r="E16" s="1046">
        <v>2617763</v>
      </c>
      <c r="F16" s="1046">
        <v>1634879</v>
      </c>
      <c r="G16" s="1046">
        <v>0</v>
      </c>
      <c r="L16" s="681"/>
    </row>
    <row r="17" spans="1:20" s="411" customFormat="1" ht="16.5" thickTop="1">
      <c r="D17" s="361"/>
      <c r="E17" s="994"/>
      <c r="F17" s="994"/>
      <c r="G17" s="361"/>
      <c r="L17" s="681"/>
    </row>
    <row r="18" spans="1:20" ht="16.5" customHeight="1" thickBot="1">
      <c r="A18" s="1262"/>
      <c r="B18" s="1263" t="s">
        <v>774</v>
      </c>
      <c r="C18" s="1263"/>
      <c r="D18" s="1263"/>
      <c r="E18" s="1263"/>
      <c r="F18" s="1263"/>
      <c r="G18" s="1263"/>
      <c r="H18" s="1054"/>
      <c r="I18" s="1054"/>
      <c r="J18" s="1054"/>
      <c r="K18" s="1054"/>
      <c r="L18" s="1054"/>
      <c r="M18" s="402"/>
      <c r="N18" s="402"/>
      <c r="O18" s="402"/>
    </row>
    <row r="19" spans="1:20" s="411" customFormat="1" ht="53.1" customHeight="1" thickBot="1">
      <c r="A19" s="992" t="s">
        <v>533</v>
      </c>
      <c r="B19" s="295" t="s">
        <v>58</v>
      </c>
      <c r="C19" s="295" t="s">
        <v>58</v>
      </c>
      <c r="D19" s="492" t="s">
        <v>981</v>
      </c>
      <c r="E19" s="492" t="s">
        <v>992</v>
      </c>
      <c r="F19" s="492" t="s">
        <v>1015</v>
      </c>
      <c r="G19" s="492" t="s">
        <v>993</v>
      </c>
      <c r="L19" s="681"/>
      <c r="M19" s="412"/>
      <c r="P19" s="411" t="s">
        <v>58</v>
      </c>
    </row>
    <row r="20" spans="1:20" s="411" customFormat="1">
      <c r="A20" s="403"/>
      <c r="B20" s="403"/>
      <c r="C20" s="406"/>
      <c r="D20" s="401"/>
      <c r="E20" s="401"/>
      <c r="F20" s="401"/>
      <c r="G20" s="401"/>
      <c r="H20" s="993">
        <v>0</v>
      </c>
      <c r="L20" s="681"/>
      <c r="M20" s="412" t="s">
        <v>58</v>
      </c>
    </row>
    <row r="21" spans="1:20" s="411" customFormat="1">
      <c r="A21" s="403" t="s">
        <v>58</v>
      </c>
      <c r="B21" s="403"/>
      <c r="C21" s="406"/>
      <c r="D21" s="401"/>
      <c r="E21" s="401"/>
      <c r="F21" s="401"/>
      <c r="G21" s="401"/>
      <c r="L21" s="681"/>
    </row>
    <row r="22" spans="1:20" s="411" customFormat="1">
      <c r="A22" s="361" t="s">
        <v>872</v>
      </c>
      <c r="B22" s="361"/>
      <c r="C22" s="361" t="s">
        <v>424</v>
      </c>
      <c r="D22" s="995">
        <v>3905410</v>
      </c>
      <c r="E22" s="995">
        <v>4058400</v>
      </c>
      <c r="F22" s="995">
        <v>4058400</v>
      </c>
      <c r="G22" s="995">
        <v>4413026</v>
      </c>
      <c r="L22" s="681"/>
      <c r="M22" s="411" t="s">
        <v>58</v>
      </c>
    </row>
    <row r="23" spans="1:20" s="411" customFormat="1">
      <c r="A23" s="361" t="s">
        <v>871</v>
      </c>
      <c r="B23" s="361"/>
      <c r="C23" s="361"/>
      <c r="D23" s="995">
        <v>77512.67</v>
      </c>
      <c r="E23" s="995">
        <v>83200</v>
      </c>
      <c r="F23" s="995">
        <v>83200</v>
      </c>
      <c r="G23" s="995">
        <v>0</v>
      </c>
      <c r="L23" s="681"/>
    </row>
    <row r="24" spans="1:20" s="411" customFormat="1">
      <c r="A24" s="361" t="s">
        <v>509</v>
      </c>
      <c r="B24" s="361"/>
      <c r="C24" s="361"/>
      <c r="D24" s="995">
        <v>1512736.16</v>
      </c>
      <c r="E24" s="995">
        <v>5197554</v>
      </c>
      <c r="F24" s="995">
        <v>5197554</v>
      </c>
      <c r="G24" s="995">
        <v>6863750</v>
      </c>
      <c r="L24" s="681"/>
    </row>
    <row r="25" spans="1:20" s="411" customFormat="1">
      <c r="A25" s="361" t="s">
        <v>536</v>
      </c>
      <c r="B25" s="361"/>
      <c r="C25" s="361"/>
      <c r="D25" s="995">
        <v>54242.21</v>
      </c>
      <c r="E25" s="995">
        <v>741300.47</v>
      </c>
      <c r="F25" s="995">
        <v>741300.47</v>
      </c>
      <c r="G25" s="995">
        <v>1213199</v>
      </c>
      <c r="L25" s="681"/>
      <c r="Q25" s="412"/>
    </row>
    <row r="26" spans="1:20" s="403" customFormat="1">
      <c r="A26" s="361" t="s">
        <v>870</v>
      </c>
      <c r="B26" s="361"/>
      <c r="C26" s="361"/>
      <c r="D26" s="995">
        <v>45000</v>
      </c>
      <c r="E26" s="995">
        <v>0</v>
      </c>
      <c r="F26" s="995">
        <v>0</v>
      </c>
      <c r="G26" s="995">
        <v>0</v>
      </c>
      <c r="L26" s="610"/>
      <c r="P26" s="1459"/>
      <c r="Q26" s="412"/>
      <c r="R26" s="411"/>
      <c r="S26" s="411"/>
      <c r="T26" s="411"/>
    </row>
    <row r="27" spans="1:20" s="403" customFormat="1">
      <c r="A27" s="361" t="s">
        <v>846</v>
      </c>
      <c r="B27" s="361"/>
      <c r="C27" s="361"/>
      <c r="D27" s="995">
        <v>0</v>
      </c>
      <c r="E27" s="995">
        <v>2055000</v>
      </c>
      <c r="F27" s="995">
        <v>2055000</v>
      </c>
      <c r="G27" s="995">
        <v>3000000</v>
      </c>
      <c r="L27" s="610"/>
      <c r="P27" s="1459"/>
      <c r="Q27" s="412"/>
      <c r="R27" s="411"/>
      <c r="S27" s="411"/>
      <c r="T27" s="411"/>
    </row>
    <row r="28" spans="1:20" s="411" customFormat="1">
      <c r="A28" s="361" t="s">
        <v>540</v>
      </c>
      <c r="B28" s="361"/>
      <c r="C28" s="361"/>
      <c r="D28" s="527">
        <v>31181159.120000001</v>
      </c>
      <c r="E28" s="1239">
        <v>21564863</v>
      </c>
      <c r="F28" s="1239">
        <v>21564863</v>
      </c>
      <c r="G28" s="1239">
        <v>20948936</v>
      </c>
      <c r="Q28" s="412"/>
    </row>
    <row r="29" spans="1:20" s="411" customFormat="1">
      <c r="A29" s="361" t="s">
        <v>499</v>
      </c>
      <c r="B29" s="361"/>
      <c r="C29" s="361"/>
      <c r="D29" s="1239">
        <v>3575916.24</v>
      </c>
      <c r="E29" s="1239">
        <v>3019449</v>
      </c>
      <c r="F29" s="1239">
        <v>3019449</v>
      </c>
      <c r="G29" s="1239">
        <v>3412065</v>
      </c>
      <c r="Q29" s="412"/>
    </row>
    <row r="30" spans="1:20" s="411" customFormat="1">
      <c r="A30" s="361" t="s">
        <v>847</v>
      </c>
      <c r="B30" s="361"/>
      <c r="C30" s="361"/>
      <c r="D30" s="995">
        <v>0</v>
      </c>
      <c r="E30" s="995">
        <v>97151.66</v>
      </c>
      <c r="F30" s="995">
        <v>97151.66</v>
      </c>
      <c r="G30" s="995">
        <v>0</v>
      </c>
      <c r="Q30" s="412"/>
    </row>
    <row r="31" spans="1:20" s="411" customFormat="1" ht="16.5" thickBot="1">
      <c r="A31" s="1253" t="s">
        <v>807</v>
      </c>
      <c r="B31" s="360"/>
      <c r="C31" s="360" t="s">
        <v>424</v>
      </c>
      <c r="D31" s="1047">
        <v>40351976</v>
      </c>
      <c r="E31" s="1047">
        <v>36816918.129999995</v>
      </c>
      <c r="F31" s="1047">
        <v>36816918.129999995</v>
      </c>
      <c r="G31" s="1047">
        <v>39850976</v>
      </c>
      <c r="M31" s="411" t="s">
        <v>58</v>
      </c>
      <c r="Q31" s="412"/>
    </row>
    <row r="32" spans="1:20" s="411" customFormat="1" thickTop="1">
      <c r="A32" s="683" t="s">
        <v>1021</v>
      </c>
      <c r="B32" s="403"/>
      <c r="C32" s="403"/>
      <c r="D32" s="403"/>
      <c r="E32" s="403"/>
      <c r="F32" s="403"/>
      <c r="G32" s="403"/>
      <c r="Q32" s="412"/>
    </row>
    <row r="33" spans="1:20" s="411" customFormat="1" ht="15">
      <c r="A33" s="403"/>
      <c r="B33" s="403"/>
      <c r="C33" s="403"/>
      <c r="D33" s="403"/>
      <c r="E33" s="403"/>
      <c r="F33" s="403"/>
      <c r="G33" s="403"/>
      <c r="Q33" s="412"/>
      <c r="R33" s="403"/>
      <c r="S33" s="403"/>
      <c r="T33" s="403"/>
    </row>
    <row r="34" spans="1:20" s="411" customFormat="1" ht="15">
      <c r="A34" s="403"/>
      <c r="B34" s="403"/>
      <c r="C34" s="403"/>
      <c r="D34" s="403"/>
      <c r="E34" s="403"/>
      <c r="F34" s="403"/>
      <c r="G34" s="403"/>
      <c r="Q34" s="412"/>
    </row>
    <row r="35" spans="1:20" s="411" customFormat="1" ht="15">
      <c r="A35" s="403"/>
      <c r="B35" s="403"/>
      <c r="C35" s="403"/>
      <c r="D35" s="403"/>
      <c r="E35" s="403"/>
      <c r="F35" s="403"/>
      <c r="G35" s="403"/>
      <c r="P35" s="403"/>
      <c r="Q35" s="410"/>
      <c r="R35" s="403"/>
      <c r="S35" s="403"/>
      <c r="T35" s="403"/>
    </row>
    <row r="36" spans="1:20" s="403" customFormat="1" ht="15">
      <c r="H36" s="411"/>
      <c r="I36" s="411"/>
      <c r="J36" s="411"/>
      <c r="K36" s="411"/>
      <c r="L36" s="411"/>
      <c r="M36" s="411"/>
      <c r="N36" s="411"/>
      <c r="O36" s="411"/>
      <c r="Q36" s="410"/>
    </row>
    <row r="37" spans="1:20" s="411" customFormat="1" ht="15">
      <c r="A37" s="403"/>
      <c r="B37" s="403"/>
      <c r="C37" s="403"/>
      <c r="D37" s="403"/>
      <c r="E37" s="403"/>
      <c r="F37" s="403"/>
      <c r="G37" s="403"/>
      <c r="I37" s="411" t="s">
        <v>58</v>
      </c>
      <c r="L37" s="681"/>
      <c r="M37" s="411" t="s">
        <v>58</v>
      </c>
      <c r="P37" s="403"/>
      <c r="Q37" s="410"/>
      <c r="R37" s="403"/>
      <c r="S37" s="403"/>
      <c r="T37" s="403"/>
    </row>
    <row r="38" spans="1:20" s="403" customFormat="1" ht="15">
      <c r="M38" s="403" t="s">
        <v>58</v>
      </c>
      <c r="Q38" s="410"/>
    </row>
    <row r="39" spans="1:20" s="403" customFormat="1" ht="15">
      <c r="Q39" s="410"/>
    </row>
    <row r="40" spans="1:20" s="403" customFormat="1" ht="15">
      <c r="Q40" s="410"/>
    </row>
    <row r="41" spans="1:20" s="403" customFormat="1" ht="15">
      <c r="Q41" s="410"/>
    </row>
    <row r="42" spans="1:20" s="403" customFormat="1" ht="15">
      <c r="Q42" s="410"/>
    </row>
    <row r="43" spans="1:20" s="403" customFormat="1" ht="15">
      <c r="Q43" s="410"/>
    </row>
    <row r="44" spans="1:20" s="403" customFormat="1" ht="15">
      <c r="Q44" s="410"/>
    </row>
    <row r="45" spans="1:20" s="403" customFormat="1" ht="15">
      <c r="Q45" s="410"/>
    </row>
    <row r="46" spans="1:20" s="403" customFormat="1" ht="15">
      <c r="Q46" s="410"/>
    </row>
    <row r="47" spans="1:20" s="403" customFormat="1" ht="15">
      <c r="Q47" s="410"/>
    </row>
    <row r="48" spans="1:20" s="403" customFormat="1" ht="15">
      <c r="Q48" s="410"/>
    </row>
    <row r="49" spans="17:17" s="403" customFormat="1" ht="15">
      <c r="Q49" s="410"/>
    </row>
    <row r="50" spans="17:17" s="403" customFormat="1" ht="15">
      <c r="Q50" s="410"/>
    </row>
    <row r="51" spans="17:17" s="403" customFormat="1" ht="15">
      <c r="Q51" s="410"/>
    </row>
    <row r="52" spans="17:17" s="403" customFormat="1" ht="15">
      <c r="Q52" s="410"/>
    </row>
    <row r="53" spans="17:17" s="403" customFormat="1" ht="15">
      <c r="Q53" s="410"/>
    </row>
    <row r="54" spans="17:17" s="403" customFormat="1" ht="15">
      <c r="Q54" s="410"/>
    </row>
    <row r="55" spans="17:17" s="403" customFormat="1" ht="15">
      <c r="Q55" s="410"/>
    </row>
    <row r="56" spans="17:17" s="403" customFormat="1" ht="15">
      <c r="Q56" s="410"/>
    </row>
    <row r="57" spans="17:17" s="403" customFormat="1" ht="15">
      <c r="Q57" s="410"/>
    </row>
    <row r="58" spans="17:17" s="403" customFormat="1" ht="15">
      <c r="Q58" s="410"/>
    </row>
    <row r="59" spans="17:17" s="403" customFormat="1" ht="15">
      <c r="Q59" s="410"/>
    </row>
    <row r="60" spans="17:17" s="403" customFormat="1" ht="15">
      <c r="Q60" s="410"/>
    </row>
    <row r="61" spans="17:17" s="403" customFormat="1" ht="15">
      <c r="Q61" s="410"/>
    </row>
    <row r="62" spans="17:17" s="403" customFormat="1" ht="15">
      <c r="Q62" s="410"/>
    </row>
    <row r="63" spans="17:17" s="403" customFormat="1" ht="15">
      <c r="Q63" s="410"/>
    </row>
    <row r="64" spans="17:17" s="403" customFormat="1" ht="15">
      <c r="Q64" s="410"/>
    </row>
    <row r="65" spans="17:17" s="403" customFormat="1" ht="15">
      <c r="Q65" s="410"/>
    </row>
    <row r="66" spans="17:17" s="403" customFormat="1" ht="15">
      <c r="Q66" s="410"/>
    </row>
    <row r="67" spans="17:17" s="403" customFormat="1" ht="15">
      <c r="Q67" s="410"/>
    </row>
    <row r="68" spans="17:17" s="403" customFormat="1" ht="15">
      <c r="Q68" s="410"/>
    </row>
    <row r="69" spans="17:17" s="403" customFormat="1" ht="15">
      <c r="Q69" s="410"/>
    </row>
    <row r="70" spans="17:17" s="403" customFormat="1" ht="15">
      <c r="Q70" s="410"/>
    </row>
    <row r="71" spans="17:17" s="403" customFormat="1" ht="15">
      <c r="Q71" s="410"/>
    </row>
    <row r="72" spans="17:17" s="403" customFormat="1" ht="15">
      <c r="Q72" s="410"/>
    </row>
    <row r="73" spans="17:17" s="403" customFormat="1" ht="15">
      <c r="Q73" s="410"/>
    </row>
    <row r="74" spans="17:17" s="403" customFormat="1" ht="15">
      <c r="Q74" s="410"/>
    </row>
    <row r="75" spans="17:17" s="403" customFormat="1" ht="15">
      <c r="Q75" s="410"/>
    </row>
    <row r="76" spans="17:17" s="403" customFormat="1" ht="15">
      <c r="Q76" s="410"/>
    </row>
    <row r="77" spans="17:17" s="403" customFormat="1" ht="15">
      <c r="Q77" s="410"/>
    </row>
    <row r="78" spans="17:17" s="403" customFormat="1" ht="15">
      <c r="Q78" s="410"/>
    </row>
    <row r="79" spans="17:17" s="403" customFormat="1" ht="15">
      <c r="Q79" s="410"/>
    </row>
    <row r="80" spans="17:17" s="403" customFormat="1" ht="15">
      <c r="Q80" s="410"/>
    </row>
    <row r="81" spans="17:17" s="403" customFormat="1" ht="15">
      <c r="Q81" s="410"/>
    </row>
    <row r="82" spans="17:17" s="403" customFormat="1" ht="15">
      <c r="Q82" s="410"/>
    </row>
    <row r="83" spans="17:17" s="403" customFormat="1" ht="15">
      <c r="Q83" s="410"/>
    </row>
    <row r="84" spans="17:17" s="403" customFormat="1" ht="15">
      <c r="Q84" s="410"/>
    </row>
    <row r="85" spans="17:17" s="403" customFormat="1" ht="15">
      <c r="Q85" s="410"/>
    </row>
    <row r="86" spans="17:17" s="403" customFormat="1" ht="15">
      <c r="Q86" s="410"/>
    </row>
    <row r="87" spans="17:17" s="403" customFormat="1" ht="15">
      <c r="Q87" s="410"/>
    </row>
    <row r="88" spans="17:17" s="403" customFormat="1" ht="15">
      <c r="Q88" s="410"/>
    </row>
    <row r="89" spans="17:17" s="403" customFormat="1" ht="15">
      <c r="Q89" s="410"/>
    </row>
    <row r="90" spans="17:17" s="403" customFormat="1" ht="15">
      <c r="Q90" s="410"/>
    </row>
    <row r="91" spans="17:17" s="403" customFormat="1" ht="15">
      <c r="Q91" s="410"/>
    </row>
    <row r="92" spans="17:17" s="403" customFormat="1" ht="15">
      <c r="Q92" s="410"/>
    </row>
    <row r="93" spans="17:17" s="403" customFormat="1" ht="15">
      <c r="Q93" s="410"/>
    </row>
    <row r="94" spans="17:17" s="403" customFormat="1" ht="15">
      <c r="Q94" s="410"/>
    </row>
    <row r="95" spans="17:17" s="403" customFormat="1" ht="15">
      <c r="Q95" s="410"/>
    </row>
    <row r="96" spans="17:17" s="403" customFormat="1" ht="15">
      <c r="Q96" s="410"/>
    </row>
    <row r="97" spans="17:17" s="403" customFormat="1" ht="15">
      <c r="Q97" s="410"/>
    </row>
    <row r="98" spans="17:17" s="403" customFormat="1" ht="15">
      <c r="Q98" s="410"/>
    </row>
    <row r="99" spans="17:17" s="403" customFormat="1" ht="15">
      <c r="Q99" s="410"/>
    </row>
    <row r="100" spans="17:17" s="403" customFormat="1" ht="15">
      <c r="Q100" s="410"/>
    </row>
    <row r="101" spans="17:17" s="403" customFormat="1" ht="15">
      <c r="Q101" s="410"/>
    </row>
    <row r="102" spans="17:17" s="403" customFormat="1" ht="15">
      <c r="Q102" s="410"/>
    </row>
    <row r="103" spans="17:17" s="403" customFormat="1" ht="15">
      <c r="Q103" s="410"/>
    </row>
    <row r="104" spans="17:17" s="403" customFormat="1" ht="15">
      <c r="Q104" s="410"/>
    </row>
    <row r="105" spans="17:17" s="403" customFormat="1" ht="15">
      <c r="Q105" s="410"/>
    </row>
    <row r="106" spans="17:17" s="403" customFormat="1" ht="15">
      <c r="Q106" s="410"/>
    </row>
    <row r="107" spans="17:17" s="403" customFormat="1" ht="15">
      <c r="Q107" s="410"/>
    </row>
    <row r="108" spans="17:17" s="403" customFormat="1" ht="15">
      <c r="Q108" s="410"/>
    </row>
    <row r="109" spans="17:17" s="403" customFormat="1" ht="15">
      <c r="Q109" s="410"/>
    </row>
    <row r="110" spans="17:17" s="403" customFormat="1" ht="15">
      <c r="Q110" s="410"/>
    </row>
    <row r="111" spans="17:17" s="403" customFormat="1" ht="15">
      <c r="Q111" s="410"/>
    </row>
    <row r="112" spans="17:17" s="403" customFormat="1" ht="15">
      <c r="Q112" s="410"/>
    </row>
    <row r="113" spans="17:17" s="403" customFormat="1" ht="15">
      <c r="Q113" s="410"/>
    </row>
    <row r="114" spans="17:17" s="403" customFormat="1" ht="15">
      <c r="Q114" s="410"/>
    </row>
    <row r="115" spans="17:17" s="403" customFormat="1" ht="15">
      <c r="Q115" s="410"/>
    </row>
    <row r="116" spans="17:17" s="403" customFormat="1" ht="15">
      <c r="Q116" s="410"/>
    </row>
    <row r="117" spans="17:17" s="403" customFormat="1" ht="15">
      <c r="Q117" s="410"/>
    </row>
    <row r="118" spans="17:17" s="403" customFormat="1" ht="15">
      <c r="Q118" s="410"/>
    </row>
    <row r="119" spans="17:17" s="403" customFormat="1" ht="15">
      <c r="Q119" s="410"/>
    </row>
    <row r="120" spans="17:17" s="403" customFormat="1" ht="15">
      <c r="Q120" s="410"/>
    </row>
    <row r="121" spans="17:17" s="403" customFormat="1" ht="15">
      <c r="Q121" s="410"/>
    </row>
    <row r="122" spans="17:17" s="403" customFormat="1" ht="15">
      <c r="Q122" s="410"/>
    </row>
    <row r="123" spans="17:17" s="403" customFormat="1" ht="15">
      <c r="Q123" s="410"/>
    </row>
    <row r="124" spans="17:17" s="403" customFormat="1" ht="15">
      <c r="Q124" s="410"/>
    </row>
    <row r="125" spans="17:17" s="403" customFormat="1" ht="15">
      <c r="Q125" s="410"/>
    </row>
    <row r="126" spans="17:17" s="403" customFormat="1" ht="15">
      <c r="Q126" s="410"/>
    </row>
    <row r="127" spans="17:17" s="403" customFormat="1" ht="15">
      <c r="Q127" s="410"/>
    </row>
    <row r="128" spans="17:17" s="403" customFormat="1" ht="15">
      <c r="Q128" s="410"/>
    </row>
    <row r="129" spans="17:17" s="403" customFormat="1" ht="15">
      <c r="Q129" s="410"/>
    </row>
    <row r="130" spans="17:17" s="403" customFormat="1" ht="15">
      <c r="Q130" s="410"/>
    </row>
    <row r="131" spans="17:17" s="403" customFormat="1" ht="15">
      <c r="Q131" s="410"/>
    </row>
    <row r="132" spans="17:17" s="403" customFormat="1" ht="15">
      <c r="Q132" s="410"/>
    </row>
    <row r="133" spans="17:17" s="403" customFormat="1" ht="15">
      <c r="Q133" s="410"/>
    </row>
    <row r="134" spans="17:17" s="403" customFormat="1" ht="15">
      <c r="Q134" s="410"/>
    </row>
    <row r="135" spans="17:17" s="403" customFormat="1" ht="15">
      <c r="Q135" s="410"/>
    </row>
    <row r="136" spans="17:17" s="403" customFormat="1" ht="15">
      <c r="Q136" s="410"/>
    </row>
    <row r="137" spans="17:17" s="403" customFormat="1" ht="15">
      <c r="Q137" s="410"/>
    </row>
    <row r="138" spans="17:17" s="403" customFormat="1" ht="15">
      <c r="Q138" s="410"/>
    </row>
    <row r="139" spans="17:17" s="403" customFormat="1" ht="15">
      <c r="Q139" s="410"/>
    </row>
    <row r="140" spans="17:17" s="403" customFormat="1" ht="15">
      <c r="Q140" s="410"/>
    </row>
    <row r="141" spans="17:17" s="403" customFormat="1" ht="15">
      <c r="Q141" s="410"/>
    </row>
    <row r="142" spans="17:17" s="403" customFormat="1" ht="15">
      <c r="Q142" s="410"/>
    </row>
    <row r="143" spans="17:17" s="403" customFormat="1" ht="15">
      <c r="Q143" s="410"/>
    </row>
    <row r="144" spans="17:17" s="403" customFormat="1" ht="15">
      <c r="Q144" s="410"/>
    </row>
    <row r="145" spans="17:17" s="403" customFormat="1" ht="15">
      <c r="Q145" s="410"/>
    </row>
    <row r="146" spans="17:17" s="403" customFormat="1" ht="15">
      <c r="Q146" s="410"/>
    </row>
    <row r="147" spans="17:17" s="403" customFormat="1" ht="15">
      <c r="Q147" s="410"/>
    </row>
    <row r="148" spans="17:17" s="403" customFormat="1" ht="15">
      <c r="Q148" s="410"/>
    </row>
    <row r="149" spans="17:17" s="403" customFormat="1" ht="15">
      <c r="Q149" s="410"/>
    </row>
    <row r="150" spans="17:17" s="403" customFormat="1" ht="15">
      <c r="Q150" s="410"/>
    </row>
    <row r="151" spans="17:17" s="403" customFormat="1" ht="15">
      <c r="Q151" s="410"/>
    </row>
    <row r="152" spans="17:17" s="403" customFormat="1" ht="15">
      <c r="Q152" s="410"/>
    </row>
    <row r="153" spans="17:17" s="403" customFormat="1" ht="15">
      <c r="Q153" s="410"/>
    </row>
    <row r="154" spans="17:17" s="403" customFormat="1" ht="15">
      <c r="Q154" s="410"/>
    </row>
    <row r="155" spans="17:17" s="403" customFormat="1" ht="15">
      <c r="Q155" s="410"/>
    </row>
    <row r="156" spans="17:17" s="403" customFormat="1" ht="15">
      <c r="Q156" s="410"/>
    </row>
    <row r="157" spans="17:17" s="403" customFormat="1" ht="15">
      <c r="Q157" s="410"/>
    </row>
    <row r="158" spans="17:17" s="403" customFormat="1" ht="15">
      <c r="Q158" s="410"/>
    </row>
    <row r="159" spans="17:17" s="403" customFormat="1" ht="15">
      <c r="Q159" s="410"/>
    </row>
    <row r="160" spans="17:17" s="403" customFormat="1" ht="15">
      <c r="Q160" s="410"/>
    </row>
    <row r="161" spans="17:17" s="403" customFormat="1" ht="15">
      <c r="Q161" s="410"/>
    </row>
    <row r="162" spans="17:17" s="403" customFormat="1" ht="15">
      <c r="Q162" s="410"/>
    </row>
    <row r="163" spans="17:17" s="403" customFormat="1" ht="15">
      <c r="Q163" s="410"/>
    </row>
    <row r="164" spans="17:17" s="403" customFormat="1" ht="15">
      <c r="Q164" s="410"/>
    </row>
    <row r="165" spans="17:17" s="403" customFormat="1" ht="15">
      <c r="Q165" s="410"/>
    </row>
    <row r="166" spans="17:17" s="403" customFormat="1" ht="15">
      <c r="Q166" s="410"/>
    </row>
    <row r="167" spans="17:17" s="403" customFormat="1" ht="15">
      <c r="Q167" s="410"/>
    </row>
    <row r="168" spans="17:17" s="403" customFormat="1" ht="15">
      <c r="Q168" s="410"/>
    </row>
    <row r="169" spans="17:17" s="403" customFormat="1" ht="15">
      <c r="Q169" s="410"/>
    </row>
    <row r="170" spans="17:17" s="403" customFormat="1" ht="15">
      <c r="Q170" s="410"/>
    </row>
    <row r="171" spans="17:17" s="403" customFormat="1" ht="15">
      <c r="Q171" s="410"/>
    </row>
    <row r="172" spans="17:17" s="403" customFormat="1" ht="15">
      <c r="Q172" s="410"/>
    </row>
    <row r="173" spans="17:17" s="403" customFormat="1" ht="15">
      <c r="Q173" s="410"/>
    </row>
    <row r="174" spans="17:17" s="403" customFormat="1" ht="15">
      <c r="Q174" s="410"/>
    </row>
    <row r="175" spans="17:17" s="403" customFormat="1" ht="15">
      <c r="Q175" s="410"/>
    </row>
    <row r="176" spans="17:17" s="403" customFormat="1" ht="15">
      <c r="Q176" s="410"/>
    </row>
    <row r="177" spans="17:17" s="403" customFormat="1" ht="15">
      <c r="Q177" s="410"/>
    </row>
    <row r="178" spans="17:17" s="403" customFormat="1" ht="15">
      <c r="Q178" s="410"/>
    </row>
    <row r="179" spans="17:17" s="403" customFormat="1" ht="15">
      <c r="Q179" s="410"/>
    </row>
    <row r="180" spans="17:17" s="403" customFormat="1" ht="15">
      <c r="Q180" s="410"/>
    </row>
    <row r="181" spans="17:17" s="403" customFormat="1" ht="15">
      <c r="Q181" s="410"/>
    </row>
    <row r="182" spans="17:17" s="403" customFormat="1" ht="15">
      <c r="Q182" s="410"/>
    </row>
    <row r="183" spans="17:17" s="403" customFormat="1" ht="15">
      <c r="Q183" s="410"/>
    </row>
    <row r="184" spans="17:17" s="403" customFormat="1" ht="15">
      <c r="Q184" s="410"/>
    </row>
    <row r="185" spans="17:17" s="403" customFormat="1" ht="15">
      <c r="Q185" s="410"/>
    </row>
    <row r="186" spans="17:17" s="403" customFormat="1" ht="15">
      <c r="Q186" s="410"/>
    </row>
    <row r="187" spans="17:17" s="403" customFormat="1" ht="15">
      <c r="Q187" s="410"/>
    </row>
    <row r="188" spans="17:17" s="403" customFormat="1" ht="15">
      <c r="Q188" s="410"/>
    </row>
    <row r="189" spans="17:17" s="403" customFormat="1" ht="15">
      <c r="Q189" s="410"/>
    </row>
    <row r="190" spans="17:17" s="403" customFormat="1" ht="15">
      <c r="Q190" s="410"/>
    </row>
    <row r="191" spans="17:17" s="403" customFormat="1" ht="15">
      <c r="Q191" s="410"/>
    </row>
    <row r="192" spans="17:17" s="403" customFormat="1" ht="15">
      <c r="Q192" s="410"/>
    </row>
    <row r="193" spans="17:17" s="403" customFormat="1" ht="15">
      <c r="Q193" s="410"/>
    </row>
    <row r="194" spans="17:17" s="403" customFormat="1" ht="15">
      <c r="Q194" s="410"/>
    </row>
    <row r="195" spans="17:17" s="403" customFormat="1" ht="15">
      <c r="Q195" s="410"/>
    </row>
    <row r="196" spans="17:17" s="403" customFormat="1" ht="15">
      <c r="Q196" s="410"/>
    </row>
    <row r="197" spans="17:17" s="403" customFormat="1" ht="15">
      <c r="Q197" s="410"/>
    </row>
    <row r="198" spans="17:17" s="403" customFormat="1" ht="15">
      <c r="Q198" s="410"/>
    </row>
    <row r="199" spans="17:17" s="403" customFormat="1" ht="15">
      <c r="Q199" s="410"/>
    </row>
    <row r="200" spans="17:17" s="403" customFormat="1" ht="15">
      <c r="Q200" s="410"/>
    </row>
    <row r="201" spans="17:17" s="403" customFormat="1" ht="15">
      <c r="Q201" s="410"/>
    </row>
    <row r="202" spans="17:17" s="403" customFormat="1" ht="15">
      <c r="Q202" s="410"/>
    </row>
    <row r="203" spans="17:17" s="403" customFormat="1" ht="15">
      <c r="Q203" s="410"/>
    </row>
    <row r="204" spans="17:17" s="403" customFormat="1" ht="15">
      <c r="Q204" s="410"/>
    </row>
    <row r="205" spans="17:17" s="403" customFormat="1" ht="15">
      <c r="Q205" s="410"/>
    </row>
    <row r="206" spans="17:17" s="403" customFormat="1" ht="15">
      <c r="Q206" s="410"/>
    </row>
    <row r="207" spans="17:17" s="403" customFormat="1" ht="15">
      <c r="Q207" s="410"/>
    </row>
    <row r="208" spans="17:17" s="403" customFormat="1" ht="15">
      <c r="Q208" s="410"/>
    </row>
    <row r="209" spans="17:17" s="403" customFormat="1" ht="15">
      <c r="Q209" s="410"/>
    </row>
    <row r="210" spans="17:17" s="403" customFormat="1" ht="15">
      <c r="Q210" s="410"/>
    </row>
    <row r="211" spans="17:17" s="403" customFormat="1" ht="15">
      <c r="Q211" s="410"/>
    </row>
    <row r="212" spans="17:17" s="403" customFormat="1" ht="15">
      <c r="Q212" s="410"/>
    </row>
    <row r="213" spans="17:17" s="403" customFormat="1" ht="15">
      <c r="Q213" s="410"/>
    </row>
    <row r="214" spans="17:17" s="403" customFormat="1" ht="15">
      <c r="Q214" s="410"/>
    </row>
    <row r="215" spans="17:17" s="403" customFormat="1" ht="15">
      <c r="Q215" s="410"/>
    </row>
    <row r="216" spans="17:17" s="403" customFormat="1" ht="15">
      <c r="Q216" s="410"/>
    </row>
    <row r="217" spans="17:17" s="403" customFormat="1" ht="15">
      <c r="Q217" s="410"/>
    </row>
    <row r="218" spans="17:17" s="403" customFormat="1" ht="15">
      <c r="Q218" s="410"/>
    </row>
    <row r="219" spans="17:17" s="403" customFormat="1" ht="15">
      <c r="Q219" s="410"/>
    </row>
    <row r="220" spans="17:17" s="403" customFormat="1" ht="15">
      <c r="Q220" s="410"/>
    </row>
    <row r="221" spans="17:17" s="403" customFormat="1" ht="15">
      <c r="Q221" s="410"/>
    </row>
    <row r="222" spans="17:17" s="403" customFormat="1" ht="15">
      <c r="Q222" s="410"/>
    </row>
    <row r="223" spans="17:17" s="403" customFormat="1" ht="15">
      <c r="Q223" s="410"/>
    </row>
    <row r="224" spans="17:17" s="403" customFormat="1" ht="15">
      <c r="Q224" s="410"/>
    </row>
    <row r="225" spans="17:17" s="403" customFormat="1" ht="15">
      <c r="Q225" s="410"/>
    </row>
    <row r="226" spans="17:17" s="403" customFormat="1" ht="15">
      <c r="Q226" s="410"/>
    </row>
    <row r="227" spans="17:17" s="403" customFormat="1" ht="15">
      <c r="Q227" s="410"/>
    </row>
    <row r="228" spans="17:17" s="403" customFormat="1" ht="15">
      <c r="Q228" s="410"/>
    </row>
    <row r="229" spans="17:17" s="403" customFormat="1" ht="15">
      <c r="Q229" s="410"/>
    </row>
    <row r="230" spans="17:17" s="403" customFormat="1" ht="15">
      <c r="Q230" s="410"/>
    </row>
    <row r="231" spans="17:17" s="403" customFormat="1" ht="15">
      <c r="Q231" s="410"/>
    </row>
    <row r="232" spans="17:17" s="403" customFormat="1" ht="15">
      <c r="Q232" s="410"/>
    </row>
    <row r="233" spans="17:17" s="403" customFormat="1" ht="15">
      <c r="Q233" s="410"/>
    </row>
    <row r="234" spans="17:17" s="403" customFormat="1" ht="15">
      <c r="Q234" s="410"/>
    </row>
    <row r="235" spans="17:17" s="403" customFormat="1" ht="15">
      <c r="Q235" s="410"/>
    </row>
    <row r="236" spans="17:17" s="403" customFormat="1" ht="15">
      <c r="Q236" s="410"/>
    </row>
    <row r="237" spans="17:17" s="403" customFormat="1" ht="15">
      <c r="Q237" s="410"/>
    </row>
    <row r="238" spans="17:17" s="403" customFormat="1" ht="15">
      <c r="Q238" s="410"/>
    </row>
    <row r="239" spans="17:17" s="403" customFormat="1" ht="15">
      <c r="Q239" s="410"/>
    </row>
    <row r="240" spans="17:17" s="403" customFormat="1" ht="15">
      <c r="Q240" s="410"/>
    </row>
    <row r="241" spans="17:17" s="403" customFormat="1" ht="15">
      <c r="Q241" s="410"/>
    </row>
    <row r="242" spans="17:17" s="403" customFormat="1" ht="15">
      <c r="Q242" s="410"/>
    </row>
    <row r="243" spans="17:17" s="403" customFormat="1" ht="15">
      <c r="Q243" s="410"/>
    </row>
    <row r="244" spans="17:17" s="403" customFormat="1" ht="15">
      <c r="Q244" s="410"/>
    </row>
    <row r="245" spans="17:17" s="403" customFormat="1" ht="15">
      <c r="Q245" s="410"/>
    </row>
    <row r="246" spans="17:17" s="403" customFormat="1" ht="15">
      <c r="Q246" s="410"/>
    </row>
    <row r="247" spans="17:17" s="403" customFormat="1" ht="15">
      <c r="Q247" s="410"/>
    </row>
    <row r="248" spans="17:17" s="403" customFormat="1" ht="15">
      <c r="Q248" s="410"/>
    </row>
    <row r="249" spans="17:17" s="403" customFormat="1" ht="15">
      <c r="Q249" s="410"/>
    </row>
    <row r="250" spans="17:17" s="403" customFormat="1" ht="15">
      <c r="Q250" s="410"/>
    </row>
    <row r="251" spans="17:17" s="403" customFormat="1" ht="15">
      <c r="Q251" s="410"/>
    </row>
    <row r="252" spans="17:17" s="403" customFormat="1" ht="15">
      <c r="Q252" s="410"/>
    </row>
    <row r="253" spans="17:17" s="403" customFormat="1" ht="15">
      <c r="Q253" s="410"/>
    </row>
    <row r="254" spans="17:17" s="403" customFormat="1" ht="15">
      <c r="Q254" s="410"/>
    </row>
    <row r="255" spans="17:17" s="403" customFormat="1" ht="15">
      <c r="Q255" s="410"/>
    </row>
    <row r="256" spans="17:17" s="403" customFormat="1" ht="15">
      <c r="Q256" s="410"/>
    </row>
    <row r="257" spans="17:17" s="403" customFormat="1" ht="15">
      <c r="Q257" s="410"/>
    </row>
    <row r="258" spans="17:17" s="403" customFormat="1" ht="15">
      <c r="Q258" s="410"/>
    </row>
    <row r="259" spans="17:17" s="403" customFormat="1" ht="15">
      <c r="Q259" s="410"/>
    </row>
    <row r="260" spans="17:17" s="403" customFormat="1" ht="15">
      <c r="Q260" s="410"/>
    </row>
    <row r="261" spans="17:17" s="403" customFormat="1" ht="15">
      <c r="Q261" s="410"/>
    </row>
    <row r="262" spans="17:17" s="403" customFormat="1" ht="15">
      <c r="Q262" s="410"/>
    </row>
    <row r="263" spans="17:17" s="403" customFormat="1" ht="15">
      <c r="Q263" s="410"/>
    </row>
    <row r="264" spans="17:17" s="403" customFormat="1" ht="15">
      <c r="Q264" s="410"/>
    </row>
    <row r="265" spans="17:17" s="403" customFormat="1" ht="15">
      <c r="Q265" s="410"/>
    </row>
    <row r="266" spans="17:17" s="403" customFormat="1" ht="15">
      <c r="Q266" s="410"/>
    </row>
    <row r="267" spans="17:17" s="403" customFormat="1" ht="15">
      <c r="Q267" s="410"/>
    </row>
    <row r="268" spans="17:17" s="403" customFormat="1" ht="15">
      <c r="Q268" s="410"/>
    </row>
    <row r="269" spans="17:17" s="403" customFormat="1" ht="15">
      <c r="Q269" s="410"/>
    </row>
    <row r="270" spans="17:17" s="403" customFormat="1" ht="15">
      <c r="Q270" s="410"/>
    </row>
    <row r="271" spans="17:17" s="403" customFormat="1" ht="15">
      <c r="Q271" s="410"/>
    </row>
    <row r="272" spans="17:17" s="403" customFormat="1" ht="15">
      <c r="Q272" s="410"/>
    </row>
    <row r="273" spans="17:17" s="403" customFormat="1" ht="15">
      <c r="Q273" s="410"/>
    </row>
    <row r="274" spans="17:17" s="403" customFormat="1" ht="15">
      <c r="Q274" s="410"/>
    </row>
    <row r="275" spans="17:17" s="403" customFormat="1" ht="15">
      <c r="Q275" s="410"/>
    </row>
    <row r="276" spans="17:17" s="403" customFormat="1" ht="15">
      <c r="Q276" s="410"/>
    </row>
    <row r="277" spans="17:17" s="403" customFormat="1" ht="15">
      <c r="Q277" s="410"/>
    </row>
    <row r="278" spans="17:17" s="403" customFormat="1" ht="15">
      <c r="Q278" s="410"/>
    </row>
    <row r="279" spans="17:17" s="403" customFormat="1" ht="15">
      <c r="Q279" s="410"/>
    </row>
    <row r="280" spans="17:17" s="403" customFormat="1" ht="15">
      <c r="Q280" s="410"/>
    </row>
    <row r="281" spans="17:17" s="403" customFormat="1" ht="15">
      <c r="Q281" s="410"/>
    </row>
    <row r="282" spans="17:17" s="403" customFormat="1" ht="15">
      <c r="Q282" s="410"/>
    </row>
    <row r="283" spans="17:17" s="403" customFormat="1" ht="15">
      <c r="Q283" s="410"/>
    </row>
    <row r="284" spans="17:17" s="403" customFormat="1" ht="15">
      <c r="Q284" s="410"/>
    </row>
    <row r="285" spans="17:17" s="403" customFormat="1" ht="15">
      <c r="Q285" s="410"/>
    </row>
    <row r="286" spans="17:17" s="403" customFormat="1" ht="15">
      <c r="Q286" s="410"/>
    </row>
    <row r="287" spans="17:17" s="403" customFormat="1" ht="15">
      <c r="Q287" s="410"/>
    </row>
    <row r="288" spans="17:17" s="403" customFormat="1" ht="15">
      <c r="Q288" s="410"/>
    </row>
    <row r="289" spans="1:17" s="403" customFormat="1" ht="15">
      <c r="Q289" s="410"/>
    </row>
    <row r="290" spans="1:17" s="403" customFormat="1" ht="15">
      <c r="Q290" s="410"/>
    </row>
    <row r="291" spans="1:17" s="403" customFormat="1" ht="15">
      <c r="Q291" s="410"/>
    </row>
    <row r="292" spans="1:17" s="403" customFormat="1" ht="15">
      <c r="Q292" s="410"/>
    </row>
    <row r="293" spans="1:17" s="403" customFormat="1" ht="15">
      <c r="Q293" s="410"/>
    </row>
    <row r="294" spans="1:17" s="403" customFormat="1" ht="15">
      <c r="Q294" s="410"/>
    </row>
    <row r="295" spans="1:17" s="403" customFormat="1" ht="15">
      <c r="Q295" s="410"/>
    </row>
    <row r="296" spans="1:17" s="403" customFormat="1" ht="15">
      <c r="Q296" s="410"/>
    </row>
    <row r="297" spans="1:17" s="403" customFormat="1" ht="15">
      <c r="Q297" s="410"/>
    </row>
    <row r="298" spans="1:17" s="403" customFormat="1" ht="15">
      <c r="Q298" s="410"/>
    </row>
    <row r="299" spans="1:17" s="403" customFormat="1" ht="15">
      <c r="Q299" s="410"/>
    </row>
    <row r="300" spans="1:17" s="403" customFormat="1" ht="15">
      <c r="Q300" s="410"/>
    </row>
    <row r="301" spans="1:17" s="403" customFormat="1">
      <c r="A301" s="356"/>
      <c r="B301" s="356"/>
      <c r="C301" s="356"/>
      <c r="D301" s="356"/>
      <c r="E301" s="356"/>
      <c r="F301" s="356"/>
      <c r="G301" s="356"/>
      <c r="Q301" s="410"/>
    </row>
    <row r="302" spans="1:17" s="403" customFormat="1">
      <c r="A302" s="356"/>
      <c r="B302" s="356"/>
      <c r="C302" s="356"/>
      <c r="D302" s="356"/>
      <c r="E302" s="356"/>
      <c r="F302" s="356"/>
      <c r="G302" s="356"/>
      <c r="Q302" s="410"/>
    </row>
    <row r="303" spans="1:17" s="403" customFormat="1">
      <c r="A303" s="356"/>
      <c r="B303" s="356"/>
      <c r="C303" s="356"/>
      <c r="D303" s="356"/>
      <c r="E303" s="356"/>
      <c r="F303" s="356"/>
      <c r="G303" s="356"/>
      <c r="Q303" s="410"/>
    </row>
    <row r="304" spans="1:17" s="403" customFormat="1">
      <c r="A304" s="356"/>
      <c r="B304" s="356"/>
      <c r="C304" s="356"/>
      <c r="D304" s="356"/>
      <c r="E304" s="356"/>
      <c r="F304" s="356"/>
      <c r="G304" s="356"/>
      <c r="Q304" s="410"/>
    </row>
    <row r="305" spans="1:20" s="403" customFormat="1">
      <c r="A305" s="356"/>
      <c r="B305" s="356"/>
      <c r="C305" s="356"/>
      <c r="D305" s="356"/>
      <c r="E305" s="356"/>
      <c r="F305" s="356"/>
      <c r="G305" s="356"/>
      <c r="P305" s="356"/>
      <c r="Q305" s="380"/>
      <c r="R305" s="356"/>
      <c r="S305" s="356"/>
      <c r="T305" s="356"/>
    </row>
    <row r="306" spans="1:20" s="403" customFormat="1">
      <c r="A306" s="356"/>
      <c r="B306" s="356"/>
      <c r="C306" s="356"/>
      <c r="D306" s="356"/>
      <c r="E306" s="356"/>
      <c r="F306" s="356"/>
      <c r="G306" s="356"/>
      <c r="P306" s="356"/>
      <c r="Q306" s="380"/>
      <c r="R306" s="356"/>
      <c r="S306" s="356"/>
      <c r="T306" s="356"/>
    </row>
    <row r="307" spans="1:20" s="403" customFormat="1">
      <c r="A307" s="356"/>
      <c r="B307" s="356"/>
      <c r="C307" s="356"/>
      <c r="D307" s="356"/>
      <c r="E307" s="356"/>
      <c r="F307" s="356"/>
      <c r="G307" s="356"/>
      <c r="P307" s="356"/>
      <c r="Q307" s="380"/>
      <c r="R307" s="356"/>
      <c r="S307" s="356"/>
      <c r="T307" s="356"/>
    </row>
  </sheetData>
  <sortState ref="A26:W27">
    <sortCondition ref="A26"/>
  </sortState>
  <mergeCells count="2">
    <mergeCell ref="A1:G1"/>
    <mergeCell ref="A2:G2"/>
  </mergeCells>
  <pageMargins left="0.7" right="0.7" top="0.75" bottom="0.75" header="0.3" footer="0.3"/>
  <pageSetup scale="7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92D050"/>
  </sheetPr>
  <dimension ref="A1:X184"/>
  <sheetViews>
    <sheetView showGridLines="0" showRuler="0" zoomScale="75" zoomScaleNormal="75" zoomScaleSheetLayoutView="130" workbookViewId="0">
      <pane xSplit="2" ySplit="5" topLeftCell="C27" activePane="bottomRight" state="frozen"/>
      <selection activeCell="E25" sqref="E25"/>
      <selection pane="topRight" activeCell="E25" sqref="E25"/>
      <selection pane="bottomLeft" activeCell="E25" sqref="E25"/>
      <selection pane="bottomRight" activeCell="K50" sqref="K50"/>
    </sheetView>
  </sheetViews>
  <sheetFormatPr defaultColWidth="8.85546875" defaultRowHeight="12.75"/>
  <cols>
    <col min="1" max="1" width="18.85546875" style="283" hidden="1" customWidth="1"/>
    <col min="2" max="2" width="36.5703125" style="283" customWidth="1"/>
    <col min="3" max="3" width="15.7109375" style="783" customWidth="1"/>
    <col min="4" max="4" width="18.7109375" style="283" hidden="1" customWidth="1"/>
    <col min="5" max="5" width="3" style="510" customWidth="1"/>
    <col min="6" max="6" width="15.7109375" style="783" customWidth="1"/>
    <col min="7" max="7" width="17.28515625" style="283" hidden="1" customWidth="1"/>
    <col min="8" max="8" width="3" style="510" customWidth="1"/>
    <col min="9" max="9" width="15.7109375" style="783" customWidth="1"/>
    <col min="10" max="10" width="1.85546875" style="510" hidden="1" customWidth="1"/>
    <col min="11" max="11" width="15.7109375" style="723" customWidth="1"/>
    <col min="12" max="12" width="1.85546875" style="510" hidden="1" customWidth="1"/>
    <col min="13" max="13" width="15.7109375" style="1115" customWidth="1"/>
    <col min="14" max="14" width="9" style="283" bestFit="1" customWidth="1"/>
    <col min="15" max="15" width="22.28515625" style="793" bestFit="1" customWidth="1"/>
    <col min="16" max="16" width="28.7109375" style="793" bestFit="1" customWidth="1"/>
    <col min="17" max="17" width="18.28515625" style="722" bestFit="1" customWidth="1"/>
    <col min="18" max="18" width="11" style="283" bestFit="1" customWidth="1"/>
    <col min="19" max="19" width="15.7109375" style="722" bestFit="1" customWidth="1"/>
    <col min="20" max="20" width="10" style="283" bestFit="1" customWidth="1"/>
    <col min="21" max="21" width="12" style="283" bestFit="1" customWidth="1"/>
    <col min="22" max="22" width="14.5703125" style="722" bestFit="1" customWidth="1"/>
    <col min="23" max="23" width="21.42578125" style="283" customWidth="1"/>
    <col min="24" max="16384" width="8.85546875" style="283"/>
  </cols>
  <sheetData>
    <row r="1" spans="1:23" ht="23.25" hidden="1">
      <c r="B1" s="1702" t="s">
        <v>769</v>
      </c>
      <c r="C1" s="1703"/>
      <c r="D1" s="1703"/>
      <c r="E1" s="1703"/>
      <c r="F1" s="1703"/>
      <c r="G1" s="1703"/>
      <c r="H1" s="1703"/>
      <c r="I1" s="1703"/>
      <c r="J1" s="1703"/>
      <c r="K1" s="1703"/>
      <c r="L1" s="283"/>
      <c r="M1" s="722"/>
    </row>
    <row r="2" spans="1:23" ht="18.75" hidden="1">
      <c r="B2" s="284"/>
      <c r="C2" s="773"/>
      <c r="D2" s="285"/>
      <c r="E2" s="493"/>
      <c r="F2" s="773"/>
      <c r="G2" s="285"/>
      <c r="H2" s="493"/>
      <c r="I2" s="773"/>
      <c r="J2" s="493"/>
      <c r="K2" s="1420"/>
      <c r="L2" s="493"/>
      <c r="M2" s="1022"/>
    </row>
    <row r="3" spans="1:23" ht="35.450000000000003" customHeight="1">
      <c r="B3" s="1704" t="s">
        <v>409</v>
      </c>
      <c r="C3" s="1704"/>
      <c r="D3" s="1704"/>
      <c r="E3" s="1704"/>
      <c r="F3" s="1704"/>
      <c r="G3" s="1704"/>
      <c r="H3" s="1704"/>
      <c r="I3" s="1704"/>
      <c r="J3" s="1704"/>
      <c r="K3" s="1704"/>
      <c r="L3" s="1704"/>
      <c r="M3" s="1704"/>
    </row>
    <row r="4" spans="1:23" ht="15" customHeight="1" thickBot="1">
      <c r="B4" s="746"/>
      <c r="C4" s="774"/>
      <c r="D4" s="746"/>
      <c r="E4" s="746"/>
      <c r="F4" s="774"/>
      <c r="G4" s="746"/>
      <c r="H4" s="746"/>
      <c r="I4" s="774"/>
      <c r="J4" s="746"/>
      <c r="K4" s="1197"/>
      <c r="L4" s="746"/>
      <c r="M4" s="1197"/>
    </row>
    <row r="5" spans="1:23" s="298" customFormat="1" ht="52.9" customHeight="1" thickBot="1">
      <c r="B5" s="1140"/>
      <c r="C5" s="1141" t="s">
        <v>978</v>
      </c>
      <c r="D5" s="1141" t="s">
        <v>314</v>
      </c>
      <c r="E5" s="1142"/>
      <c r="F5" s="1142" t="s">
        <v>979</v>
      </c>
      <c r="G5" s="1142" t="s">
        <v>407</v>
      </c>
      <c r="H5" s="1142"/>
      <c r="I5" s="1142" t="s">
        <v>980</v>
      </c>
      <c r="J5" s="1142"/>
      <c r="K5" s="1462" t="s">
        <v>989</v>
      </c>
      <c r="L5" s="1141"/>
      <c r="M5" s="1129" t="s">
        <v>985</v>
      </c>
      <c r="N5" s="1129"/>
      <c r="O5" s="781"/>
      <c r="P5" s="781"/>
      <c r="Q5" s="543"/>
      <c r="S5" s="543"/>
      <c r="V5" s="543"/>
    </row>
    <row r="6" spans="1:23" ht="5.45" customHeight="1">
      <c r="B6" s="288"/>
      <c r="C6" s="780"/>
      <c r="D6" s="289"/>
      <c r="E6" s="496"/>
      <c r="F6" s="780"/>
      <c r="G6" s="288"/>
      <c r="H6" s="496"/>
      <c r="I6" s="780"/>
      <c r="J6" s="496"/>
      <c r="L6" s="496"/>
      <c r="O6" s="1200" t="s">
        <v>3</v>
      </c>
      <c r="P6" s="1199">
        <v>0.54800000000000004</v>
      </c>
      <c r="Q6" s="724">
        <v>161042887</v>
      </c>
      <c r="S6" s="792"/>
    </row>
    <row r="7" spans="1:23" ht="15.75">
      <c r="B7" s="299" t="s">
        <v>2</v>
      </c>
      <c r="C7" s="781"/>
      <c r="D7" s="300"/>
      <c r="E7" s="520"/>
      <c r="F7" s="551"/>
      <c r="G7" s="301"/>
      <c r="H7" s="520"/>
      <c r="I7" s="784"/>
      <c r="J7" s="520"/>
      <c r="K7" s="540"/>
      <c r="L7" s="520"/>
      <c r="M7" s="518"/>
      <c r="O7" s="1200" t="s">
        <v>4</v>
      </c>
      <c r="P7" s="1199">
        <v>8.0000000000000002E-3</v>
      </c>
      <c r="Q7" s="724">
        <v>2451006</v>
      </c>
      <c r="R7" s="792"/>
      <c r="S7" s="792"/>
    </row>
    <row r="8" spans="1:23" ht="15.6" customHeight="1">
      <c r="A8" s="321" t="s">
        <v>366</v>
      </c>
      <c r="B8" s="298" t="s">
        <v>3</v>
      </c>
      <c r="C8" s="1268">
        <v>151370913</v>
      </c>
      <c r="D8" s="1243">
        <v>154406130</v>
      </c>
      <c r="E8" s="1243"/>
      <c r="F8" s="1268">
        <v>154272743</v>
      </c>
      <c r="G8" s="1268">
        <v>0</v>
      </c>
      <c r="H8" s="1268"/>
      <c r="I8" s="1268">
        <v>154027951</v>
      </c>
      <c r="J8" s="1268"/>
      <c r="K8" s="1241">
        <v>161042887</v>
      </c>
      <c r="L8" s="1268"/>
      <c r="M8" s="1268">
        <v>6770144</v>
      </c>
      <c r="N8" s="1275" t="s">
        <v>3</v>
      </c>
      <c r="O8" s="1203" t="s">
        <v>986</v>
      </c>
      <c r="P8" s="1199">
        <v>6.3E-2</v>
      </c>
      <c r="Q8" s="724">
        <v>18518059</v>
      </c>
      <c r="R8" s="792">
        <v>846709</v>
      </c>
      <c r="S8" s="792"/>
    </row>
    <row r="9" spans="1:23" ht="15.75">
      <c r="A9" s="321" t="s">
        <v>354</v>
      </c>
      <c r="B9" s="298" t="s">
        <v>4</v>
      </c>
      <c r="C9" s="549">
        <v>3188765</v>
      </c>
      <c r="D9" s="303">
        <v>2924286</v>
      </c>
      <c r="E9" s="514"/>
      <c r="F9" s="549">
        <v>2924286</v>
      </c>
      <c r="G9" s="304">
        <v>0</v>
      </c>
      <c r="H9" s="514"/>
      <c r="I9" s="550">
        <v>2859813</v>
      </c>
      <c r="J9" s="514"/>
      <c r="K9" s="1240">
        <v>2451006</v>
      </c>
      <c r="L9" s="514"/>
      <c r="M9" s="527">
        <v>-473280</v>
      </c>
      <c r="O9" s="1201" t="s">
        <v>6</v>
      </c>
      <c r="P9" s="1199">
        <v>9.2999999999999999E-2</v>
      </c>
      <c r="Q9" s="724">
        <v>27327625</v>
      </c>
      <c r="R9" s="792"/>
      <c r="S9" s="792"/>
    </row>
    <row r="10" spans="1:23" ht="15.75">
      <c r="A10" s="321" t="s">
        <v>367</v>
      </c>
      <c r="B10" s="305" t="s">
        <v>1006</v>
      </c>
      <c r="C10" s="549">
        <v>18223392</v>
      </c>
      <c r="D10" s="303">
        <v>18441495.75</v>
      </c>
      <c r="E10" s="514"/>
      <c r="F10" s="549">
        <v>18441496</v>
      </c>
      <c r="G10" s="304">
        <v>0</v>
      </c>
      <c r="H10" s="514"/>
      <c r="I10" s="550">
        <v>18549532</v>
      </c>
      <c r="J10" s="514"/>
      <c r="K10" s="1240">
        <v>18518059</v>
      </c>
      <c r="L10" s="514"/>
      <c r="M10" s="527">
        <v>76563</v>
      </c>
      <c r="O10" s="1200" t="s">
        <v>368</v>
      </c>
      <c r="P10" s="1199">
        <v>1.3000000000000001E-2</v>
      </c>
      <c r="Q10" s="724">
        <v>3673829</v>
      </c>
      <c r="R10" s="792"/>
      <c r="S10" s="792"/>
    </row>
    <row r="11" spans="1:23" s="293" customFormat="1" ht="15.75">
      <c r="A11" s="621" t="s">
        <v>336</v>
      </c>
      <c r="B11" s="311" t="s">
        <v>6</v>
      </c>
      <c r="C11" s="549">
        <v>20364622</v>
      </c>
      <c r="D11" s="303">
        <v>24835455.48</v>
      </c>
      <c r="E11" s="514"/>
      <c r="F11" s="549">
        <v>24835455</v>
      </c>
      <c r="G11" s="304">
        <v>0</v>
      </c>
      <c r="H11" s="514"/>
      <c r="I11" s="550">
        <v>26003131</v>
      </c>
      <c r="J11" s="514"/>
      <c r="K11" s="1240">
        <v>27327625</v>
      </c>
      <c r="L11" s="514"/>
      <c r="M11" s="527">
        <v>2492170</v>
      </c>
      <c r="O11" s="1200" t="s">
        <v>8</v>
      </c>
      <c r="P11" s="1199">
        <v>0.27500000000000002</v>
      </c>
      <c r="Q11" s="724">
        <v>80793155</v>
      </c>
      <c r="R11" s="792"/>
      <c r="S11" s="792">
        <v>44</v>
      </c>
      <c r="U11" s="283"/>
      <c r="V11" s="722"/>
      <c r="W11" s="283"/>
    </row>
    <row r="12" spans="1:23" s="293" customFormat="1" ht="15.75">
      <c r="A12" s="621" t="s">
        <v>337</v>
      </c>
      <c r="B12" s="311" t="s">
        <v>368</v>
      </c>
      <c r="C12" s="549">
        <v>3795605</v>
      </c>
      <c r="D12" s="303">
        <v>4799918</v>
      </c>
      <c r="E12" s="514"/>
      <c r="F12" s="549">
        <v>4799918</v>
      </c>
      <c r="G12" s="304">
        <v>0</v>
      </c>
      <c r="H12" s="514"/>
      <c r="I12" s="550">
        <v>3244291</v>
      </c>
      <c r="J12" s="514"/>
      <c r="K12" s="1240">
        <v>3673829</v>
      </c>
      <c r="L12" s="514"/>
      <c r="M12" s="527">
        <v>-1126089</v>
      </c>
      <c r="O12" s="1200" t="s">
        <v>28</v>
      </c>
      <c r="P12" s="1199">
        <v>0</v>
      </c>
      <c r="Q12" s="724">
        <v>0</v>
      </c>
      <c r="R12" s="792"/>
      <c r="S12" s="792"/>
      <c r="U12" s="283"/>
      <c r="V12" s="722"/>
      <c r="W12" s="283"/>
    </row>
    <row r="13" spans="1:23" s="293" customFormat="1" ht="15.75">
      <c r="A13" s="621" t="s">
        <v>338</v>
      </c>
      <c r="B13" s="316" t="s">
        <v>8</v>
      </c>
      <c r="C13" s="549">
        <v>68915546</v>
      </c>
      <c r="D13" s="303">
        <v>78467842.769999996</v>
      </c>
      <c r="E13" s="514"/>
      <c r="F13" s="549">
        <v>78601230</v>
      </c>
      <c r="G13" s="304">
        <v>0</v>
      </c>
      <c r="H13" s="514"/>
      <c r="I13" s="550">
        <v>79363184</v>
      </c>
      <c r="J13" s="514"/>
      <c r="K13" s="1240">
        <v>80793155</v>
      </c>
      <c r="L13" s="514"/>
      <c r="M13" s="527">
        <v>2191925</v>
      </c>
      <c r="N13" s="1274" t="s">
        <v>3</v>
      </c>
      <c r="O13" s="1200" t="s">
        <v>319</v>
      </c>
      <c r="P13" s="1199">
        <v>0</v>
      </c>
      <c r="Q13" s="724">
        <v>0</v>
      </c>
      <c r="R13" s="792">
        <v>-847019</v>
      </c>
      <c r="S13" s="792"/>
      <c r="U13" s="283"/>
      <c r="V13" s="722"/>
      <c r="W13" s="283"/>
    </row>
    <row r="14" spans="1:23" s="293" customFormat="1" ht="16.5" thickBot="1">
      <c r="A14" s="621" t="s">
        <v>349</v>
      </c>
      <c r="B14" s="316" t="s">
        <v>28</v>
      </c>
      <c r="C14" s="549">
        <v>18463241</v>
      </c>
      <c r="D14" s="303">
        <v>2617762.94</v>
      </c>
      <c r="E14" s="514"/>
      <c r="F14" s="549">
        <v>2617763</v>
      </c>
      <c r="G14" s="304">
        <v>0</v>
      </c>
      <c r="H14" s="514"/>
      <c r="I14" s="550">
        <v>1634879</v>
      </c>
      <c r="J14" s="514"/>
      <c r="K14" s="1240">
        <v>0</v>
      </c>
      <c r="L14" s="514"/>
      <c r="M14" s="527">
        <v>-2617763</v>
      </c>
      <c r="N14" s="653" t="s">
        <v>58</v>
      </c>
      <c r="O14" s="668" t="s">
        <v>58</v>
      </c>
      <c r="P14" s="1199">
        <v>1</v>
      </c>
      <c r="Q14" s="724">
        <v>293806561</v>
      </c>
      <c r="R14" s="792"/>
      <c r="S14" s="792"/>
      <c r="U14" s="283"/>
      <c r="V14" s="722"/>
      <c r="W14" s="283"/>
    </row>
    <row r="15" spans="1:23" s="293" customFormat="1" ht="16.5" thickTop="1">
      <c r="A15" s="658"/>
      <c r="B15" s="316" t="s">
        <v>319</v>
      </c>
      <c r="C15" s="549">
        <v>1600383</v>
      </c>
      <c r="D15" s="303"/>
      <c r="E15" s="514"/>
      <c r="F15" s="1240">
        <v>325026</v>
      </c>
      <c r="G15" s="304">
        <v>0</v>
      </c>
      <c r="H15" s="514"/>
      <c r="I15" s="549">
        <v>0</v>
      </c>
      <c r="J15" s="514"/>
      <c r="K15" s="1240">
        <v>0</v>
      </c>
      <c r="L15" s="514"/>
      <c r="M15" s="1239">
        <v>-325026</v>
      </c>
      <c r="Q15" s="724"/>
      <c r="R15" s="792"/>
      <c r="S15" s="792"/>
      <c r="U15" s="283"/>
      <c r="V15" s="722"/>
      <c r="W15" s="283"/>
    </row>
    <row r="16" spans="1:23" s="625" customFormat="1" ht="15.75">
      <c r="B16" s="622" t="s">
        <v>9</v>
      </c>
      <c r="C16" s="1244">
        <v>285922467</v>
      </c>
      <c r="D16" s="1225" t="s">
        <v>58</v>
      </c>
      <c r="E16" s="1060"/>
      <c r="F16" s="1244">
        <v>286817917</v>
      </c>
      <c r="G16" s="1225">
        <v>0</v>
      </c>
      <c r="H16" s="1060"/>
      <c r="I16" s="1244">
        <v>285682781</v>
      </c>
      <c r="J16" s="1060"/>
      <c r="K16" s="1244">
        <v>293806561</v>
      </c>
      <c r="L16" s="1060"/>
      <c r="M16" s="1244">
        <v>6988644</v>
      </c>
      <c r="N16" s="625">
        <v>25</v>
      </c>
      <c r="O16" s="1202" t="s">
        <v>11</v>
      </c>
      <c r="P16" s="1199">
        <v>0.46300000000000002</v>
      </c>
      <c r="Q16" s="724">
        <v>135323295</v>
      </c>
      <c r="R16" s="792">
        <v>-1601003</v>
      </c>
      <c r="S16" s="792"/>
      <c r="U16" s="283"/>
      <c r="V16" s="722"/>
      <c r="W16" s="283"/>
    </row>
    <row r="17" spans="1:23" s="293" customFormat="1" ht="7.5" customHeight="1">
      <c r="B17" s="310"/>
      <c r="C17" s="556"/>
      <c r="D17" s="304"/>
      <c r="E17" s="514"/>
      <c r="F17" s="550"/>
      <c r="G17" s="304"/>
      <c r="H17" s="514"/>
      <c r="I17" s="550"/>
      <c r="J17" s="514"/>
      <c r="K17" s="539"/>
      <c r="L17" s="514"/>
      <c r="M17" s="522"/>
      <c r="O17" s="1202" t="s">
        <v>12</v>
      </c>
      <c r="P17" s="1199">
        <v>0.17599999999999999</v>
      </c>
      <c r="Q17" s="724">
        <v>51406739</v>
      </c>
      <c r="R17" s="792"/>
      <c r="S17" s="792"/>
      <c r="U17" s="283"/>
      <c r="V17" s="722"/>
      <c r="W17" s="283"/>
    </row>
    <row r="18" spans="1:23" s="293" customFormat="1" ht="15.75">
      <c r="B18" s="313" t="s">
        <v>320</v>
      </c>
      <c r="C18" s="556"/>
      <c r="D18" s="306"/>
      <c r="E18" s="514"/>
      <c r="F18" s="550" t="s">
        <v>58</v>
      </c>
      <c r="G18" s="304"/>
      <c r="H18" s="514"/>
      <c r="I18" s="550"/>
      <c r="J18" s="514"/>
      <c r="K18" s="532"/>
      <c r="L18" s="514"/>
      <c r="M18" s="522"/>
      <c r="O18" s="1202" t="s">
        <v>801</v>
      </c>
      <c r="P18" s="1199">
        <v>0.107</v>
      </c>
      <c r="Q18" s="724">
        <v>31325192</v>
      </c>
      <c r="R18" s="792"/>
      <c r="S18" s="792"/>
      <c r="U18" s="283"/>
      <c r="V18" s="722"/>
      <c r="W18" s="283"/>
    </row>
    <row r="19" spans="1:23" s="293" customFormat="1" ht="15.75">
      <c r="B19" s="311" t="s">
        <v>782</v>
      </c>
      <c r="C19" s="1240">
        <v>0</v>
      </c>
      <c r="D19" s="306"/>
      <c r="E19" s="514"/>
      <c r="F19" s="552">
        <v>4457240</v>
      </c>
      <c r="G19" s="304"/>
      <c r="H19" s="514"/>
      <c r="I19" s="550">
        <v>4457240</v>
      </c>
      <c r="J19" s="514"/>
      <c r="K19" s="528">
        <v>4457240</v>
      </c>
      <c r="L19" s="514"/>
      <c r="M19" s="527">
        <v>0</v>
      </c>
      <c r="O19" s="1202" t="s">
        <v>14</v>
      </c>
      <c r="P19" s="1199">
        <v>0.11600000000000001</v>
      </c>
      <c r="Q19" s="724">
        <v>34196501</v>
      </c>
      <c r="R19" s="792"/>
      <c r="S19" s="792"/>
      <c r="U19" s="283"/>
      <c r="V19" s="722"/>
      <c r="W19" s="283"/>
    </row>
    <row r="20" spans="1:23" s="293" customFormat="1" ht="15.75">
      <c r="B20" s="311" t="s">
        <v>690</v>
      </c>
      <c r="C20" s="1240">
        <v>3000000</v>
      </c>
      <c r="D20" s="306"/>
      <c r="E20" s="514"/>
      <c r="F20" s="552">
        <v>4000000</v>
      </c>
      <c r="G20" s="304"/>
      <c r="H20" s="514"/>
      <c r="I20" s="552">
        <v>4000000</v>
      </c>
      <c r="J20" s="514"/>
      <c r="K20" s="1243">
        <v>5000000</v>
      </c>
      <c r="L20" s="514"/>
      <c r="M20" s="527">
        <v>1000000</v>
      </c>
      <c r="O20" s="1202" t="s">
        <v>15</v>
      </c>
      <c r="P20" s="1199">
        <v>2E-3</v>
      </c>
      <c r="Q20" s="724">
        <v>662298</v>
      </c>
      <c r="R20" s="792"/>
      <c r="S20" s="792"/>
      <c r="U20" s="283"/>
      <c r="V20" s="722"/>
      <c r="W20" s="283"/>
    </row>
    <row r="21" spans="1:23" s="293" customFormat="1" ht="15.75">
      <c r="B21" s="311" t="s">
        <v>830</v>
      </c>
      <c r="C21" s="1240">
        <v>28088083</v>
      </c>
      <c r="D21" s="306"/>
      <c r="E21" s="514"/>
      <c r="F21" s="552">
        <v>13274563</v>
      </c>
      <c r="G21" s="304"/>
      <c r="H21" s="514"/>
      <c r="I21" s="1243">
        <v>13274563</v>
      </c>
      <c r="J21" s="514"/>
      <c r="K21" s="1243">
        <v>4273912</v>
      </c>
      <c r="L21" s="514"/>
      <c r="M21" s="527">
        <v>-9000651</v>
      </c>
      <c r="O21" s="1202" t="s">
        <v>1003</v>
      </c>
      <c r="P21" s="1199">
        <v>0</v>
      </c>
      <c r="Q21" s="724">
        <v>0</v>
      </c>
      <c r="R21" s="792"/>
      <c r="S21" s="792"/>
      <c r="U21" s="283"/>
      <c r="V21" s="722"/>
      <c r="W21" s="283"/>
    </row>
    <row r="22" spans="1:23" s="293" customFormat="1" ht="15.75">
      <c r="B22" s="311" t="s">
        <v>841</v>
      </c>
      <c r="C22" s="1243">
        <v>635183</v>
      </c>
      <c r="D22" s="306"/>
      <c r="E22" s="514"/>
      <c r="F22" s="552">
        <v>778279</v>
      </c>
      <c r="G22" s="304"/>
      <c r="H22" s="514"/>
      <c r="I22" s="1241">
        <v>778279</v>
      </c>
      <c r="J22" s="514"/>
      <c r="K22" s="528">
        <v>833479</v>
      </c>
      <c r="L22" s="514"/>
      <c r="M22" s="527">
        <v>55200</v>
      </c>
      <c r="O22" s="1202" t="s">
        <v>38</v>
      </c>
      <c r="P22" s="1199">
        <v>0.13600000000000001</v>
      </c>
      <c r="Q22" s="724">
        <v>39850976</v>
      </c>
      <c r="R22" s="792"/>
      <c r="S22" s="792"/>
      <c r="U22" s="283"/>
      <c r="V22" s="722"/>
      <c r="W22" s="283"/>
    </row>
    <row r="23" spans="1:23" s="293" customFormat="1" ht="16.5" thickBot="1">
      <c r="B23" s="311" t="s">
        <v>27</v>
      </c>
      <c r="C23" s="1240">
        <v>26890224</v>
      </c>
      <c r="D23" s="306" t="e">
        <v>#REF!</v>
      </c>
      <c r="E23" s="514"/>
      <c r="F23" s="552">
        <v>35778382</v>
      </c>
      <c r="G23" s="304">
        <v>35778382</v>
      </c>
      <c r="H23" s="514"/>
      <c r="I23" s="1243">
        <v>36103408</v>
      </c>
      <c r="J23" s="514"/>
      <c r="K23" s="528">
        <v>50418790</v>
      </c>
      <c r="L23" s="514"/>
      <c r="M23" s="527">
        <v>14640408</v>
      </c>
      <c r="O23" s="668" t="s">
        <v>58</v>
      </c>
      <c r="P23" s="1199">
        <v>1</v>
      </c>
      <c r="Q23" s="724">
        <v>292765001</v>
      </c>
      <c r="R23" s="792">
        <v>8992973</v>
      </c>
      <c r="S23" s="792"/>
      <c r="U23" s="283"/>
      <c r="V23" s="722"/>
      <c r="W23" s="283"/>
    </row>
    <row r="24" spans="1:23" s="293" customFormat="1" ht="16.5" thickTop="1">
      <c r="B24" s="1246" t="s">
        <v>20</v>
      </c>
      <c r="C24" s="1244">
        <v>58613490</v>
      </c>
      <c r="D24" s="1225" t="e">
        <v>#REF!</v>
      </c>
      <c r="E24" s="1060"/>
      <c r="F24" s="1244">
        <v>58288464</v>
      </c>
      <c r="G24" s="1225">
        <v>35778382</v>
      </c>
      <c r="H24" s="1060"/>
      <c r="I24" s="1244">
        <v>58613490</v>
      </c>
      <c r="J24" s="1060"/>
      <c r="K24" s="1244">
        <v>64983421</v>
      </c>
      <c r="L24" s="1060"/>
      <c r="M24" s="1244">
        <v>6694957</v>
      </c>
      <c r="N24" s="293">
        <v>6</v>
      </c>
      <c r="O24" s="792"/>
      <c r="P24" s="792"/>
      <c r="Q24" s="724"/>
      <c r="R24" s="792"/>
      <c r="S24" s="792">
        <v>7</v>
      </c>
      <c r="U24" s="283"/>
      <c r="V24" s="722"/>
      <c r="W24" s="283"/>
    </row>
    <row r="25" spans="1:23" s="293" customFormat="1" ht="16.5" thickBot="1">
      <c r="B25" s="616" t="s">
        <v>21</v>
      </c>
      <c r="C25" s="1248">
        <v>344535957</v>
      </c>
      <c r="D25" s="1247" t="e">
        <v>#VALUE!</v>
      </c>
      <c r="E25" s="1473"/>
      <c r="F25" s="1248">
        <v>345106381</v>
      </c>
      <c r="G25" s="1247">
        <v>35778382</v>
      </c>
      <c r="H25" s="1473"/>
      <c r="I25" s="1248">
        <v>344296271</v>
      </c>
      <c r="J25" s="1472"/>
      <c r="K25" s="1248">
        <v>358789982</v>
      </c>
      <c r="L25" s="1473"/>
      <c r="M25" s="1248">
        <v>13683601</v>
      </c>
      <c r="N25" s="293">
        <v>32</v>
      </c>
      <c r="O25" s="792">
        <v>-4778279</v>
      </c>
      <c r="P25" s="792" t="s">
        <v>58</v>
      </c>
      <c r="Q25" s="724"/>
      <c r="R25" s="792"/>
      <c r="S25" s="792"/>
      <c r="T25" s="291" t="s">
        <v>58</v>
      </c>
      <c r="U25" s="283"/>
      <c r="V25" s="722"/>
      <c r="W25" s="283"/>
    </row>
    <row r="26" spans="1:23" s="293" customFormat="1" ht="7.5" customHeight="1" thickTop="1">
      <c r="B26" s="316"/>
      <c r="C26" s="550" t="s">
        <v>58</v>
      </c>
      <c r="D26" s="304"/>
      <c r="E26" s="514"/>
      <c r="F26" s="550" t="s">
        <v>58</v>
      </c>
      <c r="G26" s="304"/>
      <c r="H26" s="514"/>
      <c r="I26" s="550" t="s">
        <v>58</v>
      </c>
      <c r="J26" s="514"/>
      <c r="K26" s="539"/>
      <c r="L26" s="514"/>
      <c r="M26" s="522"/>
      <c r="O26" s="792">
        <v>982884</v>
      </c>
      <c r="P26" s="792"/>
      <c r="Q26" s="724"/>
      <c r="R26" s="792"/>
      <c r="S26" s="792"/>
      <c r="T26" s="291" t="s">
        <v>58</v>
      </c>
      <c r="U26" s="283"/>
      <c r="V26" s="722"/>
      <c r="W26" s="283"/>
    </row>
    <row r="27" spans="1:23" s="293" customFormat="1" ht="15.75">
      <c r="B27" s="349" t="s">
        <v>10</v>
      </c>
      <c r="C27" s="660"/>
      <c r="D27" s="302"/>
      <c r="E27" s="514"/>
      <c r="F27" s="550"/>
      <c r="G27" s="304"/>
      <c r="H27" s="514"/>
      <c r="I27" s="550"/>
      <c r="J27" s="514"/>
      <c r="K27" s="540"/>
      <c r="L27" s="514"/>
      <c r="M27" s="518"/>
      <c r="O27" s="1264" t="s">
        <v>882</v>
      </c>
      <c r="P27" s="792"/>
      <c r="Q27" s="724"/>
      <c r="R27" s="792"/>
      <c r="S27" s="792"/>
      <c r="U27" s="283"/>
      <c r="V27" s="722"/>
      <c r="W27" s="283"/>
    </row>
    <row r="28" spans="1:23" s="293" customFormat="1" ht="15.6" customHeight="1">
      <c r="A28" s="621" t="s">
        <v>340</v>
      </c>
      <c r="B28" s="316" t="s">
        <v>11</v>
      </c>
      <c r="C28" s="549">
        <v>127009830</v>
      </c>
      <c r="D28" s="303">
        <v>130693234.25</v>
      </c>
      <c r="E28" s="514"/>
      <c r="F28" s="549">
        <v>130693234</v>
      </c>
      <c r="G28" s="304">
        <v>0</v>
      </c>
      <c r="H28" s="514"/>
      <c r="I28" s="550">
        <v>129675460</v>
      </c>
      <c r="J28" s="514"/>
      <c r="K28" s="1240">
        <v>135323295</v>
      </c>
      <c r="L28" s="514"/>
      <c r="M28" s="527">
        <v>4630061</v>
      </c>
      <c r="O28" s="1264">
        <v>-4769632</v>
      </c>
      <c r="P28" s="724">
        <v>50418790</v>
      </c>
      <c r="Q28" s="724" t="s">
        <v>875</v>
      </c>
      <c r="R28" s="792"/>
      <c r="S28" s="792">
        <v>-325112</v>
      </c>
      <c r="U28" s="283"/>
      <c r="V28" s="722"/>
      <c r="W28" s="283"/>
    </row>
    <row r="29" spans="1:23" s="293" customFormat="1" ht="15.6" customHeight="1">
      <c r="A29" s="621" t="s">
        <v>341</v>
      </c>
      <c r="B29" s="316" t="s">
        <v>12</v>
      </c>
      <c r="C29" s="549">
        <v>46369240</v>
      </c>
      <c r="D29" s="303">
        <v>50470543.850000001</v>
      </c>
      <c r="E29" s="514"/>
      <c r="F29" s="549">
        <v>50470544</v>
      </c>
      <c r="G29" s="304">
        <v>0</v>
      </c>
      <c r="H29" s="514"/>
      <c r="I29" s="550">
        <v>44011789</v>
      </c>
      <c r="J29" s="514"/>
      <c r="K29" s="1240">
        <v>51406739</v>
      </c>
      <c r="L29" s="514"/>
      <c r="M29" s="527">
        <v>936195</v>
      </c>
      <c r="O29" s="1264">
        <v>-980580</v>
      </c>
      <c r="Q29" s="725">
        <v>4457240</v>
      </c>
      <c r="R29" s="725" t="s">
        <v>874</v>
      </c>
      <c r="S29" s="792"/>
      <c r="U29" s="283"/>
      <c r="V29" s="722"/>
      <c r="W29" s="283"/>
    </row>
    <row r="30" spans="1:23" s="293" customFormat="1" ht="15.6" customHeight="1">
      <c r="A30" s="621" t="s">
        <v>342</v>
      </c>
      <c r="B30" s="316" t="s">
        <v>801</v>
      </c>
      <c r="C30" s="549">
        <v>32693649</v>
      </c>
      <c r="D30" s="303">
        <v>33179550.16</v>
      </c>
      <c r="E30" s="514"/>
      <c r="F30" s="549">
        <v>33179550</v>
      </c>
      <c r="G30" s="304">
        <v>0</v>
      </c>
      <c r="H30" s="514"/>
      <c r="I30" s="550">
        <v>33342717</v>
      </c>
      <c r="J30" s="514"/>
      <c r="K30" s="1240">
        <v>31325192</v>
      </c>
      <c r="L30" s="514"/>
      <c r="M30" s="527">
        <v>-1854358</v>
      </c>
      <c r="O30" s="1264">
        <v>-239580</v>
      </c>
      <c r="Q30" s="725">
        <v>5000000</v>
      </c>
      <c r="R30" s="725" t="s">
        <v>876</v>
      </c>
      <c r="S30" s="792"/>
      <c r="U30" s="283"/>
      <c r="V30" s="722"/>
      <c r="W30" s="283"/>
    </row>
    <row r="31" spans="1:23" s="293" customFormat="1" ht="15.75">
      <c r="A31" s="621" t="s">
        <v>343</v>
      </c>
      <c r="B31" s="316" t="s">
        <v>14</v>
      </c>
      <c r="C31" s="549">
        <v>38225798</v>
      </c>
      <c r="D31" s="303">
        <v>34443164.75</v>
      </c>
      <c r="E31" s="514"/>
      <c r="F31" s="549">
        <v>34505099</v>
      </c>
      <c r="G31" s="304">
        <v>0</v>
      </c>
      <c r="H31" s="514"/>
      <c r="I31" s="550">
        <v>34312542</v>
      </c>
      <c r="J31" s="514"/>
      <c r="K31" s="1240">
        <v>34196501</v>
      </c>
      <c r="L31" s="514"/>
      <c r="M31" s="527">
        <v>-308598</v>
      </c>
      <c r="N31" s="293" t="s">
        <v>58</v>
      </c>
      <c r="O31" s="1264">
        <v>2940668</v>
      </c>
      <c r="Q31" s="725">
        <v>4273912</v>
      </c>
      <c r="R31" s="725" t="s">
        <v>877</v>
      </c>
      <c r="S31" s="792">
        <v>-10240</v>
      </c>
      <c r="U31" s="283"/>
      <c r="V31" s="722"/>
      <c r="W31" s="283"/>
    </row>
    <row r="32" spans="1:23" s="293" customFormat="1" ht="15.75" hidden="1">
      <c r="A32" s="621" t="s">
        <v>344</v>
      </c>
      <c r="B32" s="316" t="s">
        <v>26</v>
      </c>
      <c r="C32" s="549" t="s">
        <v>58</v>
      </c>
      <c r="D32" s="303">
        <v>61934</v>
      </c>
      <c r="E32" s="514"/>
      <c r="F32" s="549" t="s">
        <v>58</v>
      </c>
      <c r="G32" s="304">
        <v>0</v>
      </c>
      <c r="H32" s="514"/>
      <c r="I32" s="550" t="s">
        <v>58</v>
      </c>
      <c r="J32" s="514"/>
      <c r="K32" s="1240">
        <v>0</v>
      </c>
      <c r="L32" s="514"/>
      <c r="M32" s="527">
        <v>0</v>
      </c>
      <c r="O32" s="792">
        <v>8</v>
      </c>
      <c r="Q32" s="725"/>
      <c r="R32" s="725"/>
      <c r="S32" s="792"/>
      <c r="U32" s="283"/>
      <c r="V32" s="722"/>
      <c r="W32" s="283"/>
    </row>
    <row r="33" spans="1:23" s="293" customFormat="1" ht="15.75">
      <c r="A33" s="621" t="s">
        <v>350</v>
      </c>
      <c r="B33" s="316" t="s">
        <v>15</v>
      </c>
      <c r="C33" s="549">
        <v>920807</v>
      </c>
      <c r="D33" s="303">
        <v>1152571.98</v>
      </c>
      <c r="E33" s="514"/>
      <c r="F33" s="549">
        <v>1152572</v>
      </c>
      <c r="G33" s="304">
        <v>0</v>
      </c>
      <c r="H33" s="514"/>
      <c r="I33" s="550">
        <v>1153424</v>
      </c>
      <c r="J33" s="514"/>
      <c r="K33" s="1240">
        <v>662298</v>
      </c>
      <c r="L33" s="514"/>
      <c r="M33" s="527">
        <v>-490274</v>
      </c>
      <c r="N33" s="293" t="s">
        <v>58</v>
      </c>
      <c r="O33" s="792">
        <v>9</v>
      </c>
      <c r="Q33" s="725">
        <v>833479</v>
      </c>
      <c r="R33" s="725" t="s">
        <v>878</v>
      </c>
      <c r="S33" s="792">
        <v>515014</v>
      </c>
      <c r="U33" s="283"/>
      <c r="V33" s="722"/>
      <c r="W33" s="283"/>
    </row>
    <row r="34" spans="1:23" s="293" customFormat="1" ht="15.6" customHeight="1">
      <c r="A34" s="621" t="s">
        <v>351</v>
      </c>
      <c r="B34" s="316" t="s">
        <v>1003</v>
      </c>
      <c r="C34" s="549">
        <v>351167</v>
      </c>
      <c r="D34" s="303">
        <v>0</v>
      </c>
      <c r="E34" s="514"/>
      <c r="F34" s="549">
        <v>0</v>
      </c>
      <c r="G34" s="304">
        <v>0</v>
      </c>
      <c r="H34" s="514"/>
      <c r="I34" s="550">
        <v>0</v>
      </c>
      <c r="J34" s="514"/>
      <c r="K34" s="1240">
        <v>0</v>
      </c>
      <c r="L34" s="514"/>
      <c r="M34" s="527">
        <v>0</v>
      </c>
      <c r="O34" s="792">
        <v>0</v>
      </c>
      <c r="P34" s="792"/>
      <c r="Q34" s="725"/>
      <c r="R34" s="1264"/>
      <c r="S34" s="792"/>
      <c r="U34" s="283"/>
      <c r="V34" s="722"/>
      <c r="W34" s="283"/>
    </row>
    <row r="35" spans="1:23" s="293" customFormat="1" ht="15.6" customHeight="1">
      <c r="A35" s="621"/>
      <c r="B35" s="316" t="s">
        <v>997</v>
      </c>
      <c r="C35" s="1240">
        <v>3905410</v>
      </c>
      <c r="D35" s="1224"/>
      <c r="E35" s="514"/>
      <c r="F35" s="1240">
        <v>4058400</v>
      </c>
      <c r="G35" s="304"/>
      <c r="H35" s="514"/>
      <c r="I35" s="1241">
        <v>4058400</v>
      </c>
      <c r="J35" s="514"/>
      <c r="K35" s="1240">
        <v>4413026</v>
      </c>
      <c r="L35" s="514"/>
      <c r="M35" s="1239">
        <v>354626</v>
      </c>
      <c r="O35" s="792">
        <v>47</v>
      </c>
      <c r="P35" s="792"/>
      <c r="Q35" s="725"/>
      <c r="R35" s="1264"/>
      <c r="S35" s="792"/>
      <c r="U35" s="283"/>
      <c r="V35" s="722"/>
      <c r="W35" s="283"/>
    </row>
    <row r="36" spans="1:23" s="293" customFormat="1" ht="15.6" customHeight="1">
      <c r="A36" s="621"/>
      <c r="B36" s="316" t="s">
        <v>1001</v>
      </c>
      <c r="C36" s="1240">
        <v>1512736</v>
      </c>
      <c r="D36" s="1224"/>
      <c r="E36" s="514"/>
      <c r="F36" s="1240">
        <v>5197554</v>
      </c>
      <c r="G36" s="304"/>
      <c r="H36" s="514"/>
      <c r="I36" s="1241">
        <v>5197554</v>
      </c>
      <c r="J36" s="514"/>
      <c r="K36" s="1240">
        <v>6863750</v>
      </c>
      <c r="L36" s="514"/>
      <c r="M36" s="1239">
        <v>1666196</v>
      </c>
      <c r="O36" s="792"/>
      <c r="P36" s="792"/>
      <c r="Q36" s="725"/>
      <c r="R36" s="1264"/>
      <c r="S36" s="792"/>
      <c r="U36" s="283"/>
      <c r="V36" s="722"/>
      <c r="W36" s="283"/>
    </row>
    <row r="37" spans="1:23" s="293" customFormat="1" ht="15.6" customHeight="1">
      <c r="A37" s="621"/>
      <c r="B37" s="316" t="s">
        <v>998</v>
      </c>
      <c r="C37" s="1240">
        <v>54242</v>
      </c>
      <c r="D37" s="1224"/>
      <c r="E37" s="514"/>
      <c r="F37" s="1240">
        <v>741300</v>
      </c>
      <c r="G37" s="304"/>
      <c r="H37" s="514"/>
      <c r="I37" s="1241">
        <v>741300</v>
      </c>
      <c r="J37" s="514"/>
      <c r="K37" s="1240">
        <v>1213199</v>
      </c>
      <c r="L37" s="514"/>
      <c r="M37" s="1239">
        <v>471899</v>
      </c>
      <c r="O37" s="792"/>
      <c r="P37" s="792"/>
      <c r="Q37" s="725"/>
      <c r="R37" s="1264"/>
      <c r="S37" s="792"/>
      <c r="U37" s="283"/>
      <c r="V37" s="722"/>
      <c r="W37" s="283"/>
    </row>
    <row r="38" spans="1:23" s="293" customFormat="1" ht="15.6" customHeight="1">
      <c r="A38" s="621"/>
      <c r="B38" s="316" t="s">
        <v>1000</v>
      </c>
      <c r="C38" s="1240">
        <v>122513</v>
      </c>
      <c r="D38" s="1224"/>
      <c r="E38" s="514"/>
      <c r="F38" s="1240">
        <v>2235352</v>
      </c>
      <c r="G38" s="304"/>
      <c r="H38" s="514"/>
      <c r="I38" s="1241">
        <v>2235352</v>
      </c>
      <c r="J38" s="514"/>
      <c r="K38" s="1240">
        <v>3000000</v>
      </c>
      <c r="L38" s="514"/>
      <c r="M38" s="1239">
        <v>764648</v>
      </c>
      <c r="O38" s="792"/>
      <c r="P38" s="792"/>
      <c r="Q38" s="725"/>
      <c r="R38" s="1264"/>
      <c r="S38" s="792"/>
      <c r="U38" s="283"/>
      <c r="V38" s="722"/>
      <c r="W38" s="283"/>
    </row>
    <row r="39" spans="1:23" s="293" customFormat="1" ht="15.6" customHeight="1">
      <c r="A39" s="621"/>
      <c r="B39" s="316" t="s">
        <v>999</v>
      </c>
      <c r="C39" s="1240">
        <v>34757075</v>
      </c>
      <c r="D39" s="1224"/>
      <c r="E39" s="514"/>
      <c r="F39" s="1240">
        <v>24584312</v>
      </c>
      <c r="G39" s="304"/>
      <c r="H39" s="514"/>
      <c r="I39" s="1241">
        <v>24584312</v>
      </c>
      <c r="J39" s="514"/>
      <c r="K39" s="1240">
        <v>24361001</v>
      </c>
      <c r="L39" s="514"/>
      <c r="M39" s="1239">
        <v>-223311</v>
      </c>
      <c r="O39" s="792"/>
      <c r="P39" s="792"/>
      <c r="Q39" s="725"/>
      <c r="R39" s="1264"/>
      <c r="S39" s="792"/>
      <c r="U39" s="283"/>
      <c r="V39" s="722"/>
      <c r="W39" s="283"/>
    </row>
    <row r="40" spans="1:23" s="293" customFormat="1" ht="15.75">
      <c r="B40" s="622" t="s">
        <v>22</v>
      </c>
      <c r="C40" s="1244">
        <v>285922467</v>
      </c>
      <c r="D40" s="1225" t="s">
        <v>58</v>
      </c>
      <c r="E40" s="1060"/>
      <c r="F40" s="1244">
        <v>286817917</v>
      </c>
      <c r="G40" s="1225" t="s">
        <v>58</v>
      </c>
      <c r="H40" s="1060"/>
      <c r="I40" s="1244">
        <v>279312850</v>
      </c>
      <c r="J40" s="1060"/>
      <c r="K40" s="1244">
        <v>292765001</v>
      </c>
      <c r="L40" s="1060"/>
      <c r="M40" s="1244">
        <v>5947084</v>
      </c>
      <c r="N40" s="293">
        <v>25</v>
      </c>
      <c r="O40" s="1271">
        <v>2.0734701870106672E-2</v>
      </c>
      <c r="P40" s="792">
        <v>2831509</v>
      </c>
      <c r="Q40" s="725"/>
      <c r="R40" s="1264"/>
      <c r="S40" s="792">
        <v>1041560</v>
      </c>
      <c r="U40" s="283"/>
      <c r="V40" s="722"/>
      <c r="W40" s="283"/>
    </row>
    <row r="41" spans="1:23" s="293" customFormat="1" ht="7.5" customHeight="1">
      <c r="B41" s="311"/>
      <c r="C41" s="554"/>
      <c r="D41" s="304"/>
      <c r="E41" s="514"/>
      <c r="F41" s="550"/>
      <c r="G41" s="304"/>
      <c r="H41" s="514"/>
      <c r="I41" s="550" t="s">
        <v>58</v>
      </c>
      <c r="J41" s="514"/>
      <c r="K41" s="539"/>
      <c r="L41" s="514"/>
      <c r="M41" s="518"/>
      <c r="P41" s="792" t="s">
        <v>58</v>
      </c>
      <c r="Q41" s="725"/>
      <c r="R41" s="1264"/>
      <c r="S41" s="792"/>
      <c r="U41" s="283"/>
      <c r="V41" s="722"/>
      <c r="W41" s="283"/>
    </row>
    <row r="42" spans="1:23" s="293" customFormat="1" ht="15.75">
      <c r="B42" s="313" t="s">
        <v>971</v>
      </c>
      <c r="C42" s="554"/>
      <c r="D42" s="304"/>
      <c r="E42" s="514"/>
      <c r="F42" s="1241"/>
      <c r="G42" s="304"/>
      <c r="H42" s="514"/>
      <c r="I42" s="1241"/>
      <c r="J42" s="514"/>
      <c r="K42" s="539"/>
      <c r="L42" s="514"/>
      <c r="M42" s="518"/>
      <c r="O42" s="1597">
        <v>293765001</v>
      </c>
      <c r="P42" s="792"/>
      <c r="Q42" s="725"/>
      <c r="R42" s="1264"/>
      <c r="S42" s="792"/>
      <c r="U42" s="283"/>
      <c r="V42" s="722"/>
      <c r="W42" s="283"/>
    </row>
    <row r="43" spans="1:23" s="293" customFormat="1" ht="15.75">
      <c r="B43" s="1470" t="s">
        <v>1009</v>
      </c>
      <c r="C43" s="1241">
        <v>0</v>
      </c>
      <c r="D43" s="304"/>
      <c r="E43" s="515"/>
      <c r="F43" s="1241">
        <v>2104890</v>
      </c>
      <c r="G43" s="304"/>
      <c r="H43" s="515"/>
      <c r="I43" s="1241">
        <v>0</v>
      </c>
      <c r="J43" s="515"/>
      <c r="K43" s="1241">
        <v>328449</v>
      </c>
      <c r="L43" s="515"/>
      <c r="M43" s="528">
        <v>-1776441</v>
      </c>
      <c r="O43" s="1244">
        <v>287817917</v>
      </c>
      <c r="P43" s="792"/>
      <c r="Q43" s="725"/>
      <c r="R43" s="1265"/>
      <c r="S43" s="792"/>
      <c r="U43" s="283"/>
      <c r="V43" s="722"/>
      <c r="W43" s="283"/>
    </row>
    <row r="44" spans="1:23" s="293" customFormat="1" ht="15.6" hidden="1" customHeight="1">
      <c r="B44" s="1470" t="s">
        <v>969</v>
      </c>
      <c r="C44" s="1241">
        <v>0</v>
      </c>
      <c r="D44" s="304"/>
      <c r="E44" s="515"/>
      <c r="F44" s="1471">
        <v>0</v>
      </c>
      <c r="G44" s="304"/>
      <c r="H44" s="515"/>
      <c r="I44" s="1241">
        <v>0</v>
      </c>
      <c r="J44" s="515"/>
      <c r="K44" s="1241">
        <v>0</v>
      </c>
      <c r="L44" s="515"/>
      <c r="M44" s="528">
        <v>0</v>
      </c>
      <c r="N44" s="293" t="s">
        <v>58</v>
      </c>
      <c r="O44" s="556"/>
      <c r="P44" s="792"/>
      <c r="Q44" s="725"/>
      <c r="R44" s="1265"/>
      <c r="S44" s="792"/>
      <c r="U44" s="283"/>
      <c r="V44" s="722"/>
      <c r="W44" s="283"/>
    </row>
    <row r="45" spans="1:23" s="293" customFormat="1" ht="15.6" customHeight="1">
      <c r="B45" s="1246" t="s">
        <v>970</v>
      </c>
      <c r="C45" s="1251">
        <v>0</v>
      </c>
      <c r="D45" s="1225">
        <v>0</v>
      </c>
      <c r="E45" s="1060"/>
      <c r="F45" s="1251">
        <v>2104890</v>
      </c>
      <c r="G45" s="1225">
        <v>0</v>
      </c>
      <c r="H45" s="1060"/>
      <c r="I45" s="1251">
        <v>0</v>
      </c>
      <c r="J45" s="1060"/>
      <c r="K45" s="1251">
        <v>328449</v>
      </c>
      <c r="L45" s="1060"/>
      <c r="M45" s="1251">
        <v>-1776441</v>
      </c>
      <c r="N45" s="293">
        <v>0</v>
      </c>
      <c r="O45" s="1598">
        <v>5947084</v>
      </c>
      <c r="P45" s="1599">
        <v>2.0244358517031102E-2</v>
      </c>
      <c r="Q45" s="725"/>
      <c r="R45" s="1265"/>
      <c r="S45" s="792"/>
      <c r="U45" s="283"/>
      <c r="V45" s="722"/>
      <c r="W45" s="283"/>
    </row>
    <row r="46" spans="1:23" s="293" customFormat="1" ht="7.5" customHeight="1">
      <c r="B46" s="311"/>
      <c r="C46" s="554"/>
      <c r="D46" s="304"/>
      <c r="E46" s="514"/>
      <c r="F46" s="1241"/>
      <c r="G46" s="304"/>
      <c r="H46" s="514"/>
      <c r="I46" s="1241"/>
      <c r="J46" s="514"/>
      <c r="K46" s="539"/>
      <c r="L46" s="514"/>
      <c r="M46" s="518"/>
      <c r="O46" s="1271"/>
      <c r="P46" s="792"/>
      <c r="Q46" s="725"/>
      <c r="R46" s="1264"/>
      <c r="S46" s="792"/>
      <c r="U46" s="283"/>
      <c r="V46" s="722"/>
      <c r="W46" s="283"/>
    </row>
    <row r="47" spans="1:23" s="293" customFormat="1" ht="15.75">
      <c r="B47" s="313" t="s">
        <v>321</v>
      </c>
      <c r="C47" s="556"/>
      <c r="D47" s="311"/>
      <c r="E47" s="514"/>
      <c r="F47" s="554"/>
      <c r="G47" s="311"/>
      <c r="H47" s="514"/>
      <c r="I47" s="554"/>
      <c r="J47" s="514"/>
      <c r="K47" s="540"/>
      <c r="L47" s="514"/>
      <c r="M47" s="522" t="s">
        <v>58</v>
      </c>
      <c r="O47" s="792">
        <v>39987296.869999997</v>
      </c>
      <c r="P47" s="792"/>
      <c r="Q47" s="725"/>
      <c r="R47" s="1264"/>
      <c r="S47" s="792"/>
      <c r="U47" s="283">
        <v>250001000</v>
      </c>
      <c r="V47" s="722"/>
      <c r="W47" s="283"/>
    </row>
    <row r="48" spans="1:23" s="293" customFormat="1" ht="15.75" hidden="1">
      <c r="B48" s="316" t="s">
        <v>37</v>
      </c>
      <c r="C48" s="1241">
        <v>0</v>
      </c>
      <c r="D48" s="304"/>
      <c r="E48" s="515"/>
      <c r="F48" s="550">
        <v>0</v>
      </c>
      <c r="G48" s="304"/>
      <c r="H48" s="515"/>
      <c r="I48" s="550">
        <v>0</v>
      </c>
      <c r="J48" s="515"/>
      <c r="K48" s="539">
        <v>0</v>
      </c>
      <c r="L48" s="515"/>
      <c r="M48" s="527">
        <v>0</v>
      </c>
      <c r="O48" s="792"/>
      <c r="P48" s="792"/>
      <c r="Q48" s="725"/>
      <c r="R48" s="1265"/>
      <c r="S48" s="792"/>
      <c r="U48" s="283"/>
      <c r="V48" s="722"/>
      <c r="W48" s="283"/>
    </row>
    <row r="49" spans="2:24" s="293" customFormat="1" ht="15.75">
      <c r="B49" s="311" t="s">
        <v>782</v>
      </c>
      <c r="C49" s="1241">
        <v>4457240</v>
      </c>
      <c r="D49" s="304"/>
      <c r="E49" s="515"/>
      <c r="F49" s="1243">
        <v>4457240</v>
      </c>
      <c r="G49" s="304"/>
      <c r="H49" s="514"/>
      <c r="I49" s="1241">
        <v>4457240</v>
      </c>
      <c r="J49" s="515"/>
      <c r="K49" s="1241">
        <v>4457240</v>
      </c>
      <c r="L49" s="515"/>
      <c r="M49" s="527">
        <v>0</v>
      </c>
      <c r="O49" s="792">
        <v>39987297.369999997</v>
      </c>
      <c r="P49" s="792"/>
      <c r="Q49" s="725">
        <v>4457240</v>
      </c>
      <c r="R49" s="1265">
        <v>9948</v>
      </c>
      <c r="S49" s="792"/>
      <c r="U49" s="283"/>
      <c r="V49" s="722"/>
      <c r="W49" s="283"/>
    </row>
    <row r="50" spans="2:24" s="293" customFormat="1" ht="15.75">
      <c r="B50" s="311" t="s">
        <v>690</v>
      </c>
      <c r="C50" s="1241">
        <v>4000000</v>
      </c>
      <c r="D50" s="304"/>
      <c r="E50" s="515"/>
      <c r="F50" s="550">
        <v>5000000</v>
      </c>
      <c r="G50" s="304"/>
      <c r="H50" s="515"/>
      <c r="I50" s="550">
        <v>5000000</v>
      </c>
      <c r="J50" s="515"/>
      <c r="K50" s="1241">
        <v>6000000</v>
      </c>
      <c r="L50" s="515"/>
      <c r="M50" s="527">
        <v>1000000</v>
      </c>
      <c r="O50" s="792" t="e">
        <v>#REF!</v>
      </c>
      <c r="P50" s="792"/>
      <c r="Q50" s="725">
        <v>6000000</v>
      </c>
      <c r="R50" s="1265">
        <v>9946</v>
      </c>
      <c r="S50" s="792"/>
      <c r="U50" s="283"/>
      <c r="V50" s="722"/>
      <c r="W50" s="283"/>
    </row>
    <row r="51" spans="2:24" s="293" customFormat="1" ht="15.75">
      <c r="B51" s="311" t="s">
        <v>830</v>
      </c>
      <c r="C51" s="1241">
        <v>13274563</v>
      </c>
      <c r="D51" s="304"/>
      <c r="E51" s="515"/>
      <c r="F51" s="550">
        <v>4273912</v>
      </c>
      <c r="G51" s="304"/>
      <c r="H51" s="515"/>
      <c r="I51" s="550">
        <v>4273912</v>
      </c>
      <c r="J51" s="515"/>
      <c r="K51" s="1241">
        <v>0</v>
      </c>
      <c r="L51" s="515"/>
      <c r="M51" s="527">
        <v>-4273912</v>
      </c>
      <c r="O51" s="1534">
        <v>55200</v>
      </c>
      <c r="P51" s="1535" t="s">
        <v>1002</v>
      </c>
      <c r="Q51" s="725">
        <v>0</v>
      </c>
      <c r="R51" s="1265"/>
      <c r="S51" s="792"/>
      <c r="U51" s="283"/>
      <c r="V51" s="722"/>
      <c r="W51" s="283"/>
    </row>
    <row r="52" spans="2:24" s="293" customFormat="1" ht="15.75">
      <c r="B52" s="316" t="s">
        <v>841</v>
      </c>
      <c r="C52" s="1241">
        <v>778279</v>
      </c>
      <c r="D52" s="304" t="s">
        <v>58</v>
      </c>
      <c r="E52" s="514"/>
      <c r="F52" s="550">
        <v>833479</v>
      </c>
      <c r="G52" s="304">
        <v>833479</v>
      </c>
      <c r="H52" s="514"/>
      <c r="I52" s="550">
        <v>833479</v>
      </c>
      <c r="J52" s="514"/>
      <c r="K52" s="1241">
        <v>888679</v>
      </c>
      <c r="L52" s="514"/>
      <c r="M52" s="527">
        <v>55200</v>
      </c>
      <c r="O52" s="1536">
        <v>259244</v>
      </c>
      <c r="P52" s="1532">
        <v>314444</v>
      </c>
      <c r="Q52" s="725">
        <v>888679</v>
      </c>
      <c r="R52" s="1265">
        <v>9926</v>
      </c>
      <c r="S52" s="792"/>
      <c r="U52" s="283"/>
      <c r="V52" s="722"/>
      <c r="W52" s="283"/>
    </row>
    <row r="53" spans="2:24" s="293" customFormat="1" ht="15.75">
      <c r="B53" s="316" t="s">
        <v>31</v>
      </c>
      <c r="C53" s="1241">
        <v>36103408</v>
      </c>
      <c r="D53" s="304"/>
      <c r="E53" s="515"/>
      <c r="F53" s="1241">
        <v>41618943</v>
      </c>
      <c r="G53" s="304"/>
      <c r="H53" s="515"/>
      <c r="I53" s="1241">
        <v>50418790</v>
      </c>
      <c r="J53" s="515"/>
      <c r="K53" s="1241">
        <v>54350613</v>
      </c>
      <c r="L53" s="515"/>
      <c r="M53" s="527">
        <v>12731670</v>
      </c>
      <c r="O53" s="653">
        <v>-3138435</v>
      </c>
      <c r="Q53" s="725">
        <v>54350613</v>
      </c>
      <c r="R53" s="1265"/>
      <c r="S53" s="792"/>
      <c r="U53" s="283"/>
      <c r="V53" s="722"/>
      <c r="W53" s="283"/>
    </row>
    <row r="54" spans="2:24" s="625" customFormat="1" ht="15.75">
      <c r="B54" s="622" t="s">
        <v>323</v>
      </c>
      <c r="C54" s="1251">
        <v>58613490</v>
      </c>
      <c r="D54" s="1225" t="s">
        <v>58</v>
      </c>
      <c r="E54" s="1060"/>
      <c r="F54" s="1251">
        <v>56183574</v>
      </c>
      <c r="G54" s="1225">
        <v>833479</v>
      </c>
      <c r="H54" s="1060"/>
      <c r="I54" s="1251">
        <v>64983421</v>
      </c>
      <c r="J54" s="1060"/>
      <c r="K54" s="1251">
        <v>65696532</v>
      </c>
      <c r="L54" s="1060"/>
      <c r="M54" s="1251">
        <v>9512958</v>
      </c>
      <c r="N54" s="293">
        <v>6</v>
      </c>
      <c r="O54" s="724">
        <v>54679062.219999999</v>
      </c>
      <c r="Q54" s="724"/>
      <c r="R54" s="792"/>
      <c r="S54" s="792"/>
      <c r="U54" s="283"/>
      <c r="V54" s="722"/>
      <c r="W54" s="283"/>
    </row>
    <row r="55" spans="2:24" s="625" customFormat="1" ht="7.5" customHeight="1">
      <c r="B55" s="313"/>
      <c r="C55" s="555"/>
      <c r="D55" s="310"/>
      <c r="E55" s="514"/>
      <c r="F55" s="555"/>
      <c r="G55" s="310"/>
      <c r="H55" s="514"/>
      <c r="I55" s="555"/>
      <c r="J55" s="514"/>
      <c r="K55" s="1421"/>
      <c r="L55" s="514"/>
      <c r="M55" s="1024"/>
      <c r="N55" s="293"/>
      <c r="Q55" s="724"/>
      <c r="R55" s="792"/>
      <c r="S55" s="792"/>
      <c r="U55" s="283"/>
      <c r="V55" s="722"/>
      <c r="W55" s="283"/>
    </row>
    <row r="56" spans="2:24" s="293" customFormat="1" ht="16.5" thickBot="1">
      <c r="B56" s="616" t="s">
        <v>25</v>
      </c>
      <c r="C56" s="1266">
        <v>344535957</v>
      </c>
      <c r="D56" s="652" t="s">
        <v>58</v>
      </c>
      <c r="E56" s="1473"/>
      <c r="F56" s="1266">
        <v>345106381</v>
      </c>
      <c r="G56" s="652" t="e">
        <v>#VALUE!</v>
      </c>
      <c r="H56" s="1473"/>
      <c r="I56" s="1266">
        <v>344296271</v>
      </c>
      <c r="J56" s="1266"/>
      <c r="K56" s="1248">
        <v>358789982</v>
      </c>
      <c r="L56" s="1266"/>
      <c r="M56" s="1266">
        <v>13683601</v>
      </c>
      <c r="N56" s="293">
        <v>31</v>
      </c>
      <c r="O56" s="792">
        <v>18052842</v>
      </c>
      <c r="P56" s="1415">
        <v>13778930</v>
      </c>
      <c r="Q56" s="792">
        <v>288922807</v>
      </c>
      <c r="R56" s="792"/>
      <c r="S56" s="792"/>
      <c r="U56" s="283"/>
      <c r="V56" s="722"/>
      <c r="W56" s="283"/>
    </row>
    <row r="57" spans="2:24" s="293" customFormat="1" ht="16.5" hidden="1" thickTop="1">
      <c r="B57" s="313"/>
      <c r="C57" s="556"/>
      <c r="D57" s="332"/>
      <c r="E57" s="514"/>
      <c r="F57" s="556"/>
      <c r="G57" s="332"/>
      <c r="H57" s="514"/>
      <c r="I57" s="556"/>
      <c r="J57" s="514"/>
      <c r="K57" s="542"/>
      <c r="L57" s="514"/>
      <c r="M57" s="556"/>
      <c r="O57" s="792" t="s">
        <v>863</v>
      </c>
      <c r="P57" s="792"/>
      <c r="Q57" s="724">
        <v>2005110</v>
      </c>
      <c r="R57" s="792"/>
      <c r="S57" s="792"/>
      <c r="U57" s="283"/>
      <c r="V57" s="722"/>
      <c r="W57" s="283"/>
    </row>
    <row r="58" spans="2:24" s="293" customFormat="1" ht="16.5" thickTop="1">
      <c r="B58" s="313"/>
      <c r="C58" s="556"/>
      <c r="D58" s="332"/>
      <c r="E58" s="514"/>
      <c r="F58" s="556"/>
      <c r="G58" s="332"/>
      <c r="H58" s="514"/>
      <c r="I58" s="556"/>
      <c r="J58" s="514"/>
      <c r="K58" s="542"/>
      <c r="L58" s="514"/>
      <c r="M58" s="556"/>
      <c r="O58" s="792">
        <v>18058154</v>
      </c>
      <c r="P58" s="792"/>
      <c r="Q58" s="724"/>
      <c r="R58" s="792"/>
      <c r="S58" s="792"/>
      <c r="U58" s="283"/>
      <c r="V58" s="722"/>
      <c r="W58" s="283"/>
    </row>
    <row r="59" spans="2:24" s="293" customFormat="1" ht="15.75">
      <c r="B59" s="313"/>
      <c r="C59" s="556"/>
      <c r="D59" s="332"/>
      <c r="E59" s="514"/>
      <c r="F59" s="556"/>
      <c r="G59" s="332"/>
      <c r="H59" s="514"/>
      <c r="I59" s="556" t="s">
        <v>58</v>
      </c>
      <c r="J59" s="514"/>
      <c r="K59" s="542"/>
      <c r="L59" s="514"/>
      <c r="M59" s="556"/>
      <c r="O59" s="792">
        <v>-5312</v>
      </c>
      <c r="P59" s="792"/>
      <c r="Q59" s="724"/>
      <c r="R59" s="792"/>
      <c r="S59" s="792"/>
      <c r="U59" s="283"/>
      <c r="V59" s="722"/>
      <c r="W59" s="283"/>
    </row>
    <row r="60" spans="2:24" s="293" customFormat="1" ht="15.75">
      <c r="B60" s="313"/>
      <c r="C60" s="556"/>
      <c r="D60" s="332"/>
      <c r="E60" s="514"/>
      <c r="F60" s="556"/>
      <c r="G60" s="332"/>
      <c r="H60" s="514"/>
      <c r="I60" s="556"/>
      <c r="J60" s="514"/>
      <c r="K60" s="542"/>
      <c r="L60" s="514"/>
      <c r="M60" s="556"/>
      <c r="O60" s="792"/>
      <c r="P60" s="792"/>
      <c r="Q60" s="724"/>
      <c r="R60" s="792"/>
      <c r="S60" s="792"/>
      <c r="U60" s="283"/>
      <c r="V60" s="722"/>
      <c r="W60" s="283"/>
    </row>
    <row r="61" spans="2:24" s="293" customFormat="1" ht="15.75">
      <c r="B61" s="313"/>
      <c r="C61" s="556"/>
      <c r="D61" s="332"/>
      <c r="E61" s="514"/>
      <c r="F61" s="556"/>
      <c r="G61" s="332"/>
      <c r="H61" s="514"/>
      <c r="I61" s="556"/>
      <c r="J61" s="514"/>
      <c r="K61" s="542"/>
      <c r="L61" s="514"/>
      <c r="M61" s="556"/>
      <c r="O61" s="1199">
        <v>0.16355206289291893</v>
      </c>
      <c r="P61" s="792">
        <v>46909662</v>
      </c>
      <c r="Q61" s="792" t="s">
        <v>880</v>
      </c>
      <c r="R61" s="724"/>
      <c r="S61" s="792"/>
      <c r="T61" s="792"/>
      <c r="V61" s="283"/>
      <c r="W61" s="722"/>
      <c r="X61" s="283"/>
    </row>
    <row r="62" spans="2:24" s="293" customFormat="1" ht="15.75">
      <c r="B62" s="313"/>
      <c r="C62" s="556"/>
      <c r="D62" s="332"/>
      <c r="E62" s="514"/>
      <c r="F62" s="556"/>
      <c r="G62" s="332"/>
      <c r="H62" s="514"/>
      <c r="I62" s="556"/>
      <c r="J62" s="514"/>
      <c r="K62" s="542"/>
      <c r="L62" s="514"/>
      <c r="M62" s="556"/>
      <c r="O62" s="1199">
        <v>0.19945200874216851</v>
      </c>
      <c r="P62" s="792">
        <v>55709509</v>
      </c>
      <c r="Q62" s="625" t="s">
        <v>881</v>
      </c>
      <c r="R62" s="724"/>
      <c r="S62" s="792"/>
      <c r="T62" s="792"/>
      <c r="V62" s="283"/>
      <c r="W62" s="722"/>
      <c r="X62" s="283"/>
    </row>
    <row r="63" spans="2:24" s="293" customFormat="1" ht="15.75">
      <c r="B63" s="313"/>
      <c r="C63" s="556"/>
      <c r="D63" s="332"/>
      <c r="E63" s="514"/>
      <c r="F63" s="556"/>
      <c r="G63" s="332"/>
      <c r="H63" s="514"/>
      <c r="I63" s="556"/>
      <c r="J63" s="514"/>
      <c r="K63" s="542"/>
      <c r="L63" s="514"/>
      <c r="M63" s="556"/>
      <c r="O63" s="1199">
        <v>0.20390597167043201</v>
      </c>
      <c r="P63" s="792">
        <v>59696532</v>
      </c>
      <c r="Q63" s="792" t="s">
        <v>861</v>
      </c>
      <c r="R63" s="724"/>
      <c r="S63" s="792"/>
      <c r="T63" s="792"/>
      <c r="V63" s="283"/>
      <c r="W63" s="722"/>
      <c r="X63" s="283"/>
    </row>
    <row r="64" spans="2:24" s="293" customFormat="1" ht="15.75">
      <c r="B64" s="313"/>
      <c r="C64" s="556"/>
      <c r="D64" s="332"/>
      <c r="E64" s="514"/>
      <c r="F64" s="556"/>
      <c r="G64" s="332"/>
      <c r="H64" s="514"/>
      <c r="I64" s="556"/>
      <c r="J64" s="514"/>
      <c r="K64" s="542"/>
      <c r="L64" s="514"/>
      <c r="M64" s="556"/>
      <c r="O64" s="792"/>
      <c r="P64" s="792"/>
      <c r="Q64" s="724"/>
      <c r="R64" s="792"/>
      <c r="S64" s="792"/>
      <c r="U64" s="283"/>
      <c r="V64" s="722"/>
      <c r="W64" s="283"/>
    </row>
    <row r="65" spans="2:23" s="293" customFormat="1" ht="15.75">
      <c r="B65" s="313"/>
      <c r="C65" s="556"/>
      <c r="D65" s="332"/>
      <c r="E65" s="514"/>
      <c r="F65" s="556"/>
      <c r="G65" s="332"/>
      <c r="H65" s="514"/>
      <c r="I65" s="556"/>
      <c r="J65" s="514"/>
      <c r="K65" s="542"/>
      <c r="L65" s="514"/>
      <c r="M65" s="556"/>
      <c r="O65" s="792"/>
      <c r="P65" s="792"/>
      <c r="Q65" s="724"/>
      <c r="R65" s="792"/>
      <c r="S65" s="792"/>
      <c r="U65" s="283"/>
      <c r="V65" s="722"/>
      <c r="W65" s="283"/>
    </row>
    <row r="66" spans="2:23" s="293" customFormat="1" ht="15.75">
      <c r="B66" s="313"/>
      <c r="C66" s="556"/>
      <c r="D66" s="332"/>
      <c r="E66" s="514"/>
      <c r="F66" s="556"/>
      <c r="G66" s="332"/>
      <c r="H66" s="514"/>
      <c r="I66" s="556"/>
      <c r="J66" s="514"/>
      <c r="K66" s="542"/>
      <c r="L66" s="514"/>
      <c r="M66" s="556"/>
      <c r="O66" s="792"/>
      <c r="P66" s="792"/>
      <c r="Q66" s="724"/>
      <c r="R66" s="792"/>
      <c r="S66" s="792"/>
      <c r="U66" s="283"/>
      <c r="V66" s="722"/>
      <c r="W66" s="283"/>
    </row>
    <row r="67" spans="2:23" s="293" customFormat="1" ht="15.75">
      <c r="B67" s="313"/>
      <c r="C67" s="556"/>
      <c r="D67" s="332"/>
      <c r="E67" s="514"/>
      <c r="F67" s="556"/>
      <c r="G67" s="332"/>
      <c r="H67" s="514"/>
      <c r="I67" s="556"/>
      <c r="J67" s="514"/>
      <c r="K67" s="542"/>
      <c r="L67" s="514"/>
      <c r="M67" s="556"/>
      <c r="O67" s="1477">
        <v>100</v>
      </c>
      <c r="P67" s="792"/>
      <c r="Q67" s="724"/>
      <c r="R67" s="792"/>
      <c r="S67" s="792"/>
      <c r="U67" s="283"/>
      <c r="V67" s="722"/>
      <c r="W67" s="283"/>
    </row>
    <row r="68" spans="2:23" s="293" customFormat="1" ht="15.75">
      <c r="B68" s="313"/>
      <c r="C68" s="556"/>
      <c r="D68" s="332"/>
      <c r="E68" s="514"/>
      <c r="F68" s="556"/>
      <c r="G68" s="332"/>
      <c r="H68" s="514"/>
      <c r="I68" s="556"/>
      <c r="J68" s="514"/>
      <c r="K68" s="542"/>
      <c r="L68" s="514"/>
      <c r="M68" s="556"/>
      <c r="O68" s="1477">
        <v>100</v>
      </c>
      <c r="P68" s="792"/>
      <c r="Q68" s="724"/>
      <c r="R68" s="792"/>
      <c r="S68" s="792"/>
      <c r="U68" s="283"/>
      <c r="V68" s="722"/>
      <c r="W68" s="283"/>
    </row>
    <row r="69" spans="2:23" s="293" customFormat="1" ht="15.75">
      <c r="B69" s="313"/>
      <c r="C69" s="556"/>
      <c r="D69" s="332"/>
      <c r="E69" s="514"/>
      <c r="F69" s="556"/>
      <c r="G69" s="332"/>
      <c r="H69" s="514"/>
      <c r="I69" s="556"/>
      <c r="J69" s="514"/>
      <c r="K69" s="542"/>
      <c r="L69" s="514"/>
      <c r="M69" s="556"/>
      <c r="O69" s="1530"/>
      <c r="P69" s="1530"/>
      <c r="Q69" s="1531"/>
      <c r="R69" s="1532"/>
      <c r="S69" s="792"/>
      <c r="U69" s="283"/>
      <c r="V69" s="722"/>
      <c r="W69" s="283"/>
    </row>
    <row r="70" spans="2:23" s="293" customFormat="1" ht="15.75">
      <c r="B70" s="313"/>
      <c r="C70" s="556"/>
      <c r="D70" s="332"/>
      <c r="E70" s="514"/>
      <c r="F70" s="556"/>
      <c r="G70" s="332"/>
      <c r="H70" s="514"/>
      <c r="I70" s="556"/>
      <c r="J70" s="514"/>
      <c r="K70" s="542"/>
      <c r="L70" s="514"/>
      <c r="M70" s="556"/>
      <c r="O70" s="1532">
        <v>1223158</v>
      </c>
      <c r="P70" s="1532" t="s">
        <v>1012</v>
      </c>
      <c r="Q70" s="1533" t="s">
        <v>1013</v>
      </c>
      <c r="R70" s="1532"/>
      <c r="S70" s="792"/>
      <c r="U70" s="283"/>
      <c r="V70" s="722"/>
      <c r="W70" s="283"/>
    </row>
    <row r="71" spans="2:23" s="293" customFormat="1" ht="15.75">
      <c r="B71" s="313"/>
      <c r="C71" s="556"/>
      <c r="D71" s="332"/>
      <c r="E71" s="514"/>
      <c r="F71" s="556"/>
      <c r="G71" s="332"/>
      <c r="H71" s="514"/>
      <c r="I71" s="556"/>
      <c r="J71" s="514"/>
      <c r="K71" s="542"/>
      <c r="L71" s="514"/>
      <c r="M71" s="556"/>
      <c r="O71" s="1530"/>
      <c r="P71" s="1530"/>
      <c r="Q71" s="1531"/>
      <c r="R71" s="1532"/>
      <c r="S71" s="792"/>
      <c r="U71" s="283"/>
      <c r="V71" s="722"/>
      <c r="W71" s="283"/>
    </row>
    <row r="72" spans="2:23" s="293" customFormat="1" ht="15.75">
      <c r="B72" s="313"/>
      <c r="C72" s="556"/>
      <c r="D72" s="332"/>
      <c r="E72" s="514"/>
      <c r="F72" s="556"/>
      <c r="G72" s="332"/>
      <c r="H72" s="514"/>
      <c r="I72" s="556"/>
      <c r="J72" s="514"/>
      <c r="K72" s="542"/>
      <c r="L72" s="514"/>
      <c r="M72" s="556"/>
      <c r="O72" s="792"/>
      <c r="P72" s="792"/>
      <c r="Q72" s="724"/>
      <c r="R72" s="792"/>
      <c r="S72" s="792"/>
      <c r="U72" s="283"/>
      <c r="V72" s="722"/>
      <c r="W72" s="283"/>
    </row>
    <row r="73" spans="2:23" s="293" customFormat="1" ht="15.75">
      <c r="B73" s="313"/>
      <c r="C73" s="556"/>
      <c r="D73" s="332"/>
      <c r="E73" s="514"/>
      <c r="F73" s="556"/>
      <c r="G73" s="332"/>
      <c r="H73" s="514"/>
      <c r="I73" s="556"/>
      <c r="J73" s="514"/>
      <c r="K73" s="542"/>
      <c r="L73" s="514"/>
      <c r="M73" s="556"/>
      <c r="O73" s="792"/>
      <c r="P73" s="792"/>
      <c r="Q73" s="724"/>
      <c r="R73" s="792"/>
      <c r="S73" s="792"/>
      <c r="U73" s="283"/>
      <c r="V73" s="722"/>
      <c r="W73" s="283"/>
    </row>
    <row r="74" spans="2:23" s="293" customFormat="1" ht="15.75">
      <c r="B74" s="313"/>
      <c r="C74" s="556"/>
      <c r="D74" s="332"/>
      <c r="E74" s="514"/>
      <c r="F74" s="556"/>
      <c r="G74" s="332"/>
      <c r="H74" s="514"/>
      <c r="I74" s="556"/>
      <c r="J74" s="514"/>
      <c r="K74" s="542"/>
      <c r="L74" s="514"/>
      <c r="M74" s="556"/>
      <c r="O74" s="792"/>
      <c r="P74" s="792"/>
      <c r="Q74" s="724"/>
      <c r="R74" s="792"/>
      <c r="S74" s="792"/>
      <c r="U74" s="283"/>
      <c r="V74" s="722"/>
      <c r="W74" s="283"/>
    </row>
    <row r="75" spans="2:23" s="293" customFormat="1" ht="15.75">
      <c r="B75" s="313"/>
      <c r="C75" s="556"/>
      <c r="D75" s="332"/>
      <c r="E75" s="514"/>
      <c r="F75" s="556"/>
      <c r="G75" s="332"/>
      <c r="H75" s="514"/>
      <c r="I75" s="556"/>
      <c r="J75" s="514"/>
      <c r="K75" s="542"/>
      <c r="L75" s="514"/>
      <c r="M75" s="556"/>
      <c r="O75" s="792"/>
      <c r="P75" s="792"/>
      <c r="Q75" s="724"/>
      <c r="R75" s="792"/>
      <c r="S75" s="792"/>
      <c r="U75" s="283"/>
      <c r="V75" s="722"/>
      <c r="W75" s="283"/>
    </row>
    <row r="76" spans="2:23" s="293" customFormat="1" ht="15.75">
      <c r="B76" s="313"/>
      <c r="C76" s="556"/>
      <c r="D76" s="332"/>
      <c r="E76" s="514"/>
      <c r="F76" s="556"/>
      <c r="G76" s="332"/>
      <c r="H76" s="514"/>
      <c r="I76" s="556"/>
      <c r="J76" s="514"/>
      <c r="K76" s="542"/>
      <c r="L76" s="514"/>
      <c r="M76" s="556"/>
      <c r="O76" s="792"/>
      <c r="P76" s="792"/>
      <c r="Q76" s="724"/>
      <c r="R76" s="792"/>
      <c r="S76" s="792"/>
      <c r="U76" s="283"/>
      <c r="V76" s="722"/>
      <c r="W76" s="283"/>
    </row>
    <row r="77" spans="2:23" s="293" customFormat="1" ht="15.75">
      <c r="B77" s="313"/>
      <c r="C77" s="542">
        <v>0</v>
      </c>
      <c r="D77" s="332"/>
      <c r="E77" s="514"/>
      <c r="F77" s="556">
        <v>0</v>
      </c>
      <c r="G77" s="332"/>
      <c r="H77" s="514"/>
      <c r="I77" s="556">
        <v>0</v>
      </c>
      <c r="J77" s="514"/>
      <c r="K77" s="542">
        <v>0</v>
      </c>
      <c r="L77" s="514"/>
      <c r="M77" s="1198"/>
      <c r="O77" s="792"/>
      <c r="P77" s="792"/>
      <c r="Q77" s="724"/>
      <c r="R77" s="792"/>
      <c r="S77" s="792"/>
      <c r="U77" s="283"/>
      <c r="V77" s="722"/>
      <c r="W77" s="283"/>
    </row>
    <row r="78" spans="2:23" s="293" customFormat="1" ht="15.75">
      <c r="B78" s="313" t="s">
        <v>818</v>
      </c>
      <c r="C78" s="556">
        <v>39748283</v>
      </c>
      <c r="D78" s="332"/>
      <c r="E78" s="514"/>
      <c r="F78" s="556"/>
      <c r="G78" s="332"/>
      <c r="H78" s="514"/>
      <c r="I78" s="556"/>
      <c r="J78" s="514"/>
      <c r="K78" s="542"/>
      <c r="L78" s="514"/>
      <c r="M78" s="1198"/>
      <c r="O78" s="792"/>
      <c r="P78" s="792"/>
      <c r="Q78" s="724"/>
      <c r="R78" s="792"/>
      <c r="S78" s="792"/>
      <c r="U78" s="283"/>
      <c r="V78" s="722"/>
      <c r="W78" s="283"/>
    </row>
    <row r="79" spans="2:23" s="293" customFormat="1" ht="15.75">
      <c r="B79" s="313" t="s">
        <v>816</v>
      </c>
      <c r="C79" s="556">
        <v>812365</v>
      </c>
      <c r="D79" s="332"/>
      <c r="E79" s="514"/>
      <c r="F79" s="556"/>
      <c r="G79" s="332"/>
      <c r="H79" s="514"/>
      <c r="I79" s="556"/>
      <c r="J79" s="514"/>
      <c r="K79" s="542"/>
      <c r="L79" s="514"/>
      <c r="M79" s="1198"/>
      <c r="O79" s="792"/>
      <c r="P79" s="792"/>
      <c r="Q79" s="724"/>
      <c r="R79" s="792"/>
      <c r="S79" s="792"/>
      <c r="U79" s="283"/>
      <c r="V79" s="722"/>
      <c r="W79" s="283"/>
    </row>
    <row r="80" spans="2:23" s="293" customFormat="1" ht="15.75">
      <c r="B80" s="313" t="s">
        <v>819</v>
      </c>
      <c r="D80" s="332"/>
      <c r="E80" s="514"/>
      <c r="F80" s="1101">
        <v>28088083</v>
      </c>
      <c r="G80" s="332"/>
      <c r="H80" s="514"/>
      <c r="I80" s="556">
        <v>15061685</v>
      </c>
      <c r="K80" s="518" t="s">
        <v>823</v>
      </c>
      <c r="L80" s="514"/>
      <c r="M80" s="1198">
        <v>13026398</v>
      </c>
      <c r="O80" s="792"/>
      <c r="P80" s="792"/>
      <c r="Q80" s="724"/>
      <c r="R80" s="792"/>
      <c r="S80" s="792"/>
      <c r="U80" s="283"/>
      <c r="V80" s="722"/>
      <c r="W80" s="283"/>
    </row>
    <row r="81" spans="2:23" s="293" customFormat="1" ht="15.75">
      <c r="B81" s="313" t="s">
        <v>817</v>
      </c>
      <c r="C81" s="556">
        <v>0</v>
      </c>
      <c r="D81" s="332"/>
      <c r="E81" s="514"/>
      <c r="F81" s="556"/>
      <c r="G81" s="332"/>
      <c r="H81" s="514"/>
      <c r="I81" s="556"/>
      <c r="J81" s="514"/>
      <c r="K81" s="542"/>
      <c r="L81" s="514"/>
      <c r="M81" s="1241">
        <v>13274563</v>
      </c>
      <c r="O81" s="792"/>
      <c r="P81" s="792"/>
      <c r="Q81" s="724"/>
      <c r="R81" s="792"/>
      <c r="S81" s="792"/>
      <c r="U81" s="283"/>
      <c r="V81" s="722"/>
      <c r="W81" s="283"/>
    </row>
    <row r="82" spans="2:23" s="293" customFormat="1" ht="15.75">
      <c r="B82" s="313" t="s">
        <v>820</v>
      </c>
      <c r="C82" s="556">
        <v>40019</v>
      </c>
      <c r="D82" s="332"/>
      <c r="E82" s="514"/>
      <c r="F82" s="556" t="s">
        <v>58</v>
      </c>
      <c r="G82" s="332"/>
      <c r="H82" s="514"/>
      <c r="I82" s="1103"/>
      <c r="J82" s="514"/>
      <c r="K82" s="542"/>
      <c r="L82" s="514"/>
      <c r="M82" s="1198">
        <v>248165</v>
      </c>
      <c r="O82" s="792"/>
      <c r="P82" s="792"/>
      <c r="Q82" s="724"/>
      <c r="R82" s="792"/>
      <c r="S82" s="792"/>
      <c r="U82" s="283"/>
      <c r="V82" s="722"/>
      <c r="W82" s="283"/>
    </row>
    <row r="83" spans="2:23" s="293" customFormat="1" ht="15.75">
      <c r="B83" s="313" t="s">
        <v>821</v>
      </c>
      <c r="C83" s="556">
        <v>25000</v>
      </c>
      <c r="D83" s="332"/>
      <c r="E83" s="514"/>
      <c r="F83" s="556" t="s">
        <v>58</v>
      </c>
      <c r="G83" s="332"/>
      <c r="H83" s="514"/>
      <c r="I83" s="1104">
        <v>65019</v>
      </c>
      <c r="K83" s="542"/>
      <c r="L83" s="514"/>
      <c r="M83" s="1198"/>
      <c r="O83" s="792"/>
      <c r="P83" s="792"/>
      <c r="Q83" s="724"/>
      <c r="R83" s="792"/>
      <c r="S83" s="792"/>
      <c r="U83" s="283"/>
      <c r="V83" s="722"/>
      <c r="W83" s="283"/>
    </row>
    <row r="84" spans="2:23" s="293" customFormat="1" ht="15.75">
      <c r="B84" s="313" t="s">
        <v>692</v>
      </c>
      <c r="C84" s="556">
        <v>1000000</v>
      </c>
      <c r="D84" s="332"/>
      <c r="E84" s="514"/>
      <c r="F84" s="556">
        <v>41625667</v>
      </c>
      <c r="G84" s="332"/>
      <c r="H84" s="514"/>
      <c r="I84" s="556"/>
      <c r="J84" s="514"/>
      <c r="K84" s="542"/>
      <c r="L84" s="514"/>
      <c r="M84" s="1198"/>
      <c r="O84" s="792"/>
      <c r="P84" s="792"/>
      <c r="Q84" s="724"/>
      <c r="R84" s="792"/>
      <c r="S84" s="792"/>
      <c r="U84" s="283"/>
      <c r="V84" s="722"/>
      <c r="W84" s="283"/>
    </row>
    <row r="85" spans="2:23" s="293" customFormat="1" ht="15.75">
      <c r="B85" s="313"/>
      <c r="C85" s="556"/>
      <c r="D85" s="332"/>
      <c r="E85" s="514"/>
      <c r="F85" s="556"/>
      <c r="G85" s="332"/>
      <c r="H85" s="514"/>
      <c r="I85" s="556"/>
      <c r="J85" s="514"/>
      <c r="K85" s="542"/>
      <c r="L85" s="514"/>
      <c r="M85" s="1198"/>
      <c r="O85" s="792"/>
      <c r="P85" s="792"/>
      <c r="Q85" s="724"/>
      <c r="R85" s="792"/>
      <c r="S85" s="792"/>
      <c r="U85" s="283"/>
      <c r="V85" s="722"/>
      <c r="W85" s="283"/>
    </row>
    <row r="86" spans="2:23" s="293" customFormat="1" ht="15.75">
      <c r="B86" s="313" t="s">
        <v>692</v>
      </c>
      <c r="C86" s="556">
        <v>4000000</v>
      </c>
      <c r="D86" s="332"/>
      <c r="E86" s="514"/>
      <c r="F86" s="556">
        <v>4000000</v>
      </c>
      <c r="G86" s="332"/>
      <c r="H86" s="514"/>
      <c r="I86" s="556"/>
      <c r="J86" s="514"/>
      <c r="K86" s="542"/>
      <c r="L86" s="514"/>
      <c r="M86" s="1198"/>
      <c r="O86" s="792"/>
      <c r="P86" s="792"/>
      <c r="Q86" s="724"/>
      <c r="R86" s="792"/>
      <c r="S86" s="792"/>
      <c r="U86" s="283"/>
      <c r="V86" s="722"/>
      <c r="W86" s="283"/>
    </row>
    <row r="87" spans="2:23" s="293" customFormat="1" ht="15.75">
      <c r="B87" s="313" t="s">
        <v>822</v>
      </c>
      <c r="C87" s="556">
        <v>509216</v>
      </c>
      <c r="D87" s="332"/>
      <c r="E87" s="514"/>
      <c r="F87" s="556"/>
      <c r="G87" s="332"/>
      <c r="H87" s="514"/>
      <c r="I87" s="556">
        <v>454000</v>
      </c>
      <c r="J87" s="514"/>
      <c r="K87" s="542" t="s">
        <v>834</v>
      </c>
      <c r="L87" s="514"/>
      <c r="M87" s="1198"/>
      <c r="O87" s="792"/>
      <c r="P87" s="792"/>
      <c r="Q87" s="724"/>
      <c r="R87" s="792"/>
      <c r="S87" s="792"/>
      <c r="U87" s="283"/>
      <c r="V87" s="722"/>
      <c r="W87" s="283"/>
    </row>
    <row r="88" spans="2:23" s="293" customFormat="1" ht="15.75">
      <c r="B88" s="313" t="s">
        <v>822</v>
      </c>
      <c r="C88" s="556">
        <v>204044</v>
      </c>
      <c r="D88" s="332"/>
      <c r="E88" s="514"/>
      <c r="F88" s="556">
        <v>713260</v>
      </c>
      <c r="G88" s="332"/>
      <c r="H88" s="514"/>
      <c r="I88" s="556" t="s">
        <v>833</v>
      </c>
      <c r="J88" s="514"/>
      <c r="K88" s="542" t="s">
        <v>835</v>
      </c>
      <c r="L88" s="514"/>
      <c r="M88" s="1198"/>
      <c r="O88" s="792"/>
      <c r="P88" s="792"/>
      <c r="Q88" s="724"/>
      <c r="R88" s="792"/>
      <c r="S88" s="792"/>
      <c r="U88" s="283"/>
      <c r="V88" s="722"/>
      <c r="W88" s="283"/>
    </row>
    <row r="89" spans="2:23" s="293" customFormat="1" ht="15.75">
      <c r="B89" s="313"/>
      <c r="C89" s="556">
        <v>46338927</v>
      </c>
      <c r="D89" s="332"/>
      <c r="E89" s="514"/>
      <c r="F89" s="556">
        <v>46338927</v>
      </c>
      <c r="G89" s="332"/>
      <c r="H89" s="514"/>
      <c r="I89" s="556"/>
      <c r="J89" s="514"/>
      <c r="K89" s="542"/>
      <c r="L89" s="514"/>
      <c r="M89" s="1198"/>
      <c r="O89" s="792"/>
      <c r="P89" s="792"/>
      <c r="Q89" s="724" t="s">
        <v>697</v>
      </c>
      <c r="R89" s="792"/>
      <c r="S89" s="792"/>
      <c r="U89" s="283"/>
      <c r="V89" s="722"/>
      <c r="W89" s="283"/>
    </row>
    <row r="90" spans="2:23" s="293" customFormat="1" ht="15.75">
      <c r="B90" s="313"/>
      <c r="C90" s="556">
        <v>0</v>
      </c>
      <c r="D90" s="332"/>
      <c r="E90" s="514"/>
      <c r="F90" s="542">
        <v>0</v>
      </c>
      <c r="G90" s="332"/>
      <c r="H90" s="514"/>
      <c r="I90" s="556">
        <v>0</v>
      </c>
      <c r="J90" s="514"/>
      <c r="K90" s="542">
        <v>0</v>
      </c>
      <c r="L90" s="514"/>
      <c r="M90" s="1198"/>
      <c r="O90" s="792"/>
      <c r="P90" s="792"/>
      <c r="Q90" s="723">
        <v>55200</v>
      </c>
      <c r="R90" s="792"/>
      <c r="S90" s="792"/>
      <c r="U90" s="283"/>
      <c r="V90" s="722"/>
      <c r="W90" s="283"/>
    </row>
    <row r="91" spans="2:23" s="293" customFormat="1" ht="15.75">
      <c r="B91" s="313"/>
      <c r="C91" s="556"/>
      <c r="D91" s="332"/>
      <c r="E91" s="514"/>
      <c r="F91" s="777"/>
      <c r="G91" s="332"/>
      <c r="H91" s="514"/>
      <c r="I91" s="777"/>
      <c r="J91" s="514"/>
      <c r="K91" s="1198" t="s">
        <v>58</v>
      </c>
      <c r="L91" s="514"/>
      <c r="M91" s="1198"/>
      <c r="O91" s="792"/>
      <c r="P91" s="792"/>
      <c r="Q91" s="723"/>
      <c r="S91" s="723"/>
      <c r="U91" s="283"/>
      <c r="V91" s="722"/>
      <c r="W91" s="283"/>
    </row>
    <row r="92" spans="2:23" s="293" customFormat="1" ht="15.75">
      <c r="B92" s="313" t="s">
        <v>820</v>
      </c>
      <c r="C92" s="556">
        <v>40019</v>
      </c>
      <c r="D92" s="332"/>
      <c r="E92" s="514"/>
      <c r="F92" s="777"/>
      <c r="G92" s="332"/>
      <c r="H92" s="514"/>
      <c r="I92" s="777"/>
      <c r="J92" s="514"/>
      <c r="K92" s="1198"/>
      <c r="L92" s="514"/>
      <c r="M92" s="1198"/>
      <c r="O92" s="792"/>
      <c r="P92" s="792"/>
      <c r="Q92" s="723"/>
      <c r="S92" s="723"/>
      <c r="U92" s="283"/>
      <c r="V92" s="722"/>
      <c r="W92" s="283"/>
    </row>
    <row r="93" spans="2:23" s="293" customFormat="1" ht="15.75">
      <c r="B93" s="313" t="s">
        <v>821</v>
      </c>
      <c r="C93" s="556">
        <v>25000</v>
      </c>
      <c r="D93" s="332"/>
      <c r="E93" s="514"/>
      <c r="F93" s="777"/>
      <c r="G93" s="332"/>
      <c r="H93" s="514"/>
      <c r="I93" s="777"/>
      <c r="J93" s="514"/>
      <c r="K93" s="1198"/>
      <c r="L93" s="514"/>
      <c r="M93" s="1198"/>
      <c r="O93" s="792"/>
      <c r="P93" s="792"/>
      <c r="Q93" s="723"/>
      <c r="S93" s="723"/>
      <c r="U93" s="283"/>
      <c r="V93" s="722"/>
      <c r="W93" s="283"/>
    </row>
    <row r="94" spans="2:23" s="293" customFormat="1" ht="15.75">
      <c r="B94" s="313" t="s">
        <v>822</v>
      </c>
      <c r="C94" s="556">
        <v>509216</v>
      </c>
      <c r="D94" s="332"/>
      <c r="E94" s="514"/>
      <c r="F94" s="777"/>
      <c r="G94" s="332"/>
      <c r="H94" s="514"/>
      <c r="I94" s="777"/>
      <c r="J94" s="514"/>
      <c r="K94" s="1198"/>
      <c r="L94" s="514"/>
      <c r="M94" s="1198"/>
      <c r="O94" s="792"/>
      <c r="P94" s="792"/>
      <c r="Q94" s="723"/>
      <c r="S94" s="723"/>
      <c r="U94" s="283"/>
      <c r="V94" s="722"/>
      <c r="W94" s="283"/>
    </row>
    <row r="95" spans="2:23" s="293" customFormat="1" ht="15.75">
      <c r="B95" s="313" t="s">
        <v>822</v>
      </c>
      <c r="C95" s="556">
        <v>204044</v>
      </c>
      <c r="D95" s="332"/>
      <c r="E95" s="514"/>
      <c r="F95" s="777"/>
      <c r="G95" s="332"/>
      <c r="H95" s="514"/>
      <c r="I95" s="777"/>
      <c r="J95" s="514"/>
      <c r="K95" s="1198"/>
      <c r="L95" s="514"/>
      <c r="M95" s="1198"/>
      <c r="O95" s="792"/>
      <c r="P95" s="792"/>
      <c r="Q95" s="724" t="s">
        <v>836</v>
      </c>
      <c r="S95" s="723"/>
      <c r="U95" s="283"/>
      <c r="V95" s="722"/>
      <c r="W95" s="283"/>
    </row>
    <row r="96" spans="2:23" s="293" customFormat="1" ht="16.5" thickBot="1">
      <c r="B96" s="1106" t="s">
        <v>839</v>
      </c>
      <c r="C96" s="1107">
        <v>778279</v>
      </c>
      <c r="D96" s="332"/>
      <c r="E96" s="514"/>
      <c r="F96" s="777"/>
      <c r="G96" s="332"/>
      <c r="H96" s="514"/>
      <c r="I96" s="777"/>
      <c r="J96" s="514"/>
      <c r="K96" s="1198"/>
      <c r="L96" s="514"/>
      <c r="M96" s="1198"/>
      <c r="O96" s="792"/>
      <c r="P96" s="792"/>
      <c r="Q96" s="723"/>
      <c r="S96" s="723"/>
      <c r="U96" s="283"/>
      <c r="V96" s="722"/>
      <c r="W96" s="283"/>
    </row>
    <row r="97" spans="2:23" s="293" customFormat="1" ht="15.75">
      <c r="B97" s="313"/>
      <c r="C97" s="556"/>
      <c r="D97" s="332"/>
      <c r="E97" s="514"/>
      <c r="F97" s="777"/>
      <c r="G97" s="332"/>
      <c r="H97" s="514"/>
      <c r="I97" s="777"/>
      <c r="J97" s="514"/>
      <c r="K97" s="1198"/>
      <c r="L97" s="514"/>
      <c r="M97" s="1198"/>
      <c r="O97" s="793"/>
      <c r="P97" s="793"/>
      <c r="Q97" s="722">
        <v>55200</v>
      </c>
      <c r="S97" s="723"/>
      <c r="U97" s="283"/>
      <c r="V97" s="722"/>
      <c r="W97" s="283"/>
    </row>
    <row r="98" spans="2:23" ht="15.75">
      <c r="B98" s="313" t="s">
        <v>17</v>
      </c>
      <c r="C98" s="778">
        <v>0</v>
      </c>
      <c r="D98" s="759" t="e">
        <v>#VALUE!</v>
      </c>
      <c r="E98" s="514"/>
      <c r="F98" s="1059">
        <v>0</v>
      </c>
      <c r="G98" s="759" t="e">
        <v>#VALUE!</v>
      </c>
      <c r="H98" s="514"/>
      <c r="I98" s="778">
        <v>6369931</v>
      </c>
      <c r="J98" s="514"/>
      <c r="K98" s="1422">
        <v>1041560</v>
      </c>
      <c r="L98" s="514"/>
      <c r="M98" s="518" t="s">
        <v>58</v>
      </c>
      <c r="Q98" s="722">
        <v>52560</v>
      </c>
    </row>
    <row r="99" spans="2:23" ht="15.75">
      <c r="B99" s="313"/>
      <c r="C99" s="778"/>
      <c r="D99" s="761"/>
      <c r="E99" s="514"/>
      <c r="F99" s="778"/>
      <c r="G99" s="535"/>
      <c r="H99" s="514"/>
      <c r="I99" s="778"/>
      <c r="J99" s="514"/>
      <c r="K99" s="532" t="s">
        <v>58</v>
      </c>
      <c r="L99" s="514"/>
      <c r="M99" s="532"/>
      <c r="Q99" s="722">
        <v>55200</v>
      </c>
      <c r="R99" s="1105">
        <v>162960</v>
      </c>
      <c r="S99" s="722">
        <v>2640</v>
      </c>
      <c r="T99" s="283">
        <v>220</v>
      </c>
      <c r="U99" s="283" t="s">
        <v>840</v>
      </c>
    </row>
    <row r="100" spans="2:23" ht="15.75">
      <c r="B100" s="298"/>
      <c r="C100" s="782"/>
      <c r="D100" s="491"/>
      <c r="E100" s="514"/>
      <c r="F100" s="782"/>
      <c r="G100" s="491"/>
      <c r="H100" s="514"/>
      <c r="I100" s="782"/>
      <c r="J100" s="514"/>
      <c r="K100" s="517" t="s">
        <v>58</v>
      </c>
      <c r="L100" s="514"/>
      <c r="M100" s="893"/>
      <c r="Q100" s="722">
        <v>218160</v>
      </c>
    </row>
    <row r="101" spans="2:23" ht="15.75">
      <c r="B101" s="313" t="s">
        <v>17</v>
      </c>
      <c r="C101" s="779">
        <v>0</v>
      </c>
      <c r="D101" s="760" t="e">
        <v>#REF!</v>
      </c>
      <c r="E101" s="760"/>
      <c r="F101" s="779">
        <v>0</v>
      </c>
      <c r="G101" s="760" t="e">
        <v>#REF!</v>
      </c>
      <c r="H101" s="760"/>
      <c r="I101" s="779">
        <v>0</v>
      </c>
      <c r="J101" s="760"/>
      <c r="K101" s="1024">
        <v>0</v>
      </c>
      <c r="L101" s="760"/>
      <c r="M101" s="518" t="s">
        <v>58</v>
      </c>
    </row>
    <row r="102" spans="2:23" ht="15.75">
      <c r="B102" s="313"/>
      <c r="C102" s="779"/>
      <c r="D102" s="762"/>
      <c r="E102" s="762"/>
      <c r="F102" s="779" t="s">
        <v>813</v>
      </c>
      <c r="G102" s="524"/>
      <c r="H102" s="762"/>
      <c r="I102" s="779"/>
      <c r="J102" s="524"/>
      <c r="K102" s="522"/>
      <c r="L102" s="524"/>
      <c r="M102" s="522"/>
    </row>
    <row r="103" spans="2:23" ht="15.75">
      <c r="B103" s="298"/>
      <c r="C103" s="551">
        <v>-2858680</v>
      </c>
      <c r="D103" s="514" t="e">
        <v>#REF!</v>
      </c>
      <c r="E103" s="514"/>
      <c r="G103" s="514" t="e">
        <v>#REF!</v>
      </c>
      <c r="H103" s="514"/>
      <c r="I103" s="527">
        <v>563857</v>
      </c>
      <c r="J103" s="514"/>
      <c r="K103" s="518" t="s">
        <v>58</v>
      </c>
      <c r="L103" s="514"/>
      <c r="M103" s="518" t="s">
        <v>58</v>
      </c>
    </row>
    <row r="104" spans="2:23" ht="15.75">
      <c r="B104" s="298"/>
      <c r="C104" s="551">
        <v>1600383</v>
      </c>
      <c r="D104" s="298"/>
      <c r="E104" s="506"/>
      <c r="F104" s="551">
        <v>165600</v>
      </c>
      <c r="G104" s="298"/>
      <c r="H104" s="506"/>
      <c r="I104" s="551">
        <v>729457</v>
      </c>
      <c r="J104" s="506"/>
      <c r="K104" s="540">
        <v>13800</v>
      </c>
      <c r="L104" s="506"/>
      <c r="M104" s="1080"/>
      <c r="O104" s="283"/>
      <c r="P104" s="283"/>
    </row>
    <row r="105" spans="2:23" ht="15.75">
      <c r="B105" s="298"/>
      <c r="C105" s="551"/>
      <c r="D105" s="298"/>
      <c r="E105" s="506"/>
      <c r="F105" s="551">
        <v>55200</v>
      </c>
      <c r="G105" s="298"/>
      <c r="H105" s="506"/>
      <c r="I105" s="551">
        <v>784657</v>
      </c>
      <c r="J105" s="506"/>
      <c r="K105" s="540">
        <v>4600</v>
      </c>
      <c r="L105" s="506"/>
      <c r="M105" s="1080"/>
      <c r="O105" s="283"/>
      <c r="P105" s="283"/>
      <c r="S105" s="283"/>
      <c r="V105" s="283"/>
    </row>
    <row r="106" spans="2:23" ht="15.75">
      <c r="B106" s="298"/>
      <c r="C106" s="551"/>
      <c r="D106" s="298"/>
      <c r="E106" s="506"/>
      <c r="F106" s="551">
        <v>4600</v>
      </c>
      <c r="G106" s="298"/>
      <c r="H106" s="506"/>
      <c r="I106" s="551"/>
      <c r="J106" s="506"/>
      <c r="K106" s="540"/>
      <c r="L106" s="506"/>
      <c r="M106" s="1080"/>
      <c r="O106" s="283"/>
      <c r="P106" s="283"/>
      <c r="S106" s="283"/>
      <c r="V106" s="283"/>
    </row>
    <row r="107" spans="2:23" ht="15.75">
      <c r="B107" s="298"/>
      <c r="C107" s="539" t="s">
        <v>58</v>
      </c>
      <c r="D107" s="298"/>
      <c r="E107" s="506"/>
      <c r="F107" s="551"/>
      <c r="G107" s="298"/>
      <c r="H107" s="506"/>
      <c r="I107" s="551"/>
      <c r="J107" s="506"/>
      <c r="K107" s="540"/>
      <c r="L107" s="506"/>
      <c r="M107" s="1080"/>
      <c r="O107" s="283"/>
      <c r="P107" s="283"/>
      <c r="S107" s="283"/>
      <c r="V107" s="283"/>
    </row>
    <row r="108" spans="2:23" ht="15.75">
      <c r="B108" s="298"/>
      <c r="C108" s="551"/>
      <c r="D108" s="298"/>
      <c r="E108" s="506"/>
      <c r="F108" s="551"/>
      <c r="G108" s="298"/>
      <c r="H108" s="506"/>
      <c r="I108" s="551"/>
      <c r="J108" s="506"/>
      <c r="K108" s="540"/>
      <c r="L108" s="506"/>
      <c r="M108" s="1080"/>
      <c r="O108" s="283"/>
      <c r="P108" s="283"/>
      <c r="S108" s="283"/>
      <c r="V108" s="283"/>
    </row>
    <row r="109" spans="2:23" ht="15.75">
      <c r="B109" s="298"/>
      <c r="C109" s="551" t="s">
        <v>829</v>
      </c>
      <c r="D109" s="298"/>
      <c r="E109" s="506"/>
      <c r="F109" s="551" t="s">
        <v>58</v>
      </c>
      <c r="G109" s="298"/>
      <c r="H109" s="506"/>
      <c r="I109" s="551"/>
      <c r="J109" s="506"/>
      <c r="K109" s="540"/>
      <c r="L109" s="506"/>
      <c r="M109" s="1080"/>
      <c r="O109" s="283"/>
      <c r="P109" s="283"/>
      <c r="S109" s="283"/>
      <c r="V109" s="283"/>
    </row>
    <row r="110" spans="2:23" ht="15.75">
      <c r="B110" s="298"/>
      <c r="C110" s="551">
        <v>1000000</v>
      </c>
      <c r="D110" s="298"/>
      <c r="E110" s="506"/>
      <c r="F110" s="551" t="s">
        <v>692</v>
      </c>
      <c r="G110" s="298"/>
      <c r="H110" s="506"/>
      <c r="I110" s="551"/>
      <c r="J110" s="506"/>
      <c r="K110" s="540"/>
      <c r="L110" s="506"/>
      <c r="M110" s="1080"/>
      <c r="O110" s="283"/>
      <c r="P110" s="283"/>
      <c r="S110" s="283"/>
      <c r="V110" s="283"/>
    </row>
    <row r="111" spans="2:23" ht="15.75">
      <c r="B111" s="298"/>
      <c r="C111" s="551">
        <v>2944816</v>
      </c>
      <c r="D111" s="298"/>
      <c r="E111" s="506"/>
      <c r="F111" s="551" t="s">
        <v>816</v>
      </c>
      <c r="G111" s="298"/>
      <c r="H111" s="506"/>
      <c r="I111" s="551"/>
      <c r="J111" s="506"/>
      <c r="K111" s="540"/>
      <c r="L111" s="506"/>
      <c r="M111" s="1080"/>
      <c r="O111" s="283"/>
      <c r="P111" s="283"/>
      <c r="S111" s="283"/>
      <c r="V111" s="283"/>
    </row>
    <row r="112" spans="2:23" ht="15.75">
      <c r="B112" s="298"/>
      <c r="C112" s="551">
        <v>3807908</v>
      </c>
      <c r="D112" s="298"/>
      <c r="E112" s="506"/>
      <c r="F112" s="551" t="s">
        <v>817</v>
      </c>
      <c r="G112" s="298"/>
      <c r="H112" s="506"/>
      <c r="I112" s="551"/>
      <c r="J112" s="506"/>
      <c r="K112" s="540"/>
      <c r="L112" s="506"/>
      <c r="M112" s="1080"/>
      <c r="O112" s="283"/>
      <c r="P112" s="283"/>
      <c r="S112" s="283"/>
      <c r="V112" s="283"/>
    </row>
    <row r="113" spans="2:22" ht="15.75">
      <c r="B113" s="298"/>
      <c r="C113" s="551">
        <v>7752724</v>
      </c>
      <c r="D113" s="298"/>
      <c r="E113" s="506"/>
      <c r="F113" s="551"/>
      <c r="G113" s="298"/>
      <c r="H113" s="506"/>
      <c r="I113" s="551"/>
      <c r="J113" s="506"/>
      <c r="K113" s="540"/>
      <c r="L113" s="506"/>
      <c r="M113" s="1080"/>
      <c r="O113" s="283"/>
      <c r="P113" s="283"/>
      <c r="S113" s="283"/>
      <c r="V113" s="283"/>
    </row>
    <row r="114" spans="2:22" ht="15.75" hidden="1">
      <c r="B114" s="298"/>
      <c r="C114" s="551">
        <v>1601003</v>
      </c>
      <c r="D114" s="298"/>
      <c r="E114" s="506"/>
      <c r="F114" s="551"/>
      <c r="G114" s="298"/>
      <c r="H114" s="506"/>
      <c r="I114" s="551"/>
      <c r="J114" s="506"/>
      <c r="K114" s="540"/>
      <c r="L114" s="506"/>
      <c r="M114" s="1080"/>
      <c r="O114" s="283"/>
      <c r="P114" s="283"/>
      <c r="S114" s="283"/>
      <c r="V114" s="283"/>
    </row>
    <row r="115" spans="2:22" ht="15.75" hidden="1">
      <c r="B115" s="298"/>
      <c r="C115" s="551"/>
      <c r="D115" s="298"/>
      <c r="E115" s="506"/>
      <c r="F115" s="551"/>
      <c r="G115" s="298"/>
      <c r="H115" s="506"/>
      <c r="I115" s="551"/>
      <c r="J115" s="506"/>
      <c r="K115" s="540"/>
      <c r="L115" s="506"/>
      <c r="M115" s="1080"/>
      <c r="O115" s="283"/>
      <c r="P115" s="283"/>
      <c r="S115" s="283"/>
      <c r="V115" s="283"/>
    </row>
    <row r="116" spans="2:22" ht="15.75" hidden="1">
      <c r="B116" s="298"/>
      <c r="C116" s="551"/>
      <c r="D116" s="298"/>
      <c r="E116" s="506"/>
      <c r="F116" s="551"/>
      <c r="G116" s="298"/>
      <c r="H116" s="506"/>
      <c r="I116" s="551"/>
      <c r="J116" s="506"/>
      <c r="K116" s="540"/>
      <c r="L116" s="506"/>
      <c r="M116" s="1080"/>
      <c r="O116" s="283"/>
      <c r="P116" s="283"/>
      <c r="S116" s="283"/>
      <c r="V116" s="283"/>
    </row>
    <row r="117" spans="2:22" ht="15.75" hidden="1">
      <c r="B117" s="298"/>
      <c r="C117" s="551"/>
      <c r="D117" s="298"/>
      <c r="E117" s="506"/>
      <c r="F117" s="551"/>
      <c r="G117" s="298"/>
      <c r="H117" s="506"/>
      <c r="I117" s="551"/>
      <c r="J117" s="506"/>
      <c r="K117" s="540"/>
      <c r="L117" s="506"/>
      <c r="M117" s="1080"/>
      <c r="O117" s="283"/>
      <c r="P117" s="283"/>
      <c r="S117" s="283"/>
      <c r="V117" s="283"/>
    </row>
    <row r="118" spans="2:22" ht="15.75">
      <c r="B118" s="298"/>
      <c r="C118" s="551"/>
      <c r="D118" s="298"/>
      <c r="E118" s="506"/>
      <c r="F118" s="551"/>
      <c r="G118" s="298"/>
      <c r="H118" s="506"/>
      <c r="I118" s="551"/>
      <c r="J118" s="506"/>
      <c r="K118" s="540"/>
      <c r="L118" s="506"/>
      <c r="M118" s="1080"/>
      <c r="O118" s="283"/>
      <c r="P118" s="283"/>
      <c r="S118" s="283"/>
      <c r="V118" s="283"/>
    </row>
    <row r="119" spans="2:22" ht="15.75">
      <c r="B119" s="298"/>
      <c r="C119" s="551" t="s">
        <v>828</v>
      </c>
      <c r="D119" s="298"/>
      <c r="E119" s="506"/>
      <c r="F119" s="551"/>
      <c r="G119" s="298"/>
      <c r="H119" s="506"/>
      <c r="I119" s="551"/>
      <c r="J119" s="506"/>
      <c r="K119" s="540"/>
      <c r="L119" s="506"/>
      <c r="M119" s="1080"/>
      <c r="O119" s="283"/>
      <c r="P119" s="283"/>
      <c r="S119" s="283"/>
      <c r="V119" s="283"/>
    </row>
    <row r="120" spans="2:22" ht="15.75">
      <c r="B120" s="298"/>
      <c r="C120" s="1102">
        <v>464915</v>
      </c>
      <c r="D120" s="298"/>
      <c r="E120" s="506"/>
      <c r="F120" s="551" t="s">
        <v>824</v>
      </c>
      <c r="G120" s="298"/>
      <c r="H120" s="506"/>
      <c r="I120" s="551"/>
      <c r="J120" s="506"/>
      <c r="K120" s="540"/>
      <c r="L120" s="506"/>
      <c r="M120" s="1080"/>
      <c r="O120" s="283"/>
      <c r="P120" s="283"/>
      <c r="S120" s="283"/>
      <c r="V120" s="283"/>
    </row>
    <row r="121" spans="2:22" ht="15.75">
      <c r="B121" s="298"/>
      <c r="C121" s="1102">
        <v>106485</v>
      </c>
      <c r="D121" s="298"/>
      <c r="E121" s="506"/>
      <c r="F121" s="551" t="s">
        <v>825</v>
      </c>
      <c r="G121" s="298"/>
      <c r="H121" s="506"/>
      <c r="I121" s="551"/>
      <c r="J121" s="506"/>
      <c r="K121" s="540"/>
      <c r="L121" s="506"/>
      <c r="M121" s="1080"/>
      <c r="O121" s="283"/>
      <c r="P121" s="283"/>
      <c r="S121" s="283"/>
      <c r="V121" s="283"/>
    </row>
    <row r="122" spans="2:22" ht="15.75">
      <c r="B122" s="298"/>
      <c r="C122" s="551">
        <v>2000000</v>
      </c>
      <c r="D122" s="298"/>
      <c r="E122" s="506"/>
      <c r="F122" s="551" t="s">
        <v>692</v>
      </c>
      <c r="G122" s="298"/>
      <c r="H122" s="506"/>
      <c r="I122" s="551"/>
      <c r="J122" s="506"/>
      <c r="K122" s="540"/>
      <c r="L122" s="506"/>
      <c r="M122" s="1080"/>
      <c r="O122" s="283"/>
      <c r="P122" s="283"/>
      <c r="S122" s="283"/>
      <c r="V122" s="283"/>
    </row>
    <row r="123" spans="2:22" ht="15.75">
      <c r="B123" s="298"/>
      <c r="C123" s="551">
        <v>8808648</v>
      </c>
      <c r="D123" s="298"/>
      <c r="E123" s="506"/>
      <c r="F123" s="551" t="s">
        <v>827</v>
      </c>
      <c r="G123" s="298"/>
      <c r="H123" s="506"/>
      <c r="I123" s="551"/>
      <c r="J123" s="506"/>
      <c r="K123" s="540" t="s">
        <v>58</v>
      </c>
      <c r="L123" s="506"/>
      <c r="M123" s="1080"/>
      <c r="O123" s="283"/>
      <c r="P123" s="283"/>
      <c r="S123" s="283"/>
      <c r="V123" s="283"/>
    </row>
    <row r="124" spans="2:22" ht="15.75">
      <c r="B124" s="298"/>
      <c r="C124" s="551">
        <v>36615702</v>
      </c>
      <c r="D124" s="298"/>
      <c r="E124" s="507"/>
      <c r="F124" s="551" t="s">
        <v>818</v>
      </c>
      <c r="G124" s="298"/>
      <c r="H124" s="507"/>
      <c r="I124" s="551"/>
      <c r="J124" s="507"/>
      <c r="K124" s="540"/>
      <c r="L124" s="507"/>
      <c r="M124" s="1080"/>
      <c r="O124" s="283"/>
      <c r="P124" s="283"/>
      <c r="S124" s="283"/>
      <c r="V124" s="283"/>
    </row>
    <row r="125" spans="2:22" ht="15.75">
      <c r="B125" s="298"/>
      <c r="C125" s="551">
        <v>47995750</v>
      </c>
      <c r="D125" s="298"/>
      <c r="E125" s="503"/>
      <c r="F125" s="551" t="s">
        <v>826</v>
      </c>
      <c r="G125" s="298"/>
      <c r="H125" s="503"/>
      <c r="I125" s="551"/>
      <c r="J125" s="503"/>
      <c r="K125" s="540"/>
      <c r="L125" s="503"/>
      <c r="M125" s="1080"/>
      <c r="O125" s="512">
        <v>4170643</v>
      </c>
      <c r="P125" s="512"/>
      <c r="S125" s="283"/>
      <c r="V125" s="283"/>
    </row>
    <row r="126" spans="2:22" ht="15.75">
      <c r="B126" s="298"/>
      <c r="C126" s="551"/>
      <c r="D126" s="298"/>
      <c r="E126" s="501"/>
      <c r="F126" s="551"/>
      <c r="G126" s="298"/>
      <c r="H126" s="501"/>
      <c r="I126" s="551"/>
      <c r="J126" s="501"/>
      <c r="K126" s="540"/>
      <c r="L126" s="501"/>
      <c r="M126" s="1080"/>
      <c r="O126" s="283"/>
      <c r="P126" s="283"/>
      <c r="S126" s="283"/>
      <c r="V126" s="283"/>
    </row>
    <row r="127" spans="2:22" ht="15.75">
      <c r="B127" s="298" t="s">
        <v>831</v>
      </c>
      <c r="C127" s="551">
        <v>52422</v>
      </c>
      <c r="D127" s="298"/>
      <c r="E127" s="504"/>
      <c r="F127" s="551"/>
      <c r="G127" s="298"/>
      <c r="H127" s="504"/>
      <c r="I127" s="551"/>
      <c r="J127" s="504"/>
      <c r="K127" s="540"/>
      <c r="L127" s="504"/>
      <c r="O127" s="283"/>
      <c r="P127" s="283"/>
      <c r="S127" s="283"/>
      <c r="V127" s="283"/>
    </row>
    <row r="128" spans="2:22" ht="15.75">
      <c r="B128" s="298" t="s">
        <v>832</v>
      </c>
      <c r="C128" s="551">
        <v>25000</v>
      </c>
      <c r="D128" s="298"/>
      <c r="E128" s="504"/>
      <c r="F128" s="551"/>
      <c r="G128" s="298"/>
      <c r="H128" s="504"/>
      <c r="I128" s="551"/>
      <c r="J128" s="504"/>
      <c r="K128" s="540"/>
      <c r="L128" s="504"/>
      <c r="M128" s="980"/>
      <c r="O128" s="283"/>
      <c r="P128" s="283"/>
      <c r="S128" s="283"/>
      <c r="V128" s="283"/>
    </row>
    <row r="129" spans="2:22" ht="15.75" hidden="1">
      <c r="B129" s="298" t="s">
        <v>607</v>
      </c>
      <c r="C129" s="551">
        <v>77422</v>
      </c>
      <c r="D129" s="298"/>
      <c r="E129" s="504"/>
      <c r="F129" s="551"/>
      <c r="G129" s="298"/>
      <c r="H129" s="504"/>
      <c r="I129" s="551"/>
      <c r="J129" s="504"/>
      <c r="K129" s="540"/>
      <c r="L129" s="504"/>
      <c r="M129" s="981" t="e">
        <v>#REF!</v>
      </c>
      <c r="O129" s="283"/>
      <c r="P129" s="283"/>
      <c r="S129" s="283"/>
      <c r="V129" s="283"/>
    </row>
    <row r="130" spans="2:22" ht="15.75">
      <c r="B130" s="298" t="s">
        <v>837</v>
      </c>
      <c r="C130" s="551">
        <v>464915</v>
      </c>
      <c r="D130" s="298"/>
      <c r="E130" s="504"/>
      <c r="F130" s="551"/>
      <c r="G130" s="298"/>
      <c r="H130" s="504"/>
      <c r="I130" s="551"/>
      <c r="J130" s="504"/>
      <c r="K130" s="540"/>
      <c r="L130" s="504"/>
      <c r="M130" s="981"/>
      <c r="O130" s="283"/>
      <c r="P130" s="283"/>
      <c r="S130" s="283"/>
      <c r="V130" s="283"/>
    </row>
    <row r="131" spans="2:22" ht="15.75">
      <c r="B131" s="298" t="s">
        <v>825</v>
      </c>
      <c r="C131" s="551">
        <v>106485</v>
      </c>
      <c r="D131" s="298"/>
      <c r="E131" s="504"/>
      <c r="F131" s="551"/>
      <c r="G131" s="298"/>
      <c r="H131" s="504"/>
      <c r="I131" s="551"/>
      <c r="J131" s="504"/>
      <c r="K131" s="540"/>
      <c r="L131" s="504"/>
      <c r="M131" s="981"/>
      <c r="O131" s="283"/>
      <c r="P131" s="283"/>
      <c r="S131" s="283"/>
      <c r="V131" s="283"/>
    </row>
    <row r="132" spans="2:22" ht="16.5" thickBot="1">
      <c r="B132" s="1108" t="s">
        <v>838</v>
      </c>
      <c r="C132" s="1109">
        <v>648822</v>
      </c>
      <c r="D132" s="298"/>
      <c r="E132" s="504"/>
      <c r="F132" s="551"/>
      <c r="G132" s="298"/>
      <c r="H132" s="504"/>
      <c r="I132" s="551"/>
      <c r="J132" s="504"/>
      <c r="K132" s="540"/>
      <c r="L132" s="504"/>
      <c r="M132" s="981"/>
      <c r="O132" s="283"/>
      <c r="P132" s="283"/>
      <c r="S132" s="283"/>
      <c r="V132" s="283"/>
    </row>
    <row r="133" spans="2:22" ht="15.75">
      <c r="B133" s="298"/>
      <c r="C133" s="551"/>
      <c r="D133" s="298"/>
      <c r="E133" s="504"/>
      <c r="F133" s="551"/>
      <c r="G133" s="298"/>
      <c r="H133" s="504"/>
      <c r="I133" s="551"/>
      <c r="J133" s="504"/>
      <c r="K133" s="540"/>
      <c r="L133" s="504"/>
      <c r="M133" s="981"/>
      <c r="O133" s="283"/>
      <c r="P133" s="283"/>
      <c r="S133" s="283"/>
      <c r="V133" s="283"/>
    </row>
    <row r="134" spans="2:22" ht="15.75">
      <c r="B134" s="298"/>
      <c r="C134" s="551"/>
      <c r="D134" s="298"/>
      <c r="E134" s="504"/>
      <c r="F134" s="551"/>
      <c r="G134" s="298"/>
      <c r="H134" s="504"/>
      <c r="I134" s="551"/>
      <c r="J134" s="504"/>
      <c r="K134" s="540"/>
      <c r="L134" s="504"/>
      <c r="M134" s="981"/>
      <c r="O134" s="283"/>
      <c r="P134" s="283"/>
      <c r="S134" s="283"/>
      <c r="V134" s="283"/>
    </row>
    <row r="135" spans="2:22" ht="15.75">
      <c r="B135" s="298"/>
      <c r="C135" s="551"/>
      <c r="D135" s="298"/>
      <c r="E135" s="504"/>
      <c r="F135" s="551"/>
      <c r="G135" s="298"/>
      <c r="H135" s="504"/>
      <c r="I135" s="551"/>
      <c r="J135" s="504"/>
      <c r="K135" s="540"/>
      <c r="L135" s="504"/>
      <c r="M135" s="981"/>
      <c r="O135" s="283"/>
      <c r="P135" s="283"/>
      <c r="S135" s="283"/>
      <c r="V135" s="283"/>
    </row>
    <row r="136" spans="2:22" ht="15.75">
      <c r="B136" s="316" t="s">
        <v>38</v>
      </c>
      <c r="C136" s="549" t="e">
        <v>#REF!</v>
      </c>
      <c r="D136" s="303" t="e">
        <v>#REF!</v>
      </c>
      <c r="E136" s="514"/>
      <c r="F136" s="549" t="e">
        <v>#REF!</v>
      </c>
      <c r="G136" s="304">
        <v>0</v>
      </c>
      <c r="H136" s="514"/>
      <c r="I136" s="550" t="e">
        <v>#REF!</v>
      </c>
      <c r="J136" s="514"/>
      <c r="K136" s="1240" t="e">
        <v>#REF!</v>
      </c>
      <c r="L136" s="514"/>
      <c r="M136" s="527" t="e">
        <v>#REF!</v>
      </c>
      <c r="O136" s="283"/>
      <c r="P136" s="283"/>
      <c r="S136" s="283"/>
      <c r="V136" s="283"/>
    </row>
    <row r="137" spans="2:22" ht="15.75">
      <c r="B137" s="298"/>
      <c r="C137" s="551"/>
      <c r="D137" s="298"/>
      <c r="E137" s="504"/>
      <c r="F137" s="551"/>
      <c r="G137" s="298"/>
      <c r="H137" s="504"/>
      <c r="I137" s="551"/>
      <c r="J137" s="504"/>
      <c r="K137" s="540"/>
      <c r="L137" s="504"/>
      <c r="M137" s="981"/>
      <c r="O137" s="283"/>
      <c r="P137" s="283"/>
      <c r="S137" s="283"/>
      <c r="V137" s="283"/>
    </row>
    <row r="138" spans="2:22" ht="15.75">
      <c r="B138" s="298"/>
      <c r="C138" s="551"/>
      <c r="D138" s="298"/>
      <c r="E138" s="504"/>
      <c r="F138" s="551"/>
      <c r="G138" s="298"/>
      <c r="H138" s="504"/>
      <c r="I138" s="551"/>
      <c r="J138" s="504"/>
      <c r="K138" s="540"/>
      <c r="L138" s="504"/>
      <c r="M138" s="981"/>
      <c r="O138" s="283"/>
      <c r="P138" s="283"/>
      <c r="S138" s="283"/>
      <c r="V138" s="283"/>
    </row>
    <row r="139" spans="2:22" ht="15.75">
      <c r="B139" s="298"/>
      <c r="C139" s="551"/>
      <c r="D139" s="298"/>
      <c r="E139" s="504"/>
      <c r="F139" s="551"/>
      <c r="G139" s="298"/>
      <c r="H139" s="504"/>
      <c r="I139" s="551"/>
      <c r="J139" s="504"/>
      <c r="K139" s="540"/>
      <c r="L139" s="504"/>
      <c r="M139" s="981"/>
      <c r="O139" s="283"/>
      <c r="P139" s="283"/>
      <c r="S139" s="283"/>
      <c r="V139" s="283"/>
    </row>
    <row r="140" spans="2:22" ht="15.75">
      <c r="B140" s="1278" t="s">
        <v>983</v>
      </c>
      <c r="C140" s="1491">
        <v>362491</v>
      </c>
      <c r="D140" s="1492"/>
      <c r="E140" s="1493"/>
      <c r="F140" s="1491">
        <v>16546</v>
      </c>
      <c r="G140" s="1492"/>
      <c r="H140" s="1493"/>
      <c r="I140" s="1491">
        <v>-57028</v>
      </c>
      <c r="J140" s="1493"/>
      <c r="K140" s="1491">
        <v>16546</v>
      </c>
      <c r="L140" s="504"/>
      <c r="M140" s="981"/>
      <c r="O140" s="283"/>
      <c r="P140" s="283"/>
      <c r="S140" s="283"/>
      <c r="V140" s="283"/>
    </row>
    <row r="141" spans="2:22" ht="15.75">
      <c r="B141" s="1278" t="s">
        <v>994</v>
      </c>
      <c r="C141" s="1491">
        <v>484218</v>
      </c>
      <c r="D141" s="1492"/>
      <c r="E141" s="1493"/>
      <c r="F141" s="1491">
        <v>116841</v>
      </c>
      <c r="G141" s="1492"/>
      <c r="H141" s="1493"/>
      <c r="I141" s="1491">
        <v>146013</v>
      </c>
      <c r="J141" s="1493"/>
      <c r="K141" s="1491">
        <v>116841</v>
      </c>
      <c r="L141" s="504"/>
      <c r="M141" s="981"/>
      <c r="O141" s="283"/>
      <c r="P141" s="283"/>
      <c r="S141" s="283"/>
      <c r="V141" s="283"/>
    </row>
    <row r="142" spans="2:22" ht="15.75">
      <c r="B142" s="298"/>
      <c r="C142" s="551"/>
      <c r="D142" s="298"/>
      <c r="E142" s="504"/>
      <c r="F142" s="551"/>
      <c r="G142" s="298"/>
      <c r="H142" s="504"/>
      <c r="I142" s="551"/>
      <c r="J142" s="504"/>
      <c r="K142" s="540"/>
      <c r="L142" s="504"/>
      <c r="M142" s="981"/>
      <c r="O142" s="283"/>
      <c r="P142" s="283"/>
      <c r="S142" s="283"/>
      <c r="V142" s="283"/>
    </row>
    <row r="143" spans="2:22" ht="15.75">
      <c r="B143" s="298"/>
      <c r="C143" s="551"/>
      <c r="D143" s="298"/>
      <c r="E143" s="504"/>
      <c r="F143" s="551"/>
      <c r="G143" s="298"/>
      <c r="H143" s="504"/>
      <c r="I143" s="551"/>
      <c r="J143" s="504"/>
      <c r="K143" s="540"/>
      <c r="L143" s="504"/>
      <c r="M143" s="981"/>
      <c r="O143" s="283"/>
      <c r="P143" s="283"/>
      <c r="S143" s="283"/>
      <c r="V143" s="283"/>
    </row>
    <row r="144" spans="2:22" ht="15.75">
      <c r="B144" s="298"/>
      <c r="C144" s="551"/>
      <c r="D144" s="298"/>
      <c r="E144" s="504"/>
      <c r="F144" s="551"/>
      <c r="G144" s="298"/>
      <c r="H144" s="504"/>
      <c r="I144" s="551"/>
      <c r="J144" s="504"/>
      <c r="K144" s="540"/>
      <c r="L144" s="504"/>
      <c r="M144" s="981"/>
      <c r="O144" s="283"/>
      <c r="P144" s="283"/>
      <c r="S144" s="283"/>
      <c r="V144" s="283"/>
    </row>
    <row r="145" spans="2:22" ht="15.75">
      <c r="B145" s="298"/>
      <c r="C145" s="551"/>
      <c r="D145" s="298"/>
      <c r="E145" s="504"/>
      <c r="F145" s="551"/>
      <c r="G145" s="298"/>
      <c r="H145" s="504"/>
      <c r="I145" s="551"/>
      <c r="J145" s="504"/>
      <c r="K145" s="540"/>
      <c r="L145" s="504"/>
      <c r="M145" s="981"/>
      <c r="O145" s="283"/>
      <c r="P145" s="283"/>
      <c r="S145" s="283"/>
      <c r="V145" s="283"/>
    </row>
    <row r="146" spans="2:22" ht="15.75">
      <c r="B146" s="298"/>
      <c r="C146" s="551"/>
      <c r="D146" s="298"/>
      <c r="E146" s="504"/>
      <c r="F146" s="551"/>
      <c r="G146" s="298"/>
      <c r="H146" s="504"/>
      <c r="I146" s="551"/>
      <c r="J146" s="504"/>
      <c r="K146" s="540"/>
      <c r="L146" s="504"/>
      <c r="M146" s="981"/>
      <c r="O146" s="283"/>
      <c r="P146" s="283"/>
      <c r="S146" s="283"/>
      <c r="V146" s="283"/>
    </row>
    <row r="147" spans="2:22" ht="15.75">
      <c r="B147" s="298"/>
      <c r="C147" s="551"/>
      <c r="D147" s="298"/>
      <c r="E147" s="504"/>
      <c r="F147" s="551"/>
      <c r="G147" s="298"/>
      <c r="H147" s="504"/>
      <c r="I147" s="551"/>
      <c r="J147" s="504"/>
      <c r="K147" s="540"/>
      <c r="L147" s="504"/>
      <c r="M147" s="981"/>
      <c r="O147" s="283"/>
      <c r="P147" s="283"/>
      <c r="S147" s="283"/>
      <c r="V147" s="283"/>
    </row>
    <row r="148" spans="2:22" ht="15.75">
      <c r="B148" s="298"/>
      <c r="C148" s="551"/>
      <c r="D148" s="298"/>
      <c r="E148" s="504"/>
      <c r="F148" s="551"/>
      <c r="G148" s="298"/>
      <c r="H148" s="504"/>
      <c r="I148" s="551"/>
      <c r="J148" s="504"/>
      <c r="K148" s="540"/>
      <c r="L148" s="504"/>
      <c r="M148" s="981"/>
      <c r="O148" s="283"/>
      <c r="P148" s="283"/>
      <c r="S148" s="283"/>
      <c r="V148" s="283"/>
    </row>
    <row r="149" spans="2:22" ht="15.75">
      <c r="B149" s="298"/>
      <c r="C149" s="551"/>
      <c r="D149" s="298"/>
      <c r="E149" s="504"/>
      <c r="F149" s="551"/>
      <c r="G149" s="298"/>
      <c r="H149" s="504"/>
      <c r="I149" s="551"/>
      <c r="J149" s="504"/>
      <c r="K149" s="540"/>
      <c r="L149" s="504"/>
      <c r="M149" s="981"/>
      <c r="O149" s="283"/>
      <c r="P149" s="283"/>
      <c r="S149" s="283"/>
      <c r="V149" s="283"/>
    </row>
    <row r="150" spans="2:22" ht="15.75">
      <c r="B150" s="298"/>
      <c r="C150" s="551"/>
      <c r="D150" s="298"/>
      <c r="E150" s="504"/>
      <c r="F150" s="551"/>
      <c r="G150" s="298"/>
      <c r="H150" s="504"/>
      <c r="I150" s="551"/>
      <c r="J150" s="504"/>
      <c r="K150" s="540"/>
      <c r="L150" s="504"/>
      <c r="M150" s="981"/>
      <c r="O150" s="283"/>
      <c r="P150" s="283"/>
      <c r="S150" s="283"/>
      <c r="V150" s="283"/>
    </row>
    <row r="151" spans="2:22" ht="15.75">
      <c r="B151" s="298"/>
      <c r="C151" s="551"/>
      <c r="D151" s="298"/>
      <c r="E151" s="504"/>
      <c r="F151" s="551"/>
      <c r="G151" s="298"/>
      <c r="H151" s="504"/>
      <c r="I151" s="551"/>
      <c r="J151" s="504"/>
      <c r="K151" s="540"/>
      <c r="L151" s="504"/>
      <c r="M151" s="981"/>
      <c r="O151" s="283"/>
      <c r="P151" s="283"/>
      <c r="S151" s="283"/>
      <c r="V151" s="283"/>
    </row>
    <row r="152" spans="2:22" ht="15.75">
      <c r="B152" s="298"/>
      <c r="C152" s="551"/>
      <c r="D152" s="298"/>
      <c r="E152" s="504"/>
      <c r="F152" s="551"/>
      <c r="G152" s="298"/>
      <c r="H152" s="504"/>
      <c r="I152" s="551"/>
      <c r="J152" s="504"/>
      <c r="K152" s="540"/>
      <c r="L152" s="504"/>
      <c r="M152" s="981"/>
      <c r="O152" s="283"/>
      <c r="P152" s="283"/>
      <c r="S152" s="283"/>
      <c r="V152" s="283"/>
    </row>
    <row r="153" spans="2:22" ht="15.75">
      <c r="B153" s="298"/>
      <c r="C153" s="551"/>
      <c r="D153" s="298"/>
      <c r="E153" s="504"/>
      <c r="F153" s="551"/>
      <c r="G153" s="298"/>
      <c r="H153" s="504"/>
      <c r="I153" s="551"/>
      <c r="J153" s="504"/>
      <c r="K153" s="540"/>
      <c r="L153" s="504"/>
      <c r="M153" s="981"/>
      <c r="O153" s="283"/>
      <c r="P153" s="283"/>
      <c r="S153" s="283"/>
      <c r="V153" s="283"/>
    </row>
    <row r="154" spans="2:22" ht="15.75">
      <c r="B154" s="298"/>
      <c r="C154" s="551"/>
      <c r="D154" s="298"/>
      <c r="E154" s="504"/>
      <c r="F154" s="551"/>
      <c r="G154" s="298"/>
      <c r="H154" s="504"/>
      <c r="I154" s="551"/>
      <c r="J154" s="504"/>
      <c r="K154" s="540"/>
      <c r="L154" s="504"/>
      <c r="M154" s="981"/>
      <c r="O154" s="283"/>
      <c r="P154" s="283"/>
      <c r="S154" s="283"/>
      <c r="V154" s="283"/>
    </row>
    <row r="155" spans="2:22" ht="15.75">
      <c r="E155" s="504"/>
      <c r="H155" s="504"/>
      <c r="J155" s="504"/>
      <c r="L155" s="504"/>
      <c r="M155" s="981"/>
      <c r="O155" s="283"/>
      <c r="P155" s="283"/>
      <c r="S155" s="283"/>
      <c r="V155" s="283"/>
    </row>
    <row r="156" spans="2:22" ht="15.75">
      <c r="E156" s="504"/>
      <c r="H156" s="504"/>
      <c r="J156" s="504"/>
      <c r="L156" s="504"/>
      <c r="M156" s="981"/>
      <c r="O156" s="283"/>
      <c r="P156" s="283"/>
      <c r="S156" s="283"/>
      <c r="V156" s="283"/>
    </row>
    <row r="157" spans="2:22" ht="15.75">
      <c r="E157" s="504"/>
      <c r="H157" s="504"/>
      <c r="J157" s="504"/>
      <c r="L157" s="504"/>
      <c r="M157" s="981"/>
      <c r="O157" s="283"/>
      <c r="P157" s="283"/>
      <c r="S157" s="283"/>
      <c r="V157" s="283"/>
    </row>
    <row r="158" spans="2:22" ht="15.75">
      <c r="E158" s="504"/>
      <c r="H158" s="504"/>
      <c r="J158" s="504"/>
      <c r="L158" s="504"/>
      <c r="M158" s="981"/>
      <c r="O158" s="283"/>
      <c r="P158" s="283"/>
      <c r="S158" s="283"/>
      <c r="V158" s="283"/>
    </row>
    <row r="159" spans="2:22" ht="15.75">
      <c r="E159" s="504"/>
      <c r="H159" s="504"/>
      <c r="J159" s="504"/>
      <c r="L159" s="504"/>
      <c r="M159" s="981"/>
      <c r="O159" s="283"/>
      <c r="P159" s="283"/>
      <c r="S159" s="283"/>
      <c r="V159" s="283"/>
    </row>
    <row r="160" spans="2:22" ht="15.75">
      <c r="E160" s="504"/>
      <c r="H160" s="504"/>
      <c r="J160" s="504"/>
      <c r="L160" s="504"/>
      <c r="M160" s="981"/>
      <c r="O160" s="283"/>
      <c r="P160" s="283"/>
      <c r="S160" s="283"/>
      <c r="V160" s="283"/>
    </row>
    <row r="161" spans="3:22" ht="15.75">
      <c r="E161" s="504"/>
      <c r="H161" s="504"/>
      <c r="J161" s="504"/>
      <c r="L161" s="504"/>
      <c r="M161" s="981"/>
      <c r="O161" s="283"/>
      <c r="P161" s="283"/>
      <c r="S161" s="283"/>
      <c r="V161" s="283"/>
    </row>
    <row r="162" spans="3:22" ht="15.75">
      <c r="E162" s="504"/>
      <c r="H162" s="504"/>
      <c r="J162" s="504"/>
      <c r="L162" s="504"/>
      <c r="M162" s="981"/>
      <c r="O162" s="283"/>
      <c r="P162" s="283"/>
      <c r="S162" s="283"/>
      <c r="V162" s="283"/>
    </row>
    <row r="163" spans="3:22" ht="15.75">
      <c r="E163" s="504"/>
      <c r="H163" s="504"/>
      <c r="J163" s="504"/>
      <c r="L163" s="504"/>
      <c r="M163" s="981"/>
      <c r="O163" s="283"/>
      <c r="P163" s="283"/>
      <c r="S163" s="283"/>
      <c r="V163" s="283"/>
    </row>
    <row r="164" spans="3:22" ht="15.75">
      <c r="E164" s="504"/>
      <c r="H164" s="504"/>
      <c r="J164" s="504"/>
      <c r="L164" s="504"/>
      <c r="M164" s="981"/>
      <c r="O164" s="283"/>
      <c r="P164" s="283"/>
      <c r="S164" s="283"/>
      <c r="V164" s="283"/>
    </row>
    <row r="165" spans="3:22" ht="15.75">
      <c r="E165" s="504"/>
      <c r="H165" s="504"/>
      <c r="J165" s="504"/>
      <c r="L165" s="504"/>
      <c r="M165" s="981"/>
      <c r="O165" s="283"/>
      <c r="P165" s="283"/>
      <c r="S165" s="283"/>
      <c r="V165" s="283"/>
    </row>
    <row r="166" spans="3:22" ht="15.75">
      <c r="E166" s="504"/>
      <c r="H166" s="504"/>
      <c r="J166" s="504"/>
      <c r="L166" s="504"/>
      <c r="M166" s="981"/>
      <c r="O166" s="283"/>
      <c r="P166" s="283"/>
      <c r="S166" s="283"/>
      <c r="V166" s="283"/>
    </row>
    <row r="167" spans="3:22" ht="15.75">
      <c r="E167" s="504"/>
      <c r="H167" s="504"/>
      <c r="J167" s="504"/>
      <c r="L167" s="504"/>
      <c r="M167" s="981"/>
      <c r="O167" s="283"/>
      <c r="P167" s="283"/>
      <c r="S167" s="283"/>
      <c r="V167" s="283"/>
    </row>
    <row r="168" spans="3:22" ht="15.75">
      <c r="E168" s="504"/>
      <c r="H168" s="504"/>
      <c r="J168" s="504"/>
      <c r="L168" s="504"/>
      <c r="M168" s="981"/>
      <c r="O168" s="283"/>
      <c r="P168" s="283"/>
      <c r="S168" s="283"/>
      <c r="V168" s="283"/>
    </row>
    <row r="169" spans="3:22" ht="15.75">
      <c r="C169" s="283"/>
      <c r="E169" s="504"/>
      <c r="H169" s="504"/>
      <c r="J169" s="504"/>
      <c r="L169" s="504"/>
      <c r="M169" s="981"/>
      <c r="O169" s="283"/>
      <c r="P169" s="283"/>
      <c r="S169" s="283"/>
      <c r="V169" s="283"/>
    </row>
    <row r="170" spans="3:22" ht="15.75">
      <c r="C170" s="283"/>
      <c r="E170" s="504"/>
      <c r="H170" s="504"/>
      <c r="J170" s="504"/>
      <c r="L170" s="504"/>
      <c r="M170" s="981"/>
      <c r="O170" s="283"/>
      <c r="P170" s="283"/>
      <c r="S170" s="283"/>
      <c r="V170" s="283"/>
    </row>
    <row r="171" spans="3:22" ht="15.75">
      <c r="C171" s="283"/>
      <c r="E171" s="504"/>
      <c r="H171" s="504"/>
      <c r="J171" s="504"/>
      <c r="L171" s="504"/>
      <c r="M171" s="981"/>
      <c r="O171" s="283"/>
      <c r="P171" s="283"/>
      <c r="S171" s="283"/>
      <c r="V171" s="283"/>
    </row>
    <row r="172" spans="3:22" ht="15.75">
      <c r="C172" s="283"/>
      <c r="E172" s="504"/>
      <c r="H172" s="504"/>
      <c r="J172" s="504"/>
      <c r="L172" s="504"/>
      <c r="M172" s="981"/>
      <c r="O172" s="283"/>
      <c r="P172" s="283"/>
      <c r="S172" s="283"/>
      <c r="V172" s="283"/>
    </row>
    <row r="173" spans="3:22" ht="15.75">
      <c r="C173" s="283"/>
      <c r="E173" s="504"/>
      <c r="H173" s="504"/>
      <c r="J173" s="504"/>
      <c r="L173" s="504"/>
      <c r="M173" s="981"/>
      <c r="O173" s="283"/>
      <c r="P173" s="283"/>
      <c r="S173" s="283"/>
      <c r="V173" s="283"/>
    </row>
    <row r="174" spans="3:22" ht="15.75">
      <c r="C174" s="283"/>
      <c r="E174" s="504"/>
      <c r="H174" s="504"/>
      <c r="J174" s="504"/>
      <c r="L174" s="504"/>
      <c r="M174" s="981"/>
      <c r="O174" s="283"/>
      <c r="P174" s="283"/>
      <c r="S174" s="283"/>
      <c r="V174" s="283"/>
    </row>
    <row r="175" spans="3:22" ht="15.75">
      <c r="C175" s="283"/>
      <c r="E175" s="504"/>
      <c r="H175" s="504"/>
      <c r="J175" s="504"/>
      <c r="L175" s="504"/>
      <c r="M175" s="981"/>
      <c r="O175" s="283"/>
      <c r="P175" s="283"/>
      <c r="S175" s="283"/>
      <c r="V175" s="283"/>
    </row>
    <row r="176" spans="3:22" ht="15.75">
      <c r="C176" s="283"/>
      <c r="E176" s="504"/>
      <c r="H176" s="504"/>
      <c r="J176" s="504"/>
      <c r="L176" s="504"/>
      <c r="M176" s="981"/>
      <c r="O176" s="283"/>
      <c r="P176" s="283"/>
      <c r="S176" s="283"/>
      <c r="V176" s="283"/>
    </row>
    <row r="177" spans="3:22" ht="15.75">
      <c r="C177" s="283"/>
      <c r="E177" s="504"/>
      <c r="H177" s="504"/>
      <c r="J177" s="504"/>
      <c r="L177" s="504"/>
      <c r="M177" s="981"/>
      <c r="O177" s="283"/>
      <c r="P177" s="283"/>
      <c r="S177" s="283"/>
      <c r="V177" s="283"/>
    </row>
    <row r="178" spans="3:22" ht="15.75">
      <c r="C178" s="283"/>
      <c r="E178" s="504"/>
      <c r="H178" s="504"/>
      <c r="J178" s="504"/>
      <c r="L178" s="504"/>
      <c r="M178" s="981"/>
      <c r="O178" s="283"/>
      <c r="P178" s="283"/>
      <c r="S178" s="283"/>
      <c r="V178" s="283"/>
    </row>
    <row r="179" spans="3:22" ht="15.75">
      <c r="C179" s="283"/>
      <c r="E179" s="504"/>
      <c r="H179" s="504"/>
      <c r="J179" s="504"/>
      <c r="L179" s="504"/>
      <c r="M179" s="981"/>
      <c r="O179" s="283"/>
      <c r="P179" s="283"/>
      <c r="S179" s="283"/>
      <c r="V179" s="283"/>
    </row>
    <row r="180" spans="3:22" ht="15.75">
      <c r="C180" s="283"/>
      <c r="E180" s="504"/>
      <c r="H180" s="504"/>
      <c r="J180" s="504"/>
      <c r="L180" s="504"/>
      <c r="M180" s="981"/>
      <c r="O180" s="283"/>
      <c r="P180" s="283"/>
      <c r="S180" s="283"/>
      <c r="V180" s="283"/>
    </row>
    <row r="181" spans="3:22" ht="15.75">
      <c r="C181" s="283"/>
      <c r="E181" s="504"/>
      <c r="H181" s="504"/>
      <c r="J181" s="504"/>
      <c r="L181" s="504"/>
      <c r="M181" s="981"/>
      <c r="O181" s="283"/>
      <c r="P181" s="283"/>
      <c r="S181" s="283"/>
      <c r="V181" s="283"/>
    </row>
    <row r="182" spans="3:22" ht="15.75">
      <c r="C182" s="283"/>
      <c r="M182" s="981"/>
      <c r="O182" s="283"/>
      <c r="P182" s="283"/>
      <c r="S182" s="283"/>
      <c r="V182" s="283"/>
    </row>
    <row r="183" spans="3:22" ht="15.75">
      <c r="C183" s="283"/>
      <c r="M183" s="981"/>
      <c r="O183" s="283"/>
      <c r="P183" s="283"/>
      <c r="S183" s="283"/>
      <c r="V183" s="283"/>
    </row>
    <row r="184" spans="3:22" ht="15.75">
      <c r="C184" s="283"/>
      <c r="M184" s="981"/>
      <c r="S184" s="283"/>
      <c r="V184" s="283"/>
    </row>
  </sheetData>
  <sortState ref="A41:V42">
    <sortCondition ref="A41"/>
  </sortState>
  <mergeCells count="2">
    <mergeCell ref="B1:K1"/>
    <mergeCell ref="B3:M3"/>
  </mergeCells>
  <printOptions horizontalCentered="1"/>
  <pageMargins left="0.5" right="0.5" top="0.4" bottom="0.4" header="0.4" footer="0.4"/>
  <pageSetup scale="70"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8" tint="0.59999389629810485"/>
  </sheetPr>
  <dimension ref="A1:Y122"/>
  <sheetViews>
    <sheetView showGridLines="0" showRuler="0" topLeftCell="B3" zoomScaleNormal="100" zoomScaleSheetLayoutView="130" workbookViewId="0">
      <selection activeCell="P44" sqref="P44"/>
    </sheetView>
  </sheetViews>
  <sheetFormatPr defaultColWidth="6.85546875" defaultRowHeight="12.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20.5703125" style="510" hidden="1" customWidth="1"/>
    <col min="9" max="9" width="1.85546875" style="510" hidden="1" customWidth="1"/>
    <col min="10" max="10" width="19.7109375" style="510" hidden="1" customWidth="1"/>
    <col min="11" max="11" width="1.85546875" style="510" hidden="1" customWidth="1"/>
    <col min="12" max="12" width="15.7109375" style="511" customWidth="1"/>
    <col min="13" max="13" width="1.85546875" style="510" hidden="1" customWidth="1"/>
    <col min="14" max="14" width="15.7109375" style="1115" customWidth="1"/>
    <col min="15" max="15" width="21.42578125" style="283" bestFit="1" customWidth="1"/>
    <col min="16" max="16" width="12.28515625" style="283" bestFit="1" customWidth="1"/>
    <col min="17" max="17" width="6" style="283" bestFit="1" customWidth="1"/>
    <col min="18" max="18" width="7.5703125" style="344" bestFit="1" customWidth="1"/>
    <col min="19" max="19" width="13.5703125" style="344" bestFit="1" customWidth="1"/>
    <col min="20" max="20" width="6.85546875" style="344"/>
    <col min="21" max="21" width="13.5703125" style="729" bestFit="1" customWidth="1"/>
    <col min="22" max="25" width="6.85546875" style="344"/>
    <col min="26" max="16384" width="6.85546875" style="283"/>
  </cols>
  <sheetData>
    <row r="1" spans="1:25" ht="23.45" hidden="1" customHeight="1">
      <c r="B1" s="1706" t="s">
        <v>569</v>
      </c>
      <c r="C1" s="1706"/>
      <c r="D1" s="1706"/>
      <c r="E1" s="1706"/>
      <c r="F1" s="1706"/>
      <c r="G1" s="1706"/>
      <c r="H1" s="1706"/>
      <c r="I1" s="1706"/>
      <c r="J1" s="1706"/>
      <c r="K1" s="1706"/>
      <c r="L1" s="1706"/>
      <c r="M1" s="1706"/>
      <c r="N1" s="1706"/>
      <c r="O1" s="593" t="s">
        <v>1022</v>
      </c>
    </row>
    <row r="2" spans="1:25" ht="18.75" hidden="1">
      <c r="B2" s="284"/>
      <c r="C2" s="493"/>
      <c r="D2" s="493"/>
      <c r="E2" s="493"/>
      <c r="F2" s="493"/>
      <c r="G2" s="493"/>
      <c r="H2" s="493"/>
      <c r="I2" s="493"/>
      <c r="J2" s="493"/>
      <c r="K2" s="493"/>
      <c r="L2" s="493"/>
      <c r="M2" s="493"/>
      <c r="N2" s="1022"/>
    </row>
    <row r="3" spans="1:25" ht="35.450000000000003" customHeight="1">
      <c r="B3" s="1708" t="s">
        <v>850</v>
      </c>
      <c r="C3" s="1708"/>
      <c r="D3" s="1708"/>
      <c r="E3" s="1708"/>
      <c r="F3" s="1708"/>
      <c r="G3" s="1708"/>
      <c r="H3" s="1708"/>
      <c r="I3" s="1708"/>
      <c r="J3" s="1708"/>
      <c r="K3" s="1708"/>
      <c r="L3" s="1708"/>
      <c r="M3" s="1708"/>
      <c r="N3" s="1708"/>
      <c r="O3" s="717"/>
      <c r="R3" s="1762"/>
      <c r="S3" s="1762"/>
      <c r="T3" s="1762"/>
      <c r="U3" s="1762"/>
      <c r="V3" s="1762"/>
      <c r="W3" s="1762"/>
      <c r="X3" s="1762"/>
    </row>
    <row r="4" spans="1:25" ht="32.25" customHeight="1" thickBot="1">
      <c r="B4" s="1707"/>
      <c r="C4" s="1707"/>
      <c r="D4" s="1707"/>
      <c r="E4" s="1707"/>
      <c r="F4" s="1707"/>
      <c r="G4" s="1707"/>
      <c r="H4" s="1707"/>
      <c r="I4" s="1707"/>
      <c r="J4" s="1707"/>
      <c r="K4" s="1707"/>
      <c r="L4" s="1707"/>
      <c r="M4" s="1707"/>
      <c r="N4" s="1707"/>
    </row>
    <row r="5" spans="1:25" s="1125" customFormat="1" ht="52.9" customHeight="1" thickBot="1">
      <c r="B5" s="1140"/>
      <c r="C5" s="1141" t="s">
        <v>981</v>
      </c>
      <c r="D5" s="1141"/>
      <c r="E5" s="1142" t="s">
        <v>979</v>
      </c>
      <c r="F5" s="1141"/>
      <c r="G5" s="1142" t="s">
        <v>980</v>
      </c>
      <c r="H5" s="1142" t="s">
        <v>407</v>
      </c>
      <c r="I5" s="1141"/>
      <c r="J5" s="1142" t="s">
        <v>593</v>
      </c>
      <c r="K5" s="1141"/>
      <c r="L5" s="1141" t="s">
        <v>989</v>
      </c>
      <c r="M5" s="1141"/>
      <c r="N5" s="1141" t="s">
        <v>985</v>
      </c>
      <c r="R5" s="1763"/>
      <c r="S5" s="1763"/>
      <c r="T5" s="1763"/>
      <c r="U5" s="1764"/>
      <c r="V5" s="1763"/>
      <c r="W5" s="1763"/>
      <c r="X5" s="1763"/>
      <c r="Y5" s="1763"/>
    </row>
    <row r="6" spans="1:25">
      <c r="B6" s="288"/>
      <c r="C6" s="495"/>
      <c r="D6" s="496"/>
      <c r="E6" s="496"/>
      <c r="F6" s="496"/>
      <c r="G6" s="495"/>
      <c r="H6" s="495"/>
      <c r="I6" s="496"/>
      <c r="J6" s="495"/>
      <c r="K6" s="496"/>
      <c r="L6" s="497"/>
      <c r="M6" s="496"/>
    </row>
    <row r="7" spans="1:25" ht="16.5" thickBot="1">
      <c r="B7" s="299" t="s">
        <v>2</v>
      </c>
      <c r="C7" s="498"/>
      <c r="D7" s="499"/>
      <c r="E7" s="499"/>
      <c r="F7" s="499"/>
      <c r="G7" s="499"/>
      <c r="H7" s="500"/>
      <c r="I7" s="499"/>
      <c r="J7" s="500"/>
      <c r="K7" s="499"/>
      <c r="L7" s="501"/>
      <c r="M7" s="499"/>
      <c r="N7" s="981"/>
    </row>
    <row r="8" spans="1:25" ht="16.5" thickBot="1">
      <c r="A8" s="1461" t="s">
        <v>367</v>
      </c>
      <c r="B8" s="298" t="s">
        <v>568</v>
      </c>
      <c r="C8" s="1268">
        <v>512155</v>
      </c>
      <c r="D8" s="1243"/>
      <c r="E8" s="1268">
        <v>500000</v>
      </c>
      <c r="F8" s="1268"/>
      <c r="G8" s="1268">
        <v>280663</v>
      </c>
      <c r="H8" s="1268">
        <v>106603</v>
      </c>
      <c r="I8" s="1268"/>
      <c r="J8" s="1268">
        <v>0</v>
      </c>
      <c r="K8" s="1268"/>
      <c r="L8" s="1268">
        <v>0</v>
      </c>
      <c r="M8" s="1268"/>
      <c r="N8" s="1268">
        <v>-500000</v>
      </c>
      <c r="O8" s="603"/>
    </row>
    <row r="9" spans="1:25" ht="15.75">
      <c r="A9" s="321" t="s">
        <v>336</v>
      </c>
      <c r="B9" s="298" t="s">
        <v>6</v>
      </c>
      <c r="C9" s="1239">
        <v>3605010.92</v>
      </c>
      <c r="D9" s="1239"/>
      <c r="E9" s="1239">
        <v>3591685</v>
      </c>
      <c r="F9" s="1239"/>
      <c r="G9" s="1239">
        <v>3593601</v>
      </c>
      <c r="H9" s="528">
        <v>106603</v>
      </c>
      <c r="I9" s="1239"/>
      <c r="J9" s="528">
        <v>0</v>
      </c>
      <c r="K9" s="1239"/>
      <c r="L9" s="1239">
        <v>3796401.65</v>
      </c>
      <c r="M9" s="1239"/>
      <c r="N9" s="1239">
        <v>204716.64999999991</v>
      </c>
      <c r="O9" s="603"/>
    </row>
    <row r="10" spans="1:25" ht="16.5" thickBot="1">
      <c r="A10" s="321" t="s">
        <v>338</v>
      </c>
      <c r="B10" s="305" t="s">
        <v>8</v>
      </c>
      <c r="C10" s="1239">
        <v>4184978</v>
      </c>
      <c r="D10" s="1239"/>
      <c r="E10" s="1239">
        <v>3925098</v>
      </c>
      <c r="F10" s="1239"/>
      <c r="G10" s="1239">
        <v>3993271.27</v>
      </c>
      <c r="H10" s="528">
        <v>106603</v>
      </c>
      <c r="I10" s="1239"/>
      <c r="J10" s="528">
        <v>0</v>
      </c>
      <c r="K10" s="1239"/>
      <c r="L10" s="1239">
        <v>3899193.27</v>
      </c>
      <c r="M10" s="1239"/>
      <c r="N10" s="1239">
        <v>-25904.729999999981</v>
      </c>
      <c r="O10" s="603"/>
    </row>
    <row r="11" spans="1:25" ht="16.5" thickBot="1">
      <c r="A11" s="1095" t="s">
        <v>349</v>
      </c>
      <c r="B11" s="305" t="s">
        <v>28</v>
      </c>
      <c r="C11" s="1239">
        <v>741152.93</v>
      </c>
      <c r="D11" s="1239"/>
      <c r="E11" s="1239">
        <v>0</v>
      </c>
      <c r="F11" s="1239"/>
      <c r="G11" s="1239">
        <v>0</v>
      </c>
      <c r="H11" s="528">
        <v>106603</v>
      </c>
      <c r="I11" s="1239"/>
      <c r="J11" s="528">
        <v>0</v>
      </c>
      <c r="K11" s="1239"/>
      <c r="L11" s="1239">
        <v>0</v>
      </c>
      <c r="M11" s="1239"/>
      <c r="N11" s="1239">
        <v>0</v>
      </c>
      <c r="O11" s="603"/>
      <c r="S11" s="538"/>
    </row>
    <row r="12" spans="1:25" s="293" customFormat="1" ht="15.75">
      <c r="B12" s="311" t="s">
        <v>319</v>
      </c>
      <c r="C12" s="527">
        <v>0</v>
      </c>
      <c r="D12" s="515"/>
      <c r="E12" s="515">
        <v>5659528</v>
      </c>
      <c r="F12" s="515"/>
      <c r="G12" s="515">
        <v>5102708.540000001</v>
      </c>
      <c r="H12" s="515">
        <v>5102708.540000001</v>
      </c>
      <c r="I12" s="515"/>
      <c r="J12" s="515">
        <v>1336205</v>
      </c>
      <c r="K12" s="515"/>
      <c r="L12" s="515">
        <v>856384</v>
      </c>
      <c r="M12" s="515"/>
      <c r="N12" s="528">
        <v>-4803144</v>
      </c>
      <c r="O12" s="646"/>
      <c r="P12" s="291" t="s">
        <v>58</v>
      </c>
      <c r="R12" s="344"/>
      <c r="S12" s="344"/>
      <c r="T12" s="344"/>
      <c r="U12" s="729"/>
      <c r="V12" s="344"/>
      <c r="W12" s="344"/>
      <c r="X12" s="344"/>
      <c r="Y12" s="344"/>
    </row>
    <row r="13" spans="1:25" s="625" customFormat="1" ht="15.75">
      <c r="B13" s="622" t="s">
        <v>9</v>
      </c>
      <c r="C13" s="1026">
        <v>9043296.8499999996</v>
      </c>
      <c r="D13" s="523"/>
      <c r="E13" s="523">
        <v>13676311</v>
      </c>
      <c r="F13" s="523"/>
      <c r="G13" s="523">
        <v>12970243.810000001</v>
      </c>
      <c r="H13" s="523">
        <v>5529120.540000001</v>
      </c>
      <c r="I13" s="523"/>
      <c r="J13" s="523">
        <v>1336205</v>
      </c>
      <c r="K13" s="523"/>
      <c r="L13" s="523">
        <v>8551978.9199999999</v>
      </c>
      <c r="M13" s="523"/>
      <c r="N13" s="1026">
        <v>-5124332.08</v>
      </c>
      <c r="O13" s="651"/>
      <c r="R13" s="661"/>
      <c r="S13" s="1756"/>
      <c r="T13" s="661"/>
      <c r="U13" s="1277"/>
      <c r="V13" s="661"/>
      <c r="W13" s="661"/>
      <c r="X13" s="661"/>
      <c r="Y13" s="661"/>
    </row>
    <row r="14" spans="1:25" s="293" customFormat="1" ht="15.75">
      <c r="B14" s="310"/>
      <c r="C14" s="779"/>
      <c r="D14" s="515"/>
      <c r="E14" s="515"/>
      <c r="F14" s="515"/>
      <c r="G14" s="515"/>
      <c r="H14" s="515"/>
      <c r="I14" s="515"/>
      <c r="J14" s="515"/>
      <c r="K14" s="515"/>
      <c r="L14" s="515"/>
      <c r="M14" s="515"/>
      <c r="N14" s="522"/>
      <c r="O14" s="667" t="s">
        <v>11</v>
      </c>
      <c r="P14" s="448">
        <v>1436940.6</v>
      </c>
      <c r="Q14" s="608">
        <v>6.7000000000000004E-2</v>
      </c>
      <c r="R14" s="344"/>
      <c r="S14" s="344"/>
      <c r="T14" s="344"/>
      <c r="U14" s="729"/>
      <c r="V14" s="344"/>
      <c r="W14" s="344"/>
      <c r="X14" s="344"/>
      <c r="Y14" s="344"/>
    </row>
    <row r="15" spans="1:25" s="293" customFormat="1" ht="15.75">
      <c r="B15" s="313" t="s">
        <v>320</v>
      </c>
      <c r="C15" s="779"/>
      <c r="D15" s="515"/>
      <c r="E15" s="515"/>
      <c r="F15" s="515"/>
      <c r="G15" s="515"/>
      <c r="H15" s="515"/>
      <c r="I15" s="515"/>
      <c r="J15" s="515"/>
      <c r="K15" s="515"/>
      <c r="L15" s="515"/>
      <c r="M15" s="515"/>
      <c r="N15" s="522"/>
      <c r="O15" s="667" t="s">
        <v>12</v>
      </c>
      <c r="P15" s="448">
        <v>456536</v>
      </c>
      <c r="Q15" s="608">
        <v>2.1000000000000001E-2</v>
      </c>
      <c r="R15" s="344"/>
      <c r="S15" s="344"/>
      <c r="T15" s="344"/>
      <c r="U15" s="729"/>
      <c r="V15" s="344"/>
      <c r="W15" s="344"/>
      <c r="X15" s="344"/>
      <c r="Y15" s="344"/>
    </row>
    <row r="16" spans="1:25" s="293" customFormat="1" ht="15.75">
      <c r="B16" s="311" t="s">
        <v>327</v>
      </c>
      <c r="C16" s="527">
        <v>18321007.210000001</v>
      </c>
      <c r="D16" s="515"/>
      <c r="E16" s="515">
        <v>13323962</v>
      </c>
      <c r="F16" s="515"/>
      <c r="G16" s="515">
        <v>13880781.459999999</v>
      </c>
      <c r="H16" s="515">
        <v>13880781.459999999</v>
      </c>
      <c r="I16" s="515"/>
      <c r="J16" s="515">
        <v>17647285</v>
      </c>
      <c r="K16" s="515"/>
      <c r="L16" s="515">
        <v>13024398</v>
      </c>
      <c r="M16" s="515"/>
      <c r="N16" s="528">
        <v>-299564</v>
      </c>
      <c r="O16" s="667" t="s">
        <v>801</v>
      </c>
      <c r="P16" s="448">
        <v>2836871</v>
      </c>
      <c r="Q16" s="608">
        <v>0.13100000000000001</v>
      </c>
      <c r="R16" s="344"/>
      <c r="S16" s="344"/>
      <c r="T16" s="344"/>
      <c r="U16" s="729"/>
      <c r="V16" s="344"/>
      <c r="W16" s="344"/>
      <c r="X16" s="344"/>
      <c r="Y16" s="344"/>
    </row>
    <row r="17" spans="1:25" s="293" customFormat="1" ht="15.75">
      <c r="B17" s="622" t="s">
        <v>20</v>
      </c>
      <c r="C17" s="1026">
        <v>18321007.210000001</v>
      </c>
      <c r="D17" s="523"/>
      <c r="E17" s="523">
        <v>13323962</v>
      </c>
      <c r="F17" s="523"/>
      <c r="G17" s="523">
        <v>13880781.459999999</v>
      </c>
      <c r="H17" s="523">
        <v>13880781.459999999</v>
      </c>
      <c r="I17" s="523"/>
      <c r="J17" s="523">
        <v>17647285</v>
      </c>
      <c r="K17" s="523"/>
      <c r="L17" s="523">
        <v>13024398</v>
      </c>
      <c r="M17" s="523"/>
      <c r="N17" s="1026">
        <v>-299564</v>
      </c>
      <c r="O17" s="606" t="s">
        <v>14</v>
      </c>
      <c r="P17" s="448">
        <v>2971198</v>
      </c>
      <c r="Q17" s="608">
        <v>0.13800000000000001</v>
      </c>
      <c r="R17" s="344"/>
      <c r="S17" s="344"/>
      <c r="T17" s="344"/>
      <c r="U17" s="729"/>
      <c r="V17" s="344"/>
      <c r="W17" s="344"/>
      <c r="X17" s="344"/>
      <c r="Y17" s="344"/>
    </row>
    <row r="18" spans="1:25" s="293" customFormat="1" ht="16.149999999999999" customHeight="1" thickBot="1">
      <c r="B18" s="616" t="s">
        <v>21</v>
      </c>
      <c r="C18" s="1028">
        <v>27364304.060000002</v>
      </c>
      <c r="D18" s="617"/>
      <c r="E18" s="617">
        <v>27000273</v>
      </c>
      <c r="F18" s="617"/>
      <c r="G18" s="617">
        <v>26851025.27</v>
      </c>
      <c r="H18" s="617">
        <v>19409902</v>
      </c>
      <c r="I18" s="617"/>
      <c r="J18" s="617">
        <v>18983490</v>
      </c>
      <c r="K18" s="617"/>
      <c r="L18" s="617">
        <v>21576376.920000002</v>
      </c>
      <c r="M18" s="617"/>
      <c r="N18" s="1028">
        <v>-5423896.0800000001</v>
      </c>
      <c r="O18" s="1463" t="s">
        <v>960</v>
      </c>
      <c r="P18" s="448">
        <v>110557</v>
      </c>
      <c r="Q18" s="608">
        <v>5.0000000000000001E-3</v>
      </c>
      <c r="R18" s="344"/>
      <c r="S18" s="344"/>
      <c r="T18" s="344"/>
      <c r="U18" s="729"/>
      <c r="V18" s="344"/>
      <c r="W18" s="344"/>
      <c r="X18" s="344"/>
      <c r="Y18" s="344"/>
    </row>
    <row r="19" spans="1:25" s="293" customFormat="1" ht="16.5" thickTop="1">
      <c r="B19" s="316"/>
      <c r="C19" s="528"/>
      <c r="D19" s="515"/>
      <c r="E19" s="515"/>
      <c r="F19" s="515"/>
      <c r="G19" s="515"/>
      <c r="H19" s="515"/>
      <c r="I19" s="515"/>
      <c r="J19" s="515"/>
      <c r="K19" s="515"/>
      <c r="L19" s="515"/>
      <c r="M19" s="515"/>
      <c r="N19" s="522"/>
      <c r="O19" s="667" t="s">
        <v>38</v>
      </c>
      <c r="P19" s="448">
        <v>739876</v>
      </c>
      <c r="Q19" s="608">
        <v>3.4000000000000002E-2</v>
      </c>
      <c r="R19" s="344"/>
      <c r="S19" s="344"/>
      <c r="T19" s="344"/>
      <c r="U19" s="729"/>
      <c r="V19" s="344"/>
      <c r="W19" s="344"/>
      <c r="X19" s="344"/>
      <c r="Y19" s="344"/>
    </row>
    <row r="20" spans="1:25" s="293" customFormat="1" ht="15.75">
      <c r="B20" s="349" t="s">
        <v>10</v>
      </c>
      <c r="C20" s="1027"/>
      <c r="D20" s="514"/>
      <c r="E20" s="514"/>
      <c r="F20" s="514"/>
      <c r="G20" s="515"/>
      <c r="H20" s="515"/>
      <c r="I20" s="514"/>
      <c r="J20" s="515"/>
      <c r="K20" s="514"/>
      <c r="L20" s="514"/>
      <c r="M20" s="514"/>
      <c r="N20" s="518"/>
      <c r="O20" s="667" t="s">
        <v>23</v>
      </c>
      <c r="P20" s="448">
        <v>13024398</v>
      </c>
      <c r="Q20" s="608">
        <v>0.60399999999999998</v>
      </c>
      <c r="R20" s="344"/>
      <c r="S20" s="344"/>
      <c r="T20" s="344"/>
      <c r="U20" s="729"/>
      <c r="V20" s="344"/>
      <c r="W20" s="344"/>
      <c r="X20" s="344"/>
      <c r="Y20" s="344"/>
    </row>
    <row r="21" spans="1:25" s="293" customFormat="1" ht="16.5" thickBot="1">
      <c r="A21" s="621" t="s">
        <v>340</v>
      </c>
      <c r="B21" s="316" t="s">
        <v>11</v>
      </c>
      <c r="C21" s="1239">
        <v>1045175.22</v>
      </c>
      <c r="D21" s="1239"/>
      <c r="E21" s="1239">
        <v>1252921</v>
      </c>
      <c r="F21" s="1239"/>
      <c r="G21" s="1239">
        <v>1302866.83</v>
      </c>
      <c r="H21" s="528">
        <v>106603</v>
      </c>
      <c r="I21" s="1239"/>
      <c r="J21" s="528">
        <v>0</v>
      </c>
      <c r="K21" s="1239"/>
      <c r="L21" s="1239">
        <v>1436940.6</v>
      </c>
      <c r="M21" s="1239"/>
      <c r="N21" s="1239">
        <v>184019.60000000009</v>
      </c>
      <c r="O21" s="668" t="s">
        <v>25</v>
      </c>
      <c r="P21" s="392">
        <v>21576376.600000001</v>
      </c>
      <c r="Q21" s="668">
        <v>1</v>
      </c>
      <c r="R21" s="344"/>
      <c r="S21" s="344"/>
      <c r="T21" s="344"/>
      <c r="U21" s="729"/>
      <c r="V21" s="344"/>
      <c r="W21" s="344"/>
      <c r="X21" s="344"/>
      <c r="Y21" s="344"/>
    </row>
    <row r="22" spans="1:25" s="293" customFormat="1" ht="16.5" thickTop="1">
      <c r="A22" s="621" t="s">
        <v>341</v>
      </c>
      <c r="B22" s="316" t="s">
        <v>12</v>
      </c>
      <c r="C22" s="1239">
        <v>353293.07</v>
      </c>
      <c r="D22" s="1239"/>
      <c r="E22" s="1239">
        <v>416808</v>
      </c>
      <c r="F22" s="1239"/>
      <c r="G22" s="1239">
        <v>335351.15999999997</v>
      </c>
      <c r="H22" s="528">
        <v>106603</v>
      </c>
      <c r="I22" s="1239"/>
      <c r="J22" s="528">
        <v>0</v>
      </c>
      <c r="K22" s="1239"/>
      <c r="L22" s="1239">
        <v>456536</v>
      </c>
      <c r="M22" s="1239"/>
      <c r="N22" s="1239">
        <v>39728</v>
      </c>
      <c r="R22" s="344"/>
      <c r="S22" s="344"/>
      <c r="T22" s="344"/>
      <c r="U22" s="729"/>
      <c r="V22" s="344"/>
      <c r="W22" s="344"/>
      <c r="X22" s="344"/>
      <c r="Y22" s="344"/>
    </row>
    <row r="23" spans="1:25" s="293" customFormat="1" ht="21">
      <c r="A23" s="621" t="s">
        <v>342</v>
      </c>
      <c r="B23" s="316" t="s">
        <v>801</v>
      </c>
      <c r="C23" s="1239">
        <v>2552458.33</v>
      </c>
      <c r="D23" s="1239"/>
      <c r="E23" s="1239">
        <v>6103037.8099999996</v>
      </c>
      <c r="F23" s="1239"/>
      <c r="G23" s="1239">
        <v>5195676</v>
      </c>
      <c r="H23" s="528">
        <v>106603</v>
      </c>
      <c r="I23" s="1239"/>
      <c r="J23" s="528">
        <v>0</v>
      </c>
      <c r="K23" s="1239"/>
      <c r="L23" s="1239">
        <v>2836871</v>
      </c>
      <c r="M23" s="1239"/>
      <c r="N23" s="1239">
        <v>-3266166.8099999996</v>
      </c>
      <c r="R23" s="344"/>
      <c r="S23" s="344"/>
      <c r="T23" s="344"/>
      <c r="U23" s="729"/>
      <c r="V23" s="344"/>
      <c r="W23" s="344"/>
      <c r="X23" s="344"/>
      <c r="Y23" s="344"/>
    </row>
    <row r="24" spans="1:25" s="293" customFormat="1" ht="15.75">
      <c r="A24" s="621" t="s">
        <v>343</v>
      </c>
      <c r="B24" s="316" t="s">
        <v>14</v>
      </c>
      <c r="C24" s="1239">
        <v>3184980.04</v>
      </c>
      <c r="D24" s="1239"/>
      <c r="E24" s="1239">
        <v>2818555</v>
      </c>
      <c r="F24" s="1239"/>
      <c r="G24" s="1239">
        <v>3051361</v>
      </c>
      <c r="H24" s="528">
        <v>106603</v>
      </c>
      <c r="I24" s="1239"/>
      <c r="J24" s="528">
        <v>0</v>
      </c>
      <c r="K24" s="1239"/>
      <c r="L24" s="1239">
        <v>2971198</v>
      </c>
      <c r="M24" s="1239"/>
      <c r="N24" s="1239">
        <v>152643</v>
      </c>
      <c r="O24" s="646"/>
      <c r="R24" s="344"/>
      <c r="S24" s="344"/>
      <c r="T24" s="344"/>
      <c r="U24" s="729"/>
      <c r="V24" s="344"/>
      <c r="W24" s="344"/>
      <c r="X24" s="344"/>
      <c r="Y24" s="344"/>
    </row>
    <row r="25" spans="1:25" s="293" customFormat="1" ht="15.75">
      <c r="A25" s="621" t="s">
        <v>350</v>
      </c>
      <c r="B25" s="316" t="s">
        <v>15</v>
      </c>
      <c r="C25" s="1239">
        <v>1077202.8999999999</v>
      </c>
      <c r="D25" s="1239"/>
      <c r="E25" s="1239">
        <v>434067.68</v>
      </c>
      <c r="F25" s="1239"/>
      <c r="G25" s="1239">
        <v>434067.68</v>
      </c>
      <c r="H25" s="528">
        <v>106603</v>
      </c>
      <c r="I25" s="1239"/>
      <c r="J25" s="528">
        <v>0</v>
      </c>
      <c r="K25" s="1239"/>
      <c r="L25" s="1239">
        <v>110557</v>
      </c>
      <c r="M25" s="1239"/>
      <c r="N25" s="1239">
        <v>-323510.68</v>
      </c>
      <c r="O25" s="608" t="s">
        <v>6</v>
      </c>
      <c r="P25" s="448">
        <v>3796401.65</v>
      </c>
      <c r="Q25" s="608">
        <v>0.17599999999999999</v>
      </c>
      <c r="R25" s="344"/>
      <c r="S25" s="344"/>
      <c r="T25" s="344"/>
      <c r="U25" s="729"/>
      <c r="V25" s="344"/>
      <c r="W25" s="344"/>
      <c r="X25" s="344"/>
      <c r="Y25" s="344"/>
    </row>
    <row r="26" spans="1:25" s="293" customFormat="1" ht="15.75">
      <c r="A26" s="621" t="s">
        <v>346</v>
      </c>
      <c r="B26" s="316" t="s">
        <v>1001</v>
      </c>
      <c r="C26" s="1239">
        <v>0</v>
      </c>
      <c r="D26" s="1239"/>
      <c r="E26" s="1239">
        <v>2547258</v>
      </c>
      <c r="F26" s="1239"/>
      <c r="G26" s="1239">
        <v>2547258</v>
      </c>
      <c r="H26" s="528">
        <v>106603</v>
      </c>
      <c r="I26" s="1239"/>
      <c r="J26" s="528">
        <v>0</v>
      </c>
      <c r="K26" s="1239"/>
      <c r="L26" s="1239">
        <v>585868</v>
      </c>
      <c r="M26" s="1239"/>
      <c r="N26" s="1239">
        <v>-1961390</v>
      </c>
      <c r="O26" s="608" t="s">
        <v>8</v>
      </c>
      <c r="P26" s="448">
        <v>3899193.27</v>
      </c>
      <c r="Q26" s="608">
        <v>0.18099999999999999</v>
      </c>
      <c r="R26" s="344"/>
      <c r="S26" s="538"/>
      <c r="T26" s="344"/>
      <c r="U26" s="729"/>
      <c r="V26" s="344"/>
      <c r="W26" s="344"/>
      <c r="X26" s="344"/>
      <c r="Y26" s="344"/>
    </row>
    <row r="27" spans="1:25" s="293" customFormat="1" ht="15.75">
      <c r="B27" s="316" t="s">
        <v>999</v>
      </c>
      <c r="C27" s="1239">
        <v>167704.5</v>
      </c>
      <c r="D27" s="1239"/>
      <c r="E27" s="1239">
        <v>103663.14</v>
      </c>
      <c r="F27" s="1239"/>
      <c r="G27" s="1239">
        <v>103663.14</v>
      </c>
      <c r="H27" s="528"/>
      <c r="I27" s="1239"/>
      <c r="J27" s="528"/>
      <c r="K27" s="1239"/>
      <c r="L27" s="1239">
        <v>154008</v>
      </c>
      <c r="M27" s="1239"/>
      <c r="N27" s="1239">
        <v>50344.86</v>
      </c>
      <c r="O27" s="608" t="s">
        <v>28</v>
      </c>
      <c r="P27" s="448">
        <v>0</v>
      </c>
      <c r="Q27" s="608">
        <v>0</v>
      </c>
      <c r="R27" s="344"/>
      <c r="S27" s="344"/>
      <c r="T27" s="344"/>
      <c r="U27" s="729"/>
      <c r="V27" s="344"/>
      <c r="W27" s="344"/>
      <c r="X27" s="344"/>
      <c r="Y27" s="344"/>
    </row>
    <row r="28" spans="1:25" s="293" customFormat="1" ht="15.75">
      <c r="B28" s="622" t="s">
        <v>22</v>
      </c>
      <c r="C28" s="1026">
        <v>8380814.0600000005</v>
      </c>
      <c r="D28" s="523"/>
      <c r="E28" s="523">
        <v>13676311</v>
      </c>
      <c r="F28" s="523"/>
      <c r="G28" s="523">
        <v>12970243.810000001</v>
      </c>
      <c r="H28" s="523">
        <v>639618</v>
      </c>
      <c r="I28" s="523"/>
      <c r="J28" s="523">
        <v>0</v>
      </c>
      <c r="K28" s="523"/>
      <c r="L28" s="523">
        <v>8551978.5999999996</v>
      </c>
      <c r="M28" s="523"/>
      <c r="N28" s="1026">
        <v>-5124332.0299999993</v>
      </c>
      <c r="O28" s="608" t="s">
        <v>319</v>
      </c>
      <c r="P28" s="448">
        <v>856384</v>
      </c>
      <c r="Q28" s="608">
        <v>0.04</v>
      </c>
      <c r="R28" s="344"/>
      <c r="S28" s="344"/>
      <c r="T28" s="344"/>
      <c r="U28" s="729"/>
      <c r="V28" s="344"/>
      <c r="W28" s="344"/>
      <c r="X28" s="344"/>
      <c r="Y28" s="344"/>
    </row>
    <row r="29" spans="1:25" s="293" customFormat="1" ht="15.75">
      <c r="B29" s="311"/>
      <c r="C29" s="527"/>
      <c r="D29" s="515"/>
      <c r="E29" s="515"/>
      <c r="F29" s="515"/>
      <c r="G29" s="515"/>
      <c r="H29" s="515"/>
      <c r="I29" s="515"/>
      <c r="J29" s="515"/>
      <c r="K29" s="515"/>
      <c r="L29" s="515"/>
      <c r="M29" s="515"/>
      <c r="N29" s="522"/>
      <c r="O29" s="608" t="s">
        <v>19</v>
      </c>
      <c r="P29" s="672">
        <v>13024398</v>
      </c>
      <c r="Q29" s="608">
        <v>0.60299999999999998</v>
      </c>
      <c r="R29" s="344"/>
      <c r="S29" s="344"/>
      <c r="T29" s="344"/>
      <c r="U29" s="729"/>
      <c r="V29" s="344"/>
      <c r="W29" s="344"/>
      <c r="X29" s="344"/>
      <c r="Y29" s="344"/>
    </row>
    <row r="30" spans="1:25" s="293" customFormat="1" ht="16.5" thickBot="1">
      <c r="B30" s="313" t="s">
        <v>321</v>
      </c>
      <c r="C30" s="779"/>
      <c r="D30" s="525"/>
      <c r="E30" s="525"/>
      <c r="F30" s="525"/>
      <c r="G30" s="525"/>
      <c r="H30" s="525"/>
      <c r="I30" s="525"/>
      <c r="J30" s="525"/>
      <c r="K30" s="525"/>
      <c r="L30" s="525"/>
      <c r="M30" s="525"/>
      <c r="N30" s="518"/>
      <c r="O30" s="697" t="s">
        <v>21</v>
      </c>
      <c r="P30" s="656">
        <v>21576376.920000002</v>
      </c>
      <c r="Q30" s="668">
        <v>1</v>
      </c>
      <c r="R30" s="344"/>
      <c r="S30" s="344"/>
      <c r="T30" s="344"/>
      <c r="U30" s="729"/>
      <c r="V30" s="344"/>
      <c r="W30" s="344"/>
      <c r="X30" s="344"/>
      <c r="Y30" s="344"/>
    </row>
    <row r="31" spans="1:25" s="293" customFormat="1" ht="16.5" thickTop="1">
      <c r="B31" s="624" t="s">
        <v>322</v>
      </c>
      <c r="C31" s="526">
        <v>18983490</v>
      </c>
      <c r="D31" s="515"/>
      <c r="E31" s="526">
        <v>13323962</v>
      </c>
      <c r="F31" s="515"/>
      <c r="G31" s="1029">
        <v>13880782</v>
      </c>
      <c r="H31" s="515">
        <v>12328655</v>
      </c>
      <c r="I31" s="515"/>
      <c r="J31" s="515">
        <v>12581583.01</v>
      </c>
      <c r="K31" s="515"/>
      <c r="L31" s="526">
        <v>13024398</v>
      </c>
      <c r="M31" s="515"/>
      <c r="N31" s="528">
        <v>-299564</v>
      </c>
      <c r="O31" s="646"/>
      <c r="R31" s="344"/>
      <c r="S31" s="1757"/>
      <c r="T31" s="344"/>
      <c r="U31" s="729"/>
      <c r="V31" s="344"/>
      <c r="W31" s="344"/>
      <c r="X31" s="344"/>
      <c r="Y31" s="344"/>
    </row>
    <row r="32" spans="1:25" s="625" customFormat="1" ht="15.75">
      <c r="B32" s="626" t="s">
        <v>323</v>
      </c>
      <c r="C32" s="1026">
        <v>18983490</v>
      </c>
      <c r="D32" s="523"/>
      <c r="E32" s="523">
        <v>13323962</v>
      </c>
      <c r="F32" s="523"/>
      <c r="G32" s="523">
        <v>13880782</v>
      </c>
      <c r="H32" s="523">
        <v>12328655</v>
      </c>
      <c r="I32" s="523"/>
      <c r="J32" s="523">
        <v>12581583.01</v>
      </c>
      <c r="K32" s="523"/>
      <c r="L32" s="523">
        <v>13024398</v>
      </c>
      <c r="M32" s="523"/>
      <c r="N32" s="1026">
        <v>-299564</v>
      </c>
      <c r="O32" s="293" t="s">
        <v>1016</v>
      </c>
      <c r="P32" s="293"/>
      <c r="Q32" s="293"/>
      <c r="R32" s="661"/>
      <c r="S32" s="1758"/>
      <c r="T32" s="661"/>
      <c r="U32" s="1277"/>
      <c r="V32" s="661"/>
      <c r="W32" s="661"/>
      <c r="X32" s="661"/>
      <c r="Y32" s="661"/>
    </row>
    <row r="33" spans="2:25" s="293" customFormat="1" ht="16.5" thickBot="1">
      <c r="B33" s="616" t="s">
        <v>25</v>
      </c>
      <c r="C33" s="1267">
        <v>27364304.060000002</v>
      </c>
      <c r="D33" s="627"/>
      <c r="E33" s="1267">
        <v>27000273</v>
      </c>
      <c r="F33" s="627"/>
      <c r="G33" s="1267">
        <v>26851025.810000002</v>
      </c>
      <c r="H33" s="1267">
        <v>12968273</v>
      </c>
      <c r="I33" s="627"/>
      <c r="J33" s="627">
        <v>12581583.01</v>
      </c>
      <c r="K33" s="627"/>
      <c r="L33" s="1267">
        <v>21576376.600000001</v>
      </c>
      <c r="M33" s="1267"/>
      <c r="N33" s="1267">
        <v>-5423896.0299999993</v>
      </c>
      <c r="O33" s="910">
        <v>1012575.1512328767</v>
      </c>
      <c r="P33" s="625"/>
      <c r="Q33" s="625"/>
      <c r="R33" s="344"/>
      <c r="S33" s="1757"/>
      <c r="T33" s="344"/>
      <c r="U33" s="729"/>
      <c r="V33" s="344"/>
      <c r="W33" s="344"/>
      <c r="X33" s="344"/>
      <c r="Y33" s="344"/>
    </row>
    <row r="34" spans="2:25" s="293" customFormat="1" ht="16.5" thickTop="1">
      <c r="B34" s="313"/>
      <c r="C34" s="524"/>
      <c r="D34" s="529"/>
      <c r="E34" s="529"/>
      <c r="F34" s="529"/>
      <c r="G34" s="529"/>
      <c r="H34" s="529"/>
      <c r="I34" s="529"/>
      <c r="J34" s="529"/>
      <c r="K34" s="529"/>
      <c r="L34" s="529"/>
      <c r="M34" s="529"/>
      <c r="N34" s="893"/>
      <c r="O34" s="910">
        <v>1359294.594657534</v>
      </c>
      <c r="R34" s="344"/>
      <c r="S34" s="1758"/>
      <c r="T34" s="661"/>
      <c r="U34" s="729"/>
      <c r="V34" s="344"/>
      <c r="W34" s="344"/>
      <c r="X34" s="344"/>
      <c r="Y34" s="344"/>
    </row>
    <row r="35" spans="2:25" s="293" customFormat="1" ht="15.75">
      <c r="B35" s="313"/>
      <c r="C35" s="524"/>
      <c r="D35" s="529"/>
      <c r="E35" s="529"/>
      <c r="F35" s="529"/>
      <c r="G35" s="529"/>
      <c r="H35" s="529"/>
      <c r="I35" s="529"/>
      <c r="J35" s="529"/>
      <c r="K35" s="529"/>
      <c r="L35" s="529"/>
      <c r="M35" s="529"/>
      <c r="N35" s="893"/>
      <c r="O35" s="910">
        <v>1272245.2606849314</v>
      </c>
      <c r="R35" s="344"/>
      <c r="S35" s="1757"/>
      <c r="T35" s="344"/>
      <c r="U35" s="729"/>
      <c r="V35" s="344"/>
      <c r="W35" s="344"/>
      <c r="X35" s="344"/>
      <c r="Y35" s="344"/>
    </row>
    <row r="36" spans="2:25" s="293" customFormat="1" ht="15.75">
      <c r="B36" s="313"/>
      <c r="C36" s="502"/>
      <c r="D36" s="506"/>
      <c r="E36" s="506"/>
      <c r="F36" s="506"/>
      <c r="G36" s="506"/>
      <c r="H36" s="506"/>
      <c r="I36" s="506"/>
      <c r="J36" s="506"/>
      <c r="K36" s="506"/>
      <c r="L36" s="506"/>
      <c r="M36" s="506"/>
      <c r="N36" s="1080"/>
      <c r="O36" s="910">
        <v>963135.93698630121</v>
      </c>
      <c r="R36" s="344"/>
      <c r="S36" s="1759"/>
      <c r="T36" s="344"/>
      <c r="U36" s="729"/>
      <c r="V36" s="344"/>
      <c r="W36" s="344"/>
      <c r="X36" s="344"/>
      <c r="Y36" s="344"/>
    </row>
    <row r="37" spans="2:25" s="293" customFormat="1" ht="15.75">
      <c r="B37" s="313"/>
      <c r="C37" s="502"/>
      <c r="D37" s="506"/>
      <c r="E37" s="506"/>
      <c r="F37" s="506"/>
      <c r="G37" s="506"/>
      <c r="H37" s="506"/>
      <c r="I37" s="506"/>
      <c r="J37" s="506"/>
      <c r="K37" s="506"/>
      <c r="L37" s="506"/>
      <c r="M37" s="506"/>
      <c r="N37" s="1080"/>
      <c r="R37" s="344"/>
      <c r="S37" s="344"/>
      <c r="T37" s="344"/>
      <c r="U37" s="729"/>
      <c r="V37" s="344"/>
      <c r="W37" s="344"/>
      <c r="X37" s="344"/>
      <c r="Y37" s="344"/>
    </row>
    <row r="38" spans="2:25" s="293" customFormat="1" ht="15.75">
      <c r="B38" s="313"/>
      <c r="C38" s="502"/>
      <c r="D38" s="506"/>
      <c r="E38" s="506"/>
      <c r="F38" s="506"/>
      <c r="G38" s="506"/>
      <c r="H38" s="506"/>
      <c r="I38" s="506"/>
      <c r="J38" s="506"/>
      <c r="K38" s="506"/>
      <c r="L38" s="506"/>
      <c r="M38" s="506"/>
      <c r="N38" s="1080"/>
      <c r="R38" s="344"/>
      <c r="S38" s="344"/>
      <c r="T38" s="344"/>
      <c r="U38" s="729"/>
      <c r="V38" s="344"/>
      <c r="W38" s="344"/>
      <c r="X38" s="344"/>
      <c r="Y38" s="344"/>
    </row>
    <row r="39" spans="2:25" s="293" customFormat="1" ht="15.75">
      <c r="B39" s="313"/>
      <c r="C39" s="502"/>
      <c r="D39" s="506"/>
      <c r="E39" s="506"/>
      <c r="F39" s="506"/>
      <c r="G39" s="506"/>
      <c r="H39" s="506"/>
      <c r="I39" s="506"/>
      <c r="J39" s="506"/>
      <c r="K39" s="506"/>
      <c r="L39" s="506"/>
      <c r="M39" s="506"/>
      <c r="N39" s="1080"/>
      <c r="R39" s="344"/>
      <c r="S39" s="344"/>
      <c r="T39" s="344"/>
      <c r="U39" s="729"/>
      <c r="V39" s="344"/>
      <c r="W39" s="344"/>
      <c r="X39" s="344"/>
      <c r="Y39" s="344"/>
    </row>
    <row r="40" spans="2:25" s="293" customFormat="1" ht="15.75">
      <c r="B40" s="313"/>
      <c r="C40" s="502"/>
      <c r="D40" s="506"/>
      <c r="E40" s="506"/>
      <c r="F40" s="506"/>
      <c r="G40" s="506"/>
      <c r="H40" s="506"/>
      <c r="I40" s="506"/>
      <c r="J40" s="506"/>
      <c r="K40" s="506"/>
      <c r="L40" s="506"/>
      <c r="M40" s="506"/>
      <c r="N40" s="1080"/>
      <c r="R40" s="344"/>
      <c r="S40" s="344"/>
      <c r="T40" s="344"/>
      <c r="U40" s="729"/>
      <c r="V40" s="344"/>
      <c r="W40" s="344"/>
      <c r="X40" s="344"/>
      <c r="Y40" s="344"/>
    </row>
    <row r="41" spans="2:25" s="293" customFormat="1" ht="15.75">
      <c r="B41" s="313"/>
      <c r="C41" s="502"/>
      <c r="D41" s="506"/>
      <c r="E41" s="506"/>
      <c r="F41" s="506"/>
      <c r="G41" s="506"/>
      <c r="H41" s="506"/>
      <c r="I41" s="506"/>
      <c r="J41" s="506"/>
      <c r="K41" s="506"/>
      <c r="L41" s="506"/>
      <c r="M41" s="506"/>
      <c r="N41" s="1080"/>
      <c r="R41" s="729"/>
      <c r="S41" s="344"/>
      <c r="T41" s="344"/>
      <c r="U41" s="729"/>
      <c r="V41" s="344"/>
      <c r="W41" s="344"/>
      <c r="X41" s="344"/>
      <c r="Y41" s="344"/>
    </row>
    <row r="42" spans="2:25" s="293" customFormat="1" ht="15.75">
      <c r="B42" s="313"/>
      <c r="C42" s="502"/>
      <c r="D42" s="506"/>
      <c r="E42" s="506"/>
      <c r="F42" s="506"/>
      <c r="G42" s="506"/>
      <c r="H42" s="506"/>
      <c r="I42" s="506"/>
      <c r="J42" s="506"/>
      <c r="K42" s="506"/>
      <c r="L42" s="506"/>
      <c r="M42" s="506"/>
      <c r="N42" s="1080"/>
      <c r="R42" s="729"/>
      <c r="S42" s="344"/>
      <c r="T42" s="344"/>
      <c r="U42" s="729"/>
      <c r="V42" s="344"/>
      <c r="W42" s="344"/>
      <c r="X42" s="344"/>
      <c r="Y42" s="344"/>
    </row>
    <row r="43" spans="2:25" s="293" customFormat="1" ht="15.75">
      <c r="B43" s="313"/>
      <c r="C43" s="502"/>
      <c r="D43" s="506"/>
      <c r="E43" s="506"/>
      <c r="F43" s="506"/>
      <c r="G43" s="506"/>
      <c r="H43" s="506"/>
      <c r="I43" s="506"/>
      <c r="J43" s="506"/>
      <c r="K43" s="506"/>
      <c r="L43" s="506"/>
      <c r="M43" s="506"/>
      <c r="N43" s="1080"/>
      <c r="R43" s="344"/>
      <c r="S43" s="344"/>
      <c r="T43" s="344"/>
      <c r="U43" s="729"/>
      <c r="V43" s="344"/>
      <c r="W43" s="344"/>
      <c r="X43" s="344"/>
      <c r="Y43" s="344"/>
    </row>
    <row r="44" spans="2:25" s="293" customFormat="1" ht="15.75">
      <c r="B44" s="313"/>
      <c r="C44" s="502"/>
      <c r="D44" s="506"/>
      <c r="E44" s="506"/>
      <c r="F44" s="506"/>
      <c r="G44" s="506"/>
      <c r="H44" s="506"/>
      <c r="I44" s="506"/>
      <c r="J44" s="506"/>
      <c r="K44" s="506"/>
      <c r="L44" s="506"/>
      <c r="M44" s="506"/>
      <c r="N44" s="1080"/>
      <c r="R44" s="344"/>
      <c r="S44" s="729"/>
      <c r="T44" s="344"/>
      <c r="U44" s="729"/>
      <c r="V44" s="344"/>
      <c r="W44" s="344"/>
      <c r="X44" s="344"/>
      <c r="Y44" s="344"/>
    </row>
    <row r="45" spans="2:25" s="293" customFormat="1" ht="15.75">
      <c r="B45" s="313"/>
      <c r="C45" s="502"/>
      <c r="D45" s="506"/>
      <c r="E45" s="506"/>
      <c r="F45" s="506"/>
      <c r="G45" s="506"/>
      <c r="H45" s="506"/>
      <c r="I45" s="506"/>
      <c r="J45" s="506"/>
      <c r="K45" s="506"/>
      <c r="L45" s="506"/>
      <c r="M45" s="506"/>
      <c r="N45" s="1080"/>
      <c r="R45" s="344"/>
      <c r="S45" s="729"/>
      <c r="T45" s="344"/>
      <c r="U45" s="729"/>
      <c r="V45" s="344"/>
      <c r="W45" s="344"/>
      <c r="X45" s="344"/>
      <c r="Y45" s="344"/>
    </row>
    <row r="46" spans="2:25" s="293" customFormat="1" ht="15.75">
      <c r="B46" s="313"/>
      <c r="C46" s="502"/>
      <c r="D46" s="506"/>
      <c r="E46" s="506"/>
      <c r="F46" s="506"/>
      <c r="G46" s="506"/>
      <c r="H46" s="506"/>
      <c r="I46" s="506"/>
      <c r="J46" s="506"/>
      <c r="K46" s="506"/>
      <c r="L46" s="506"/>
      <c r="M46" s="506"/>
      <c r="N46" s="1080"/>
      <c r="R46" s="344"/>
      <c r="S46" s="729"/>
      <c r="T46" s="344"/>
      <c r="U46" s="729"/>
      <c r="V46" s="344"/>
      <c r="W46" s="344"/>
      <c r="X46" s="344"/>
      <c r="Y46" s="344"/>
    </row>
    <row r="47" spans="2:25" s="293" customFormat="1" ht="15.75">
      <c r="B47" s="313"/>
      <c r="C47" s="502"/>
      <c r="D47" s="506"/>
      <c r="E47" s="506"/>
      <c r="F47" s="506"/>
      <c r="G47" s="506"/>
      <c r="H47" s="506"/>
      <c r="I47" s="506"/>
      <c r="J47" s="506"/>
      <c r="K47" s="506"/>
      <c r="L47" s="506"/>
      <c r="M47" s="506"/>
      <c r="N47" s="1080"/>
      <c r="R47" s="344"/>
      <c r="S47" s="729"/>
      <c r="T47" s="344"/>
      <c r="U47" s="729"/>
      <c r="V47" s="344"/>
      <c r="W47" s="344"/>
      <c r="X47" s="344"/>
      <c r="Y47" s="344"/>
    </row>
    <row r="48" spans="2:25" s="293" customFormat="1" ht="15.75">
      <c r="B48" s="313"/>
      <c r="C48" s="502"/>
      <c r="D48" s="506"/>
      <c r="E48" s="506"/>
      <c r="F48" s="506"/>
      <c r="G48" s="506"/>
      <c r="H48" s="506"/>
      <c r="I48" s="506"/>
      <c r="J48" s="506"/>
      <c r="K48" s="506"/>
      <c r="L48" s="506"/>
      <c r="M48" s="506"/>
      <c r="N48" s="1080"/>
      <c r="R48" s="344"/>
      <c r="S48" s="729"/>
      <c r="T48" s="344"/>
      <c r="U48" s="729"/>
      <c r="V48" s="344"/>
      <c r="W48" s="344"/>
      <c r="X48" s="344"/>
      <c r="Y48" s="344"/>
    </row>
    <row r="49" spans="2:25" s="293" customFormat="1" ht="15.75">
      <c r="B49" s="313"/>
      <c r="C49" s="502"/>
      <c r="D49" s="506"/>
      <c r="E49" s="506"/>
      <c r="F49" s="506"/>
      <c r="G49" s="506"/>
      <c r="H49" s="506"/>
      <c r="I49" s="506"/>
      <c r="J49" s="506"/>
      <c r="K49" s="506"/>
      <c r="L49" s="506"/>
      <c r="M49" s="506"/>
      <c r="N49" s="1080"/>
      <c r="R49" s="344"/>
      <c r="S49" s="729"/>
      <c r="T49" s="344"/>
      <c r="U49" s="729"/>
      <c r="V49" s="344"/>
      <c r="W49" s="344"/>
      <c r="X49" s="344"/>
      <c r="Y49" s="344"/>
    </row>
    <row r="50" spans="2:25" s="293" customFormat="1" ht="15.75">
      <c r="B50" s="313"/>
      <c r="C50" s="502"/>
      <c r="D50" s="506"/>
      <c r="E50" s="506"/>
      <c r="F50" s="506"/>
      <c r="G50" s="506"/>
      <c r="H50" s="506"/>
      <c r="I50" s="506"/>
      <c r="J50" s="506"/>
      <c r="K50" s="506"/>
      <c r="L50" s="506"/>
      <c r="M50" s="506"/>
      <c r="N50" s="1080"/>
      <c r="R50" s="344"/>
      <c r="S50" s="729"/>
      <c r="T50" s="344"/>
      <c r="U50" s="729"/>
      <c r="V50" s="344"/>
      <c r="W50" s="344"/>
      <c r="X50" s="344"/>
      <c r="Y50" s="344"/>
    </row>
    <row r="51" spans="2:25" s="293" customFormat="1" ht="15.75">
      <c r="B51" s="313"/>
      <c r="C51" s="502"/>
      <c r="D51" s="506"/>
      <c r="E51" s="506"/>
      <c r="F51" s="506"/>
      <c r="G51" s="506"/>
      <c r="H51" s="506"/>
      <c r="I51" s="506"/>
      <c r="J51" s="506"/>
      <c r="K51" s="506"/>
      <c r="L51" s="506"/>
      <c r="M51" s="506"/>
      <c r="N51" s="1080"/>
      <c r="R51" s="1760"/>
      <c r="S51" s="1761"/>
      <c r="T51" s="344"/>
      <c r="U51" s="729"/>
      <c r="V51" s="344"/>
      <c r="W51" s="344"/>
      <c r="X51" s="344"/>
      <c r="Y51" s="344"/>
    </row>
    <row r="52" spans="2:25" s="293" customFormat="1" ht="15.75">
      <c r="B52" s="313"/>
      <c r="C52" s="502"/>
      <c r="D52" s="506"/>
      <c r="E52" s="506"/>
      <c r="F52" s="506"/>
      <c r="G52" s="506"/>
      <c r="H52" s="506"/>
      <c r="I52" s="506"/>
      <c r="J52" s="506"/>
      <c r="K52" s="506"/>
      <c r="L52" s="506"/>
      <c r="M52" s="506"/>
      <c r="N52" s="1080"/>
      <c r="R52" s="344"/>
      <c r="S52" s="344"/>
      <c r="T52" s="344"/>
      <c r="U52" s="729"/>
      <c r="V52" s="344"/>
      <c r="W52" s="344"/>
      <c r="X52" s="344"/>
      <c r="Y52" s="344"/>
    </row>
    <row r="53" spans="2:25" s="293" customFormat="1" ht="15.75">
      <c r="B53" s="313"/>
      <c r="C53" s="502"/>
      <c r="D53" s="506"/>
      <c r="E53" s="506"/>
      <c r="F53" s="506"/>
      <c r="G53" s="506"/>
      <c r="H53" s="506"/>
      <c r="I53" s="506"/>
      <c r="J53" s="506"/>
      <c r="K53" s="506"/>
      <c r="L53" s="506"/>
      <c r="M53" s="506"/>
      <c r="N53" s="1080"/>
      <c r="R53" s="344"/>
      <c r="S53" s="344"/>
      <c r="T53" s="344"/>
      <c r="U53" s="729"/>
      <c r="V53" s="344"/>
      <c r="W53" s="344"/>
      <c r="X53" s="344"/>
      <c r="Y53" s="344"/>
    </row>
    <row r="54" spans="2:25" s="293" customFormat="1" ht="15.75">
      <c r="B54" s="313"/>
      <c r="C54" s="502"/>
      <c r="D54" s="506"/>
      <c r="E54" s="506"/>
      <c r="F54" s="506"/>
      <c r="G54" s="506"/>
      <c r="H54" s="506"/>
      <c r="I54" s="506"/>
      <c r="J54" s="506"/>
      <c r="K54" s="506"/>
      <c r="L54" s="506"/>
      <c r="M54" s="506"/>
      <c r="N54" s="1080"/>
      <c r="R54" s="344"/>
      <c r="S54" s="344"/>
      <c r="T54" s="344"/>
      <c r="U54" s="729"/>
      <c r="V54" s="344"/>
      <c r="W54" s="344"/>
      <c r="X54" s="344"/>
      <c r="Y54" s="344"/>
    </row>
    <row r="55" spans="2:25" s="293" customFormat="1" ht="15.75">
      <c r="B55" s="313"/>
      <c r="C55" s="502"/>
      <c r="D55" s="506"/>
      <c r="E55" s="506"/>
      <c r="F55" s="506"/>
      <c r="G55" s="506"/>
      <c r="H55" s="506"/>
      <c r="I55" s="506"/>
      <c r="J55" s="506"/>
      <c r="K55" s="506"/>
      <c r="L55" s="506"/>
      <c r="M55" s="506"/>
      <c r="N55" s="1080"/>
      <c r="R55" s="344"/>
      <c r="S55" s="344"/>
      <c r="T55" s="344"/>
      <c r="U55" s="729"/>
      <c r="V55" s="344"/>
      <c r="W55" s="344"/>
      <c r="X55" s="344"/>
      <c r="Y55" s="344"/>
    </row>
    <row r="56" spans="2:25" s="293" customFormat="1" ht="15.75">
      <c r="B56" s="313"/>
      <c r="C56" s="502"/>
      <c r="D56" s="506"/>
      <c r="E56" s="506"/>
      <c r="F56" s="506"/>
      <c r="G56" s="506"/>
      <c r="H56" s="506"/>
      <c r="I56" s="506"/>
      <c r="J56" s="506"/>
      <c r="K56" s="506"/>
      <c r="L56" s="506"/>
      <c r="M56" s="506"/>
      <c r="N56" s="1080"/>
      <c r="R56" s="344"/>
      <c r="S56" s="344"/>
      <c r="T56" s="344"/>
      <c r="U56" s="729"/>
      <c r="V56" s="344"/>
      <c r="W56" s="344"/>
      <c r="X56" s="344"/>
      <c r="Y56" s="344"/>
    </row>
    <row r="57" spans="2:25" s="293" customFormat="1" ht="15.75">
      <c r="B57" s="313"/>
      <c r="C57" s="502"/>
      <c r="D57" s="506"/>
      <c r="E57" s="506"/>
      <c r="F57" s="506"/>
      <c r="G57" s="506"/>
      <c r="H57" s="506"/>
      <c r="I57" s="506"/>
      <c r="J57" s="506"/>
      <c r="K57" s="506"/>
      <c r="L57" s="506"/>
      <c r="M57" s="506"/>
      <c r="N57" s="1080"/>
      <c r="R57" s="344"/>
      <c r="S57" s="344"/>
      <c r="T57" s="344"/>
      <c r="U57" s="729"/>
      <c r="V57" s="344"/>
      <c r="W57" s="344"/>
      <c r="X57" s="344"/>
      <c r="Y57" s="344"/>
    </row>
    <row r="58" spans="2:25" s="293" customFormat="1" ht="15.75">
      <c r="B58" s="313"/>
      <c r="C58" s="502"/>
      <c r="D58" s="506"/>
      <c r="E58" s="506"/>
      <c r="F58" s="506"/>
      <c r="G58" s="506"/>
      <c r="H58" s="506"/>
      <c r="I58" s="506"/>
      <c r="J58" s="506"/>
      <c r="K58" s="506"/>
      <c r="L58" s="506"/>
      <c r="M58" s="506"/>
      <c r="N58" s="1080"/>
      <c r="R58" s="344"/>
      <c r="S58" s="344"/>
      <c r="T58" s="344"/>
      <c r="U58" s="729"/>
      <c r="V58" s="344"/>
      <c r="W58" s="344"/>
      <c r="X58" s="344"/>
      <c r="Y58" s="344"/>
    </row>
    <row r="59" spans="2:25" s="344" customFormat="1" ht="15.75">
      <c r="B59" s="313"/>
      <c r="C59" s="502"/>
      <c r="D59" s="506"/>
      <c r="E59" s="506"/>
      <c r="F59" s="506"/>
      <c r="G59" s="506"/>
      <c r="H59" s="506"/>
      <c r="I59" s="506"/>
      <c r="J59" s="506"/>
      <c r="K59" s="506"/>
      <c r="L59" s="506"/>
      <c r="M59" s="506"/>
      <c r="N59" s="1080"/>
      <c r="O59" s="293"/>
      <c r="P59" s="293"/>
      <c r="Q59" s="293"/>
      <c r="U59" s="729"/>
    </row>
    <row r="60" spans="2:25" s="293" customFormat="1" ht="15.75">
      <c r="B60" s="313"/>
      <c r="C60" s="502"/>
      <c r="D60" s="506"/>
      <c r="E60" s="506"/>
      <c r="F60" s="506"/>
      <c r="G60" s="506"/>
      <c r="H60" s="506"/>
      <c r="I60" s="506"/>
      <c r="J60" s="506"/>
      <c r="K60" s="506"/>
      <c r="L60" s="506"/>
      <c r="M60" s="506"/>
      <c r="N60" s="1080"/>
      <c r="O60" s="344"/>
      <c r="P60" s="344"/>
      <c r="Q60" s="344"/>
      <c r="R60" s="344"/>
      <c r="S60" s="344"/>
      <c r="T60" s="344"/>
      <c r="U60" s="729"/>
      <c r="V60" s="344"/>
      <c r="W60" s="344"/>
      <c r="X60" s="344"/>
      <c r="Y60" s="344"/>
    </row>
    <row r="61" spans="2:25" s="293" customFormat="1" ht="15.75">
      <c r="B61" s="313"/>
      <c r="C61" s="502"/>
      <c r="D61" s="506"/>
      <c r="E61" s="506"/>
      <c r="F61" s="506"/>
      <c r="G61" s="506"/>
      <c r="H61" s="506"/>
      <c r="I61" s="506"/>
      <c r="J61" s="506"/>
      <c r="K61" s="506"/>
      <c r="L61" s="506"/>
      <c r="M61" s="506"/>
      <c r="N61" s="1080"/>
      <c r="R61" s="344"/>
      <c r="S61" s="344"/>
      <c r="T61" s="344"/>
      <c r="U61" s="729"/>
      <c r="V61" s="344"/>
      <c r="W61" s="344"/>
      <c r="X61" s="344"/>
      <c r="Y61" s="344"/>
    </row>
    <row r="62" spans="2:25" s="293" customFormat="1" ht="15.75">
      <c r="B62" s="313"/>
      <c r="C62" s="502"/>
      <c r="D62" s="506"/>
      <c r="E62" s="506"/>
      <c r="F62" s="506"/>
      <c r="G62" s="506"/>
      <c r="H62" s="506"/>
      <c r="I62" s="506"/>
      <c r="J62" s="506"/>
      <c r="K62" s="506"/>
      <c r="L62" s="506"/>
      <c r="M62" s="506"/>
      <c r="N62" s="1080"/>
      <c r="R62" s="344"/>
      <c r="S62" s="344"/>
      <c r="T62" s="344"/>
      <c r="U62" s="729"/>
      <c r="V62" s="344"/>
      <c r="W62" s="344"/>
      <c r="X62" s="344"/>
      <c r="Y62" s="344"/>
    </row>
    <row r="63" spans="2:25" s="293" customFormat="1" ht="15.75">
      <c r="B63" s="313"/>
      <c r="C63" s="502"/>
      <c r="D63" s="506"/>
      <c r="E63" s="506"/>
      <c r="F63" s="506"/>
      <c r="G63" s="506"/>
      <c r="H63" s="506"/>
      <c r="I63" s="506"/>
      <c r="J63" s="506"/>
      <c r="K63" s="506"/>
      <c r="L63" s="506"/>
      <c r="M63" s="506"/>
      <c r="N63" s="1080"/>
      <c r="R63" s="344"/>
      <c r="S63" s="344"/>
      <c r="T63" s="344"/>
      <c r="U63" s="729"/>
      <c r="V63" s="344"/>
      <c r="W63" s="344"/>
      <c r="X63" s="344"/>
      <c r="Y63" s="344"/>
    </row>
    <row r="64" spans="2:25" s="293" customFormat="1" ht="15.75">
      <c r="B64" s="313"/>
      <c r="C64" s="502"/>
      <c r="D64" s="506"/>
      <c r="E64" s="506"/>
      <c r="F64" s="506"/>
      <c r="G64" s="506"/>
      <c r="H64" s="506"/>
      <c r="I64" s="506"/>
      <c r="J64" s="506"/>
      <c r="K64" s="506"/>
      <c r="L64" s="506"/>
      <c r="M64" s="506"/>
      <c r="N64" s="1080"/>
      <c r="R64" s="344"/>
      <c r="S64" s="344"/>
      <c r="T64" s="344"/>
      <c r="U64" s="729"/>
      <c r="V64" s="344"/>
      <c r="W64" s="344"/>
      <c r="X64" s="344"/>
      <c r="Y64" s="344"/>
    </row>
    <row r="65" spans="1:25" s="293" customFormat="1" ht="15.75">
      <c r="B65" s="313"/>
      <c r="C65" s="502"/>
      <c r="D65" s="506"/>
      <c r="E65" s="506"/>
      <c r="F65" s="506"/>
      <c r="G65" s="506"/>
      <c r="H65" s="506"/>
      <c r="I65" s="506"/>
      <c r="J65" s="506"/>
      <c r="K65" s="506"/>
      <c r="L65" s="506"/>
      <c r="M65" s="506"/>
      <c r="N65" s="1080"/>
      <c r="R65" s="344"/>
      <c r="S65" s="344"/>
      <c r="T65" s="344"/>
      <c r="U65" s="729"/>
      <c r="V65" s="344"/>
      <c r="W65" s="344"/>
      <c r="X65" s="344"/>
      <c r="Y65" s="344"/>
    </row>
    <row r="66" spans="1:25" ht="15.75">
      <c r="B66" s="313"/>
      <c r="C66" s="507"/>
      <c r="D66" s="507"/>
      <c r="E66" s="507"/>
      <c r="F66" s="507"/>
      <c r="G66" s="507"/>
      <c r="H66" s="507"/>
      <c r="I66" s="507"/>
      <c r="J66" s="507"/>
      <c r="K66" s="507"/>
      <c r="L66" s="507"/>
      <c r="M66" s="507"/>
      <c r="N66" s="978"/>
      <c r="O66" s="293"/>
      <c r="P66" s="293"/>
      <c r="Q66" s="293"/>
    </row>
    <row r="67" spans="1:25" ht="15.75">
      <c r="B67" s="313"/>
      <c r="C67" s="508"/>
      <c r="D67" s="503"/>
      <c r="E67" s="503"/>
      <c r="F67" s="503"/>
      <c r="G67" s="502"/>
      <c r="H67" s="502"/>
      <c r="I67" s="503"/>
      <c r="J67" s="502"/>
      <c r="K67" s="503"/>
      <c r="L67" s="509"/>
      <c r="M67" s="503"/>
      <c r="N67" s="980"/>
    </row>
    <row r="68" spans="1:25" ht="15.75">
      <c r="B68" s="298"/>
      <c r="C68" s="507"/>
      <c r="D68" s="507"/>
      <c r="E68" s="507"/>
      <c r="F68" s="507"/>
      <c r="G68" s="507"/>
      <c r="H68" s="507"/>
      <c r="I68" s="507"/>
      <c r="J68" s="507"/>
      <c r="K68" s="507"/>
      <c r="L68" s="507"/>
      <c r="M68" s="507"/>
      <c r="N68" s="978"/>
    </row>
    <row r="69" spans="1:25" ht="15.75">
      <c r="B69" s="298"/>
      <c r="C69" s="504"/>
      <c r="D69" s="504"/>
      <c r="E69" s="504"/>
      <c r="F69" s="504"/>
      <c r="G69" s="504"/>
      <c r="H69" s="504"/>
      <c r="I69" s="504"/>
      <c r="J69" s="504"/>
      <c r="K69" s="504"/>
      <c r="L69" s="505"/>
      <c r="M69" s="504"/>
      <c r="N69" s="981"/>
    </row>
    <row r="70" spans="1:25" ht="15.75">
      <c r="B70" s="298"/>
      <c r="C70" s="504"/>
      <c r="D70" s="504"/>
      <c r="E70" s="504"/>
      <c r="F70" s="504"/>
      <c r="G70" s="504"/>
      <c r="H70" s="504"/>
      <c r="I70" s="504"/>
      <c r="J70" s="504"/>
      <c r="K70" s="504"/>
      <c r="L70" s="505"/>
      <c r="M70" s="504"/>
      <c r="N70" s="981"/>
    </row>
    <row r="71" spans="1:25" ht="15.75">
      <c r="B71" s="299"/>
      <c r="C71" s="498"/>
      <c r="D71" s="504"/>
      <c r="E71" s="504"/>
      <c r="F71" s="504"/>
      <c r="G71" s="504"/>
      <c r="H71" s="504"/>
      <c r="I71" s="504"/>
      <c r="J71" s="504"/>
      <c r="K71" s="504"/>
      <c r="L71" s="505"/>
      <c r="M71" s="504"/>
      <c r="N71" s="981"/>
    </row>
    <row r="72" spans="1:25" s="293" customFormat="1" ht="15.75">
      <c r="A72" s="621"/>
      <c r="B72" s="316"/>
      <c r="C72" s="514"/>
      <c r="D72" s="514"/>
      <c r="E72" s="514"/>
      <c r="F72" s="514"/>
      <c r="G72" s="514"/>
      <c r="H72" s="522"/>
      <c r="I72" s="514"/>
      <c r="J72" s="515"/>
      <c r="K72" s="514"/>
      <c r="L72" s="514"/>
      <c r="M72" s="514"/>
      <c r="N72" s="518"/>
      <c r="O72" s="283"/>
      <c r="P72" s="283"/>
      <c r="Q72" s="283"/>
      <c r="R72" s="344"/>
      <c r="S72" s="344"/>
      <c r="T72" s="344"/>
      <c r="U72" s="729"/>
      <c r="V72" s="344"/>
      <c r="W72" s="344"/>
      <c r="X72" s="344"/>
      <c r="Y72" s="344"/>
    </row>
    <row r="73" spans="1:25" ht="15.75">
      <c r="B73" s="298"/>
      <c r="C73" s="504"/>
      <c r="D73" s="504"/>
      <c r="E73" s="504"/>
      <c r="F73" s="504"/>
      <c r="G73" s="504"/>
      <c r="H73" s="504"/>
      <c r="I73" s="504"/>
      <c r="J73" s="504"/>
      <c r="K73" s="504"/>
      <c r="L73" s="505"/>
      <c r="M73" s="504"/>
      <c r="N73" s="981"/>
      <c r="O73" s="608"/>
      <c r="P73" s="448"/>
      <c r="Q73" s="348"/>
    </row>
    <row r="74" spans="1:25" ht="15.75">
      <c r="B74" s="298"/>
      <c r="C74" s="504"/>
      <c r="D74" s="504"/>
      <c r="E74" s="504"/>
      <c r="F74" s="504"/>
      <c r="G74" s="504"/>
      <c r="H74" s="504"/>
      <c r="I74" s="504"/>
      <c r="J74" s="504"/>
      <c r="K74" s="504"/>
      <c r="L74" s="505"/>
      <c r="M74" s="504"/>
      <c r="N74" s="981"/>
    </row>
    <row r="75" spans="1:25" ht="15.75">
      <c r="B75" s="298"/>
      <c r="C75" s="504"/>
      <c r="D75" s="504"/>
      <c r="E75" s="504"/>
      <c r="F75" s="504"/>
      <c r="G75" s="504"/>
      <c r="H75" s="504"/>
      <c r="I75" s="504"/>
      <c r="J75" s="504"/>
      <c r="K75" s="504"/>
      <c r="L75" s="505"/>
      <c r="M75" s="504"/>
      <c r="N75" s="981"/>
    </row>
    <row r="76" spans="1:25" ht="15.75">
      <c r="B76" s="298"/>
      <c r="C76" s="504"/>
      <c r="D76" s="504"/>
      <c r="E76" s="504"/>
      <c r="F76" s="504"/>
      <c r="G76" s="504"/>
      <c r="H76" s="504"/>
      <c r="I76" s="504"/>
      <c r="J76" s="504"/>
      <c r="K76" s="504"/>
      <c r="L76" s="505"/>
      <c r="M76" s="504"/>
      <c r="N76" s="981"/>
    </row>
    <row r="77" spans="1:25" ht="15.75">
      <c r="B77" s="298"/>
      <c r="C77" s="504"/>
      <c r="D77" s="504"/>
      <c r="E77" s="504"/>
      <c r="F77" s="504"/>
      <c r="G77" s="504"/>
      <c r="H77" s="504"/>
      <c r="I77" s="504"/>
      <c r="J77" s="504"/>
      <c r="K77" s="504"/>
      <c r="L77" s="505"/>
      <c r="M77" s="504"/>
      <c r="N77" s="981"/>
    </row>
    <row r="78" spans="1:25" ht="15.75">
      <c r="B78" s="298"/>
      <c r="C78" s="504"/>
      <c r="D78" s="504"/>
      <c r="E78" s="504"/>
      <c r="F78" s="504"/>
      <c r="G78" s="504"/>
      <c r="H78" s="504"/>
      <c r="I78" s="504"/>
      <c r="J78" s="504"/>
      <c r="K78" s="504"/>
      <c r="L78" s="505"/>
      <c r="M78" s="504"/>
      <c r="N78" s="981"/>
    </row>
    <row r="79" spans="1:25" ht="15.75">
      <c r="B79" s="298"/>
      <c r="C79" s="504"/>
      <c r="D79" s="504"/>
      <c r="E79" s="504"/>
      <c r="F79" s="504"/>
      <c r="G79" s="504"/>
      <c r="H79" s="504"/>
      <c r="I79" s="504"/>
      <c r="J79" s="504"/>
      <c r="K79" s="504"/>
      <c r="L79" s="505"/>
      <c r="M79" s="504"/>
      <c r="N79" s="981"/>
    </row>
    <row r="80" spans="1:25"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row r="120" spans="2:14" ht="15.75">
      <c r="B120" s="298"/>
      <c r="C120" s="504"/>
      <c r="D120" s="504"/>
      <c r="E120" s="504"/>
      <c r="F120" s="504"/>
      <c r="G120" s="504"/>
      <c r="H120" s="504"/>
      <c r="I120" s="504"/>
      <c r="J120" s="504"/>
      <c r="K120" s="504"/>
      <c r="L120" s="505"/>
      <c r="M120" s="504"/>
      <c r="N120" s="981"/>
    </row>
    <row r="121" spans="2:14" ht="15.75">
      <c r="B121" s="298"/>
      <c r="C121" s="504"/>
      <c r="D121" s="504"/>
      <c r="E121" s="504"/>
      <c r="F121" s="504"/>
      <c r="G121" s="504"/>
      <c r="H121" s="504"/>
      <c r="I121" s="504"/>
      <c r="J121" s="504"/>
      <c r="K121" s="504"/>
      <c r="L121" s="505"/>
      <c r="M121" s="504"/>
      <c r="N121" s="981"/>
    </row>
    <row r="122" spans="2:14" ht="15.75">
      <c r="B122" s="298"/>
      <c r="C122" s="504"/>
      <c r="D122" s="504"/>
      <c r="E122" s="504"/>
      <c r="F122" s="504"/>
      <c r="G122" s="504"/>
      <c r="H122" s="504"/>
      <c r="I122" s="504"/>
      <c r="J122" s="504"/>
      <c r="K122" s="504"/>
      <c r="L122" s="505"/>
      <c r="M122" s="504"/>
      <c r="N122" s="981"/>
    </row>
  </sheetData>
  <mergeCells count="4">
    <mergeCell ref="B1:N1"/>
    <mergeCell ref="B4:N4"/>
    <mergeCell ref="B3:N3"/>
    <mergeCell ref="R3:X3"/>
  </mergeCells>
  <printOptions horizontalCentered="1"/>
  <pageMargins left="0.5" right="0.5" top="0.5" bottom="0.5" header="0.5" footer="0.5"/>
  <pageSetup scale="74"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AC123"/>
  <sheetViews>
    <sheetView showGridLines="0" showRuler="0" topLeftCell="B3" zoomScaleNormal="100" zoomScaleSheetLayoutView="130" workbookViewId="0">
      <selection activeCell="I64" sqref="I64"/>
    </sheetView>
  </sheetViews>
  <sheetFormatPr defaultColWidth="6.85546875" defaultRowHeight="12.75"/>
  <cols>
    <col min="1" max="1" width="18.8554687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20.5703125" style="283" hidden="1" customWidth="1"/>
    <col min="8" max="8" width="3" style="283" hidden="1" customWidth="1"/>
    <col min="9" max="9" width="15.7109375" style="283" customWidth="1"/>
    <col min="10" max="10" width="20.5703125" style="283" hidden="1" customWidth="1"/>
    <col min="11" max="11" width="1.85546875" style="283" hidden="1" customWidth="1"/>
    <col min="12" max="12" width="15.7109375" style="293" customWidth="1"/>
    <col min="13" max="13" width="3" style="283" hidden="1" customWidth="1"/>
    <col min="14" max="14" width="15.7109375" style="775" customWidth="1"/>
    <col min="15" max="15" width="33.140625" style="283" bestFit="1" customWidth="1"/>
    <col min="16" max="16" width="13.7109375" style="722" bestFit="1" customWidth="1"/>
    <col min="17" max="17" width="7.5703125" style="722" bestFit="1" customWidth="1"/>
    <col min="18" max="19" width="6.85546875" style="283"/>
    <col min="20" max="20" width="12.7109375" style="734" bestFit="1" customWidth="1"/>
    <col min="21" max="23" width="6.85546875" style="283"/>
    <col min="24" max="24" width="12.42578125" style="283" bestFit="1" customWidth="1"/>
    <col min="25" max="25" width="6.85546875" style="283"/>
    <col min="26" max="26" width="10.5703125" style="283" bestFit="1" customWidth="1"/>
    <col min="27" max="27" width="11" style="283" bestFit="1" customWidth="1"/>
    <col min="28" max="16384" width="6.85546875" style="283"/>
  </cols>
  <sheetData>
    <row r="1" spans="1:28" ht="25.9" hidden="1" customHeight="1">
      <c r="B1" s="1706" t="s">
        <v>376</v>
      </c>
      <c r="C1" s="1706"/>
      <c r="D1" s="1706"/>
      <c r="E1" s="1706"/>
      <c r="F1" s="1706"/>
      <c r="G1" s="1706"/>
      <c r="H1" s="1706"/>
      <c r="I1" s="1706"/>
      <c r="J1" s="1706"/>
      <c r="K1" s="1706"/>
      <c r="L1" s="1706"/>
      <c r="M1" s="1706"/>
      <c r="N1" s="1710"/>
    </row>
    <row r="2" spans="1:28" ht="18.75" hidden="1">
      <c r="B2" s="284"/>
      <c r="C2" s="285"/>
      <c r="D2" s="285"/>
      <c r="E2" s="285"/>
      <c r="F2" s="285"/>
      <c r="G2" s="285"/>
      <c r="H2" s="285"/>
      <c r="I2" s="285"/>
      <c r="J2" s="285"/>
      <c r="K2" s="285"/>
      <c r="L2" s="285"/>
      <c r="M2" s="285"/>
      <c r="N2" s="773"/>
    </row>
    <row r="3" spans="1:28" ht="35.450000000000003" customHeight="1">
      <c r="B3" s="1704" t="s">
        <v>903</v>
      </c>
      <c r="C3" s="1704"/>
      <c r="D3" s="1704"/>
      <c r="E3" s="1704"/>
      <c r="F3" s="1704"/>
      <c r="G3" s="1704"/>
      <c r="H3" s="1704"/>
      <c r="I3" s="1704"/>
      <c r="J3" s="1704"/>
      <c r="K3" s="1704"/>
      <c r="L3" s="1704"/>
      <c r="M3" s="1704"/>
      <c r="N3" s="1704"/>
      <c r="P3" s="1709" t="s">
        <v>58</v>
      </c>
      <c r="Q3" s="1709"/>
      <c r="R3" s="1709"/>
      <c r="S3" s="1709"/>
      <c r="T3" s="1709"/>
      <c r="U3" s="1709"/>
      <c r="V3" s="1709"/>
      <c r="W3" s="1709"/>
      <c r="X3" s="1709"/>
      <c r="Y3" s="1709"/>
      <c r="Z3" s="1709"/>
      <c r="AA3" s="1709"/>
      <c r="AB3" s="1709"/>
    </row>
    <row r="4" spans="1:28" ht="32.25" customHeight="1" thickBot="1">
      <c r="B4" s="1711"/>
      <c r="C4" s="1711"/>
      <c r="D4" s="1711"/>
      <c r="E4" s="1711"/>
      <c r="F4" s="1711"/>
      <c r="G4" s="1711"/>
      <c r="H4" s="1711"/>
      <c r="I4" s="1711"/>
      <c r="J4" s="1711"/>
      <c r="K4" s="1711"/>
      <c r="L4" s="1711"/>
      <c r="M4" s="1711"/>
      <c r="N4" s="1711"/>
    </row>
    <row r="5" spans="1:28"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T5" s="1139"/>
    </row>
    <row r="6" spans="1:28">
      <c r="B6" s="288"/>
      <c r="C6" s="288"/>
      <c r="D6" s="289"/>
      <c r="E6" s="289"/>
      <c r="F6" s="288"/>
      <c r="G6" s="288"/>
      <c r="H6" s="289"/>
      <c r="I6" s="288"/>
      <c r="J6" s="290"/>
      <c r="K6" s="289"/>
      <c r="L6" s="291"/>
      <c r="M6" s="289"/>
    </row>
    <row r="7" spans="1:28" ht="15.75">
      <c r="B7" s="299" t="s">
        <v>2</v>
      </c>
      <c r="C7" s="299"/>
      <c r="D7" s="300"/>
      <c r="E7" s="300"/>
      <c r="F7" s="300"/>
      <c r="G7" s="301"/>
      <c r="H7" s="300"/>
      <c r="I7" s="301"/>
      <c r="J7" s="300"/>
      <c r="K7" s="300"/>
      <c r="L7" s="302"/>
      <c r="M7" s="300"/>
      <c r="N7" s="554"/>
    </row>
    <row r="8" spans="1:28" ht="15.75">
      <c r="A8" s="321" t="s">
        <v>336</v>
      </c>
      <c r="B8" s="305" t="s">
        <v>6</v>
      </c>
      <c r="C8" s="1268">
        <v>1116442.03</v>
      </c>
      <c r="D8" s="1243" t="e">
        <v>#N/A</v>
      </c>
      <c r="E8" s="1243"/>
      <c r="F8" s="1268">
        <v>899584</v>
      </c>
      <c r="G8" s="1268">
        <v>918308</v>
      </c>
      <c r="H8" s="1268"/>
      <c r="I8" s="1268">
        <v>1145125</v>
      </c>
      <c r="J8" s="1268">
        <v>245541</v>
      </c>
      <c r="K8" s="1268"/>
      <c r="L8" s="1268">
        <v>1155994.8400000001</v>
      </c>
      <c r="M8" s="1268"/>
      <c r="N8" s="1268">
        <v>256410.84000000008</v>
      </c>
      <c r="O8" s="336" t="s">
        <v>11</v>
      </c>
      <c r="P8" s="726">
        <v>130367.84</v>
      </c>
      <c r="Q8" s="982">
        <v>0.112</v>
      </c>
      <c r="X8" s="722"/>
    </row>
    <row r="9" spans="1:28" ht="15.75">
      <c r="A9" s="321" t="s">
        <v>338</v>
      </c>
      <c r="B9" s="305" t="s">
        <v>8</v>
      </c>
      <c r="C9" s="1092">
        <v>0</v>
      </c>
      <c r="D9" s="517">
        <v>0</v>
      </c>
      <c r="E9" s="517"/>
      <c r="F9" s="517">
        <v>0</v>
      </c>
      <c r="G9" s="539">
        <v>918308</v>
      </c>
      <c r="H9" s="517"/>
      <c r="I9" s="1241">
        <v>4560</v>
      </c>
      <c r="J9" s="1242">
        <v>4560</v>
      </c>
      <c r="K9" s="1240"/>
      <c r="L9" s="1240">
        <v>4560</v>
      </c>
      <c r="M9" s="517"/>
      <c r="N9" s="549">
        <v>4560</v>
      </c>
      <c r="O9" s="336" t="s">
        <v>12</v>
      </c>
      <c r="P9" s="726">
        <v>5613</v>
      </c>
      <c r="Q9" s="982">
        <v>5.0000000000000001E-3</v>
      </c>
      <c r="X9" s="722"/>
    </row>
    <row r="10" spans="1:28" s="293" customFormat="1" ht="15.75" hidden="1">
      <c r="B10" s="311" t="s">
        <v>319</v>
      </c>
      <c r="C10" s="1056">
        <v>0</v>
      </c>
      <c r="D10" s="532" t="e">
        <v>#N/A</v>
      </c>
      <c r="E10" s="532"/>
      <c r="F10" s="549">
        <v>0</v>
      </c>
      <c r="G10" s="539">
        <v>0</v>
      </c>
      <c r="H10" s="532"/>
      <c r="I10" s="517">
        <v>0</v>
      </c>
      <c r="J10" s="540">
        <v>0</v>
      </c>
      <c r="K10" s="532"/>
      <c r="L10" s="517">
        <v>0</v>
      </c>
      <c r="M10" s="532"/>
      <c r="N10" s="552">
        <v>0</v>
      </c>
      <c r="O10" s="336"/>
      <c r="P10" s="726"/>
      <c r="Q10" s="982"/>
      <c r="T10" s="725"/>
    </row>
    <row r="11" spans="1:28" s="625" customFormat="1" ht="15.75">
      <c r="B11" s="622" t="s">
        <v>9</v>
      </c>
      <c r="C11" s="1039">
        <v>1116442.03</v>
      </c>
      <c r="D11" s="308">
        <v>899584</v>
      </c>
      <c r="E11" s="308"/>
      <c r="F11" s="308">
        <v>899584</v>
      </c>
      <c r="G11" s="308">
        <v>1836616</v>
      </c>
      <c r="H11" s="308"/>
      <c r="I11" s="308">
        <v>1149685</v>
      </c>
      <c r="J11" s="308">
        <v>250101</v>
      </c>
      <c r="K11" s="308"/>
      <c r="L11" s="308">
        <v>1160554.8400000001</v>
      </c>
      <c r="M11" s="308"/>
      <c r="N11" s="553">
        <v>260970.84000000008</v>
      </c>
      <c r="O11" s="346" t="s">
        <v>801</v>
      </c>
      <c r="P11" s="727">
        <v>878796</v>
      </c>
      <c r="Q11" s="982">
        <v>0.75700000000000001</v>
      </c>
      <c r="T11" s="792"/>
      <c r="X11" s="722"/>
    </row>
    <row r="12" spans="1:28" s="293" customFormat="1" ht="15.75">
      <c r="B12" s="310"/>
      <c r="C12" s="1040"/>
      <c r="D12" s="304"/>
      <c r="E12" s="304"/>
      <c r="F12" s="304"/>
      <c r="G12" s="304"/>
      <c r="H12" s="304"/>
      <c r="I12" s="304"/>
      <c r="J12" s="304"/>
      <c r="K12" s="304"/>
      <c r="L12" s="304"/>
      <c r="M12" s="304"/>
      <c r="N12" s="550"/>
      <c r="O12" s="346" t="s">
        <v>14</v>
      </c>
      <c r="P12" s="727">
        <v>145778</v>
      </c>
      <c r="Q12" s="982">
        <v>0.126</v>
      </c>
      <c r="T12" s="724"/>
    </row>
    <row r="13" spans="1:28" s="293" customFormat="1" ht="15.75">
      <c r="B13" s="313" t="s">
        <v>320</v>
      </c>
      <c r="C13" s="1040"/>
      <c r="D13" s="306"/>
      <c r="E13" s="306"/>
      <c r="F13" s="304"/>
      <c r="G13" s="304"/>
      <c r="H13" s="306"/>
      <c r="I13" s="304"/>
      <c r="J13" s="304"/>
      <c r="K13" s="306"/>
      <c r="L13" s="306"/>
      <c r="M13" s="306"/>
      <c r="N13" s="552" t="s">
        <v>58</v>
      </c>
      <c r="O13" s="346" t="s">
        <v>15</v>
      </c>
      <c r="P13" s="727">
        <v>0</v>
      </c>
      <c r="Q13" s="982">
        <v>0</v>
      </c>
    </row>
    <row r="14" spans="1:28" s="293" customFormat="1" ht="15.75">
      <c r="B14" s="311" t="s">
        <v>327</v>
      </c>
      <c r="C14" s="1056">
        <v>0</v>
      </c>
      <c r="D14" s="532">
        <v>0</v>
      </c>
      <c r="E14" s="532"/>
      <c r="F14" s="1240">
        <v>0</v>
      </c>
      <c r="G14" s="539">
        <v>0</v>
      </c>
      <c r="H14" s="532"/>
      <c r="I14" s="517">
        <v>0</v>
      </c>
      <c r="J14" s="540">
        <v>0</v>
      </c>
      <c r="K14" s="532"/>
      <c r="L14" s="517">
        <v>0</v>
      </c>
      <c r="M14" s="532"/>
      <c r="N14" s="532">
        <v>0</v>
      </c>
      <c r="O14" s="346" t="s">
        <v>38</v>
      </c>
      <c r="P14" s="727">
        <v>0</v>
      </c>
      <c r="Q14" s="982">
        <v>0</v>
      </c>
      <c r="T14" s="724"/>
    </row>
    <row r="15" spans="1:28" s="293" customFormat="1" ht="15.75">
      <c r="B15" s="622" t="s">
        <v>20</v>
      </c>
      <c r="C15" s="1055">
        <v>0</v>
      </c>
      <c r="D15" s="541">
        <v>0</v>
      </c>
      <c r="E15" s="541"/>
      <c r="F15" s="1251">
        <v>0</v>
      </c>
      <c r="G15" s="541">
        <v>0</v>
      </c>
      <c r="H15" s="541"/>
      <c r="I15" s="546">
        <v>0</v>
      </c>
      <c r="J15" s="987">
        <v>0</v>
      </c>
      <c r="K15" s="541"/>
      <c r="L15" s="546">
        <v>0</v>
      </c>
      <c r="M15" s="541"/>
      <c r="N15" s="553">
        <v>0</v>
      </c>
      <c r="O15" s="346" t="s">
        <v>23</v>
      </c>
      <c r="P15" s="727">
        <v>0</v>
      </c>
      <c r="Q15" s="982">
        <v>0</v>
      </c>
      <c r="T15" s="724"/>
      <c r="X15" s="722"/>
    </row>
    <row r="16" spans="1:28" s="293" customFormat="1" ht="16.5" thickBot="1">
      <c r="B16" s="616" t="s">
        <v>21</v>
      </c>
      <c r="C16" s="1041">
        <v>1116442.03</v>
      </c>
      <c r="D16" s="647">
        <v>899584</v>
      </c>
      <c r="E16" s="647"/>
      <c r="F16" s="647">
        <v>899584</v>
      </c>
      <c r="G16" s="647">
        <v>1836616</v>
      </c>
      <c r="H16" s="647"/>
      <c r="I16" s="647">
        <v>1149685</v>
      </c>
      <c r="J16" s="648">
        <v>250101</v>
      </c>
      <c r="K16" s="647"/>
      <c r="L16" s="647">
        <v>1160554.8400000001</v>
      </c>
      <c r="M16" s="647"/>
      <c r="N16" s="659">
        <v>260970.84000000008</v>
      </c>
      <c r="O16" s="340" t="s">
        <v>25</v>
      </c>
      <c r="P16" s="728">
        <v>1160554.8399999999</v>
      </c>
      <c r="Q16" s="983">
        <v>1</v>
      </c>
      <c r="R16" s="344"/>
      <c r="S16" s="344"/>
      <c r="T16" s="792"/>
      <c r="X16" s="722"/>
    </row>
    <row r="17" spans="1:29" s="293" customFormat="1" ht="16.5" thickTop="1">
      <c r="B17" s="316"/>
      <c r="C17" s="1042"/>
      <c r="D17" s="304"/>
      <c r="E17" s="304"/>
      <c r="F17" s="304"/>
      <c r="G17" s="304"/>
      <c r="H17" s="304"/>
      <c r="I17" s="304"/>
      <c r="J17" s="304"/>
      <c r="K17" s="304"/>
      <c r="L17" s="304"/>
      <c r="M17" s="304"/>
      <c r="N17" s="550"/>
      <c r="T17" s="724"/>
    </row>
    <row r="18" spans="1:29" s="293" customFormat="1" ht="15.75">
      <c r="B18" s="349" t="s">
        <v>10</v>
      </c>
      <c r="C18" s="1043"/>
      <c r="D18" s="302"/>
      <c r="E18" s="302"/>
      <c r="F18" s="304"/>
      <c r="G18" s="304"/>
      <c r="H18" s="302"/>
      <c r="I18" s="304"/>
      <c r="J18" s="302"/>
      <c r="K18" s="302"/>
      <c r="L18" s="302"/>
      <c r="M18" s="302"/>
      <c r="N18" s="554"/>
      <c r="P18" s="723"/>
      <c r="Q18" s="723"/>
      <c r="T18" s="724"/>
    </row>
    <row r="19" spans="1:29" s="293" customFormat="1" ht="15.75">
      <c r="A19" s="621" t="s">
        <v>340</v>
      </c>
      <c r="B19" s="316" t="s">
        <v>11</v>
      </c>
      <c r="C19" s="1092">
        <v>105547.77</v>
      </c>
      <c r="D19" s="517">
        <v>113998</v>
      </c>
      <c r="E19" s="517"/>
      <c r="F19" s="1240">
        <v>113998</v>
      </c>
      <c r="G19" s="539">
        <v>918308</v>
      </c>
      <c r="H19" s="517"/>
      <c r="I19" s="1241">
        <v>124768.3</v>
      </c>
      <c r="J19" s="1242">
        <v>10770.300000000003</v>
      </c>
      <c r="K19" s="1240"/>
      <c r="L19" s="1240">
        <v>130367.84</v>
      </c>
      <c r="M19" s="517"/>
      <c r="N19" s="1240">
        <v>16369.839999999997</v>
      </c>
      <c r="O19" s="341" t="s">
        <v>6</v>
      </c>
      <c r="P19" s="727">
        <v>1155994.8400000001</v>
      </c>
      <c r="Q19" s="984">
        <v>0.996</v>
      </c>
      <c r="T19" s="724"/>
      <c r="X19" s="722"/>
    </row>
    <row r="20" spans="1:29" s="293" customFormat="1" ht="15.75">
      <c r="A20" s="621" t="s">
        <v>341</v>
      </c>
      <c r="B20" s="316" t="s">
        <v>12</v>
      </c>
      <c r="C20" s="1092">
        <v>7846.24</v>
      </c>
      <c r="D20" s="517">
        <v>7573.32</v>
      </c>
      <c r="E20" s="517"/>
      <c r="F20" s="1240">
        <v>7573.32</v>
      </c>
      <c r="G20" s="539">
        <v>918308</v>
      </c>
      <c r="H20" s="517"/>
      <c r="I20" s="1241">
        <v>5047.7</v>
      </c>
      <c r="J20" s="1242">
        <v>-2525.62</v>
      </c>
      <c r="K20" s="1240"/>
      <c r="L20" s="1240">
        <v>5613</v>
      </c>
      <c r="M20" s="517"/>
      <c r="N20" s="1240">
        <v>-1960.3199999999997</v>
      </c>
      <c r="O20" s="341" t="s">
        <v>8</v>
      </c>
      <c r="P20" s="727">
        <v>4560</v>
      </c>
      <c r="Q20" s="984">
        <v>4.0000000000000001E-3</v>
      </c>
      <c r="T20" s="724"/>
      <c r="X20" s="722"/>
    </row>
    <row r="21" spans="1:29" s="293" customFormat="1" ht="21">
      <c r="A21" s="621" t="s">
        <v>342</v>
      </c>
      <c r="B21" s="316" t="s">
        <v>801</v>
      </c>
      <c r="C21" s="1092">
        <v>804915.55</v>
      </c>
      <c r="D21" s="517">
        <v>636070.68000000005</v>
      </c>
      <c r="E21" s="517"/>
      <c r="F21" s="1240">
        <v>636070.68000000005</v>
      </c>
      <c r="G21" s="539">
        <v>918308</v>
      </c>
      <c r="H21" s="517"/>
      <c r="I21" s="1241">
        <v>877927</v>
      </c>
      <c r="J21" s="1242">
        <v>241856.31999999995</v>
      </c>
      <c r="K21" s="1240"/>
      <c r="L21" s="1240">
        <v>878796</v>
      </c>
      <c r="M21" s="517"/>
      <c r="N21" s="1240">
        <v>242725.31999999995</v>
      </c>
      <c r="O21" s="341" t="s">
        <v>319</v>
      </c>
      <c r="P21" s="727">
        <v>0</v>
      </c>
      <c r="Q21" s="984">
        <v>0</v>
      </c>
      <c r="R21" s="344"/>
      <c r="T21" s="724"/>
      <c r="X21" s="722"/>
    </row>
    <row r="22" spans="1:29" s="293" customFormat="1" ht="15.75">
      <c r="A22" s="621" t="s">
        <v>343</v>
      </c>
      <c r="B22" s="316" t="s">
        <v>14</v>
      </c>
      <c r="C22" s="1092">
        <v>169632</v>
      </c>
      <c r="D22" s="517">
        <v>141942</v>
      </c>
      <c r="E22" s="517"/>
      <c r="F22" s="1240">
        <v>141942</v>
      </c>
      <c r="G22" s="539">
        <v>918308</v>
      </c>
      <c r="H22" s="517"/>
      <c r="I22" s="1241">
        <v>141942</v>
      </c>
      <c r="J22" s="1242">
        <v>0</v>
      </c>
      <c r="K22" s="1240"/>
      <c r="L22" s="1240">
        <v>145778</v>
      </c>
      <c r="M22" s="517"/>
      <c r="N22" s="1240">
        <v>3836</v>
      </c>
      <c r="O22" s="341" t="s">
        <v>19</v>
      </c>
      <c r="P22" s="727">
        <v>0</v>
      </c>
      <c r="Q22" s="984">
        <v>0</v>
      </c>
      <c r="R22" s="344"/>
      <c r="T22" s="724"/>
      <c r="X22" s="722"/>
    </row>
    <row r="23" spans="1:29" s="293" customFormat="1" ht="16.5" thickBot="1">
      <c r="A23" s="621" t="s">
        <v>350</v>
      </c>
      <c r="B23" s="316" t="s">
        <v>15</v>
      </c>
      <c r="C23" s="1092">
        <v>28500</v>
      </c>
      <c r="D23" s="517">
        <v>0</v>
      </c>
      <c r="E23" s="517"/>
      <c r="F23" s="1240">
        <v>0</v>
      </c>
      <c r="G23" s="539">
        <v>918308</v>
      </c>
      <c r="H23" s="517"/>
      <c r="I23" s="1241">
        <v>0</v>
      </c>
      <c r="J23" s="1242">
        <v>0</v>
      </c>
      <c r="K23" s="1240"/>
      <c r="L23" s="1240">
        <v>0</v>
      </c>
      <c r="M23" s="517"/>
      <c r="N23" s="1240">
        <v>0</v>
      </c>
      <c r="O23" s="340" t="s">
        <v>21</v>
      </c>
      <c r="P23" s="728">
        <v>1160554.8400000001</v>
      </c>
      <c r="Q23" s="983">
        <v>1</v>
      </c>
      <c r="R23" s="344"/>
      <c r="T23" s="724"/>
      <c r="X23" s="722"/>
    </row>
    <row r="24" spans="1:29" s="293" customFormat="1" ht="16.5" hidden="1" thickTop="1">
      <c r="A24" s="658" t="s">
        <v>346</v>
      </c>
      <c r="B24" s="316" t="s">
        <v>38</v>
      </c>
      <c r="C24" s="1038">
        <v>0</v>
      </c>
      <c r="D24" s="303"/>
      <c r="E24" s="303"/>
      <c r="F24" s="517">
        <v>0</v>
      </c>
      <c r="G24" s="304">
        <v>29422</v>
      </c>
      <c r="H24" s="303"/>
      <c r="I24" s="304">
        <v>0</v>
      </c>
      <c r="J24" s="302"/>
      <c r="K24" s="303"/>
      <c r="L24" s="539">
        <v>0</v>
      </c>
      <c r="M24" s="303"/>
      <c r="N24" s="549">
        <v>0</v>
      </c>
      <c r="R24" s="344"/>
      <c r="T24" s="724"/>
      <c r="X24" s="722"/>
    </row>
    <row r="25" spans="1:29" s="293" customFormat="1" ht="16.5" thickTop="1">
      <c r="B25" s="622" t="s">
        <v>22</v>
      </c>
      <c r="C25" s="1039">
        <v>1116441.56</v>
      </c>
      <c r="D25" s="308">
        <v>899584</v>
      </c>
      <c r="E25" s="308"/>
      <c r="F25" s="308">
        <v>899584</v>
      </c>
      <c r="G25" s="308">
        <v>4620962</v>
      </c>
      <c r="H25" s="308"/>
      <c r="I25" s="308">
        <v>1149685</v>
      </c>
      <c r="J25" s="308">
        <v>250100.99999999994</v>
      </c>
      <c r="K25" s="308"/>
      <c r="L25" s="308">
        <v>1160554.8399999999</v>
      </c>
      <c r="M25" s="308"/>
      <c r="N25" s="553">
        <v>260970.83999999985</v>
      </c>
      <c r="O25" s="344"/>
      <c r="P25" s="729"/>
      <c r="Q25" s="729"/>
      <c r="T25" s="792"/>
      <c r="X25" s="722"/>
    </row>
    <row r="26" spans="1:29" s="293" customFormat="1" ht="15.75">
      <c r="B26" s="311"/>
      <c r="C26" s="1044"/>
      <c r="D26" s="304"/>
      <c r="E26" s="304"/>
      <c r="F26" s="304"/>
      <c r="G26" s="304"/>
      <c r="H26" s="304"/>
      <c r="I26" s="304"/>
      <c r="J26" s="304"/>
      <c r="K26" s="304"/>
      <c r="L26" s="304"/>
      <c r="M26" s="304"/>
      <c r="N26" s="550"/>
      <c r="P26" s="723"/>
      <c r="Q26" s="723"/>
      <c r="T26" s="724"/>
    </row>
    <row r="27" spans="1:29" s="293" customFormat="1" ht="15.75">
      <c r="B27" s="313" t="s">
        <v>321</v>
      </c>
      <c r="C27" s="1040"/>
      <c r="D27" s="311"/>
      <c r="E27" s="311"/>
      <c r="F27" s="311"/>
      <c r="G27" s="311"/>
      <c r="H27" s="311"/>
      <c r="I27" s="311"/>
      <c r="J27" s="311"/>
      <c r="K27" s="311"/>
      <c r="L27" s="311"/>
      <c r="M27" s="311"/>
      <c r="N27" s="554"/>
      <c r="O27" s="661"/>
      <c r="P27" s="1768"/>
      <c r="Q27" s="729"/>
      <c r="R27" s="344"/>
      <c r="S27" s="344"/>
      <c r="T27" s="1277"/>
      <c r="U27" s="344"/>
      <c r="V27" s="344"/>
      <c r="W27" s="344"/>
      <c r="X27" s="344"/>
      <c r="Y27" s="344"/>
      <c r="Z27" s="344"/>
      <c r="AA27" s="344"/>
      <c r="AB27" s="344"/>
      <c r="AC27" s="344"/>
    </row>
    <row r="28" spans="1:29" s="293" customFormat="1" ht="15.75">
      <c r="B28" s="624" t="s">
        <v>31</v>
      </c>
      <c r="C28" s="1056">
        <v>0</v>
      </c>
      <c r="D28" s="539">
        <v>0</v>
      </c>
      <c r="E28" s="539"/>
      <c r="F28" s="1240">
        <v>0</v>
      </c>
      <c r="G28" s="539">
        <v>0</v>
      </c>
      <c r="H28" s="539"/>
      <c r="I28" s="517">
        <v>0</v>
      </c>
      <c r="J28" s="540">
        <v>0</v>
      </c>
      <c r="K28" s="539"/>
      <c r="L28" s="1289">
        <v>0</v>
      </c>
      <c r="M28" s="539"/>
      <c r="N28" s="550">
        <v>0</v>
      </c>
      <c r="O28" s="344"/>
      <c r="P28" s="729"/>
      <c r="Q28" s="729"/>
      <c r="R28" s="344"/>
      <c r="S28" s="344"/>
      <c r="T28" s="1277"/>
      <c r="U28" s="344"/>
      <c r="V28" s="344"/>
      <c r="W28" s="344"/>
      <c r="X28" s="344"/>
      <c r="Y28" s="344"/>
      <c r="Z28" s="344"/>
      <c r="AA28" s="344"/>
      <c r="AB28" s="344"/>
      <c r="AC28" s="344"/>
    </row>
    <row r="29" spans="1:29" s="293" customFormat="1" ht="15.75" hidden="1">
      <c r="B29" s="624" t="s">
        <v>31</v>
      </c>
      <c r="C29" s="1038">
        <v>0</v>
      </c>
      <c r="D29" s="539">
        <v>0</v>
      </c>
      <c r="E29" s="539"/>
      <c r="F29" s="548">
        <v>0</v>
      </c>
      <c r="G29" s="539">
        <v>0</v>
      </c>
      <c r="H29" s="539"/>
      <c r="I29" s="548">
        <v>0</v>
      </c>
      <c r="J29" s="540">
        <v>0</v>
      </c>
      <c r="K29" s="539"/>
      <c r="L29" s="548">
        <v>0</v>
      </c>
      <c r="M29" s="539"/>
      <c r="N29" s="550">
        <v>0</v>
      </c>
      <c r="O29" s="344"/>
      <c r="P29" s="729"/>
      <c r="Q29" s="729"/>
      <c r="R29" s="344"/>
      <c r="S29" s="344"/>
      <c r="T29" s="1277"/>
      <c r="U29" s="344"/>
      <c r="V29" s="344"/>
      <c r="W29" s="344"/>
      <c r="X29" s="344"/>
      <c r="Y29" s="344"/>
      <c r="Z29" s="344"/>
      <c r="AA29" s="344"/>
      <c r="AB29" s="344"/>
      <c r="AC29" s="344"/>
    </row>
    <row r="30" spans="1:29" s="625" customFormat="1" ht="15.75">
      <c r="B30" s="1246" t="s">
        <v>323</v>
      </c>
      <c r="C30" s="1055">
        <v>0</v>
      </c>
      <c r="D30" s="541">
        <v>0</v>
      </c>
      <c r="E30" s="541"/>
      <c r="F30" s="1251">
        <v>0</v>
      </c>
      <c r="G30" s="541">
        <v>0</v>
      </c>
      <c r="H30" s="541"/>
      <c r="I30" s="546">
        <v>0</v>
      </c>
      <c r="J30" s="541">
        <v>0</v>
      </c>
      <c r="K30" s="541"/>
      <c r="L30" s="546">
        <v>0</v>
      </c>
      <c r="M30" s="541"/>
      <c r="N30" s="553">
        <v>0</v>
      </c>
      <c r="O30" s="344"/>
      <c r="P30" s="729"/>
      <c r="Q30" s="729"/>
      <c r="R30" s="661"/>
      <c r="S30" s="661"/>
      <c r="T30" s="1277"/>
      <c r="U30" s="661"/>
      <c r="V30" s="661"/>
      <c r="W30" s="661"/>
      <c r="X30" s="661"/>
      <c r="Y30" s="661"/>
      <c r="Z30" s="661"/>
      <c r="AA30" s="661"/>
      <c r="AB30" s="661"/>
      <c r="AC30" s="661"/>
    </row>
    <row r="31" spans="1:29" s="293" customFormat="1" ht="16.5" thickBot="1">
      <c r="B31" s="616" t="s">
        <v>25</v>
      </c>
      <c r="C31" s="1267">
        <v>1116441.56</v>
      </c>
      <c r="D31" s="627">
        <v>899584</v>
      </c>
      <c r="E31" s="1267"/>
      <c r="F31" s="1267">
        <v>899584</v>
      </c>
      <c r="G31" s="1267">
        <v>4620962</v>
      </c>
      <c r="H31" s="1267"/>
      <c r="I31" s="1267">
        <v>1149685</v>
      </c>
      <c r="J31" s="627">
        <v>-250101</v>
      </c>
      <c r="K31" s="627"/>
      <c r="L31" s="1267">
        <v>1160554.8399999999</v>
      </c>
      <c r="M31" s="1267"/>
      <c r="N31" s="1267">
        <v>260970.83999999985</v>
      </c>
      <c r="O31" s="661"/>
      <c r="P31" s="1277"/>
      <c r="Q31" s="1277"/>
      <c r="R31" s="344"/>
      <c r="S31" s="344"/>
      <c r="T31" s="1277"/>
      <c r="U31" s="344"/>
      <c r="V31" s="344"/>
      <c r="W31" s="344"/>
      <c r="X31" s="344"/>
      <c r="Y31" s="344"/>
      <c r="Z31" s="344"/>
      <c r="AA31" s="344"/>
      <c r="AB31" s="344"/>
      <c r="AC31" s="344"/>
    </row>
    <row r="32" spans="1:29" s="293" customFormat="1" ht="16.5" thickTop="1">
      <c r="B32" s="1287" t="s">
        <v>58</v>
      </c>
      <c r="C32" s="964"/>
      <c r="D32" s="332"/>
      <c r="E32" s="332"/>
      <c r="F32" s="332"/>
      <c r="G32" s="332"/>
      <c r="H32" s="332"/>
      <c r="I32" s="332"/>
      <c r="J32" s="310"/>
      <c r="K32" s="332"/>
      <c r="L32" s="332"/>
      <c r="M32" s="332"/>
      <c r="N32" s="777"/>
      <c r="O32" s="344"/>
      <c r="P32" s="729"/>
      <c r="Q32" s="729"/>
      <c r="R32" s="344"/>
      <c r="S32" s="344"/>
      <c r="T32" s="1277"/>
      <c r="U32" s="344"/>
      <c r="V32" s="661"/>
      <c r="W32" s="344"/>
      <c r="X32" s="344"/>
      <c r="Y32" s="344"/>
      <c r="Z32" s="344"/>
      <c r="AA32" s="344"/>
      <c r="AB32" s="344"/>
      <c r="AC32" s="344"/>
    </row>
    <row r="33" spans="2:29" s="293" customFormat="1" ht="15.75">
      <c r="B33" s="313"/>
      <c r="C33" s="332"/>
      <c r="D33" s="332"/>
      <c r="E33" s="332"/>
      <c r="F33" s="332"/>
      <c r="G33" s="332"/>
      <c r="H33" s="332"/>
      <c r="I33" s="332"/>
      <c r="J33" s="310"/>
      <c r="K33" s="332"/>
      <c r="L33" s="332"/>
      <c r="M33" s="332"/>
      <c r="N33" s="777"/>
      <c r="O33" s="344"/>
      <c r="P33" s="729"/>
      <c r="Q33" s="729"/>
      <c r="R33" s="344"/>
      <c r="S33" s="344"/>
      <c r="T33" s="1277"/>
      <c r="U33" s="344"/>
      <c r="V33" s="1769"/>
      <c r="W33" s="344"/>
      <c r="X33" s="729"/>
      <c r="Y33" s="1094"/>
      <c r="Z33" s="729"/>
      <c r="AA33" s="729"/>
      <c r="AB33" s="344"/>
      <c r="AC33" s="344"/>
    </row>
    <row r="34" spans="2:29" s="293" customFormat="1" ht="15.75">
      <c r="B34" s="313"/>
      <c r="C34" s="332"/>
      <c r="D34" s="332"/>
      <c r="E34" s="332"/>
      <c r="F34" s="332"/>
      <c r="G34" s="332"/>
      <c r="H34" s="332"/>
      <c r="I34" s="332"/>
      <c r="J34" s="310"/>
      <c r="K34" s="332"/>
      <c r="L34" s="332"/>
      <c r="M34" s="332"/>
      <c r="N34" s="777"/>
      <c r="O34" s="344"/>
      <c r="P34" s="729"/>
      <c r="Q34" s="729"/>
      <c r="R34" s="344"/>
      <c r="S34" s="344"/>
      <c r="T34" s="1277"/>
      <c r="U34" s="344"/>
      <c r="V34" s="1769"/>
      <c r="W34" s="344"/>
      <c r="X34" s="729"/>
      <c r="Y34" s="1094"/>
      <c r="Z34" s="729"/>
      <c r="AA34" s="729"/>
      <c r="AB34" s="344"/>
      <c r="AC34" s="344"/>
    </row>
    <row r="35" spans="2:29" s="293" customFormat="1" ht="15.75">
      <c r="B35" s="313"/>
      <c r="C35" s="332"/>
      <c r="D35" s="332"/>
      <c r="E35" s="332"/>
      <c r="F35" s="332"/>
      <c r="G35" s="332"/>
      <c r="H35" s="332"/>
      <c r="I35" s="332"/>
      <c r="J35" s="310"/>
      <c r="K35" s="332"/>
      <c r="L35" s="332"/>
      <c r="M35" s="332"/>
      <c r="N35" s="777"/>
      <c r="O35" s="344"/>
      <c r="P35" s="729"/>
      <c r="Q35" s="729"/>
      <c r="R35" s="344"/>
      <c r="S35" s="729"/>
      <c r="T35" s="1277"/>
      <c r="U35" s="344"/>
      <c r="V35" s="1769"/>
      <c r="W35" s="344"/>
      <c r="X35" s="729"/>
      <c r="Y35" s="1094"/>
      <c r="Z35" s="729"/>
      <c r="AA35" s="729"/>
      <c r="AB35" s="344"/>
      <c r="AC35" s="344"/>
    </row>
    <row r="36" spans="2:29" s="293" customFormat="1" ht="15.75">
      <c r="B36" s="313"/>
      <c r="C36" s="332"/>
      <c r="D36" s="332"/>
      <c r="E36" s="332"/>
      <c r="F36" s="332"/>
      <c r="G36" s="332"/>
      <c r="H36" s="332"/>
      <c r="I36" s="332"/>
      <c r="J36" s="310"/>
      <c r="K36" s="332"/>
      <c r="L36" s="332"/>
      <c r="M36" s="332"/>
      <c r="N36" s="777"/>
      <c r="O36" s="344"/>
      <c r="P36" s="729"/>
      <c r="Q36" s="729"/>
      <c r="R36" s="344"/>
      <c r="S36" s="729"/>
      <c r="T36" s="1277"/>
      <c r="U36" s="344"/>
      <c r="V36" s="344"/>
      <c r="W36" s="344"/>
      <c r="X36" s="729"/>
      <c r="Y36" s="1094"/>
      <c r="Z36" s="729"/>
      <c r="AA36" s="729"/>
      <c r="AB36" s="344"/>
      <c r="AC36" s="344"/>
    </row>
    <row r="37" spans="2:29" s="293" customFormat="1" ht="15.75">
      <c r="B37" s="313"/>
      <c r="C37" s="332"/>
      <c r="D37" s="332"/>
      <c r="E37" s="332"/>
      <c r="F37" s="332"/>
      <c r="G37" s="332"/>
      <c r="H37" s="332"/>
      <c r="I37" s="332"/>
      <c r="J37" s="310"/>
      <c r="K37" s="332"/>
      <c r="L37" s="332"/>
      <c r="M37" s="332"/>
      <c r="N37" s="777"/>
      <c r="O37" s="344"/>
      <c r="P37" s="729"/>
      <c r="Q37" s="729"/>
      <c r="R37" s="344"/>
      <c r="S37" s="729"/>
      <c r="T37" s="1277"/>
      <c r="U37" s="344"/>
      <c r="V37" s="344"/>
      <c r="W37" s="344"/>
      <c r="X37" s="344"/>
      <c r="Y37" s="344"/>
      <c r="Z37" s="1759"/>
      <c r="AA37" s="1759"/>
      <c r="AB37" s="344"/>
      <c r="AC37" s="344"/>
    </row>
    <row r="38" spans="2:29" s="293" customFormat="1" ht="15.75">
      <c r="B38" s="313"/>
      <c r="C38" s="332"/>
      <c r="D38" s="332"/>
      <c r="E38" s="332"/>
      <c r="F38" s="332"/>
      <c r="G38" s="332"/>
      <c r="H38" s="332"/>
      <c r="I38" s="332"/>
      <c r="J38" s="310"/>
      <c r="K38" s="332"/>
      <c r="L38" s="332"/>
      <c r="M38" s="332"/>
      <c r="N38" s="777"/>
      <c r="O38" s="344"/>
      <c r="P38" s="729"/>
      <c r="Q38" s="729"/>
      <c r="R38" s="729"/>
      <c r="S38" s="729"/>
      <c r="T38" s="1277"/>
      <c r="U38" s="344"/>
      <c r="V38" s="344"/>
      <c r="W38" s="344"/>
      <c r="X38" s="344"/>
      <c r="Y38" s="344"/>
      <c r="Z38" s="344"/>
      <c r="AA38" s="344"/>
      <c r="AB38" s="344"/>
      <c r="AC38" s="344"/>
    </row>
    <row r="39" spans="2:29" s="293" customFormat="1" ht="15.75">
      <c r="B39" s="313"/>
      <c r="C39" s="332"/>
      <c r="D39" s="332"/>
      <c r="E39" s="332"/>
      <c r="F39" s="332"/>
      <c r="G39" s="332"/>
      <c r="H39" s="332"/>
      <c r="I39" s="332"/>
      <c r="J39" s="310"/>
      <c r="K39" s="332"/>
      <c r="L39" s="332"/>
      <c r="M39" s="332"/>
      <c r="N39" s="777"/>
      <c r="O39" s="344"/>
      <c r="P39" s="729"/>
      <c r="Q39" s="729"/>
      <c r="R39" s="729"/>
      <c r="S39" s="729"/>
      <c r="T39" s="1277"/>
      <c r="U39" s="344"/>
      <c r="V39" s="344"/>
      <c r="W39" s="344"/>
      <c r="X39" s="344"/>
      <c r="Y39" s="344"/>
      <c r="Z39" s="344"/>
      <c r="AA39" s="344"/>
      <c r="AB39" s="344"/>
      <c r="AC39" s="344"/>
    </row>
    <row r="40" spans="2:29" s="293" customFormat="1" ht="15.75">
      <c r="B40" s="313"/>
      <c r="C40" s="332"/>
      <c r="D40" s="332"/>
      <c r="E40" s="332"/>
      <c r="F40" s="332"/>
      <c r="G40" s="332"/>
      <c r="H40" s="332"/>
      <c r="I40" s="332"/>
      <c r="J40" s="310"/>
      <c r="K40" s="332"/>
      <c r="L40" s="332"/>
      <c r="M40" s="332"/>
      <c r="N40" s="777"/>
      <c r="O40" s="344"/>
      <c r="P40" s="729"/>
      <c r="Q40" s="729"/>
      <c r="R40" s="729"/>
      <c r="S40" s="729"/>
      <c r="T40" s="1277"/>
      <c r="U40" s="344"/>
      <c r="V40" s="344"/>
      <c r="W40" s="344"/>
      <c r="X40" s="344"/>
      <c r="Y40" s="344"/>
      <c r="Z40" s="344"/>
      <c r="AA40" s="344"/>
      <c r="AB40" s="344"/>
      <c r="AC40" s="344"/>
    </row>
    <row r="41" spans="2:29" s="293" customFormat="1" ht="15.75">
      <c r="B41" s="313"/>
      <c r="C41" s="332"/>
      <c r="D41" s="332"/>
      <c r="E41" s="332"/>
      <c r="F41" s="332"/>
      <c r="G41" s="332"/>
      <c r="H41" s="332"/>
      <c r="I41" s="332"/>
      <c r="J41" s="310"/>
      <c r="K41" s="332"/>
      <c r="L41" s="332"/>
      <c r="M41" s="332"/>
      <c r="N41" s="777"/>
      <c r="O41" s="344"/>
      <c r="P41" s="729"/>
      <c r="Q41" s="729"/>
      <c r="R41" s="729"/>
      <c r="S41" s="729"/>
      <c r="T41" s="1277"/>
      <c r="U41" s="344"/>
      <c r="V41" s="344"/>
      <c r="W41" s="344"/>
      <c r="X41" s="344"/>
      <c r="Y41" s="344"/>
      <c r="Z41" s="344"/>
      <c r="AA41" s="344"/>
      <c r="AB41" s="344"/>
      <c r="AC41" s="344"/>
    </row>
    <row r="42" spans="2:29" s="293" customFormat="1" ht="15.75">
      <c r="B42" s="313"/>
      <c r="C42" s="332"/>
      <c r="D42" s="332"/>
      <c r="E42" s="332"/>
      <c r="F42" s="332"/>
      <c r="G42" s="332"/>
      <c r="H42" s="332"/>
      <c r="I42" s="332"/>
      <c r="J42" s="310"/>
      <c r="K42" s="332"/>
      <c r="L42" s="332"/>
      <c r="M42" s="332"/>
      <c r="N42" s="777"/>
      <c r="O42" s="344"/>
      <c r="P42" s="729"/>
      <c r="Q42" s="729"/>
      <c r="R42" s="729"/>
      <c r="S42" s="729"/>
      <c r="T42" s="1277"/>
      <c r="U42" s="344"/>
      <c r="V42" s="344"/>
      <c r="W42" s="344"/>
      <c r="X42" s="344"/>
      <c r="Y42" s="344"/>
      <c r="Z42" s="344"/>
      <c r="AA42" s="344"/>
      <c r="AB42" s="344"/>
      <c r="AC42" s="344"/>
    </row>
    <row r="43" spans="2:29" s="293" customFormat="1" ht="15.75">
      <c r="B43" s="313"/>
      <c r="C43" s="332"/>
      <c r="D43" s="332"/>
      <c r="E43" s="332"/>
      <c r="F43" s="332"/>
      <c r="G43" s="332"/>
      <c r="H43" s="332"/>
      <c r="I43" s="332"/>
      <c r="J43" s="310"/>
      <c r="K43" s="332"/>
      <c r="L43" s="332"/>
      <c r="M43" s="332"/>
      <c r="N43" s="777"/>
      <c r="O43" s="344"/>
      <c r="P43" s="729"/>
      <c r="Q43" s="729"/>
      <c r="R43" s="1767"/>
      <c r="S43" s="344"/>
      <c r="T43" s="1277"/>
      <c r="U43" s="344"/>
      <c r="V43" s="344"/>
      <c r="W43" s="344"/>
      <c r="X43" s="344"/>
      <c r="Y43" s="344"/>
      <c r="Z43" s="344"/>
      <c r="AA43" s="344"/>
      <c r="AB43" s="344"/>
      <c r="AC43" s="344"/>
    </row>
    <row r="44" spans="2:29" s="293" customFormat="1" ht="15.75">
      <c r="B44" s="313"/>
      <c r="C44" s="332"/>
      <c r="D44" s="332"/>
      <c r="E44" s="332"/>
      <c r="F44" s="332"/>
      <c r="G44" s="332"/>
      <c r="H44" s="332"/>
      <c r="I44" s="332"/>
      <c r="J44" s="310"/>
      <c r="K44" s="332"/>
      <c r="L44" s="332"/>
      <c r="M44" s="332"/>
      <c r="N44" s="777"/>
      <c r="O44" s="344"/>
      <c r="P44" s="729"/>
      <c r="Q44" s="729"/>
      <c r="R44" s="344"/>
      <c r="S44" s="344"/>
      <c r="T44" s="1277"/>
      <c r="U44" s="344"/>
      <c r="V44" s="344"/>
      <c r="W44" s="344"/>
      <c r="X44" s="344"/>
      <c r="Y44" s="344"/>
      <c r="Z44" s="344"/>
      <c r="AA44" s="344"/>
      <c r="AB44" s="344"/>
      <c r="AC44" s="344"/>
    </row>
    <row r="45" spans="2:29" s="293" customFormat="1" ht="15.75">
      <c r="B45" s="313"/>
      <c r="C45" s="332"/>
      <c r="D45" s="332"/>
      <c r="E45" s="332"/>
      <c r="F45" s="332"/>
      <c r="G45" s="332"/>
      <c r="H45" s="332"/>
      <c r="I45" s="332"/>
      <c r="J45" s="310"/>
      <c r="K45" s="332"/>
      <c r="L45" s="332"/>
      <c r="M45" s="332"/>
      <c r="N45" s="777"/>
      <c r="O45" s="344"/>
      <c r="P45" s="729"/>
      <c r="Q45" s="729"/>
      <c r="R45" s="344"/>
      <c r="S45" s="344"/>
      <c r="T45" s="1277"/>
      <c r="U45" s="344"/>
      <c r="V45" s="344"/>
      <c r="W45" s="344"/>
      <c r="X45" s="344"/>
      <c r="Y45" s="344"/>
      <c r="Z45" s="344"/>
      <c r="AA45" s="344"/>
      <c r="AB45" s="344"/>
      <c r="AC45" s="344"/>
    </row>
    <row r="46" spans="2:29" s="293" customFormat="1" ht="15.75">
      <c r="B46" s="313"/>
      <c r="C46" s="332"/>
      <c r="D46" s="332"/>
      <c r="E46" s="332"/>
      <c r="F46" s="332"/>
      <c r="G46" s="332"/>
      <c r="H46" s="332"/>
      <c r="I46" s="332"/>
      <c r="J46" s="310"/>
      <c r="K46" s="332"/>
      <c r="L46" s="332"/>
      <c r="M46" s="332"/>
      <c r="N46" s="777"/>
      <c r="O46" s="344"/>
      <c r="P46" s="729"/>
      <c r="Q46" s="729"/>
      <c r="R46" s="344"/>
      <c r="S46" s="344"/>
      <c r="T46" s="1277"/>
      <c r="U46" s="344"/>
      <c r="V46" s="344"/>
      <c r="W46" s="344"/>
      <c r="X46" s="344"/>
      <c r="Y46" s="344"/>
      <c r="Z46" s="344"/>
      <c r="AA46" s="344"/>
      <c r="AB46" s="344"/>
      <c r="AC46" s="344"/>
    </row>
    <row r="47" spans="2:29" s="293" customFormat="1" ht="15.75">
      <c r="B47" s="313"/>
      <c r="C47" s="332"/>
      <c r="D47" s="332"/>
      <c r="E47" s="332"/>
      <c r="F47" s="332"/>
      <c r="G47" s="332"/>
      <c r="H47" s="332"/>
      <c r="I47" s="332"/>
      <c r="J47" s="310"/>
      <c r="K47" s="332"/>
      <c r="L47" s="332"/>
      <c r="M47" s="332"/>
      <c r="N47" s="777"/>
      <c r="O47" s="344"/>
      <c r="P47" s="729"/>
      <c r="Q47" s="729"/>
      <c r="R47" s="344"/>
      <c r="S47" s="344"/>
      <c r="T47" s="1277"/>
      <c r="U47" s="344"/>
      <c r="V47" s="344"/>
      <c r="W47" s="344"/>
      <c r="X47" s="344"/>
      <c r="Y47" s="344"/>
      <c r="Z47" s="344"/>
      <c r="AA47" s="344"/>
      <c r="AB47" s="344"/>
      <c r="AC47" s="344"/>
    </row>
    <row r="48" spans="2:29" s="293" customFormat="1" ht="15.75">
      <c r="B48" s="313"/>
      <c r="C48" s="332"/>
      <c r="D48" s="332"/>
      <c r="E48" s="332"/>
      <c r="F48" s="332"/>
      <c r="G48" s="332"/>
      <c r="H48" s="332"/>
      <c r="I48" s="332"/>
      <c r="J48" s="310"/>
      <c r="K48" s="332"/>
      <c r="L48" s="332"/>
      <c r="M48" s="332"/>
      <c r="N48" s="777"/>
      <c r="O48" s="344"/>
      <c r="P48" s="729"/>
      <c r="Q48" s="729"/>
      <c r="R48" s="344"/>
      <c r="S48" s="344"/>
      <c r="T48" s="1277"/>
      <c r="U48" s="344"/>
      <c r="V48" s="344"/>
      <c r="W48" s="344"/>
      <c r="X48" s="344"/>
      <c r="Y48" s="344"/>
      <c r="Z48" s="344"/>
      <c r="AA48" s="344"/>
      <c r="AB48" s="344"/>
      <c r="AC48" s="344"/>
    </row>
    <row r="49" spans="2:29" s="293" customFormat="1" ht="15.75">
      <c r="B49" s="313"/>
      <c r="C49" s="332"/>
      <c r="D49" s="332"/>
      <c r="E49" s="332"/>
      <c r="F49" s="332"/>
      <c r="G49" s="332"/>
      <c r="H49" s="332"/>
      <c r="I49" s="332"/>
      <c r="J49" s="310"/>
      <c r="K49" s="332"/>
      <c r="L49" s="332"/>
      <c r="M49" s="332"/>
      <c r="N49" s="777"/>
      <c r="O49" s="344"/>
      <c r="P49" s="729"/>
      <c r="Q49" s="729"/>
      <c r="R49" s="344"/>
      <c r="S49" s="344"/>
      <c r="T49" s="1277"/>
      <c r="U49" s="344"/>
      <c r="V49" s="344"/>
      <c r="W49" s="344"/>
      <c r="X49" s="344"/>
      <c r="Y49" s="344"/>
      <c r="Z49" s="344"/>
      <c r="AA49" s="344"/>
      <c r="AB49" s="344"/>
      <c r="AC49" s="344"/>
    </row>
    <row r="50" spans="2:29" s="293" customFormat="1" ht="15.75">
      <c r="B50" s="313"/>
      <c r="C50" s="332"/>
      <c r="D50" s="332"/>
      <c r="E50" s="332"/>
      <c r="F50" s="332"/>
      <c r="G50" s="332"/>
      <c r="H50" s="332"/>
      <c r="I50" s="332"/>
      <c r="J50" s="310"/>
      <c r="K50" s="332"/>
      <c r="L50" s="332"/>
      <c r="M50" s="332"/>
      <c r="N50" s="777"/>
      <c r="O50" s="344"/>
      <c r="P50" s="729"/>
      <c r="Q50" s="729"/>
      <c r="R50" s="344"/>
      <c r="S50" s="344"/>
      <c r="T50" s="1277"/>
      <c r="U50" s="344"/>
      <c r="V50" s="344"/>
      <c r="W50" s="344"/>
      <c r="X50" s="344"/>
      <c r="Y50" s="344"/>
      <c r="Z50" s="344"/>
      <c r="AA50" s="344"/>
      <c r="AB50" s="344"/>
      <c r="AC50" s="344"/>
    </row>
    <row r="51" spans="2:29" s="293" customFormat="1" ht="15.75">
      <c r="B51" s="313"/>
      <c r="C51" s="332"/>
      <c r="D51" s="332"/>
      <c r="E51" s="332"/>
      <c r="F51" s="332"/>
      <c r="G51" s="332"/>
      <c r="H51" s="332"/>
      <c r="I51" s="332"/>
      <c r="J51" s="310"/>
      <c r="K51" s="332"/>
      <c r="L51" s="332"/>
      <c r="M51" s="332"/>
      <c r="N51" s="777"/>
      <c r="O51" s="344"/>
      <c r="P51" s="729"/>
      <c r="Q51" s="729"/>
      <c r="R51" s="344"/>
      <c r="S51" s="344"/>
      <c r="T51" s="1277"/>
      <c r="U51" s="344"/>
      <c r="V51" s="344"/>
      <c r="W51" s="344"/>
      <c r="X51" s="344"/>
      <c r="Y51" s="344"/>
      <c r="Z51" s="344"/>
      <c r="AA51" s="344"/>
      <c r="AB51" s="344"/>
      <c r="AC51" s="344"/>
    </row>
    <row r="52" spans="2:29" s="293" customFormat="1" ht="15.75">
      <c r="B52" s="313"/>
      <c r="C52" s="332"/>
      <c r="D52" s="332"/>
      <c r="E52" s="332"/>
      <c r="F52" s="332"/>
      <c r="G52" s="332"/>
      <c r="H52" s="332"/>
      <c r="I52" s="332"/>
      <c r="J52" s="310"/>
      <c r="K52" s="332"/>
      <c r="L52" s="332"/>
      <c r="M52" s="332"/>
      <c r="N52" s="777"/>
      <c r="O52" s="344"/>
      <c r="P52" s="729"/>
      <c r="Q52" s="729"/>
      <c r="R52" s="344"/>
      <c r="S52" s="344"/>
      <c r="T52" s="1277"/>
      <c r="U52" s="344"/>
      <c r="V52" s="344"/>
      <c r="W52" s="344"/>
      <c r="X52" s="344"/>
      <c r="Y52" s="344"/>
      <c r="Z52" s="344"/>
      <c r="AA52" s="344"/>
      <c r="AB52" s="344"/>
      <c r="AC52" s="344"/>
    </row>
    <row r="53" spans="2:29" s="293" customFormat="1" ht="15.75">
      <c r="B53" s="313"/>
      <c r="C53" s="332"/>
      <c r="D53" s="332"/>
      <c r="E53" s="332"/>
      <c r="F53" s="332"/>
      <c r="G53" s="332"/>
      <c r="H53" s="332"/>
      <c r="I53" s="332"/>
      <c r="J53" s="310"/>
      <c r="K53" s="332"/>
      <c r="L53" s="332"/>
      <c r="M53" s="332"/>
      <c r="N53" s="777"/>
      <c r="O53" s="344"/>
      <c r="P53" s="729"/>
      <c r="Q53" s="729"/>
      <c r="R53" s="344"/>
      <c r="S53" s="344"/>
      <c r="T53" s="1277"/>
      <c r="U53" s="344"/>
      <c r="V53" s="344"/>
      <c r="W53" s="344"/>
      <c r="X53" s="344"/>
      <c r="Y53" s="344"/>
      <c r="Z53" s="344"/>
      <c r="AA53" s="344"/>
      <c r="AB53" s="344"/>
      <c r="AC53" s="344"/>
    </row>
    <row r="54" spans="2:29" s="293" customFormat="1" ht="15.75">
      <c r="B54" s="313"/>
      <c r="C54" s="332"/>
      <c r="D54" s="332"/>
      <c r="E54" s="332"/>
      <c r="F54" s="332"/>
      <c r="G54" s="332"/>
      <c r="H54" s="332"/>
      <c r="I54" s="332"/>
      <c r="J54" s="310"/>
      <c r="K54" s="332"/>
      <c r="L54" s="332"/>
      <c r="M54" s="332"/>
      <c r="N54" s="777"/>
      <c r="O54" s="344"/>
      <c r="P54" s="729"/>
      <c r="Q54" s="729"/>
      <c r="R54" s="344"/>
      <c r="S54" s="344"/>
      <c r="T54" s="1277"/>
      <c r="U54" s="344"/>
      <c r="V54" s="344"/>
      <c r="W54" s="344"/>
      <c r="X54" s="344"/>
      <c r="Y54" s="344"/>
      <c r="Z54" s="344"/>
      <c r="AA54" s="344"/>
      <c r="AB54" s="344"/>
      <c r="AC54" s="344"/>
    </row>
    <row r="55" spans="2:29" s="293" customFormat="1" ht="15.75">
      <c r="B55" s="313"/>
      <c r="C55" s="332"/>
      <c r="D55" s="332"/>
      <c r="E55" s="332"/>
      <c r="F55" s="332"/>
      <c r="G55" s="332"/>
      <c r="H55" s="332"/>
      <c r="I55" s="332"/>
      <c r="J55" s="310"/>
      <c r="K55" s="332"/>
      <c r="L55" s="332"/>
      <c r="M55" s="332"/>
      <c r="N55" s="777"/>
      <c r="O55" s="344"/>
      <c r="P55" s="729"/>
      <c r="Q55" s="729"/>
      <c r="R55" s="344"/>
      <c r="S55" s="344"/>
      <c r="T55" s="1277"/>
      <c r="U55" s="344"/>
      <c r="V55" s="344"/>
      <c r="W55" s="344"/>
      <c r="X55" s="344"/>
      <c r="Y55" s="344"/>
      <c r="Z55" s="344"/>
      <c r="AA55" s="344"/>
      <c r="AB55" s="344"/>
      <c r="AC55" s="344"/>
    </row>
    <row r="56" spans="2:29" s="293" customFormat="1" ht="15.75">
      <c r="B56" s="313"/>
      <c r="C56" s="332"/>
      <c r="D56" s="332"/>
      <c r="E56" s="332"/>
      <c r="F56" s="332"/>
      <c r="G56" s="332"/>
      <c r="H56" s="332"/>
      <c r="I56" s="332"/>
      <c r="J56" s="310"/>
      <c r="K56" s="332"/>
      <c r="L56" s="332"/>
      <c r="M56" s="332"/>
      <c r="N56" s="777"/>
      <c r="O56" s="344"/>
      <c r="P56" s="729"/>
      <c r="Q56" s="729"/>
      <c r="R56" s="344"/>
      <c r="S56" s="344"/>
      <c r="T56" s="1277"/>
      <c r="U56" s="344"/>
      <c r="V56" s="344"/>
      <c r="W56" s="344"/>
      <c r="X56" s="344"/>
      <c r="Y56" s="344"/>
      <c r="Z56" s="344"/>
      <c r="AA56" s="344"/>
      <c r="AB56" s="344"/>
      <c r="AC56" s="344"/>
    </row>
    <row r="57" spans="2:29" s="293" customFormat="1" ht="15.75">
      <c r="B57" s="313"/>
      <c r="C57" s="332"/>
      <c r="D57" s="332"/>
      <c r="E57" s="332"/>
      <c r="F57" s="332"/>
      <c r="G57" s="332"/>
      <c r="H57" s="332"/>
      <c r="I57" s="332"/>
      <c r="J57" s="310"/>
      <c r="K57" s="332"/>
      <c r="L57" s="332"/>
      <c r="M57" s="332"/>
      <c r="N57" s="777"/>
      <c r="O57" s="344"/>
      <c r="P57" s="729"/>
      <c r="Q57" s="729"/>
      <c r="R57" s="344"/>
      <c r="S57" s="344"/>
      <c r="T57" s="1277"/>
      <c r="U57" s="344"/>
      <c r="V57" s="344"/>
      <c r="W57" s="344"/>
      <c r="X57" s="344"/>
      <c r="Y57" s="344"/>
      <c r="Z57" s="344"/>
      <c r="AA57" s="344"/>
      <c r="AB57" s="344"/>
      <c r="AC57" s="344"/>
    </row>
    <row r="58" spans="2:29" s="293" customFormat="1" ht="15.75">
      <c r="B58" s="313"/>
      <c r="C58" s="332"/>
      <c r="D58" s="332"/>
      <c r="E58" s="332"/>
      <c r="F58" s="332"/>
      <c r="G58" s="332"/>
      <c r="H58" s="332"/>
      <c r="I58" s="332"/>
      <c r="J58" s="310"/>
      <c r="K58" s="332"/>
      <c r="L58" s="332"/>
      <c r="M58" s="332"/>
      <c r="N58" s="777"/>
      <c r="O58" s="344"/>
      <c r="P58" s="729"/>
      <c r="Q58" s="729"/>
      <c r="R58" s="344"/>
      <c r="S58" s="344"/>
      <c r="T58" s="1277"/>
      <c r="U58" s="344"/>
      <c r="V58" s="344"/>
      <c r="W58" s="344"/>
      <c r="X58" s="344"/>
      <c r="Y58" s="344"/>
      <c r="Z58" s="344"/>
      <c r="AA58" s="344"/>
      <c r="AB58" s="344"/>
      <c r="AC58" s="344"/>
    </row>
    <row r="59" spans="2:29" s="293" customFormat="1" ht="15.75">
      <c r="B59" s="313"/>
      <c r="C59" s="332"/>
      <c r="D59" s="332"/>
      <c r="E59" s="332"/>
      <c r="F59" s="332"/>
      <c r="G59" s="332"/>
      <c r="H59" s="332"/>
      <c r="I59" s="332"/>
      <c r="J59" s="310"/>
      <c r="K59" s="332"/>
      <c r="L59" s="332"/>
      <c r="M59" s="332"/>
      <c r="N59" s="777"/>
      <c r="O59" s="344"/>
      <c r="P59" s="729"/>
      <c r="Q59" s="729"/>
      <c r="R59" s="344"/>
      <c r="S59" s="344"/>
      <c r="T59" s="1277"/>
      <c r="U59" s="344"/>
      <c r="V59" s="344"/>
      <c r="W59" s="344"/>
      <c r="X59" s="344"/>
      <c r="Y59" s="344"/>
      <c r="Z59" s="344"/>
      <c r="AA59" s="344"/>
      <c r="AB59" s="344"/>
      <c r="AC59" s="344"/>
    </row>
    <row r="60" spans="2:29" s="293" customFormat="1" ht="15.75">
      <c r="B60" s="313"/>
      <c r="C60" s="332"/>
      <c r="D60" s="332"/>
      <c r="E60" s="332"/>
      <c r="F60" s="332"/>
      <c r="G60" s="332"/>
      <c r="H60" s="332"/>
      <c r="I60" s="332"/>
      <c r="J60" s="310"/>
      <c r="K60" s="332"/>
      <c r="L60" s="332"/>
      <c r="M60" s="332"/>
      <c r="N60" s="777"/>
      <c r="O60" s="344"/>
      <c r="P60" s="729"/>
      <c r="Q60" s="729"/>
      <c r="R60" s="344"/>
      <c r="S60" s="344"/>
      <c r="T60" s="1277"/>
      <c r="U60" s="344"/>
      <c r="V60" s="344"/>
      <c r="W60" s="344"/>
      <c r="X60" s="344"/>
      <c r="Y60" s="344"/>
      <c r="Z60" s="344"/>
      <c r="AA60" s="344"/>
      <c r="AB60" s="344"/>
      <c r="AC60" s="344"/>
    </row>
    <row r="61" spans="2:29" s="293" customFormat="1" ht="15.75">
      <c r="B61" s="313"/>
      <c r="C61" s="332"/>
      <c r="D61" s="332"/>
      <c r="E61" s="332"/>
      <c r="F61" s="332"/>
      <c r="G61" s="332"/>
      <c r="H61" s="332"/>
      <c r="I61" s="332"/>
      <c r="J61" s="310"/>
      <c r="K61" s="332"/>
      <c r="L61" s="332"/>
      <c r="M61" s="332"/>
      <c r="N61" s="777"/>
      <c r="O61" s="344"/>
      <c r="P61" s="729"/>
      <c r="Q61" s="729"/>
      <c r="R61" s="344"/>
      <c r="S61" s="344"/>
      <c r="T61" s="1277"/>
      <c r="U61" s="344"/>
      <c r="V61" s="344"/>
      <c r="W61" s="344"/>
      <c r="X61" s="344"/>
      <c r="Y61" s="344"/>
      <c r="Z61" s="344"/>
      <c r="AA61" s="344"/>
      <c r="AB61" s="344"/>
      <c r="AC61" s="344"/>
    </row>
    <row r="62" spans="2:29" s="293" customFormat="1" ht="15.75">
      <c r="B62" s="313"/>
      <c r="C62" s="332"/>
      <c r="D62" s="332"/>
      <c r="E62" s="332"/>
      <c r="F62" s="332"/>
      <c r="G62" s="332"/>
      <c r="H62" s="332"/>
      <c r="I62" s="332"/>
      <c r="J62" s="310"/>
      <c r="K62" s="332"/>
      <c r="L62" s="332"/>
      <c r="M62" s="332"/>
      <c r="N62" s="777"/>
      <c r="O62" s="344"/>
      <c r="P62" s="729"/>
      <c r="Q62" s="729"/>
      <c r="R62" s="344"/>
      <c r="S62" s="344"/>
      <c r="T62" s="1277"/>
      <c r="U62" s="344"/>
      <c r="V62" s="344"/>
      <c r="W62" s="344"/>
      <c r="X62" s="344"/>
      <c r="Y62" s="344"/>
      <c r="Z62" s="344"/>
      <c r="AA62" s="344"/>
      <c r="AB62" s="344"/>
      <c r="AC62" s="344"/>
    </row>
    <row r="63" spans="2:29" s="293" customFormat="1" ht="15.75">
      <c r="B63" s="313"/>
      <c r="C63" s="332"/>
      <c r="D63" s="332"/>
      <c r="E63" s="332"/>
      <c r="F63" s="332"/>
      <c r="G63" s="332"/>
      <c r="H63" s="332"/>
      <c r="I63" s="332"/>
      <c r="J63" s="310"/>
      <c r="K63" s="332"/>
      <c r="L63" s="332"/>
      <c r="M63" s="332"/>
      <c r="N63" s="777"/>
      <c r="O63" s="344"/>
      <c r="P63" s="729"/>
      <c r="Q63" s="729"/>
      <c r="R63" s="344"/>
      <c r="S63" s="344"/>
      <c r="T63" s="1277"/>
      <c r="U63" s="344"/>
      <c r="V63" s="344"/>
      <c r="W63" s="344"/>
      <c r="X63" s="344"/>
      <c r="Y63" s="344"/>
      <c r="Z63" s="344"/>
      <c r="AA63" s="344"/>
      <c r="AB63" s="344"/>
      <c r="AC63" s="344"/>
    </row>
    <row r="64" spans="2:29" s="293" customFormat="1" ht="15.75">
      <c r="B64" s="313"/>
      <c r="C64" s="332"/>
      <c r="D64" s="332"/>
      <c r="E64" s="332"/>
      <c r="F64" s="332"/>
      <c r="G64" s="332"/>
      <c r="H64" s="332"/>
      <c r="I64" s="332"/>
      <c r="J64" s="310"/>
      <c r="K64" s="332"/>
      <c r="L64" s="332"/>
      <c r="M64" s="332"/>
      <c r="N64" s="777"/>
      <c r="O64" s="344"/>
      <c r="P64" s="729"/>
      <c r="Q64" s="729"/>
      <c r="R64" s="344"/>
      <c r="S64" s="344"/>
      <c r="T64" s="1277"/>
      <c r="U64" s="344"/>
      <c r="V64" s="344"/>
      <c r="W64" s="344"/>
      <c r="X64" s="344"/>
      <c r="Y64" s="344"/>
      <c r="Z64" s="344"/>
      <c r="AA64" s="344"/>
      <c r="AB64" s="344"/>
      <c r="AC64" s="344"/>
    </row>
    <row r="65" spans="2:29" s="293" customFormat="1" ht="15.75">
      <c r="B65" s="313"/>
      <c r="C65" s="332"/>
      <c r="D65" s="332"/>
      <c r="E65" s="332"/>
      <c r="F65" s="332"/>
      <c r="G65" s="332"/>
      <c r="H65" s="332"/>
      <c r="I65" s="332"/>
      <c r="J65" s="310"/>
      <c r="K65" s="332"/>
      <c r="L65" s="332"/>
      <c r="M65" s="332"/>
      <c r="N65" s="777"/>
      <c r="O65" s="344"/>
      <c r="P65" s="729"/>
      <c r="Q65" s="729"/>
      <c r="R65" s="344"/>
      <c r="S65" s="344"/>
      <c r="T65" s="1277"/>
      <c r="U65" s="344"/>
      <c r="V65" s="344"/>
      <c r="W65" s="344"/>
      <c r="X65" s="344"/>
      <c r="Y65" s="344"/>
      <c r="Z65" s="344"/>
      <c r="AA65" s="344"/>
      <c r="AB65" s="344"/>
      <c r="AC65" s="344"/>
    </row>
    <row r="66" spans="2:29" s="293" customFormat="1" ht="15.75">
      <c r="B66" s="313"/>
      <c r="C66" s="332"/>
      <c r="D66" s="332"/>
      <c r="E66" s="332"/>
      <c r="F66" s="332"/>
      <c r="G66" s="332"/>
      <c r="H66" s="332"/>
      <c r="I66" s="332"/>
      <c r="J66" s="310"/>
      <c r="K66" s="332"/>
      <c r="L66" s="332"/>
      <c r="M66" s="332"/>
      <c r="N66" s="777"/>
      <c r="P66" s="723"/>
      <c r="Q66" s="723"/>
      <c r="T66" s="724"/>
    </row>
    <row r="67" spans="2:29" ht="15.75">
      <c r="B67" s="313"/>
      <c r="C67" s="314"/>
      <c r="D67" s="314"/>
      <c r="E67" s="314"/>
      <c r="F67" s="314"/>
      <c r="G67" s="314"/>
      <c r="H67" s="314"/>
      <c r="I67" s="314"/>
      <c r="J67" s="314"/>
      <c r="K67" s="314"/>
      <c r="L67" s="314"/>
      <c r="M67" s="314"/>
      <c r="N67" s="777"/>
      <c r="O67" s="293"/>
      <c r="P67" s="723"/>
      <c r="Q67" s="723"/>
    </row>
    <row r="68" spans="2:29" ht="15.75">
      <c r="B68" s="313"/>
      <c r="C68" s="313"/>
      <c r="D68" s="305"/>
      <c r="E68" s="305"/>
      <c r="F68" s="310"/>
      <c r="G68" s="310"/>
      <c r="H68" s="305"/>
      <c r="I68" s="310"/>
      <c r="J68" s="298"/>
      <c r="K68" s="305"/>
      <c r="L68" s="316"/>
      <c r="M68" s="305"/>
      <c r="N68" s="777"/>
    </row>
    <row r="69" spans="2:29" ht="15.75">
      <c r="B69" s="298"/>
      <c r="C69" s="314"/>
      <c r="D69" s="314"/>
      <c r="E69" s="314"/>
      <c r="F69" s="314"/>
      <c r="G69" s="314"/>
      <c r="H69" s="314"/>
      <c r="I69" s="314"/>
      <c r="J69" s="314"/>
      <c r="K69" s="314"/>
      <c r="L69" s="314"/>
      <c r="M69" s="314"/>
      <c r="N69" s="556"/>
    </row>
    <row r="70" spans="2:29" ht="15.75">
      <c r="B70" s="298"/>
      <c r="C70" s="298"/>
      <c r="D70" s="298"/>
      <c r="E70" s="298"/>
      <c r="F70" s="298"/>
      <c r="G70" s="298"/>
      <c r="H70" s="298"/>
      <c r="I70" s="298"/>
      <c r="J70" s="298"/>
      <c r="K70" s="298"/>
      <c r="L70" s="311"/>
      <c r="M70" s="298"/>
      <c r="N70" s="554"/>
    </row>
    <row r="71" spans="2:29" ht="15.75">
      <c r="B71" s="298"/>
      <c r="C71" s="298"/>
      <c r="D71" s="298"/>
      <c r="E71" s="298"/>
      <c r="F71" s="298"/>
      <c r="G71" s="298"/>
      <c r="H71" s="298"/>
      <c r="I71" s="298"/>
      <c r="J71" s="298"/>
      <c r="K71" s="298"/>
      <c r="L71" s="311"/>
      <c r="M71" s="298"/>
      <c r="N71" s="554"/>
    </row>
    <row r="72" spans="2:29" ht="15.75">
      <c r="B72" s="299"/>
      <c r="C72" s="299"/>
      <c r="D72" s="298"/>
      <c r="E72" s="298"/>
      <c r="F72" s="298"/>
      <c r="G72" s="298"/>
      <c r="H72" s="298"/>
      <c r="I72" s="298"/>
      <c r="J72" s="298"/>
      <c r="K72" s="298"/>
      <c r="L72" s="311"/>
      <c r="M72" s="298"/>
      <c r="N72" s="554"/>
    </row>
    <row r="73" spans="2:29" ht="15.75">
      <c r="B73" s="298"/>
      <c r="C73" s="298"/>
      <c r="D73" s="298"/>
      <c r="E73" s="298"/>
      <c r="F73" s="298"/>
      <c r="G73" s="298"/>
      <c r="H73" s="298"/>
      <c r="I73" s="298"/>
      <c r="J73" s="298"/>
      <c r="K73" s="298"/>
      <c r="L73" s="311"/>
      <c r="M73" s="298"/>
      <c r="N73" s="554"/>
    </row>
    <row r="74" spans="2:29" ht="15.75">
      <c r="B74" s="298"/>
      <c r="C74" s="298"/>
      <c r="D74" s="298"/>
      <c r="E74" s="298"/>
      <c r="F74" s="298"/>
      <c r="G74" s="298"/>
      <c r="H74" s="298"/>
      <c r="I74" s="298"/>
      <c r="J74" s="298"/>
      <c r="K74" s="298"/>
      <c r="L74" s="311"/>
      <c r="M74" s="298"/>
      <c r="N74" s="554"/>
    </row>
    <row r="75" spans="2:29" ht="15.75">
      <c r="B75" s="298"/>
      <c r="C75" s="298"/>
      <c r="D75" s="298"/>
      <c r="E75" s="298"/>
      <c r="F75" s="298"/>
      <c r="G75" s="298"/>
      <c r="H75" s="298"/>
      <c r="I75" s="298"/>
      <c r="J75" s="298"/>
      <c r="K75" s="298"/>
      <c r="L75" s="311"/>
      <c r="M75" s="298"/>
      <c r="N75" s="554"/>
    </row>
    <row r="76" spans="2:29" ht="15.75">
      <c r="B76" s="298"/>
      <c r="C76" s="298"/>
      <c r="D76" s="298"/>
      <c r="E76" s="298"/>
      <c r="F76" s="298"/>
      <c r="G76" s="298"/>
      <c r="H76" s="298"/>
      <c r="I76" s="298"/>
      <c r="J76" s="298"/>
      <c r="K76" s="298"/>
      <c r="L76" s="311"/>
      <c r="M76" s="298"/>
      <c r="N76" s="554"/>
    </row>
    <row r="77" spans="2:29" ht="15.75">
      <c r="B77" s="298"/>
      <c r="C77" s="298"/>
      <c r="D77" s="298"/>
      <c r="E77" s="298"/>
      <c r="F77" s="298"/>
      <c r="G77" s="298"/>
      <c r="H77" s="298"/>
      <c r="I77" s="298"/>
      <c r="J77" s="298"/>
      <c r="K77" s="298"/>
      <c r="L77" s="311"/>
      <c r="M77" s="298"/>
      <c r="N77" s="554"/>
    </row>
    <row r="78" spans="2:29" ht="15.75">
      <c r="B78" s="298"/>
      <c r="C78" s="298"/>
      <c r="D78" s="298"/>
      <c r="E78" s="298"/>
      <c r="F78" s="298"/>
      <c r="G78" s="298"/>
      <c r="H78" s="298"/>
      <c r="I78" s="298"/>
      <c r="J78" s="298"/>
      <c r="K78" s="298"/>
      <c r="L78" s="311"/>
      <c r="M78" s="298"/>
      <c r="N78" s="554"/>
    </row>
    <row r="79" spans="2:29" ht="15.75">
      <c r="B79" s="298"/>
      <c r="C79" s="298"/>
      <c r="D79" s="298"/>
      <c r="E79" s="298"/>
      <c r="F79" s="298"/>
      <c r="G79" s="298"/>
      <c r="H79" s="298"/>
      <c r="I79" s="298"/>
      <c r="J79" s="298"/>
      <c r="K79" s="298"/>
      <c r="L79" s="311"/>
      <c r="M79" s="298"/>
      <c r="N79" s="554"/>
    </row>
    <row r="80" spans="2:29" ht="15.75">
      <c r="B80" s="298"/>
      <c r="C80" s="298"/>
      <c r="D80" s="298"/>
      <c r="E80" s="298"/>
      <c r="F80" s="298"/>
      <c r="G80" s="298"/>
      <c r="H80" s="298"/>
      <c r="I80" s="298"/>
      <c r="J80" s="298"/>
      <c r="K80" s="298"/>
      <c r="L80" s="311"/>
      <c r="M80" s="298"/>
      <c r="N80" s="554"/>
    </row>
    <row r="81" spans="2:14" ht="15.75">
      <c r="B81" s="298"/>
      <c r="C81" s="298"/>
      <c r="D81" s="298"/>
      <c r="E81" s="298"/>
      <c r="F81" s="298"/>
      <c r="G81" s="298"/>
      <c r="H81" s="298"/>
      <c r="I81" s="298"/>
      <c r="J81" s="298"/>
      <c r="K81" s="298"/>
      <c r="L81" s="311"/>
      <c r="M81" s="298"/>
      <c r="N81" s="554"/>
    </row>
    <row r="82" spans="2:14" ht="15.75">
      <c r="B82" s="298"/>
      <c r="C82" s="298"/>
      <c r="D82" s="298"/>
      <c r="E82" s="298"/>
      <c r="F82" s="298"/>
      <c r="G82" s="298"/>
      <c r="H82" s="298"/>
      <c r="I82" s="298"/>
      <c r="J82" s="298"/>
      <c r="K82" s="298"/>
      <c r="L82" s="311"/>
      <c r="M82" s="298"/>
      <c r="N82" s="554"/>
    </row>
    <row r="83" spans="2:14" ht="15.75">
      <c r="B83" s="298"/>
      <c r="C83" s="298"/>
      <c r="D83" s="298"/>
      <c r="E83" s="298"/>
      <c r="F83" s="298"/>
      <c r="G83" s="298"/>
      <c r="H83" s="298"/>
      <c r="I83" s="298"/>
      <c r="J83" s="298"/>
      <c r="K83" s="298"/>
      <c r="L83" s="311"/>
      <c r="M83" s="298"/>
      <c r="N83" s="554"/>
    </row>
    <row r="84" spans="2:14" ht="15.75">
      <c r="B84" s="298"/>
      <c r="C84" s="298"/>
      <c r="D84" s="298"/>
      <c r="E84" s="298"/>
      <c r="F84" s="298"/>
      <c r="G84" s="298"/>
      <c r="H84" s="298"/>
      <c r="I84" s="298"/>
      <c r="J84" s="298"/>
      <c r="K84" s="298"/>
      <c r="L84" s="311"/>
      <c r="M84" s="298"/>
      <c r="N84" s="554"/>
    </row>
    <row r="85" spans="2:14" ht="15.75">
      <c r="B85" s="298"/>
      <c r="C85" s="298"/>
      <c r="D85" s="298"/>
      <c r="E85" s="298"/>
      <c r="F85" s="298"/>
      <c r="G85" s="298"/>
      <c r="H85" s="298"/>
      <c r="I85" s="298"/>
      <c r="J85" s="298"/>
      <c r="K85" s="298"/>
      <c r="L85" s="311"/>
      <c r="M85" s="298"/>
      <c r="N85" s="554"/>
    </row>
    <row r="86" spans="2:14" ht="15.75">
      <c r="B86" s="298"/>
      <c r="C86" s="298"/>
      <c r="D86" s="298"/>
      <c r="E86" s="298"/>
      <c r="F86" s="298"/>
      <c r="G86" s="298"/>
      <c r="H86" s="298"/>
      <c r="I86" s="298"/>
      <c r="J86" s="298"/>
      <c r="K86" s="298"/>
      <c r="L86" s="311"/>
      <c r="M86" s="298"/>
      <c r="N86" s="554"/>
    </row>
    <row r="87" spans="2:14" ht="15.75">
      <c r="B87" s="298"/>
      <c r="C87" s="298"/>
      <c r="D87" s="298"/>
      <c r="E87" s="298"/>
      <c r="F87" s="298"/>
      <c r="G87" s="298"/>
      <c r="H87" s="298"/>
      <c r="I87" s="298"/>
      <c r="J87" s="298"/>
      <c r="K87" s="298"/>
      <c r="L87" s="311"/>
      <c r="M87" s="298"/>
      <c r="N87" s="554"/>
    </row>
    <row r="88" spans="2:14" ht="15.75">
      <c r="B88" s="298"/>
      <c r="C88" s="298"/>
      <c r="D88" s="298"/>
      <c r="E88" s="298"/>
      <c r="F88" s="298"/>
      <c r="G88" s="298"/>
      <c r="H88" s="298"/>
      <c r="I88" s="298"/>
      <c r="J88" s="298"/>
      <c r="K88" s="298"/>
      <c r="L88" s="311"/>
      <c r="M88" s="298"/>
      <c r="N88" s="554"/>
    </row>
    <row r="89" spans="2:14" ht="15.75">
      <c r="B89" s="298"/>
      <c r="C89" s="298"/>
      <c r="D89" s="298"/>
      <c r="E89" s="298"/>
      <c r="F89" s="298"/>
      <c r="G89" s="298"/>
      <c r="H89" s="298"/>
      <c r="I89" s="298"/>
      <c r="J89" s="298"/>
      <c r="K89" s="298"/>
      <c r="L89" s="311"/>
      <c r="M89" s="298"/>
      <c r="N89" s="554"/>
    </row>
    <row r="90" spans="2:14" ht="15.75">
      <c r="B90" s="298"/>
      <c r="C90" s="298"/>
      <c r="D90" s="298"/>
      <c r="E90" s="298"/>
      <c r="F90" s="298"/>
      <c r="G90" s="298"/>
      <c r="H90" s="298"/>
      <c r="I90" s="298"/>
      <c r="J90" s="298"/>
      <c r="K90" s="298"/>
      <c r="L90" s="311"/>
      <c r="M90" s="298"/>
      <c r="N90" s="554"/>
    </row>
    <row r="91" spans="2:14" ht="15.75">
      <c r="B91" s="298"/>
      <c r="C91" s="298"/>
      <c r="D91" s="298"/>
      <c r="E91" s="298"/>
      <c r="F91" s="298"/>
      <c r="G91" s="298"/>
      <c r="H91" s="298"/>
      <c r="I91" s="298"/>
      <c r="J91" s="298"/>
      <c r="K91" s="298"/>
      <c r="L91" s="311"/>
      <c r="M91" s="298"/>
      <c r="N91" s="554"/>
    </row>
    <row r="92" spans="2:14" ht="15.75">
      <c r="B92" s="298"/>
      <c r="C92" s="298"/>
      <c r="D92" s="298"/>
      <c r="E92" s="298"/>
      <c r="F92" s="298"/>
      <c r="G92" s="298"/>
      <c r="H92" s="298"/>
      <c r="I92" s="298"/>
      <c r="J92" s="298"/>
      <c r="K92" s="298"/>
      <c r="L92" s="311"/>
      <c r="M92" s="298"/>
      <c r="N92" s="554"/>
    </row>
    <row r="93" spans="2:14" ht="15.75">
      <c r="B93" s="298"/>
      <c r="C93" s="298"/>
      <c r="D93" s="298"/>
      <c r="E93" s="298"/>
      <c r="F93" s="298"/>
      <c r="G93" s="298"/>
      <c r="H93" s="298"/>
      <c r="I93" s="298"/>
      <c r="J93" s="298"/>
      <c r="K93" s="298"/>
      <c r="L93" s="311"/>
      <c r="M93" s="298"/>
      <c r="N93" s="554"/>
    </row>
    <row r="94" spans="2:14" ht="15.75">
      <c r="B94" s="298"/>
      <c r="C94" s="298"/>
      <c r="D94" s="298"/>
      <c r="E94" s="298"/>
      <c r="F94" s="298"/>
      <c r="G94" s="298"/>
      <c r="H94" s="298"/>
      <c r="I94" s="298"/>
      <c r="J94" s="298"/>
      <c r="K94" s="298"/>
      <c r="L94" s="311"/>
      <c r="M94" s="298"/>
      <c r="N94" s="554"/>
    </row>
    <row r="95" spans="2:14" ht="15.75">
      <c r="B95" s="298"/>
      <c r="C95" s="298"/>
      <c r="D95" s="298"/>
      <c r="E95" s="298"/>
      <c r="F95" s="298"/>
      <c r="G95" s="298"/>
      <c r="H95" s="298"/>
      <c r="I95" s="298"/>
      <c r="J95" s="298"/>
      <c r="K95" s="298"/>
      <c r="L95" s="311"/>
      <c r="M95" s="298"/>
      <c r="N95" s="554"/>
    </row>
    <row r="96" spans="2:14" ht="15.75">
      <c r="B96" s="298"/>
      <c r="C96" s="298"/>
      <c r="D96" s="298"/>
      <c r="E96" s="298"/>
      <c r="F96" s="298"/>
      <c r="G96" s="298"/>
      <c r="H96" s="298"/>
      <c r="I96" s="298"/>
      <c r="J96" s="298"/>
      <c r="K96" s="298"/>
      <c r="L96" s="311"/>
      <c r="M96" s="298"/>
      <c r="N96" s="554"/>
    </row>
    <row r="97" spans="2:14" ht="15.75">
      <c r="B97" s="298"/>
      <c r="C97" s="298"/>
      <c r="D97" s="298"/>
      <c r="E97" s="298"/>
      <c r="F97" s="298"/>
      <c r="G97" s="298"/>
      <c r="H97" s="298"/>
      <c r="I97" s="298"/>
      <c r="J97" s="298"/>
      <c r="K97" s="298"/>
      <c r="L97" s="311"/>
      <c r="M97" s="298"/>
      <c r="N97" s="554"/>
    </row>
    <row r="98" spans="2:14" ht="15.75">
      <c r="B98" s="298"/>
      <c r="C98" s="298"/>
      <c r="D98" s="298"/>
      <c r="E98" s="298"/>
      <c r="F98" s="298"/>
      <c r="G98" s="298"/>
      <c r="H98" s="298"/>
      <c r="I98" s="298"/>
      <c r="J98" s="298"/>
      <c r="K98" s="298"/>
      <c r="L98" s="311"/>
      <c r="M98" s="298"/>
      <c r="N98" s="554"/>
    </row>
    <row r="99" spans="2:14" ht="15.75">
      <c r="B99" s="298"/>
      <c r="C99" s="298"/>
      <c r="D99" s="298"/>
      <c r="E99" s="298"/>
      <c r="F99" s="298"/>
      <c r="G99" s="298"/>
      <c r="H99" s="298"/>
      <c r="I99" s="298"/>
      <c r="J99" s="298"/>
      <c r="K99" s="298"/>
      <c r="L99" s="311"/>
      <c r="M99" s="298"/>
      <c r="N99" s="554"/>
    </row>
    <row r="100" spans="2:14" ht="15.75">
      <c r="B100" s="298"/>
      <c r="C100" s="298"/>
      <c r="D100" s="298"/>
      <c r="E100" s="298"/>
      <c r="F100" s="298"/>
      <c r="G100" s="298"/>
      <c r="H100" s="298"/>
      <c r="I100" s="298"/>
      <c r="J100" s="298"/>
      <c r="K100" s="298"/>
      <c r="L100" s="311"/>
      <c r="M100" s="298"/>
      <c r="N100" s="554"/>
    </row>
    <row r="101" spans="2:14" ht="15.75">
      <c r="B101" s="298"/>
      <c r="C101" s="298"/>
      <c r="D101" s="298"/>
      <c r="E101" s="298"/>
      <c r="F101" s="298"/>
      <c r="G101" s="298"/>
      <c r="H101" s="298"/>
      <c r="I101" s="298"/>
      <c r="J101" s="298"/>
      <c r="K101" s="298"/>
      <c r="L101" s="311"/>
      <c r="M101" s="298"/>
      <c r="N101" s="554"/>
    </row>
    <row r="102" spans="2:14" ht="15.75">
      <c r="B102" s="298"/>
      <c r="C102" s="298"/>
      <c r="D102" s="298"/>
      <c r="E102" s="298"/>
      <c r="F102" s="298"/>
      <c r="G102" s="298"/>
      <c r="H102" s="298"/>
      <c r="I102" s="298"/>
      <c r="J102" s="298"/>
      <c r="K102" s="298"/>
      <c r="L102" s="311"/>
      <c r="M102" s="298"/>
      <c r="N102" s="554"/>
    </row>
    <row r="103" spans="2:14" ht="15.75">
      <c r="B103" s="298"/>
      <c r="C103" s="298"/>
      <c r="D103" s="298"/>
      <c r="E103" s="298"/>
      <c r="F103" s="298"/>
      <c r="G103" s="298"/>
      <c r="H103" s="298"/>
      <c r="I103" s="298"/>
      <c r="J103" s="298"/>
      <c r="K103" s="298"/>
      <c r="L103" s="311"/>
      <c r="M103" s="298"/>
      <c r="N103" s="554"/>
    </row>
    <row r="104" spans="2:14" ht="15.75">
      <c r="B104" s="298"/>
      <c r="C104" s="298"/>
      <c r="D104" s="298"/>
      <c r="E104" s="298"/>
      <c r="F104" s="298"/>
      <c r="G104" s="298"/>
      <c r="H104" s="298"/>
      <c r="I104" s="298"/>
      <c r="J104" s="298"/>
      <c r="K104" s="298"/>
      <c r="L104" s="311"/>
      <c r="M104" s="298"/>
      <c r="N104" s="554"/>
    </row>
    <row r="105" spans="2:14" ht="15.75">
      <c r="B105" s="298"/>
      <c r="C105" s="298"/>
      <c r="D105" s="298"/>
      <c r="E105" s="298"/>
      <c r="F105" s="298"/>
      <c r="G105" s="298"/>
      <c r="H105" s="298"/>
      <c r="I105" s="298"/>
      <c r="J105" s="298"/>
      <c r="K105" s="298"/>
      <c r="L105" s="311"/>
      <c r="M105" s="298"/>
      <c r="N105" s="554"/>
    </row>
    <row r="106" spans="2:14" ht="15.75">
      <c r="B106" s="298"/>
      <c r="C106" s="298"/>
      <c r="D106" s="298"/>
      <c r="E106" s="298"/>
      <c r="F106" s="298"/>
      <c r="G106" s="298"/>
      <c r="H106" s="298"/>
      <c r="I106" s="298"/>
      <c r="J106" s="298"/>
      <c r="K106" s="298"/>
      <c r="L106" s="311"/>
      <c r="M106" s="298"/>
      <c r="N106" s="554"/>
    </row>
    <row r="107" spans="2:14" ht="15.75">
      <c r="B107" s="298"/>
      <c r="C107" s="298"/>
      <c r="D107" s="298"/>
      <c r="E107" s="298"/>
      <c r="F107" s="298"/>
      <c r="G107" s="298"/>
      <c r="H107" s="298"/>
      <c r="I107" s="298"/>
      <c r="J107" s="298"/>
      <c r="K107" s="298"/>
      <c r="L107" s="311"/>
      <c r="M107" s="298"/>
      <c r="N107" s="554"/>
    </row>
    <row r="108" spans="2:14" ht="15.75">
      <c r="B108" s="298"/>
      <c r="C108" s="298"/>
      <c r="D108" s="298"/>
      <c r="E108" s="298"/>
      <c r="F108" s="298"/>
      <c r="G108" s="298"/>
      <c r="H108" s="298"/>
      <c r="I108" s="298"/>
      <c r="J108" s="298"/>
      <c r="K108" s="298"/>
      <c r="L108" s="311"/>
      <c r="M108" s="298"/>
      <c r="N108" s="554"/>
    </row>
    <row r="109" spans="2:14" ht="15.75">
      <c r="B109" s="298"/>
      <c r="C109" s="298"/>
      <c r="D109" s="298"/>
      <c r="E109" s="298"/>
      <c r="F109" s="298"/>
      <c r="G109" s="298"/>
      <c r="H109" s="298"/>
      <c r="I109" s="298"/>
      <c r="J109" s="298"/>
      <c r="K109" s="298"/>
      <c r="L109" s="311"/>
      <c r="M109" s="298"/>
      <c r="N109" s="554"/>
    </row>
    <row r="110" spans="2:14" ht="15.75">
      <c r="B110" s="298"/>
      <c r="C110" s="298"/>
      <c r="D110" s="298"/>
      <c r="E110" s="298"/>
      <c r="F110" s="298"/>
      <c r="G110" s="298"/>
      <c r="H110" s="298"/>
      <c r="I110" s="298"/>
      <c r="J110" s="298"/>
      <c r="K110" s="298"/>
      <c r="L110" s="311"/>
      <c r="M110" s="298"/>
      <c r="N110" s="554"/>
    </row>
    <row r="111" spans="2:14" ht="15.75">
      <c r="B111" s="298"/>
      <c r="C111" s="298"/>
      <c r="D111" s="298"/>
      <c r="E111" s="298"/>
      <c r="F111" s="298"/>
      <c r="G111" s="298"/>
      <c r="H111" s="298"/>
      <c r="I111" s="298"/>
      <c r="J111" s="298"/>
      <c r="K111" s="298"/>
      <c r="L111" s="311"/>
      <c r="M111" s="298"/>
      <c r="N111" s="554"/>
    </row>
    <row r="112" spans="2:14" ht="15.75">
      <c r="B112" s="298"/>
      <c r="C112" s="298"/>
      <c r="D112" s="298"/>
      <c r="E112" s="298"/>
      <c r="F112" s="298"/>
      <c r="G112" s="298"/>
      <c r="H112" s="298"/>
      <c r="I112" s="298"/>
      <c r="J112" s="298"/>
      <c r="K112" s="298"/>
      <c r="L112" s="311"/>
      <c r="M112" s="298"/>
      <c r="N112" s="554"/>
    </row>
    <row r="113" spans="2:14" ht="15.75">
      <c r="B113" s="298"/>
      <c r="C113" s="298"/>
      <c r="D113" s="298"/>
      <c r="E113" s="298"/>
      <c r="F113" s="298"/>
      <c r="G113" s="298"/>
      <c r="H113" s="298"/>
      <c r="I113" s="298"/>
      <c r="J113" s="298"/>
      <c r="K113" s="298"/>
      <c r="L113" s="311"/>
      <c r="M113" s="298"/>
      <c r="N113" s="554"/>
    </row>
    <row r="114" spans="2:14" ht="15.75">
      <c r="B114" s="298"/>
      <c r="C114" s="298"/>
      <c r="D114" s="298"/>
      <c r="E114" s="298"/>
      <c r="F114" s="298"/>
      <c r="G114" s="298"/>
      <c r="H114" s="298"/>
      <c r="I114" s="298"/>
      <c r="J114" s="298"/>
      <c r="K114" s="298"/>
      <c r="L114" s="311"/>
      <c r="M114" s="298"/>
      <c r="N114" s="554"/>
    </row>
    <row r="115" spans="2:14" ht="15.75">
      <c r="B115" s="298"/>
      <c r="C115" s="298"/>
      <c r="D115" s="298"/>
      <c r="E115" s="298"/>
      <c r="F115" s="298"/>
      <c r="G115" s="298"/>
      <c r="H115" s="298"/>
      <c r="I115" s="298"/>
      <c r="J115" s="298"/>
      <c r="K115" s="298"/>
      <c r="L115" s="311"/>
      <c r="M115" s="298"/>
      <c r="N115" s="554"/>
    </row>
    <row r="116" spans="2:14" ht="15.75">
      <c r="B116" s="298"/>
      <c r="C116" s="298"/>
      <c r="D116" s="298"/>
      <c r="E116" s="298"/>
      <c r="F116" s="298"/>
      <c r="G116" s="298"/>
      <c r="H116" s="298"/>
      <c r="I116" s="298"/>
      <c r="J116" s="298"/>
      <c r="K116" s="298"/>
      <c r="L116" s="311"/>
      <c r="M116" s="298"/>
      <c r="N116" s="554"/>
    </row>
    <row r="117" spans="2:14" ht="15.75">
      <c r="B117" s="298"/>
      <c r="C117" s="298"/>
      <c r="D117" s="298"/>
      <c r="E117" s="298"/>
      <c r="F117" s="298"/>
      <c r="G117" s="298"/>
      <c r="H117" s="298"/>
      <c r="I117" s="298"/>
      <c r="J117" s="298"/>
      <c r="K117" s="298"/>
      <c r="L117" s="311"/>
      <c r="M117" s="298"/>
      <c r="N117" s="554"/>
    </row>
    <row r="118" spans="2:14" ht="15.75">
      <c r="B118" s="298"/>
      <c r="C118" s="298"/>
      <c r="D118" s="298"/>
      <c r="E118" s="298"/>
      <c r="F118" s="298"/>
      <c r="G118" s="298"/>
      <c r="H118" s="298"/>
      <c r="I118" s="298"/>
      <c r="J118" s="298"/>
      <c r="K118" s="298"/>
      <c r="L118" s="311"/>
      <c r="M118" s="298"/>
      <c r="N118" s="554"/>
    </row>
    <row r="119" spans="2:14" ht="15.75">
      <c r="B119" s="298"/>
      <c r="C119" s="298"/>
      <c r="D119" s="298"/>
      <c r="E119" s="298"/>
      <c r="F119" s="298"/>
      <c r="G119" s="298"/>
      <c r="H119" s="298"/>
      <c r="I119" s="298"/>
      <c r="J119" s="298"/>
      <c r="K119" s="298"/>
      <c r="L119" s="311"/>
      <c r="M119" s="298"/>
      <c r="N119" s="554"/>
    </row>
    <row r="120" spans="2:14" ht="15.75">
      <c r="B120" s="298"/>
      <c r="C120" s="298"/>
      <c r="D120" s="298"/>
      <c r="E120" s="298"/>
      <c r="F120" s="298"/>
      <c r="G120" s="298"/>
      <c r="H120" s="298"/>
      <c r="I120" s="298"/>
      <c r="J120" s="298"/>
      <c r="K120" s="298"/>
      <c r="L120" s="311"/>
      <c r="M120" s="298"/>
      <c r="N120" s="554"/>
    </row>
    <row r="121" spans="2:14" ht="15.75">
      <c r="B121" s="298"/>
      <c r="C121" s="298"/>
      <c r="D121" s="298"/>
      <c r="E121" s="298"/>
      <c r="F121" s="298"/>
      <c r="G121" s="298"/>
      <c r="H121" s="298"/>
      <c r="I121" s="298"/>
      <c r="J121" s="298"/>
      <c r="K121" s="298"/>
      <c r="L121" s="311"/>
      <c r="M121" s="298"/>
      <c r="N121" s="554"/>
    </row>
    <row r="122" spans="2:14" ht="15.75">
      <c r="B122" s="298"/>
      <c r="C122" s="298"/>
      <c r="D122" s="298"/>
      <c r="E122" s="298"/>
      <c r="F122" s="298"/>
      <c r="G122" s="298"/>
      <c r="H122" s="298"/>
      <c r="I122" s="298"/>
      <c r="J122" s="298"/>
      <c r="K122" s="298"/>
      <c r="L122" s="311"/>
      <c r="M122" s="298"/>
      <c r="N122" s="554"/>
    </row>
    <row r="123" spans="2:14" ht="15.75">
      <c r="B123" s="298"/>
      <c r="C123" s="298"/>
      <c r="D123" s="298"/>
      <c r="E123" s="298"/>
      <c r="F123" s="298"/>
      <c r="G123" s="298"/>
      <c r="H123" s="298"/>
      <c r="I123" s="298"/>
      <c r="J123" s="298"/>
      <c r="K123" s="298"/>
      <c r="L123" s="311"/>
      <c r="M123" s="298"/>
      <c r="N123" s="554"/>
    </row>
  </sheetData>
  <mergeCells count="4">
    <mergeCell ref="B1:N1"/>
    <mergeCell ref="B4:N4"/>
    <mergeCell ref="B3:N3"/>
    <mergeCell ref="P3:AB3"/>
  </mergeCells>
  <printOptions horizontalCentered="1"/>
  <pageMargins left="0.75" right="0.75" top="0.5" bottom="0.5" header="0.5" footer="0.5"/>
  <pageSetup scale="74"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FF00"/>
  </sheetPr>
  <dimension ref="A1:AA118"/>
  <sheetViews>
    <sheetView showGridLines="0" showRuler="0" topLeftCell="B3" zoomScaleNormal="100" zoomScaleSheetLayoutView="130" workbookViewId="0">
      <selection activeCell="L18" sqref="L18"/>
    </sheetView>
  </sheetViews>
  <sheetFormatPr defaultColWidth="6.85546875" defaultRowHeight="15.75"/>
  <cols>
    <col min="1" max="1" width="18.8554687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140625" style="283" bestFit="1" customWidth="1"/>
    <col min="16" max="16" width="13.7109375" style="722" bestFit="1" customWidth="1"/>
    <col min="17" max="17" width="7.5703125" style="283" bestFit="1" customWidth="1"/>
    <col min="18" max="18" width="6.85546875" style="283"/>
    <col min="19" max="19" width="14.42578125" style="723" bestFit="1" customWidth="1"/>
    <col min="20" max="20" width="6.85546875" style="293"/>
    <col min="21" max="21" width="10" style="879" bestFit="1" customWidth="1"/>
    <col min="22" max="27" width="6.85546875" style="293"/>
    <col min="28" max="16384" width="6.85546875" style="283"/>
  </cols>
  <sheetData>
    <row r="1" spans="1:27" ht="23.45" hidden="1" customHeight="1">
      <c r="B1" s="1706" t="s">
        <v>405</v>
      </c>
      <c r="C1" s="1706"/>
      <c r="D1" s="1706"/>
      <c r="E1" s="1706"/>
      <c r="F1" s="1706"/>
      <c r="G1" s="1706"/>
      <c r="H1" s="1706"/>
      <c r="I1" s="1706"/>
      <c r="J1" s="1706"/>
      <c r="K1" s="1706"/>
      <c r="L1" s="1706"/>
      <c r="M1" s="1706"/>
      <c r="N1" s="1710"/>
    </row>
    <row r="2" spans="1:27" ht="18.75" hidden="1">
      <c r="B2" s="284"/>
      <c r="C2" s="285"/>
      <c r="D2" s="285"/>
      <c r="E2" s="285"/>
      <c r="F2" s="285"/>
      <c r="G2" s="285"/>
      <c r="H2" s="285"/>
      <c r="I2" s="285"/>
      <c r="J2" s="285"/>
      <c r="K2" s="285"/>
      <c r="L2" s="285"/>
      <c r="M2" s="285"/>
      <c r="N2" s="285"/>
    </row>
    <row r="3" spans="1:27" ht="35.25">
      <c r="B3" s="1708" t="s">
        <v>858</v>
      </c>
      <c r="C3" s="1708"/>
      <c r="D3" s="1708"/>
      <c r="E3" s="1708"/>
      <c r="F3" s="1708"/>
      <c r="G3" s="1708"/>
      <c r="H3" s="1708"/>
      <c r="I3" s="1708"/>
      <c r="J3" s="1708"/>
      <c r="K3" s="1708"/>
      <c r="L3" s="1708"/>
      <c r="M3" s="1708"/>
      <c r="N3" s="1708"/>
    </row>
    <row r="4" spans="1:27" ht="32.25" customHeight="1" thickBot="1">
      <c r="B4" s="1711"/>
      <c r="C4" s="1711"/>
      <c r="D4" s="1711"/>
      <c r="E4" s="1711"/>
      <c r="F4" s="1711"/>
      <c r="G4" s="1711"/>
      <c r="H4" s="1711"/>
      <c r="I4" s="1711"/>
      <c r="J4" s="1711"/>
      <c r="K4" s="1711"/>
      <c r="L4" s="1711"/>
      <c r="M4" s="1711"/>
      <c r="N4" s="1711"/>
    </row>
    <row r="5" spans="1:27" s="1125" customFormat="1" ht="52.9" customHeight="1" thickBot="1">
      <c r="B5" s="1126"/>
      <c r="C5" s="1127" t="s">
        <v>981</v>
      </c>
      <c r="D5" s="1136" t="s">
        <v>314</v>
      </c>
      <c r="E5" s="1136"/>
      <c r="F5" s="1128" t="s">
        <v>979</v>
      </c>
      <c r="G5" s="1137" t="s">
        <v>407</v>
      </c>
      <c r="H5" s="1136"/>
      <c r="I5" s="1128" t="s">
        <v>980</v>
      </c>
      <c r="J5" s="1138" t="s">
        <v>1</v>
      </c>
      <c r="K5" s="1136"/>
      <c r="L5" s="1141" t="s">
        <v>989</v>
      </c>
      <c r="M5" s="1136"/>
      <c r="N5" s="1129" t="s">
        <v>985</v>
      </c>
      <c r="S5" s="1765"/>
      <c r="T5" s="1766"/>
      <c r="U5" s="1765"/>
      <c r="V5" s="1765"/>
      <c r="W5" s="1765"/>
      <c r="X5" s="1765"/>
      <c r="Y5" s="1765"/>
      <c r="Z5" s="1765"/>
      <c r="AA5" s="1765"/>
    </row>
    <row r="6" spans="1:27">
      <c r="B6" s="288"/>
      <c r="C6" s="288"/>
      <c r="D6" s="289"/>
      <c r="E6" s="289"/>
      <c r="F6" s="288"/>
      <c r="G6" s="288"/>
      <c r="H6" s="289"/>
      <c r="I6" s="288"/>
      <c r="J6" s="290"/>
      <c r="K6" s="289"/>
      <c r="L6" s="291"/>
      <c r="M6" s="289"/>
      <c r="N6" s="291"/>
    </row>
    <row r="7" spans="1:27">
      <c r="B7" s="299" t="s">
        <v>2</v>
      </c>
      <c r="C7" s="299"/>
      <c r="D7" s="300"/>
      <c r="E7" s="300"/>
      <c r="F7" s="300"/>
      <c r="G7" s="301"/>
      <c r="H7" s="300"/>
      <c r="I7" s="301"/>
      <c r="J7" s="300"/>
      <c r="K7" s="300"/>
      <c r="L7" s="302"/>
      <c r="M7" s="300"/>
      <c r="N7" s="302"/>
    </row>
    <row r="8" spans="1:27">
      <c r="A8" s="321" t="s">
        <v>338</v>
      </c>
      <c r="B8" s="305" t="s">
        <v>8</v>
      </c>
      <c r="C8" s="1268">
        <v>649441.93999999994</v>
      </c>
      <c r="D8" s="1243" t="e">
        <v>#N/A</v>
      </c>
      <c r="E8" s="1243"/>
      <c r="F8" s="1268">
        <v>641730</v>
      </c>
      <c r="G8" s="1268">
        <v>521035</v>
      </c>
      <c r="H8" s="1268"/>
      <c r="I8" s="1268">
        <v>677626</v>
      </c>
      <c r="J8" s="1268">
        <v>35896</v>
      </c>
      <c r="K8" s="1268"/>
      <c r="L8" s="1268">
        <v>704082</v>
      </c>
      <c r="M8" s="1268"/>
      <c r="N8" s="1268">
        <v>62352</v>
      </c>
      <c r="O8" s="336" t="s">
        <v>801</v>
      </c>
      <c r="P8" s="726">
        <v>453075</v>
      </c>
      <c r="Q8" s="966">
        <v>0.41</v>
      </c>
    </row>
    <row r="9" spans="1:27">
      <c r="B9" s="298" t="s">
        <v>319</v>
      </c>
      <c r="C9" s="549">
        <v>0</v>
      </c>
      <c r="D9" s="306">
        <v>194073</v>
      </c>
      <c r="E9" s="306"/>
      <c r="F9" s="549">
        <v>56376</v>
      </c>
      <c r="G9" s="304">
        <v>56376</v>
      </c>
      <c r="H9" s="306"/>
      <c r="I9" s="1240">
        <v>74179</v>
      </c>
      <c r="J9" s="300"/>
      <c r="K9" s="306"/>
      <c r="L9" s="1240">
        <v>0</v>
      </c>
      <c r="M9" s="306"/>
      <c r="N9" s="1155">
        <v>-56376</v>
      </c>
      <c r="O9" s="336" t="s">
        <v>14</v>
      </c>
      <c r="P9" s="726">
        <v>246032</v>
      </c>
      <c r="Q9" s="966">
        <v>0.223</v>
      </c>
      <c r="S9" s="724"/>
    </row>
    <row r="10" spans="1:27" s="292" customFormat="1">
      <c r="B10" s="307" t="s">
        <v>9</v>
      </c>
      <c r="C10" s="308">
        <v>649441.93999999994</v>
      </c>
      <c r="D10" s="308" t="e">
        <v>#N/A</v>
      </c>
      <c r="E10" s="308"/>
      <c r="F10" s="308">
        <v>698106</v>
      </c>
      <c r="G10" s="308">
        <v>577411</v>
      </c>
      <c r="H10" s="308"/>
      <c r="I10" s="308">
        <v>751805</v>
      </c>
      <c r="J10" s="308">
        <v>35896</v>
      </c>
      <c r="K10" s="308"/>
      <c r="L10" s="308">
        <v>704082</v>
      </c>
      <c r="M10" s="308"/>
      <c r="N10" s="1153">
        <v>5976</v>
      </c>
      <c r="O10" s="336" t="s">
        <v>38</v>
      </c>
      <c r="P10" s="726">
        <v>0</v>
      </c>
      <c r="Q10" s="966">
        <v>0</v>
      </c>
      <c r="S10" s="724"/>
      <c r="T10" s="625"/>
      <c r="U10" s="660"/>
      <c r="V10" s="625"/>
      <c r="W10" s="625"/>
      <c r="X10" s="625"/>
      <c r="Y10" s="625"/>
      <c r="Z10" s="625"/>
      <c r="AA10" s="625"/>
    </row>
    <row r="11" spans="1:27" s="293" customFormat="1">
      <c r="B11" s="310"/>
      <c r="C11" s="310"/>
      <c r="D11" s="304"/>
      <c r="E11" s="304"/>
      <c r="F11" s="304"/>
      <c r="G11" s="304"/>
      <c r="H11" s="304"/>
      <c r="I11" s="304"/>
      <c r="J11" s="304"/>
      <c r="K11" s="304"/>
      <c r="L11" s="304"/>
      <c r="M11" s="304"/>
      <c r="N11" s="1154"/>
      <c r="O11" s="346" t="s">
        <v>23</v>
      </c>
      <c r="P11" s="727">
        <v>404874</v>
      </c>
      <c r="Q11" s="966">
        <v>0.36699999999999999</v>
      </c>
      <c r="R11" s="344"/>
      <c r="S11" s="729"/>
      <c r="U11" s="879"/>
    </row>
    <row r="12" spans="1:27" s="293" customFormat="1" ht="16.5" thickBot="1">
      <c r="B12" s="313" t="s">
        <v>320</v>
      </c>
      <c r="C12" s="313"/>
      <c r="D12" s="306"/>
      <c r="E12" s="306"/>
      <c r="F12" s="304"/>
      <c r="G12" s="304"/>
      <c r="H12" s="306"/>
      <c r="I12" s="304"/>
      <c r="J12" s="304"/>
      <c r="K12" s="306"/>
      <c r="L12" s="306"/>
      <c r="M12" s="306"/>
      <c r="N12" s="1155"/>
      <c r="O12" s="350" t="s">
        <v>25</v>
      </c>
      <c r="P12" s="728">
        <v>1103981</v>
      </c>
      <c r="Q12" s="668">
        <v>1</v>
      </c>
      <c r="R12" s="344"/>
      <c r="S12" s="729"/>
      <c r="U12" s="879"/>
    </row>
    <row r="13" spans="1:27" s="293" customFormat="1" ht="16.5" thickTop="1">
      <c r="B13" s="311" t="s">
        <v>327</v>
      </c>
      <c r="C13" s="549">
        <v>152205.56000000006</v>
      </c>
      <c r="D13" s="306">
        <v>0</v>
      </c>
      <c r="E13" s="306"/>
      <c r="F13" s="552">
        <v>417702</v>
      </c>
      <c r="G13" s="304">
        <v>417702</v>
      </c>
      <c r="H13" s="306"/>
      <c r="I13" s="304">
        <v>399899</v>
      </c>
      <c r="J13" s="302">
        <v>-17803</v>
      </c>
      <c r="K13" s="306"/>
      <c r="L13" s="558">
        <v>399899</v>
      </c>
      <c r="M13" s="306"/>
      <c r="N13" s="1155">
        <v>-17803</v>
      </c>
      <c r="O13" s="346"/>
      <c r="P13" s="727"/>
      <c r="Q13" s="348"/>
      <c r="S13" s="724"/>
      <c r="U13" s="879"/>
    </row>
    <row r="14" spans="1:27" s="293" customFormat="1">
      <c r="B14" s="622" t="s">
        <v>20</v>
      </c>
      <c r="C14" s="534">
        <v>152205.56000000006</v>
      </c>
      <c r="D14" s="308">
        <v>0</v>
      </c>
      <c r="E14" s="308"/>
      <c r="F14" s="553">
        <v>417702</v>
      </c>
      <c r="G14" s="308">
        <v>417702</v>
      </c>
      <c r="H14" s="308"/>
      <c r="I14" s="308">
        <v>399899</v>
      </c>
      <c r="J14" s="1064">
        <v>-17803</v>
      </c>
      <c r="K14" s="308"/>
      <c r="L14" s="560">
        <v>399899</v>
      </c>
      <c r="M14" s="308"/>
      <c r="N14" s="1153">
        <v>-17803</v>
      </c>
      <c r="O14" s="341" t="s">
        <v>8</v>
      </c>
      <c r="P14" s="727">
        <v>704082</v>
      </c>
      <c r="Q14" s="608">
        <v>0.63800000000000001</v>
      </c>
      <c r="S14" s="723"/>
      <c r="U14" s="660"/>
    </row>
    <row r="15" spans="1:27" s="293" customFormat="1" ht="16.5" thickBot="1">
      <c r="B15" s="616" t="s">
        <v>21</v>
      </c>
      <c r="C15" s="647">
        <v>801647.5</v>
      </c>
      <c r="D15" s="647" t="e">
        <v>#N/A</v>
      </c>
      <c r="E15" s="647"/>
      <c r="F15" s="647">
        <v>1115808</v>
      </c>
      <c r="G15" s="647">
        <v>995113</v>
      </c>
      <c r="H15" s="647"/>
      <c r="I15" s="647">
        <v>1151704</v>
      </c>
      <c r="J15" s="648">
        <v>35896</v>
      </c>
      <c r="K15" s="647"/>
      <c r="L15" s="647">
        <v>1103981</v>
      </c>
      <c r="M15" s="647"/>
      <c r="N15" s="1158">
        <v>-11827</v>
      </c>
      <c r="O15" s="341" t="s">
        <v>319</v>
      </c>
      <c r="P15" s="727">
        <v>0</v>
      </c>
      <c r="Q15" s="608">
        <v>0</v>
      </c>
      <c r="S15" s="723"/>
      <c r="U15" s="660"/>
      <c r="V15" s="660"/>
      <c r="W15" s="660"/>
    </row>
    <row r="16" spans="1:27" s="293" customFormat="1" ht="16.5" thickTop="1">
      <c r="B16" s="316"/>
      <c r="C16" s="316"/>
      <c r="D16" s="304"/>
      <c r="E16" s="304"/>
      <c r="F16" s="304"/>
      <c r="G16" s="304"/>
      <c r="H16" s="304"/>
      <c r="I16" s="304"/>
      <c r="J16" s="304"/>
      <c r="K16" s="304"/>
      <c r="L16" s="304"/>
      <c r="M16" s="304"/>
      <c r="N16" s="1154"/>
      <c r="O16" s="341" t="s">
        <v>19</v>
      </c>
      <c r="P16" s="727">
        <v>399899</v>
      </c>
      <c r="Q16" s="608">
        <v>0.36199999999999999</v>
      </c>
      <c r="S16" s="723"/>
      <c r="U16" s="879"/>
    </row>
    <row r="17" spans="1:23" s="293" customFormat="1" ht="16.5" thickBot="1">
      <c r="B17" s="349" t="s">
        <v>10</v>
      </c>
      <c r="C17" s="349"/>
      <c r="D17" s="302"/>
      <c r="E17" s="302"/>
      <c r="F17" s="304"/>
      <c r="G17" s="304"/>
      <c r="H17" s="302"/>
      <c r="I17" s="304"/>
      <c r="J17" s="302"/>
      <c r="K17" s="302"/>
      <c r="L17" s="302"/>
      <c r="M17" s="302"/>
      <c r="N17" s="1159"/>
      <c r="O17" s="340" t="s">
        <v>21</v>
      </c>
      <c r="P17" s="728">
        <v>1103981</v>
      </c>
      <c r="Q17" s="668">
        <v>1</v>
      </c>
      <c r="S17" s="723"/>
      <c r="U17" s="879"/>
    </row>
    <row r="18" spans="1:23" s="293" customFormat="1" ht="21.75" thickTop="1">
      <c r="A18" s="621" t="s">
        <v>342</v>
      </c>
      <c r="B18" s="316" t="s">
        <v>801</v>
      </c>
      <c r="C18" s="303">
        <v>196399.5</v>
      </c>
      <c r="D18" s="303" t="e">
        <v>#N/A</v>
      </c>
      <c r="E18" s="303"/>
      <c r="F18" s="303">
        <v>453158</v>
      </c>
      <c r="G18" s="304">
        <v>521035</v>
      </c>
      <c r="H18" s="303"/>
      <c r="I18" s="303">
        <v>506829</v>
      </c>
      <c r="J18" s="300">
        <v>53671</v>
      </c>
      <c r="K18" s="303"/>
      <c r="L18" s="303">
        <v>453075</v>
      </c>
      <c r="M18" s="303"/>
      <c r="N18" s="1160">
        <v>-83</v>
      </c>
      <c r="O18" s="341"/>
      <c r="P18" s="727"/>
      <c r="Q18" s="348"/>
      <c r="R18" s="344"/>
      <c r="S18" s="729"/>
      <c r="U18" s="879"/>
    </row>
    <row r="19" spans="1:23" s="293" customFormat="1">
      <c r="A19" s="621" t="s">
        <v>343</v>
      </c>
      <c r="B19" s="316" t="s">
        <v>14</v>
      </c>
      <c r="C19" s="303">
        <v>131170</v>
      </c>
      <c r="D19" s="303" t="e">
        <v>#N/A</v>
      </c>
      <c r="E19" s="303"/>
      <c r="F19" s="303">
        <v>244948</v>
      </c>
      <c r="G19" s="304">
        <v>521035</v>
      </c>
      <c r="H19" s="303"/>
      <c r="I19" s="303">
        <v>244976</v>
      </c>
      <c r="J19" s="300">
        <v>28</v>
      </c>
      <c r="K19" s="303"/>
      <c r="L19" s="303">
        <v>246032</v>
      </c>
      <c r="M19" s="303"/>
      <c r="N19" s="1160">
        <v>1084</v>
      </c>
      <c r="O19" s="344"/>
      <c r="P19" s="729"/>
      <c r="Q19" s="344"/>
      <c r="R19" s="344"/>
      <c r="U19" s="879"/>
    </row>
    <row r="20" spans="1:23" s="293" customFormat="1" hidden="1">
      <c r="A20" s="621" t="s">
        <v>346</v>
      </c>
      <c r="B20" s="316" t="s">
        <v>38</v>
      </c>
      <c r="C20" s="517">
        <v>0</v>
      </c>
      <c r="D20" s="303" t="e">
        <v>#N/A</v>
      </c>
      <c r="E20" s="303"/>
      <c r="F20" s="517">
        <v>0</v>
      </c>
      <c r="G20" s="539">
        <v>521035</v>
      </c>
      <c r="H20" s="517"/>
      <c r="I20" s="517">
        <v>0</v>
      </c>
      <c r="J20" s="543">
        <v>0</v>
      </c>
      <c r="K20" s="517"/>
      <c r="L20" s="517">
        <v>0</v>
      </c>
      <c r="M20" s="303"/>
      <c r="N20" s="517">
        <v>0</v>
      </c>
      <c r="S20" s="723"/>
      <c r="U20" s="879"/>
    </row>
    <row r="21" spans="1:23" s="293" customFormat="1">
      <c r="B21" s="622" t="s">
        <v>22</v>
      </c>
      <c r="C21" s="308">
        <v>327569.5</v>
      </c>
      <c r="D21" s="308" t="e">
        <v>#N/A</v>
      </c>
      <c r="E21" s="308"/>
      <c r="F21" s="308">
        <v>698106</v>
      </c>
      <c r="G21" s="308">
        <v>1563105</v>
      </c>
      <c r="H21" s="308"/>
      <c r="I21" s="308">
        <v>751805</v>
      </c>
      <c r="J21" s="308">
        <v>53699</v>
      </c>
      <c r="K21" s="308"/>
      <c r="L21" s="308">
        <v>699107</v>
      </c>
      <c r="M21" s="308"/>
      <c r="N21" s="1153">
        <v>1001</v>
      </c>
      <c r="O21" s="723" t="s">
        <v>58</v>
      </c>
      <c r="P21" s="723"/>
      <c r="S21" s="723"/>
      <c r="U21" s="660"/>
    </row>
    <row r="22" spans="1:23" s="293" customFormat="1">
      <c r="B22" s="311"/>
      <c r="C22" s="311"/>
      <c r="D22" s="304"/>
      <c r="E22" s="304"/>
      <c r="F22" s="304"/>
      <c r="G22" s="304"/>
      <c r="H22" s="304"/>
      <c r="I22" s="304"/>
      <c r="J22" s="304"/>
      <c r="K22" s="304"/>
      <c r="L22" s="304"/>
      <c r="M22" s="304"/>
      <c r="N22" s="1154"/>
      <c r="P22" s="723"/>
      <c r="S22" s="723"/>
      <c r="U22" s="879"/>
    </row>
    <row r="23" spans="1:23" s="293" customFormat="1">
      <c r="B23" s="313" t="s">
        <v>321</v>
      </c>
      <c r="C23" s="313"/>
      <c r="D23" s="311"/>
      <c r="E23" s="311"/>
      <c r="F23" s="311"/>
      <c r="G23" s="311"/>
      <c r="H23" s="311"/>
      <c r="I23" s="311"/>
      <c r="J23" s="311"/>
      <c r="K23" s="311"/>
      <c r="L23" s="311"/>
      <c r="M23" s="311"/>
      <c r="N23" s="1159"/>
      <c r="P23" s="723"/>
      <c r="S23" s="723"/>
      <c r="U23" s="879"/>
    </row>
    <row r="24" spans="1:23" s="293" customFormat="1" hidden="1">
      <c r="B24" s="316" t="s">
        <v>322</v>
      </c>
      <c r="C24" s="517">
        <v>0</v>
      </c>
      <c r="D24" s="304">
        <v>0</v>
      </c>
      <c r="E24" s="304"/>
      <c r="F24" s="517">
        <v>0</v>
      </c>
      <c r="G24" s="539">
        <v>0</v>
      </c>
      <c r="H24" s="539"/>
      <c r="I24" s="517">
        <v>0</v>
      </c>
      <c r="J24" s="540">
        <v>0</v>
      </c>
      <c r="K24" s="539"/>
      <c r="L24" s="517">
        <v>0</v>
      </c>
      <c r="M24" s="539"/>
      <c r="N24" s="1161">
        <v>0</v>
      </c>
      <c r="P24" s="723"/>
      <c r="U24" s="879"/>
    </row>
    <row r="25" spans="1:23" s="293" customFormat="1">
      <c r="B25" s="316" t="s">
        <v>31</v>
      </c>
      <c r="C25" s="1243">
        <v>474078</v>
      </c>
      <c r="D25" s="304"/>
      <c r="E25" s="304"/>
      <c r="F25" s="559">
        <v>417702</v>
      </c>
      <c r="G25" s="304">
        <v>128896</v>
      </c>
      <c r="H25" s="304"/>
      <c r="I25" s="559">
        <v>399899</v>
      </c>
      <c r="J25" s="302"/>
      <c r="K25" s="304"/>
      <c r="L25" s="559">
        <v>404874</v>
      </c>
      <c r="M25" s="304"/>
      <c r="N25" s="1154">
        <v>-12828</v>
      </c>
      <c r="P25" s="723"/>
      <c r="S25" s="724"/>
    </row>
    <row r="26" spans="1:23" s="625" customFormat="1">
      <c r="B26" s="1246" t="s">
        <v>323</v>
      </c>
      <c r="C26" s="560">
        <v>474078</v>
      </c>
      <c r="D26" s="308">
        <v>0</v>
      </c>
      <c r="E26" s="308"/>
      <c r="F26" s="560">
        <v>417702</v>
      </c>
      <c r="G26" s="308">
        <v>128896</v>
      </c>
      <c r="H26" s="308"/>
      <c r="I26" s="308">
        <v>399899</v>
      </c>
      <c r="J26" s="308">
        <v>0</v>
      </c>
      <c r="K26" s="308"/>
      <c r="L26" s="560">
        <v>404874</v>
      </c>
      <c r="M26" s="308"/>
      <c r="N26" s="1153">
        <v>-12828</v>
      </c>
      <c r="P26" s="724"/>
      <c r="S26" s="724"/>
      <c r="U26" s="660"/>
      <c r="V26" s="293"/>
      <c r="W26" s="293"/>
    </row>
    <row r="27" spans="1:23" s="293" customFormat="1" ht="16.5" thickBot="1">
      <c r="B27" s="616" t="s">
        <v>25</v>
      </c>
      <c r="C27" s="1267">
        <v>801647.5</v>
      </c>
      <c r="D27" s="627" t="e">
        <v>#N/A</v>
      </c>
      <c r="E27" s="1267"/>
      <c r="F27" s="1267">
        <v>1115808</v>
      </c>
      <c r="G27" s="1267">
        <v>1692001</v>
      </c>
      <c r="H27" s="1267"/>
      <c r="I27" s="1267">
        <v>1151704</v>
      </c>
      <c r="J27" s="627">
        <v>-35896</v>
      </c>
      <c r="K27" s="627"/>
      <c r="L27" s="1267">
        <v>1103981</v>
      </c>
      <c r="M27" s="1267"/>
      <c r="N27" s="1267">
        <v>-11827</v>
      </c>
      <c r="P27" s="723"/>
      <c r="S27" s="723"/>
      <c r="U27" s="660"/>
      <c r="V27" s="660"/>
      <c r="W27" s="660"/>
    </row>
    <row r="28" spans="1:23" s="293" customFormat="1" ht="16.5" thickTop="1">
      <c r="B28" s="313"/>
      <c r="C28" s="310"/>
      <c r="D28" s="332"/>
      <c r="E28" s="332"/>
      <c r="F28" s="332"/>
      <c r="G28" s="332"/>
      <c r="H28" s="332"/>
      <c r="I28" s="332"/>
      <c r="J28" s="310"/>
      <c r="K28" s="332"/>
      <c r="L28" s="332"/>
      <c r="M28" s="332"/>
      <c r="N28" s="605"/>
      <c r="P28" s="723"/>
      <c r="S28" s="723"/>
      <c r="U28" s="879"/>
    </row>
    <row r="32" spans="1:23" s="293" customFormat="1">
      <c r="B32" s="313"/>
      <c r="C32" s="310"/>
      <c r="D32" s="332"/>
      <c r="E32" s="332"/>
      <c r="F32" s="332"/>
      <c r="G32" s="332"/>
      <c r="H32" s="332"/>
      <c r="I32" s="332"/>
      <c r="J32" s="310"/>
      <c r="K32" s="332"/>
      <c r="L32" s="332" t="s">
        <v>58</v>
      </c>
      <c r="M32" s="332"/>
      <c r="N32" s="605"/>
      <c r="P32" s="723"/>
      <c r="S32" s="723"/>
      <c r="U32" s="879"/>
    </row>
    <row r="33" spans="2:21" s="293" customFormat="1">
      <c r="B33" s="313"/>
      <c r="C33" s="310"/>
      <c r="D33" s="332"/>
      <c r="E33" s="332"/>
      <c r="F33" s="332"/>
      <c r="G33" s="332"/>
      <c r="H33" s="332"/>
      <c r="I33" s="332"/>
      <c r="J33" s="310"/>
      <c r="K33" s="332"/>
      <c r="L33" s="332"/>
      <c r="M33" s="332"/>
      <c r="N33" s="605"/>
      <c r="P33" s="723"/>
      <c r="S33" s="723"/>
      <c r="U33" s="879"/>
    </row>
    <row r="34" spans="2:21" s="293" customFormat="1">
      <c r="B34" s="313"/>
      <c r="C34" s="310"/>
      <c r="D34" s="332"/>
      <c r="E34" s="332"/>
      <c r="F34" s="332"/>
      <c r="G34" s="332"/>
      <c r="H34" s="332"/>
      <c r="I34" s="332"/>
      <c r="J34" s="310"/>
      <c r="K34" s="332"/>
      <c r="L34" s="332"/>
      <c r="M34" s="332"/>
      <c r="N34" s="605"/>
      <c r="P34" s="723"/>
      <c r="S34" s="723"/>
      <c r="U34" s="879"/>
    </row>
    <row r="35" spans="2:21" s="293" customFormat="1">
      <c r="B35" s="313"/>
      <c r="C35" s="310"/>
      <c r="D35" s="332"/>
      <c r="E35" s="332"/>
      <c r="F35" s="332"/>
      <c r="G35" s="332"/>
      <c r="H35" s="332"/>
      <c r="I35" s="332"/>
      <c r="J35" s="310"/>
      <c r="K35" s="332"/>
      <c r="L35" s="332"/>
      <c r="M35" s="332"/>
      <c r="N35" s="605"/>
      <c r="P35" s="723"/>
      <c r="S35" s="723"/>
      <c r="U35" s="879"/>
    </row>
    <row r="36" spans="2:21" s="293" customFormat="1">
      <c r="B36" s="313"/>
      <c r="C36" s="310"/>
      <c r="D36" s="332"/>
      <c r="E36" s="332"/>
      <c r="F36" s="332"/>
      <c r="G36" s="332"/>
      <c r="H36" s="332"/>
      <c r="I36" s="332"/>
      <c r="J36" s="310"/>
      <c r="K36" s="332"/>
      <c r="L36" s="332"/>
      <c r="M36" s="332"/>
      <c r="N36" s="332"/>
      <c r="P36" s="723"/>
      <c r="S36" s="723"/>
      <c r="U36" s="879"/>
    </row>
    <row r="37" spans="2:21" s="293" customFormat="1">
      <c r="B37" s="313"/>
      <c r="C37" s="310"/>
      <c r="D37" s="332"/>
      <c r="E37" s="332"/>
      <c r="F37" s="332"/>
      <c r="G37" s="332"/>
      <c r="H37" s="332"/>
      <c r="I37" s="332"/>
      <c r="J37" s="310"/>
      <c r="K37" s="332"/>
      <c r="L37" s="332"/>
      <c r="M37" s="332"/>
      <c r="N37" s="332"/>
      <c r="P37" s="723"/>
      <c r="S37" s="723"/>
      <c r="U37" s="879"/>
    </row>
    <row r="38" spans="2:21" s="293" customFormat="1">
      <c r="B38" s="313"/>
      <c r="C38" s="310"/>
      <c r="D38" s="332"/>
      <c r="E38" s="332"/>
      <c r="F38" s="332"/>
      <c r="G38" s="332"/>
      <c r="H38" s="332"/>
      <c r="I38" s="332"/>
      <c r="J38" s="310"/>
      <c r="K38" s="332"/>
      <c r="L38" s="332"/>
      <c r="M38" s="332"/>
      <c r="N38" s="332"/>
      <c r="P38" s="723"/>
      <c r="S38" s="723"/>
      <c r="U38" s="879"/>
    </row>
    <row r="39" spans="2:21" s="293" customFormat="1">
      <c r="B39" s="313"/>
      <c r="C39" s="310"/>
      <c r="D39" s="332"/>
      <c r="E39" s="332"/>
      <c r="F39" s="332"/>
      <c r="G39" s="332"/>
      <c r="H39" s="332"/>
      <c r="I39" s="332"/>
      <c r="J39" s="310"/>
      <c r="K39" s="332"/>
      <c r="L39" s="332"/>
      <c r="M39" s="332"/>
      <c r="N39" s="332"/>
      <c r="P39" s="723"/>
      <c r="Q39" s="344"/>
      <c r="R39" s="344"/>
      <c r="S39" s="729"/>
      <c r="U39" s="879"/>
    </row>
    <row r="40" spans="2:21" s="293" customFormat="1">
      <c r="B40" s="313"/>
      <c r="C40" s="310"/>
      <c r="D40" s="332"/>
      <c r="E40" s="332"/>
      <c r="F40" s="332"/>
      <c r="G40" s="332"/>
      <c r="H40" s="332"/>
      <c r="I40" s="332"/>
      <c r="J40" s="310"/>
      <c r="K40" s="332"/>
      <c r="L40" s="332"/>
      <c r="M40" s="332"/>
      <c r="N40" s="332"/>
      <c r="P40" s="723"/>
      <c r="Q40" s="729"/>
      <c r="R40" s="344"/>
      <c r="S40" s="729"/>
      <c r="U40" s="879"/>
    </row>
    <row r="41" spans="2:21" s="293" customFormat="1">
      <c r="B41" s="313"/>
      <c r="C41" s="310"/>
      <c r="D41" s="332"/>
      <c r="E41" s="332"/>
      <c r="F41" s="332"/>
      <c r="G41" s="332"/>
      <c r="H41" s="332"/>
      <c r="I41" s="332"/>
      <c r="J41" s="310"/>
      <c r="K41" s="332"/>
      <c r="L41" s="332"/>
      <c r="M41" s="332"/>
      <c r="N41" s="332"/>
      <c r="P41" s="723"/>
      <c r="Q41" s="729"/>
      <c r="R41" s="344"/>
      <c r="S41" s="729"/>
      <c r="U41" s="879"/>
    </row>
    <row r="42" spans="2:21" s="293" customFormat="1">
      <c r="B42" s="313"/>
      <c r="C42" s="310"/>
      <c r="D42" s="332"/>
      <c r="E42" s="332"/>
      <c r="F42" s="332"/>
      <c r="G42" s="332"/>
      <c r="H42" s="332"/>
      <c r="I42" s="332"/>
      <c r="J42" s="310"/>
      <c r="K42" s="332"/>
      <c r="L42" s="332"/>
      <c r="M42" s="332"/>
      <c r="N42" s="332"/>
      <c r="P42" s="723"/>
      <c r="Q42" s="729"/>
      <c r="R42" s="344"/>
      <c r="S42" s="729"/>
      <c r="U42" s="879"/>
    </row>
    <row r="43" spans="2:21" s="293" customFormat="1">
      <c r="B43" s="313"/>
      <c r="C43" s="310"/>
      <c r="D43" s="332"/>
      <c r="E43" s="332"/>
      <c r="F43" s="332"/>
      <c r="G43" s="332"/>
      <c r="H43" s="332"/>
      <c r="I43" s="332"/>
      <c r="J43" s="310"/>
      <c r="K43" s="332"/>
      <c r="L43" s="332"/>
      <c r="M43" s="332"/>
      <c r="N43" s="332"/>
      <c r="P43" s="723"/>
      <c r="Q43" s="729"/>
      <c r="R43" s="729"/>
      <c r="S43" s="729"/>
      <c r="U43" s="879"/>
    </row>
    <row r="44" spans="2:21" s="293" customFormat="1">
      <c r="B44" s="313"/>
      <c r="C44" s="310"/>
      <c r="D44" s="332"/>
      <c r="E44" s="332"/>
      <c r="F44" s="332"/>
      <c r="G44" s="332"/>
      <c r="H44" s="332"/>
      <c r="I44" s="332"/>
      <c r="J44" s="310"/>
      <c r="K44" s="332"/>
      <c r="L44" s="332"/>
      <c r="M44" s="332"/>
      <c r="N44" s="332"/>
      <c r="P44" s="723"/>
      <c r="Q44" s="729"/>
      <c r="R44" s="729"/>
      <c r="S44" s="729"/>
      <c r="U44" s="879"/>
    </row>
    <row r="45" spans="2:21" s="293" customFormat="1">
      <c r="B45" s="313"/>
      <c r="C45" s="310"/>
      <c r="D45" s="332"/>
      <c r="E45" s="332"/>
      <c r="F45" s="332"/>
      <c r="G45" s="332"/>
      <c r="H45" s="332"/>
      <c r="I45" s="332"/>
      <c r="J45" s="310"/>
      <c r="K45" s="332"/>
      <c r="L45" s="332"/>
      <c r="M45" s="332"/>
      <c r="N45" s="332"/>
      <c r="P45" s="723"/>
      <c r="Q45" s="729"/>
      <c r="R45" s="729"/>
      <c r="S45" s="729"/>
      <c r="U45" s="879"/>
    </row>
    <row r="46" spans="2:21" s="293" customFormat="1">
      <c r="B46" s="313"/>
      <c r="C46" s="310"/>
      <c r="D46" s="332"/>
      <c r="E46" s="332"/>
      <c r="F46" s="332"/>
      <c r="G46" s="332"/>
      <c r="H46" s="332"/>
      <c r="I46" s="332"/>
      <c r="J46" s="310"/>
      <c r="K46" s="332"/>
      <c r="L46" s="332"/>
      <c r="M46" s="332"/>
      <c r="N46" s="332"/>
      <c r="P46" s="723"/>
      <c r="Q46" s="729"/>
      <c r="R46" s="729"/>
      <c r="S46" s="729"/>
      <c r="U46" s="879"/>
    </row>
    <row r="47" spans="2:21" s="293" customFormat="1">
      <c r="B47" s="313"/>
      <c r="C47" s="310"/>
      <c r="D47" s="332"/>
      <c r="E47" s="332"/>
      <c r="F47" s="332"/>
      <c r="G47" s="332"/>
      <c r="H47" s="332"/>
      <c r="I47" s="332"/>
      <c r="J47" s="310"/>
      <c r="K47" s="332"/>
      <c r="L47" s="332"/>
      <c r="M47" s="332"/>
      <c r="N47" s="332"/>
      <c r="P47" s="723"/>
      <c r="Q47" s="729"/>
      <c r="R47" s="729"/>
      <c r="S47" s="729"/>
      <c r="U47" s="879"/>
    </row>
    <row r="48" spans="2:21" s="293" customFormat="1">
      <c r="B48" s="313"/>
      <c r="C48" s="310"/>
      <c r="D48" s="332"/>
      <c r="E48" s="332"/>
      <c r="F48" s="332"/>
      <c r="G48" s="332"/>
      <c r="H48" s="332"/>
      <c r="I48" s="332"/>
      <c r="J48" s="310"/>
      <c r="K48" s="332"/>
      <c r="L48" s="332"/>
      <c r="M48" s="332"/>
      <c r="N48" s="332"/>
      <c r="P48" s="723"/>
      <c r="Q48" s="729"/>
      <c r="R48" s="1767"/>
      <c r="S48" s="344"/>
      <c r="U48" s="879"/>
    </row>
    <row r="49" spans="2:21" s="293" customFormat="1">
      <c r="B49" s="313"/>
      <c r="C49" s="310"/>
      <c r="D49" s="332"/>
      <c r="E49" s="332"/>
      <c r="F49" s="332"/>
      <c r="G49" s="332"/>
      <c r="H49" s="332"/>
      <c r="I49" s="332"/>
      <c r="J49" s="310"/>
      <c r="K49" s="332"/>
      <c r="L49" s="332"/>
      <c r="M49" s="332"/>
      <c r="N49" s="332"/>
      <c r="P49" s="723"/>
      <c r="Q49" s="1760"/>
      <c r="R49" s="1760"/>
      <c r="S49" s="729"/>
      <c r="U49" s="879"/>
    </row>
    <row r="50" spans="2:21" s="293" customFormat="1">
      <c r="B50" s="313"/>
      <c r="C50" s="310"/>
      <c r="D50" s="332"/>
      <c r="E50" s="332"/>
      <c r="F50" s="332"/>
      <c r="G50" s="332"/>
      <c r="H50" s="332"/>
      <c r="I50" s="332"/>
      <c r="J50" s="310"/>
      <c r="K50" s="332"/>
      <c r="L50" s="332"/>
      <c r="M50" s="332"/>
      <c r="N50" s="332"/>
      <c r="P50" s="723"/>
      <c r="Q50" s="344"/>
      <c r="R50" s="344"/>
      <c r="S50" s="729"/>
      <c r="U50" s="879"/>
    </row>
    <row r="51" spans="2:21" s="293" customFormat="1">
      <c r="B51" s="313"/>
      <c r="C51" s="310"/>
      <c r="D51" s="332"/>
      <c r="E51" s="332"/>
      <c r="F51" s="332"/>
      <c r="G51" s="332"/>
      <c r="H51" s="332"/>
      <c r="I51" s="332"/>
      <c r="J51" s="310"/>
      <c r="K51" s="332"/>
      <c r="L51" s="332"/>
      <c r="M51" s="332"/>
      <c r="N51" s="332"/>
      <c r="P51" s="723"/>
      <c r="S51" s="723"/>
      <c r="U51" s="879"/>
    </row>
    <row r="52" spans="2:21" s="293" customFormat="1">
      <c r="B52" s="313"/>
      <c r="C52" s="310"/>
      <c r="D52" s="332"/>
      <c r="E52" s="332"/>
      <c r="F52" s="332"/>
      <c r="G52" s="332"/>
      <c r="H52" s="332"/>
      <c r="I52" s="332"/>
      <c r="J52" s="310"/>
      <c r="K52" s="332"/>
      <c r="L52" s="332"/>
      <c r="M52" s="332"/>
      <c r="N52" s="332"/>
      <c r="P52" s="723"/>
      <c r="S52" s="723"/>
      <c r="U52" s="879"/>
    </row>
    <row r="53" spans="2:21" s="293" customFormat="1">
      <c r="B53" s="313"/>
      <c r="C53" s="310"/>
      <c r="D53" s="332"/>
      <c r="E53" s="332"/>
      <c r="F53" s="332"/>
      <c r="G53" s="332"/>
      <c r="H53" s="332"/>
      <c r="I53" s="332"/>
      <c r="J53" s="310"/>
      <c r="K53" s="332"/>
      <c r="L53" s="332"/>
      <c r="M53" s="332"/>
      <c r="N53" s="332"/>
      <c r="P53" s="723"/>
      <c r="S53" s="723"/>
      <c r="U53" s="879"/>
    </row>
    <row r="54" spans="2:21" s="293" customFormat="1">
      <c r="B54" s="313"/>
      <c r="C54" s="310"/>
      <c r="D54" s="332"/>
      <c r="E54" s="332"/>
      <c r="F54" s="332"/>
      <c r="G54" s="332"/>
      <c r="H54" s="332"/>
      <c r="I54" s="332"/>
      <c r="J54" s="310"/>
      <c r="K54" s="332"/>
      <c r="L54" s="332"/>
      <c r="M54" s="332"/>
      <c r="N54" s="332"/>
      <c r="P54" s="723"/>
      <c r="S54" s="723"/>
      <c r="U54" s="879"/>
    </row>
    <row r="55" spans="2:21" s="293" customFormat="1">
      <c r="B55" s="313"/>
      <c r="C55" s="310"/>
      <c r="D55" s="332"/>
      <c r="E55" s="332"/>
      <c r="F55" s="332"/>
      <c r="G55" s="332"/>
      <c r="H55" s="332"/>
      <c r="I55" s="332"/>
      <c r="J55" s="310"/>
      <c r="K55" s="332"/>
      <c r="L55" s="332"/>
      <c r="M55" s="332"/>
      <c r="N55" s="332"/>
      <c r="P55" s="723"/>
      <c r="S55" s="723"/>
      <c r="U55" s="879"/>
    </row>
    <row r="56" spans="2:21" s="293" customFormat="1">
      <c r="B56" s="313"/>
      <c r="C56" s="310"/>
      <c r="D56" s="332"/>
      <c r="E56" s="332"/>
      <c r="F56" s="332"/>
      <c r="G56" s="332"/>
      <c r="H56" s="332"/>
      <c r="I56" s="332"/>
      <c r="J56" s="310"/>
      <c r="K56" s="332"/>
      <c r="L56" s="332"/>
      <c r="M56" s="332"/>
      <c r="N56" s="332"/>
      <c r="P56" s="723"/>
      <c r="S56" s="723"/>
      <c r="U56" s="879"/>
    </row>
    <row r="57" spans="2:21" s="293" customFormat="1">
      <c r="B57" s="313"/>
      <c r="C57" s="310"/>
      <c r="D57" s="332"/>
      <c r="E57" s="332"/>
      <c r="F57" s="332"/>
      <c r="G57" s="332"/>
      <c r="H57" s="332"/>
      <c r="I57" s="332"/>
      <c r="J57" s="310"/>
      <c r="K57" s="332"/>
      <c r="L57" s="332"/>
      <c r="M57" s="332"/>
      <c r="N57" s="332"/>
      <c r="P57" s="723"/>
      <c r="S57" s="723"/>
      <c r="U57" s="879"/>
    </row>
    <row r="58" spans="2:21" s="293" customFormat="1">
      <c r="B58" s="313"/>
      <c r="C58" s="310"/>
      <c r="D58" s="332"/>
      <c r="E58" s="332"/>
      <c r="F58" s="332"/>
      <c r="G58" s="332"/>
      <c r="H58" s="332"/>
      <c r="I58" s="332"/>
      <c r="J58" s="310"/>
      <c r="K58" s="332"/>
      <c r="L58" s="332"/>
      <c r="M58" s="332"/>
      <c r="N58" s="332"/>
      <c r="P58" s="723"/>
      <c r="S58" s="723"/>
      <c r="U58" s="879"/>
    </row>
    <row r="59" spans="2:21" s="293" customFormat="1">
      <c r="B59" s="313"/>
      <c r="C59" s="310"/>
      <c r="D59" s="332"/>
      <c r="E59" s="332"/>
      <c r="F59" s="332"/>
      <c r="G59" s="332"/>
      <c r="H59" s="332"/>
      <c r="I59" s="332"/>
      <c r="J59" s="310"/>
      <c r="K59" s="332"/>
      <c r="L59" s="332"/>
      <c r="M59" s="332"/>
      <c r="N59" s="332"/>
      <c r="P59" s="723"/>
      <c r="S59" s="723"/>
      <c r="U59" s="879"/>
    </row>
    <row r="60" spans="2:21" s="293" customFormat="1">
      <c r="B60" s="313"/>
      <c r="C60" s="310"/>
      <c r="D60" s="332"/>
      <c r="E60" s="332"/>
      <c r="F60" s="332"/>
      <c r="G60" s="332"/>
      <c r="H60" s="332"/>
      <c r="I60" s="332"/>
      <c r="J60" s="310"/>
      <c r="K60" s="332"/>
      <c r="L60" s="332"/>
      <c r="M60" s="332"/>
      <c r="N60" s="332"/>
      <c r="P60" s="723"/>
      <c r="S60" s="723"/>
      <c r="U60" s="879"/>
    </row>
    <row r="61" spans="2:21" s="293" customFormat="1">
      <c r="B61" s="313"/>
      <c r="C61" s="310"/>
      <c r="D61" s="332"/>
      <c r="E61" s="332"/>
      <c r="F61" s="332"/>
      <c r="G61" s="332"/>
      <c r="H61" s="332"/>
      <c r="I61" s="332"/>
      <c r="J61" s="310"/>
      <c r="K61" s="332"/>
      <c r="L61" s="332"/>
      <c r="M61" s="332"/>
      <c r="N61" s="332"/>
      <c r="P61" s="723"/>
      <c r="S61" s="723"/>
      <c r="U61" s="879"/>
    </row>
    <row r="62" spans="2:21">
      <c r="B62" s="313"/>
      <c r="C62" s="314"/>
      <c r="D62" s="314"/>
      <c r="E62" s="314"/>
      <c r="F62" s="314"/>
      <c r="G62" s="314"/>
      <c r="H62" s="314"/>
      <c r="I62" s="314"/>
      <c r="J62" s="314"/>
      <c r="K62" s="314"/>
      <c r="L62" s="314"/>
      <c r="M62" s="314"/>
      <c r="N62" s="314"/>
    </row>
    <row r="63" spans="2:21">
      <c r="B63" s="313"/>
      <c r="C63" s="313"/>
      <c r="D63" s="305"/>
      <c r="E63" s="305"/>
      <c r="F63" s="310"/>
      <c r="G63" s="310"/>
      <c r="H63" s="305"/>
      <c r="I63" s="310"/>
      <c r="J63" s="298"/>
      <c r="K63" s="305"/>
      <c r="L63" s="316"/>
      <c r="M63" s="305"/>
      <c r="N63" s="316"/>
    </row>
    <row r="64" spans="2:21">
      <c r="B64" s="298"/>
      <c r="C64" s="302"/>
      <c r="D64" s="302"/>
      <c r="E64" s="302"/>
      <c r="F64" s="302"/>
      <c r="G64" s="302"/>
      <c r="H64" s="302"/>
      <c r="I64" s="302"/>
      <c r="J64" s="302"/>
      <c r="K64" s="302"/>
      <c r="L64" s="302"/>
      <c r="M64" s="302"/>
      <c r="N64" s="302"/>
    </row>
    <row r="65" spans="2:14">
      <c r="B65" s="298"/>
      <c r="C65" s="298"/>
      <c r="D65" s="298"/>
      <c r="E65" s="298"/>
      <c r="F65" s="298"/>
      <c r="G65" s="298"/>
      <c r="H65" s="298"/>
      <c r="I65" s="298"/>
      <c r="J65" s="298"/>
      <c r="K65" s="298"/>
      <c r="L65" s="311"/>
      <c r="M65" s="298"/>
      <c r="N65" s="311"/>
    </row>
    <row r="66" spans="2:14">
      <c r="B66" s="298"/>
      <c r="C66" s="298"/>
      <c r="D66" s="298"/>
      <c r="E66" s="298"/>
      <c r="F66" s="298"/>
      <c r="G66" s="298"/>
      <c r="H66" s="298"/>
      <c r="I66" s="298"/>
      <c r="J66" s="298"/>
      <c r="K66" s="298"/>
      <c r="L66" s="311"/>
      <c r="M66" s="298"/>
      <c r="N66" s="311"/>
    </row>
    <row r="67" spans="2:14">
      <c r="B67" s="299"/>
      <c r="C67" s="299"/>
      <c r="D67" s="298"/>
      <c r="E67" s="298"/>
      <c r="F67" s="298"/>
      <c r="G67" s="298"/>
      <c r="H67" s="298"/>
      <c r="I67" s="298"/>
      <c r="J67" s="298"/>
      <c r="K67" s="298"/>
      <c r="L67" s="311"/>
      <c r="M67" s="298"/>
      <c r="N67" s="311"/>
    </row>
    <row r="68" spans="2:14">
      <c r="B68" s="298"/>
      <c r="C68" s="298"/>
      <c r="D68" s="298"/>
      <c r="E68" s="298"/>
      <c r="F68" s="298"/>
      <c r="G68" s="298"/>
      <c r="H68" s="298"/>
      <c r="I68" s="298"/>
      <c r="J68" s="298"/>
      <c r="K68" s="298"/>
      <c r="L68" s="311"/>
      <c r="M68" s="298"/>
      <c r="N68" s="311"/>
    </row>
    <row r="69" spans="2:14">
      <c r="B69" s="298"/>
      <c r="C69" s="298"/>
      <c r="D69" s="298"/>
      <c r="E69" s="298"/>
      <c r="F69" s="298"/>
      <c r="G69" s="298"/>
      <c r="H69" s="298"/>
      <c r="I69" s="298"/>
      <c r="J69" s="298"/>
      <c r="K69" s="298"/>
      <c r="L69" s="311"/>
      <c r="M69" s="298"/>
      <c r="N69" s="311"/>
    </row>
    <row r="70" spans="2:14">
      <c r="B70" s="298"/>
      <c r="C70" s="298"/>
      <c r="D70" s="298"/>
      <c r="E70" s="298"/>
      <c r="F70" s="298"/>
      <c r="G70" s="298"/>
      <c r="H70" s="298"/>
      <c r="I70" s="298"/>
      <c r="J70" s="298"/>
      <c r="K70" s="298"/>
      <c r="L70" s="311"/>
      <c r="M70" s="298"/>
      <c r="N70" s="311"/>
    </row>
    <row r="71" spans="2:14">
      <c r="B71" s="298"/>
      <c r="C71" s="298"/>
      <c r="D71" s="298"/>
      <c r="E71" s="298"/>
      <c r="F71" s="298"/>
      <c r="G71" s="298"/>
      <c r="H71" s="298"/>
      <c r="I71" s="298"/>
      <c r="J71" s="298"/>
      <c r="K71" s="298"/>
      <c r="L71" s="311"/>
      <c r="M71" s="298"/>
      <c r="N71" s="311"/>
    </row>
    <row r="72" spans="2:14">
      <c r="B72" s="298"/>
      <c r="C72" s="298"/>
      <c r="D72" s="298"/>
      <c r="E72" s="298"/>
      <c r="F72" s="298"/>
      <c r="G72" s="298"/>
      <c r="H72" s="298"/>
      <c r="I72" s="298"/>
      <c r="J72" s="298"/>
      <c r="K72" s="298"/>
      <c r="L72" s="311"/>
      <c r="M72" s="298"/>
      <c r="N72" s="311"/>
    </row>
    <row r="73" spans="2:14">
      <c r="B73" s="298"/>
      <c r="C73" s="298"/>
      <c r="D73" s="298"/>
      <c r="E73" s="298"/>
      <c r="F73" s="298"/>
      <c r="G73" s="298"/>
      <c r="H73" s="298"/>
      <c r="I73" s="298"/>
      <c r="J73" s="298"/>
      <c r="K73" s="298"/>
      <c r="L73" s="311"/>
      <c r="M73" s="298"/>
      <c r="N73" s="311"/>
    </row>
    <row r="74" spans="2:14">
      <c r="B74" s="298"/>
      <c r="C74" s="298"/>
      <c r="D74" s="298"/>
      <c r="E74" s="298"/>
      <c r="F74" s="298"/>
      <c r="G74" s="298"/>
      <c r="H74" s="298"/>
      <c r="I74" s="298"/>
      <c r="J74" s="298"/>
      <c r="K74" s="298"/>
      <c r="L74" s="311"/>
      <c r="M74" s="298"/>
      <c r="N74" s="311"/>
    </row>
    <row r="75" spans="2:14">
      <c r="B75" s="298"/>
      <c r="C75" s="298"/>
      <c r="D75" s="298"/>
      <c r="E75" s="298"/>
      <c r="F75" s="298"/>
      <c r="G75" s="298"/>
      <c r="H75" s="298"/>
      <c r="I75" s="298"/>
      <c r="J75" s="298"/>
      <c r="K75" s="298"/>
      <c r="L75" s="311"/>
      <c r="M75" s="298"/>
      <c r="N75" s="311"/>
    </row>
    <row r="76" spans="2:14">
      <c r="B76" s="298"/>
      <c r="C76" s="298"/>
      <c r="D76" s="298"/>
      <c r="E76" s="298"/>
      <c r="F76" s="298"/>
      <c r="G76" s="298"/>
      <c r="H76" s="298"/>
      <c r="I76" s="298"/>
      <c r="J76" s="298"/>
      <c r="K76" s="298"/>
      <c r="L76" s="311"/>
      <c r="M76" s="298"/>
      <c r="N76" s="311"/>
    </row>
    <row r="77" spans="2:14">
      <c r="B77" s="298"/>
      <c r="C77" s="298"/>
      <c r="D77" s="298"/>
      <c r="E77" s="298"/>
      <c r="F77" s="298"/>
      <c r="G77" s="298"/>
      <c r="H77" s="298"/>
      <c r="I77" s="298"/>
      <c r="J77" s="298"/>
      <c r="K77" s="298"/>
      <c r="L77" s="311"/>
      <c r="M77" s="298"/>
      <c r="N77" s="311"/>
    </row>
    <row r="78" spans="2:14">
      <c r="B78" s="298"/>
      <c r="C78" s="298"/>
      <c r="D78" s="298"/>
      <c r="E78" s="298"/>
      <c r="F78" s="298"/>
      <c r="G78" s="298"/>
      <c r="H78" s="298"/>
      <c r="I78" s="298"/>
      <c r="J78" s="298"/>
      <c r="K78" s="298"/>
      <c r="L78" s="311"/>
      <c r="M78" s="298"/>
      <c r="N78" s="311"/>
    </row>
    <row r="79" spans="2:14">
      <c r="B79" s="298"/>
      <c r="C79" s="298"/>
      <c r="D79" s="298"/>
      <c r="E79" s="298"/>
      <c r="F79" s="298"/>
      <c r="G79" s="298"/>
      <c r="H79" s="298"/>
      <c r="I79" s="298"/>
      <c r="J79" s="298"/>
      <c r="K79" s="298"/>
      <c r="L79" s="311"/>
      <c r="M79" s="298"/>
      <c r="N79" s="311"/>
    </row>
    <row r="80" spans="2:14">
      <c r="B80" s="298"/>
      <c r="C80" s="298"/>
      <c r="D80" s="298"/>
      <c r="E80" s="298"/>
      <c r="F80" s="298"/>
      <c r="G80" s="298"/>
      <c r="H80" s="298"/>
      <c r="I80" s="298"/>
      <c r="J80" s="298"/>
      <c r="K80" s="298"/>
      <c r="L80" s="311"/>
      <c r="M80" s="298"/>
      <c r="N80" s="311"/>
    </row>
    <row r="81" spans="2:14">
      <c r="B81" s="298"/>
      <c r="C81" s="298"/>
      <c r="D81" s="298"/>
      <c r="E81" s="298"/>
      <c r="F81" s="298"/>
      <c r="G81" s="298"/>
      <c r="H81" s="298"/>
      <c r="I81" s="298"/>
      <c r="J81" s="298"/>
      <c r="K81" s="298"/>
      <c r="L81" s="311"/>
      <c r="M81" s="298"/>
      <c r="N81" s="311"/>
    </row>
    <row r="82" spans="2:14">
      <c r="B82" s="298"/>
      <c r="C82" s="298"/>
      <c r="D82" s="298"/>
      <c r="E82" s="298"/>
      <c r="F82" s="298"/>
      <c r="G82" s="298"/>
      <c r="H82" s="298"/>
      <c r="I82" s="298"/>
      <c r="J82" s="298"/>
      <c r="K82" s="298"/>
      <c r="L82" s="311"/>
      <c r="M82" s="298"/>
      <c r="N82" s="311"/>
    </row>
    <row r="83" spans="2:14">
      <c r="B83" s="298"/>
      <c r="C83" s="298"/>
      <c r="D83" s="298"/>
      <c r="E83" s="298"/>
      <c r="F83" s="298"/>
      <c r="G83" s="298"/>
      <c r="H83" s="298"/>
      <c r="I83" s="298"/>
      <c r="J83" s="298"/>
      <c r="K83" s="298"/>
      <c r="L83" s="311"/>
      <c r="M83" s="298"/>
      <c r="N83" s="311"/>
    </row>
    <row r="84" spans="2:14">
      <c r="B84" s="298"/>
      <c r="C84" s="298"/>
      <c r="D84" s="298"/>
      <c r="E84" s="298"/>
      <c r="F84" s="298"/>
      <c r="G84" s="298"/>
      <c r="H84" s="298"/>
      <c r="I84" s="298"/>
      <c r="J84" s="298"/>
      <c r="K84" s="298"/>
      <c r="L84" s="311"/>
      <c r="M84" s="298"/>
      <c r="N84" s="311"/>
    </row>
    <row r="85" spans="2:14">
      <c r="B85" s="298"/>
      <c r="C85" s="298"/>
      <c r="D85" s="298"/>
      <c r="E85" s="298"/>
      <c r="F85" s="298"/>
      <c r="G85" s="298"/>
      <c r="H85" s="298"/>
      <c r="I85" s="298"/>
      <c r="J85" s="298"/>
      <c r="K85" s="298"/>
      <c r="L85" s="311"/>
      <c r="M85" s="298"/>
      <c r="N85" s="311"/>
    </row>
    <row r="86" spans="2:14">
      <c r="B86" s="298"/>
      <c r="C86" s="298"/>
      <c r="D86" s="298"/>
      <c r="E86" s="298"/>
      <c r="F86" s="298"/>
      <c r="G86" s="298"/>
      <c r="H86" s="298"/>
      <c r="I86" s="298"/>
      <c r="J86" s="298"/>
      <c r="K86" s="298"/>
      <c r="L86" s="311"/>
      <c r="M86" s="298"/>
      <c r="N86" s="311"/>
    </row>
    <row r="87" spans="2:14">
      <c r="B87" s="298"/>
      <c r="C87" s="298"/>
      <c r="D87" s="298"/>
      <c r="E87" s="298"/>
      <c r="F87" s="298"/>
      <c r="G87" s="298"/>
      <c r="H87" s="298"/>
      <c r="I87" s="298"/>
      <c r="J87" s="298"/>
      <c r="K87" s="298"/>
      <c r="L87" s="311"/>
      <c r="M87" s="298"/>
      <c r="N87" s="311"/>
    </row>
    <row r="88" spans="2:14">
      <c r="B88" s="298"/>
      <c r="C88" s="298"/>
      <c r="D88" s="298"/>
      <c r="E88" s="298"/>
      <c r="F88" s="298"/>
      <c r="G88" s="298"/>
      <c r="H88" s="298"/>
      <c r="I88" s="298"/>
      <c r="J88" s="298"/>
      <c r="K88" s="298"/>
      <c r="L88" s="311"/>
      <c r="M88" s="298"/>
      <c r="N88" s="311"/>
    </row>
    <row r="89" spans="2:14">
      <c r="B89" s="298"/>
      <c r="C89" s="298"/>
      <c r="D89" s="298"/>
      <c r="E89" s="298"/>
      <c r="F89" s="298"/>
      <c r="G89" s="298"/>
      <c r="H89" s="298"/>
      <c r="I89" s="298"/>
      <c r="J89" s="298"/>
      <c r="K89" s="298"/>
      <c r="L89" s="311"/>
      <c r="M89" s="298"/>
      <c r="N89" s="311"/>
    </row>
    <row r="90" spans="2:14">
      <c r="B90" s="298"/>
      <c r="C90" s="298"/>
      <c r="D90" s="298"/>
      <c r="E90" s="298"/>
      <c r="F90" s="298"/>
      <c r="G90" s="298"/>
      <c r="H90" s="298"/>
      <c r="I90" s="298"/>
      <c r="J90" s="298"/>
      <c r="K90" s="298"/>
      <c r="L90" s="311"/>
      <c r="M90" s="298"/>
      <c r="N90" s="311"/>
    </row>
    <row r="91" spans="2:14">
      <c r="B91" s="298"/>
      <c r="C91" s="298"/>
      <c r="D91" s="298"/>
      <c r="E91" s="298"/>
      <c r="F91" s="298"/>
      <c r="G91" s="298"/>
      <c r="H91" s="298"/>
      <c r="I91" s="298"/>
      <c r="J91" s="298"/>
      <c r="K91" s="298"/>
      <c r="L91" s="311"/>
      <c r="M91" s="298"/>
      <c r="N91" s="311"/>
    </row>
    <row r="92" spans="2:14">
      <c r="B92" s="298"/>
      <c r="C92" s="298"/>
      <c r="D92" s="298"/>
      <c r="E92" s="298"/>
      <c r="F92" s="298"/>
      <c r="G92" s="298"/>
      <c r="H92" s="298"/>
      <c r="I92" s="298"/>
      <c r="J92" s="298"/>
      <c r="K92" s="298"/>
      <c r="L92" s="311"/>
      <c r="M92" s="298"/>
      <c r="N92" s="311"/>
    </row>
    <row r="93" spans="2:14">
      <c r="B93" s="298"/>
      <c r="C93" s="298"/>
      <c r="D93" s="298"/>
      <c r="E93" s="298"/>
      <c r="F93" s="298"/>
      <c r="G93" s="298"/>
      <c r="H93" s="298"/>
      <c r="I93" s="298"/>
      <c r="J93" s="298"/>
      <c r="K93" s="298"/>
      <c r="L93" s="311"/>
      <c r="M93" s="298"/>
      <c r="N93" s="311"/>
    </row>
    <row r="94" spans="2:14">
      <c r="B94" s="298"/>
      <c r="C94" s="298"/>
      <c r="D94" s="298"/>
      <c r="E94" s="298"/>
      <c r="F94" s="298"/>
      <c r="G94" s="298"/>
      <c r="H94" s="298"/>
      <c r="I94" s="298"/>
      <c r="J94" s="298"/>
      <c r="K94" s="298"/>
      <c r="L94" s="311"/>
      <c r="M94" s="298"/>
      <c r="N94" s="311"/>
    </row>
    <row r="95" spans="2:14">
      <c r="B95" s="298"/>
      <c r="C95" s="298"/>
      <c r="D95" s="298"/>
      <c r="E95" s="298"/>
      <c r="F95" s="298"/>
      <c r="G95" s="298"/>
      <c r="H95" s="298"/>
      <c r="I95" s="298"/>
      <c r="J95" s="298"/>
      <c r="K95" s="298"/>
      <c r="L95" s="311"/>
      <c r="M95" s="298"/>
      <c r="N95" s="311"/>
    </row>
    <row r="96" spans="2:14">
      <c r="B96" s="298"/>
      <c r="C96" s="298"/>
      <c r="D96" s="298"/>
      <c r="E96" s="298"/>
      <c r="F96" s="298"/>
      <c r="G96" s="298"/>
      <c r="H96" s="298"/>
      <c r="I96" s="298"/>
      <c r="J96" s="298"/>
      <c r="K96" s="298"/>
      <c r="L96" s="311"/>
      <c r="M96" s="298"/>
      <c r="N96" s="311"/>
    </row>
    <row r="97" spans="2:14">
      <c r="B97" s="298"/>
      <c r="C97" s="298"/>
      <c r="D97" s="298"/>
      <c r="E97" s="298"/>
      <c r="F97" s="298"/>
      <c r="G97" s="298"/>
      <c r="H97" s="298"/>
      <c r="I97" s="298"/>
      <c r="J97" s="298"/>
      <c r="K97" s="298"/>
      <c r="L97" s="311"/>
      <c r="M97" s="298"/>
      <c r="N97" s="311"/>
    </row>
    <row r="98" spans="2:14">
      <c r="B98" s="298"/>
      <c r="C98" s="298"/>
      <c r="D98" s="298"/>
      <c r="E98" s="298"/>
      <c r="F98" s="298"/>
      <c r="G98" s="298"/>
      <c r="H98" s="298"/>
      <c r="I98" s="298"/>
      <c r="J98" s="298"/>
      <c r="K98" s="298"/>
      <c r="L98" s="311"/>
      <c r="M98" s="298"/>
      <c r="N98" s="311"/>
    </row>
    <row r="99" spans="2:14">
      <c r="B99" s="298"/>
      <c r="C99" s="298"/>
      <c r="D99" s="298"/>
      <c r="E99" s="298"/>
      <c r="F99" s="298"/>
      <c r="G99" s="298"/>
      <c r="H99" s="298"/>
      <c r="I99" s="298"/>
      <c r="J99" s="298"/>
      <c r="K99" s="298"/>
      <c r="L99" s="311"/>
      <c r="M99" s="298"/>
      <c r="N99" s="311"/>
    </row>
    <row r="100" spans="2:14">
      <c r="B100" s="298"/>
      <c r="C100" s="298"/>
      <c r="D100" s="298"/>
      <c r="E100" s="298"/>
      <c r="F100" s="298"/>
      <c r="G100" s="298"/>
      <c r="H100" s="298"/>
      <c r="I100" s="298"/>
      <c r="J100" s="298"/>
      <c r="K100" s="298"/>
      <c r="L100" s="311"/>
      <c r="M100" s="298"/>
      <c r="N100" s="311"/>
    </row>
    <row r="101" spans="2:14">
      <c r="B101" s="298"/>
      <c r="C101" s="298"/>
      <c r="D101" s="298"/>
      <c r="E101" s="298"/>
      <c r="F101" s="298"/>
      <c r="G101" s="298"/>
      <c r="H101" s="298"/>
      <c r="I101" s="298"/>
      <c r="J101" s="298"/>
      <c r="K101" s="298"/>
      <c r="L101" s="311"/>
      <c r="M101" s="298"/>
      <c r="N101" s="311"/>
    </row>
    <row r="102" spans="2:14">
      <c r="B102" s="298"/>
      <c r="C102" s="298"/>
      <c r="D102" s="298"/>
      <c r="E102" s="298"/>
      <c r="F102" s="298"/>
      <c r="G102" s="298"/>
      <c r="H102" s="298"/>
      <c r="I102" s="298"/>
      <c r="J102" s="298"/>
      <c r="K102" s="298"/>
      <c r="L102" s="311"/>
      <c r="M102" s="298"/>
      <c r="N102" s="311"/>
    </row>
    <row r="103" spans="2:14">
      <c r="B103" s="298"/>
      <c r="C103" s="298"/>
      <c r="D103" s="298"/>
      <c r="E103" s="298"/>
      <c r="F103" s="298"/>
      <c r="G103" s="298"/>
      <c r="H103" s="298"/>
      <c r="I103" s="298"/>
      <c r="J103" s="298"/>
      <c r="K103" s="298"/>
      <c r="L103" s="311"/>
      <c r="M103" s="298"/>
      <c r="N103" s="311"/>
    </row>
    <row r="104" spans="2:14">
      <c r="B104" s="298"/>
      <c r="C104" s="298"/>
      <c r="D104" s="298"/>
      <c r="E104" s="298"/>
      <c r="F104" s="298"/>
      <c r="G104" s="298"/>
      <c r="H104" s="298"/>
      <c r="I104" s="298"/>
      <c r="J104" s="298"/>
      <c r="K104" s="298"/>
      <c r="L104" s="311"/>
      <c r="M104" s="298"/>
      <c r="N104" s="311"/>
    </row>
    <row r="105" spans="2:14">
      <c r="B105" s="298"/>
      <c r="C105" s="298"/>
      <c r="D105" s="298"/>
      <c r="E105" s="298"/>
      <c r="F105" s="298"/>
      <c r="G105" s="298"/>
      <c r="H105" s="298"/>
      <c r="I105" s="298"/>
      <c r="J105" s="298"/>
      <c r="K105" s="298"/>
      <c r="L105" s="311"/>
      <c r="M105" s="298"/>
      <c r="N105" s="311"/>
    </row>
    <row r="106" spans="2:14">
      <c r="B106" s="298"/>
      <c r="C106" s="298"/>
      <c r="D106" s="298"/>
      <c r="E106" s="298"/>
      <c r="F106" s="298"/>
      <c r="G106" s="298"/>
      <c r="H106" s="298"/>
      <c r="I106" s="298"/>
      <c r="J106" s="298"/>
      <c r="K106" s="298"/>
      <c r="L106" s="311"/>
      <c r="M106" s="298"/>
      <c r="N106" s="311"/>
    </row>
    <row r="107" spans="2:14">
      <c r="B107" s="298"/>
      <c r="C107" s="298"/>
      <c r="D107" s="298"/>
      <c r="E107" s="298"/>
      <c r="F107" s="298"/>
      <c r="G107" s="298"/>
      <c r="H107" s="298"/>
      <c r="I107" s="298"/>
      <c r="J107" s="298"/>
      <c r="K107" s="298"/>
      <c r="L107" s="311"/>
      <c r="M107" s="298"/>
      <c r="N107" s="311"/>
    </row>
    <row r="108" spans="2:14">
      <c r="B108" s="298"/>
      <c r="C108" s="298"/>
      <c r="D108" s="298"/>
      <c r="E108" s="298"/>
      <c r="F108" s="298"/>
      <c r="G108" s="298"/>
      <c r="H108" s="298"/>
      <c r="I108" s="298"/>
      <c r="J108" s="298"/>
      <c r="K108" s="298"/>
      <c r="L108" s="311"/>
      <c r="M108" s="298"/>
      <c r="N108" s="311"/>
    </row>
    <row r="109" spans="2:14">
      <c r="B109" s="298"/>
      <c r="C109" s="298"/>
      <c r="D109" s="298"/>
      <c r="E109" s="298"/>
      <c r="F109" s="298"/>
      <c r="G109" s="298"/>
      <c r="H109" s="298"/>
      <c r="I109" s="298"/>
      <c r="J109" s="298"/>
      <c r="K109" s="298"/>
      <c r="L109" s="311"/>
      <c r="M109" s="298"/>
      <c r="N109" s="311"/>
    </row>
    <row r="110" spans="2:14">
      <c r="B110" s="298"/>
      <c r="C110" s="298"/>
      <c r="D110" s="298"/>
      <c r="E110" s="298"/>
      <c r="F110" s="298"/>
      <c r="G110" s="298"/>
      <c r="H110" s="298"/>
      <c r="I110" s="298"/>
      <c r="J110" s="298"/>
      <c r="K110" s="298"/>
      <c r="L110" s="311"/>
      <c r="M110" s="298"/>
      <c r="N110" s="311"/>
    </row>
    <row r="111" spans="2:14">
      <c r="B111" s="298"/>
      <c r="C111" s="298"/>
      <c r="D111" s="298"/>
      <c r="E111" s="298"/>
      <c r="F111" s="298"/>
      <c r="G111" s="298"/>
      <c r="H111" s="298"/>
      <c r="I111" s="298"/>
      <c r="J111" s="298"/>
      <c r="K111" s="298"/>
      <c r="L111" s="311"/>
      <c r="M111" s="298"/>
      <c r="N111" s="311"/>
    </row>
    <row r="112" spans="2:14">
      <c r="B112" s="298"/>
      <c r="C112" s="298"/>
      <c r="D112" s="298"/>
      <c r="E112" s="298"/>
      <c r="F112" s="298"/>
      <c r="G112" s="298"/>
      <c r="H112" s="298"/>
      <c r="I112" s="298"/>
      <c r="J112" s="298"/>
      <c r="K112" s="298"/>
      <c r="L112" s="311"/>
      <c r="M112" s="298"/>
      <c r="N112" s="311"/>
    </row>
    <row r="113" spans="2:14">
      <c r="B113" s="298"/>
      <c r="C113" s="298"/>
      <c r="D113" s="298"/>
      <c r="E113" s="298"/>
      <c r="F113" s="298"/>
      <c r="G113" s="298"/>
      <c r="H113" s="298"/>
      <c r="I113" s="298"/>
      <c r="J113" s="298"/>
      <c r="K113" s="298"/>
      <c r="L113" s="311"/>
      <c r="M113" s="298"/>
      <c r="N113" s="311"/>
    </row>
    <row r="114" spans="2:14">
      <c r="B114" s="298"/>
      <c r="C114" s="298"/>
      <c r="D114" s="298"/>
      <c r="E114" s="298"/>
      <c r="F114" s="298"/>
      <c r="G114" s="298"/>
      <c r="H114" s="298"/>
      <c r="I114" s="298"/>
      <c r="J114" s="298"/>
      <c r="K114" s="298"/>
      <c r="L114" s="311"/>
      <c r="M114" s="298"/>
      <c r="N114" s="311"/>
    </row>
    <row r="115" spans="2:14">
      <c r="B115" s="298"/>
      <c r="C115" s="298"/>
      <c r="D115" s="298"/>
      <c r="E115" s="298"/>
      <c r="F115" s="298"/>
      <c r="G115" s="298"/>
      <c r="H115" s="298"/>
      <c r="I115" s="298"/>
      <c r="J115" s="298"/>
      <c r="K115" s="298"/>
      <c r="L115" s="311"/>
      <c r="M115" s="298"/>
      <c r="N115" s="311"/>
    </row>
    <row r="116" spans="2:14">
      <c r="B116" s="298"/>
      <c r="C116" s="298"/>
      <c r="D116" s="298"/>
      <c r="E116" s="298"/>
      <c r="F116" s="298"/>
      <c r="G116" s="298"/>
      <c r="H116" s="298"/>
      <c r="I116" s="298"/>
      <c r="J116" s="298"/>
      <c r="K116" s="298"/>
      <c r="L116" s="311"/>
      <c r="M116" s="298"/>
      <c r="N116" s="311"/>
    </row>
    <row r="117" spans="2:14">
      <c r="B117" s="298"/>
      <c r="C117" s="298"/>
      <c r="D117" s="298"/>
      <c r="E117" s="298"/>
      <c r="F117" s="298"/>
      <c r="G117" s="298"/>
      <c r="H117" s="298"/>
      <c r="I117" s="298"/>
      <c r="J117" s="298"/>
      <c r="K117" s="298"/>
      <c r="L117" s="311"/>
      <c r="M117" s="298"/>
      <c r="N117" s="311"/>
    </row>
    <row r="118" spans="2:14">
      <c r="B118" s="298"/>
      <c r="C118" s="298"/>
      <c r="D118" s="298"/>
      <c r="E118" s="298"/>
      <c r="F118" s="298"/>
      <c r="G118" s="298"/>
      <c r="H118" s="298"/>
      <c r="I118" s="298"/>
      <c r="J118" s="298"/>
      <c r="K118" s="298"/>
      <c r="L118" s="311"/>
      <c r="M118" s="298"/>
      <c r="N118" s="311"/>
    </row>
  </sheetData>
  <mergeCells count="3">
    <mergeCell ref="B1:N1"/>
    <mergeCell ref="B4:N4"/>
    <mergeCell ref="B3:N3"/>
  </mergeCells>
  <printOptions horizontalCentered="1"/>
  <pageMargins left="0.5" right="0.5" top="0.5" bottom="0.5" header="0.5" footer="0.5"/>
  <pageSetup scale="74"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FF00"/>
  </sheetPr>
  <dimension ref="A1:V127"/>
  <sheetViews>
    <sheetView showGridLines="0" showRuler="0" topLeftCell="B15" zoomScaleNormal="100" zoomScaleSheetLayoutView="130" workbookViewId="0">
      <selection activeCell="F25" sqref="F25"/>
    </sheetView>
  </sheetViews>
  <sheetFormatPr defaultColWidth="6.85546875" defaultRowHeight="12.75"/>
  <cols>
    <col min="1" max="1" width="17.42578125" style="283" hidden="1" customWidth="1"/>
    <col min="2" max="2" width="36.5703125" style="283" customWidth="1"/>
    <col min="3" max="3" width="15.7109375" style="283" customWidth="1"/>
    <col min="4" max="5" width="1.85546875" style="283" hidden="1" customWidth="1"/>
    <col min="6" max="6" width="15.7109375" style="283" customWidth="1"/>
    <col min="7" max="7" width="2.28515625" style="283" hidden="1" customWidth="1"/>
    <col min="8" max="8" width="1.85546875" style="283" hidden="1" customWidth="1"/>
    <col min="9" max="9" width="15.7109375" style="283" customWidth="1"/>
    <col min="10" max="10" width="20.5703125" style="283" hidden="1" customWidth="1"/>
    <col min="11" max="11" width="1.85546875" style="283" hidden="1" customWidth="1"/>
    <col min="12" max="12" width="15.7109375" style="293" customWidth="1"/>
    <col min="13" max="13" width="1.85546875" style="283" hidden="1" customWidth="1"/>
    <col min="14" max="14" width="15.7109375" style="293" customWidth="1"/>
    <col min="15" max="15" width="33.140625" style="283" bestFit="1" customWidth="1"/>
    <col min="16" max="16" width="12.42578125" style="283" bestFit="1" customWidth="1"/>
    <col min="17" max="17" width="7.5703125" style="283" bestFit="1" customWidth="1"/>
    <col min="18" max="19" width="6.85546875" style="283"/>
    <col min="20" max="20" width="17.7109375" style="722" bestFit="1" customWidth="1"/>
    <col min="21" max="16384" width="6.85546875" style="283"/>
  </cols>
  <sheetData>
    <row r="1" spans="1:20" ht="23.45" hidden="1" customHeight="1">
      <c r="B1" s="1706" t="s">
        <v>406</v>
      </c>
      <c r="C1" s="1706"/>
      <c r="D1" s="1706"/>
      <c r="E1" s="1706"/>
      <c r="F1" s="1706"/>
      <c r="G1" s="1706"/>
      <c r="H1" s="1706"/>
      <c r="I1" s="1706"/>
      <c r="J1" s="1706"/>
      <c r="K1" s="1706"/>
      <c r="L1" s="1706"/>
      <c r="M1" s="1706"/>
      <c r="N1" s="1710"/>
    </row>
    <row r="2" spans="1:20" ht="18.75" hidden="1">
      <c r="B2" s="284"/>
      <c r="C2" s="285"/>
      <c r="D2" s="285"/>
      <c r="E2" s="285"/>
      <c r="F2" s="285"/>
      <c r="G2" s="285"/>
      <c r="H2" s="285"/>
      <c r="I2" s="285"/>
      <c r="J2" s="285"/>
      <c r="K2" s="285"/>
      <c r="L2" s="285"/>
      <c r="M2" s="285"/>
      <c r="N2" s="285"/>
    </row>
    <row r="3" spans="1:20" ht="35.450000000000003" customHeight="1">
      <c r="B3" s="1708" t="s">
        <v>564</v>
      </c>
      <c r="C3" s="1708"/>
      <c r="D3" s="1708"/>
      <c r="E3" s="1708"/>
      <c r="F3" s="1708"/>
      <c r="G3" s="1708"/>
      <c r="H3" s="1708"/>
      <c r="I3" s="1708"/>
      <c r="J3" s="1708"/>
      <c r="K3" s="1708"/>
      <c r="L3" s="1708"/>
      <c r="M3" s="1708"/>
      <c r="N3" s="1708"/>
    </row>
    <row r="4" spans="1:20" ht="32.25" customHeight="1" thickBot="1">
      <c r="B4" s="1711"/>
      <c r="C4" s="1711"/>
      <c r="D4" s="1711"/>
      <c r="E4" s="1711"/>
      <c r="F4" s="1711"/>
      <c r="G4" s="1711"/>
      <c r="H4" s="1711"/>
      <c r="I4" s="1711"/>
      <c r="J4" s="1711"/>
      <c r="K4" s="1711"/>
      <c r="L4" s="1711"/>
      <c r="M4" s="1711"/>
      <c r="N4" s="1711"/>
    </row>
    <row r="5" spans="1:20" s="1125" customFormat="1" ht="52.9" customHeight="1" thickBot="1">
      <c r="B5" s="1126"/>
      <c r="C5" s="1127" t="s">
        <v>981</v>
      </c>
      <c r="D5" s="1136"/>
      <c r="E5" s="1136"/>
      <c r="F5" s="1128" t="s">
        <v>982</v>
      </c>
      <c r="G5" s="1137" t="s">
        <v>407</v>
      </c>
      <c r="H5" s="1136"/>
      <c r="I5" s="1128" t="s">
        <v>980</v>
      </c>
      <c r="J5" s="1138" t="s">
        <v>1</v>
      </c>
      <c r="K5" s="1136"/>
      <c r="L5" s="1141" t="s">
        <v>989</v>
      </c>
      <c r="M5" s="1136"/>
      <c r="N5" s="1129" t="s">
        <v>985</v>
      </c>
      <c r="T5" s="1139"/>
    </row>
    <row r="6" spans="1:20">
      <c r="B6" s="288"/>
      <c r="C6" s="288"/>
      <c r="D6" s="289"/>
      <c r="E6" s="289"/>
      <c r="F6" s="288"/>
      <c r="G6" s="288"/>
      <c r="H6" s="289"/>
      <c r="I6" s="288"/>
      <c r="J6" s="290"/>
      <c r="K6" s="289"/>
      <c r="L6" s="291"/>
      <c r="M6" s="289"/>
      <c r="N6" s="291"/>
      <c r="O6" s="336" t="str">
        <f>B20</f>
        <v>Salaries &amp; Wages</v>
      </c>
      <c r="P6" s="333" t="e">
        <f>L20</f>
        <v>#REF!</v>
      </c>
      <c r="Q6" s="966" t="e">
        <f>ROUND(P6/$P$14,3)</f>
        <v>#REF!</v>
      </c>
    </row>
    <row r="7" spans="1:20" ht="15.75">
      <c r="B7" s="299" t="s">
        <v>2</v>
      </c>
      <c r="C7" s="299"/>
      <c r="D7" s="1223"/>
      <c r="E7" s="300"/>
      <c r="F7" s="300"/>
      <c r="G7" s="301"/>
      <c r="H7" s="300"/>
      <c r="I7" s="301"/>
      <c r="J7" s="300"/>
      <c r="K7" s="300"/>
      <c r="L7" s="302"/>
      <c r="M7" s="300"/>
      <c r="N7" s="302"/>
      <c r="O7" s="336" t="str">
        <f>B21</f>
        <v>Fringe Benefits</v>
      </c>
      <c r="P7" s="333" t="e">
        <f>L21</f>
        <v>#REF!</v>
      </c>
      <c r="Q7" s="966" t="e">
        <f>ROUNDUP(P7/$P$14,3)</f>
        <v>#REF!</v>
      </c>
    </row>
    <row r="8" spans="1:20" ht="21">
      <c r="A8" s="321" t="s">
        <v>354</v>
      </c>
      <c r="B8" s="298" t="s">
        <v>4</v>
      </c>
      <c r="C8" s="1268" t="e">
        <f>VLOOKUP(A8,#REF!,2,FALSE)+ROUND(ROUND(VLOOKUP(A8,#REF!,2,FALSE),2),2)+ROUNDDOWN(VLOOKUP(A8,#REF!,2,FALSE),0)</f>
        <v>#REF!</v>
      </c>
      <c r="D8" s="1268"/>
      <c r="E8" s="1243"/>
      <c r="F8" s="1268" t="e">
        <f>VLOOKUP(A8,#REF!,3,FALSE)+ROUND(ROUND(VLOOKUP(A8,#REF!,3,FALSE),2),2)+ROUNDDOWN(VLOOKUP(A8,#REF!,3,FALSE),0)</f>
        <v>#REF!</v>
      </c>
      <c r="G8" s="1268">
        <v>7092228</v>
      </c>
      <c r="H8" s="1268"/>
      <c r="I8" s="1268" t="e">
        <f>VLOOKUP(A8,#REF!,4,FALSE)+ROUND(ROUND(VLOOKUP(A8,#REF!,4,FALSE),2),2)+ROUNDDOWN(VLOOKUP(A8,#REF!,4,FALSE),0)</f>
        <v>#REF!</v>
      </c>
      <c r="J8" s="1268" t="e">
        <f>I8-F8</f>
        <v>#REF!</v>
      </c>
      <c r="K8" s="1268"/>
      <c r="L8" s="1268" t="e">
        <f>VLOOKUP(A8,#REF!,5,FALSE)+ROUND(ROUND(VLOOKUP(A8,#REF!,5,FALSE),2),2)+ROUNDDOWN(VLOOKUP(A8,#REF!,5,FALSE),0)</f>
        <v>#REF!</v>
      </c>
      <c r="M8" s="1268"/>
      <c r="N8" s="1268" t="e">
        <f>L8-F8</f>
        <v>#REF!</v>
      </c>
      <c r="O8" s="336" t="str">
        <f>B22</f>
        <v>Services &amp; Materials</v>
      </c>
      <c r="P8" s="333" t="e">
        <f>L22</f>
        <v>#REF!</v>
      </c>
      <c r="Q8" s="966" t="e">
        <f>ROUND(P8/$P$14,3)</f>
        <v>#REF!</v>
      </c>
    </row>
    <row r="9" spans="1:20" ht="15.75">
      <c r="A9" s="321" t="s">
        <v>336</v>
      </c>
      <c r="B9" s="305" t="s">
        <v>6</v>
      </c>
      <c r="C9" s="303" t="e">
        <f>VLOOKUP(A9,#REF!,2,FALSE)</f>
        <v>#REF!</v>
      </c>
      <c r="D9" s="1224"/>
      <c r="E9" s="303"/>
      <c r="F9" s="303" t="e">
        <f>VLOOKUP(A9,#REF!,3,FALSE)</f>
        <v>#REF!</v>
      </c>
      <c r="G9" s="304">
        <v>7092228</v>
      </c>
      <c r="H9" s="303"/>
      <c r="I9" s="304" t="e">
        <f>VLOOKUP(A9,#REF!,4,FALSE)</f>
        <v>#REF!</v>
      </c>
      <c r="J9" s="300" t="e">
        <f>I9-F9</f>
        <v>#REF!</v>
      </c>
      <c r="K9" s="303"/>
      <c r="L9" s="303" t="e">
        <f>ROUNDDOWN(VLOOKUP(A9,#REF!,5,FALSE),0)</f>
        <v>#REF!</v>
      </c>
      <c r="M9" s="303"/>
      <c r="N9" s="1160" t="e">
        <f>L9-F9</f>
        <v>#REF!</v>
      </c>
      <c r="O9" s="346" t="str">
        <f>B23</f>
        <v>Other Operating Expenses</v>
      </c>
      <c r="P9" s="341" t="e">
        <f>L23</f>
        <v>#REF!</v>
      </c>
      <c r="Q9" s="966" t="e">
        <f>ROUNDUP(P9/$P$14,3)</f>
        <v>#REF!</v>
      </c>
    </row>
    <row r="10" spans="1:20" ht="15.75">
      <c r="A10" s="321" t="s">
        <v>338</v>
      </c>
      <c r="B10" s="305" t="s">
        <v>8</v>
      </c>
      <c r="C10" s="1224" t="e">
        <f>VLOOKUP(A10,#REF!,2,FALSE)+ROUND(ROUND(VLOOKUP(A10,#REF!,2,FALSE),2),2)+ROUNDDOWN(VLOOKUP(A10,#REF!,2,FALSE),0)</f>
        <v>#REF!</v>
      </c>
      <c r="D10" s="1224"/>
      <c r="E10" s="303"/>
      <c r="F10" s="303" t="e">
        <f>VLOOKUP(A10,#REF!,3,FALSE)+ROUND(ROUND(VLOOKUP(A10,#REF!,3,FALSE),2),2)+ROUNDDOWN(VLOOKUP(A10,#REF!,3,FALSE),0)</f>
        <v>#REF!</v>
      </c>
      <c r="G10" s="304">
        <v>7092228</v>
      </c>
      <c r="H10" s="303"/>
      <c r="I10" s="304" t="e">
        <f>VLOOKUP(A10,#REF!,4,FALSE)+ROUND(ROUND(VLOOKUP(A10,#REF!,4,FALSE),2),2)+ROUNDDOWN(VLOOKUP(A10,#REF!,4,FALSE),0)</f>
        <v>#REF!</v>
      </c>
      <c r="J10" s="300" t="e">
        <f>I10-F10</f>
        <v>#REF!</v>
      </c>
      <c r="K10" s="303"/>
      <c r="L10" s="303" t="e">
        <f>ROUNDDOWN(VLOOKUP(A10,#REF!,5,FALSE)+ROUND(ROUND(VLOOKUP(A10,#REF!,5,FALSE),2),2)+ROUNDDOWN(VLOOKUP(A10,#REF!,5,FALSE),0),0)</f>
        <v>#REF!</v>
      </c>
      <c r="M10" s="303"/>
      <c r="N10" s="1160" t="e">
        <f>L10-F10</f>
        <v>#REF!</v>
      </c>
      <c r="O10" s="346" t="str">
        <f>B24</f>
        <v>Capital Outlay</v>
      </c>
      <c r="P10" s="341" t="e">
        <f>L24</f>
        <v>#REF!</v>
      </c>
      <c r="Q10" s="966" t="e">
        <f>ROUND(P10/$P$14,3)</f>
        <v>#REF!</v>
      </c>
    </row>
    <row r="11" spans="1:20" s="293" customFormat="1" ht="15.75" hidden="1">
      <c r="B11" s="311" t="s">
        <v>319</v>
      </c>
      <c r="C11" s="517">
        <v>0</v>
      </c>
      <c r="D11" s="532"/>
      <c r="E11" s="532"/>
      <c r="F11" s="549">
        <v>0</v>
      </c>
      <c r="G11" s="539">
        <f>F11</f>
        <v>0</v>
      </c>
      <c r="H11" s="532"/>
      <c r="I11" s="517">
        <v>0</v>
      </c>
      <c r="J11" s="540"/>
      <c r="K11" s="532"/>
      <c r="L11" s="517">
        <v>0</v>
      </c>
      <c r="M11" s="306"/>
      <c r="N11" s="1160">
        <f>L11-F11</f>
        <v>0</v>
      </c>
      <c r="T11" s="725">
        <f>L73</f>
        <v>0</v>
      </c>
    </row>
    <row r="12" spans="1:20" s="625" customFormat="1" ht="15.75">
      <c r="B12" s="622" t="s">
        <v>9</v>
      </c>
      <c r="C12" s="308" t="e">
        <f>SUM(C8:C11)</f>
        <v>#REF!</v>
      </c>
      <c r="D12" s="1225"/>
      <c r="E12" s="308"/>
      <c r="F12" s="308" t="e">
        <f>SUM(F8:F11)</f>
        <v>#REF!</v>
      </c>
      <c r="G12" s="308">
        <f>SUM(G8:G11)</f>
        <v>21276684</v>
      </c>
      <c r="H12" s="308"/>
      <c r="I12" s="308" t="e">
        <f>SUM(I8:I11)</f>
        <v>#REF!</v>
      </c>
      <c r="J12" s="308" t="e">
        <f>SUM(J8:J11)</f>
        <v>#REF!</v>
      </c>
      <c r="K12" s="308"/>
      <c r="L12" s="308" t="e">
        <f>SUM(L8:L11)</f>
        <v>#REF!</v>
      </c>
      <c r="M12" s="308"/>
      <c r="N12" s="1153" t="e">
        <f>L12-F12</f>
        <v>#REF!</v>
      </c>
      <c r="O12" s="346" t="s">
        <v>38</v>
      </c>
      <c r="P12" s="341" t="e">
        <f>L25+L26</f>
        <v>#REF!</v>
      </c>
      <c r="Q12" s="966" t="e">
        <f>ROUND(P12/$P$14,3)</f>
        <v>#REF!</v>
      </c>
      <c r="T12" s="792"/>
    </row>
    <row r="13" spans="1:20" s="293" customFormat="1" ht="15.75">
      <c r="B13" s="310"/>
      <c r="C13" s="310"/>
      <c r="D13" s="304"/>
      <c r="E13" s="304"/>
      <c r="F13" s="304"/>
      <c r="G13" s="304"/>
      <c r="H13" s="304"/>
      <c r="I13" s="304"/>
      <c r="J13" s="304"/>
      <c r="K13" s="304"/>
      <c r="L13" s="304"/>
      <c r="M13" s="304"/>
      <c r="N13" s="1154"/>
      <c r="O13" s="346" t="str">
        <f>MID(B32,7,55)</f>
        <v>Other Uses</v>
      </c>
      <c r="P13" s="341" t="e">
        <f>L32</f>
        <v>#REF!</v>
      </c>
      <c r="Q13" s="966" t="e">
        <f>ROUND(P13/$P$14,3)</f>
        <v>#REF!</v>
      </c>
      <c r="T13" s="723"/>
    </row>
    <row r="14" spans="1:20" s="293" customFormat="1" ht="16.5" thickBot="1">
      <c r="B14" s="313" t="s">
        <v>320</v>
      </c>
      <c r="C14" s="313"/>
      <c r="D14" s="306"/>
      <c r="E14" s="306"/>
      <c r="F14" s="304"/>
      <c r="G14" s="304"/>
      <c r="H14" s="306"/>
      <c r="I14" s="304"/>
      <c r="J14" s="304"/>
      <c r="K14" s="306"/>
      <c r="L14" s="306"/>
      <c r="M14" s="306"/>
      <c r="N14" s="1155"/>
      <c r="O14" s="350" t="str">
        <f>B33</f>
        <v>Total Resources Allocated</v>
      </c>
      <c r="P14" s="340" t="e">
        <f>SUM(P6:P13)</f>
        <v>#REF!</v>
      </c>
      <c r="Q14" s="668" t="e">
        <f>SUM(Q6:Q13)</f>
        <v>#REF!</v>
      </c>
      <c r="T14" s="723"/>
    </row>
    <row r="15" spans="1:20" s="293" customFormat="1" ht="16.5" thickTop="1">
      <c r="B15" s="311" t="s">
        <v>327</v>
      </c>
      <c r="C15" s="549" t="e">
        <f>C33-C12</f>
        <v>#REF!</v>
      </c>
      <c r="D15" s="306"/>
      <c r="E15" s="306"/>
      <c r="F15" s="306" t="e">
        <f>C32-F11</f>
        <v>#REF!</v>
      </c>
      <c r="G15" s="304" t="e">
        <f>F15</f>
        <v>#REF!</v>
      </c>
      <c r="H15" s="306"/>
      <c r="I15" s="304" t="e">
        <f>C32</f>
        <v>#REF!</v>
      </c>
      <c r="J15" s="302" t="e">
        <f>I15-F15</f>
        <v>#REF!</v>
      </c>
      <c r="K15" s="306"/>
      <c r="L15" s="306" t="e">
        <f>ROUND(I32,0)</f>
        <v>#REF!</v>
      </c>
      <c r="M15" s="306"/>
      <c r="N15" s="1160" t="e">
        <f>L15-F15</f>
        <v>#REF!</v>
      </c>
      <c r="O15" s="293">
        <f>14035279+1346748+197512+566074</f>
        <v>16145613</v>
      </c>
      <c r="T15" s="723"/>
    </row>
    <row r="16" spans="1:20" s="293" customFormat="1" ht="15.75">
      <c r="B16" s="622" t="s">
        <v>20</v>
      </c>
      <c r="C16" s="776" t="e">
        <f>SUM(C15:C15)</f>
        <v>#REF!</v>
      </c>
      <c r="D16" s="1225"/>
      <c r="E16" s="308"/>
      <c r="F16" s="308" t="e">
        <f>SUM(F15:F15)</f>
        <v>#REF!</v>
      </c>
      <c r="G16" s="308" t="e">
        <f>SUM(G15:G15)</f>
        <v>#REF!</v>
      </c>
      <c r="H16" s="308"/>
      <c r="I16" s="308" t="e">
        <f>SUM(I15:I15)</f>
        <v>#REF!</v>
      </c>
      <c r="J16" s="1064" t="e">
        <f>I16-F16</f>
        <v>#REF!</v>
      </c>
      <c r="K16" s="308"/>
      <c r="L16" s="308" t="e">
        <f>SUM(L15:L15)</f>
        <v>#REF!</v>
      </c>
      <c r="M16" s="308"/>
      <c r="N16" s="1153" t="e">
        <f>L16-F16</f>
        <v>#REF!</v>
      </c>
      <c r="O16" s="341"/>
      <c r="P16" s="341"/>
      <c r="Q16" s="348"/>
      <c r="R16" s="344"/>
      <c r="T16" s="775"/>
    </row>
    <row r="17" spans="1:22" s="293" customFormat="1" ht="16.5" thickBot="1">
      <c r="B17" s="616" t="s">
        <v>21</v>
      </c>
      <c r="C17" s="647" t="e">
        <f>C16+C12</f>
        <v>#REF!</v>
      </c>
      <c r="D17" s="1247"/>
      <c r="E17" s="647"/>
      <c r="F17" s="647" t="e">
        <f>F12+F16</f>
        <v>#REF!</v>
      </c>
      <c r="G17" s="647" t="e">
        <f>G12+G16</f>
        <v>#REF!</v>
      </c>
      <c r="H17" s="647"/>
      <c r="I17" s="647" t="e">
        <f>I12+I16</f>
        <v>#REF!</v>
      </c>
      <c r="J17" s="648" t="e">
        <f>I17-F17</f>
        <v>#REF!</v>
      </c>
      <c r="K17" s="647"/>
      <c r="L17" s="647" t="e">
        <f>L12+L16</f>
        <v>#REF!</v>
      </c>
      <c r="M17" s="647"/>
      <c r="N17" s="1158" t="e">
        <f>L17-F17</f>
        <v>#REF!</v>
      </c>
      <c r="O17" s="341">
        <f>6042-50000</f>
        <v>-43958</v>
      </c>
      <c r="P17" s="341">
        <f>O17+50000</f>
        <v>6042</v>
      </c>
      <c r="Q17" s="348"/>
      <c r="R17" s="344"/>
    </row>
    <row r="18" spans="1:22" s="293" customFormat="1" ht="16.5" thickTop="1">
      <c r="B18" s="316"/>
      <c r="C18" s="316"/>
      <c r="D18" s="304"/>
      <c r="E18" s="304"/>
      <c r="F18" s="304"/>
      <c r="G18" s="304"/>
      <c r="H18" s="304"/>
      <c r="I18" s="304"/>
      <c r="J18" s="304"/>
      <c r="K18" s="304"/>
      <c r="L18" s="304"/>
      <c r="M18" s="304"/>
      <c r="N18" s="1154"/>
      <c r="T18" s="723"/>
    </row>
    <row r="19" spans="1:22" s="293" customFormat="1" ht="15.75">
      <c r="B19" s="349" t="s">
        <v>10</v>
      </c>
      <c r="C19" s="349"/>
      <c r="D19" s="302"/>
      <c r="E19" s="302"/>
      <c r="F19" s="304"/>
      <c r="G19" s="304"/>
      <c r="H19" s="302"/>
      <c r="I19" s="304"/>
      <c r="J19" s="302"/>
      <c r="K19" s="302"/>
      <c r="L19" s="302"/>
      <c r="M19" s="302"/>
      <c r="N19" s="1159"/>
      <c r="T19" s="723"/>
    </row>
    <row r="20" spans="1:22" s="293" customFormat="1" ht="15.75">
      <c r="A20" s="621" t="s">
        <v>340</v>
      </c>
      <c r="B20" s="316" t="s">
        <v>11</v>
      </c>
      <c r="C20" s="303" t="e">
        <f>ROUNDUP(VLOOKUP(A20,#REF!,2,FALSE),0)</f>
        <v>#REF!</v>
      </c>
      <c r="D20" s="1224"/>
      <c r="E20" s="303"/>
      <c r="F20" s="303" t="e">
        <f>ROUND(VLOOKUP(A20,#REF!,3,FALSE),2)</f>
        <v>#REF!</v>
      </c>
      <c r="G20" s="304">
        <v>7092228</v>
      </c>
      <c r="H20" s="303"/>
      <c r="I20" s="304" t="e">
        <f>ROUND(VLOOKUP(A20,#REF!,4,FALSE),2)</f>
        <v>#REF!</v>
      </c>
      <c r="J20" s="300" t="e">
        <f t="shared" ref="J20:J25" si="0">I20-F20</f>
        <v>#REF!</v>
      </c>
      <c r="K20" s="303"/>
      <c r="L20" s="303" t="e">
        <f>ROUND(VLOOKUP(A20,#REF!,5,FALSE),2)</f>
        <v>#REF!</v>
      </c>
      <c r="M20" s="303"/>
      <c r="N20" s="1160" t="e">
        <f>L20-F20</f>
        <v>#REF!</v>
      </c>
      <c r="O20" s="341" t="str">
        <f>B8</f>
        <v>Licenses &amp; Permits</v>
      </c>
      <c r="P20" s="341" t="e">
        <f>L8</f>
        <v>#REF!</v>
      </c>
      <c r="Q20" s="608" t="e">
        <f>ROUND(P20/$P$25,3)</f>
        <v>#REF!</v>
      </c>
      <c r="T20" s="723"/>
    </row>
    <row r="21" spans="1:22" s="293" customFormat="1" ht="15.75">
      <c r="A21" s="621" t="s">
        <v>341</v>
      </c>
      <c r="B21" s="316" t="s">
        <v>12</v>
      </c>
      <c r="C21" s="303" t="e">
        <f>ROUNDUP(VLOOKUP(A21,#REF!,2,FALSE),0)</f>
        <v>#REF!</v>
      </c>
      <c r="D21" s="1224"/>
      <c r="E21" s="303"/>
      <c r="F21" s="303" t="e">
        <f>ROUND(VLOOKUP(A21,#REF!,3,FALSE),2)</f>
        <v>#REF!</v>
      </c>
      <c r="G21" s="304">
        <v>7092228</v>
      </c>
      <c r="H21" s="303"/>
      <c r="I21" s="304" t="e">
        <f>ROUND(VLOOKUP(A21,#REF!,4,FALSE),2)</f>
        <v>#REF!</v>
      </c>
      <c r="J21" s="300" t="e">
        <f t="shared" si="0"/>
        <v>#REF!</v>
      </c>
      <c r="K21" s="303"/>
      <c r="L21" s="303" t="e">
        <f>ROUND(VLOOKUP(A21,#REF!,5,FALSE),2)</f>
        <v>#REF!</v>
      </c>
      <c r="M21" s="303"/>
      <c r="N21" s="1160" t="e">
        <f t="shared" ref="N21:N26" si="1">L21-F21</f>
        <v>#REF!</v>
      </c>
      <c r="O21" s="341" t="str">
        <f>B9</f>
        <v>Charges For Services</v>
      </c>
      <c r="P21" s="341" t="e">
        <f>L9</f>
        <v>#REF!</v>
      </c>
      <c r="Q21" s="608" t="e">
        <f>ROUND(P21/$P$25,3)</f>
        <v>#REF!</v>
      </c>
      <c r="T21" s="723"/>
    </row>
    <row r="22" spans="1:22" s="293" customFormat="1" ht="21">
      <c r="A22" s="621" t="s">
        <v>342</v>
      </c>
      <c r="B22" s="316" t="s">
        <v>801</v>
      </c>
      <c r="C22" s="1224" t="e">
        <f>ROUNDUP(VLOOKUP(A22,#REF!,2,FALSE),0)+ROUND(ROUND(VLOOKUP(A22,#REF!,2,FALSE),2),2)+ROUNDDOWN(VLOOKUP(A22,#REF!,2,FALSE),0)</f>
        <v>#REF!</v>
      </c>
      <c r="D22" s="1224"/>
      <c r="E22" s="1224"/>
      <c r="F22" s="1224" t="e">
        <f>ROUNDDOWN(VLOOKUP(A22,#REF!,3,FALSE)+ROUND(ROUND(VLOOKUP(A22,#REF!,3,FALSE),2),2)+ROUNDDOWN(VLOOKUP(A22,#REF!,3,FALSE),0),0)</f>
        <v>#REF!</v>
      </c>
      <c r="G22" s="304">
        <v>7092228</v>
      </c>
      <c r="H22" s="1224"/>
      <c r="I22" s="304" t="e">
        <f>VLOOKUP(A22,#REF!,4,FALSE)+ROUND(ROUND(VLOOKUP(A22,#REF!,4,FALSE),2),2)+ROUNDDOWN(VLOOKUP(A22,#REF!,4,FALSE),0)</f>
        <v>#REF!</v>
      </c>
      <c r="J22" s="1223" t="e">
        <f>I22-F22</f>
        <v>#REF!</v>
      </c>
      <c r="K22" s="1224"/>
      <c r="L22" s="1224" t="e">
        <f>VLOOKUP(A22,#REF!,5,FALSE)+ROUND(ROUND(VLOOKUP(A22,#REF!,5,FALSE),2),2)+ROUND(VLOOKUP(A22,#REF!,5,FALSE),0)</f>
        <v>#REF!</v>
      </c>
      <c r="M22" s="1224"/>
      <c r="N22" s="1160" t="e">
        <f t="shared" si="1"/>
        <v>#REF!</v>
      </c>
      <c r="O22" s="341" t="str">
        <f>B10</f>
        <v>Miscellaneous</v>
      </c>
      <c r="P22" s="341" t="e">
        <f>L10</f>
        <v>#REF!</v>
      </c>
      <c r="Q22" s="608" t="e">
        <f>ROUNDUP(P22/$P$25,3)</f>
        <v>#REF!</v>
      </c>
      <c r="R22" s="344"/>
      <c r="S22" s="344"/>
      <c r="T22" s="723"/>
    </row>
    <row r="23" spans="1:22" s="293" customFormat="1" ht="15.75">
      <c r="A23" s="621" t="s">
        <v>343</v>
      </c>
      <c r="B23" s="316" t="s">
        <v>14</v>
      </c>
      <c r="C23" s="303" t="e">
        <f>ROUND(VLOOKUP(A23,#REF!,2,FALSE),0)+ROUND(ROUND(VLOOKUP(A23,#REF!,2,FALSE),2),2)+ROUND(VLOOKUP(A23,#REF!,2,FALSE),0)</f>
        <v>#REF!</v>
      </c>
      <c r="D23" s="1224"/>
      <c r="E23" s="303"/>
      <c r="F23" s="303" t="e">
        <f>ROUNDDOWN(VLOOKUP(A23,#REF!,3,FALSE)+(VLOOKUP(A23,#REF!,3,FALSE))+ROUNDDOWN(VLOOKUP(A23,#REF!,3,FALSE),0),0)</f>
        <v>#REF!</v>
      </c>
      <c r="G23" s="304">
        <v>7092228</v>
      </c>
      <c r="H23" s="303"/>
      <c r="I23" s="304" t="e">
        <f>VLOOKUP(A23,#REF!,4,FALSE)+ROUND(ROUND(VLOOKUP(A23,#REF!,4,FALSE),2),2)+ROUNDDOWN(VLOOKUP(A23,#REF!,4,FALSE),0)</f>
        <v>#REF!</v>
      </c>
      <c r="J23" s="300" t="e">
        <f>I23-F23</f>
        <v>#REF!</v>
      </c>
      <c r="K23" s="303"/>
      <c r="L23" s="303" t="e">
        <f>VLOOKUP(A23,#REF!,5,FALSE)+ROUND(ROUND(VLOOKUP(A23,#REF!,5,FALSE),2),2)+ROUND(VLOOKUP(A23,#REF!,5,FALSE),0)</f>
        <v>#REF!</v>
      </c>
      <c r="M23" s="303"/>
      <c r="N23" s="1160" t="e">
        <f t="shared" si="1"/>
        <v>#REF!</v>
      </c>
      <c r="O23" s="341" t="str">
        <f>B11</f>
        <v>Appropriated Fund Balance</v>
      </c>
      <c r="P23" s="341">
        <f>L11</f>
        <v>0</v>
      </c>
      <c r="Q23" s="608" t="e">
        <f>ROUND(P23/$P$25,3)</f>
        <v>#REF!</v>
      </c>
      <c r="R23" s="344"/>
      <c r="S23" s="344"/>
      <c r="T23" s="723"/>
    </row>
    <row r="24" spans="1:22" s="293" customFormat="1" ht="15.75">
      <c r="A24" s="621" t="s">
        <v>350</v>
      </c>
      <c r="B24" s="316" t="s">
        <v>15</v>
      </c>
      <c r="C24" s="1240" t="e">
        <f>ROUNDUP(VLOOKUP(A24,#REF!,2,FALSE),2)+ROUND(VLOOKUP(A24,#REF!,2,FALSE),0)</f>
        <v>#REF!</v>
      </c>
      <c r="D24" s="517"/>
      <c r="E24" s="303"/>
      <c r="F24" s="1224" t="e">
        <f>ROUND(VLOOKUP(A24,#REF!,3,FALSE),2)+ROUND(VLOOKUP(A24,#REF!,3,FALSE),0)</f>
        <v>#REF!</v>
      </c>
      <c r="G24" s="539">
        <v>7092228</v>
      </c>
      <c r="H24" s="517"/>
      <c r="I24" s="304" t="e">
        <f>ROUND(VLOOKUP(A24,#REF!,4,FALSE),2)</f>
        <v>#REF!</v>
      </c>
      <c r="J24" s="543" t="e">
        <f t="shared" si="0"/>
        <v>#REF!</v>
      </c>
      <c r="K24" s="517"/>
      <c r="L24" s="549" t="e">
        <f>ROUND(VLOOKUP(A24,#REF!,5,FALSE),2)</f>
        <v>#REF!</v>
      </c>
      <c r="M24" s="303"/>
      <c r="N24" s="1160" t="e">
        <f t="shared" si="1"/>
        <v>#REF!</v>
      </c>
      <c r="O24" s="341" t="str">
        <f>MID(B16,7,55)</f>
        <v>Other Resources</v>
      </c>
      <c r="P24" s="341" t="e">
        <f>L16</f>
        <v>#REF!</v>
      </c>
      <c r="Q24" s="608" t="e">
        <f>ROUND(P24/$P$25,3)</f>
        <v>#REF!</v>
      </c>
      <c r="R24" s="344"/>
      <c r="S24" s="344"/>
      <c r="T24" s="723"/>
    </row>
    <row r="25" spans="1:22" s="293" customFormat="1" ht="16.5" thickBot="1">
      <c r="A25" s="621" t="s">
        <v>346</v>
      </c>
      <c r="B25" s="316" t="s">
        <v>1000</v>
      </c>
      <c r="C25" s="1240">
        <v>648254</v>
      </c>
      <c r="D25" s="1224"/>
      <c r="E25" s="303"/>
      <c r="F25" s="1240">
        <v>982883.5</v>
      </c>
      <c r="G25" s="304">
        <v>7092228</v>
      </c>
      <c r="H25" s="303"/>
      <c r="I25" s="539">
        <v>0</v>
      </c>
      <c r="J25" s="300">
        <f t="shared" si="0"/>
        <v>-982883.5</v>
      </c>
      <c r="K25" s="303"/>
      <c r="L25" s="517">
        <v>0</v>
      </c>
      <c r="M25" s="303"/>
      <c r="N25" s="1160">
        <f t="shared" si="1"/>
        <v>-982883.5</v>
      </c>
      <c r="O25" s="655" t="str">
        <f>B17</f>
        <v>Total Resources Available</v>
      </c>
      <c r="P25" s="656" t="e">
        <f>SUM(P20:P24)</f>
        <v>#REF!</v>
      </c>
      <c r="Q25" s="697" t="e">
        <f>SUM(Q20:Q24)</f>
        <v>#REF!</v>
      </c>
      <c r="R25" s="344"/>
      <c r="S25" s="344"/>
      <c r="T25" s="723"/>
    </row>
    <row r="26" spans="1:22" s="293" customFormat="1" ht="16.5" thickTop="1">
      <c r="A26" s="658"/>
      <c r="B26" s="316" t="s">
        <v>999</v>
      </c>
      <c r="C26" s="1224" t="e">
        <f>ROUND(VLOOKUP(A25,#REF!,2,FALSE)-C25,0)</f>
        <v>#REF!</v>
      </c>
      <c r="D26" s="1224"/>
      <c r="E26" s="1224"/>
      <c r="F26" s="1240" t="e">
        <f>ROUNDDOWN(VLOOKUP(A25,#REF!,3,FALSE),2)-F25</f>
        <v>#REF!</v>
      </c>
      <c r="G26" s="304"/>
      <c r="H26" s="1224"/>
      <c r="I26" s="1241" t="e">
        <f>ROUND(VLOOKUP(A25,#REF!,4,FALSE),2)-I25</f>
        <v>#REF!</v>
      </c>
      <c r="J26" s="1223"/>
      <c r="K26" s="1224"/>
      <c r="L26" s="1224" t="e">
        <f>ROUND(VLOOKUP(A25,#REF!,5,FALSE),2)-L25</f>
        <v>#REF!</v>
      </c>
      <c r="M26" s="1224"/>
      <c r="N26" s="1160" t="e">
        <f t="shared" si="1"/>
        <v>#REF!</v>
      </c>
      <c r="O26" s="344"/>
      <c r="P26" s="538"/>
      <c r="Q26" s="673"/>
      <c r="R26" s="344"/>
      <c r="S26" s="344"/>
      <c r="T26" s="723"/>
    </row>
    <row r="27" spans="1:22" s="293" customFormat="1" ht="15.75">
      <c r="B27" s="622" t="s">
        <v>22</v>
      </c>
      <c r="C27" s="308" t="e">
        <f>ROUNDDOWN(SUM(C20:C26),0)</f>
        <v>#REF!</v>
      </c>
      <c r="D27" s="1225"/>
      <c r="E27" s="308"/>
      <c r="F27" s="1225" t="e">
        <f>ROUNDUP(SUM(F20:F26),0)</f>
        <v>#REF!</v>
      </c>
      <c r="G27" s="308">
        <f t="shared" ref="G27:J27" si="2">SUM(G20:G25)</f>
        <v>42553368</v>
      </c>
      <c r="H27" s="308"/>
      <c r="I27" s="1225" t="e">
        <f>SUM(I20:I26)</f>
        <v>#REF!</v>
      </c>
      <c r="J27" s="308" t="e">
        <f t="shared" si="2"/>
        <v>#REF!</v>
      </c>
      <c r="K27" s="308"/>
      <c r="L27" s="1225" t="e">
        <f>SUM(L20:L26)</f>
        <v>#REF!</v>
      </c>
      <c r="M27" s="308"/>
      <c r="N27" s="1153" t="e">
        <f>L27-F27</f>
        <v>#REF!</v>
      </c>
      <c r="O27" s="344"/>
      <c r="P27" s="344"/>
      <c r="Q27" s="344"/>
      <c r="R27" s="344"/>
      <c r="S27" s="344"/>
      <c r="T27" s="1757"/>
      <c r="U27" s="344"/>
      <c r="V27" s="344"/>
    </row>
    <row r="28" spans="1:22" s="293" customFormat="1" ht="15.75">
      <c r="B28" s="311"/>
      <c r="C28" s="311"/>
      <c r="D28" s="304"/>
      <c r="E28" s="304"/>
      <c r="F28" s="304"/>
      <c r="G28" s="304"/>
      <c r="H28" s="304"/>
      <c r="I28" s="304"/>
      <c r="J28" s="304"/>
      <c r="K28" s="304"/>
      <c r="L28" s="304"/>
      <c r="M28" s="304"/>
      <c r="N28" s="1154"/>
      <c r="O28" s="344"/>
      <c r="P28" s="344"/>
      <c r="Q28" s="344"/>
      <c r="R28" s="344"/>
      <c r="S28" s="344"/>
      <c r="T28" s="729"/>
      <c r="U28" s="344"/>
      <c r="V28" s="344"/>
    </row>
    <row r="29" spans="1:22" s="293" customFormat="1" ht="15.75">
      <c r="B29" s="313" t="s">
        <v>321</v>
      </c>
      <c r="C29" s="313"/>
      <c r="D29" s="311"/>
      <c r="E29" s="311"/>
      <c r="F29" s="311"/>
      <c r="G29" s="311"/>
      <c r="H29" s="311"/>
      <c r="I29" s="311"/>
      <c r="J29" s="311"/>
      <c r="K29" s="311"/>
      <c r="L29" s="311"/>
      <c r="M29" s="311"/>
      <c r="N29" s="1159"/>
      <c r="O29" s="344"/>
      <c r="P29" s="344"/>
      <c r="Q29" s="344"/>
      <c r="R29" s="344"/>
      <c r="S29" s="344"/>
      <c r="T29" s="729"/>
      <c r="U29" s="344"/>
      <c r="V29" s="344"/>
    </row>
    <row r="30" spans="1:22" s="293" customFormat="1" ht="15.75">
      <c r="B30" s="316" t="s">
        <v>322</v>
      </c>
      <c r="C30" s="1241" t="e">
        <f>#REF!+#REF!</f>
        <v>#REF!</v>
      </c>
      <c r="D30" s="539"/>
      <c r="E30" s="539"/>
      <c r="F30" s="1241" t="e">
        <f>#REF!+#REF!</f>
        <v>#REF!</v>
      </c>
      <c r="G30" s="539" t="e">
        <f>F30</f>
        <v>#REF!</v>
      </c>
      <c r="H30" s="539"/>
      <c r="I30" s="1241" t="e">
        <f>#REF!+#REF!</f>
        <v>#REF!</v>
      </c>
      <c r="J30" s="539" t="e">
        <f>F30-I30</f>
        <v>#REF!</v>
      </c>
      <c r="K30" s="539"/>
      <c r="L30" s="1241" t="e">
        <f>#REF!+#REF!</f>
        <v>#REF!</v>
      </c>
      <c r="M30" s="539"/>
      <c r="N30" s="1240" t="e">
        <f>L30-F30</f>
        <v>#REF!</v>
      </c>
      <c r="O30" s="538"/>
      <c r="P30" s="729"/>
      <c r="Q30" s="1277"/>
      <c r="R30" s="344"/>
      <c r="S30" s="344"/>
      <c r="T30" s="344"/>
      <c r="U30" s="344"/>
      <c r="V30" s="344"/>
    </row>
    <row r="31" spans="1:22" s="293" customFormat="1" ht="15.75">
      <c r="B31" s="316" t="s">
        <v>31</v>
      </c>
      <c r="C31" s="545">
        <v>13333532</v>
      </c>
      <c r="D31" s="304"/>
      <c r="E31" s="304"/>
      <c r="F31" s="545" t="e">
        <f>F17-F27-F30</f>
        <v>#REF!</v>
      </c>
      <c r="G31" s="304">
        <v>5061576</v>
      </c>
      <c r="H31" s="304"/>
      <c r="I31" s="545" t="e">
        <f>ROUNDUP(I17-I27-I30,0)</f>
        <v>#REF!</v>
      </c>
      <c r="J31" s="302"/>
      <c r="K31" s="304"/>
      <c r="L31" s="545">
        <v>20619188</v>
      </c>
      <c r="M31" s="304"/>
      <c r="N31" s="1154" t="e">
        <f>L31-F31</f>
        <v>#REF!</v>
      </c>
      <c r="O31" s="344"/>
      <c r="P31" s="344"/>
      <c r="Q31" s="344"/>
      <c r="R31" s="344"/>
      <c r="S31" s="344"/>
      <c r="T31" s="729"/>
      <c r="U31" s="344"/>
      <c r="V31" s="344"/>
    </row>
    <row r="32" spans="1:22" s="625" customFormat="1" ht="15.75">
      <c r="B32" s="1246" t="s">
        <v>323</v>
      </c>
      <c r="C32" s="309" t="e">
        <f>SUM(C30:C31)</f>
        <v>#REF!</v>
      </c>
      <c r="D32" s="1225"/>
      <c r="E32" s="308"/>
      <c r="F32" s="308" t="e">
        <f>SUM(F30:F31)</f>
        <v>#REF!</v>
      </c>
      <c r="G32" s="308" t="e">
        <f>SUM(G30:G31)</f>
        <v>#REF!</v>
      </c>
      <c r="H32" s="308"/>
      <c r="I32" s="308" t="e">
        <f>SUM(I30:I31)</f>
        <v>#REF!</v>
      </c>
      <c r="J32" s="308" t="e">
        <f>SUM(J30:J30)</f>
        <v>#REF!</v>
      </c>
      <c r="K32" s="308"/>
      <c r="L32" s="308" t="e">
        <f>SUM(L30:L31)</f>
        <v>#REF!</v>
      </c>
      <c r="M32" s="308"/>
      <c r="N32" s="1153" t="e">
        <f>L32-F32</f>
        <v>#REF!</v>
      </c>
      <c r="O32" s="661"/>
      <c r="P32" s="661"/>
      <c r="Q32" s="661"/>
      <c r="R32" s="661"/>
      <c r="S32" s="661"/>
      <c r="T32" s="1277"/>
      <c r="U32" s="661"/>
      <c r="V32" s="661"/>
    </row>
    <row r="33" spans="2:22" s="293" customFormat="1" ht="16.5" thickBot="1">
      <c r="B33" s="616" t="s">
        <v>25</v>
      </c>
      <c r="C33" s="1267" t="e">
        <f>C32+C27</f>
        <v>#REF!</v>
      </c>
      <c r="D33" s="1267"/>
      <c r="E33" s="1267"/>
      <c r="F33" s="1267" t="e">
        <f>F27+F32</f>
        <v>#REF!</v>
      </c>
      <c r="G33" s="1267" t="e">
        <f>G27+G32</f>
        <v>#REF!</v>
      </c>
      <c r="H33" s="1267"/>
      <c r="I33" s="1267" t="e">
        <f>ROUNDDOWN(I27+I32,0)</f>
        <v>#REF!</v>
      </c>
      <c r="J33" s="627" t="e">
        <f>F33-I33</f>
        <v>#REF!</v>
      </c>
      <c r="K33" s="627"/>
      <c r="L33" s="1267" t="e">
        <f>L27+L32</f>
        <v>#REF!</v>
      </c>
      <c r="M33" s="1267"/>
      <c r="N33" s="1267" t="e">
        <f>L33-F33</f>
        <v>#REF!</v>
      </c>
      <c r="O33" s="344"/>
      <c r="P33" s="344"/>
      <c r="Q33" s="344"/>
      <c r="R33" s="344"/>
      <c r="S33" s="344"/>
      <c r="T33" s="344"/>
      <c r="U33" s="344"/>
      <c r="V33" s="344"/>
    </row>
    <row r="34" spans="2:22" s="293" customFormat="1" ht="16.5" thickTop="1">
      <c r="B34" s="313"/>
      <c r="C34" s="310"/>
      <c r="D34" s="332"/>
      <c r="E34" s="332"/>
      <c r="F34" s="332"/>
      <c r="G34" s="332"/>
      <c r="H34" s="332"/>
      <c r="I34" s="332"/>
      <c r="J34" s="310"/>
      <c r="K34" s="332"/>
      <c r="L34" s="332"/>
      <c r="M34" s="332"/>
      <c r="N34" s="544"/>
      <c r="O34" s="344"/>
      <c r="P34" s="344"/>
      <c r="Q34" s="344"/>
      <c r="R34" s="344"/>
      <c r="S34" s="344"/>
      <c r="T34" s="729"/>
      <c r="U34" s="344"/>
      <c r="V34" s="344"/>
    </row>
    <row r="35" spans="2:22" s="293" customFormat="1" ht="15.75">
      <c r="B35" s="313"/>
      <c r="C35" s="310"/>
      <c r="D35" s="332"/>
      <c r="E35" s="332"/>
      <c r="F35" s="332"/>
      <c r="G35" s="332"/>
      <c r="H35" s="332"/>
      <c r="I35" s="332"/>
      <c r="J35" s="310"/>
      <c r="K35" s="332"/>
      <c r="L35" s="332"/>
      <c r="M35" s="332"/>
      <c r="N35" s="332"/>
      <c r="O35" s="344"/>
      <c r="P35" s="344"/>
      <c r="Q35" s="344"/>
      <c r="R35" s="344"/>
      <c r="S35" s="344"/>
      <c r="T35" s="729"/>
      <c r="U35" s="344"/>
      <c r="V35" s="344"/>
    </row>
    <row r="36" spans="2:22" s="293" customFormat="1" ht="15.75">
      <c r="B36" s="313"/>
      <c r="C36" s="310"/>
      <c r="D36" s="332"/>
      <c r="E36" s="332"/>
      <c r="F36" s="332"/>
      <c r="G36" s="332"/>
      <c r="H36" s="332"/>
      <c r="I36" s="332"/>
      <c r="J36" s="310"/>
      <c r="K36" s="332"/>
      <c r="L36" s="332"/>
      <c r="M36" s="332"/>
      <c r="N36" s="332"/>
      <c r="O36" s="344"/>
      <c r="P36" s="344"/>
      <c r="Q36" s="344"/>
      <c r="R36" s="344"/>
      <c r="S36" s="344"/>
      <c r="T36" s="729"/>
      <c r="U36" s="344"/>
      <c r="V36" s="344"/>
    </row>
    <row r="37" spans="2:22" s="293" customFormat="1" ht="15.75">
      <c r="B37" s="313"/>
      <c r="C37" s="310"/>
      <c r="D37" s="332"/>
      <c r="E37" s="332"/>
      <c r="F37" s="332"/>
      <c r="G37" s="332"/>
      <c r="H37" s="332"/>
      <c r="I37" s="332"/>
      <c r="J37" s="310"/>
      <c r="K37" s="332"/>
      <c r="L37" s="332"/>
      <c r="M37" s="332"/>
      <c r="N37" s="332"/>
      <c r="O37" s="729"/>
      <c r="P37" s="344"/>
      <c r="Q37" s="344"/>
      <c r="R37" s="344"/>
      <c r="S37" s="344"/>
      <c r="T37" s="729"/>
      <c r="U37" s="344"/>
      <c r="V37" s="344"/>
    </row>
    <row r="38" spans="2:22" s="293" customFormat="1" ht="15.75">
      <c r="B38" s="313"/>
      <c r="C38" s="310"/>
      <c r="D38" s="332"/>
      <c r="E38" s="332"/>
      <c r="F38" s="332"/>
      <c r="G38" s="332"/>
      <c r="H38" s="332"/>
      <c r="I38" s="332"/>
      <c r="J38" s="310"/>
      <c r="K38" s="332"/>
      <c r="L38" s="332"/>
      <c r="M38" s="332"/>
      <c r="N38" s="332"/>
      <c r="O38" s="344"/>
      <c r="P38" s="344"/>
      <c r="Q38" s="729"/>
      <c r="R38" s="344"/>
      <c r="S38" s="729"/>
      <c r="T38" s="729"/>
      <c r="U38" s="344"/>
      <c r="V38" s="344"/>
    </row>
    <row r="39" spans="2:22" s="293" customFormat="1" ht="15.75">
      <c r="B39" s="313"/>
      <c r="C39" s="310"/>
      <c r="D39" s="332"/>
      <c r="E39" s="332"/>
      <c r="F39" s="332"/>
      <c r="G39" s="332"/>
      <c r="H39" s="332"/>
      <c r="I39" s="332"/>
      <c r="J39" s="310"/>
      <c r="K39" s="332"/>
      <c r="L39" s="332"/>
      <c r="M39" s="332"/>
      <c r="N39" s="332"/>
      <c r="O39" s="344"/>
      <c r="P39" s="344"/>
      <c r="Q39" s="729"/>
      <c r="R39" s="344"/>
      <c r="S39" s="729"/>
      <c r="T39" s="729"/>
      <c r="U39" s="344"/>
      <c r="V39" s="344"/>
    </row>
    <row r="40" spans="2:22" s="293" customFormat="1" ht="15.75">
      <c r="B40" s="313"/>
      <c r="C40" s="310"/>
      <c r="D40" s="332"/>
      <c r="E40" s="332"/>
      <c r="F40" s="332"/>
      <c r="G40" s="332"/>
      <c r="H40" s="332"/>
      <c r="I40" s="332"/>
      <c r="J40" s="310"/>
      <c r="K40" s="332"/>
      <c r="L40" s="332"/>
      <c r="M40" s="332"/>
      <c r="N40" s="332"/>
      <c r="O40" s="344"/>
      <c r="P40" s="344"/>
      <c r="Q40" s="729"/>
      <c r="R40" s="344"/>
      <c r="S40" s="729"/>
      <c r="T40" s="729"/>
      <c r="U40" s="344"/>
      <c r="V40" s="344"/>
    </row>
    <row r="41" spans="2:22" s="293" customFormat="1" ht="15.75">
      <c r="B41" s="313"/>
      <c r="C41" s="310"/>
      <c r="D41" s="332"/>
      <c r="E41" s="332"/>
      <c r="F41" s="332"/>
      <c r="G41" s="332"/>
      <c r="H41" s="332"/>
      <c r="I41" s="332"/>
      <c r="J41" s="310"/>
      <c r="K41" s="332"/>
      <c r="L41" s="332"/>
      <c r="M41" s="332"/>
      <c r="N41" s="332"/>
      <c r="O41" s="344"/>
      <c r="P41" s="344"/>
      <c r="Q41" s="729"/>
      <c r="R41" s="729"/>
      <c r="S41" s="729"/>
      <c r="T41" s="729"/>
      <c r="U41" s="344"/>
      <c r="V41" s="344"/>
    </row>
    <row r="42" spans="2:22" s="293" customFormat="1" ht="15.75">
      <c r="B42" s="313"/>
      <c r="C42" s="310"/>
      <c r="D42" s="332"/>
      <c r="E42" s="332"/>
      <c r="F42" s="332"/>
      <c r="G42" s="332"/>
      <c r="H42" s="332"/>
      <c r="I42" s="332"/>
      <c r="J42" s="310"/>
      <c r="K42" s="332"/>
      <c r="L42" s="332"/>
      <c r="M42" s="332"/>
      <c r="N42" s="332"/>
      <c r="O42" s="344"/>
      <c r="P42" s="344"/>
      <c r="Q42" s="729"/>
      <c r="R42" s="729"/>
      <c r="S42" s="729"/>
      <c r="T42" s="729"/>
      <c r="U42" s="344"/>
      <c r="V42" s="344"/>
    </row>
    <row r="43" spans="2:22" s="293" customFormat="1" ht="15.75">
      <c r="B43" s="313"/>
      <c r="C43" s="310"/>
      <c r="D43" s="332"/>
      <c r="E43" s="332"/>
      <c r="F43" s="332"/>
      <c r="G43" s="332"/>
      <c r="H43" s="332"/>
      <c r="I43" s="332"/>
      <c r="J43" s="310"/>
      <c r="K43" s="332"/>
      <c r="L43" s="332"/>
      <c r="M43" s="332"/>
      <c r="N43" s="332"/>
      <c r="O43" s="344"/>
      <c r="P43" s="344"/>
      <c r="Q43" s="729"/>
      <c r="R43" s="729"/>
      <c r="S43" s="729"/>
      <c r="T43" s="729"/>
      <c r="U43" s="344"/>
      <c r="V43" s="344"/>
    </row>
    <row r="44" spans="2:22" s="293" customFormat="1" ht="15.75">
      <c r="B44" s="313"/>
      <c r="C44" s="310"/>
      <c r="D44" s="332"/>
      <c r="E44" s="332"/>
      <c r="F44" s="332"/>
      <c r="G44" s="332"/>
      <c r="H44" s="332"/>
      <c r="I44" s="332"/>
      <c r="J44" s="310"/>
      <c r="K44" s="332"/>
      <c r="L44" s="332"/>
      <c r="M44" s="332"/>
      <c r="N44" s="332"/>
      <c r="O44" s="344"/>
      <c r="P44" s="344"/>
      <c r="Q44" s="729"/>
      <c r="R44" s="729"/>
      <c r="S44" s="729"/>
      <c r="T44" s="729"/>
      <c r="U44" s="344"/>
      <c r="V44" s="344"/>
    </row>
    <row r="45" spans="2:22" s="293" customFormat="1" ht="15.75">
      <c r="B45" s="313"/>
      <c r="C45" s="310"/>
      <c r="D45" s="332"/>
      <c r="E45" s="332"/>
      <c r="F45" s="332"/>
      <c r="G45" s="332"/>
      <c r="H45" s="332"/>
      <c r="I45" s="332"/>
      <c r="J45" s="310"/>
      <c r="K45" s="332"/>
      <c r="L45" s="332"/>
      <c r="M45" s="332"/>
      <c r="N45" s="332"/>
      <c r="O45" s="344"/>
      <c r="P45" s="344"/>
      <c r="Q45" s="729"/>
      <c r="R45" s="729"/>
      <c r="S45" s="729"/>
      <c r="T45" s="729"/>
      <c r="U45" s="344"/>
      <c r="V45" s="344"/>
    </row>
    <row r="46" spans="2:22" s="293" customFormat="1" ht="15.75">
      <c r="B46" s="313"/>
      <c r="C46" s="310"/>
      <c r="D46" s="332"/>
      <c r="E46" s="332"/>
      <c r="F46" s="332"/>
      <c r="G46" s="332"/>
      <c r="H46" s="332"/>
      <c r="I46" s="332"/>
      <c r="J46" s="310"/>
      <c r="K46" s="332"/>
      <c r="L46" s="332"/>
      <c r="M46" s="332"/>
      <c r="N46" s="332"/>
      <c r="O46" s="344"/>
      <c r="P46" s="344"/>
      <c r="Q46" s="729"/>
      <c r="R46" s="1767"/>
      <c r="S46" s="344"/>
      <c r="T46" s="729"/>
      <c r="U46" s="344"/>
      <c r="V46" s="344"/>
    </row>
    <row r="47" spans="2:22" s="293" customFormat="1" ht="15.75">
      <c r="B47" s="313"/>
      <c r="C47" s="310"/>
      <c r="D47" s="332"/>
      <c r="E47" s="332"/>
      <c r="F47" s="332"/>
      <c r="G47" s="332"/>
      <c r="H47" s="332"/>
      <c r="I47" s="332"/>
      <c r="J47" s="310"/>
      <c r="K47" s="332"/>
      <c r="L47" s="332"/>
      <c r="M47" s="332"/>
      <c r="N47" s="332"/>
      <c r="O47" s="344"/>
      <c r="P47" s="344"/>
      <c r="Q47" s="344"/>
      <c r="R47" s="344"/>
      <c r="S47" s="344"/>
      <c r="T47" s="729"/>
      <c r="U47" s="344"/>
      <c r="V47" s="344"/>
    </row>
    <row r="48" spans="2:22" s="293" customFormat="1" ht="15.75">
      <c r="B48" s="313"/>
      <c r="C48" s="310"/>
      <c r="D48" s="332"/>
      <c r="E48" s="332"/>
      <c r="F48" s="332"/>
      <c r="G48" s="332"/>
      <c r="H48" s="332"/>
      <c r="I48" s="332"/>
      <c r="J48" s="310"/>
      <c r="K48" s="332"/>
      <c r="L48" s="332"/>
      <c r="M48" s="332"/>
      <c r="N48" s="332"/>
      <c r="O48" s="344"/>
      <c r="P48" s="344"/>
      <c r="Q48" s="344"/>
      <c r="R48" s="344"/>
      <c r="S48" s="344"/>
      <c r="T48" s="729"/>
      <c r="U48" s="344"/>
      <c r="V48" s="344"/>
    </row>
    <row r="49" spans="2:22" s="293" customFormat="1" ht="15.75">
      <c r="B49" s="313"/>
      <c r="C49" s="310"/>
      <c r="D49" s="332"/>
      <c r="E49" s="332"/>
      <c r="F49" s="332"/>
      <c r="G49" s="332"/>
      <c r="H49" s="332"/>
      <c r="I49" s="332"/>
      <c r="J49" s="310"/>
      <c r="K49" s="332"/>
      <c r="L49" s="332"/>
      <c r="M49" s="332"/>
      <c r="N49" s="332"/>
      <c r="O49" s="344"/>
      <c r="P49" s="344"/>
      <c r="Q49" s="344"/>
      <c r="R49" s="344"/>
      <c r="S49" s="344"/>
      <c r="T49" s="729"/>
      <c r="U49" s="344"/>
      <c r="V49" s="344"/>
    </row>
    <row r="50" spans="2:22" s="293" customFormat="1" ht="15.75">
      <c r="B50" s="313"/>
      <c r="C50" s="310"/>
      <c r="D50" s="332"/>
      <c r="E50" s="332"/>
      <c r="F50" s="332"/>
      <c r="G50" s="332"/>
      <c r="H50" s="332"/>
      <c r="I50" s="332"/>
      <c r="J50" s="310"/>
      <c r="K50" s="332"/>
      <c r="L50" s="332"/>
      <c r="M50" s="332"/>
      <c r="N50" s="332"/>
      <c r="O50" s="344"/>
      <c r="P50" s="344"/>
      <c r="Q50" s="344"/>
      <c r="R50" s="344"/>
      <c r="S50" s="344"/>
      <c r="T50" s="729"/>
      <c r="U50" s="344"/>
      <c r="V50" s="344"/>
    </row>
    <row r="51" spans="2:22" s="293" customFormat="1" ht="15.75">
      <c r="B51" s="313"/>
      <c r="C51" s="310"/>
      <c r="D51" s="332"/>
      <c r="E51" s="332"/>
      <c r="F51" s="332"/>
      <c r="G51" s="332"/>
      <c r="H51" s="332"/>
      <c r="I51" s="332"/>
      <c r="J51" s="310"/>
      <c r="K51" s="332"/>
      <c r="L51" s="332"/>
      <c r="M51" s="332"/>
      <c r="N51" s="332"/>
      <c r="O51" s="344"/>
      <c r="P51" s="344"/>
      <c r="Q51" s="344"/>
      <c r="R51" s="344"/>
      <c r="S51" s="344"/>
      <c r="T51" s="729"/>
      <c r="U51" s="344"/>
      <c r="V51" s="344"/>
    </row>
    <row r="52" spans="2:22" s="293" customFormat="1" ht="15.75">
      <c r="B52" s="313"/>
      <c r="C52" s="310"/>
      <c r="D52" s="332"/>
      <c r="E52" s="332"/>
      <c r="F52" s="332"/>
      <c r="G52" s="332"/>
      <c r="H52" s="332"/>
      <c r="I52" s="332"/>
      <c r="J52" s="310"/>
      <c r="K52" s="332"/>
      <c r="L52" s="332"/>
      <c r="M52" s="332"/>
      <c r="N52" s="332"/>
      <c r="O52" s="344"/>
      <c r="P52" s="344"/>
      <c r="Q52" s="344"/>
      <c r="R52" s="344"/>
      <c r="S52" s="344"/>
      <c r="T52" s="729"/>
      <c r="U52" s="344"/>
      <c r="V52" s="344"/>
    </row>
    <row r="53" spans="2:22" s="293" customFormat="1" ht="15.75">
      <c r="B53" s="313"/>
      <c r="C53" s="310"/>
      <c r="D53" s="332"/>
      <c r="E53" s="332"/>
      <c r="F53" s="332"/>
      <c r="G53" s="332"/>
      <c r="H53" s="332"/>
      <c r="I53" s="332"/>
      <c r="J53" s="310"/>
      <c r="K53" s="332"/>
      <c r="L53" s="332"/>
      <c r="M53" s="332"/>
      <c r="N53" s="332"/>
      <c r="O53" s="344"/>
      <c r="P53" s="344"/>
      <c r="Q53" s="344"/>
      <c r="R53" s="344"/>
      <c r="S53" s="344"/>
      <c r="T53" s="729"/>
      <c r="U53" s="344"/>
      <c r="V53" s="344"/>
    </row>
    <row r="54" spans="2:22" s="293" customFormat="1" ht="15.75">
      <c r="B54" s="313"/>
      <c r="C54" s="310"/>
      <c r="D54" s="332"/>
      <c r="E54" s="332"/>
      <c r="F54" s="332"/>
      <c r="G54" s="332"/>
      <c r="H54" s="332"/>
      <c r="I54" s="332"/>
      <c r="J54" s="310"/>
      <c r="K54" s="332"/>
      <c r="L54" s="332"/>
      <c r="M54" s="332"/>
      <c r="N54" s="332"/>
      <c r="O54" s="344"/>
      <c r="P54" s="344"/>
      <c r="Q54" s="344"/>
      <c r="R54" s="344"/>
      <c r="S54" s="344"/>
      <c r="T54" s="729"/>
      <c r="U54" s="344"/>
      <c r="V54" s="344"/>
    </row>
    <row r="55" spans="2:22" s="293" customFormat="1" ht="15.75">
      <c r="B55" s="313"/>
      <c r="C55" s="310"/>
      <c r="D55" s="332"/>
      <c r="E55" s="332"/>
      <c r="F55" s="332"/>
      <c r="G55" s="332"/>
      <c r="H55" s="332"/>
      <c r="I55" s="332"/>
      <c r="J55" s="310"/>
      <c r="K55" s="332"/>
      <c r="L55" s="332"/>
      <c r="M55" s="332"/>
      <c r="N55" s="332"/>
      <c r="O55" s="344"/>
      <c r="P55" s="344"/>
      <c r="Q55" s="344"/>
      <c r="R55" s="344"/>
      <c r="S55" s="344"/>
      <c r="T55" s="729"/>
      <c r="U55" s="344"/>
      <c r="V55" s="344"/>
    </row>
    <row r="56" spans="2:22" s="293" customFormat="1" ht="15.75">
      <c r="B56" s="313"/>
      <c r="C56" s="310"/>
      <c r="D56" s="332"/>
      <c r="E56" s="332"/>
      <c r="F56" s="332"/>
      <c r="G56" s="332"/>
      <c r="H56" s="332"/>
      <c r="I56" s="332"/>
      <c r="J56" s="310"/>
      <c r="K56" s="332"/>
      <c r="L56" s="332"/>
      <c r="M56" s="332"/>
      <c r="N56" s="332"/>
      <c r="T56" s="723"/>
    </row>
    <row r="57" spans="2:22" s="293" customFormat="1" ht="15.75">
      <c r="B57" s="313"/>
      <c r="C57" s="310"/>
      <c r="D57" s="332"/>
      <c r="E57" s="332"/>
      <c r="F57" s="332"/>
      <c r="G57" s="332"/>
      <c r="H57" s="332"/>
      <c r="I57" s="332"/>
      <c r="J57" s="310"/>
      <c r="K57" s="332"/>
      <c r="L57" s="332"/>
      <c r="M57" s="332"/>
      <c r="N57" s="332"/>
      <c r="T57" s="723"/>
    </row>
    <row r="58" spans="2:22" s="293" customFormat="1" ht="15.75">
      <c r="B58" s="313"/>
      <c r="C58" s="310"/>
      <c r="D58" s="332"/>
      <c r="E58" s="332"/>
      <c r="F58" s="332"/>
      <c r="G58" s="332"/>
      <c r="H58" s="332"/>
      <c r="I58" s="332"/>
      <c r="J58" s="310"/>
      <c r="K58" s="332"/>
      <c r="L58" s="332"/>
      <c r="M58" s="332"/>
      <c r="N58" s="332"/>
      <c r="T58" s="723"/>
    </row>
    <row r="59" spans="2:22" s="293" customFormat="1" ht="15.75">
      <c r="B59" s="313"/>
      <c r="C59" s="310"/>
      <c r="D59" s="332"/>
      <c r="E59" s="332"/>
      <c r="F59" s="332"/>
      <c r="G59" s="332"/>
      <c r="H59" s="332"/>
      <c r="I59" s="332"/>
      <c r="J59" s="310"/>
      <c r="K59" s="332"/>
      <c r="L59" s="332"/>
      <c r="M59" s="332"/>
      <c r="N59" s="332"/>
      <c r="T59" s="723"/>
    </row>
    <row r="60" spans="2:22" s="293" customFormat="1" ht="15.75">
      <c r="B60" s="313"/>
      <c r="C60" s="310"/>
      <c r="D60" s="332"/>
      <c r="E60" s="332"/>
      <c r="F60" s="332"/>
      <c r="G60" s="332"/>
      <c r="H60" s="332"/>
      <c r="I60" s="332"/>
      <c r="J60" s="310"/>
      <c r="K60" s="332"/>
      <c r="L60" s="332"/>
      <c r="M60" s="332"/>
      <c r="N60" s="332"/>
      <c r="T60" s="723"/>
    </row>
    <row r="61" spans="2:22" s="293" customFormat="1" ht="15.75">
      <c r="B61" s="313"/>
      <c r="C61" s="310"/>
      <c r="D61" s="332"/>
      <c r="E61" s="332"/>
      <c r="F61" s="332"/>
      <c r="G61" s="332"/>
      <c r="H61" s="332"/>
      <c r="I61" s="332"/>
      <c r="J61" s="310"/>
      <c r="K61" s="332"/>
      <c r="L61" s="332"/>
      <c r="M61" s="332"/>
      <c r="N61" s="332"/>
      <c r="T61" s="723"/>
    </row>
    <row r="62" spans="2:22" s="293" customFormat="1" ht="15.75">
      <c r="B62" s="313"/>
      <c r="C62" s="310"/>
      <c r="D62" s="332"/>
      <c r="E62" s="332"/>
      <c r="F62" s="332"/>
      <c r="G62" s="332"/>
      <c r="H62" s="332"/>
      <c r="I62" s="332"/>
      <c r="J62" s="310"/>
      <c r="K62" s="332"/>
      <c r="L62" s="332"/>
      <c r="M62" s="332"/>
      <c r="N62" s="332"/>
      <c r="T62" s="723"/>
    </row>
    <row r="63" spans="2:22" s="293" customFormat="1" ht="15.75">
      <c r="B63" s="313"/>
      <c r="C63" s="310"/>
      <c r="D63" s="332"/>
      <c r="E63" s="332"/>
      <c r="F63" s="332"/>
      <c r="G63" s="332"/>
      <c r="H63" s="332"/>
      <c r="I63" s="332"/>
      <c r="J63" s="310"/>
      <c r="K63" s="332"/>
      <c r="L63" s="332"/>
      <c r="M63" s="332"/>
      <c r="N63" s="332"/>
      <c r="T63" s="723"/>
    </row>
    <row r="64" spans="2:22" s="293" customFormat="1" ht="15.75">
      <c r="B64" s="313"/>
      <c r="C64" s="310"/>
      <c r="D64" s="332"/>
      <c r="E64" s="332"/>
      <c r="F64" s="332"/>
      <c r="G64" s="332"/>
      <c r="H64" s="332"/>
      <c r="I64" s="332"/>
      <c r="J64" s="310"/>
      <c r="K64" s="332"/>
      <c r="L64" s="332"/>
      <c r="M64" s="332"/>
      <c r="N64" s="332"/>
      <c r="T64" s="723"/>
    </row>
    <row r="65" spans="2:20" s="293" customFormat="1" ht="15.75">
      <c r="B65" s="313"/>
      <c r="C65" s="310"/>
      <c r="D65" s="332"/>
      <c r="E65" s="332"/>
      <c r="F65" s="332"/>
      <c r="G65" s="332"/>
      <c r="H65" s="332"/>
      <c r="I65" s="332"/>
      <c r="J65" s="310"/>
      <c r="K65" s="332"/>
      <c r="L65" s="332"/>
      <c r="M65" s="332"/>
      <c r="N65" s="332"/>
      <c r="T65" s="723"/>
    </row>
    <row r="66" spans="2:20" s="293" customFormat="1" ht="15.75">
      <c r="B66" s="313"/>
      <c r="C66" s="310"/>
      <c r="D66" s="332"/>
      <c r="E66" s="332"/>
      <c r="F66" s="332"/>
      <c r="G66" s="332"/>
      <c r="H66" s="332"/>
      <c r="I66" s="332"/>
      <c r="J66" s="310"/>
      <c r="K66" s="332"/>
      <c r="L66" s="332"/>
      <c r="M66" s="332"/>
      <c r="N66" s="332"/>
      <c r="T66" s="723"/>
    </row>
    <row r="67" spans="2:20" s="293" customFormat="1" ht="15.75">
      <c r="B67" s="313"/>
      <c r="C67" s="310"/>
      <c r="D67" s="332"/>
      <c r="E67" s="332"/>
      <c r="F67" s="332"/>
      <c r="G67" s="332"/>
      <c r="H67" s="332"/>
      <c r="I67" s="332"/>
      <c r="J67" s="310"/>
      <c r="K67" s="332"/>
      <c r="L67" s="332"/>
      <c r="M67" s="332"/>
      <c r="N67" s="332"/>
      <c r="T67" s="723"/>
    </row>
    <row r="68" spans="2:20" s="293" customFormat="1" ht="15.75">
      <c r="B68" s="313"/>
      <c r="C68" s="310"/>
      <c r="D68" s="332"/>
      <c r="E68" s="332"/>
      <c r="F68" s="332"/>
      <c r="G68" s="332"/>
      <c r="H68" s="332"/>
      <c r="I68" s="332"/>
      <c r="J68" s="310"/>
      <c r="K68" s="332"/>
      <c r="L68" s="332"/>
      <c r="M68" s="332"/>
      <c r="N68" s="332"/>
      <c r="T68" s="723"/>
    </row>
    <row r="69" spans="2:20" s="293" customFormat="1" ht="15.75">
      <c r="B69" s="313"/>
      <c r="C69" s="310"/>
      <c r="D69" s="332"/>
      <c r="E69" s="332"/>
      <c r="F69" s="332"/>
      <c r="G69" s="332"/>
      <c r="H69" s="332"/>
      <c r="I69" s="332"/>
      <c r="J69" s="310"/>
      <c r="K69" s="332"/>
      <c r="L69" s="332"/>
      <c r="M69" s="332"/>
      <c r="N69" s="332"/>
      <c r="T69" s="723"/>
    </row>
    <row r="70" spans="2:20" s="293" customFormat="1" ht="15.75">
      <c r="B70" s="313"/>
      <c r="C70" s="310"/>
      <c r="D70" s="332"/>
      <c r="E70" s="332"/>
      <c r="F70" s="332"/>
      <c r="G70" s="332"/>
      <c r="H70" s="332"/>
      <c r="I70" s="332"/>
      <c r="J70" s="310"/>
      <c r="K70" s="332"/>
      <c r="L70" s="332"/>
      <c r="M70" s="332"/>
      <c r="N70" s="332"/>
      <c r="T70" s="723"/>
    </row>
    <row r="71" spans="2:20" s="293" customFormat="1" ht="15.75">
      <c r="B71" s="313"/>
      <c r="C71" s="314"/>
      <c r="D71" s="314"/>
      <c r="E71" s="314"/>
      <c r="F71" s="314"/>
      <c r="G71" s="314"/>
      <c r="H71" s="314"/>
      <c r="I71" s="314"/>
      <c r="J71" s="314"/>
      <c r="K71" s="314"/>
      <c r="L71" s="314"/>
      <c r="M71" s="314"/>
      <c r="N71" s="314"/>
      <c r="T71" s="723"/>
    </row>
    <row r="72" spans="2:20" s="293" customFormat="1" ht="15.75">
      <c r="B72" s="313"/>
      <c r="C72" s="313"/>
      <c r="D72" s="316"/>
      <c r="E72" s="316"/>
      <c r="F72" s="310"/>
      <c r="G72" s="310"/>
      <c r="H72" s="316"/>
      <c r="I72" s="310"/>
      <c r="J72" s="311"/>
      <c r="K72" s="316"/>
      <c r="L72" s="316"/>
      <c r="M72" s="316"/>
      <c r="N72" s="316"/>
      <c r="T72" s="723"/>
    </row>
    <row r="73" spans="2:20" s="293" customFormat="1" ht="15.75">
      <c r="B73" s="311"/>
      <c r="C73" s="302"/>
      <c r="D73" s="302"/>
      <c r="E73" s="302"/>
      <c r="F73" s="302"/>
      <c r="G73" s="302"/>
      <c r="H73" s="302"/>
      <c r="I73" s="302"/>
      <c r="J73" s="302"/>
      <c r="K73" s="302"/>
      <c r="L73" s="302"/>
      <c r="M73" s="302"/>
      <c r="N73" s="302"/>
      <c r="T73" s="723"/>
    </row>
    <row r="74" spans="2:20" ht="15.75">
      <c r="B74" s="298"/>
      <c r="C74" s="298"/>
      <c r="D74" s="298"/>
      <c r="E74" s="298"/>
      <c r="F74" s="298"/>
      <c r="G74" s="298"/>
      <c r="H74" s="298"/>
      <c r="I74" s="298"/>
      <c r="J74" s="298"/>
      <c r="K74" s="298"/>
      <c r="L74" s="311"/>
      <c r="M74" s="298"/>
      <c r="N74" s="311"/>
    </row>
    <row r="75" spans="2:20" ht="15.75">
      <c r="B75" s="298"/>
      <c r="C75" s="300"/>
      <c r="D75" s="298"/>
      <c r="E75" s="298"/>
      <c r="F75" s="298"/>
      <c r="G75" s="298"/>
      <c r="H75" s="298"/>
      <c r="I75" s="298"/>
      <c r="J75" s="298"/>
      <c r="K75" s="298"/>
      <c r="L75" s="311"/>
      <c r="M75" s="298"/>
      <c r="N75" s="311"/>
    </row>
    <row r="76" spans="2:20" ht="15.75">
      <c r="B76" s="299"/>
      <c r="C76" s="299"/>
      <c r="D76" s="298"/>
      <c r="E76" s="298"/>
      <c r="F76" s="298"/>
      <c r="G76" s="298"/>
      <c r="H76" s="298"/>
      <c r="I76" s="298"/>
      <c r="J76" s="298"/>
      <c r="K76" s="298"/>
      <c r="L76" s="311"/>
      <c r="M76" s="298"/>
      <c r="N76" s="311"/>
    </row>
    <row r="77" spans="2:20" ht="15.75">
      <c r="B77" s="298"/>
      <c r="C77" s="298"/>
      <c r="D77" s="298"/>
      <c r="E77" s="298"/>
      <c r="F77" s="298"/>
      <c r="G77" s="298"/>
      <c r="H77" s="298"/>
      <c r="I77" s="298"/>
      <c r="J77" s="298"/>
      <c r="K77" s="298"/>
      <c r="L77" s="311"/>
      <c r="M77" s="298"/>
      <c r="N77" s="311"/>
    </row>
    <row r="78" spans="2:20" ht="15.75">
      <c r="B78" s="298"/>
      <c r="C78" s="298"/>
      <c r="D78" s="298"/>
      <c r="E78" s="298"/>
      <c r="F78" s="298"/>
      <c r="G78" s="298"/>
      <c r="H78" s="298"/>
      <c r="I78" s="298"/>
      <c r="J78" s="298"/>
      <c r="K78" s="298"/>
      <c r="L78" s="311"/>
      <c r="M78" s="298"/>
      <c r="N78" s="311"/>
    </row>
    <row r="79" spans="2:20" ht="15.75">
      <c r="B79" s="298"/>
      <c r="C79" s="298"/>
      <c r="D79" s="298"/>
      <c r="E79" s="298"/>
      <c r="F79" s="298"/>
      <c r="G79" s="298"/>
      <c r="H79" s="298"/>
      <c r="I79" s="298"/>
      <c r="J79" s="298"/>
      <c r="K79" s="298"/>
      <c r="L79" s="311"/>
      <c r="M79" s="298"/>
      <c r="N79" s="311"/>
    </row>
    <row r="80" spans="2:20" ht="15.75">
      <c r="B80" s="298"/>
      <c r="C80" s="298"/>
      <c r="D80" s="298"/>
      <c r="E80" s="298"/>
      <c r="F80" s="298"/>
      <c r="G80" s="298"/>
      <c r="H80" s="298"/>
      <c r="I80" s="298"/>
      <c r="J80" s="298"/>
      <c r="K80" s="298"/>
      <c r="L80" s="311"/>
      <c r="M80" s="298"/>
      <c r="N80" s="311"/>
    </row>
    <row r="81" spans="2:14" ht="15.75">
      <c r="B81" s="298"/>
      <c r="C81" s="1223"/>
      <c r="D81" s="298"/>
      <c r="E81" s="298"/>
      <c r="F81" s="1223"/>
      <c r="G81" s="298"/>
      <c r="H81" s="298"/>
      <c r="I81" s="1223"/>
      <c r="J81" s="298"/>
      <c r="K81" s="298"/>
      <c r="L81" s="1223"/>
      <c r="M81" s="298"/>
      <c r="N81" s="1223"/>
    </row>
    <row r="82" spans="2:14" ht="15.75">
      <c r="B82" s="298"/>
      <c r="C82" s="1223"/>
      <c r="D82" s="298"/>
      <c r="E82" s="298"/>
      <c r="F82" s="1223"/>
      <c r="G82" s="298"/>
      <c r="H82" s="298"/>
      <c r="I82" s="1223"/>
      <c r="J82" s="298"/>
      <c r="K82" s="298"/>
      <c r="L82" s="1223"/>
      <c r="M82" s="298"/>
      <c r="N82" s="1223"/>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row r="124" spans="2:14" ht="15.75">
      <c r="B124" s="298"/>
      <c r="C124" s="298"/>
      <c r="D124" s="298"/>
      <c r="E124" s="298"/>
      <c r="F124" s="298"/>
      <c r="G124" s="298"/>
      <c r="H124" s="298"/>
      <c r="I124" s="298"/>
      <c r="J124" s="298"/>
      <c r="K124" s="298"/>
      <c r="L124" s="311"/>
      <c r="M124" s="298"/>
      <c r="N124" s="311"/>
    </row>
    <row r="125" spans="2:14" ht="15.75">
      <c r="B125" s="298"/>
      <c r="C125" s="298"/>
      <c r="D125" s="298"/>
      <c r="E125" s="298"/>
      <c r="F125" s="298"/>
      <c r="G125" s="298"/>
      <c r="H125" s="298"/>
      <c r="I125" s="298"/>
      <c r="J125" s="298"/>
      <c r="K125" s="298"/>
      <c r="L125" s="311"/>
      <c r="M125" s="298"/>
      <c r="N125" s="311"/>
    </row>
    <row r="126" spans="2:14" ht="15.75">
      <c r="B126" s="298"/>
      <c r="C126" s="298"/>
      <c r="D126" s="298"/>
      <c r="E126" s="298"/>
      <c r="F126" s="298"/>
      <c r="G126" s="298"/>
      <c r="H126" s="298"/>
      <c r="I126" s="298"/>
      <c r="J126" s="298"/>
      <c r="K126" s="298"/>
      <c r="L126" s="311"/>
      <c r="M126" s="298"/>
      <c r="N126" s="311"/>
    </row>
    <row r="127" spans="2:14" ht="15.75">
      <c r="B127" s="298"/>
      <c r="C127" s="298"/>
      <c r="D127" s="298"/>
      <c r="E127" s="298"/>
      <c r="F127" s="298"/>
      <c r="G127" s="298"/>
      <c r="H127" s="298"/>
      <c r="I127" s="298"/>
      <c r="J127" s="298"/>
      <c r="K127" s="298"/>
      <c r="L127" s="311"/>
      <c r="M127" s="298"/>
      <c r="N127" s="311"/>
    </row>
  </sheetData>
  <mergeCells count="3">
    <mergeCell ref="B1:N1"/>
    <mergeCell ref="B3:N3"/>
    <mergeCell ref="B4:N4"/>
  </mergeCells>
  <printOptions horizontalCentered="1"/>
  <pageMargins left="0.5" right="0.5" top="0.5" bottom="0.5" header="0.5" footer="0.5"/>
  <pageSetup scale="74"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FF00"/>
  </sheetPr>
  <dimension ref="A1:AA134"/>
  <sheetViews>
    <sheetView showGridLines="0" showRuler="0" topLeftCell="B4" zoomScaleNormal="100" zoomScaleSheetLayoutView="130" workbookViewId="0">
      <selection activeCell="B1" sqref="A1:XFD1048576"/>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775" customWidth="1"/>
    <col min="15" max="15" width="21.85546875" style="283" bestFit="1" customWidth="1"/>
    <col min="16" max="16" width="10.42578125" style="283" bestFit="1" customWidth="1"/>
    <col min="17" max="17" width="7.28515625" style="283" customWidth="1"/>
    <col min="18" max="18" width="7.5703125" style="283" bestFit="1" customWidth="1"/>
    <col min="19" max="19" width="13.5703125" style="723" bestFit="1" customWidth="1"/>
    <col min="20" max="20" width="6.85546875" style="293"/>
    <col min="21" max="21" width="12" style="293" customWidth="1"/>
    <col min="22" max="23" width="6.85546875" style="293"/>
    <col min="24" max="24" width="12.42578125" style="723" bestFit="1" customWidth="1"/>
    <col min="25" max="27" width="6.85546875" style="293"/>
    <col min="28" max="16384" width="6.85546875" style="283"/>
  </cols>
  <sheetData>
    <row r="1" spans="1:27" ht="25.9" hidden="1" customHeight="1">
      <c r="B1" s="1704" t="s">
        <v>415</v>
      </c>
      <c r="C1" s="1704"/>
      <c r="D1" s="1704"/>
      <c r="E1" s="1704"/>
      <c r="F1" s="1704"/>
      <c r="G1" s="1704"/>
      <c r="H1" s="1704"/>
      <c r="I1" s="1704"/>
      <c r="J1" s="1704"/>
      <c r="K1" s="1704"/>
      <c r="L1" s="1704"/>
      <c r="M1" s="1704"/>
      <c r="N1" s="1704"/>
    </row>
    <row r="2" spans="1:27" ht="18" hidden="1" customHeight="1">
      <c r="B2" s="1704"/>
      <c r="C2" s="1704"/>
      <c r="D2" s="1704"/>
      <c r="E2" s="1704"/>
      <c r="F2" s="1704"/>
      <c r="G2" s="1704"/>
      <c r="H2" s="1704"/>
      <c r="I2" s="1704"/>
      <c r="J2" s="1704"/>
      <c r="K2" s="1704"/>
      <c r="L2" s="1704"/>
      <c r="M2" s="1704"/>
      <c r="N2" s="1704"/>
    </row>
    <row r="3" spans="1:27" ht="35.450000000000003" customHeight="1">
      <c r="B3" s="1704"/>
      <c r="C3" s="1704"/>
      <c r="D3" s="1704"/>
      <c r="E3" s="1704"/>
      <c r="F3" s="1704"/>
      <c r="G3" s="1704"/>
      <c r="H3" s="1704"/>
      <c r="I3" s="1704"/>
      <c r="J3" s="1704"/>
      <c r="K3" s="1704"/>
      <c r="L3" s="1704"/>
      <c r="M3" s="1704"/>
      <c r="N3" s="1704"/>
    </row>
    <row r="4" spans="1:27" ht="32.25" customHeight="1" thickBot="1">
      <c r="B4" s="1711"/>
      <c r="C4" s="1711"/>
      <c r="D4" s="1711"/>
      <c r="E4" s="1711"/>
      <c r="F4" s="1711"/>
      <c r="G4" s="1711"/>
      <c r="H4" s="1711"/>
      <c r="I4" s="1711"/>
      <c r="J4" s="1711"/>
      <c r="K4" s="1711"/>
      <c r="L4" s="1711"/>
      <c r="M4" s="1711"/>
      <c r="N4" s="1711"/>
    </row>
    <row r="5" spans="1:27" s="1132"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770"/>
      <c r="T5" s="1771"/>
      <c r="U5" s="1771"/>
      <c r="V5" s="1771"/>
      <c r="W5" s="1771"/>
      <c r="X5" s="1770"/>
      <c r="Y5" s="1771"/>
      <c r="Z5" s="1771"/>
      <c r="AA5" s="1771"/>
    </row>
    <row r="6" spans="1:27">
      <c r="B6" s="288"/>
      <c r="C6" s="288"/>
      <c r="D6" s="289"/>
      <c r="E6" s="289"/>
      <c r="F6" s="288"/>
      <c r="G6" s="288"/>
      <c r="H6" s="289"/>
      <c r="I6" s="288"/>
      <c r="J6" s="290"/>
      <c r="K6" s="289"/>
      <c r="L6" s="291"/>
      <c r="M6" s="289"/>
    </row>
    <row r="7" spans="1:27" ht="15.75">
      <c r="B7" s="299" t="s">
        <v>2</v>
      </c>
      <c r="C7" s="299"/>
      <c r="D7" s="300"/>
      <c r="E7" s="300"/>
      <c r="F7" s="300"/>
      <c r="G7" s="301"/>
      <c r="H7" s="300"/>
      <c r="I7" s="301"/>
      <c r="J7" s="300"/>
      <c r="K7" s="300"/>
      <c r="L7" s="302"/>
      <c r="M7" s="300"/>
      <c r="N7" s="554"/>
    </row>
    <row r="8" spans="1:27" ht="15.75">
      <c r="A8" s="321" t="s">
        <v>338</v>
      </c>
      <c r="B8" s="305" t="s">
        <v>8</v>
      </c>
      <c r="C8" s="1268">
        <v>2315589.7599999998</v>
      </c>
      <c r="D8" s="1243">
        <v>1950000</v>
      </c>
      <c r="E8" s="1243"/>
      <c r="F8" s="1268">
        <v>1965000</v>
      </c>
      <c r="G8" s="1268">
        <v>709408</v>
      </c>
      <c r="H8" s="1268" t="s">
        <v>58</v>
      </c>
      <c r="I8" s="1268">
        <v>1965375</v>
      </c>
      <c r="J8" s="1268">
        <v>375</v>
      </c>
      <c r="K8" s="1268"/>
      <c r="L8" s="1268">
        <v>2200000</v>
      </c>
      <c r="M8" s="1268"/>
      <c r="N8" s="1268">
        <v>235000</v>
      </c>
    </row>
    <row r="9" spans="1:27" ht="15.75" hidden="1">
      <c r="B9" s="298" t="s">
        <v>319</v>
      </c>
      <c r="C9" s="549"/>
      <c r="D9" s="306">
        <v>0</v>
      </c>
      <c r="E9" s="306"/>
      <c r="F9" s="532">
        <v>0</v>
      </c>
      <c r="G9" s="532">
        <v>0</v>
      </c>
      <c r="H9" s="532"/>
      <c r="I9" s="532">
        <v>0</v>
      </c>
      <c r="J9" s="533"/>
      <c r="K9" s="532"/>
      <c r="L9" s="532">
        <v>0</v>
      </c>
      <c r="M9" s="532"/>
      <c r="N9" s="552">
        <v>0</v>
      </c>
    </row>
    <row r="10" spans="1:27" s="292" customFormat="1" ht="15.75">
      <c r="B10" s="307" t="s">
        <v>9</v>
      </c>
      <c r="C10" s="776">
        <v>2315589.7599999998</v>
      </c>
      <c r="D10" s="534">
        <v>1950000</v>
      </c>
      <c r="E10" s="534"/>
      <c r="F10" s="534">
        <v>1965000</v>
      </c>
      <c r="G10" s="534">
        <v>709408</v>
      </c>
      <c r="H10" s="534"/>
      <c r="I10" s="534">
        <v>1965375</v>
      </c>
      <c r="J10" s="534">
        <v>375</v>
      </c>
      <c r="K10" s="534"/>
      <c r="L10" s="534">
        <v>2200000</v>
      </c>
      <c r="M10" s="534"/>
      <c r="N10" s="776">
        <v>235000</v>
      </c>
      <c r="O10" s="336" t="s">
        <v>801</v>
      </c>
      <c r="P10" s="333">
        <v>870000</v>
      </c>
      <c r="Q10" s="966">
        <v>3.4000000000000002E-2</v>
      </c>
      <c r="S10" s="724"/>
      <c r="T10" s="625"/>
      <c r="U10" s="625"/>
      <c r="V10" s="625"/>
      <c r="W10" s="625"/>
      <c r="X10" s="724"/>
      <c r="Y10" s="625"/>
      <c r="Z10" s="625"/>
      <c r="AA10" s="625"/>
    </row>
    <row r="11" spans="1:27" s="293" customFormat="1" ht="15.75">
      <c r="B11" s="310"/>
      <c r="C11" s="778"/>
      <c r="D11" s="306"/>
      <c r="E11" s="306"/>
      <c r="F11" s="306"/>
      <c r="G11" s="306"/>
      <c r="H11" s="306"/>
      <c r="I11" s="306"/>
      <c r="J11" s="306"/>
      <c r="K11" s="306"/>
      <c r="L11" s="306"/>
      <c r="M11" s="306"/>
      <c r="N11" s="552"/>
      <c r="O11" s="336" t="s">
        <v>14</v>
      </c>
      <c r="P11" s="333">
        <v>30259</v>
      </c>
      <c r="Q11" s="966">
        <v>1E-3</v>
      </c>
      <c r="S11" s="723"/>
      <c r="X11" s="723"/>
    </row>
    <row r="12" spans="1:27" s="293" customFormat="1" ht="15.75">
      <c r="B12" s="313" t="s">
        <v>320</v>
      </c>
      <c r="C12" s="778"/>
      <c r="D12" s="306"/>
      <c r="E12" s="306"/>
      <c r="F12" s="306"/>
      <c r="G12" s="306"/>
      <c r="H12" s="306"/>
      <c r="I12" s="306"/>
      <c r="J12" s="306"/>
      <c r="K12" s="306"/>
      <c r="L12" s="306"/>
      <c r="M12" s="306"/>
      <c r="N12" s="552"/>
      <c r="O12" s="336" t="s">
        <v>15</v>
      </c>
      <c r="P12" s="333">
        <v>0</v>
      </c>
      <c r="Q12" s="966">
        <v>0</v>
      </c>
      <c r="S12" s="723"/>
      <c r="X12" s="723"/>
    </row>
    <row r="13" spans="1:27" s="293" customFormat="1" ht="15.75">
      <c r="B13" s="311" t="s">
        <v>327</v>
      </c>
      <c r="C13" s="549">
        <v>21661079.399999999</v>
      </c>
      <c r="D13" s="306">
        <v>19945721</v>
      </c>
      <c r="E13" s="306"/>
      <c r="F13" s="306">
        <v>23050083.120000001</v>
      </c>
      <c r="G13" s="306">
        <v>23050083.120000001</v>
      </c>
      <c r="H13" s="306"/>
      <c r="I13" s="306">
        <v>23050083.120000001</v>
      </c>
      <c r="J13" s="303">
        <v>0</v>
      </c>
      <c r="K13" s="306"/>
      <c r="L13" s="306">
        <v>23929746.120000001</v>
      </c>
      <c r="M13" s="306"/>
      <c r="N13" s="552">
        <v>879663</v>
      </c>
      <c r="O13" s="336" t="s">
        <v>23</v>
      </c>
      <c r="P13" s="333">
        <v>24879487.120000001</v>
      </c>
      <c r="Q13" s="966">
        <v>0.95199999999999996</v>
      </c>
      <c r="S13" s="723"/>
      <c r="X13" s="723"/>
    </row>
    <row r="14" spans="1:27" s="293" customFormat="1" ht="15.75">
      <c r="B14" s="622" t="s">
        <v>20</v>
      </c>
      <c r="C14" s="776">
        <v>21661079.399999999</v>
      </c>
      <c r="D14" s="534">
        <v>19945721</v>
      </c>
      <c r="E14" s="534"/>
      <c r="F14" s="534">
        <v>23050083.120000001</v>
      </c>
      <c r="G14" s="534">
        <v>23050083.120000001</v>
      </c>
      <c r="H14" s="534"/>
      <c r="I14" s="534">
        <v>23050083.120000001</v>
      </c>
      <c r="J14" s="1061">
        <v>0</v>
      </c>
      <c r="K14" s="534"/>
      <c r="L14" s="534">
        <v>23929746.120000001</v>
      </c>
      <c r="M14" s="534"/>
      <c r="N14" s="776">
        <v>879663</v>
      </c>
      <c r="O14" s="667" t="s">
        <v>38</v>
      </c>
      <c r="P14" s="333">
        <v>350000</v>
      </c>
      <c r="Q14" s="966">
        <v>1.2999999999999999E-2</v>
      </c>
      <c r="R14" s="344"/>
      <c r="S14" s="729"/>
      <c r="T14" s="344"/>
      <c r="X14" s="723"/>
    </row>
    <row r="15" spans="1:27" s="293" customFormat="1" ht="16.5" thickBot="1">
      <c r="B15" s="616" t="s">
        <v>21</v>
      </c>
      <c r="C15" s="747">
        <v>23976669.159999996</v>
      </c>
      <c r="D15" s="662">
        <v>21895721</v>
      </c>
      <c r="E15" s="662"/>
      <c r="F15" s="662">
        <v>25015083.120000001</v>
      </c>
      <c r="G15" s="662">
        <v>23759491.120000001</v>
      </c>
      <c r="H15" s="662"/>
      <c r="I15" s="662">
        <v>25015458.120000001</v>
      </c>
      <c r="J15" s="663">
        <v>375</v>
      </c>
      <c r="K15" s="662"/>
      <c r="L15" s="747">
        <v>26129746.120000001</v>
      </c>
      <c r="M15" s="662"/>
      <c r="N15" s="747">
        <v>1114663</v>
      </c>
      <c r="O15" s="350" t="s">
        <v>25</v>
      </c>
      <c r="P15" s="340">
        <v>26129746.120000001</v>
      </c>
      <c r="Q15" s="668">
        <v>1</v>
      </c>
      <c r="R15" s="344"/>
      <c r="S15" s="729"/>
      <c r="T15" s="344"/>
      <c r="U15" s="344"/>
      <c r="V15" s="344"/>
      <c r="X15" s="723"/>
    </row>
    <row r="16" spans="1:27" s="293" customFormat="1" ht="16.5" thickTop="1">
      <c r="B16" s="316"/>
      <c r="C16" s="552"/>
      <c r="D16" s="306"/>
      <c r="E16" s="306"/>
      <c r="F16" s="306"/>
      <c r="G16" s="306"/>
      <c r="H16" s="306"/>
      <c r="I16" s="306"/>
      <c r="J16" s="306"/>
      <c r="K16" s="306"/>
      <c r="L16" s="306"/>
      <c r="M16" s="306"/>
      <c r="N16" s="552"/>
      <c r="O16" s="346"/>
      <c r="P16" s="341"/>
      <c r="Q16" s="348"/>
      <c r="R16" s="344"/>
      <c r="S16" s="729"/>
      <c r="T16" s="344"/>
      <c r="X16" s="723"/>
    </row>
    <row r="17" spans="1:24" s="293" customFormat="1" ht="16.5" thickBot="1">
      <c r="B17" s="349" t="s">
        <v>10</v>
      </c>
      <c r="C17" s="555"/>
      <c r="D17" s="303"/>
      <c r="E17" s="303"/>
      <c r="F17" s="306"/>
      <c r="G17" s="306"/>
      <c r="H17" s="303"/>
      <c r="I17" s="306"/>
      <c r="J17" s="303"/>
      <c r="K17" s="303"/>
      <c r="L17" s="303"/>
      <c r="M17" s="303"/>
      <c r="N17" s="549"/>
      <c r="O17" s="341"/>
      <c r="P17" s="341"/>
      <c r="Q17" s="348"/>
      <c r="R17" s="344"/>
      <c r="S17" s="729"/>
      <c r="T17" s="344"/>
      <c r="X17" s="723"/>
    </row>
    <row r="18" spans="1:24" s="293" customFormat="1" ht="15.6" customHeight="1" thickBot="1">
      <c r="A18" s="1526" t="s">
        <v>342</v>
      </c>
      <c r="B18" s="316" t="s">
        <v>801</v>
      </c>
      <c r="C18" s="1240">
        <v>855772.29</v>
      </c>
      <c r="D18" s="1224">
        <v>1950000</v>
      </c>
      <c r="E18" s="1224"/>
      <c r="F18" s="1240">
        <v>870000</v>
      </c>
      <c r="G18" s="1243">
        <v>709408</v>
      </c>
      <c r="H18" s="1240" t="s">
        <v>58</v>
      </c>
      <c r="I18" s="1243">
        <v>870000</v>
      </c>
      <c r="J18" s="533">
        <v>0</v>
      </c>
      <c r="K18" s="517"/>
      <c r="L18" s="1243">
        <v>870000</v>
      </c>
      <c r="M18" s="1224"/>
      <c r="N18" s="1243">
        <v>0</v>
      </c>
      <c r="O18" s="341" t="s">
        <v>8</v>
      </c>
      <c r="P18" s="341">
        <v>2200000</v>
      </c>
      <c r="Q18" s="608">
        <v>8.4195230596446374E-2</v>
      </c>
      <c r="S18" s="723"/>
      <c r="X18" s="723"/>
    </row>
    <row r="19" spans="1:24" s="293" customFormat="1" ht="15.6" customHeight="1" thickBot="1">
      <c r="A19" s="1526" t="s">
        <v>343</v>
      </c>
      <c r="B19" s="316" t="s">
        <v>14</v>
      </c>
      <c r="C19" s="1240">
        <v>0</v>
      </c>
      <c r="D19" s="1224">
        <v>1950000</v>
      </c>
      <c r="E19" s="1224"/>
      <c r="F19" s="1240">
        <v>0</v>
      </c>
      <c r="G19" s="1243">
        <v>709408</v>
      </c>
      <c r="H19" s="1240" t="s">
        <v>58</v>
      </c>
      <c r="I19" s="1243">
        <v>0</v>
      </c>
      <c r="J19" s="533">
        <v>0</v>
      </c>
      <c r="K19" s="517"/>
      <c r="L19" s="1243">
        <v>30259</v>
      </c>
      <c r="M19" s="1224"/>
      <c r="N19" s="1243">
        <v>30259</v>
      </c>
      <c r="O19" s="341" t="s">
        <v>319</v>
      </c>
      <c r="P19" s="341">
        <v>0</v>
      </c>
      <c r="Q19" s="608">
        <v>0</v>
      </c>
      <c r="S19" s="723"/>
      <c r="X19" s="723"/>
    </row>
    <row r="20" spans="1:24" s="293" customFormat="1" ht="15.6" customHeight="1" thickBot="1">
      <c r="A20" s="1460" t="s">
        <v>350</v>
      </c>
      <c r="B20" s="316" t="s">
        <v>15</v>
      </c>
      <c r="C20" s="1240">
        <v>70813.75</v>
      </c>
      <c r="D20" s="1224">
        <v>1950000</v>
      </c>
      <c r="E20" s="1224"/>
      <c r="F20" s="1240">
        <v>215712</v>
      </c>
      <c r="G20" s="1243">
        <v>709408</v>
      </c>
      <c r="H20" s="1240" t="s">
        <v>58</v>
      </c>
      <c r="I20" s="1243">
        <v>215712</v>
      </c>
      <c r="J20" s="533">
        <v>0</v>
      </c>
      <c r="K20" s="517"/>
      <c r="L20" s="517">
        <v>0</v>
      </c>
      <c r="M20" s="1224"/>
      <c r="N20" s="1243">
        <v>-215712</v>
      </c>
      <c r="O20" s="341" t="s">
        <v>19</v>
      </c>
      <c r="P20" s="341">
        <v>23929746.120000001</v>
      </c>
      <c r="Q20" s="608">
        <v>0.9158047694035536</v>
      </c>
      <c r="S20" s="723"/>
      <c r="X20" s="723"/>
    </row>
    <row r="21" spans="1:24" s="293" customFormat="1" ht="15.6" customHeight="1" thickBot="1">
      <c r="A21" s="1520"/>
      <c r="B21" s="316" t="s">
        <v>1001</v>
      </c>
      <c r="C21" s="1240">
        <v>0</v>
      </c>
      <c r="D21" s="1224"/>
      <c r="E21" s="1224"/>
      <c r="F21" s="1240">
        <v>0</v>
      </c>
      <c r="G21" s="1243"/>
      <c r="H21" s="1240"/>
      <c r="I21" s="1243">
        <v>0</v>
      </c>
      <c r="J21" s="533"/>
      <c r="K21" s="517"/>
      <c r="L21" s="1240">
        <v>350000</v>
      </c>
      <c r="M21" s="1224"/>
      <c r="N21" s="1243">
        <v>350000</v>
      </c>
      <c r="O21" s="340" t="s">
        <v>21</v>
      </c>
      <c r="P21" s="340">
        <v>26129746.120000001</v>
      </c>
      <c r="Q21" s="668">
        <v>1</v>
      </c>
      <c r="S21" s="723"/>
      <c r="X21" s="723"/>
    </row>
    <row r="22" spans="1:24" s="293" customFormat="1" ht="16.5" thickTop="1">
      <c r="B22" s="622" t="s">
        <v>22</v>
      </c>
      <c r="C22" s="776">
        <v>926586.04</v>
      </c>
      <c r="D22" s="534">
        <v>3900000</v>
      </c>
      <c r="E22" s="534"/>
      <c r="F22" s="1251">
        <v>1085712</v>
      </c>
      <c r="G22" s="534">
        <v>1418816</v>
      </c>
      <c r="H22" s="534"/>
      <c r="I22" s="1251">
        <v>1085712</v>
      </c>
      <c r="J22" s="534">
        <v>0</v>
      </c>
      <c r="K22" s="534"/>
      <c r="L22" s="1251">
        <v>1250259</v>
      </c>
      <c r="M22" s="534"/>
      <c r="N22" s="776">
        <v>164547</v>
      </c>
      <c r="S22" s="723"/>
      <c r="X22" s="723"/>
    </row>
    <row r="23" spans="1:24" s="293" customFormat="1" ht="15.75">
      <c r="B23" s="311"/>
      <c r="C23" s="549"/>
      <c r="D23" s="306"/>
      <c r="E23" s="306"/>
      <c r="F23" s="306"/>
      <c r="G23" s="306"/>
      <c r="H23" s="306"/>
      <c r="I23" s="306"/>
      <c r="J23" s="306"/>
      <c r="K23" s="306"/>
      <c r="L23" s="306"/>
      <c r="M23" s="306"/>
      <c r="N23" s="552"/>
      <c r="S23" s="723"/>
      <c r="X23" s="723"/>
    </row>
    <row r="24" spans="1:24" s="293" customFormat="1" ht="15.75">
      <c r="B24" s="313" t="s">
        <v>321</v>
      </c>
      <c r="C24" s="778"/>
      <c r="D24" s="536"/>
      <c r="E24" s="536"/>
      <c r="F24" s="536"/>
      <c r="G24" s="536"/>
      <c r="H24" s="536"/>
      <c r="I24" s="536"/>
      <c r="J24" s="536"/>
      <c r="K24" s="536"/>
      <c r="L24" s="536"/>
      <c r="M24" s="536"/>
      <c r="N24" s="549"/>
      <c r="S24" s="723"/>
      <c r="X24" s="723"/>
    </row>
    <row r="25" spans="1:24" s="293" customFormat="1" ht="15.75">
      <c r="B25" s="624" t="s">
        <v>322</v>
      </c>
      <c r="C25" s="1240">
        <v>23050083.120000001</v>
      </c>
      <c r="D25" s="306">
        <v>21000721</v>
      </c>
      <c r="E25" s="306"/>
      <c r="F25" s="1037">
        <v>23929371.120000001</v>
      </c>
      <c r="G25" s="532">
        <v>18737325.280000001</v>
      </c>
      <c r="H25" s="532"/>
      <c r="I25" s="1037">
        <v>23929746.120000001</v>
      </c>
      <c r="J25" s="303">
        <v>-375</v>
      </c>
      <c r="K25" s="306"/>
      <c r="L25" s="1037">
        <v>24879487.120000001</v>
      </c>
      <c r="M25" s="306"/>
      <c r="N25" s="552">
        <v>950116</v>
      </c>
      <c r="S25" s="723"/>
      <c r="X25" s="723"/>
    </row>
    <row r="26" spans="1:24" s="293" customFormat="1" ht="16.5" hidden="1" thickTop="1">
      <c r="B26" s="624" t="s">
        <v>329</v>
      </c>
      <c r="C26" s="1037">
        <v>0</v>
      </c>
      <c r="D26" s="532"/>
      <c r="E26" s="532"/>
      <c r="F26" s="532">
        <v>0</v>
      </c>
      <c r="G26" s="532"/>
      <c r="H26" s="532"/>
      <c r="I26" s="532">
        <v>0</v>
      </c>
      <c r="J26" s="517"/>
      <c r="K26" s="532"/>
      <c r="L26" s="532">
        <v>0</v>
      </c>
      <c r="M26" s="532"/>
      <c r="N26" s="552">
        <v>0</v>
      </c>
      <c r="O26" s="341"/>
      <c r="P26" s="341"/>
      <c r="Q26" s="348"/>
      <c r="R26" s="344"/>
      <c r="S26" s="729"/>
      <c r="T26" s="344"/>
      <c r="X26" s="723"/>
    </row>
    <row r="27" spans="1:24" s="625" customFormat="1" ht="15.75">
      <c r="B27" s="626" t="s">
        <v>323</v>
      </c>
      <c r="C27" s="534">
        <v>23050083.120000001</v>
      </c>
      <c r="D27" s="534">
        <v>21000721</v>
      </c>
      <c r="E27" s="534"/>
      <c r="F27" s="534">
        <v>23929371.120000001</v>
      </c>
      <c r="G27" s="534">
        <v>18737325.280000001</v>
      </c>
      <c r="H27" s="534"/>
      <c r="I27" s="534">
        <v>23929746.120000001</v>
      </c>
      <c r="J27" s="534">
        <v>-375</v>
      </c>
      <c r="K27" s="534"/>
      <c r="L27" s="534">
        <v>24879487.120000001</v>
      </c>
      <c r="M27" s="534"/>
      <c r="N27" s="776">
        <v>950116</v>
      </c>
      <c r="O27" s="661"/>
      <c r="P27" s="661"/>
      <c r="Q27" s="661"/>
      <c r="R27" s="661"/>
      <c r="S27" s="1277"/>
      <c r="T27" s="661"/>
      <c r="U27" s="661"/>
      <c r="V27" s="661"/>
      <c r="X27" s="724"/>
    </row>
    <row r="28" spans="1:24" s="293" customFormat="1" ht="16.5" thickBot="1">
      <c r="B28" s="616" t="s">
        <v>25</v>
      </c>
      <c r="C28" s="1267">
        <v>23976669.16</v>
      </c>
      <c r="D28" s="627">
        <v>24900721</v>
      </c>
      <c r="E28" s="1267"/>
      <c r="F28" s="1267">
        <v>25015083.120000001</v>
      </c>
      <c r="G28" s="1267">
        <v>20156141.280000001</v>
      </c>
      <c r="H28" s="1267"/>
      <c r="I28" s="1267">
        <v>25015458.120000001</v>
      </c>
      <c r="J28" s="627">
        <v>-375</v>
      </c>
      <c r="K28" s="627"/>
      <c r="L28" s="1267">
        <v>26129746.120000001</v>
      </c>
      <c r="M28" s="1267"/>
      <c r="N28" s="1267">
        <v>1114663</v>
      </c>
      <c r="O28" s="344"/>
      <c r="Q28" s="344"/>
      <c r="R28" s="344"/>
      <c r="S28" s="729"/>
      <c r="T28" s="344"/>
      <c r="X28" s="723"/>
    </row>
    <row r="29" spans="1:24" s="293" customFormat="1" ht="16.5" thickTop="1">
      <c r="B29" s="313"/>
      <c r="C29" s="535"/>
      <c r="D29" s="537"/>
      <c r="E29" s="537"/>
      <c r="F29" s="537"/>
      <c r="G29" s="537"/>
      <c r="H29" s="537"/>
      <c r="I29" s="537"/>
      <c r="J29" s="535"/>
      <c r="K29" s="537"/>
      <c r="L29" s="537"/>
      <c r="M29" s="537"/>
      <c r="N29" s="1124"/>
      <c r="O29" s="344"/>
      <c r="Q29" s="344"/>
      <c r="R29" s="344"/>
      <c r="S29" s="729"/>
      <c r="T29" s="344"/>
      <c r="X29" s="723"/>
    </row>
    <row r="30" spans="1:24" s="293" customFormat="1" ht="15.75">
      <c r="B30" s="313"/>
      <c r="C30" s="535"/>
      <c r="D30" s="537"/>
      <c r="E30" s="537"/>
      <c r="F30" s="537"/>
      <c r="G30" s="537"/>
      <c r="H30" s="537"/>
      <c r="I30" s="537"/>
      <c r="J30" s="535"/>
      <c r="K30" s="537"/>
      <c r="L30" s="537"/>
      <c r="M30" s="537"/>
      <c r="N30" s="1124"/>
      <c r="O30" s="344"/>
      <c r="Q30" s="344"/>
      <c r="R30" s="344"/>
      <c r="S30" s="729"/>
      <c r="T30" s="344"/>
      <c r="X30" s="723"/>
    </row>
    <row r="31" spans="1:24" s="293" customFormat="1" ht="15.75">
      <c r="B31" s="313"/>
      <c r="C31" s="535"/>
      <c r="D31" s="537"/>
      <c r="E31" s="537"/>
      <c r="F31" s="537"/>
      <c r="G31" s="537"/>
      <c r="H31" s="537"/>
      <c r="I31" s="537"/>
      <c r="J31" s="535"/>
      <c r="K31" s="537"/>
      <c r="L31" s="537"/>
      <c r="M31" s="537"/>
      <c r="N31" s="1124"/>
      <c r="O31" s="344"/>
      <c r="Q31" s="344"/>
      <c r="R31" s="344"/>
      <c r="S31" s="729"/>
      <c r="T31" s="344"/>
      <c r="X31" s="723"/>
    </row>
    <row r="32" spans="1:24" s="293" customFormat="1" ht="15.75">
      <c r="B32" s="313"/>
      <c r="C32" s="535"/>
      <c r="D32" s="537"/>
      <c r="E32" s="537"/>
      <c r="F32" s="537"/>
      <c r="G32" s="537"/>
      <c r="H32" s="537"/>
      <c r="I32" s="537"/>
      <c r="J32" s="535"/>
      <c r="K32" s="537"/>
      <c r="L32" s="537"/>
      <c r="M32" s="537"/>
      <c r="N32" s="1124"/>
      <c r="O32" s="344"/>
      <c r="Q32" s="344"/>
      <c r="R32" s="344"/>
      <c r="S32" s="729"/>
      <c r="T32" s="344"/>
      <c r="X32" s="723"/>
    </row>
    <row r="33" spans="2:24" s="293" customFormat="1" ht="15.75">
      <c r="B33" s="313"/>
      <c r="C33" s="535"/>
      <c r="D33" s="537"/>
      <c r="E33" s="537"/>
      <c r="F33" s="537"/>
      <c r="G33" s="537"/>
      <c r="H33" s="537"/>
      <c r="I33" s="537"/>
      <c r="J33" s="535"/>
      <c r="K33" s="537"/>
      <c r="L33" s="537"/>
      <c r="M33" s="537"/>
      <c r="N33" s="1124"/>
      <c r="O33" s="344"/>
      <c r="Q33" s="344"/>
      <c r="R33" s="344"/>
      <c r="S33" s="729"/>
      <c r="T33" s="344"/>
      <c r="X33" s="723"/>
    </row>
    <row r="34" spans="2:24" s="293" customFormat="1" ht="15.75">
      <c r="B34" s="313"/>
      <c r="C34" s="535"/>
      <c r="D34" s="537"/>
      <c r="E34" s="537"/>
      <c r="F34" s="537"/>
      <c r="G34" s="537"/>
      <c r="H34" s="537"/>
      <c r="I34" s="537"/>
      <c r="J34" s="535"/>
      <c r="K34" s="537"/>
      <c r="L34" s="537"/>
      <c r="M34" s="537"/>
      <c r="N34" s="1124"/>
      <c r="O34" s="344"/>
      <c r="Q34" s="344"/>
      <c r="R34" s="344"/>
      <c r="S34" s="729"/>
      <c r="T34" s="344"/>
      <c r="X34" s="723"/>
    </row>
    <row r="35" spans="2:24" s="293" customFormat="1" ht="15.75">
      <c r="B35" s="313"/>
      <c r="C35" s="535"/>
      <c r="D35" s="537"/>
      <c r="E35" s="537"/>
      <c r="F35" s="537"/>
      <c r="G35" s="537"/>
      <c r="H35" s="537"/>
      <c r="I35" s="537"/>
      <c r="J35" s="535"/>
      <c r="K35" s="537"/>
      <c r="L35" s="537"/>
      <c r="M35" s="537"/>
      <c r="N35" s="1124"/>
      <c r="O35" s="344"/>
      <c r="Q35" s="344"/>
      <c r="R35" s="344"/>
      <c r="S35" s="729"/>
      <c r="T35" s="344"/>
      <c r="X35" s="723"/>
    </row>
    <row r="36" spans="2:24" s="293" customFormat="1" ht="15.75">
      <c r="B36" s="313"/>
      <c r="C36" s="535"/>
      <c r="D36" s="537"/>
      <c r="E36" s="537"/>
      <c r="F36" s="537"/>
      <c r="G36" s="537"/>
      <c r="H36" s="537"/>
      <c r="I36" s="537"/>
      <c r="J36" s="535"/>
      <c r="K36" s="537"/>
      <c r="L36" s="537"/>
      <c r="M36" s="537"/>
      <c r="N36" s="1124"/>
      <c r="O36" s="344"/>
      <c r="P36" s="538"/>
      <c r="Q36" s="344"/>
      <c r="R36" s="344"/>
      <c r="S36" s="729"/>
      <c r="T36" s="344"/>
      <c r="X36" s="723"/>
    </row>
    <row r="37" spans="2:24" s="293" customFormat="1" ht="15.75">
      <c r="B37" s="313"/>
      <c r="C37" s="535"/>
      <c r="D37" s="537"/>
      <c r="E37" s="537"/>
      <c r="F37" s="537"/>
      <c r="G37" s="537"/>
      <c r="H37" s="537"/>
      <c r="I37" s="537"/>
      <c r="J37" s="535"/>
      <c r="K37" s="537"/>
      <c r="L37" s="537"/>
      <c r="M37" s="537"/>
      <c r="N37" s="1124"/>
      <c r="O37" s="344"/>
      <c r="P37" s="538"/>
      <c r="Q37" s="344"/>
      <c r="R37" s="344"/>
      <c r="S37" s="729"/>
      <c r="T37" s="344"/>
      <c r="X37" s="723"/>
    </row>
    <row r="38" spans="2:24" s="293" customFormat="1" ht="15.75">
      <c r="B38" s="313"/>
      <c r="C38" s="535"/>
      <c r="D38" s="537"/>
      <c r="E38" s="537"/>
      <c r="F38" s="537"/>
      <c r="G38" s="537"/>
      <c r="H38" s="537"/>
      <c r="I38" s="537"/>
      <c r="J38" s="535"/>
      <c r="K38" s="537"/>
      <c r="L38" s="537"/>
      <c r="M38" s="537"/>
      <c r="N38" s="1124"/>
      <c r="O38" s="344"/>
      <c r="P38" s="538"/>
      <c r="Q38" s="344"/>
      <c r="R38" s="344"/>
      <c r="S38" s="729"/>
      <c r="T38" s="344"/>
      <c r="X38" s="723"/>
    </row>
    <row r="39" spans="2:24" s="293" customFormat="1" ht="15.75">
      <c r="B39" s="313"/>
      <c r="C39" s="535"/>
      <c r="D39" s="537"/>
      <c r="E39" s="537"/>
      <c r="F39" s="537"/>
      <c r="G39" s="537"/>
      <c r="H39" s="537"/>
      <c r="I39" s="537"/>
      <c r="J39" s="535"/>
      <c r="K39" s="537"/>
      <c r="L39" s="537"/>
      <c r="M39" s="537"/>
      <c r="N39" s="1124"/>
      <c r="O39" s="344"/>
      <c r="P39" s="538"/>
      <c r="Q39" s="344"/>
      <c r="R39" s="344"/>
      <c r="S39" s="729"/>
      <c r="T39" s="344"/>
      <c r="X39" s="723"/>
    </row>
    <row r="40" spans="2:24" s="293" customFormat="1" ht="15.75">
      <c r="B40" s="313"/>
      <c r="C40" s="535"/>
      <c r="D40" s="537"/>
      <c r="E40" s="537"/>
      <c r="F40" s="537"/>
      <c r="G40" s="537"/>
      <c r="H40" s="537"/>
      <c r="I40" s="537"/>
      <c r="J40" s="535"/>
      <c r="K40" s="537"/>
      <c r="L40" s="537"/>
      <c r="M40" s="537"/>
      <c r="N40" s="1124"/>
      <c r="O40" s="344"/>
      <c r="P40" s="538"/>
      <c r="Q40" s="344"/>
      <c r="R40" s="344"/>
      <c r="S40" s="729"/>
      <c r="T40" s="344"/>
      <c r="X40" s="723"/>
    </row>
    <row r="41" spans="2:24" s="293" customFormat="1" ht="15.75">
      <c r="B41" s="313"/>
      <c r="C41" s="310"/>
      <c r="D41" s="332"/>
      <c r="E41" s="332"/>
      <c r="F41" s="332"/>
      <c r="G41" s="332"/>
      <c r="H41" s="332"/>
      <c r="I41" s="332"/>
      <c r="J41" s="310"/>
      <c r="K41" s="332"/>
      <c r="L41" s="332"/>
      <c r="M41" s="332"/>
      <c r="N41" s="777"/>
      <c r="S41" s="723"/>
      <c r="X41" s="723"/>
    </row>
    <row r="42" spans="2:24" s="293" customFormat="1" ht="15.75">
      <c r="B42" s="313"/>
      <c r="C42" s="310"/>
      <c r="D42" s="332"/>
      <c r="E42" s="332"/>
      <c r="F42" s="332"/>
      <c r="G42" s="332"/>
      <c r="H42" s="332"/>
      <c r="I42" s="332"/>
      <c r="J42" s="310"/>
      <c r="K42" s="332"/>
      <c r="L42" s="332"/>
      <c r="M42" s="332"/>
      <c r="N42" s="777"/>
      <c r="S42" s="723"/>
      <c r="X42" s="723"/>
    </row>
    <row r="43" spans="2:24" s="293" customFormat="1" ht="15.75">
      <c r="B43" s="313"/>
      <c r="C43" s="310"/>
      <c r="D43" s="332"/>
      <c r="E43" s="332"/>
      <c r="F43" s="332"/>
      <c r="G43" s="332"/>
      <c r="H43" s="332"/>
      <c r="I43" s="332"/>
      <c r="J43" s="310"/>
      <c r="K43" s="332"/>
      <c r="L43" s="332"/>
      <c r="M43" s="332"/>
      <c r="N43" s="777"/>
      <c r="S43" s="723"/>
      <c r="X43" s="723"/>
    </row>
    <row r="44" spans="2:24" s="293" customFormat="1" ht="15.75">
      <c r="B44" s="313"/>
      <c r="C44" s="310"/>
      <c r="D44" s="332"/>
      <c r="E44" s="332"/>
      <c r="F44" s="332"/>
      <c r="G44" s="332"/>
      <c r="H44" s="332"/>
      <c r="I44" s="332"/>
      <c r="J44" s="310"/>
      <c r="K44" s="332"/>
      <c r="L44" s="332"/>
      <c r="M44" s="332"/>
      <c r="N44" s="777"/>
      <c r="S44" s="723"/>
      <c r="X44" s="723"/>
    </row>
    <row r="45" spans="2:24" s="293" customFormat="1" ht="15.75">
      <c r="B45" s="313"/>
      <c r="C45" s="310"/>
      <c r="D45" s="332"/>
      <c r="E45" s="332"/>
      <c r="F45" s="332"/>
      <c r="G45" s="332"/>
      <c r="H45" s="332"/>
      <c r="I45" s="332"/>
      <c r="J45" s="310"/>
      <c r="K45" s="332"/>
      <c r="L45" s="332"/>
      <c r="M45" s="332"/>
      <c r="N45" s="777"/>
      <c r="P45" s="344"/>
      <c r="Q45" s="344"/>
      <c r="R45" s="344"/>
      <c r="S45" s="729"/>
      <c r="X45" s="723"/>
    </row>
    <row r="46" spans="2:24" s="293" customFormat="1" ht="15.75">
      <c r="B46" s="313"/>
      <c r="C46" s="310"/>
      <c r="D46" s="332"/>
      <c r="E46" s="332"/>
      <c r="F46" s="332"/>
      <c r="G46" s="332"/>
      <c r="H46" s="332"/>
      <c r="I46" s="332"/>
      <c r="J46" s="310"/>
      <c r="K46" s="332"/>
      <c r="L46" s="332"/>
      <c r="M46" s="332"/>
      <c r="N46" s="777"/>
      <c r="P46" s="344"/>
      <c r="Q46" s="344"/>
      <c r="R46" s="344"/>
      <c r="S46" s="729"/>
      <c r="X46" s="723"/>
    </row>
    <row r="47" spans="2:24" s="293" customFormat="1" ht="15.75">
      <c r="B47" s="313"/>
      <c r="C47" s="310"/>
      <c r="D47" s="332"/>
      <c r="E47" s="332"/>
      <c r="F47" s="332"/>
      <c r="G47" s="332"/>
      <c r="H47" s="332"/>
      <c r="I47" s="332"/>
      <c r="J47" s="310"/>
      <c r="K47" s="332"/>
      <c r="L47" s="332"/>
      <c r="M47" s="332"/>
      <c r="N47" s="777"/>
      <c r="P47" s="344"/>
      <c r="Q47" s="344"/>
      <c r="R47" s="344"/>
      <c r="S47" s="729"/>
      <c r="X47" s="723"/>
    </row>
    <row r="48" spans="2:24" s="293" customFormat="1" ht="15.75">
      <c r="B48" s="313"/>
      <c r="C48" s="310"/>
      <c r="D48" s="332"/>
      <c r="E48" s="332"/>
      <c r="F48" s="332"/>
      <c r="G48" s="332"/>
      <c r="H48" s="332"/>
      <c r="I48" s="332"/>
      <c r="J48" s="310"/>
      <c r="K48" s="332"/>
      <c r="L48" s="332"/>
      <c r="M48" s="332"/>
      <c r="N48" s="777"/>
      <c r="P48" s="344"/>
      <c r="Q48" s="344"/>
      <c r="R48" s="344"/>
      <c r="S48" s="729"/>
      <c r="X48" s="723"/>
    </row>
    <row r="49" spans="2:24" s="293" customFormat="1" ht="15.75">
      <c r="B49" s="313"/>
      <c r="C49" s="310"/>
      <c r="D49" s="332"/>
      <c r="E49" s="332"/>
      <c r="F49" s="332"/>
      <c r="G49" s="332"/>
      <c r="H49" s="332"/>
      <c r="I49" s="332"/>
      <c r="J49" s="310"/>
      <c r="K49" s="332"/>
      <c r="L49" s="332"/>
      <c r="M49" s="332"/>
      <c r="N49" s="777"/>
      <c r="P49" s="344"/>
      <c r="Q49" s="344"/>
      <c r="R49" s="344"/>
      <c r="S49" s="729"/>
      <c r="X49" s="723"/>
    </row>
    <row r="50" spans="2:24" s="293" customFormat="1" ht="15.75">
      <c r="B50" s="313"/>
      <c r="C50" s="310"/>
      <c r="D50" s="332"/>
      <c r="E50" s="332"/>
      <c r="F50" s="332"/>
      <c r="G50" s="332"/>
      <c r="H50" s="332"/>
      <c r="I50" s="332"/>
      <c r="J50" s="310"/>
      <c r="K50" s="332"/>
      <c r="L50" s="332"/>
      <c r="M50" s="332"/>
      <c r="N50" s="777"/>
      <c r="P50" s="344"/>
      <c r="Q50" s="344"/>
      <c r="R50" s="344"/>
      <c r="S50" s="729"/>
      <c r="T50" s="723"/>
      <c r="X50" s="723"/>
    </row>
    <row r="51" spans="2:24" s="293" customFormat="1" ht="15.75">
      <c r="B51" s="313"/>
      <c r="C51" s="310"/>
      <c r="D51" s="332"/>
      <c r="E51" s="332"/>
      <c r="F51" s="332"/>
      <c r="G51" s="332"/>
      <c r="H51" s="332"/>
      <c r="I51" s="332"/>
      <c r="J51" s="310"/>
      <c r="K51" s="332"/>
      <c r="L51" s="332"/>
      <c r="M51" s="332"/>
      <c r="N51" s="777"/>
      <c r="P51" s="344"/>
      <c r="Q51" s="344"/>
      <c r="R51" s="344"/>
      <c r="S51" s="729"/>
      <c r="T51" s="723"/>
      <c r="X51" s="723"/>
    </row>
    <row r="52" spans="2:24" s="293" customFormat="1" ht="15.75">
      <c r="B52" s="313"/>
      <c r="C52" s="310"/>
      <c r="D52" s="332"/>
      <c r="E52" s="332"/>
      <c r="F52" s="332"/>
      <c r="G52" s="332"/>
      <c r="H52" s="332"/>
      <c r="I52" s="332"/>
      <c r="J52" s="310"/>
      <c r="K52" s="332"/>
      <c r="L52" s="332"/>
      <c r="M52" s="332"/>
      <c r="N52" s="777"/>
      <c r="P52" s="344"/>
      <c r="Q52" s="344"/>
      <c r="R52" s="344"/>
      <c r="S52" s="729"/>
      <c r="T52" s="723"/>
      <c r="X52" s="723"/>
    </row>
    <row r="53" spans="2:24" s="293" customFormat="1" ht="15.75">
      <c r="B53" s="313"/>
      <c r="C53" s="310"/>
      <c r="D53" s="332"/>
      <c r="E53" s="332"/>
      <c r="F53" s="332"/>
      <c r="G53" s="332"/>
      <c r="H53" s="332"/>
      <c r="I53" s="332"/>
      <c r="J53" s="310"/>
      <c r="K53" s="332"/>
      <c r="L53" s="332"/>
      <c r="M53" s="332"/>
      <c r="N53" s="777"/>
      <c r="P53" s="344"/>
      <c r="Q53" s="344"/>
      <c r="R53" s="729"/>
      <c r="S53" s="729"/>
      <c r="T53" s="723"/>
      <c r="X53" s="723"/>
    </row>
    <row r="54" spans="2:24" s="293" customFormat="1" ht="15.75">
      <c r="B54" s="313"/>
      <c r="C54" s="310"/>
      <c r="D54" s="332"/>
      <c r="E54" s="332"/>
      <c r="F54" s="332"/>
      <c r="G54" s="332"/>
      <c r="H54" s="332"/>
      <c r="I54" s="332"/>
      <c r="J54" s="310"/>
      <c r="K54" s="332"/>
      <c r="L54" s="332"/>
      <c r="M54" s="332"/>
      <c r="N54" s="777"/>
      <c r="P54" s="344"/>
      <c r="Q54" s="344"/>
      <c r="R54" s="729"/>
      <c r="S54" s="729"/>
      <c r="T54" s="723"/>
      <c r="X54" s="723"/>
    </row>
    <row r="55" spans="2:24" s="293" customFormat="1" ht="15.75">
      <c r="B55" s="313"/>
      <c r="C55" s="310"/>
      <c r="D55" s="332"/>
      <c r="E55" s="332"/>
      <c r="F55" s="332"/>
      <c r="G55" s="332"/>
      <c r="H55" s="332"/>
      <c r="I55" s="332"/>
      <c r="J55" s="310"/>
      <c r="K55" s="332"/>
      <c r="L55" s="332"/>
      <c r="M55" s="332"/>
      <c r="N55" s="777"/>
      <c r="P55" s="344"/>
      <c r="Q55" s="344"/>
      <c r="R55" s="729"/>
      <c r="S55" s="729"/>
      <c r="T55" s="723"/>
      <c r="X55" s="723"/>
    </row>
    <row r="56" spans="2:24" s="293" customFormat="1" ht="15.75">
      <c r="B56" s="313"/>
      <c r="C56" s="310"/>
      <c r="D56" s="332"/>
      <c r="E56" s="332"/>
      <c r="F56" s="332"/>
      <c r="G56" s="332"/>
      <c r="H56" s="332"/>
      <c r="I56" s="332"/>
      <c r="J56" s="310"/>
      <c r="K56" s="332"/>
      <c r="L56" s="332"/>
      <c r="M56" s="332"/>
      <c r="N56" s="777"/>
      <c r="P56" s="344"/>
      <c r="Q56" s="344"/>
      <c r="R56" s="729"/>
      <c r="S56" s="729"/>
      <c r="T56" s="723"/>
      <c r="X56" s="723"/>
    </row>
    <row r="57" spans="2:24" s="293" customFormat="1" ht="15.75">
      <c r="B57" s="313"/>
      <c r="C57" s="310"/>
      <c r="D57" s="332"/>
      <c r="E57" s="332"/>
      <c r="F57" s="332"/>
      <c r="G57" s="332"/>
      <c r="H57" s="332"/>
      <c r="I57" s="332"/>
      <c r="J57" s="310"/>
      <c r="K57" s="332"/>
      <c r="L57" s="332"/>
      <c r="M57" s="332"/>
      <c r="N57" s="777"/>
      <c r="P57" s="344"/>
      <c r="Q57" s="344"/>
      <c r="R57" s="729"/>
      <c r="S57" s="729"/>
      <c r="T57" s="723"/>
      <c r="X57" s="723"/>
    </row>
    <row r="58" spans="2:24" s="293" customFormat="1" ht="15.75">
      <c r="B58" s="313"/>
      <c r="C58" s="310"/>
      <c r="D58" s="332"/>
      <c r="E58" s="332"/>
      <c r="F58" s="332"/>
      <c r="G58" s="332"/>
      <c r="H58" s="332"/>
      <c r="I58" s="332"/>
      <c r="J58" s="310"/>
      <c r="K58" s="332"/>
      <c r="L58" s="332"/>
      <c r="M58" s="332"/>
      <c r="N58" s="777"/>
      <c r="P58" s="344"/>
      <c r="Q58" s="729"/>
      <c r="R58" s="729"/>
      <c r="S58" s="729"/>
      <c r="X58" s="723"/>
    </row>
    <row r="59" spans="2:24" s="293" customFormat="1" ht="15.75">
      <c r="B59" s="313"/>
      <c r="C59" s="310"/>
      <c r="D59" s="332"/>
      <c r="E59" s="332"/>
      <c r="F59" s="332"/>
      <c r="G59" s="332"/>
      <c r="H59" s="332"/>
      <c r="I59" s="332"/>
      <c r="J59" s="310"/>
      <c r="K59" s="332"/>
      <c r="L59" s="332"/>
      <c r="M59" s="332"/>
      <c r="N59" s="777"/>
      <c r="P59" s="344"/>
      <c r="Q59" s="344"/>
      <c r="R59" s="344"/>
      <c r="S59" s="729"/>
      <c r="X59" s="723"/>
    </row>
    <row r="60" spans="2:24" s="293" customFormat="1" ht="15.75">
      <c r="B60" s="313"/>
      <c r="C60" s="310"/>
      <c r="D60" s="332"/>
      <c r="E60" s="332"/>
      <c r="F60" s="332"/>
      <c r="G60" s="332"/>
      <c r="H60" s="332"/>
      <c r="I60" s="332"/>
      <c r="J60" s="310"/>
      <c r="K60" s="332"/>
      <c r="L60" s="332"/>
      <c r="M60" s="332"/>
      <c r="N60" s="777"/>
      <c r="P60" s="344"/>
      <c r="Q60" s="344"/>
      <c r="R60" s="344"/>
      <c r="S60" s="729"/>
      <c r="X60" s="723"/>
    </row>
    <row r="61" spans="2:24" s="293" customFormat="1" ht="15.75">
      <c r="B61" s="313"/>
      <c r="C61" s="310"/>
      <c r="D61" s="332"/>
      <c r="E61" s="332"/>
      <c r="F61" s="332"/>
      <c r="G61" s="332"/>
      <c r="H61" s="332"/>
      <c r="I61" s="332"/>
      <c r="J61" s="310"/>
      <c r="K61" s="332"/>
      <c r="L61" s="332"/>
      <c r="M61" s="332"/>
      <c r="N61" s="777"/>
      <c r="P61" s="344"/>
      <c r="Q61" s="344"/>
      <c r="R61" s="344"/>
      <c r="S61" s="729"/>
      <c r="X61" s="723"/>
    </row>
    <row r="62" spans="2:24" s="293" customFormat="1" ht="15.75">
      <c r="B62" s="313"/>
      <c r="C62" s="310"/>
      <c r="D62" s="332"/>
      <c r="E62" s="332"/>
      <c r="F62" s="332"/>
      <c r="G62" s="332"/>
      <c r="H62" s="332"/>
      <c r="I62" s="332"/>
      <c r="J62" s="310"/>
      <c r="K62" s="332"/>
      <c r="L62" s="332"/>
      <c r="M62" s="332"/>
      <c r="N62" s="777"/>
      <c r="P62" s="344"/>
      <c r="Q62" s="344"/>
      <c r="R62" s="344"/>
      <c r="S62" s="729"/>
      <c r="X62" s="723"/>
    </row>
    <row r="63" spans="2:24" s="293" customFormat="1" ht="15.75">
      <c r="B63" s="313"/>
      <c r="C63" s="310"/>
      <c r="D63" s="332"/>
      <c r="E63" s="332"/>
      <c r="F63" s="332"/>
      <c r="G63" s="332"/>
      <c r="H63" s="332"/>
      <c r="I63" s="332"/>
      <c r="J63" s="310"/>
      <c r="K63" s="332"/>
      <c r="L63" s="332"/>
      <c r="M63" s="332"/>
      <c r="N63" s="777"/>
      <c r="S63" s="723"/>
      <c r="X63" s="723"/>
    </row>
    <row r="64" spans="2:24" s="293" customFormat="1" ht="15.75">
      <c r="B64" s="313"/>
      <c r="C64" s="310"/>
      <c r="D64" s="332"/>
      <c r="E64" s="332"/>
      <c r="F64" s="332"/>
      <c r="G64" s="332"/>
      <c r="H64" s="332"/>
      <c r="I64" s="332"/>
      <c r="J64" s="310"/>
      <c r="K64" s="332"/>
      <c r="L64" s="332"/>
      <c r="M64" s="332"/>
      <c r="N64" s="777"/>
      <c r="S64" s="723"/>
      <c r="X64" s="723"/>
    </row>
    <row r="65" spans="2:24" s="293" customFormat="1" ht="15.75">
      <c r="B65" s="313"/>
      <c r="C65" s="310"/>
      <c r="D65" s="332"/>
      <c r="E65" s="332"/>
      <c r="F65" s="332"/>
      <c r="G65" s="332"/>
      <c r="H65" s="332"/>
      <c r="I65" s="332"/>
      <c r="J65" s="310"/>
      <c r="K65" s="332"/>
      <c r="L65" s="332"/>
      <c r="M65" s="332"/>
      <c r="N65" s="777"/>
      <c r="S65" s="723"/>
      <c r="X65" s="723"/>
    </row>
    <row r="66" spans="2:24" s="293" customFormat="1" ht="15.75">
      <c r="B66" s="313"/>
      <c r="C66" s="310"/>
      <c r="D66" s="332"/>
      <c r="E66" s="332"/>
      <c r="F66" s="332"/>
      <c r="G66" s="332"/>
      <c r="H66" s="332"/>
      <c r="I66" s="332"/>
      <c r="J66" s="310"/>
      <c r="K66" s="332"/>
      <c r="L66" s="332"/>
      <c r="M66" s="332"/>
      <c r="N66" s="777"/>
      <c r="S66" s="723"/>
      <c r="X66" s="723"/>
    </row>
    <row r="67" spans="2:24" s="293" customFormat="1" ht="15.75">
      <c r="B67" s="313"/>
      <c r="C67" s="310"/>
      <c r="D67" s="332"/>
      <c r="E67" s="332"/>
      <c r="F67" s="332"/>
      <c r="G67" s="332"/>
      <c r="H67" s="332"/>
      <c r="I67" s="332"/>
      <c r="J67" s="310"/>
      <c r="K67" s="332"/>
      <c r="L67" s="332"/>
      <c r="M67" s="332"/>
      <c r="N67" s="777"/>
      <c r="S67" s="723"/>
      <c r="X67" s="723"/>
    </row>
    <row r="68" spans="2:24" s="293" customFormat="1" ht="15.75">
      <c r="B68" s="313"/>
      <c r="C68" s="310"/>
      <c r="D68" s="332"/>
      <c r="E68" s="332"/>
      <c r="F68" s="332"/>
      <c r="G68" s="332"/>
      <c r="H68" s="332"/>
      <c r="I68" s="332"/>
      <c r="J68" s="310"/>
      <c r="K68" s="332"/>
      <c r="L68" s="332"/>
      <c r="M68" s="332"/>
      <c r="N68" s="777"/>
      <c r="S68" s="723"/>
      <c r="X68" s="723"/>
    </row>
    <row r="69" spans="2:24" s="293" customFormat="1" ht="15.75">
      <c r="B69" s="313"/>
      <c r="C69" s="310"/>
      <c r="D69" s="332"/>
      <c r="E69" s="332"/>
      <c r="F69" s="332"/>
      <c r="G69" s="332"/>
      <c r="H69" s="332"/>
      <c r="I69" s="332"/>
      <c r="J69" s="310"/>
      <c r="K69" s="332"/>
      <c r="L69" s="332"/>
      <c r="M69" s="332"/>
      <c r="N69" s="777"/>
      <c r="S69" s="723"/>
      <c r="X69" s="723"/>
    </row>
    <row r="70" spans="2:24" s="293" customFormat="1" ht="15.75">
      <c r="B70" s="313"/>
      <c r="C70" s="310"/>
      <c r="D70" s="332"/>
      <c r="E70" s="332"/>
      <c r="F70" s="332"/>
      <c r="G70" s="332"/>
      <c r="H70" s="332"/>
      <c r="I70" s="332"/>
      <c r="J70" s="310"/>
      <c r="K70" s="332"/>
      <c r="L70" s="332"/>
      <c r="M70" s="332"/>
      <c r="N70" s="777"/>
      <c r="S70" s="723"/>
      <c r="X70" s="723"/>
    </row>
    <row r="71" spans="2:24" s="293" customFormat="1" ht="15.75">
      <c r="B71" s="313"/>
      <c r="C71" s="310"/>
      <c r="D71" s="332"/>
      <c r="E71" s="332"/>
      <c r="F71" s="332"/>
      <c r="G71" s="332"/>
      <c r="H71" s="332"/>
      <c r="I71" s="332"/>
      <c r="J71" s="310"/>
      <c r="K71" s="332"/>
      <c r="L71" s="332"/>
      <c r="M71" s="332"/>
      <c r="N71" s="777"/>
      <c r="S71" s="723"/>
      <c r="X71" s="723"/>
    </row>
    <row r="72" spans="2:24" s="293" customFormat="1" ht="15.75">
      <c r="B72" s="313"/>
      <c r="C72" s="310"/>
      <c r="D72" s="332"/>
      <c r="E72" s="332"/>
      <c r="F72" s="332"/>
      <c r="G72" s="332"/>
      <c r="H72" s="332"/>
      <c r="I72" s="332"/>
      <c r="J72" s="310"/>
      <c r="K72" s="332"/>
      <c r="L72" s="332"/>
      <c r="M72" s="332"/>
      <c r="N72" s="777"/>
      <c r="S72" s="723"/>
      <c r="X72" s="723"/>
    </row>
    <row r="73" spans="2:24" s="293" customFormat="1" ht="15.75">
      <c r="B73" s="313"/>
      <c r="C73" s="310"/>
      <c r="D73" s="332"/>
      <c r="E73" s="332"/>
      <c r="F73" s="332"/>
      <c r="G73" s="332"/>
      <c r="H73" s="332"/>
      <c r="I73" s="332"/>
      <c r="J73" s="310"/>
      <c r="K73" s="332"/>
      <c r="L73" s="332"/>
      <c r="M73" s="332"/>
      <c r="N73" s="777"/>
      <c r="S73" s="723"/>
      <c r="X73" s="723"/>
    </row>
    <row r="74" spans="2:24" s="293" customFormat="1" ht="15.75">
      <c r="B74" s="313"/>
      <c r="C74" s="310"/>
      <c r="D74" s="332"/>
      <c r="E74" s="332"/>
      <c r="F74" s="332"/>
      <c r="G74" s="332"/>
      <c r="H74" s="332"/>
      <c r="I74" s="332"/>
      <c r="J74" s="310"/>
      <c r="K74" s="332"/>
      <c r="L74" s="332"/>
      <c r="M74" s="332"/>
      <c r="N74" s="777"/>
      <c r="S74" s="723"/>
      <c r="X74" s="723"/>
    </row>
    <row r="75" spans="2:24" s="293" customFormat="1" ht="15.75">
      <c r="B75" s="313"/>
      <c r="C75" s="310"/>
      <c r="D75" s="332"/>
      <c r="E75" s="332"/>
      <c r="F75" s="332"/>
      <c r="G75" s="332"/>
      <c r="H75" s="332"/>
      <c r="I75" s="332"/>
      <c r="J75" s="310"/>
      <c r="K75" s="332"/>
      <c r="L75" s="332"/>
      <c r="M75" s="332"/>
      <c r="N75" s="777"/>
      <c r="S75" s="723"/>
      <c r="X75" s="723"/>
    </row>
    <row r="76" spans="2:24" s="293" customFormat="1" ht="15.75">
      <c r="B76" s="313"/>
      <c r="C76" s="310"/>
      <c r="D76" s="332"/>
      <c r="E76" s="332"/>
      <c r="F76" s="332"/>
      <c r="G76" s="332"/>
      <c r="H76" s="332"/>
      <c r="I76" s="332"/>
      <c r="J76" s="310"/>
      <c r="K76" s="332"/>
      <c r="L76" s="332"/>
      <c r="M76" s="332"/>
      <c r="N76" s="777"/>
      <c r="S76" s="723"/>
      <c r="X76" s="723"/>
    </row>
    <row r="77" spans="2:24" s="293" customFormat="1" ht="15.75">
      <c r="B77" s="313"/>
      <c r="C77" s="310"/>
      <c r="D77" s="332"/>
      <c r="E77" s="332"/>
      <c r="F77" s="332"/>
      <c r="G77" s="332"/>
      <c r="H77" s="332"/>
      <c r="I77" s="332"/>
      <c r="J77" s="310"/>
      <c r="K77" s="332"/>
      <c r="L77" s="332"/>
      <c r="M77" s="332"/>
      <c r="N77" s="777"/>
      <c r="S77" s="723"/>
      <c r="X77" s="723"/>
    </row>
    <row r="78" spans="2:24" s="293" customFormat="1" ht="15.75">
      <c r="B78" s="313"/>
      <c r="C78" s="314"/>
      <c r="D78" s="314"/>
      <c r="E78" s="314"/>
      <c r="F78" s="314"/>
      <c r="G78" s="314"/>
      <c r="H78" s="314"/>
      <c r="I78" s="314"/>
      <c r="J78" s="314"/>
      <c r="K78" s="314"/>
      <c r="L78" s="314"/>
      <c r="M78" s="314"/>
      <c r="N78" s="556"/>
      <c r="S78" s="723"/>
      <c r="X78" s="723"/>
    </row>
    <row r="79" spans="2:24" s="293" customFormat="1" ht="15.75">
      <c r="B79" s="313"/>
      <c r="C79" s="313"/>
      <c r="D79" s="316"/>
      <c r="E79" s="316"/>
      <c r="F79" s="310"/>
      <c r="G79" s="310"/>
      <c r="H79" s="316"/>
      <c r="I79" s="310"/>
      <c r="J79" s="311"/>
      <c r="K79" s="316"/>
      <c r="L79" s="316"/>
      <c r="M79" s="316"/>
      <c r="N79" s="550"/>
      <c r="S79" s="723"/>
      <c r="X79" s="723"/>
    </row>
    <row r="80" spans="2:24" s="293" customFormat="1" ht="15.75">
      <c r="B80" s="311"/>
      <c r="C80" s="302"/>
      <c r="D80" s="302"/>
      <c r="E80" s="302"/>
      <c r="F80" s="302"/>
      <c r="G80" s="302"/>
      <c r="H80" s="302"/>
      <c r="I80" s="302"/>
      <c r="J80" s="302"/>
      <c r="K80" s="302"/>
      <c r="L80" s="302"/>
      <c r="M80" s="302"/>
      <c r="N80" s="554"/>
      <c r="S80" s="723"/>
      <c r="X80" s="723"/>
    </row>
    <row r="81" spans="2:24" s="293" customFormat="1" ht="15.75">
      <c r="B81" s="311"/>
      <c r="C81" s="311"/>
      <c r="D81" s="311"/>
      <c r="E81" s="311"/>
      <c r="F81" s="311"/>
      <c r="G81" s="311"/>
      <c r="H81" s="311"/>
      <c r="I81" s="311"/>
      <c r="J81" s="311"/>
      <c r="K81" s="311"/>
      <c r="L81" s="311"/>
      <c r="M81" s="311"/>
      <c r="N81" s="554"/>
      <c r="S81" s="723"/>
      <c r="X81" s="723"/>
    </row>
    <row r="82" spans="2:24" s="293" customFormat="1" ht="15.75">
      <c r="B82" s="311"/>
      <c r="C82" s="311"/>
      <c r="D82" s="311"/>
      <c r="E82" s="311"/>
      <c r="F82" s="311"/>
      <c r="G82" s="311"/>
      <c r="H82" s="311"/>
      <c r="I82" s="311"/>
      <c r="J82" s="311"/>
      <c r="K82" s="311"/>
      <c r="L82" s="311"/>
      <c r="M82" s="311"/>
      <c r="N82" s="554"/>
      <c r="S82" s="723"/>
      <c r="X82" s="723"/>
    </row>
    <row r="83" spans="2:24" s="293" customFormat="1" ht="15.75">
      <c r="B83" s="349"/>
      <c r="C83" s="349"/>
      <c r="D83" s="311"/>
      <c r="E83" s="311"/>
      <c r="F83" s="311"/>
      <c r="G83" s="311"/>
      <c r="H83" s="311"/>
      <c r="I83" s="311"/>
      <c r="J83" s="311"/>
      <c r="K83" s="311"/>
      <c r="L83" s="311"/>
      <c r="M83" s="311"/>
      <c r="N83" s="554"/>
      <c r="S83" s="723"/>
      <c r="X83" s="723"/>
    </row>
    <row r="84" spans="2:24" s="293" customFormat="1" ht="15.75">
      <c r="B84" s="311"/>
      <c r="C84" s="311"/>
      <c r="D84" s="311"/>
      <c r="E84" s="311"/>
      <c r="F84" s="311"/>
      <c r="G84" s="311"/>
      <c r="H84" s="311"/>
      <c r="I84" s="311"/>
      <c r="J84" s="311"/>
      <c r="K84" s="311"/>
      <c r="L84" s="311"/>
      <c r="M84" s="311"/>
      <c r="N84" s="554"/>
      <c r="S84" s="723"/>
      <c r="X84" s="723"/>
    </row>
    <row r="85" spans="2:24" s="293" customFormat="1" ht="15.75">
      <c r="B85" s="311"/>
      <c r="C85" s="311"/>
      <c r="D85" s="311"/>
      <c r="E85" s="311"/>
      <c r="F85" s="311"/>
      <c r="G85" s="311"/>
      <c r="H85" s="311"/>
      <c r="I85" s="311"/>
      <c r="J85" s="311"/>
      <c r="K85" s="311"/>
      <c r="L85" s="311"/>
      <c r="M85" s="311"/>
      <c r="N85" s="554"/>
      <c r="S85" s="723"/>
      <c r="X85" s="723"/>
    </row>
    <row r="86" spans="2:24" s="293" customFormat="1" ht="15.75">
      <c r="B86" s="311"/>
      <c r="C86" s="311"/>
      <c r="D86" s="311"/>
      <c r="E86" s="311"/>
      <c r="F86" s="311"/>
      <c r="G86" s="311"/>
      <c r="H86" s="311"/>
      <c r="I86" s="311"/>
      <c r="J86" s="311"/>
      <c r="K86" s="311"/>
      <c r="L86" s="311"/>
      <c r="M86" s="311"/>
      <c r="N86" s="554"/>
      <c r="S86" s="723"/>
      <c r="X86" s="723"/>
    </row>
    <row r="87" spans="2:24" s="293" customFormat="1" ht="15.75">
      <c r="B87" s="311"/>
      <c r="C87" s="311"/>
      <c r="D87" s="311"/>
      <c r="E87" s="311"/>
      <c r="F87" s="311"/>
      <c r="G87" s="311"/>
      <c r="H87" s="311"/>
      <c r="I87" s="311"/>
      <c r="J87" s="311"/>
      <c r="K87" s="311"/>
      <c r="L87" s="311"/>
      <c r="M87" s="311"/>
      <c r="N87" s="554"/>
      <c r="S87" s="723"/>
      <c r="X87" s="723"/>
    </row>
    <row r="88" spans="2:24" s="293" customFormat="1" ht="15.75">
      <c r="B88" s="311"/>
      <c r="C88" s="311"/>
      <c r="D88" s="311"/>
      <c r="E88" s="311"/>
      <c r="F88" s="311"/>
      <c r="G88" s="311"/>
      <c r="H88" s="311"/>
      <c r="I88" s="311"/>
      <c r="J88" s="311"/>
      <c r="K88" s="311"/>
      <c r="L88" s="311"/>
      <c r="M88" s="311"/>
      <c r="N88" s="554"/>
      <c r="S88" s="723"/>
      <c r="X88" s="723"/>
    </row>
    <row r="89" spans="2:24" s="293" customFormat="1" ht="15.75">
      <c r="B89" s="311"/>
      <c r="C89" s="311"/>
      <c r="D89" s="311"/>
      <c r="E89" s="311"/>
      <c r="F89" s="311"/>
      <c r="G89" s="311"/>
      <c r="H89" s="311"/>
      <c r="I89" s="311"/>
      <c r="J89" s="311"/>
      <c r="K89" s="311"/>
      <c r="L89" s="311"/>
      <c r="M89" s="311"/>
      <c r="N89" s="554"/>
      <c r="S89" s="723"/>
      <c r="X89" s="723"/>
    </row>
    <row r="90" spans="2:24" s="293" customFormat="1" ht="15.75">
      <c r="B90" s="311"/>
      <c r="C90" s="311"/>
      <c r="D90" s="311"/>
      <c r="E90" s="311"/>
      <c r="F90" s="311"/>
      <c r="G90" s="311"/>
      <c r="H90" s="311"/>
      <c r="I90" s="311"/>
      <c r="J90" s="311"/>
      <c r="K90" s="311"/>
      <c r="L90" s="311"/>
      <c r="M90" s="311"/>
      <c r="N90" s="554"/>
      <c r="S90" s="723"/>
      <c r="X90" s="723"/>
    </row>
    <row r="91" spans="2:24" s="293" customFormat="1" ht="15.75">
      <c r="B91" s="311"/>
      <c r="C91" s="311"/>
      <c r="D91" s="311"/>
      <c r="E91" s="311"/>
      <c r="F91" s="311"/>
      <c r="G91" s="311"/>
      <c r="H91" s="311"/>
      <c r="I91" s="311"/>
      <c r="J91" s="311"/>
      <c r="K91" s="311"/>
      <c r="L91" s="311"/>
      <c r="M91" s="311"/>
      <c r="N91" s="554"/>
      <c r="S91" s="723"/>
      <c r="X91" s="723"/>
    </row>
    <row r="92" spans="2:24" s="293" customFormat="1" ht="15.75">
      <c r="B92" s="311"/>
      <c r="C92" s="311"/>
      <c r="D92" s="311"/>
      <c r="E92" s="311"/>
      <c r="F92" s="311"/>
      <c r="G92" s="311"/>
      <c r="H92" s="311"/>
      <c r="I92" s="311"/>
      <c r="J92" s="311"/>
      <c r="K92" s="311"/>
      <c r="L92" s="311"/>
      <c r="M92" s="311"/>
      <c r="N92" s="554"/>
      <c r="S92" s="723"/>
      <c r="X92" s="723"/>
    </row>
    <row r="93" spans="2:24" s="293" customFormat="1" ht="15.75">
      <c r="B93" s="311"/>
      <c r="C93" s="311"/>
      <c r="D93" s="311"/>
      <c r="E93" s="311"/>
      <c r="F93" s="311"/>
      <c r="G93" s="311"/>
      <c r="H93" s="311"/>
      <c r="I93" s="311"/>
      <c r="J93" s="311"/>
      <c r="K93" s="311"/>
      <c r="L93" s="311"/>
      <c r="M93" s="311"/>
      <c r="N93" s="554"/>
      <c r="S93" s="723"/>
      <c r="X93" s="723"/>
    </row>
    <row r="94" spans="2:24" s="293" customFormat="1" ht="15.75">
      <c r="B94" s="311"/>
      <c r="C94" s="311"/>
      <c r="D94" s="311"/>
      <c r="E94" s="311"/>
      <c r="F94" s="311"/>
      <c r="G94" s="311"/>
      <c r="H94" s="311"/>
      <c r="I94" s="311"/>
      <c r="J94" s="311"/>
      <c r="K94" s="311"/>
      <c r="L94" s="311"/>
      <c r="M94" s="311"/>
      <c r="N94" s="554"/>
      <c r="S94" s="723"/>
      <c r="X94" s="723"/>
    </row>
    <row r="95" spans="2:24" s="293" customFormat="1" ht="15.75">
      <c r="B95" s="311"/>
      <c r="C95" s="311"/>
      <c r="D95" s="311"/>
      <c r="E95" s="311"/>
      <c r="F95" s="311"/>
      <c r="G95" s="311"/>
      <c r="H95" s="311"/>
      <c r="I95" s="311"/>
      <c r="J95" s="311"/>
      <c r="K95" s="311"/>
      <c r="L95" s="311"/>
      <c r="M95" s="311"/>
      <c r="N95" s="554"/>
      <c r="S95" s="723"/>
      <c r="X95" s="723"/>
    </row>
    <row r="96" spans="2:24" s="293" customFormat="1" ht="15.75">
      <c r="B96" s="311"/>
      <c r="C96" s="311"/>
      <c r="D96" s="311"/>
      <c r="E96" s="311"/>
      <c r="F96" s="311"/>
      <c r="G96" s="311"/>
      <c r="H96" s="311"/>
      <c r="I96" s="311"/>
      <c r="J96" s="311"/>
      <c r="K96" s="311"/>
      <c r="L96" s="311"/>
      <c r="M96" s="311"/>
      <c r="N96" s="554"/>
      <c r="S96" s="723"/>
      <c r="X96" s="723"/>
    </row>
    <row r="97" spans="2:24" s="293" customFormat="1" ht="15.75">
      <c r="B97" s="311"/>
      <c r="C97" s="311"/>
      <c r="D97" s="311"/>
      <c r="E97" s="311"/>
      <c r="F97" s="311"/>
      <c r="G97" s="311"/>
      <c r="H97" s="311"/>
      <c r="I97" s="311"/>
      <c r="J97" s="311"/>
      <c r="K97" s="311"/>
      <c r="L97" s="311"/>
      <c r="M97" s="311"/>
      <c r="N97" s="554"/>
      <c r="S97" s="723"/>
      <c r="X97" s="723"/>
    </row>
    <row r="98" spans="2:24" s="293" customFormat="1" ht="15.75">
      <c r="B98" s="311"/>
      <c r="C98" s="311"/>
      <c r="D98" s="311"/>
      <c r="E98" s="311"/>
      <c r="F98" s="311"/>
      <c r="G98" s="311"/>
      <c r="H98" s="311"/>
      <c r="I98" s="311"/>
      <c r="J98" s="311"/>
      <c r="K98" s="311"/>
      <c r="L98" s="311"/>
      <c r="M98" s="311"/>
      <c r="N98" s="554"/>
      <c r="S98" s="723"/>
      <c r="X98" s="723"/>
    </row>
    <row r="99" spans="2:24" s="293" customFormat="1" ht="15.75">
      <c r="B99" s="311"/>
      <c r="C99" s="311"/>
      <c r="D99" s="311"/>
      <c r="E99" s="311"/>
      <c r="F99" s="311"/>
      <c r="G99" s="311"/>
      <c r="H99" s="311"/>
      <c r="I99" s="311"/>
      <c r="J99" s="311"/>
      <c r="K99" s="311"/>
      <c r="L99" s="311"/>
      <c r="M99" s="311"/>
      <c r="N99" s="554"/>
      <c r="S99" s="723"/>
      <c r="X99" s="723"/>
    </row>
    <row r="100" spans="2:24" s="293" customFormat="1" ht="15.75">
      <c r="B100" s="311"/>
      <c r="C100" s="311"/>
      <c r="D100" s="311"/>
      <c r="E100" s="311"/>
      <c r="F100" s="311"/>
      <c r="G100" s="311"/>
      <c r="H100" s="311"/>
      <c r="I100" s="311"/>
      <c r="J100" s="311"/>
      <c r="K100" s="311"/>
      <c r="L100" s="311"/>
      <c r="M100" s="311"/>
      <c r="N100" s="554"/>
      <c r="S100" s="723"/>
      <c r="X100" s="723"/>
    </row>
    <row r="101" spans="2:24" s="293" customFormat="1" ht="15.75">
      <c r="B101" s="311"/>
      <c r="C101" s="311"/>
      <c r="D101" s="311"/>
      <c r="E101" s="311"/>
      <c r="F101" s="311"/>
      <c r="G101" s="311"/>
      <c r="H101" s="311"/>
      <c r="I101" s="311"/>
      <c r="J101" s="311"/>
      <c r="K101" s="311"/>
      <c r="L101" s="311"/>
      <c r="M101" s="311"/>
      <c r="N101" s="554"/>
      <c r="S101" s="723"/>
      <c r="X101" s="723"/>
    </row>
    <row r="102" spans="2:24" s="293" customFormat="1" ht="15.75">
      <c r="B102" s="311"/>
      <c r="C102" s="311"/>
      <c r="D102" s="311"/>
      <c r="E102" s="311"/>
      <c r="F102" s="311"/>
      <c r="G102" s="311"/>
      <c r="H102" s="311"/>
      <c r="I102" s="311"/>
      <c r="J102" s="311"/>
      <c r="K102" s="311"/>
      <c r="L102" s="311"/>
      <c r="M102" s="311"/>
      <c r="N102" s="554"/>
      <c r="S102" s="723"/>
      <c r="X102" s="723"/>
    </row>
    <row r="103" spans="2:24" s="293" customFormat="1" ht="15.75">
      <c r="B103" s="311"/>
      <c r="C103" s="311"/>
      <c r="D103" s="311"/>
      <c r="E103" s="311"/>
      <c r="F103" s="311"/>
      <c r="G103" s="311"/>
      <c r="H103" s="311"/>
      <c r="I103" s="311"/>
      <c r="J103" s="311"/>
      <c r="K103" s="311"/>
      <c r="L103" s="311"/>
      <c r="M103" s="311"/>
      <c r="N103" s="554"/>
      <c r="S103" s="723"/>
      <c r="X103" s="723"/>
    </row>
    <row r="104" spans="2:24" s="293" customFormat="1" ht="15.75">
      <c r="B104" s="311"/>
      <c r="C104" s="311"/>
      <c r="D104" s="311"/>
      <c r="E104" s="311"/>
      <c r="F104" s="311"/>
      <c r="G104" s="311"/>
      <c r="H104" s="311"/>
      <c r="I104" s="311"/>
      <c r="J104" s="311"/>
      <c r="K104" s="311"/>
      <c r="L104" s="311"/>
      <c r="M104" s="311"/>
      <c r="N104" s="554"/>
      <c r="S104" s="723"/>
      <c r="X104" s="723"/>
    </row>
    <row r="105" spans="2:24" s="293" customFormat="1" ht="15.75">
      <c r="B105" s="311"/>
      <c r="C105" s="311"/>
      <c r="D105" s="311"/>
      <c r="E105" s="311"/>
      <c r="F105" s="311"/>
      <c r="G105" s="311"/>
      <c r="H105" s="311"/>
      <c r="I105" s="311"/>
      <c r="J105" s="311"/>
      <c r="K105" s="311"/>
      <c r="L105" s="311"/>
      <c r="M105" s="311"/>
      <c r="N105" s="554"/>
      <c r="S105" s="723"/>
      <c r="X105" s="723"/>
    </row>
    <row r="106" spans="2:24" s="293" customFormat="1" ht="15.75">
      <c r="B106" s="311"/>
      <c r="C106" s="311"/>
      <c r="D106" s="311"/>
      <c r="E106" s="311"/>
      <c r="F106" s="311"/>
      <c r="G106" s="311"/>
      <c r="H106" s="311"/>
      <c r="I106" s="311"/>
      <c r="J106" s="311"/>
      <c r="K106" s="311"/>
      <c r="L106" s="311"/>
      <c r="M106" s="311"/>
      <c r="N106" s="554"/>
      <c r="S106" s="723"/>
      <c r="X106" s="723"/>
    </row>
    <row r="107" spans="2:24" s="293" customFormat="1" ht="15.75">
      <c r="B107" s="311"/>
      <c r="C107" s="311"/>
      <c r="D107" s="311"/>
      <c r="E107" s="311"/>
      <c r="F107" s="311"/>
      <c r="G107" s="311"/>
      <c r="H107" s="311"/>
      <c r="I107" s="311"/>
      <c r="J107" s="311"/>
      <c r="K107" s="311"/>
      <c r="L107" s="311"/>
      <c r="M107" s="311"/>
      <c r="N107" s="554"/>
      <c r="S107" s="723"/>
      <c r="X107" s="723"/>
    </row>
    <row r="108" spans="2:24" s="293" customFormat="1" ht="15.75">
      <c r="B108" s="311"/>
      <c r="C108" s="311"/>
      <c r="D108" s="311"/>
      <c r="E108" s="311"/>
      <c r="F108" s="311"/>
      <c r="G108" s="311"/>
      <c r="H108" s="311"/>
      <c r="I108" s="311"/>
      <c r="J108" s="311"/>
      <c r="K108" s="311"/>
      <c r="L108" s="311"/>
      <c r="M108" s="311"/>
      <c r="N108" s="554"/>
      <c r="S108" s="723"/>
      <c r="X108" s="723"/>
    </row>
    <row r="109" spans="2:24" s="293" customFormat="1" ht="15.75">
      <c r="B109" s="311"/>
      <c r="C109" s="311"/>
      <c r="D109" s="311"/>
      <c r="E109" s="311"/>
      <c r="F109" s="311"/>
      <c r="G109" s="311"/>
      <c r="H109" s="311"/>
      <c r="I109" s="311"/>
      <c r="J109" s="311"/>
      <c r="K109" s="311"/>
      <c r="L109" s="311"/>
      <c r="M109" s="311"/>
      <c r="N109" s="554"/>
      <c r="S109" s="723"/>
      <c r="X109" s="723"/>
    </row>
    <row r="110" spans="2:24" s="293" customFormat="1" ht="15.75">
      <c r="B110" s="311"/>
      <c r="C110" s="311"/>
      <c r="D110" s="311"/>
      <c r="E110" s="311"/>
      <c r="F110" s="311"/>
      <c r="G110" s="311"/>
      <c r="H110" s="311"/>
      <c r="I110" s="311"/>
      <c r="J110" s="311"/>
      <c r="K110" s="311"/>
      <c r="L110" s="311"/>
      <c r="M110" s="311"/>
      <c r="N110" s="554"/>
      <c r="S110" s="723"/>
      <c r="X110" s="723"/>
    </row>
    <row r="111" spans="2:24" s="293" customFormat="1" ht="15.75">
      <c r="B111" s="311"/>
      <c r="C111" s="311"/>
      <c r="D111" s="311"/>
      <c r="E111" s="311"/>
      <c r="F111" s="311"/>
      <c r="G111" s="311"/>
      <c r="H111" s="311"/>
      <c r="I111" s="311"/>
      <c r="J111" s="311"/>
      <c r="K111" s="311"/>
      <c r="L111" s="311"/>
      <c r="M111" s="311"/>
      <c r="N111" s="554"/>
      <c r="S111" s="723"/>
      <c r="X111" s="723"/>
    </row>
    <row r="112" spans="2:24" s="293" customFormat="1" ht="15.75">
      <c r="B112" s="311"/>
      <c r="C112" s="311"/>
      <c r="D112" s="311"/>
      <c r="E112" s="311"/>
      <c r="F112" s="311"/>
      <c r="G112" s="311"/>
      <c r="H112" s="311"/>
      <c r="I112" s="311"/>
      <c r="J112" s="311"/>
      <c r="K112" s="311"/>
      <c r="L112" s="311"/>
      <c r="M112" s="311"/>
      <c r="N112" s="554"/>
      <c r="S112" s="723"/>
      <c r="X112" s="723"/>
    </row>
    <row r="113" spans="2:24" s="293" customFormat="1" ht="15.75">
      <c r="B113" s="311"/>
      <c r="C113" s="311"/>
      <c r="D113" s="311"/>
      <c r="E113" s="311"/>
      <c r="F113" s="311"/>
      <c r="G113" s="311"/>
      <c r="H113" s="311"/>
      <c r="I113" s="311"/>
      <c r="J113" s="311"/>
      <c r="K113" s="311"/>
      <c r="L113" s="311"/>
      <c r="M113" s="311"/>
      <c r="N113" s="554"/>
      <c r="S113" s="723"/>
      <c r="X113" s="723"/>
    </row>
    <row r="114" spans="2:24" s="293" customFormat="1" ht="15.75">
      <c r="B114" s="311"/>
      <c r="C114" s="311"/>
      <c r="D114" s="311"/>
      <c r="E114" s="311"/>
      <c r="F114" s="311"/>
      <c r="G114" s="311"/>
      <c r="H114" s="311"/>
      <c r="I114" s="311"/>
      <c r="J114" s="311"/>
      <c r="K114" s="311"/>
      <c r="L114" s="311"/>
      <c r="M114" s="311"/>
      <c r="N114" s="554"/>
      <c r="S114" s="723"/>
      <c r="X114" s="723"/>
    </row>
    <row r="115" spans="2:24" s="293" customFormat="1" ht="15.75">
      <c r="B115" s="311"/>
      <c r="C115" s="311"/>
      <c r="D115" s="311"/>
      <c r="E115" s="311"/>
      <c r="F115" s="311"/>
      <c r="G115" s="311"/>
      <c r="H115" s="311"/>
      <c r="I115" s="311"/>
      <c r="J115" s="311"/>
      <c r="K115" s="311"/>
      <c r="L115" s="311"/>
      <c r="M115" s="311"/>
      <c r="N115" s="554"/>
      <c r="S115" s="723"/>
      <c r="X115" s="723"/>
    </row>
    <row r="116" spans="2:24" s="293" customFormat="1" ht="15.75">
      <c r="B116" s="311"/>
      <c r="C116" s="311"/>
      <c r="D116" s="311"/>
      <c r="E116" s="311"/>
      <c r="F116" s="311"/>
      <c r="G116" s="311"/>
      <c r="H116" s="311"/>
      <c r="I116" s="311"/>
      <c r="J116" s="311"/>
      <c r="K116" s="311"/>
      <c r="L116" s="311"/>
      <c r="M116" s="311"/>
      <c r="N116" s="554"/>
      <c r="S116" s="723"/>
      <c r="X116" s="723"/>
    </row>
    <row r="117" spans="2:24" ht="15.75">
      <c r="B117" s="298"/>
      <c r="C117" s="298"/>
      <c r="D117" s="298"/>
      <c r="E117" s="298"/>
      <c r="F117" s="298"/>
      <c r="G117" s="298"/>
      <c r="H117" s="298"/>
      <c r="I117" s="298"/>
      <c r="J117" s="298"/>
      <c r="K117" s="298"/>
      <c r="L117" s="311"/>
      <c r="M117" s="298"/>
      <c r="N117" s="554"/>
    </row>
    <row r="118" spans="2:24" ht="15.75">
      <c r="B118" s="298"/>
      <c r="C118" s="298"/>
      <c r="D118" s="298"/>
      <c r="E118" s="298"/>
      <c r="F118" s="298"/>
      <c r="G118" s="298"/>
      <c r="H118" s="298"/>
      <c r="I118" s="298"/>
      <c r="J118" s="298"/>
      <c r="K118" s="298"/>
      <c r="L118" s="311"/>
      <c r="M118" s="298"/>
      <c r="N118" s="554"/>
    </row>
    <row r="119" spans="2:24" ht="15.75">
      <c r="B119" s="298"/>
      <c r="C119" s="298"/>
      <c r="D119" s="298"/>
      <c r="E119" s="298"/>
      <c r="F119" s="298"/>
      <c r="G119" s="298"/>
      <c r="H119" s="298"/>
      <c r="I119" s="298"/>
      <c r="J119" s="298"/>
      <c r="K119" s="298"/>
      <c r="L119" s="311"/>
      <c r="M119" s="298"/>
      <c r="N119" s="554"/>
    </row>
    <row r="120" spans="2:24" ht="15.75">
      <c r="B120" s="298"/>
      <c r="C120" s="298"/>
      <c r="D120" s="298"/>
      <c r="E120" s="298"/>
      <c r="F120" s="298"/>
      <c r="G120" s="298"/>
      <c r="H120" s="298"/>
      <c r="I120" s="298"/>
      <c r="J120" s="298"/>
      <c r="K120" s="298"/>
      <c r="L120" s="311"/>
      <c r="M120" s="298"/>
      <c r="N120" s="554"/>
    </row>
    <row r="121" spans="2:24" ht="15.75">
      <c r="B121" s="298"/>
      <c r="C121" s="298"/>
      <c r="D121" s="298"/>
      <c r="E121" s="298"/>
      <c r="F121" s="298"/>
      <c r="G121" s="298"/>
      <c r="H121" s="298"/>
      <c r="I121" s="298"/>
      <c r="J121" s="298"/>
      <c r="K121" s="298"/>
      <c r="L121" s="311"/>
      <c r="M121" s="298"/>
      <c r="N121" s="554"/>
    </row>
    <row r="122" spans="2:24" ht="15.75">
      <c r="B122" s="298"/>
      <c r="C122" s="298"/>
      <c r="D122" s="298"/>
      <c r="E122" s="298"/>
      <c r="F122" s="298"/>
      <c r="G122" s="298"/>
      <c r="H122" s="298"/>
      <c r="I122" s="298"/>
      <c r="J122" s="298"/>
      <c r="K122" s="298"/>
      <c r="L122" s="311"/>
      <c r="M122" s="298"/>
      <c r="N122" s="554"/>
    </row>
    <row r="123" spans="2:24" ht="15.75">
      <c r="B123" s="298"/>
      <c r="C123" s="298"/>
      <c r="D123" s="298"/>
      <c r="E123" s="298"/>
      <c r="F123" s="298"/>
      <c r="G123" s="298"/>
      <c r="H123" s="298"/>
      <c r="I123" s="298"/>
      <c r="J123" s="298"/>
      <c r="K123" s="298"/>
      <c r="L123" s="311"/>
      <c r="M123" s="298"/>
      <c r="N123" s="554"/>
    </row>
    <row r="124" spans="2:24" ht="15.75">
      <c r="B124" s="298"/>
      <c r="C124" s="298"/>
      <c r="D124" s="298"/>
      <c r="E124" s="298"/>
      <c r="F124" s="298"/>
      <c r="G124" s="298"/>
      <c r="H124" s="298"/>
      <c r="I124" s="298"/>
      <c r="J124" s="298"/>
      <c r="K124" s="298"/>
      <c r="L124" s="311"/>
      <c r="M124" s="298"/>
      <c r="N124" s="554"/>
    </row>
    <row r="125" spans="2:24" ht="15.75">
      <c r="B125" s="298"/>
      <c r="C125" s="298"/>
      <c r="D125" s="298"/>
      <c r="E125" s="298"/>
      <c r="F125" s="298"/>
      <c r="G125" s="298"/>
      <c r="H125" s="298"/>
      <c r="I125" s="298"/>
      <c r="J125" s="298"/>
      <c r="K125" s="298"/>
      <c r="L125" s="311"/>
      <c r="M125" s="298"/>
      <c r="N125" s="554"/>
    </row>
    <row r="126" spans="2:24" ht="15.75">
      <c r="B126" s="298"/>
      <c r="C126" s="298"/>
      <c r="D126" s="298"/>
      <c r="E126" s="298"/>
      <c r="F126" s="298"/>
      <c r="G126" s="298"/>
      <c r="H126" s="298"/>
      <c r="I126" s="298"/>
      <c r="J126" s="298"/>
      <c r="K126" s="298"/>
      <c r="L126" s="311"/>
      <c r="M126" s="298"/>
      <c r="N126" s="554"/>
    </row>
    <row r="127" spans="2:24" ht="15.75">
      <c r="B127" s="298"/>
      <c r="C127" s="298"/>
      <c r="D127" s="298"/>
      <c r="E127" s="298"/>
      <c r="F127" s="298"/>
      <c r="G127" s="298"/>
      <c r="H127" s="298"/>
      <c r="I127" s="298"/>
      <c r="J127" s="298"/>
      <c r="K127" s="298"/>
      <c r="L127" s="311"/>
      <c r="M127" s="298"/>
      <c r="N127" s="554"/>
    </row>
    <row r="128" spans="2:24" ht="15.75">
      <c r="B128" s="298"/>
      <c r="C128" s="298"/>
      <c r="D128" s="298"/>
      <c r="E128" s="298"/>
      <c r="F128" s="298"/>
      <c r="G128" s="298"/>
      <c r="H128" s="298"/>
      <c r="I128" s="298"/>
      <c r="J128" s="298"/>
      <c r="K128" s="298"/>
      <c r="L128" s="311"/>
      <c r="M128" s="298"/>
      <c r="N128" s="554"/>
    </row>
    <row r="129" spans="2:14" ht="15.75">
      <c r="B129" s="298"/>
      <c r="C129" s="298"/>
      <c r="D129" s="298"/>
      <c r="E129" s="298"/>
      <c r="F129" s="298"/>
      <c r="G129" s="298"/>
      <c r="H129" s="298"/>
      <c r="I129" s="298"/>
      <c r="J129" s="298"/>
      <c r="K129" s="298"/>
      <c r="L129" s="311"/>
      <c r="M129" s="298"/>
      <c r="N129" s="554"/>
    </row>
    <row r="130" spans="2:14" ht="15.75">
      <c r="B130" s="298"/>
      <c r="C130" s="298"/>
      <c r="D130" s="298"/>
      <c r="E130" s="298"/>
      <c r="F130" s="298"/>
      <c r="G130" s="298"/>
      <c r="H130" s="298"/>
      <c r="I130" s="298"/>
      <c r="J130" s="298"/>
      <c r="K130" s="298"/>
      <c r="L130" s="311"/>
      <c r="M130" s="298"/>
      <c r="N130" s="554"/>
    </row>
    <row r="131" spans="2:14" ht="15.75">
      <c r="B131" s="298"/>
      <c r="C131" s="298"/>
      <c r="D131" s="298"/>
      <c r="E131" s="298"/>
      <c r="F131" s="298"/>
      <c r="G131" s="298"/>
      <c r="H131" s="298"/>
      <c r="I131" s="298"/>
      <c r="J131" s="298"/>
      <c r="K131" s="298"/>
      <c r="L131" s="311"/>
      <c r="M131" s="298"/>
      <c r="N131" s="554"/>
    </row>
    <row r="132" spans="2:14" ht="15.75">
      <c r="B132" s="298"/>
      <c r="C132" s="298"/>
      <c r="D132" s="298"/>
      <c r="E132" s="298"/>
      <c r="F132" s="298"/>
      <c r="G132" s="298"/>
      <c r="H132" s="298"/>
      <c r="I132" s="298"/>
      <c r="J132" s="298"/>
      <c r="K132" s="298"/>
      <c r="L132" s="311"/>
      <c r="M132" s="298"/>
      <c r="N132" s="554"/>
    </row>
    <row r="133" spans="2:14" ht="15.75">
      <c r="B133" s="298"/>
      <c r="C133" s="298"/>
      <c r="D133" s="298"/>
      <c r="E133" s="298"/>
      <c r="F133" s="298"/>
      <c r="G133" s="298"/>
      <c r="H133" s="298"/>
      <c r="I133" s="298"/>
      <c r="J133" s="298"/>
      <c r="K133" s="298"/>
      <c r="L133" s="311"/>
      <c r="M133" s="298"/>
      <c r="N133" s="554"/>
    </row>
    <row r="134" spans="2:14" ht="15.75">
      <c r="B134" s="298"/>
      <c r="C134" s="298"/>
      <c r="D134" s="298"/>
      <c r="E134" s="298"/>
      <c r="F134" s="298"/>
      <c r="G134" s="298"/>
      <c r="H134" s="298"/>
      <c r="I134" s="298"/>
      <c r="J134" s="298"/>
      <c r="K134" s="298"/>
      <c r="L134" s="311"/>
      <c r="M134" s="298"/>
      <c r="N134" s="554"/>
    </row>
  </sheetData>
  <mergeCells count="2">
    <mergeCell ref="B4:N4"/>
    <mergeCell ref="B1:N3"/>
  </mergeCells>
  <printOptions horizontalCentered="1"/>
  <pageMargins left="0.5" right="0.5" top="0.5" bottom="0.5" header="0.5" footer="0.5"/>
  <pageSetup scale="74" orientation="portrait"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9" tint="0.39997558519241921"/>
  </sheetPr>
  <dimension ref="A1:AE119"/>
  <sheetViews>
    <sheetView showGridLines="0" showRuler="0" topLeftCell="B3" zoomScaleNormal="100" zoomScaleSheetLayoutView="130" workbookViewId="0">
      <selection activeCell="B60" sqref="A60:XFD68"/>
    </sheetView>
  </sheetViews>
  <sheetFormatPr defaultColWidth="6.85546875" defaultRowHeight="12.75"/>
  <cols>
    <col min="1" max="1" width="17.42578125" style="283" hidden="1" customWidth="1"/>
    <col min="2" max="2" width="36.5703125" style="283" customWidth="1"/>
    <col min="3" max="3" width="15.7109375" style="1025" customWidth="1"/>
    <col min="4" max="4" width="3" style="510" hidden="1" customWidth="1"/>
    <col min="5" max="5" width="15.7109375" style="510" customWidth="1"/>
    <col min="6" max="6" width="3" style="510" hidden="1" customWidth="1"/>
    <col min="7" max="7" width="15.7109375" style="510" customWidth="1"/>
    <col min="8" max="8" width="17.28515625" style="510" hidden="1" customWidth="1"/>
    <col min="9" max="9" width="3" style="510" hidden="1" customWidth="1"/>
    <col min="10" max="10" width="19.5703125" style="510" hidden="1" customWidth="1"/>
    <col min="11" max="11" width="1.85546875" style="510" hidden="1" customWidth="1"/>
    <col min="12" max="12" width="15.7109375" style="511" customWidth="1"/>
    <col min="13" max="13" width="3" style="510" hidden="1" customWidth="1"/>
    <col min="14" max="14" width="15.7109375" style="1115" customWidth="1"/>
    <col min="15" max="15" width="33.140625" style="283" bestFit="1" customWidth="1"/>
    <col min="16" max="16" width="16.28515625" style="283" bestFit="1" customWidth="1"/>
    <col min="17" max="17" width="12.5703125" style="283" bestFit="1" customWidth="1"/>
    <col min="18" max="18" width="6" style="283" hidden="1" customWidth="1"/>
    <col min="19" max="19" width="14.42578125" style="722" customWidth="1"/>
    <col min="20" max="20" width="16.85546875" style="283" bestFit="1" customWidth="1"/>
    <col min="21" max="21" width="13.140625" style="283" bestFit="1" customWidth="1"/>
    <col min="22" max="23" width="6.85546875" style="283"/>
    <col min="24" max="24" width="8" style="283" bestFit="1" customWidth="1"/>
    <col min="25" max="27" width="6.85546875" style="283"/>
    <col min="28" max="28" width="13.5703125" style="283" bestFit="1" customWidth="1"/>
    <col min="29" max="16384" width="6.85546875" style="283"/>
  </cols>
  <sheetData>
    <row r="1" spans="1:31" ht="23.45" hidden="1" customHeight="1">
      <c r="B1" s="1706" t="s">
        <v>372</v>
      </c>
      <c r="C1" s="1706"/>
      <c r="D1" s="1706"/>
      <c r="E1" s="1706"/>
      <c r="F1" s="1706"/>
      <c r="G1" s="1706"/>
      <c r="H1" s="1706"/>
      <c r="I1" s="1706"/>
      <c r="J1" s="1706"/>
      <c r="K1" s="1706"/>
      <c r="L1" s="1706"/>
      <c r="M1" s="1706"/>
      <c r="N1" s="1706"/>
      <c r="O1" s="593" t="s">
        <v>1023</v>
      </c>
    </row>
    <row r="2" spans="1:31" ht="18.75" hidden="1">
      <c r="B2" s="284"/>
      <c r="C2" s="1022"/>
      <c r="D2" s="493"/>
      <c r="E2" s="493"/>
      <c r="F2" s="493"/>
      <c r="G2" s="493"/>
      <c r="H2" s="493"/>
      <c r="I2" s="493"/>
      <c r="J2" s="493"/>
      <c r="K2" s="493"/>
      <c r="L2" s="493"/>
      <c r="M2" s="493"/>
      <c r="N2" s="1022"/>
    </row>
    <row r="3" spans="1:31" ht="35.450000000000003" customHeight="1">
      <c r="B3" s="1704" t="s">
        <v>848</v>
      </c>
      <c r="C3" s="1704"/>
      <c r="D3" s="1704"/>
      <c r="E3" s="1704"/>
      <c r="F3" s="1704"/>
      <c r="G3" s="1704"/>
      <c r="H3" s="1704"/>
      <c r="I3" s="1704"/>
      <c r="J3" s="1704"/>
      <c r="K3" s="1704"/>
      <c r="L3" s="1704"/>
      <c r="M3" s="1704"/>
      <c r="N3" s="1704"/>
      <c r="O3" s="1709" t="s">
        <v>58</v>
      </c>
      <c r="P3" s="1709"/>
      <c r="Q3" s="1709"/>
      <c r="R3" s="1709"/>
      <c r="S3" s="1709"/>
      <c r="T3" s="1709"/>
      <c r="U3" s="1709"/>
      <c r="V3" s="1709"/>
      <c r="W3" s="1709"/>
      <c r="X3" s="1709"/>
      <c r="Y3" s="1709"/>
      <c r="Z3" s="1709"/>
      <c r="AA3" s="1709"/>
      <c r="AB3" s="1709"/>
      <c r="AC3" s="1709"/>
      <c r="AD3" s="1709"/>
      <c r="AE3" s="1709"/>
    </row>
    <row r="4" spans="1:31" ht="32.25" customHeight="1" thickBot="1">
      <c r="B4" s="1711"/>
      <c r="C4" s="1711"/>
      <c r="D4" s="1711"/>
      <c r="E4" s="1711"/>
      <c r="F4" s="1711"/>
      <c r="G4" s="1711"/>
      <c r="H4" s="1711"/>
      <c r="I4" s="1711"/>
      <c r="J4" s="1711"/>
      <c r="K4" s="1711"/>
      <c r="L4" s="1711"/>
      <c r="M4" s="1711"/>
      <c r="N4" s="1711"/>
    </row>
    <row r="5" spans="1:31" s="1125" customFormat="1" ht="52.9" customHeight="1" thickBot="1">
      <c r="B5" s="1126"/>
      <c r="C5" s="1127" t="s">
        <v>981</v>
      </c>
      <c r="D5" s="1127"/>
      <c r="E5" s="1128" t="s">
        <v>982</v>
      </c>
      <c r="F5" s="1127"/>
      <c r="G5" s="1128" t="s">
        <v>980</v>
      </c>
      <c r="H5" s="1128" t="s">
        <v>407</v>
      </c>
      <c r="I5" s="1127"/>
      <c r="J5" s="1128" t="s">
        <v>593</v>
      </c>
      <c r="K5" s="1127"/>
      <c r="L5" s="1141" t="s">
        <v>989</v>
      </c>
      <c r="M5" s="1127"/>
      <c r="N5" s="1129" t="s">
        <v>985</v>
      </c>
      <c r="R5" s="1130"/>
      <c r="S5" s="1272"/>
      <c r="T5" s="1130"/>
      <c r="U5" s="1130"/>
      <c r="V5" s="1130"/>
      <c r="W5" s="1130"/>
    </row>
    <row r="6" spans="1:31">
      <c r="B6" s="288"/>
      <c r="C6" s="1023"/>
      <c r="D6" s="496"/>
      <c r="E6" s="496"/>
      <c r="F6" s="496"/>
      <c r="G6" s="495"/>
      <c r="H6" s="495"/>
      <c r="I6" s="496"/>
      <c r="J6" s="495"/>
      <c r="K6" s="496"/>
      <c r="L6" s="497"/>
      <c r="M6" s="496"/>
      <c r="S6" s="723"/>
      <c r="T6" s="293"/>
      <c r="U6" s="293"/>
      <c r="V6" s="293"/>
      <c r="W6" s="293"/>
      <c r="X6" s="293"/>
      <c r="Y6" s="293"/>
      <c r="Z6" s="293"/>
      <c r="AA6" s="293"/>
      <c r="AB6" s="293"/>
      <c r="AC6" s="293"/>
    </row>
    <row r="7" spans="1:31" ht="15.75">
      <c r="B7" s="299" t="s">
        <v>2</v>
      </c>
      <c r="C7" s="894"/>
      <c r="D7" s="499"/>
      <c r="E7" s="499"/>
      <c r="F7" s="499"/>
      <c r="G7" s="499"/>
      <c r="H7" s="500"/>
      <c r="I7" s="499"/>
      <c r="J7" s="500"/>
      <c r="K7" s="499"/>
      <c r="L7" s="501"/>
      <c r="M7" s="499"/>
      <c r="N7" s="981"/>
      <c r="S7" s="723"/>
      <c r="T7" s="293"/>
      <c r="U7" s="293"/>
      <c r="V7" s="293"/>
      <c r="W7" s="293"/>
      <c r="X7" s="293"/>
      <c r="Y7" s="293"/>
      <c r="Z7" s="293"/>
      <c r="AA7" s="293"/>
      <c r="AB7" s="293"/>
      <c r="AC7" s="293"/>
    </row>
    <row r="8" spans="1:31" ht="15.75">
      <c r="A8" s="321" t="s">
        <v>336</v>
      </c>
      <c r="B8" s="298" t="s">
        <v>6</v>
      </c>
      <c r="C8" s="1268">
        <v>22073597</v>
      </c>
      <c r="D8" s="1243"/>
      <c r="E8" s="1268">
        <v>22492213</v>
      </c>
      <c r="F8" s="1268"/>
      <c r="G8" s="1268">
        <v>22024973.579999998</v>
      </c>
      <c r="H8" s="1268">
        <v>12984871</v>
      </c>
      <c r="I8" s="1268"/>
      <c r="J8" s="1268" t="e">
        <v>#N/A</v>
      </c>
      <c r="K8" s="1268"/>
      <c r="L8" s="1268">
        <v>20306491</v>
      </c>
      <c r="M8" s="1268"/>
      <c r="N8" s="1268">
        <v>-2185722</v>
      </c>
      <c r="O8" s="606" t="s">
        <v>799</v>
      </c>
      <c r="P8" s="333">
        <v>2009069</v>
      </c>
      <c r="Q8" s="966">
        <v>6.4000000000000001E-2</v>
      </c>
      <c r="S8" s="723"/>
      <c r="T8" s="293"/>
      <c r="U8" s="1773"/>
      <c r="V8" s="293"/>
      <c r="W8" s="293"/>
      <c r="X8" s="293"/>
      <c r="Y8" s="293"/>
      <c r="Z8" s="293"/>
      <c r="AA8" s="293"/>
      <c r="AB8" s="723"/>
      <c r="AC8" s="293"/>
    </row>
    <row r="9" spans="1:31" ht="16.5" thickBot="1">
      <c r="A9" s="321" t="s">
        <v>338</v>
      </c>
      <c r="B9" s="305" t="s">
        <v>8</v>
      </c>
      <c r="C9" s="1239">
        <v>19221.03</v>
      </c>
      <c r="D9" s="1239"/>
      <c r="E9" s="1239">
        <v>46051</v>
      </c>
      <c r="F9" s="1239"/>
      <c r="G9" s="1239">
        <v>46051</v>
      </c>
      <c r="H9" s="528">
        <v>26915</v>
      </c>
      <c r="I9" s="1239"/>
      <c r="J9" s="528">
        <v>46051</v>
      </c>
      <c r="K9" s="1239"/>
      <c r="L9" s="1239">
        <v>46051</v>
      </c>
      <c r="M9" s="514"/>
      <c r="N9" s="1239">
        <v>0</v>
      </c>
      <c r="O9" s="606" t="s">
        <v>800</v>
      </c>
      <c r="P9" s="333">
        <v>788984</v>
      </c>
      <c r="Q9" s="966">
        <v>2.5000000000000001E-2</v>
      </c>
      <c r="S9" s="723"/>
      <c r="T9" s="293"/>
      <c r="U9" s="293"/>
      <c r="V9" s="293"/>
      <c r="W9" s="293"/>
      <c r="X9" s="293"/>
      <c r="Y9" s="293"/>
      <c r="Z9" s="293"/>
      <c r="AA9" s="293"/>
      <c r="AB9" s="723"/>
      <c r="AC9" s="293"/>
    </row>
    <row r="10" spans="1:31" ht="16.5" thickBot="1">
      <c r="A10" s="1098" t="s">
        <v>349</v>
      </c>
      <c r="B10" s="305" t="s">
        <v>28</v>
      </c>
      <c r="C10" s="1239">
        <v>531083.68000000005</v>
      </c>
      <c r="D10" s="1239"/>
      <c r="E10" s="1239">
        <v>0</v>
      </c>
      <c r="F10" s="1239"/>
      <c r="G10" s="1239">
        <v>0</v>
      </c>
      <c r="H10" s="528">
        <v>26916</v>
      </c>
      <c r="I10" s="1239"/>
      <c r="J10" s="528">
        <v>0</v>
      </c>
      <c r="K10" s="1239"/>
      <c r="L10" s="1239">
        <v>0</v>
      </c>
      <c r="M10" s="514"/>
      <c r="N10" s="1239">
        <v>0</v>
      </c>
      <c r="O10" s="606" t="s">
        <v>801</v>
      </c>
      <c r="P10" s="333">
        <v>7627655</v>
      </c>
      <c r="Q10" s="966">
        <v>0.24399999999999999</v>
      </c>
      <c r="S10" s="723"/>
      <c r="T10" s="293"/>
      <c r="U10" s="293"/>
      <c r="V10" s="293"/>
      <c r="W10" s="293"/>
      <c r="X10" s="293"/>
      <c r="Y10" s="293"/>
      <c r="Z10" s="293"/>
      <c r="AA10" s="293"/>
      <c r="AB10" s="723"/>
      <c r="AC10" s="293"/>
    </row>
    <row r="11" spans="1:31" s="625" customFormat="1" ht="15.75">
      <c r="A11" s="283"/>
      <c r="B11" s="298" t="s">
        <v>319</v>
      </c>
      <c r="C11" s="527">
        <v>0</v>
      </c>
      <c r="D11" s="514"/>
      <c r="E11" s="1239">
        <v>0</v>
      </c>
      <c r="F11" s="514"/>
      <c r="G11" s="518">
        <v>0</v>
      </c>
      <c r="H11" s="522">
        <v>0</v>
      </c>
      <c r="I11" s="522"/>
      <c r="J11" s="518">
        <v>0</v>
      </c>
      <c r="K11" s="518"/>
      <c r="L11" s="1239">
        <v>3444476</v>
      </c>
      <c r="M11" s="514"/>
      <c r="N11" s="527">
        <v>3444476</v>
      </c>
      <c r="O11" s="606"/>
      <c r="P11" s="333"/>
      <c r="Q11" s="966"/>
      <c r="R11" s="283"/>
      <c r="S11" s="723"/>
      <c r="AB11" s="723"/>
    </row>
    <row r="12" spans="1:31" s="293" customFormat="1" ht="15.75">
      <c r="A12" s="625"/>
      <c r="B12" s="622" t="s">
        <v>9</v>
      </c>
      <c r="C12" s="1026">
        <v>22623901.710000001</v>
      </c>
      <c r="D12" s="523"/>
      <c r="E12" s="523">
        <v>22538264</v>
      </c>
      <c r="F12" s="523"/>
      <c r="G12" s="523">
        <v>22071024.579999998</v>
      </c>
      <c r="H12" s="523">
        <v>13038702</v>
      </c>
      <c r="I12" s="523"/>
      <c r="J12" s="523" t="e">
        <v>#N/A</v>
      </c>
      <c r="K12" s="523"/>
      <c r="L12" s="523">
        <v>23797018</v>
      </c>
      <c r="M12" s="523"/>
      <c r="N12" s="1026">
        <v>1258754</v>
      </c>
      <c r="O12" s="606" t="s">
        <v>14</v>
      </c>
      <c r="P12" s="341">
        <v>4858413</v>
      </c>
      <c r="Q12" s="966">
        <v>0.155</v>
      </c>
      <c r="R12" s="625"/>
      <c r="S12" s="724"/>
    </row>
    <row r="13" spans="1:31" s="293" customFormat="1" ht="15.75">
      <c r="B13" s="310"/>
      <c r="C13" s="779"/>
      <c r="D13" s="515"/>
      <c r="E13" s="515"/>
      <c r="F13" s="515"/>
      <c r="G13" s="515"/>
      <c r="H13" s="515"/>
      <c r="I13" s="515"/>
      <c r="J13" s="515"/>
      <c r="K13" s="515"/>
      <c r="L13" s="515"/>
      <c r="M13" s="515"/>
      <c r="N13" s="522"/>
      <c r="O13" s="667" t="s">
        <v>15</v>
      </c>
      <c r="P13" s="341">
        <v>200000</v>
      </c>
      <c r="Q13" s="966">
        <v>7.0000000000000001E-3</v>
      </c>
      <c r="S13" s="723"/>
    </row>
    <row r="14" spans="1:31" s="293" customFormat="1" ht="15.75">
      <c r="B14" s="313" t="s">
        <v>320</v>
      </c>
      <c r="C14" s="779"/>
      <c r="D14" s="515"/>
      <c r="E14" s="515"/>
      <c r="F14" s="515"/>
      <c r="G14" s="515"/>
      <c r="H14" s="515"/>
      <c r="I14" s="515"/>
      <c r="J14" s="515"/>
      <c r="K14" s="515"/>
      <c r="L14" s="515"/>
      <c r="M14" s="515"/>
      <c r="N14" s="522"/>
      <c r="O14" s="667" t="s">
        <v>1003</v>
      </c>
      <c r="P14" s="341">
        <v>1921966</v>
      </c>
      <c r="Q14" s="966">
        <v>6.0999999999999999E-2</v>
      </c>
      <c r="S14" s="723"/>
      <c r="AB14" s="723"/>
    </row>
    <row r="15" spans="1:31" s="293" customFormat="1" ht="15.75">
      <c r="B15" s="311" t="s">
        <v>327</v>
      </c>
      <c r="C15" s="527">
        <v>6070221.3900000006</v>
      </c>
      <c r="D15" s="515"/>
      <c r="E15" s="1239">
        <v>10940926</v>
      </c>
      <c r="F15" s="1239"/>
      <c r="G15" s="1239">
        <v>10940926</v>
      </c>
      <c r="H15" s="1239">
        <v>10940926</v>
      </c>
      <c r="I15" s="1239"/>
      <c r="J15" s="1239">
        <v>10940926</v>
      </c>
      <c r="K15" s="1239"/>
      <c r="L15" s="1239">
        <v>7496450</v>
      </c>
      <c r="M15" s="515"/>
      <c r="N15" s="528">
        <v>-3444476</v>
      </c>
      <c r="O15" s="667" t="s">
        <v>38</v>
      </c>
      <c r="P15" s="341">
        <v>6390931</v>
      </c>
      <c r="Q15" s="966">
        <v>0.20399999999999999</v>
      </c>
      <c r="S15" s="723"/>
      <c r="T15" s="291"/>
      <c r="X15" s="291"/>
      <c r="Y15" s="291"/>
      <c r="Z15" s="291"/>
      <c r="AB15" s="723"/>
    </row>
    <row r="16" spans="1:31" s="293" customFormat="1" ht="15.75">
      <c r="B16" s="622" t="s">
        <v>20</v>
      </c>
      <c r="C16" s="1026">
        <v>6070221.3900000006</v>
      </c>
      <c r="D16" s="523"/>
      <c r="E16" s="1026">
        <v>10940926</v>
      </c>
      <c r="F16" s="1026"/>
      <c r="G16" s="1026">
        <v>10940926</v>
      </c>
      <c r="H16" s="1026">
        <v>10940926</v>
      </c>
      <c r="I16" s="1026"/>
      <c r="J16" s="1026">
        <v>10940926</v>
      </c>
      <c r="K16" s="1026"/>
      <c r="L16" s="1026">
        <v>7496450</v>
      </c>
      <c r="M16" s="523"/>
      <c r="N16" s="1026">
        <v>-3444476</v>
      </c>
      <c r="O16" s="608" t="s">
        <v>23</v>
      </c>
      <c r="P16" s="341">
        <v>7496449.9953424651</v>
      </c>
      <c r="Q16" s="966">
        <v>0.24</v>
      </c>
      <c r="S16" s="724"/>
      <c r="X16" s="291"/>
      <c r="Y16" s="291"/>
      <c r="Z16" s="291"/>
      <c r="AB16" s="723"/>
    </row>
    <row r="17" spans="1:23" s="293" customFormat="1" ht="16.5" thickBot="1">
      <c r="B17" s="616" t="s">
        <v>21</v>
      </c>
      <c r="C17" s="1028">
        <v>28694123.100000001</v>
      </c>
      <c r="D17" s="617"/>
      <c r="E17" s="617">
        <v>33479190</v>
      </c>
      <c r="F17" s="617"/>
      <c r="G17" s="617">
        <v>33011950.579999998</v>
      </c>
      <c r="H17" s="617">
        <v>23979628</v>
      </c>
      <c r="I17" s="617"/>
      <c r="J17" s="617" t="e">
        <v>#N/A</v>
      </c>
      <c r="K17" s="617"/>
      <c r="L17" s="617">
        <v>31293468</v>
      </c>
      <c r="M17" s="617"/>
      <c r="N17" s="1028">
        <v>-2185722</v>
      </c>
      <c r="O17" s="668" t="s">
        <v>25</v>
      </c>
      <c r="P17" s="340">
        <v>31293467.995342463</v>
      </c>
      <c r="Q17" s="967">
        <v>1</v>
      </c>
      <c r="R17" s="293" t="s">
        <v>58</v>
      </c>
      <c r="S17" s="723"/>
    </row>
    <row r="18" spans="1:23" s="293" customFormat="1" ht="16.5" thickTop="1">
      <c r="B18" s="316"/>
      <c r="C18" s="528"/>
      <c r="D18" s="515"/>
      <c r="E18" s="515"/>
      <c r="F18" s="515"/>
      <c r="G18" s="515"/>
      <c r="H18" s="515"/>
      <c r="I18" s="515"/>
      <c r="J18" s="515"/>
      <c r="K18" s="515"/>
      <c r="L18" s="515"/>
      <c r="M18" s="515"/>
      <c r="N18" s="522"/>
      <c r="S18" s="723"/>
    </row>
    <row r="19" spans="1:23" s="293" customFormat="1" ht="15.75">
      <c r="B19" s="349" t="s">
        <v>10</v>
      </c>
      <c r="C19" s="1027"/>
      <c r="D19" s="514"/>
      <c r="E19" s="514"/>
      <c r="F19" s="514"/>
      <c r="G19" s="515"/>
      <c r="H19" s="515"/>
      <c r="I19" s="514"/>
      <c r="J19" s="515"/>
      <c r="K19" s="514"/>
      <c r="L19" s="514"/>
      <c r="M19" s="514"/>
      <c r="N19" s="518"/>
      <c r="S19" s="723"/>
    </row>
    <row r="20" spans="1:23" s="293" customFormat="1" ht="15.75">
      <c r="A20" s="621" t="s">
        <v>340</v>
      </c>
      <c r="B20" s="316" t="s">
        <v>11</v>
      </c>
      <c r="C20" s="1239">
        <v>1709130.75</v>
      </c>
      <c r="D20" s="1239"/>
      <c r="E20" s="1239">
        <v>2014449</v>
      </c>
      <c r="F20" s="1239"/>
      <c r="G20" s="1239">
        <v>1868083.51</v>
      </c>
      <c r="H20" s="528">
        <v>26915</v>
      </c>
      <c r="I20" s="1239"/>
      <c r="J20" s="528">
        <v>2009069</v>
      </c>
      <c r="K20" s="1239"/>
      <c r="L20" s="1239">
        <v>2009069</v>
      </c>
      <c r="M20" s="514"/>
      <c r="N20" s="527">
        <v>-5380</v>
      </c>
      <c r="O20" s="608" t="s">
        <v>6</v>
      </c>
      <c r="P20" s="341">
        <v>20306491</v>
      </c>
      <c r="Q20" s="608">
        <v>0.64900000000000002</v>
      </c>
      <c r="S20" s="723"/>
    </row>
    <row r="21" spans="1:23" s="293" customFormat="1" ht="15.75">
      <c r="A21" s="621" t="s">
        <v>341</v>
      </c>
      <c r="B21" s="316" t="s">
        <v>12</v>
      </c>
      <c r="C21" s="1239">
        <v>632900.28</v>
      </c>
      <c r="D21" s="1239"/>
      <c r="E21" s="1239">
        <v>770790</v>
      </c>
      <c r="F21" s="1239"/>
      <c r="G21" s="1239">
        <v>642233.06999999995</v>
      </c>
      <c r="H21" s="528">
        <v>26915</v>
      </c>
      <c r="I21" s="1239"/>
      <c r="J21" s="528">
        <v>788984</v>
      </c>
      <c r="K21" s="1239"/>
      <c r="L21" s="1239">
        <v>788984</v>
      </c>
      <c r="M21" s="514"/>
      <c r="N21" s="527">
        <v>18194</v>
      </c>
      <c r="O21" s="608" t="s">
        <v>8</v>
      </c>
      <c r="P21" s="341">
        <v>46051</v>
      </c>
      <c r="Q21" s="608">
        <v>1E-3</v>
      </c>
      <c r="S21" s="723"/>
    </row>
    <row r="22" spans="1:23" s="293" customFormat="1" ht="21">
      <c r="A22" s="621" t="s">
        <v>342</v>
      </c>
      <c r="B22" s="316" t="s">
        <v>801</v>
      </c>
      <c r="C22" s="1239">
        <v>6414432.1600000001</v>
      </c>
      <c r="D22" s="1239"/>
      <c r="E22" s="1239">
        <v>7367066.2199999997</v>
      </c>
      <c r="F22" s="1239"/>
      <c r="G22" s="1239">
        <v>7362627</v>
      </c>
      <c r="H22" s="528">
        <v>26915</v>
      </c>
      <c r="I22" s="1239"/>
      <c r="J22" s="528">
        <v>7627655</v>
      </c>
      <c r="K22" s="1239"/>
      <c r="L22" s="1239">
        <v>7627655</v>
      </c>
      <c r="M22" s="514"/>
      <c r="N22" s="1239">
        <v>260588.78000000026</v>
      </c>
      <c r="O22" s="608" t="s">
        <v>28</v>
      </c>
      <c r="P22" s="341">
        <v>0</v>
      </c>
      <c r="Q22" s="608">
        <v>0</v>
      </c>
      <c r="R22" s="344"/>
      <c r="S22" s="729"/>
      <c r="T22" s="344"/>
      <c r="U22" s="344"/>
      <c r="V22" s="344"/>
      <c r="W22" s="344"/>
    </row>
    <row r="23" spans="1:23" s="293" customFormat="1" ht="15.75">
      <c r="A23" s="621" t="s">
        <v>343</v>
      </c>
      <c r="B23" s="316" t="s">
        <v>14</v>
      </c>
      <c r="C23" s="1239">
        <v>5671946.5999999996</v>
      </c>
      <c r="D23" s="1239"/>
      <c r="E23" s="1239">
        <v>4647149</v>
      </c>
      <c r="F23" s="1239"/>
      <c r="G23" s="1239">
        <v>4647144</v>
      </c>
      <c r="H23" s="528">
        <v>26915</v>
      </c>
      <c r="I23" s="1239"/>
      <c r="J23" s="528">
        <v>4858413</v>
      </c>
      <c r="K23" s="1239"/>
      <c r="L23" s="1239">
        <v>4858413</v>
      </c>
      <c r="M23" s="514"/>
      <c r="N23" s="1239">
        <v>211264</v>
      </c>
      <c r="O23" s="608" t="s">
        <v>319</v>
      </c>
      <c r="P23" s="341">
        <v>3444476</v>
      </c>
      <c r="Q23" s="608">
        <v>0.11</v>
      </c>
      <c r="R23" s="344"/>
      <c r="S23" s="729"/>
      <c r="T23" s="344"/>
      <c r="U23" s="344"/>
      <c r="V23" s="344"/>
      <c r="W23" s="344"/>
    </row>
    <row r="24" spans="1:23" s="293" customFormat="1" ht="15.75">
      <c r="A24" s="621" t="s">
        <v>350</v>
      </c>
      <c r="B24" s="316" t="s">
        <v>15</v>
      </c>
      <c r="C24" s="1239">
        <v>1167560.07</v>
      </c>
      <c r="D24" s="1239"/>
      <c r="E24" s="1239">
        <v>306215</v>
      </c>
      <c r="F24" s="1239"/>
      <c r="G24" s="1239">
        <v>206215</v>
      </c>
      <c r="H24" s="528">
        <v>26915</v>
      </c>
      <c r="I24" s="1239"/>
      <c r="J24" s="528">
        <v>200000</v>
      </c>
      <c r="K24" s="1239"/>
      <c r="L24" s="1239">
        <v>200000</v>
      </c>
      <c r="M24" s="514"/>
      <c r="N24" s="527">
        <v>-106215</v>
      </c>
      <c r="O24" s="608" t="s">
        <v>19</v>
      </c>
      <c r="P24" s="341">
        <v>7496450</v>
      </c>
      <c r="Q24" s="608">
        <v>0.24</v>
      </c>
      <c r="R24" s="344"/>
      <c r="S24" s="729"/>
      <c r="T24" s="344"/>
      <c r="U24" s="344"/>
      <c r="V24" s="344"/>
      <c r="W24" s="344"/>
    </row>
    <row r="25" spans="1:23" s="293" customFormat="1" ht="16.5" thickBot="1">
      <c r="A25" s="621" t="s">
        <v>351</v>
      </c>
      <c r="B25" s="316" t="s">
        <v>1003</v>
      </c>
      <c r="C25" s="1239">
        <v>1875341.81</v>
      </c>
      <c r="D25" s="1239"/>
      <c r="E25" s="1239">
        <v>1922771</v>
      </c>
      <c r="F25" s="1239"/>
      <c r="G25" s="1239">
        <v>1922770</v>
      </c>
      <c r="H25" s="528">
        <v>26915</v>
      </c>
      <c r="I25" s="1239"/>
      <c r="J25" s="528">
        <v>1921966</v>
      </c>
      <c r="K25" s="1239"/>
      <c r="L25" s="1239">
        <v>1921966</v>
      </c>
      <c r="M25" s="514"/>
      <c r="N25" s="527">
        <v>-805</v>
      </c>
      <c r="O25" s="668" t="s">
        <v>21</v>
      </c>
      <c r="P25" s="340">
        <v>31293468</v>
      </c>
      <c r="Q25" s="668">
        <v>1</v>
      </c>
      <c r="R25" s="344"/>
      <c r="S25" s="729"/>
    </row>
    <row r="26" spans="1:23" s="293" customFormat="1" ht="16.5" thickTop="1">
      <c r="A26" s="621"/>
      <c r="B26" s="316" t="s">
        <v>1001</v>
      </c>
      <c r="C26" s="1239">
        <v>0</v>
      </c>
      <c r="D26" s="1239"/>
      <c r="E26" s="1239">
        <v>5247711</v>
      </c>
      <c r="F26" s="1239"/>
      <c r="G26" s="1239">
        <v>5247711</v>
      </c>
      <c r="H26" s="528">
        <v>26915</v>
      </c>
      <c r="I26" s="1239"/>
      <c r="J26" s="528">
        <v>6390931</v>
      </c>
      <c r="K26" s="1239"/>
      <c r="L26" s="1239">
        <v>6227268</v>
      </c>
      <c r="M26" s="514"/>
      <c r="N26" s="527">
        <v>979557</v>
      </c>
      <c r="O26" s="608"/>
      <c r="P26" s="341"/>
      <c r="Q26" s="608"/>
      <c r="R26" s="344"/>
      <c r="S26" s="729"/>
    </row>
    <row r="27" spans="1:23" s="293" customFormat="1" ht="15.75">
      <c r="A27" s="621" t="s">
        <v>346</v>
      </c>
      <c r="B27" s="316" t="s">
        <v>999</v>
      </c>
      <c r="C27" s="1239">
        <v>281885.43</v>
      </c>
      <c r="D27" s="1239"/>
      <c r="E27" s="1239">
        <v>174241</v>
      </c>
      <c r="F27" s="1239"/>
      <c r="G27" s="1239">
        <v>174241</v>
      </c>
      <c r="H27" s="528">
        <v>26915</v>
      </c>
      <c r="I27" s="1239"/>
      <c r="J27" s="528">
        <v>163663</v>
      </c>
      <c r="K27" s="1239"/>
      <c r="L27" s="1239">
        <v>163663</v>
      </c>
      <c r="M27" s="514"/>
      <c r="N27" s="1239">
        <v>-10578</v>
      </c>
      <c r="O27" s="673"/>
      <c r="P27" s="344"/>
      <c r="Q27" s="344"/>
      <c r="S27" s="625"/>
    </row>
    <row r="28" spans="1:23" s="293" customFormat="1" ht="15.75">
      <c r="B28" s="622" t="s">
        <v>22</v>
      </c>
      <c r="C28" s="1026">
        <v>17753197.100000001</v>
      </c>
      <c r="D28" s="523"/>
      <c r="E28" s="523">
        <v>22450392.219999999</v>
      </c>
      <c r="F28" s="523"/>
      <c r="G28" s="523">
        <v>22071024.579999998</v>
      </c>
      <c r="H28" s="523">
        <v>215320</v>
      </c>
      <c r="I28" s="523"/>
      <c r="J28" s="523">
        <v>23960681</v>
      </c>
      <c r="K28" s="523"/>
      <c r="L28" s="523">
        <v>23797018</v>
      </c>
      <c r="M28" s="523"/>
      <c r="N28" s="1026">
        <v>1346625.7800000003</v>
      </c>
      <c r="O28" s="646"/>
      <c r="P28" s="724"/>
      <c r="S28" s="724"/>
    </row>
    <row r="29" spans="1:23" s="293" customFormat="1" ht="15.75">
      <c r="B29" s="311"/>
      <c r="C29" s="527"/>
      <c r="D29" s="515"/>
      <c r="E29" s="515"/>
      <c r="F29" s="515"/>
      <c r="G29" s="515"/>
      <c r="H29" s="515"/>
      <c r="I29" s="515"/>
      <c r="J29" s="515"/>
      <c r="K29" s="515"/>
      <c r="L29" s="515"/>
      <c r="M29" s="515"/>
      <c r="N29" s="522"/>
      <c r="O29" s="1776"/>
      <c r="P29" s="1774"/>
      <c r="Q29" s="1774"/>
      <c r="S29" s="1774"/>
    </row>
    <row r="30" spans="1:23" s="293" customFormat="1" ht="15.75">
      <c r="B30" s="313" t="s">
        <v>321</v>
      </c>
      <c r="C30" s="779"/>
      <c r="D30" s="525"/>
      <c r="E30" s="525"/>
      <c r="F30" s="525"/>
      <c r="G30" s="525"/>
      <c r="H30" s="525"/>
      <c r="I30" s="525"/>
      <c r="J30" s="525"/>
      <c r="K30" s="525"/>
      <c r="L30" s="514"/>
      <c r="M30" s="525"/>
      <c r="N30" s="518"/>
      <c r="O30" s="1777"/>
      <c r="P30" s="1777"/>
      <c r="Q30" s="1778"/>
      <c r="S30" s="723"/>
    </row>
    <row r="31" spans="1:23" s="293" customFormat="1" ht="15.75">
      <c r="B31" s="316" t="s">
        <v>322</v>
      </c>
      <c r="C31" s="528">
        <v>9681300.4389041103</v>
      </c>
      <c r="D31" s="515"/>
      <c r="E31" s="514">
        <v>9608499.6526027396</v>
      </c>
      <c r="F31" s="515"/>
      <c r="G31" s="514">
        <v>9546137.8487671241</v>
      </c>
      <c r="H31" s="515">
        <v>9546137.8487671241</v>
      </c>
      <c r="I31" s="515"/>
      <c r="J31" s="515">
        <v>8395056</v>
      </c>
      <c r="K31" s="515"/>
      <c r="L31" s="1239">
        <v>7496449.9953424651</v>
      </c>
      <c r="M31" s="515"/>
      <c r="N31" s="528">
        <v>-2112049.6572602745</v>
      </c>
      <c r="O31" s="1777"/>
      <c r="P31" s="1777"/>
      <c r="Q31" s="1779"/>
      <c r="R31" s="1775"/>
      <c r="S31" s="1775"/>
    </row>
    <row r="32" spans="1:23" s="625" customFormat="1" ht="15.75">
      <c r="A32" s="293"/>
      <c r="B32" s="316" t="s">
        <v>31</v>
      </c>
      <c r="C32" s="1029">
        <v>1259625.5610958897</v>
      </c>
      <c r="D32" s="515"/>
      <c r="E32" s="1029">
        <v>1420298.1273972616</v>
      </c>
      <c r="F32" s="515"/>
      <c r="G32" s="1029">
        <v>1394788</v>
      </c>
      <c r="H32" s="515">
        <v>1212284</v>
      </c>
      <c r="I32" s="515"/>
      <c r="J32" s="515">
        <v>275900.84999999998</v>
      </c>
      <c r="K32" s="515"/>
      <c r="L32" s="1289">
        <v>0</v>
      </c>
      <c r="M32" s="515"/>
      <c r="N32" s="528">
        <v>-1420298.1273972616</v>
      </c>
      <c r="O32" s="1777"/>
      <c r="P32" s="1777"/>
      <c r="Q32" s="1779"/>
      <c r="R32" s="1775"/>
      <c r="S32" s="731"/>
      <c r="T32" s="293"/>
    </row>
    <row r="33" spans="1:25" s="293" customFormat="1" ht="15.75">
      <c r="A33" s="625"/>
      <c r="B33" s="1246" t="s">
        <v>323</v>
      </c>
      <c r="C33" s="1027">
        <v>10940926</v>
      </c>
      <c r="D33" s="523"/>
      <c r="E33" s="1027">
        <v>11028797.780000001</v>
      </c>
      <c r="F33" s="1027"/>
      <c r="G33" s="1027">
        <v>10940925.848767124</v>
      </c>
      <c r="H33" s="1027">
        <v>10758421.848767124</v>
      </c>
      <c r="I33" s="1027"/>
      <c r="J33" s="1027">
        <v>8670956.8499999996</v>
      </c>
      <c r="K33" s="1027"/>
      <c r="L33" s="1027">
        <v>7496449.9953424651</v>
      </c>
      <c r="M33" s="523"/>
      <c r="N33" s="1026">
        <v>-3532347.7846575361</v>
      </c>
      <c r="O33" s="1777"/>
      <c r="P33" s="1777"/>
      <c r="Q33" s="1779"/>
      <c r="R33" s="731"/>
      <c r="S33" s="1775"/>
    </row>
    <row r="34" spans="1:25" s="293" customFormat="1" ht="16.5" thickBot="1">
      <c r="B34" s="616" t="s">
        <v>25</v>
      </c>
      <c r="C34" s="1267">
        <v>28694123.100000001</v>
      </c>
      <c r="D34" s="627"/>
      <c r="E34" s="1267">
        <v>33479190</v>
      </c>
      <c r="F34" s="1267"/>
      <c r="G34" s="1028">
        <v>33011951</v>
      </c>
      <c r="H34" s="1267">
        <v>10973741.848767124</v>
      </c>
      <c r="I34" s="1267"/>
      <c r="J34" s="627">
        <v>32631637.850000001</v>
      </c>
      <c r="K34" s="627"/>
      <c r="L34" s="1267">
        <v>31293467.995342463</v>
      </c>
      <c r="M34" s="1267"/>
      <c r="N34" s="1267">
        <v>-2185722.0046575367</v>
      </c>
      <c r="O34" s="625"/>
      <c r="Q34" s="625"/>
      <c r="S34" s="723"/>
    </row>
    <row r="35" spans="1:25" s="293" customFormat="1" ht="15" customHeight="1" thickTop="1">
      <c r="B35" s="316" t="s">
        <v>58</v>
      </c>
      <c r="C35" s="522"/>
      <c r="D35" s="1605"/>
      <c r="E35" s="1605"/>
      <c r="F35" s="1605"/>
      <c r="G35" s="1605"/>
      <c r="H35" s="1605"/>
      <c r="I35" s="1605"/>
      <c r="J35" s="1605"/>
      <c r="K35" s="1605"/>
      <c r="L35" s="1605"/>
      <c r="M35" s="1605"/>
      <c r="N35" s="1521"/>
      <c r="O35" s="723"/>
      <c r="P35" s="1475"/>
      <c r="Q35" s="910"/>
      <c r="S35" s="723"/>
    </row>
    <row r="36" spans="1:25" s="293" customFormat="1" ht="15.75">
      <c r="B36" s="316"/>
      <c r="C36" s="522"/>
      <c r="D36" s="1605"/>
      <c r="E36" s="1605"/>
      <c r="F36" s="1605"/>
      <c r="G36" s="1605"/>
      <c r="H36" s="1605"/>
      <c r="I36" s="1605"/>
      <c r="J36" s="1605"/>
      <c r="K36" s="1605"/>
      <c r="L36" s="1605"/>
      <c r="M36" s="1605"/>
      <c r="N36" s="1521"/>
      <c r="O36" s="291"/>
      <c r="P36" s="723"/>
      <c r="Q36" s="910"/>
      <c r="S36" s="723"/>
    </row>
    <row r="37" spans="1:25" s="293" customFormat="1" ht="15.75">
      <c r="B37" s="313"/>
      <c r="C37" s="1024"/>
      <c r="D37" s="529"/>
      <c r="E37" s="529"/>
      <c r="F37" s="529"/>
      <c r="G37" s="529"/>
      <c r="H37" s="529"/>
      <c r="I37" s="529"/>
      <c r="J37" s="529"/>
      <c r="K37" s="529"/>
      <c r="L37" s="529"/>
      <c r="M37" s="529"/>
      <c r="N37" s="893"/>
      <c r="O37" s="653"/>
      <c r="S37" s="723"/>
    </row>
    <row r="38" spans="1:25" s="293" customFormat="1" ht="15.75">
      <c r="B38" s="313"/>
      <c r="C38" s="978"/>
      <c r="D38" s="506"/>
      <c r="E38" s="506"/>
      <c r="F38" s="506"/>
      <c r="G38" s="506"/>
      <c r="H38" s="506"/>
      <c r="I38" s="506"/>
      <c r="J38" s="506"/>
      <c r="K38" s="506"/>
      <c r="L38" s="506"/>
      <c r="M38" s="506"/>
      <c r="N38" s="1080"/>
      <c r="S38" s="723"/>
    </row>
    <row r="39" spans="1:25" s="293" customFormat="1" ht="15.75">
      <c r="B39" s="313"/>
      <c r="C39" s="978"/>
      <c r="D39" s="506"/>
      <c r="E39" s="506"/>
      <c r="F39" s="506"/>
      <c r="G39" s="506"/>
      <c r="H39" s="506"/>
      <c r="I39" s="506"/>
      <c r="J39" s="506"/>
      <c r="K39" s="506"/>
      <c r="L39" s="506"/>
      <c r="M39" s="506"/>
      <c r="N39" s="1080"/>
      <c r="S39" s="723"/>
    </row>
    <row r="40" spans="1:25" s="293" customFormat="1" ht="15.75">
      <c r="B40" s="313"/>
      <c r="C40" s="978"/>
      <c r="D40" s="506"/>
      <c r="E40" s="506"/>
      <c r="F40" s="506"/>
      <c r="G40" s="506"/>
      <c r="H40" s="506"/>
      <c r="I40" s="506"/>
      <c r="J40" s="506"/>
      <c r="K40" s="506"/>
      <c r="L40" s="506"/>
      <c r="M40" s="506"/>
      <c r="N40" s="1080"/>
      <c r="S40" s="723"/>
      <c r="Y40" s="723"/>
    </row>
    <row r="41" spans="1:25" s="293" customFormat="1" ht="15.75">
      <c r="B41" s="313"/>
      <c r="C41" s="978"/>
      <c r="D41" s="506"/>
      <c r="E41" s="506"/>
      <c r="F41" s="506"/>
      <c r="G41" s="506"/>
      <c r="H41" s="506"/>
      <c r="I41" s="506"/>
      <c r="J41" s="506"/>
      <c r="K41" s="506"/>
      <c r="L41" s="506"/>
      <c r="M41" s="506"/>
      <c r="N41" s="1080"/>
      <c r="S41" s="723"/>
      <c r="Y41" s="723"/>
    </row>
    <row r="42" spans="1:25" s="293" customFormat="1" ht="16.5" thickBot="1">
      <c r="B42" s="313"/>
      <c r="C42" s="978"/>
      <c r="D42" s="506"/>
      <c r="E42" s="506"/>
      <c r="F42" s="506"/>
      <c r="G42" s="506"/>
      <c r="H42" s="506"/>
      <c r="I42" s="506"/>
      <c r="J42" s="506"/>
      <c r="K42" s="506"/>
      <c r="L42" s="506"/>
      <c r="M42" s="506"/>
      <c r="N42" s="1080"/>
      <c r="S42" s="723"/>
      <c r="T42" s="344"/>
      <c r="U42" s="344"/>
      <c r="V42" s="344"/>
      <c r="W42" s="344"/>
      <c r="Y42" s="723"/>
    </row>
    <row r="43" spans="1:25" s="293" customFormat="1" ht="15.75">
      <c r="B43" s="313"/>
      <c r="C43" s="978"/>
      <c r="D43" s="506"/>
      <c r="E43" s="506"/>
      <c r="F43" s="506"/>
      <c r="G43" s="506"/>
      <c r="H43" s="506"/>
      <c r="I43" s="506"/>
      <c r="J43" s="506"/>
      <c r="K43" s="506"/>
      <c r="L43" s="506"/>
      <c r="M43" s="506"/>
      <c r="N43" s="1080"/>
      <c r="R43" s="1772"/>
      <c r="S43" s="729"/>
      <c r="T43" s="344"/>
      <c r="U43" s="344"/>
      <c r="V43" s="344"/>
      <c r="W43" s="344"/>
      <c r="X43" s="723"/>
      <c r="Y43" s="723"/>
    </row>
    <row r="44" spans="1:25" s="293" customFormat="1" ht="15.75">
      <c r="B44" s="310"/>
      <c r="C44" s="978"/>
      <c r="D44" s="506"/>
      <c r="E44" s="506"/>
      <c r="F44" s="506"/>
      <c r="G44" s="506"/>
      <c r="H44" s="506"/>
      <c r="I44" s="506"/>
      <c r="J44" s="506"/>
      <c r="K44" s="506"/>
      <c r="L44" s="506"/>
      <c r="M44" s="506"/>
      <c r="N44" s="1080"/>
      <c r="R44" s="975"/>
      <c r="S44" s="729"/>
      <c r="T44" s="344"/>
      <c r="U44" s="344"/>
      <c r="V44" s="344"/>
      <c r="W44" s="344"/>
      <c r="X44" s="723"/>
      <c r="Y44" s="723"/>
    </row>
    <row r="45" spans="1:25" s="293" customFormat="1" ht="15.75">
      <c r="B45" s="313"/>
      <c r="C45" s="978"/>
      <c r="D45" s="506"/>
      <c r="E45" s="506"/>
      <c r="F45" s="506"/>
      <c r="G45" s="506"/>
      <c r="H45" s="506"/>
      <c r="I45" s="506"/>
      <c r="J45" s="506"/>
      <c r="K45" s="506"/>
      <c r="L45" s="506"/>
      <c r="M45" s="506"/>
      <c r="N45" s="1080"/>
      <c r="Q45" s="723"/>
      <c r="R45" s="975"/>
      <c r="S45" s="729"/>
      <c r="T45" s="344"/>
      <c r="U45" s="344"/>
      <c r="V45" s="344"/>
      <c r="W45" s="344"/>
      <c r="X45" s="723"/>
      <c r="Y45" s="723"/>
    </row>
    <row r="46" spans="1:25" s="293" customFormat="1" ht="15.75">
      <c r="B46" s="313"/>
      <c r="C46" s="978"/>
      <c r="D46" s="506"/>
      <c r="E46" s="506"/>
      <c r="F46" s="506"/>
      <c r="G46" s="506"/>
      <c r="H46" s="506"/>
      <c r="I46" s="506"/>
      <c r="J46" s="506"/>
      <c r="K46" s="506"/>
      <c r="L46" s="506"/>
      <c r="M46" s="506"/>
      <c r="N46" s="1080"/>
      <c r="Q46" s="723"/>
      <c r="R46" s="975"/>
      <c r="S46" s="729"/>
      <c r="T46" s="344"/>
      <c r="U46" s="344"/>
      <c r="V46" s="344"/>
      <c r="W46" s="344"/>
      <c r="X46" s="723"/>
      <c r="Y46" s="723"/>
    </row>
    <row r="47" spans="1:25" s="293" customFormat="1" ht="15.75">
      <c r="B47" s="313"/>
      <c r="C47" s="978"/>
      <c r="D47" s="506"/>
      <c r="E47" s="506"/>
      <c r="F47" s="506"/>
      <c r="G47" s="506"/>
      <c r="H47" s="506"/>
      <c r="I47" s="506"/>
      <c r="J47" s="506"/>
      <c r="K47" s="506"/>
      <c r="L47" s="506"/>
      <c r="M47" s="506"/>
      <c r="N47" s="1080"/>
      <c r="R47" s="975"/>
      <c r="S47" s="729"/>
      <c r="T47" s="344"/>
      <c r="U47" s="344"/>
      <c r="V47" s="344"/>
      <c r="W47" s="344"/>
      <c r="X47" s="723"/>
      <c r="Y47" s="723"/>
    </row>
    <row r="48" spans="1:25" s="293" customFormat="1" ht="16.5" thickBot="1">
      <c r="B48" s="313"/>
      <c r="C48" s="978"/>
      <c r="D48" s="506"/>
      <c r="E48" s="506"/>
      <c r="F48" s="506"/>
      <c r="G48" s="506"/>
      <c r="H48" s="506"/>
      <c r="I48" s="506"/>
      <c r="J48" s="506"/>
      <c r="K48" s="506"/>
      <c r="L48" s="506"/>
      <c r="M48" s="506"/>
      <c r="N48" s="1080"/>
      <c r="R48" s="976"/>
      <c r="S48" s="729"/>
    </row>
    <row r="49" spans="1:29" s="293" customFormat="1" ht="15.75">
      <c r="B49" s="313"/>
      <c r="C49" s="978"/>
      <c r="D49" s="506"/>
      <c r="E49" s="506"/>
      <c r="F49" s="506"/>
      <c r="G49" s="506"/>
      <c r="H49" s="506"/>
      <c r="I49" s="506"/>
      <c r="J49" s="506"/>
      <c r="K49" s="506"/>
      <c r="L49" s="506"/>
      <c r="M49" s="506"/>
      <c r="N49" s="1080"/>
      <c r="S49" s="723"/>
    </row>
    <row r="50" spans="1:29" s="293" customFormat="1" ht="15.75">
      <c r="B50" s="313"/>
      <c r="C50" s="978"/>
      <c r="D50" s="506"/>
      <c r="E50" s="506"/>
      <c r="F50" s="506"/>
      <c r="G50" s="506"/>
      <c r="H50" s="506"/>
      <c r="I50" s="506"/>
      <c r="J50" s="506"/>
      <c r="K50" s="506"/>
      <c r="L50" s="506"/>
      <c r="M50" s="506"/>
      <c r="N50" s="1080"/>
      <c r="S50" s="723"/>
    </row>
    <row r="51" spans="1:29" s="293" customFormat="1" ht="15.75">
      <c r="B51" s="313"/>
      <c r="C51" s="978"/>
      <c r="D51" s="506"/>
      <c r="E51" s="506"/>
      <c r="F51" s="506"/>
      <c r="G51" s="506"/>
      <c r="H51" s="506"/>
      <c r="I51" s="506"/>
      <c r="J51" s="506"/>
      <c r="K51" s="506"/>
      <c r="L51" s="506"/>
      <c r="M51" s="506"/>
      <c r="N51" s="1080"/>
      <c r="S51" s="723"/>
    </row>
    <row r="52" spans="1:29" s="293" customFormat="1" ht="15.75">
      <c r="B52" s="313"/>
      <c r="C52" s="978"/>
      <c r="D52" s="506"/>
      <c r="E52" s="506"/>
      <c r="F52" s="506"/>
      <c r="G52" s="506"/>
      <c r="H52" s="506"/>
      <c r="I52" s="506"/>
      <c r="J52" s="506"/>
      <c r="K52" s="506"/>
      <c r="L52" s="506"/>
      <c r="M52" s="506"/>
      <c r="N52" s="1080"/>
      <c r="S52" s="723"/>
    </row>
    <row r="53" spans="1:29" s="293" customFormat="1" ht="15.75">
      <c r="B53" s="313"/>
      <c r="C53" s="978"/>
      <c r="D53" s="506"/>
      <c r="E53" s="506"/>
      <c r="F53" s="506"/>
      <c r="G53" s="506"/>
      <c r="H53" s="506"/>
      <c r="I53" s="506"/>
      <c r="J53" s="506"/>
      <c r="K53" s="506"/>
      <c r="L53" s="506"/>
      <c r="M53" s="506"/>
      <c r="N53" s="1080"/>
      <c r="S53" s="723"/>
    </row>
    <row r="54" spans="1:29" s="293" customFormat="1" ht="15.75">
      <c r="B54" s="313"/>
      <c r="C54" s="978"/>
      <c r="D54" s="506"/>
      <c r="E54" s="506"/>
      <c r="F54" s="506"/>
      <c r="G54" s="506"/>
      <c r="H54" s="506"/>
      <c r="I54" s="506"/>
      <c r="J54" s="506"/>
      <c r="K54" s="506"/>
      <c r="L54" s="506"/>
      <c r="M54" s="506"/>
      <c r="N54" s="1080"/>
      <c r="O54" s="293" t="s">
        <v>58</v>
      </c>
      <c r="S54" s="723"/>
    </row>
    <row r="55" spans="1:29" s="293" customFormat="1" ht="15.75">
      <c r="B55" s="313"/>
      <c r="C55" s="978"/>
      <c r="D55" s="506"/>
      <c r="E55" s="506"/>
      <c r="F55" s="506"/>
      <c r="G55" s="506"/>
      <c r="H55" s="506"/>
      <c r="I55" s="506"/>
      <c r="J55" s="506"/>
      <c r="K55" s="506"/>
      <c r="L55" s="506"/>
      <c r="M55" s="506"/>
      <c r="N55" s="1080"/>
      <c r="S55" s="723"/>
    </row>
    <row r="56" spans="1:29" s="293" customFormat="1" ht="15.75">
      <c r="B56" s="313"/>
      <c r="C56" s="978"/>
      <c r="D56" s="506"/>
      <c r="E56" s="506"/>
      <c r="F56" s="506"/>
      <c r="G56" s="506"/>
      <c r="H56" s="506"/>
      <c r="I56" s="506"/>
      <c r="J56" s="506"/>
      <c r="K56" s="506"/>
      <c r="L56" s="506"/>
      <c r="M56" s="506"/>
      <c r="N56" s="1080"/>
      <c r="S56" s="723"/>
    </row>
    <row r="57" spans="1:29" s="293" customFormat="1" ht="15.75">
      <c r="B57" s="313"/>
      <c r="C57" s="978"/>
      <c r="D57" s="506"/>
      <c r="E57" s="506"/>
      <c r="F57" s="506"/>
      <c r="G57" s="506"/>
      <c r="H57" s="506"/>
      <c r="I57" s="506"/>
      <c r="J57" s="506"/>
      <c r="K57" s="506"/>
      <c r="L57" s="506"/>
      <c r="M57" s="506"/>
      <c r="N57" s="1080"/>
      <c r="S57" s="723"/>
    </row>
    <row r="58" spans="1:29" s="344" customFormat="1" ht="15.75">
      <c r="A58" s="293"/>
      <c r="B58" s="313"/>
      <c r="C58" s="978"/>
      <c r="D58" s="506"/>
      <c r="E58" s="506"/>
      <c r="F58" s="506"/>
      <c r="G58" s="506"/>
      <c r="H58" s="506"/>
      <c r="I58" s="506"/>
      <c r="J58" s="506"/>
      <c r="K58" s="506"/>
      <c r="L58" s="506"/>
      <c r="M58" s="506"/>
      <c r="N58" s="1080"/>
      <c r="O58" s="293"/>
      <c r="P58" s="293"/>
      <c r="Q58" s="293"/>
      <c r="R58" s="293"/>
      <c r="S58" s="723"/>
    </row>
    <row r="59" spans="1:29" s="293" customFormat="1" ht="15.75">
      <c r="A59" s="344"/>
      <c r="B59" s="313"/>
      <c r="C59" s="978"/>
      <c r="D59" s="506"/>
      <c r="E59" s="506"/>
      <c r="F59" s="506"/>
      <c r="G59" s="506"/>
      <c r="H59" s="506"/>
      <c r="I59" s="506"/>
      <c r="J59" s="506"/>
      <c r="K59" s="506"/>
      <c r="L59" s="506"/>
      <c r="M59" s="506"/>
      <c r="N59" s="1080"/>
      <c r="R59" s="344"/>
      <c r="S59" s="729"/>
    </row>
    <row r="60" spans="1:29" s="293" customFormat="1" ht="15.75">
      <c r="B60" s="313"/>
      <c r="C60" s="978"/>
      <c r="D60" s="506"/>
      <c r="E60" s="506"/>
      <c r="F60" s="506"/>
      <c r="G60" s="506"/>
      <c r="H60" s="506"/>
      <c r="I60" s="506"/>
      <c r="J60" s="506"/>
      <c r="K60" s="506"/>
      <c r="L60" s="506"/>
      <c r="M60" s="506"/>
      <c r="N60" s="1080"/>
      <c r="O60" s="344"/>
      <c r="P60" s="344"/>
      <c r="Q60" s="344"/>
      <c r="S60" s="723"/>
    </row>
    <row r="61" spans="1:29" ht="15.75">
      <c r="A61" s="293"/>
      <c r="B61" s="313"/>
      <c r="C61" s="978"/>
      <c r="D61" s="506"/>
      <c r="E61" s="506"/>
      <c r="F61" s="506"/>
      <c r="G61" s="506"/>
      <c r="H61" s="506"/>
      <c r="I61" s="506"/>
      <c r="J61" s="506"/>
      <c r="K61" s="506"/>
      <c r="L61" s="506"/>
      <c r="M61" s="506"/>
      <c r="N61" s="1080"/>
      <c r="O61" s="293"/>
      <c r="P61" s="293"/>
      <c r="Q61" s="293"/>
      <c r="R61" s="293"/>
      <c r="S61" s="723"/>
      <c r="T61" s="293"/>
      <c r="U61" s="293"/>
      <c r="V61" s="293"/>
      <c r="W61" s="293"/>
      <c r="X61" s="293"/>
      <c r="Y61" s="293"/>
      <c r="Z61" s="293"/>
      <c r="AA61" s="293"/>
      <c r="AB61" s="293"/>
      <c r="AC61" s="293"/>
    </row>
    <row r="62" spans="1:29" ht="15.75">
      <c r="B62" s="313"/>
      <c r="C62" s="507"/>
      <c r="D62" s="507"/>
      <c r="E62" s="507"/>
      <c r="F62" s="507"/>
      <c r="G62" s="507"/>
      <c r="H62" s="507"/>
      <c r="I62" s="507"/>
      <c r="J62" s="507"/>
      <c r="K62" s="507"/>
      <c r="L62" s="507"/>
      <c r="M62" s="507"/>
      <c r="N62" s="978"/>
      <c r="O62" s="293"/>
      <c r="P62" s="293"/>
      <c r="Q62" s="293"/>
      <c r="S62" s="723"/>
      <c r="T62" s="293"/>
      <c r="U62" s="293"/>
      <c r="V62" s="293"/>
      <c r="W62" s="293"/>
      <c r="X62" s="293"/>
      <c r="Y62" s="293"/>
      <c r="Z62" s="293"/>
      <c r="AA62" s="293"/>
      <c r="AB62" s="293"/>
      <c r="AC62" s="293"/>
    </row>
    <row r="63" spans="1:29" ht="15.75">
      <c r="B63" s="313"/>
      <c r="C63" s="978"/>
      <c r="D63" s="503"/>
      <c r="E63" s="503"/>
      <c r="F63" s="503"/>
      <c r="G63" s="502"/>
      <c r="H63" s="502"/>
      <c r="I63" s="503"/>
      <c r="J63" s="502"/>
      <c r="K63" s="503"/>
      <c r="L63" s="509"/>
      <c r="M63" s="503"/>
      <c r="N63" s="980"/>
      <c r="S63" s="723"/>
      <c r="T63" s="293"/>
      <c r="U63" s="293"/>
      <c r="V63" s="293"/>
      <c r="W63" s="293"/>
      <c r="X63" s="293"/>
      <c r="Y63" s="293"/>
      <c r="Z63" s="293"/>
      <c r="AA63" s="293"/>
      <c r="AB63" s="293"/>
      <c r="AC63" s="293"/>
    </row>
    <row r="64" spans="1:29" ht="15.75">
      <c r="B64" s="298"/>
      <c r="C64" s="507"/>
      <c r="D64" s="507"/>
      <c r="E64" s="507"/>
      <c r="F64" s="507"/>
      <c r="G64" s="507"/>
      <c r="H64" s="507"/>
      <c r="I64" s="507"/>
      <c r="J64" s="507"/>
      <c r="K64" s="507"/>
      <c r="L64" s="507"/>
      <c r="M64" s="499"/>
      <c r="N64" s="730"/>
      <c r="S64" s="723"/>
      <c r="T64" s="293"/>
      <c r="U64" s="293"/>
      <c r="V64" s="293"/>
      <c r="W64" s="293"/>
      <c r="X64" s="293"/>
      <c r="Y64" s="293"/>
      <c r="Z64" s="293"/>
      <c r="AA64" s="293"/>
      <c r="AB64" s="293"/>
      <c r="AC64" s="293"/>
    </row>
    <row r="65" spans="1:29" ht="15.75">
      <c r="B65" s="298"/>
      <c r="C65" s="730"/>
      <c r="D65" s="504"/>
      <c r="E65" s="504"/>
      <c r="F65" s="504"/>
      <c r="G65" s="504"/>
      <c r="H65" s="504"/>
      <c r="I65" s="504"/>
      <c r="J65" s="504"/>
      <c r="K65" s="504"/>
      <c r="L65" s="505"/>
      <c r="M65" s="504"/>
      <c r="N65" s="981"/>
      <c r="S65" s="723"/>
      <c r="T65" s="293"/>
      <c r="U65" s="293"/>
      <c r="V65" s="293"/>
      <c r="W65" s="293"/>
      <c r="X65" s="293"/>
      <c r="Y65" s="293"/>
      <c r="Z65" s="293"/>
      <c r="AA65" s="293"/>
      <c r="AB65" s="293"/>
      <c r="AC65" s="293"/>
    </row>
    <row r="66" spans="1:29" s="293" customFormat="1" ht="15.75">
      <c r="A66" s="283"/>
      <c r="B66" s="298"/>
      <c r="C66" s="730"/>
      <c r="D66" s="504"/>
      <c r="E66" s="504"/>
      <c r="F66" s="504"/>
      <c r="G66" s="504"/>
      <c r="H66" s="504"/>
      <c r="I66" s="504"/>
      <c r="J66" s="504"/>
      <c r="K66" s="504"/>
      <c r="L66" s="505"/>
      <c r="M66" s="504"/>
      <c r="N66" s="981"/>
      <c r="O66" s="283"/>
      <c r="P66" s="283"/>
      <c r="Q66" s="283"/>
      <c r="R66" s="283"/>
      <c r="S66" s="723"/>
    </row>
    <row r="67" spans="1:29" ht="15.75">
      <c r="A67" s="621"/>
      <c r="B67" s="316"/>
      <c r="C67" s="518"/>
      <c r="D67" s="514"/>
      <c r="E67" s="514"/>
      <c r="F67" s="514"/>
      <c r="G67" s="514"/>
      <c r="H67" s="515"/>
      <c r="I67" s="514"/>
      <c r="J67" s="515"/>
      <c r="K67" s="514"/>
      <c r="L67" s="514"/>
      <c r="M67" s="514"/>
      <c r="N67" s="518"/>
      <c r="R67" s="293"/>
      <c r="S67" s="723"/>
      <c r="T67" s="293"/>
      <c r="U67" s="293"/>
      <c r="V67" s="293"/>
      <c r="W67" s="293"/>
      <c r="X67" s="293"/>
      <c r="Y67" s="293"/>
      <c r="Z67" s="293"/>
      <c r="AA67" s="293"/>
      <c r="AB67" s="293"/>
      <c r="AC67" s="293"/>
    </row>
    <row r="68" spans="1:29" ht="15.75">
      <c r="B68" s="298"/>
      <c r="C68" s="730"/>
      <c r="D68" s="504"/>
      <c r="E68" s="504"/>
      <c r="F68" s="504"/>
      <c r="G68" s="504"/>
      <c r="H68" s="504"/>
      <c r="I68" s="504"/>
      <c r="J68" s="504"/>
      <c r="K68" s="504"/>
      <c r="L68" s="505"/>
      <c r="M68" s="504"/>
      <c r="N68" s="981"/>
      <c r="O68" s="293"/>
      <c r="P68" s="293"/>
      <c r="Q68" s="293"/>
      <c r="S68" s="723"/>
      <c r="T68" s="293"/>
      <c r="U68" s="293"/>
      <c r="V68" s="293"/>
      <c r="W68" s="293"/>
      <c r="X68" s="293"/>
      <c r="Y68" s="293"/>
      <c r="Z68" s="293"/>
      <c r="AA68" s="293"/>
      <c r="AB68" s="293"/>
      <c r="AC68" s="293"/>
    </row>
    <row r="69" spans="1:29" ht="15.75">
      <c r="B69" s="298"/>
      <c r="C69" s="730"/>
      <c r="D69" s="504"/>
      <c r="E69" s="504"/>
      <c r="F69" s="504"/>
      <c r="G69" s="504"/>
      <c r="H69" s="504"/>
      <c r="I69" s="504"/>
      <c r="J69" s="504"/>
      <c r="K69" s="504"/>
      <c r="L69" s="505"/>
      <c r="M69" s="504"/>
      <c r="N69" s="981"/>
      <c r="S69" s="723"/>
      <c r="T69" s="293"/>
      <c r="U69" s="293"/>
      <c r="V69" s="293"/>
      <c r="W69" s="293"/>
      <c r="X69" s="293"/>
      <c r="Y69" s="293"/>
      <c r="Z69" s="293"/>
      <c r="AA69" s="293"/>
      <c r="AB69" s="293"/>
      <c r="AC69" s="293"/>
    </row>
    <row r="70" spans="1:29" ht="15.75">
      <c r="B70" s="298"/>
      <c r="C70" s="730"/>
      <c r="D70" s="504"/>
      <c r="E70" s="504"/>
      <c r="F70" s="504"/>
      <c r="G70" s="504"/>
      <c r="H70" s="504"/>
      <c r="I70" s="504"/>
      <c r="J70" s="504"/>
      <c r="K70" s="504"/>
      <c r="L70" s="505"/>
      <c r="M70" s="504"/>
      <c r="N70" s="981"/>
      <c r="S70" s="723"/>
      <c r="T70" s="293"/>
      <c r="U70" s="293"/>
      <c r="V70" s="293"/>
      <c r="W70" s="293"/>
      <c r="X70" s="293"/>
      <c r="Y70" s="293"/>
      <c r="Z70" s="293"/>
      <c r="AA70" s="293"/>
      <c r="AB70" s="293"/>
      <c r="AC70" s="293"/>
    </row>
    <row r="71" spans="1:29" ht="15.75">
      <c r="B71" s="298"/>
      <c r="C71" s="730"/>
      <c r="D71" s="504"/>
      <c r="E71" s="504"/>
      <c r="F71" s="504"/>
      <c r="G71" s="504"/>
      <c r="H71" s="504"/>
      <c r="I71" s="504"/>
      <c r="J71" s="504"/>
      <c r="K71" s="504"/>
      <c r="L71" s="505"/>
      <c r="M71" s="504"/>
      <c r="N71" s="981"/>
      <c r="S71" s="723"/>
      <c r="T71" s="293"/>
      <c r="U71" s="293"/>
      <c r="V71" s="293"/>
      <c r="W71" s="293"/>
      <c r="X71" s="293"/>
      <c r="Y71" s="293"/>
      <c r="Z71" s="293"/>
      <c r="AA71" s="293"/>
      <c r="AB71" s="293"/>
      <c r="AC71" s="293"/>
    </row>
    <row r="72" spans="1:29" ht="15.75">
      <c r="B72" s="298"/>
      <c r="C72" s="730"/>
      <c r="D72" s="504"/>
      <c r="E72" s="504"/>
      <c r="F72" s="504"/>
      <c r="G72" s="504"/>
      <c r="H72" s="504"/>
      <c r="I72" s="504"/>
      <c r="J72" s="504"/>
      <c r="K72" s="504"/>
      <c r="L72" s="505"/>
      <c r="M72" s="504"/>
      <c r="N72" s="981"/>
      <c r="S72" s="723"/>
      <c r="T72" s="293"/>
      <c r="U72" s="293"/>
      <c r="V72" s="293"/>
      <c r="W72" s="293"/>
      <c r="X72" s="293"/>
      <c r="Y72" s="293"/>
      <c r="Z72" s="293"/>
      <c r="AA72" s="293"/>
      <c r="AB72" s="293"/>
      <c r="AC72" s="293"/>
    </row>
    <row r="73" spans="1:29" ht="15.75">
      <c r="B73" s="298"/>
      <c r="C73" s="730"/>
      <c r="D73" s="504"/>
      <c r="E73" s="504"/>
      <c r="F73" s="504"/>
      <c r="G73" s="504"/>
      <c r="H73" s="504"/>
      <c r="I73" s="504"/>
      <c r="J73" s="504"/>
      <c r="K73" s="504"/>
      <c r="L73" s="505"/>
      <c r="M73" s="504"/>
      <c r="N73" s="981"/>
      <c r="S73" s="723"/>
      <c r="T73" s="293"/>
      <c r="U73" s="293"/>
      <c r="V73" s="293"/>
      <c r="W73" s="293"/>
      <c r="X73" s="293"/>
      <c r="Y73" s="293"/>
      <c r="Z73" s="293"/>
      <c r="AA73" s="293"/>
      <c r="AB73" s="293"/>
      <c r="AC73" s="293"/>
    </row>
    <row r="74" spans="1:29" ht="15.75">
      <c r="B74" s="298"/>
      <c r="C74" s="730"/>
      <c r="D74" s="504"/>
      <c r="E74" s="504"/>
      <c r="F74" s="504"/>
      <c r="G74" s="504"/>
      <c r="H74" s="504"/>
      <c r="I74" s="504"/>
      <c r="J74" s="504"/>
      <c r="K74" s="504"/>
      <c r="L74" s="505"/>
      <c r="M74" s="504"/>
      <c r="N74" s="981"/>
      <c r="S74" s="723"/>
      <c r="T74" s="293"/>
      <c r="U74" s="293"/>
      <c r="V74" s="293"/>
      <c r="W74" s="293"/>
      <c r="X74" s="293"/>
      <c r="Y74" s="293"/>
      <c r="Z74" s="293"/>
      <c r="AA74" s="293"/>
      <c r="AB74" s="293"/>
      <c r="AC74" s="293"/>
    </row>
    <row r="75" spans="1:29" ht="15.75">
      <c r="B75" s="298"/>
      <c r="C75" s="730"/>
      <c r="D75" s="504"/>
      <c r="E75" s="504"/>
      <c r="F75" s="504"/>
      <c r="G75" s="504"/>
      <c r="H75" s="504"/>
      <c r="I75" s="504"/>
      <c r="J75" s="504"/>
      <c r="K75" s="504"/>
      <c r="L75" s="505"/>
      <c r="M75" s="504"/>
      <c r="N75" s="981"/>
      <c r="S75" s="723"/>
      <c r="T75" s="293"/>
      <c r="U75" s="293"/>
      <c r="V75" s="293"/>
      <c r="W75" s="293"/>
      <c r="X75" s="293"/>
      <c r="Y75" s="293"/>
      <c r="Z75" s="293"/>
      <c r="AA75" s="293"/>
      <c r="AB75" s="293"/>
      <c r="AC75" s="293"/>
    </row>
    <row r="76" spans="1:29" ht="15.75">
      <c r="B76" s="298"/>
      <c r="C76" s="730"/>
      <c r="D76" s="504"/>
      <c r="E76" s="504"/>
      <c r="F76" s="504"/>
      <c r="G76" s="504"/>
      <c r="H76" s="504"/>
      <c r="I76" s="504"/>
      <c r="J76" s="504"/>
      <c r="K76" s="504"/>
      <c r="L76" s="505"/>
      <c r="M76" s="504"/>
      <c r="N76" s="981"/>
      <c r="S76" s="723"/>
      <c r="T76" s="293"/>
      <c r="U76" s="293"/>
      <c r="V76" s="293"/>
      <c r="W76" s="293"/>
      <c r="X76" s="293"/>
      <c r="Y76" s="293"/>
      <c r="Z76" s="293"/>
      <c r="AA76" s="293"/>
      <c r="AB76" s="293"/>
      <c r="AC76" s="293"/>
    </row>
    <row r="77" spans="1:29" ht="15.75">
      <c r="B77" s="298"/>
      <c r="C77" s="730"/>
      <c r="D77" s="504"/>
      <c r="E77" s="504"/>
      <c r="F77" s="504"/>
      <c r="G77" s="504"/>
      <c r="H77" s="504"/>
      <c r="I77" s="504"/>
      <c r="J77" s="504"/>
      <c r="K77" s="504"/>
      <c r="L77" s="505"/>
      <c r="M77" s="504"/>
      <c r="N77" s="981"/>
      <c r="S77" s="723"/>
      <c r="T77" s="293"/>
      <c r="U77" s="293"/>
      <c r="V77" s="293"/>
      <c r="W77" s="293"/>
      <c r="X77" s="293"/>
      <c r="Y77" s="293"/>
      <c r="Z77" s="293"/>
      <c r="AA77" s="293"/>
      <c r="AB77" s="293"/>
      <c r="AC77" s="293"/>
    </row>
    <row r="78" spans="1:29" ht="15.75">
      <c r="B78" s="298"/>
      <c r="C78" s="730"/>
      <c r="D78" s="504"/>
      <c r="E78" s="504"/>
      <c r="F78" s="504"/>
      <c r="G78" s="504"/>
      <c r="H78" s="504"/>
      <c r="I78" s="504"/>
      <c r="J78" s="504"/>
      <c r="K78" s="504"/>
      <c r="L78" s="505"/>
      <c r="M78" s="504"/>
      <c r="N78" s="981"/>
      <c r="S78" s="723"/>
      <c r="T78" s="293"/>
      <c r="U78" s="293"/>
      <c r="V78" s="293"/>
      <c r="W78" s="293"/>
      <c r="X78" s="293"/>
      <c r="Y78" s="293"/>
      <c r="Z78" s="293"/>
      <c r="AA78" s="293"/>
      <c r="AB78" s="293"/>
      <c r="AC78" s="293"/>
    </row>
    <row r="79" spans="1:29" ht="15.75">
      <c r="B79" s="298"/>
      <c r="C79" s="730"/>
      <c r="D79" s="504"/>
      <c r="E79" s="504"/>
      <c r="F79" s="504"/>
      <c r="G79" s="504"/>
      <c r="H79" s="504"/>
      <c r="I79" s="504"/>
      <c r="J79" s="504"/>
      <c r="K79" s="504"/>
      <c r="L79" s="505"/>
      <c r="M79" s="504"/>
      <c r="N79" s="981"/>
      <c r="S79" s="723"/>
      <c r="T79" s="293"/>
      <c r="U79" s="293"/>
      <c r="V79" s="293"/>
      <c r="W79" s="293"/>
      <c r="X79" s="293"/>
      <c r="Y79" s="293"/>
      <c r="Z79" s="293"/>
      <c r="AA79" s="293"/>
      <c r="AB79" s="293"/>
      <c r="AC79" s="293"/>
    </row>
    <row r="80" spans="1:29" ht="15.75">
      <c r="B80" s="298"/>
      <c r="C80" s="730"/>
      <c r="D80" s="504"/>
      <c r="E80" s="504"/>
      <c r="F80" s="504"/>
      <c r="G80" s="504"/>
      <c r="H80" s="504"/>
      <c r="I80" s="504"/>
      <c r="J80" s="504"/>
      <c r="K80" s="504"/>
      <c r="L80" s="505"/>
      <c r="M80" s="504"/>
      <c r="N80" s="981"/>
      <c r="S80" s="723"/>
      <c r="T80" s="293"/>
      <c r="U80" s="293"/>
      <c r="V80" s="293"/>
      <c r="W80" s="293"/>
      <c r="X80" s="293"/>
      <c r="Y80" s="293"/>
      <c r="Z80" s="293"/>
      <c r="AA80" s="293"/>
      <c r="AB80" s="293"/>
      <c r="AC80" s="293"/>
    </row>
    <row r="81" spans="2:29" ht="15.75">
      <c r="B81" s="298"/>
      <c r="C81" s="730"/>
      <c r="D81" s="504"/>
      <c r="E81" s="504"/>
      <c r="F81" s="504"/>
      <c r="G81" s="504"/>
      <c r="H81" s="504"/>
      <c r="I81" s="504"/>
      <c r="J81" s="504"/>
      <c r="K81" s="504"/>
      <c r="L81" s="505"/>
      <c r="M81" s="504"/>
      <c r="N81" s="981"/>
      <c r="S81" s="723"/>
      <c r="T81" s="293"/>
      <c r="U81" s="293"/>
      <c r="V81" s="293"/>
      <c r="W81" s="293"/>
      <c r="X81" s="293"/>
      <c r="Y81" s="293"/>
      <c r="Z81" s="293"/>
      <c r="AA81" s="293"/>
      <c r="AB81" s="293"/>
      <c r="AC81" s="293"/>
    </row>
    <row r="82" spans="2:29" ht="15.75">
      <c r="B82" s="298"/>
      <c r="C82" s="730"/>
      <c r="D82" s="504"/>
      <c r="E82" s="504"/>
      <c r="F82" s="504"/>
      <c r="G82" s="504"/>
      <c r="H82" s="504"/>
      <c r="I82" s="504"/>
      <c r="J82" s="504"/>
      <c r="K82" s="504"/>
      <c r="L82" s="505"/>
      <c r="M82" s="504"/>
      <c r="N82" s="981"/>
      <c r="S82" s="723"/>
      <c r="T82" s="293"/>
      <c r="U82" s="293"/>
      <c r="V82" s="293"/>
      <c r="W82" s="293"/>
      <c r="X82" s="293"/>
      <c r="Y82" s="293"/>
      <c r="Z82" s="293"/>
      <c r="AA82" s="293"/>
      <c r="AB82" s="293"/>
      <c r="AC82" s="293"/>
    </row>
    <row r="83" spans="2:29" ht="15.75">
      <c r="B83" s="298"/>
      <c r="C83" s="730"/>
      <c r="D83" s="504"/>
      <c r="E83" s="504"/>
      <c r="F83" s="504"/>
      <c r="G83" s="504"/>
      <c r="H83" s="504"/>
      <c r="I83" s="504"/>
      <c r="J83" s="504"/>
      <c r="K83" s="504"/>
      <c r="L83" s="505"/>
      <c r="M83" s="504"/>
      <c r="N83" s="981"/>
      <c r="S83" s="723"/>
      <c r="T83" s="293"/>
      <c r="U83" s="293"/>
      <c r="V83" s="293"/>
      <c r="W83" s="293"/>
      <c r="X83" s="293"/>
      <c r="Y83" s="293"/>
      <c r="Z83" s="293"/>
      <c r="AA83" s="293"/>
      <c r="AB83" s="293"/>
      <c r="AC83" s="293"/>
    </row>
    <row r="84" spans="2:29" ht="15.75">
      <c r="B84" s="298"/>
      <c r="C84" s="730"/>
      <c r="D84" s="504"/>
      <c r="E84" s="504"/>
      <c r="F84" s="504"/>
      <c r="G84" s="504"/>
      <c r="H84" s="504"/>
      <c r="I84" s="504"/>
      <c r="J84" s="504"/>
      <c r="K84" s="504"/>
      <c r="L84" s="505"/>
      <c r="M84" s="504"/>
      <c r="N84" s="981"/>
      <c r="S84" s="723"/>
      <c r="T84" s="293"/>
      <c r="U84" s="293"/>
      <c r="V84" s="293"/>
      <c r="W84" s="293"/>
      <c r="X84" s="293"/>
      <c r="Y84" s="293"/>
      <c r="Z84" s="293"/>
      <c r="AA84" s="293"/>
      <c r="AB84" s="293"/>
      <c r="AC84" s="293"/>
    </row>
    <row r="85" spans="2:29" ht="15.75">
      <c r="B85" s="298"/>
      <c r="C85" s="730"/>
      <c r="D85" s="504"/>
      <c r="E85" s="504"/>
      <c r="F85" s="504"/>
      <c r="G85" s="504"/>
      <c r="H85" s="504"/>
      <c r="I85" s="504"/>
      <c r="J85" s="504"/>
      <c r="K85" s="504"/>
      <c r="L85" s="505"/>
      <c r="M85" s="504"/>
      <c r="N85" s="981"/>
      <c r="S85" s="723"/>
      <c r="T85" s="293"/>
      <c r="U85" s="293"/>
      <c r="V85" s="293"/>
      <c r="W85" s="293"/>
      <c r="X85" s="293"/>
      <c r="Y85" s="293"/>
      <c r="Z85" s="293"/>
      <c r="AA85" s="293"/>
      <c r="AB85" s="293"/>
      <c r="AC85" s="293"/>
    </row>
    <row r="86" spans="2:29" ht="15.75">
      <c r="B86" s="298"/>
      <c r="C86" s="730"/>
      <c r="D86" s="504"/>
      <c r="E86" s="504"/>
      <c r="F86" s="504"/>
      <c r="G86" s="504"/>
      <c r="H86" s="504"/>
      <c r="I86" s="504"/>
      <c r="J86" s="504"/>
      <c r="K86" s="504"/>
      <c r="L86" s="505"/>
      <c r="M86" s="504"/>
      <c r="N86" s="981"/>
      <c r="S86" s="723"/>
      <c r="T86" s="293"/>
      <c r="U86" s="293"/>
      <c r="V86" s="293"/>
      <c r="W86" s="293"/>
      <c r="X86" s="293"/>
      <c r="Y86" s="293"/>
      <c r="Z86" s="293"/>
      <c r="AA86" s="293"/>
      <c r="AB86" s="293"/>
      <c r="AC86" s="293"/>
    </row>
    <row r="87" spans="2:29" ht="15.75">
      <c r="B87" s="298"/>
      <c r="C87" s="730"/>
      <c r="D87" s="504"/>
      <c r="E87" s="504"/>
      <c r="F87" s="504"/>
      <c r="G87" s="504"/>
      <c r="H87" s="504"/>
      <c r="I87" s="504"/>
      <c r="J87" s="504"/>
      <c r="K87" s="504"/>
      <c r="L87" s="505"/>
      <c r="M87" s="504"/>
      <c r="N87" s="981"/>
      <c r="S87" s="723"/>
      <c r="T87" s="293"/>
      <c r="U87" s="293"/>
      <c r="V87" s="293"/>
      <c r="W87" s="293"/>
      <c r="X87" s="293"/>
      <c r="Y87" s="293"/>
      <c r="Z87" s="293"/>
      <c r="AA87" s="293"/>
      <c r="AB87" s="293"/>
      <c r="AC87" s="293"/>
    </row>
    <row r="88" spans="2:29" ht="15.75">
      <c r="B88" s="298"/>
      <c r="C88" s="730"/>
      <c r="D88" s="504"/>
      <c r="E88" s="504"/>
      <c r="F88" s="504"/>
      <c r="G88" s="504"/>
      <c r="H88" s="504"/>
      <c r="I88" s="504"/>
      <c r="J88" s="504"/>
      <c r="K88" s="504"/>
      <c r="L88" s="505"/>
      <c r="M88" s="504"/>
      <c r="N88" s="981"/>
      <c r="S88" s="723"/>
      <c r="T88" s="293"/>
      <c r="U88" s="293"/>
      <c r="V88" s="293"/>
      <c r="W88" s="293"/>
      <c r="X88" s="293"/>
      <c r="Y88" s="293"/>
      <c r="Z88" s="293"/>
      <c r="AA88" s="293"/>
      <c r="AB88" s="293"/>
      <c r="AC88" s="293"/>
    </row>
    <row r="89" spans="2:29" ht="15.75">
      <c r="B89" s="298"/>
      <c r="C89" s="730"/>
      <c r="D89" s="504"/>
      <c r="E89" s="504"/>
      <c r="F89" s="504"/>
      <c r="G89" s="504"/>
      <c r="H89" s="504"/>
      <c r="I89" s="504"/>
      <c r="J89" s="504"/>
      <c r="K89" s="504"/>
      <c r="L89" s="505"/>
      <c r="M89" s="504"/>
      <c r="N89" s="981"/>
      <c r="S89" s="723"/>
      <c r="T89" s="293"/>
      <c r="U89" s="293"/>
      <c r="V89" s="293"/>
      <c r="W89" s="293"/>
      <c r="X89" s="293"/>
      <c r="Y89" s="293"/>
      <c r="Z89" s="293"/>
      <c r="AA89" s="293"/>
      <c r="AB89" s="293"/>
      <c r="AC89" s="293"/>
    </row>
    <row r="90" spans="2:29" ht="15.75">
      <c r="B90" s="298"/>
      <c r="C90" s="730"/>
      <c r="D90" s="504"/>
      <c r="E90" s="504"/>
      <c r="F90" s="504"/>
      <c r="G90" s="504"/>
      <c r="H90" s="504"/>
      <c r="I90" s="504"/>
      <c r="J90" s="504"/>
      <c r="K90" s="504"/>
      <c r="L90" s="505"/>
      <c r="M90" s="504"/>
      <c r="N90" s="981"/>
    </row>
    <row r="91" spans="2:29" ht="15.75">
      <c r="B91" s="298"/>
      <c r="C91" s="730"/>
      <c r="D91" s="504"/>
      <c r="E91" s="504"/>
      <c r="F91" s="504"/>
      <c r="G91" s="504"/>
      <c r="H91" s="504"/>
      <c r="I91" s="504"/>
      <c r="J91" s="504"/>
      <c r="K91" s="504"/>
      <c r="L91" s="505"/>
      <c r="M91" s="504"/>
      <c r="N91" s="981"/>
    </row>
    <row r="92" spans="2:29" ht="15.75">
      <c r="B92" s="298"/>
      <c r="C92" s="730"/>
      <c r="D92" s="504"/>
      <c r="E92" s="504"/>
      <c r="F92" s="504"/>
      <c r="G92" s="504"/>
      <c r="H92" s="504"/>
      <c r="I92" s="504"/>
      <c r="J92" s="504"/>
      <c r="K92" s="504"/>
      <c r="L92" s="505"/>
      <c r="M92" s="504"/>
      <c r="N92" s="981"/>
    </row>
    <row r="93" spans="2:29" ht="15.75">
      <c r="B93" s="298"/>
      <c r="C93" s="730"/>
      <c r="D93" s="504"/>
      <c r="E93" s="504"/>
      <c r="F93" s="504"/>
      <c r="G93" s="504"/>
      <c r="H93" s="504"/>
      <c r="I93" s="504"/>
      <c r="J93" s="504"/>
      <c r="K93" s="504"/>
      <c r="L93" s="505"/>
      <c r="M93" s="504"/>
      <c r="N93" s="981"/>
    </row>
    <row r="94" spans="2:29" ht="15.75">
      <c r="B94" s="298"/>
      <c r="C94" s="730"/>
      <c r="D94" s="504"/>
      <c r="E94" s="504"/>
      <c r="F94" s="504"/>
      <c r="G94" s="504"/>
      <c r="H94" s="504"/>
      <c r="I94" s="504"/>
      <c r="J94" s="504"/>
      <c r="K94" s="504"/>
      <c r="L94" s="505"/>
      <c r="M94" s="504"/>
      <c r="N94" s="981"/>
    </row>
    <row r="95" spans="2:29" ht="15.75">
      <c r="B95" s="298"/>
      <c r="C95" s="730"/>
      <c r="D95" s="504"/>
      <c r="E95" s="504"/>
      <c r="F95" s="504"/>
      <c r="G95" s="504"/>
      <c r="H95" s="504"/>
      <c r="I95" s="504"/>
      <c r="J95" s="504"/>
      <c r="K95" s="504"/>
      <c r="L95" s="505"/>
      <c r="M95" s="504"/>
      <c r="N95" s="981"/>
    </row>
    <row r="96" spans="2:29" ht="15.75">
      <c r="B96" s="298"/>
      <c r="C96" s="730"/>
      <c r="D96" s="504"/>
      <c r="E96" s="504"/>
      <c r="F96" s="504"/>
      <c r="G96" s="504"/>
      <c r="H96" s="504"/>
      <c r="I96" s="504"/>
      <c r="J96" s="504"/>
      <c r="K96" s="504"/>
      <c r="L96" s="505"/>
      <c r="M96" s="504"/>
      <c r="N96" s="981"/>
    </row>
    <row r="97" spans="2:14" ht="15.75">
      <c r="B97" s="298"/>
      <c r="C97" s="730"/>
      <c r="D97" s="504"/>
      <c r="E97" s="504"/>
      <c r="F97" s="504"/>
      <c r="G97" s="504"/>
      <c r="H97" s="504"/>
      <c r="I97" s="504"/>
      <c r="J97" s="504"/>
      <c r="K97" s="504"/>
      <c r="L97" s="505"/>
      <c r="M97" s="504"/>
      <c r="N97" s="981"/>
    </row>
    <row r="98" spans="2:14" ht="15.75">
      <c r="B98" s="298"/>
      <c r="C98" s="730"/>
      <c r="D98" s="504"/>
      <c r="E98" s="504"/>
      <c r="F98" s="504"/>
      <c r="G98" s="504"/>
      <c r="H98" s="504"/>
      <c r="I98" s="504"/>
      <c r="J98" s="504"/>
      <c r="K98" s="504"/>
      <c r="L98" s="505"/>
      <c r="M98" s="504"/>
      <c r="N98" s="981"/>
    </row>
    <row r="99" spans="2:14" ht="15.75">
      <c r="B99" s="298"/>
      <c r="C99" s="730"/>
      <c r="D99" s="504"/>
      <c r="E99" s="504"/>
      <c r="F99" s="504"/>
      <c r="G99" s="504"/>
      <c r="H99" s="504"/>
      <c r="I99" s="504"/>
      <c r="J99" s="504"/>
      <c r="K99" s="504"/>
      <c r="L99" s="505"/>
      <c r="M99" s="504"/>
      <c r="N99" s="981"/>
    </row>
    <row r="100" spans="2:14" ht="15.75">
      <c r="B100" s="298"/>
      <c r="C100" s="730"/>
      <c r="D100" s="504"/>
      <c r="E100" s="504"/>
      <c r="F100" s="504"/>
      <c r="G100" s="504"/>
      <c r="H100" s="504"/>
      <c r="I100" s="504"/>
      <c r="J100" s="504"/>
      <c r="K100" s="504"/>
      <c r="L100" s="505"/>
      <c r="M100" s="504"/>
      <c r="N100" s="981"/>
    </row>
    <row r="101" spans="2:14" ht="15.75">
      <c r="B101" s="298"/>
      <c r="C101" s="730"/>
      <c r="D101" s="504"/>
      <c r="E101" s="504"/>
      <c r="F101" s="504"/>
      <c r="G101" s="504"/>
      <c r="H101" s="504"/>
      <c r="I101" s="504"/>
      <c r="J101" s="504"/>
      <c r="K101" s="504"/>
      <c r="L101" s="505"/>
      <c r="M101" s="504"/>
      <c r="N101" s="981"/>
    </row>
    <row r="102" spans="2:14" ht="15.75">
      <c r="B102" s="298"/>
      <c r="C102" s="730"/>
      <c r="D102" s="504"/>
      <c r="E102" s="504"/>
      <c r="F102" s="504"/>
      <c r="G102" s="504"/>
      <c r="H102" s="504"/>
      <c r="I102" s="504"/>
      <c r="J102" s="504"/>
      <c r="K102" s="504"/>
      <c r="L102" s="505"/>
      <c r="M102" s="504"/>
      <c r="N102" s="981"/>
    </row>
    <row r="103" spans="2:14" ht="15.75">
      <c r="B103" s="298"/>
      <c r="C103" s="730"/>
      <c r="D103" s="504"/>
      <c r="E103" s="504"/>
      <c r="F103" s="504"/>
      <c r="G103" s="504"/>
      <c r="H103" s="504"/>
      <c r="I103" s="504"/>
      <c r="J103" s="504"/>
      <c r="K103" s="504"/>
      <c r="L103" s="505"/>
      <c r="M103" s="504"/>
      <c r="N103" s="981"/>
    </row>
    <row r="104" spans="2:14" ht="15.75">
      <c r="B104" s="298"/>
      <c r="C104" s="730"/>
      <c r="D104" s="504"/>
      <c r="E104" s="504"/>
      <c r="F104" s="504"/>
      <c r="G104" s="504"/>
      <c r="H104" s="504"/>
      <c r="I104" s="504"/>
      <c r="J104" s="504"/>
      <c r="K104" s="504"/>
      <c r="L104" s="505"/>
      <c r="M104" s="504"/>
      <c r="N104" s="981"/>
    </row>
    <row r="105" spans="2:14" ht="15.75">
      <c r="B105" s="298"/>
      <c r="C105" s="730"/>
      <c r="D105" s="504"/>
      <c r="E105" s="504"/>
      <c r="F105" s="504"/>
      <c r="G105" s="504"/>
      <c r="H105" s="504"/>
      <c r="I105" s="504"/>
      <c r="J105" s="504"/>
      <c r="K105" s="504"/>
      <c r="L105" s="505"/>
      <c r="M105" s="504"/>
      <c r="N105" s="981"/>
    </row>
    <row r="106" spans="2:14" ht="15.75">
      <c r="B106" s="298"/>
      <c r="C106" s="730"/>
      <c r="D106" s="504"/>
      <c r="E106" s="504"/>
      <c r="F106" s="504"/>
      <c r="G106" s="504"/>
      <c r="H106" s="504"/>
      <c r="I106" s="504"/>
      <c r="J106" s="504"/>
      <c r="K106" s="504"/>
      <c r="L106" s="505"/>
      <c r="M106" s="504"/>
      <c r="N106" s="981"/>
    </row>
    <row r="107" spans="2:14" ht="15.75">
      <c r="B107" s="298"/>
      <c r="C107" s="730"/>
      <c r="D107" s="504"/>
      <c r="E107" s="504"/>
      <c r="F107" s="504"/>
      <c r="G107" s="504"/>
      <c r="H107" s="504"/>
      <c r="I107" s="504"/>
      <c r="J107" s="504"/>
      <c r="K107" s="504"/>
      <c r="L107" s="505"/>
      <c r="M107" s="504"/>
      <c r="N107" s="981"/>
    </row>
    <row r="108" spans="2:14" ht="15.75">
      <c r="B108" s="298"/>
      <c r="C108" s="730"/>
      <c r="D108" s="504"/>
      <c r="E108" s="504"/>
      <c r="F108" s="504"/>
      <c r="G108" s="504"/>
      <c r="H108" s="504"/>
      <c r="I108" s="504"/>
      <c r="J108" s="504"/>
      <c r="K108" s="504"/>
      <c r="L108" s="505"/>
      <c r="M108" s="504"/>
      <c r="N108" s="981"/>
    </row>
    <row r="109" spans="2:14" ht="15.75">
      <c r="B109" s="298"/>
      <c r="C109" s="730"/>
      <c r="D109" s="504"/>
      <c r="E109" s="504"/>
      <c r="F109" s="504"/>
      <c r="G109" s="504"/>
      <c r="H109" s="504"/>
      <c r="I109" s="504"/>
      <c r="J109" s="504"/>
      <c r="K109" s="504"/>
      <c r="L109" s="505"/>
      <c r="M109" s="504"/>
      <c r="N109" s="981"/>
    </row>
    <row r="110" spans="2:14" ht="15.75">
      <c r="B110" s="298"/>
      <c r="C110" s="730"/>
      <c r="D110" s="504"/>
      <c r="E110" s="504"/>
      <c r="F110" s="504"/>
      <c r="G110" s="504"/>
      <c r="H110" s="504"/>
      <c r="I110" s="504"/>
      <c r="J110" s="504"/>
      <c r="K110" s="504"/>
      <c r="L110" s="505"/>
      <c r="M110" s="504"/>
      <c r="N110" s="981"/>
    </row>
    <row r="111" spans="2:14" ht="15.75">
      <c r="B111" s="298"/>
      <c r="C111" s="730"/>
      <c r="D111" s="504"/>
      <c r="E111" s="504"/>
      <c r="F111" s="504"/>
      <c r="G111" s="504"/>
      <c r="H111" s="504"/>
      <c r="I111" s="504"/>
      <c r="J111" s="504"/>
      <c r="K111" s="504"/>
      <c r="L111" s="505"/>
      <c r="M111" s="504"/>
      <c r="N111" s="981"/>
    </row>
    <row r="112" spans="2:14" ht="15.75">
      <c r="B112" s="298"/>
      <c r="C112" s="730"/>
      <c r="D112" s="504"/>
      <c r="E112" s="504"/>
      <c r="F112" s="504"/>
      <c r="G112" s="504"/>
      <c r="H112" s="504"/>
      <c r="I112" s="504"/>
      <c r="J112" s="504"/>
      <c r="K112" s="504"/>
      <c r="L112" s="505"/>
      <c r="M112" s="504"/>
      <c r="N112" s="981"/>
    </row>
    <row r="113" spans="2:14" ht="15.75">
      <c r="B113" s="298"/>
      <c r="C113" s="730"/>
      <c r="D113" s="504"/>
      <c r="E113" s="504"/>
      <c r="F113" s="504"/>
      <c r="G113" s="504"/>
      <c r="H113" s="504"/>
      <c r="I113" s="504"/>
      <c r="J113" s="504"/>
      <c r="K113" s="504"/>
      <c r="L113" s="505"/>
      <c r="M113" s="504"/>
      <c r="N113" s="981"/>
    </row>
    <row r="114" spans="2:14" ht="15.75">
      <c r="B114" s="298"/>
      <c r="C114" s="730"/>
      <c r="D114" s="504"/>
      <c r="E114" s="504"/>
      <c r="F114" s="504"/>
      <c r="G114" s="504"/>
      <c r="H114" s="504"/>
      <c r="I114" s="504"/>
      <c r="J114" s="504"/>
      <c r="K114" s="504"/>
      <c r="L114" s="505"/>
      <c r="M114" s="504"/>
      <c r="N114" s="981"/>
    </row>
    <row r="115" spans="2:14" ht="15.75">
      <c r="B115" s="298"/>
      <c r="C115" s="730"/>
      <c r="D115" s="504"/>
      <c r="E115" s="504"/>
      <c r="F115" s="504"/>
      <c r="G115" s="504"/>
      <c r="H115" s="504"/>
      <c r="I115" s="504"/>
      <c r="J115" s="504"/>
      <c r="K115" s="504"/>
      <c r="L115" s="505"/>
      <c r="M115" s="504"/>
      <c r="N115" s="981"/>
    </row>
    <row r="116" spans="2:14" ht="15.75">
      <c r="B116" s="298"/>
      <c r="C116" s="730"/>
      <c r="D116" s="504"/>
      <c r="E116" s="504"/>
      <c r="F116" s="504"/>
      <c r="G116" s="504"/>
      <c r="H116" s="504"/>
      <c r="I116" s="504"/>
      <c r="J116" s="504"/>
      <c r="K116" s="504"/>
      <c r="L116" s="505"/>
      <c r="M116" s="504"/>
      <c r="N116" s="981"/>
    </row>
    <row r="117" spans="2:14" ht="15.75">
      <c r="B117" s="298"/>
      <c r="C117" s="730"/>
      <c r="D117" s="504"/>
      <c r="E117" s="504"/>
      <c r="F117" s="504"/>
      <c r="G117" s="504"/>
      <c r="H117" s="504"/>
      <c r="I117" s="504"/>
      <c r="J117" s="504"/>
      <c r="K117" s="504"/>
      <c r="L117" s="505"/>
      <c r="M117" s="504"/>
      <c r="N117" s="981"/>
    </row>
    <row r="118" spans="2:14" ht="15.75">
      <c r="B118" s="298"/>
      <c r="C118" s="730"/>
      <c r="D118" s="504"/>
      <c r="E118" s="504"/>
      <c r="F118" s="504"/>
      <c r="G118" s="504"/>
      <c r="H118" s="504"/>
      <c r="I118" s="504"/>
      <c r="J118" s="504"/>
      <c r="K118" s="504"/>
      <c r="L118" s="505"/>
      <c r="M118" s="504"/>
      <c r="N118" s="981"/>
    </row>
    <row r="119" spans="2:14" ht="15.75">
      <c r="B119" s="298"/>
      <c r="C119" s="730"/>
      <c r="D119" s="504"/>
      <c r="E119" s="504"/>
      <c r="F119" s="504"/>
      <c r="G119" s="504"/>
      <c r="H119" s="504"/>
      <c r="I119" s="504"/>
      <c r="J119" s="504"/>
      <c r="K119" s="504"/>
      <c r="L119" s="505"/>
      <c r="M119" s="504"/>
      <c r="N119" s="981"/>
    </row>
  </sheetData>
  <mergeCells count="4">
    <mergeCell ref="B1:N1"/>
    <mergeCell ref="B4:N4"/>
    <mergeCell ref="O3:AE3"/>
    <mergeCell ref="B3:N3"/>
  </mergeCells>
  <printOptions horizontalCentered="1"/>
  <pageMargins left="0.5" right="0.5" top="0.5" bottom="0.5" header="0.5" footer="0.5"/>
  <pageSetup scale="74" orientation="portrait"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FFFF00"/>
  </sheetPr>
  <dimension ref="A1:Z120"/>
  <sheetViews>
    <sheetView showGridLines="0" showRuler="0" topLeftCell="B3" zoomScaleNormal="100" zoomScaleSheetLayoutView="130" workbookViewId="0">
      <selection activeCell="P28" sqref="P28"/>
    </sheetView>
  </sheetViews>
  <sheetFormatPr defaultColWidth="6.85546875" defaultRowHeight="12.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customWidth="1"/>
    <col min="7" max="7" width="15.7109375" style="510" customWidth="1"/>
    <col min="8" max="8" width="17.28515625" style="510" hidden="1" customWidth="1"/>
    <col min="9" max="9" width="3" style="510" hidden="1" customWidth="1"/>
    <col min="10" max="11" width="1.85546875" style="510" hidden="1" customWidth="1"/>
    <col min="12" max="12" width="15.7109375" style="511" customWidth="1"/>
    <col min="13" max="13" width="3" style="510" hidden="1" customWidth="1"/>
    <col min="14" max="14" width="15.7109375" style="1115" customWidth="1"/>
    <col min="15" max="15" width="21.140625" style="283" bestFit="1" customWidth="1"/>
    <col min="16" max="16" width="12.42578125" style="283" bestFit="1" customWidth="1"/>
    <col min="17" max="17" width="6.42578125" style="283" customWidth="1"/>
    <col min="18" max="18" width="6.85546875" style="283"/>
    <col min="19" max="19" width="17.28515625" style="722" bestFit="1" customWidth="1"/>
    <col min="20" max="20" width="15" style="283" bestFit="1" customWidth="1"/>
    <col min="21" max="23" width="6.85546875" style="283"/>
    <col min="24" max="24" width="12.42578125" style="283" bestFit="1" customWidth="1"/>
    <col min="25" max="16384" width="6.85546875" style="283"/>
  </cols>
  <sheetData>
    <row r="1" spans="1:26" ht="23.45" hidden="1" customHeight="1">
      <c r="B1" s="1706" t="s">
        <v>375</v>
      </c>
      <c r="C1" s="1706"/>
      <c r="D1" s="1706"/>
      <c r="E1" s="1706"/>
      <c r="F1" s="1706"/>
      <c r="G1" s="1706"/>
      <c r="H1" s="1706"/>
      <c r="I1" s="1706"/>
      <c r="J1" s="1706"/>
      <c r="K1" s="1706"/>
      <c r="L1" s="1706"/>
      <c r="M1" s="1706"/>
      <c r="N1" s="1710"/>
    </row>
    <row r="2" spans="1:26" ht="18.75" hidden="1">
      <c r="B2" s="284"/>
      <c r="C2" s="493"/>
      <c r="D2" s="493"/>
      <c r="E2" s="493"/>
      <c r="F2" s="493"/>
      <c r="G2" s="493"/>
      <c r="H2" s="493"/>
      <c r="I2" s="493"/>
      <c r="J2" s="493"/>
      <c r="K2" s="493"/>
      <c r="L2" s="493"/>
      <c r="M2" s="493"/>
      <c r="N2" s="1022"/>
    </row>
    <row r="3" spans="1:26" ht="70.900000000000006" customHeight="1">
      <c r="B3" s="1704" t="s">
        <v>904</v>
      </c>
      <c r="C3" s="1704"/>
      <c r="D3" s="1704"/>
      <c r="E3" s="1704"/>
      <c r="F3" s="1704"/>
      <c r="G3" s="1704"/>
      <c r="H3" s="1704"/>
      <c r="I3" s="1704"/>
      <c r="J3" s="1704"/>
      <c r="K3" s="1704"/>
      <c r="L3" s="1704"/>
      <c r="M3" s="1704"/>
      <c r="N3" s="1704"/>
    </row>
    <row r="4" spans="1:26" ht="32.25" customHeight="1" thickBot="1">
      <c r="B4" s="1711"/>
      <c r="C4" s="1711"/>
      <c r="D4" s="1711"/>
      <c r="E4" s="1711"/>
      <c r="F4" s="1711"/>
      <c r="G4" s="1711"/>
      <c r="H4" s="1711"/>
      <c r="I4" s="1711"/>
      <c r="J4" s="1711"/>
      <c r="K4" s="1711"/>
      <c r="L4" s="1711"/>
      <c r="M4" s="1711"/>
      <c r="N4" s="1711"/>
    </row>
    <row r="5" spans="1:26" s="1125" customFormat="1" ht="52.9" customHeight="1" thickBot="1">
      <c r="B5" s="1126"/>
      <c r="C5" s="1127" t="s">
        <v>981</v>
      </c>
      <c r="D5" s="1127"/>
      <c r="E5" s="1128" t="s">
        <v>982</v>
      </c>
      <c r="F5" s="1127"/>
      <c r="G5" s="1128" t="s">
        <v>980</v>
      </c>
      <c r="H5" s="1128" t="s">
        <v>407</v>
      </c>
      <c r="I5" s="1127"/>
      <c r="J5" s="1127"/>
      <c r="K5" s="1127"/>
      <c r="L5" s="1141" t="s">
        <v>989</v>
      </c>
      <c r="M5" s="1127"/>
      <c r="N5" s="1129" t="s">
        <v>985</v>
      </c>
      <c r="S5" s="1125" t="s">
        <v>58</v>
      </c>
    </row>
    <row r="6" spans="1:26">
      <c r="B6" s="288"/>
      <c r="C6" s="495"/>
      <c r="D6" s="496"/>
      <c r="E6" s="496"/>
      <c r="F6" s="496"/>
      <c r="G6" s="495"/>
      <c r="H6" s="495"/>
      <c r="I6" s="496"/>
      <c r="J6" s="496"/>
      <c r="K6" s="496"/>
      <c r="L6" s="497"/>
      <c r="M6" s="496"/>
    </row>
    <row r="7" spans="1:26" ht="15.75">
      <c r="B7" s="299" t="s">
        <v>2</v>
      </c>
      <c r="C7" s="498"/>
      <c r="D7" s="499"/>
      <c r="E7" s="499"/>
      <c r="F7" s="499"/>
      <c r="G7" s="499"/>
      <c r="H7" s="500"/>
      <c r="I7" s="499"/>
      <c r="J7" s="499"/>
      <c r="K7" s="499"/>
      <c r="L7" s="501"/>
      <c r="M7" s="499"/>
      <c r="N7" s="981"/>
      <c r="S7" s="723"/>
      <c r="T7" s="293"/>
      <c r="U7" s="293"/>
      <c r="V7" s="293"/>
      <c r="W7" s="293"/>
      <c r="X7" s="293"/>
      <c r="Y7" s="293"/>
      <c r="Z7" s="293"/>
    </row>
    <row r="8" spans="1:26" ht="15.75">
      <c r="A8" s="321" t="s">
        <v>336</v>
      </c>
      <c r="B8" s="298" t="s">
        <v>6</v>
      </c>
      <c r="C8" s="1268">
        <v>15205258</v>
      </c>
      <c r="D8" s="1243"/>
      <c r="E8" s="1268">
        <v>15920473</v>
      </c>
      <c r="F8" s="1268"/>
      <c r="G8" s="1268">
        <v>15883594</v>
      </c>
      <c r="H8" s="1268">
        <v>2225690</v>
      </c>
      <c r="I8" s="1268"/>
      <c r="J8" s="1268"/>
      <c r="K8" s="1268"/>
      <c r="L8" s="1268">
        <v>16039800</v>
      </c>
      <c r="M8" s="1268"/>
      <c r="N8" s="1268">
        <v>119327</v>
      </c>
      <c r="O8" s="336" t="s">
        <v>11</v>
      </c>
      <c r="P8" s="333">
        <v>5620086.4199999999</v>
      </c>
      <c r="Q8" s="966">
        <v>0.32600000000000001</v>
      </c>
      <c r="S8" s="723"/>
      <c r="T8" s="291"/>
      <c r="U8" s="293"/>
      <c r="V8" s="293"/>
      <c r="W8" s="293"/>
      <c r="X8" s="293"/>
      <c r="Y8" s="293"/>
      <c r="Z8" s="293"/>
    </row>
    <row r="9" spans="1:26" ht="16.5" thickBot="1">
      <c r="A9" s="321" t="s">
        <v>338</v>
      </c>
      <c r="B9" s="305" t="s">
        <v>8</v>
      </c>
      <c r="C9" s="514">
        <v>171801.91</v>
      </c>
      <c r="D9" s="514"/>
      <c r="E9" s="514">
        <v>179921</v>
      </c>
      <c r="F9" s="514"/>
      <c r="G9" s="514">
        <v>173106.89</v>
      </c>
      <c r="H9" s="515">
        <v>2225690</v>
      </c>
      <c r="I9" s="514"/>
      <c r="J9" s="514"/>
      <c r="K9" s="514"/>
      <c r="L9" s="515">
        <v>172753.38</v>
      </c>
      <c r="M9" s="514"/>
      <c r="N9" s="527">
        <v>-7167.6199999999953</v>
      </c>
      <c r="O9" s="336" t="s">
        <v>12</v>
      </c>
      <c r="P9" s="333">
        <v>2097952.83</v>
      </c>
      <c r="Q9" s="966">
        <v>0.121</v>
      </c>
      <c r="S9" s="723"/>
      <c r="T9" s="291"/>
      <c r="U9" s="293"/>
      <c r="V9" s="293"/>
      <c r="W9" s="293"/>
      <c r="X9" s="293"/>
      <c r="Y9" s="293"/>
      <c r="Z9" s="293"/>
    </row>
    <row r="10" spans="1:26" ht="16.5" thickBot="1">
      <c r="A10" s="1071" t="s">
        <v>349</v>
      </c>
      <c r="B10" s="305" t="s">
        <v>28</v>
      </c>
      <c r="C10" s="1239">
        <v>181404.55</v>
      </c>
      <c r="D10" s="1239"/>
      <c r="E10" s="1239">
        <v>377741</v>
      </c>
      <c r="F10" s="1239"/>
      <c r="G10" s="1239">
        <v>377741</v>
      </c>
      <c r="H10" s="528">
        <v>2225690</v>
      </c>
      <c r="I10" s="1239"/>
      <c r="J10" s="1239"/>
      <c r="K10" s="1239"/>
      <c r="L10" s="528">
        <v>0</v>
      </c>
      <c r="M10" s="1239"/>
      <c r="N10" s="1239">
        <v>-377741</v>
      </c>
      <c r="O10" s="336" t="s">
        <v>801</v>
      </c>
      <c r="P10" s="333">
        <v>4417263.7</v>
      </c>
      <c r="Q10" s="966">
        <v>0.25700000000000001</v>
      </c>
      <c r="S10" s="723"/>
      <c r="T10" s="293"/>
      <c r="U10" s="293"/>
      <c r="V10" s="293"/>
      <c r="W10" s="293"/>
      <c r="X10" s="293"/>
      <c r="Y10" s="293"/>
      <c r="Z10" s="293"/>
    </row>
    <row r="11" spans="1:26" s="625" customFormat="1" ht="15.75">
      <c r="B11" s="298" t="s">
        <v>319</v>
      </c>
      <c r="C11" s="527">
        <v>557791</v>
      </c>
      <c r="D11" s="515"/>
      <c r="E11" s="1239">
        <v>524669</v>
      </c>
      <c r="F11" s="515"/>
      <c r="G11" s="1239">
        <v>526951.11</v>
      </c>
      <c r="H11" s="515">
        <v>526951.11</v>
      </c>
      <c r="I11" s="515"/>
      <c r="J11" s="515"/>
      <c r="K11" s="515"/>
      <c r="L11" s="1239">
        <v>670291.56999999925</v>
      </c>
      <c r="M11" s="515"/>
      <c r="N11" s="527">
        <v>145622.56999999925</v>
      </c>
      <c r="O11" s="346" t="s">
        <v>14</v>
      </c>
      <c r="P11" s="341">
        <v>1680873</v>
      </c>
      <c r="Q11" s="966">
        <v>9.8000000000000004E-2</v>
      </c>
      <c r="S11" s="724"/>
    </row>
    <row r="12" spans="1:26" s="293" customFormat="1" ht="15.75">
      <c r="B12" s="622" t="s">
        <v>9</v>
      </c>
      <c r="C12" s="523">
        <v>16116256</v>
      </c>
      <c r="D12" s="523"/>
      <c r="E12" s="523">
        <v>17002804</v>
      </c>
      <c r="F12" s="523"/>
      <c r="G12" s="523">
        <v>16961393</v>
      </c>
      <c r="H12" s="523">
        <v>7204021.1100000003</v>
      </c>
      <c r="I12" s="523"/>
      <c r="J12" s="523"/>
      <c r="K12" s="523"/>
      <c r="L12" s="523">
        <v>16882844.949999999</v>
      </c>
      <c r="M12" s="523"/>
      <c r="N12" s="1026">
        <v>-119959.05000000075</v>
      </c>
      <c r="O12" s="346" t="s">
        <v>15</v>
      </c>
      <c r="P12" s="341">
        <v>1445748</v>
      </c>
      <c r="Q12" s="966">
        <v>8.4000000000000005E-2</v>
      </c>
      <c r="R12" s="344"/>
      <c r="S12" s="729"/>
    </row>
    <row r="13" spans="1:26" s="293" customFormat="1" ht="15.75">
      <c r="B13" s="310"/>
      <c r="C13" s="524"/>
      <c r="D13" s="515"/>
      <c r="E13" s="515"/>
      <c r="F13" s="515"/>
      <c r="G13" s="515"/>
      <c r="H13" s="515"/>
      <c r="I13" s="515"/>
      <c r="J13" s="515"/>
      <c r="K13" s="515"/>
      <c r="L13" s="515"/>
      <c r="M13" s="515"/>
      <c r="N13" s="522"/>
      <c r="O13" s="346" t="s">
        <v>38</v>
      </c>
      <c r="P13" s="341">
        <v>1620921</v>
      </c>
      <c r="Q13" s="966">
        <v>9.4E-2</v>
      </c>
      <c r="R13" s="344"/>
      <c r="S13" s="729"/>
    </row>
    <row r="14" spans="1:26" s="293" customFormat="1" ht="15.75">
      <c r="B14" s="313" t="s">
        <v>320</v>
      </c>
      <c r="C14" s="623"/>
      <c r="D14" s="515"/>
      <c r="E14" s="515"/>
      <c r="F14" s="515"/>
      <c r="G14" s="515"/>
      <c r="H14" s="515"/>
      <c r="I14" s="515"/>
      <c r="J14" s="515"/>
      <c r="K14" s="515"/>
      <c r="L14" s="515"/>
      <c r="M14" s="515"/>
      <c r="N14" s="522"/>
      <c r="O14" s="341" t="s">
        <v>23</v>
      </c>
      <c r="P14" s="341">
        <v>337892</v>
      </c>
      <c r="Q14" s="966">
        <v>0.02</v>
      </c>
      <c r="R14" s="344"/>
      <c r="S14" s="729"/>
    </row>
    <row r="15" spans="1:26" s="293" customFormat="1" ht="16.5" thickBot="1">
      <c r="B15" s="311" t="s">
        <v>327</v>
      </c>
      <c r="C15" s="1495">
        <v>1535135</v>
      </c>
      <c r="D15" s="515"/>
      <c r="E15" s="1495">
        <v>1010466</v>
      </c>
      <c r="F15" s="515"/>
      <c r="G15" s="1036">
        <v>1008183.89</v>
      </c>
      <c r="H15" s="515">
        <v>1008183.89</v>
      </c>
      <c r="I15" s="515"/>
      <c r="J15" s="515"/>
      <c r="K15" s="515"/>
      <c r="L15" s="1036">
        <v>337892</v>
      </c>
      <c r="M15" s="515"/>
      <c r="N15" s="528">
        <v>-672574</v>
      </c>
      <c r="O15" s="340" t="s">
        <v>25</v>
      </c>
      <c r="P15" s="340">
        <v>17220736.949999999</v>
      </c>
      <c r="Q15" s="668">
        <v>0.99999999999999989</v>
      </c>
      <c r="R15" s="344"/>
      <c r="S15" s="724"/>
    </row>
    <row r="16" spans="1:26" s="293" customFormat="1" ht="16.5" thickTop="1">
      <c r="B16" s="622" t="s">
        <v>20</v>
      </c>
      <c r="C16" s="1030">
        <v>1535135</v>
      </c>
      <c r="D16" s="523"/>
      <c r="E16" s="1030">
        <v>1010466</v>
      </c>
      <c r="F16" s="523"/>
      <c r="G16" s="1033">
        <v>1008183.89</v>
      </c>
      <c r="H16" s="523">
        <v>1008183.89</v>
      </c>
      <c r="I16" s="523"/>
      <c r="J16" s="523"/>
      <c r="K16" s="523"/>
      <c r="L16" s="1033">
        <v>337892</v>
      </c>
      <c r="M16" s="523"/>
      <c r="N16" s="1026">
        <v>-672574</v>
      </c>
      <c r="R16" s="344"/>
      <c r="S16" s="729"/>
    </row>
    <row r="17" spans="1:24" s="293" customFormat="1" ht="16.5" thickBot="1">
      <c r="B17" s="616" t="s">
        <v>21</v>
      </c>
      <c r="C17" s="617">
        <v>17651391</v>
      </c>
      <c r="D17" s="617"/>
      <c r="E17" s="617">
        <v>18013270</v>
      </c>
      <c r="F17" s="617"/>
      <c r="G17" s="617">
        <v>17969576.890000001</v>
      </c>
      <c r="H17" s="617">
        <v>8212205</v>
      </c>
      <c r="I17" s="617"/>
      <c r="J17" s="617"/>
      <c r="K17" s="617"/>
      <c r="L17" s="617">
        <v>17220736.949999999</v>
      </c>
      <c r="M17" s="617"/>
      <c r="N17" s="1028">
        <v>-792533.05000000075</v>
      </c>
      <c r="O17" s="341" t="s">
        <v>6</v>
      </c>
      <c r="P17" s="341">
        <v>16039800</v>
      </c>
      <c r="Q17" s="608">
        <v>0.93100000000000005</v>
      </c>
      <c r="R17" s="344"/>
      <c r="S17" s="729"/>
    </row>
    <row r="18" spans="1:24" s="293" customFormat="1" ht="16.5" thickTop="1">
      <c r="B18" s="316"/>
      <c r="C18" s="619"/>
      <c r="D18" s="515"/>
      <c r="E18" s="515"/>
      <c r="F18" s="515"/>
      <c r="G18" s="515"/>
      <c r="H18" s="515"/>
      <c r="I18" s="515"/>
      <c r="J18" s="515"/>
      <c r="K18" s="515"/>
      <c r="L18" s="515"/>
      <c r="M18" s="515"/>
      <c r="N18" s="522"/>
      <c r="O18" s="341" t="s">
        <v>8</v>
      </c>
      <c r="P18" s="341">
        <v>172753.38</v>
      </c>
      <c r="Q18" s="608">
        <v>0.01</v>
      </c>
      <c r="S18" s="723"/>
    </row>
    <row r="19" spans="1:24" s="293" customFormat="1" ht="15.75">
      <c r="B19" s="349" t="s">
        <v>10</v>
      </c>
      <c r="C19" s="620"/>
      <c r="D19" s="514"/>
      <c r="E19" s="514"/>
      <c r="F19" s="514"/>
      <c r="G19" s="515"/>
      <c r="H19" s="515"/>
      <c r="I19" s="514"/>
      <c r="J19" s="514"/>
      <c r="K19" s="514"/>
      <c r="L19" s="514"/>
      <c r="M19" s="514"/>
      <c r="N19" s="518"/>
      <c r="O19" s="341" t="s">
        <v>28</v>
      </c>
      <c r="P19" s="341">
        <v>0</v>
      </c>
      <c r="Q19" s="608">
        <v>0</v>
      </c>
      <c r="S19" s="723"/>
      <c r="X19" s="723"/>
    </row>
    <row r="20" spans="1:24" s="293" customFormat="1" ht="15.75">
      <c r="A20" s="621" t="s">
        <v>340</v>
      </c>
      <c r="B20" s="316" t="s">
        <v>11</v>
      </c>
      <c r="C20" s="1239">
        <v>5581667.8399999999</v>
      </c>
      <c r="D20" s="1239"/>
      <c r="E20" s="1239">
        <v>5301972.6399999997</v>
      </c>
      <c r="F20" s="1239"/>
      <c r="G20" s="1239">
        <v>5348668.25</v>
      </c>
      <c r="H20" s="528">
        <v>2225690</v>
      </c>
      <c r="I20" s="1239"/>
      <c r="J20" s="1239"/>
      <c r="K20" s="1239"/>
      <c r="L20" s="528">
        <v>5620086.4199999999</v>
      </c>
      <c r="M20" s="1239"/>
      <c r="N20" s="1239">
        <v>318113.78000000026</v>
      </c>
      <c r="O20" s="341" t="s">
        <v>319</v>
      </c>
      <c r="P20" s="341">
        <v>670291.56999999925</v>
      </c>
      <c r="Q20" s="608">
        <v>3.9E-2</v>
      </c>
      <c r="S20" s="723"/>
      <c r="X20" s="723"/>
    </row>
    <row r="21" spans="1:24" s="293" customFormat="1" ht="15.75">
      <c r="A21" s="621" t="s">
        <v>341</v>
      </c>
      <c r="B21" s="316" t="s">
        <v>12</v>
      </c>
      <c r="C21" s="1239">
        <v>2200118.3199999998</v>
      </c>
      <c r="D21" s="1239"/>
      <c r="E21" s="1239">
        <v>1964611</v>
      </c>
      <c r="F21" s="1239"/>
      <c r="G21" s="1239">
        <v>1820087.04</v>
      </c>
      <c r="H21" s="528">
        <v>2225690</v>
      </c>
      <c r="I21" s="1239"/>
      <c r="J21" s="1239"/>
      <c r="K21" s="1239"/>
      <c r="L21" s="528">
        <v>2097952.83</v>
      </c>
      <c r="M21" s="1239"/>
      <c r="N21" s="1239">
        <v>133341.83000000007</v>
      </c>
      <c r="O21" s="653" t="s">
        <v>19</v>
      </c>
      <c r="P21" s="293">
        <v>337892</v>
      </c>
      <c r="Q21" s="293">
        <v>0.02</v>
      </c>
      <c r="S21" s="723"/>
      <c r="X21" s="723"/>
    </row>
    <row r="22" spans="1:24" s="293" customFormat="1" ht="21">
      <c r="A22" s="621" t="s">
        <v>342</v>
      </c>
      <c r="B22" s="316" t="s">
        <v>801</v>
      </c>
      <c r="C22" s="1239">
        <v>4470363.5</v>
      </c>
      <c r="D22" s="1239"/>
      <c r="E22" s="1239">
        <v>4557395.41</v>
      </c>
      <c r="F22" s="1239"/>
      <c r="G22" s="1239">
        <v>4610352.0999999996</v>
      </c>
      <c r="H22" s="528">
        <v>2225690</v>
      </c>
      <c r="I22" s="1239"/>
      <c r="J22" s="1239"/>
      <c r="K22" s="1239"/>
      <c r="L22" s="528">
        <v>4417263.7</v>
      </c>
      <c r="M22" s="1239"/>
      <c r="N22" s="1239">
        <v>-140131.70999999996</v>
      </c>
      <c r="O22" s="653" t="s">
        <v>21</v>
      </c>
      <c r="P22" s="293">
        <v>17220736.949999999</v>
      </c>
      <c r="Q22" s="293">
        <v>1</v>
      </c>
      <c r="S22" s="723"/>
      <c r="X22" s="723"/>
    </row>
    <row r="23" spans="1:24" s="293" customFormat="1" ht="15.75">
      <c r="A23" s="621" t="s">
        <v>343</v>
      </c>
      <c r="B23" s="316" t="s">
        <v>14</v>
      </c>
      <c r="C23" s="1239">
        <v>873002.84</v>
      </c>
      <c r="D23" s="1239"/>
      <c r="E23" s="1239">
        <v>1543746</v>
      </c>
      <c r="F23" s="1239"/>
      <c r="G23" s="1239">
        <v>1549547.0399999998</v>
      </c>
      <c r="H23" s="528">
        <v>2225690</v>
      </c>
      <c r="I23" s="1239"/>
      <c r="J23" s="1239"/>
      <c r="K23" s="1239"/>
      <c r="L23" s="528">
        <v>1680873</v>
      </c>
      <c r="M23" s="1239"/>
      <c r="N23" s="1239">
        <v>137127</v>
      </c>
      <c r="O23" s="653"/>
      <c r="S23" s="723"/>
      <c r="X23" s="723"/>
    </row>
    <row r="24" spans="1:24" s="293" customFormat="1" ht="16.5" thickBot="1">
      <c r="A24" s="621" t="s">
        <v>350</v>
      </c>
      <c r="B24" s="316" t="s">
        <v>15</v>
      </c>
      <c r="C24" s="1239">
        <v>1408835.85</v>
      </c>
      <c r="D24" s="1239"/>
      <c r="E24" s="1239">
        <v>396100.18</v>
      </c>
      <c r="F24" s="1239"/>
      <c r="G24" s="1239">
        <v>393760.36</v>
      </c>
      <c r="H24" s="528">
        <v>2225690</v>
      </c>
      <c r="I24" s="1239"/>
      <c r="J24" s="1239"/>
      <c r="K24" s="1239"/>
      <c r="L24" s="528">
        <v>1445748</v>
      </c>
      <c r="M24" s="1239"/>
      <c r="N24" s="1239">
        <v>1049647.82</v>
      </c>
      <c r="O24" s="538"/>
      <c r="P24" s="344"/>
      <c r="Q24" s="344"/>
      <c r="R24" s="344"/>
      <c r="S24" s="729"/>
      <c r="T24" s="344"/>
      <c r="X24" s="723"/>
    </row>
    <row r="25" spans="1:24" s="293" customFormat="1" ht="16.5" thickBot="1">
      <c r="A25" s="1519" t="s">
        <v>346</v>
      </c>
      <c r="B25" s="316" t="s">
        <v>1001</v>
      </c>
      <c r="C25" s="1239">
        <v>0</v>
      </c>
      <c r="D25" s="1239"/>
      <c r="E25" s="1239">
        <v>2109621</v>
      </c>
      <c r="F25" s="1239"/>
      <c r="G25" s="1239">
        <v>2109621</v>
      </c>
      <c r="H25" s="528"/>
      <c r="I25" s="1239"/>
      <c r="J25" s="1239"/>
      <c r="K25" s="1239"/>
      <c r="L25" s="528">
        <v>500000</v>
      </c>
      <c r="M25" s="1239"/>
      <c r="N25" s="1239">
        <v>-1609621</v>
      </c>
      <c r="O25" s="538"/>
      <c r="P25" s="344"/>
      <c r="Q25" s="344"/>
      <c r="R25" s="344"/>
      <c r="S25" s="729"/>
      <c r="T25" s="344"/>
      <c r="X25" s="723"/>
    </row>
    <row r="26" spans="1:24" s="293" customFormat="1" ht="16.5" thickBot="1">
      <c r="A26" s="1519" t="s">
        <v>346</v>
      </c>
      <c r="B26" s="316" t="s">
        <v>999</v>
      </c>
      <c r="C26" s="1239">
        <v>1582266.99</v>
      </c>
      <c r="D26" s="1239"/>
      <c r="E26" s="1239">
        <v>1129358</v>
      </c>
      <c r="F26" s="1239" t="s">
        <v>58</v>
      </c>
      <c r="G26" s="1239">
        <v>1129358</v>
      </c>
      <c r="H26" s="528"/>
      <c r="I26" s="1239"/>
      <c r="J26" s="1239"/>
      <c r="K26" s="1239"/>
      <c r="L26" s="528">
        <v>1120921</v>
      </c>
      <c r="M26" s="1239"/>
      <c r="N26" s="1239">
        <v>-8437</v>
      </c>
      <c r="O26" s="538"/>
      <c r="P26" s="344"/>
      <c r="Q26" s="344"/>
      <c r="R26" s="344"/>
      <c r="S26" s="729"/>
      <c r="T26" s="344"/>
      <c r="X26" s="723"/>
    </row>
    <row r="27" spans="1:24" s="293" customFormat="1" ht="15.75">
      <c r="A27" s="621" t="s">
        <v>344</v>
      </c>
      <c r="B27" s="622" t="s">
        <v>22</v>
      </c>
      <c r="C27" s="523">
        <v>16116256</v>
      </c>
      <c r="D27" s="523"/>
      <c r="E27" s="523">
        <v>17002804</v>
      </c>
      <c r="F27" s="523"/>
      <c r="G27" s="523">
        <v>16961393</v>
      </c>
      <c r="H27" s="523">
        <v>11128450</v>
      </c>
      <c r="I27" s="523"/>
      <c r="J27" s="523"/>
      <c r="K27" s="523"/>
      <c r="L27" s="523">
        <v>16882844.949999999</v>
      </c>
      <c r="M27" s="523"/>
      <c r="N27" s="1026">
        <v>-119959.05000000075</v>
      </c>
      <c r="O27" s="672"/>
      <c r="P27" s="672"/>
      <c r="Q27" s="344"/>
      <c r="R27" s="344"/>
      <c r="S27" s="729"/>
      <c r="T27" s="344"/>
    </row>
    <row r="28" spans="1:24" s="293" customFormat="1" ht="15.75">
      <c r="B28" s="311"/>
      <c r="C28" s="525"/>
      <c r="D28" s="515"/>
      <c r="E28" s="515"/>
      <c r="F28" s="515"/>
      <c r="G28" s="515"/>
      <c r="H28" s="515"/>
      <c r="I28" s="515"/>
      <c r="J28" s="515"/>
      <c r="K28" s="515"/>
      <c r="L28" s="515"/>
      <c r="M28" s="515"/>
      <c r="N28" s="522"/>
      <c r="O28" s="672"/>
      <c r="P28" s="344"/>
      <c r="Q28" s="344"/>
      <c r="R28" s="344"/>
      <c r="S28" s="729"/>
      <c r="T28" s="344"/>
    </row>
    <row r="29" spans="1:24" s="293" customFormat="1" ht="15.75">
      <c r="B29" s="313" t="s">
        <v>321</v>
      </c>
      <c r="C29" s="623"/>
      <c r="D29" s="525"/>
      <c r="E29" s="525"/>
      <c r="F29" s="525"/>
      <c r="G29" s="525"/>
      <c r="H29" s="525"/>
      <c r="I29" s="525"/>
      <c r="J29" s="525"/>
      <c r="K29" s="525"/>
      <c r="L29" s="525"/>
      <c r="M29" s="525"/>
      <c r="N29" s="518"/>
      <c r="O29" s="344"/>
      <c r="P29" s="344"/>
      <c r="Q29" s="344"/>
      <c r="R29" s="344"/>
      <c r="S29" s="729"/>
      <c r="T29" s="344"/>
    </row>
    <row r="30" spans="1:24" s="293" customFormat="1" ht="15.75">
      <c r="B30" s="316" t="s">
        <v>322</v>
      </c>
      <c r="C30" s="528">
        <v>54588</v>
      </c>
      <c r="D30" s="522"/>
      <c r="E30" s="528">
        <v>54588</v>
      </c>
      <c r="F30" s="522"/>
      <c r="G30" s="528">
        <v>54588</v>
      </c>
      <c r="H30" s="528">
        <v>54588</v>
      </c>
      <c r="I30" s="528"/>
      <c r="J30" s="528"/>
      <c r="K30" s="528"/>
      <c r="L30" s="528">
        <v>54588</v>
      </c>
      <c r="M30" s="522"/>
      <c r="N30" s="528">
        <v>0</v>
      </c>
      <c r="O30" s="344"/>
      <c r="P30" s="344"/>
      <c r="Q30" s="344"/>
      <c r="R30" s="344"/>
      <c r="S30" s="1277"/>
      <c r="T30" s="344"/>
    </row>
    <row r="31" spans="1:24" s="625" customFormat="1" ht="15.75">
      <c r="A31" s="293"/>
      <c r="B31" s="316" t="s">
        <v>31</v>
      </c>
      <c r="C31" s="1029">
        <v>1480547</v>
      </c>
      <c r="D31" s="515"/>
      <c r="E31" s="1495">
        <v>955878</v>
      </c>
      <c r="F31" s="515"/>
      <c r="G31" s="1495">
        <v>953595.8900000006</v>
      </c>
      <c r="H31" s="515">
        <v>1585276</v>
      </c>
      <c r="I31" s="515"/>
      <c r="J31" s="515"/>
      <c r="K31" s="515"/>
      <c r="L31" s="1495">
        <v>283304</v>
      </c>
      <c r="M31" s="515"/>
      <c r="N31" s="528">
        <v>-672574</v>
      </c>
      <c r="O31" s="661"/>
      <c r="P31" s="661"/>
      <c r="Q31" s="661"/>
      <c r="R31" s="661"/>
      <c r="S31" s="1277"/>
      <c r="T31" s="661"/>
    </row>
    <row r="32" spans="1:24" s="293" customFormat="1" ht="15.75">
      <c r="A32" s="625"/>
      <c r="B32" s="1246" t="s">
        <v>323</v>
      </c>
      <c r="C32" s="1033">
        <v>1535135</v>
      </c>
      <c r="D32" s="523"/>
      <c r="E32" s="1030">
        <v>1010466</v>
      </c>
      <c r="F32" s="523"/>
      <c r="G32" s="1030">
        <v>1008183.8900000006</v>
      </c>
      <c r="H32" s="523">
        <v>1639864</v>
      </c>
      <c r="I32" s="523"/>
      <c r="J32" s="523"/>
      <c r="K32" s="523"/>
      <c r="L32" s="1030">
        <v>337892</v>
      </c>
      <c r="M32" s="523"/>
      <c r="N32" s="1026">
        <v>-672574</v>
      </c>
      <c r="O32" s="344"/>
      <c r="P32" s="344"/>
      <c r="Q32" s="344"/>
      <c r="R32" s="344"/>
      <c r="S32" s="729"/>
      <c r="T32" s="538"/>
      <c r="U32" s="653"/>
      <c r="V32" s="653"/>
      <c r="W32" s="653"/>
    </row>
    <row r="33" spans="2:20" s="293" customFormat="1" ht="16.5" thickBot="1">
      <c r="B33" s="616" t="s">
        <v>25</v>
      </c>
      <c r="C33" s="1267">
        <v>17651391</v>
      </c>
      <c r="D33" s="627"/>
      <c r="E33" s="1267">
        <v>18013270</v>
      </c>
      <c r="F33" s="1267"/>
      <c r="G33" s="1267">
        <v>17969576.890000001</v>
      </c>
      <c r="H33" s="1267">
        <v>12768314</v>
      </c>
      <c r="I33" s="1267"/>
      <c r="J33" s="627"/>
      <c r="K33" s="627"/>
      <c r="L33" s="1267">
        <v>17220736.949999999</v>
      </c>
      <c r="M33" s="1267"/>
      <c r="N33" s="1267">
        <v>-792533.05000000075</v>
      </c>
      <c r="O33" s="344"/>
      <c r="P33" s="344"/>
      <c r="Q33" s="344"/>
      <c r="R33" s="344"/>
      <c r="S33" s="729"/>
      <c r="T33" s="344"/>
    </row>
    <row r="34" spans="2:20" s="293" customFormat="1" ht="16.5" thickTop="1">
      <c r="B34" s="1287" t="s">
        <v>58</v>
      </c>
      <c r="C34" s="524"/>
      <c r="D34" s="529"/>
      <c r="E34" s="529"/>
      <c r="F34" s="529"/>
      <c r="G34" s="529"/>
      <c r="H34" s="529"/>
      <c r="I34" s="529"/>
      <c r="J34" s="529"/>
      <c r="K34" s="529"/>
      <c r="L34" s="529"/>
      <c r="M34" s="529"/>
      <c r="N34" s="893"/>
      <c r="O34" s="344"/>
      <c r="P34" s="344"/>
      <c r="Q34" s="344"/>
      <c r="R34" s="344"/>
      <c r="S34" s="729"/>
      <c r="T34" s="344"/>
    </row>
    <row r="35" spans="2:20" s="293" customFormat="1" ht="15.75">
      <c r="B35" s="313"/>
      <c r="C35" s="524"/>
      <c r="D35" s="529"/>
      <c r="E35" s="529"/>
      <c r="F35" s="529"/>
      <c r="G35" s="529"/>
      <c r="H35" s="529"/>
      <c r="I35" s="529"/>
      <c r="J35" s="529"/>
      <c r="K35" s="529"/>
      <c r="L35" s="529"/>
      <c r="M35" s="529"/>
      <c r="N35" s="893"/>
      <c r="O35" s="344"/>
      <c r="P35" s="344"/>
      <c r="Q35" s="344"/>
      <c r="R35" s="344"/>
      <c r="S35" s="729"/>
      <c r="T35" s="344"/>
    </row>
    <row r="36" spans="2:20" s="293" customFormat="1" ht="15.75">
      <c r="B36" s="313"/>
      <c r="C36" s="524"/>
      <c r="D36" s="529"/>
      <c r="E36" s="529"/>
      <c r="F36" s="529"/>
      <c r="G36" s="529"/>
      <c r="H36" s="529"/>
      <c r="I36" s="529"/>
      <c r="J36" s="529"/>
      <c r="K36" s="529"/>
      <c r="L36" s="529"/>
      <c r="M36" s="529"/>
      <c r="N36" s="893"/>
      <c r="O36" s="344"/>
      <c r="P36" s="344"/>
      <c r="Q36" s="344"/>
      <c r="R36" s="344"/>
      <c r="S36" s="729"/>
      <c r="T36" s="344"/>
    </row>
    <row r="37" spans="2:20" s="293" customFormat="1" ht="15.75">
      <c r="B37" s="313"/>
      <c r="C37" s="524"/>
      <c r="D37" s="529"/>
      <c r="E37" s="529"/>
      <c r="F37" s="529"/>
      <c r="G37" s="529"/>
      <c r="H37" s="529"/>
      <c r="I37" s="529"/>
      <c r="J37" s="529"/>
      <c r="K37" s="529"/>
      <c r="L37" s="529"/>
      <c r="M37" s="529"/>
      <c r="N37" s="893"/>
      <c r="O37" s="344"/>
      <c r="P37" s="344"/>
      <c r="Q37" s="344"/>
      <c r="R37" s="344"/>
      <c r="S37" s="729"/>
      <c r="T37" s="344"/>
    </row>
    <row r="38" spans="2:20" s="293" customFormat="1" ht="15.75">
      <c r="B38" s="313"/>
      <c r="C38" s="502"/>
      <c r="D38" s="506"/>
      <c r="E38" s="506"/>
      <c r="F38" s="506"/>
      <c r="G38" s="506"/>
      <c r="H38" s="506"/>
      <c r="I38" s="506"/>
      <c r="J38" s="506"/>
      <c r="K38" s="506"/>
      <c r="L38" s="506"/>
      <c r="M38" s="506"/>
      <c r="N38" s="1080"/>
      <c r="O38" s="344"/>
      <c r="P38" s="344"/>
      <c r="Q38" s="344"/>
      <c r="R38" s="344"/>
      <c r="S38" s="729"/>
      <c r="T38" s="344"/>
    </row>
    <row r="39" spans="2:20" s="293" customFormat="1" ht="15.75">
      <c r="B39" s="313"/>
      <c r="C39" s="502"/>
      <c r="D39" s="506"/>
      <c r="E39" s="506"/>
      <c r="F39" s="506"/>
      <c r="G39" s="506"/>
      <c r="H39" s="506"/>
      <c r="I39" s="506"/>
      <c r="J39" s="506"/>
      <c r="K39" s="506"/>
      <c r="L39" s="506"/>
      <c r="M39" s="506"/>
      <c r="N39" s="1080"/>
      <c r="O39" s="344"/>
      <c r="P39" s="344"/>
      <c r="Q39" s="344"/>
      <c r="R39" s="344"/>
      <c r="S39" s="729"/>
      <c r="T39" s="344"/>
    </row>
    <row r="40" spans="2:20" s="293" customFormat="1" ht="15.75">
      <c r="B40" s="313"/>
      <c r="C40" s="502"/>
      <c r="D40" s="506"/>
      <c r="E40" s="506"/>
      <c r="F40" s="506"/>
      <c r="G40" s="506"/>
      <c r="H40" s="506"/>
      <c r="I40" s="506"/>
      <c r="J40" s="506"/>
      <c r="K40" s="506"/>
      <c r="L40" s="506"/>
      <c r="M40" s="506"/>
      <c r="N40" s="1080"/>
      <c r="O40" s="344"/>
      <c r="P40" s="344"/>
      <c r="Q40" s="344"/>
      <c r="R40" s="344"/>
      <c r="S40" s="729"/>
      <c r="T40" s="344"/>
    </row>
    <row r="41" spans="2:20" s="293" customFormat="1" ht="15.75">
      <c r="B41" s="313"/>
      <c r="C41" s="502"/>
      <c r="D41" s="506"/>
      <c r="E41" s="506"/>
      <c r="F41" s="506"/>
      <c r="G41" s="506"/>
      <c r="H41" s="506"/>
      <c r="I41" s="506"/>
      <c r="J41" s="506"/>
      <c r="K41" s="506"/>
      <c r="L41" s="506"/>
      <c r="M41" s="506"/>
      <c r="N41" s="1080"/>
      <c r="O41" s="344"/>
      <c r="P41" s="344"/>
      <c r="Q41" s="344"/>
      <c r="R41" s="729"/>
      <c r="S41" s="729"/>
      <c r="T41" s="344"/>
    </row>
    <row r="42" spans="2:20" s="293" customFormat="1" ht="15.75">
      <c r="B42" s="313"/>
      <c r="C42" s="502"/>
      <c r="D42" s="506"/>
      <c r="E42" s="506"/>
      <c r="F42" s="506"/>
      <c r="G42" s="506"/>
      <c r="H42" s="506"/>
      <c r="I42" s="506"/>
      <c r="J42" s="506"/>
      <c r="K42" s="506"/>
      <c r="L42" s="506"/>
      <c r="M42" s="506"/>
      <c r="N42" s="1080"/>
      <c r="O42" s="344"/>
      <c r="P42" s="344"/>
      <c r="Q42" s="344"/>
      <c r="R42" s="729"/>
      <c r="S42" s="729"/>
      <c r="T42" s="344"/>
    </row>
    <row r="43" spans="2:20" s="293" customFormat="1" ht="15.75">
      <c r="B43" s="313"/>
      <c r="C43" s="502"/>
      <c r="D43" s="506"/>
      <c r="E43" s="506"/>
      <c r="F43" s="506"/>
      <c r="G43" s="506"/>
      <c r="H43" s="506"/>
      <c r="I43" s="506"/>
      <c r="J43" s="506"/>
      <c r="K43" s="506"/>
      <c r="L43" s="506"/>
      <c r="M43" s="506"/>
      <c r="N43" s="1080"/>
      <c r="O43" s="344"/>
      <c r="P43" s="344"/>
      <c r="Q43" s="344"/>
      <c r="R43" s="729"/>
      <c r="S43" s="729"/>
      <c r="T43" s="344"/>
    </row>
    <row r="44" spans="2:20" s="293" customFormat="1" ht="15.75">
      <c r="B44" s="313"/>
      <c r="C44" s="502"/>
      <c r="D44" s="506"/>
      <c r="E44" s="506"/>
      <c r="F44" s="506"/>
      <c r="G44" s="506"/>
      <c r="H44" s="506"/>
      <c r="I44" s="506"/>
      <c r="J44" s="506"/>
      <c r="K44" s="506"/>
      <c r="L44" s="506"/>
      <c r="M44" s="506"/>
      <c r="N44" s="1080"/>
      <c r="O44" s="344"/>
      <c r="P44" s="344"/>
      <c r="Q44" s="344"/>
      <c r="R44" s="729"/>
      <c r="S44" s="729"/>
      <c r="T44" s="344"/>
    </row>
    <row r="45" spans="2:20" s="293" customFormat="1" ht="15.75">
      <c r="B45" s="313"/>
      <c r="C45" s="502"/>
      <c r="D45" s="506"/>
      <c r="E45" s="506"/>
      <c r="F45" s="506"/>
      <c r="G45" s="506"/>
      <c r="H45" s="506"/>
      <c r="I45" s="506"/>
      <c r="J45" s="506"/>
      <c r="K45" s="506"/>
      <c r="L45" s="506"/>
      <c r="M45" s="506"/>
      <c r="N45" s="1080"/>
      <c r="O45" s="344"/>
      <c r="P45" s="344"/>
      <c r="Q45" s="344"/>
      <c r="R45" s="729"/>
      <c r="S45" s="729"/>
      <c r="T45" s="344"/>
    </row>
    <row r="46" spans="2:20" s="293" customFormat="1" ht="15.75">
      <c r="B46" s="313"/>
      <c r="C46" s="502"/>
      <c r="D46" s="506"/>
      <c r="E46" s="506"/>
      <c r="F46" s="506"/>
      <c r="G46" s="506"/>
      <c r="H46" s="506"/>
      <c r="I46" s="506"/>
      <c r="J46" s="506"/>
      <c r="K46" s="506"/>
      <c r="L46" s="506"/>
      <c r="M46" s="506"/>
      <c r="N46" s="1080"/>
      <c r="O46" s="344"/>
      <c r="P46" s="344"/>
      <c r="Q46" s="344"/>
      <c r="R46" s="344"/>
      <c r="S46" s="729"/>
      <c r="T46" s="344"/>
    </row>
    <row r="47" spans="2:20" s="293" customFormat="1" ht="15.75">
      <c r="B47" s="313"/>
      <c r="C47" s="502"/>
      <c r="D47" s="506"/>
      <c r="E47" s="506"/>
      <c r="F47" s="506"/>
      <c r="G47" s="506"/>
      <c r="H47" s="506"/>
      <c r="I47" s="506"/>
      <c r="J47" s="506"/>
      <c r="K47" s="506"/>
      <c r="L47" s="506"/>
      <c r="M47" s="506"/>
      <c r="N47" s="1080"/>
      <c r="O47" s="344"/>
      <c r="P47" s="344"/>
      <c r="Q47" s="344"/>
      <c r="R47" s="344"/>
      <c r="S47" s="729"/>
      <c r="T47" s="344"/>
    </row>
    <row r="48" spans="2:20" s="293" customFormat="1" ht="15.75">
      <c r="B48" s="313"/>
      <c r="C48" s="502"/>
      <c r="D48" s="506"/>
      <c r="E48" s="506"/>
      <c r="F48" s="506"/>
      <c r="G48" s="506"/>
      <c r="H48" s="506"/>
      <c r="I48" s="506"/>
      <c r="J48" s="506"/>
      <c r="K48" s="506"/>
      <c r="L48" s="506"/>
      <c r="M48" s="506"/>
      <c r="N48" s="1080"/>
      <c r="O48" s="344"/>
      <c r="P48" s="344"/>
      <c r="Q48" s="1760"/>
      <c r="R48" s="1760"/>
      <c r="S48" s="729"/>
      <c r="T48" s="344"/>
    </row>
    <row r="49" spans="1:20" s="293" customFormat="1" ht="15.75">
      <c r="B49" s="313"/>
      <c r="C49" s="502"/>
      <c r="D49" s="506"/>
      <c r="E49" s="506"/>
      <c r="F49" s="506"/>
      <c r="G49" s="506"/>
      <c r="H49" s="506"/>
      <c r="I49" s="506"/>
      <c r="J49" s="506"/>
      <c r="K49" s="506"/>
      <c r="L49" s="506"/>
      <c r="M49" s="506"/>
      <c r="N49" s="1080"/>
      <c r="O49" s="344"/>
      <c r="P49" s="344"/>
      <c r="Q49" s="344"/>
      <c r="R49" s="344"/>
      <c r="S49" s="729"/>
      <c r="T49" s="344"/>
    </row>
    <row r="50" spans="1:20" s="293" customFormat="1" ht="15.75">
      <c r="B50" s="313"/>
      <c r="C50" s="502"/>
      <c r="D50" s="506"/>
      <c r="E50" s="506"/>
      <c r="F50" s="506"/>
      <c r="G50" s="506"/>
      <c r="H50" s="506"/>
      <c r="I50" s="506"/>
      <c r="J50" s="506"/>
      <c r="K50" s="506"/>
      <c r="L50" s="506"/>
      <c r="M50" s="506"/>
      <c r="N50" s="1080"/>
      <c r="O50" s="344"/>
      <c r="P50" s="344"/>
      <c r="Q50" s="344"/>
      <c r="R50" s="344"/>
      <c r="S50" s="729"/>
      <c r="T50" s="344"/>
    </row>
    <row r="51" spans="1:20" s="293" customFormat="1" ht="15.75">
      <c r="B51" s="313"/>
      <c r="C51" s="502"/>
      <c r="D51" s="506"/>
      <c r="E51" s="506"/>
      <c r="F51" s="506"/>
      <c r="G51" s="506"/>
      <c r="H51" s="506"/>
      <c r="I51" s="506"/>
      <c r="J51" s="506"/>
      <c r="K51" s="506"/>
      <c r="L51" s="506"/>
      <c r="M51" s="506"/>
      <c r="N51" s="1080"/>
      <c r="O51" s="344"/>
      <c r="P51" s="344"/>
      <c r="Q51" s="344"/>
      <c r="R51" s="344"/>
      <c r="S51" s="729"/>
      <c r="T51" s="344"/>
    </row>
    <row r="52" spans="1:20" s="293" customFormat="1" ht="15.75">
      <c r="B52" s="313"/>
      <c r="C52" s="502"/>
      <c r="D52" s="506"/>
      <c r="E52" s="506"/>
      <c r="F52" s="506"/>
      <c r="G52" s="506"/>
      <c r="H52" s="506"/>
      <c r="I52" s="506"/>
      <c r="J52" s="506"/>
      <c r="K52" s="506"/>
      <c r="L52" s="506"/>
      <c r="M52" s="506"/>
      <c r="N52" s="1080"/>
      <c r="S52" s="723"/>
    </row>
    <row r="53" spans="1:20" s="293" customFormat="1" ht="15.75">
      <c r="B53" s="313"/>
      <c r="C53" s="502"/>
      <c r="D53" s="506"/>
      <c r="E53" s="506"/>
      <c r="F53" s="506"/>
      <c r="G53" s="506"/>
      <c r="H53" s="506"/>
      <c r="I53" s="506"/>
      <c r="J53" s="506"/>
      <c r="K53" s="506"/>
      <c r="L53" s="506"/>
      <c r="M53" s="506"/>
      <c r="N53" s="1080"/>
      <c r="S53" s="723"/>
    </row>
    <row r="54" spans="1:20" s="293" customFormat="1" ht="15.75">
      <c r="B54" s="313"/>
      <c r="C54" s="502"/>
      <c r="D54" s="506"/>
      <c r="E54" s="506"/>
      <c r="F54" s="506"/>
      <c r="G54" s="506"/>
      <c r="H54" s="506"/>
      <c r="I54" s="506"/>
      <c r="J54" s="506"/>
      <c r="K54" s="506"/>
      <c r="L54" s="506"/>
      <c r="M54" s="506"/>
      <c r="N54" s="1080"/>
      <c r="S54" s="723"/>
    </row>
    <row r="55" spans="1:20" s="293" customFormat="1" ht="15.75">
      <c r="B55" s="313"/>
      <c r="C55" s="502"/>
      <c r="D55" s="506"/>
      <c r="E55" s="506"/>
      <c r="F55" s="506"/>
      <c r="G55" s="506"/>
      <c r="H55" s="506"/>
      <c r="I55" s="506"/>
      <c r="J55" s="506"/>
      <c r="K55" s="506"/>
      <c r="L55" s="506"/>
      <c r="M55" s="506"/>
      <c r="N55" s="1080"/>
      <c r="S55" s="723"/>
    </row>
    <row r="56" spans="1:20" s="293" customFormat="1" ht="15.75">
      <c r="B56" s="313"/>
      <c r="C56" s="502"/>
      <c r="D56" s="506"/>
      <c r="E56" s="506"/>
      <c r="F56" s="506"/>
      <c r="G56" s="506"/>
      <c r="H56" s="506"/>
      <c r="I56" s="506"/>
      <c r="J56" s="506"/>
      <c r="K56" s="506"/>
      <c r="L56" s="506"/>
      <c r="M56" s="506"/>
      <c r="N56" s="1080"/>
      <c r="S56" s="723"/>
    </row>
    <row r="57" spans="1:20" s="344" customFormat="1" ht="15.75">
      <c r="B57" s="313"/>
      <c r="C57" s="502"/>
      <c r="D57" s="506"/>
      <c r="E57" s="506"/>
      <c r="F57" s="506"/>
      <c r="G57" s="506"/>
      <c r="H57" s="506"/>
      <c r="I57" s="506"/>
      <c r="J57" s="506"/>
      <c r="K57" s="506"/>
      <c r="L57" s="506"/>
      <c r="M57" s="506"/>
      <c r="N57" s="1080"/>
      <c r="S57" s="729"/>
    </row>
    <row r="58" spans="1:20" s="293" customFormat="1" ht="15.75">
      <c r="B58" s="313"/>
      <c r="C58" s="502"/>
      <c r="D58" s="506"/>
      <c r="E58" s="506"/>
      <c r="F58" s="506"/>
      <c r="G58" s="506"/>
      <c r="H58" s="506"/>
      <c r="I58" s="506"/>
      <c r="J58" s="506"/>
      <c r="K58" s="506"/>
      <c r="L58" s="506"/>
      <c r="M58" s="506"/>
      <c r="N58" s="1080"/>
      <c r="S58" s="723"/>
    </row>
    <row r="59" spans="1:20" s="293" customFormat="1" ht="15.75">
      <c r="B59" s="313"/>
      <c r="C59" s="502"/>
      <c r="D59" s="506"/>
      <c r="E59" s="506"/>
      <c r="F59" s="506"/>
      <c r="G59" s="506"/>
      <c r="H59" s="506"/>
      <c r="I59" s="506"/>
      <c r="J59" s="506"/>
      <c r="K59" s="506"/>
      <c r="L59" s="506"/>
      <c r="M59" s="506"/>
      <c r="N59" s="1080"/>
      <c r="S59" s="723"/>
    </row>
    <row r="60" spans="1:20" s="293" customFormat="1" ht="15.75">
      <c r="B60" s="313"/>
      <c r="C60" s="502"/>
      <c r="D60" s="506"/>
      <c r="E60" s="506"/>
      <c r="F60" s="506"/>
      <c r="G60" s="506"/>
      <c r="H60" s="506"/>
      <c r="I60" s="506"/>
      <c r="J60" s="506"/>
      <c r="K60" s="506"/>
      <c r="L60" s="506"/>
      <c r="M60" s="506"/>
      <c r="N60" s="1080"/>
      <c r="S60" s="723"/>
    </row>
    <row r="61" spans="1:20" s="293" customFormat="1" ht="15.75">
      <c r="B61" s="313"/>
      <c r="C61" s="502"/>
      <c r="D61" s="506"/>
      <c r="E61" s="506"/>
      <c r="F61" s="506"/>
      <c r="G61" s="506"/>
      <c r="H61" s="506"/>
      <c r="I61" s="506"/>
      <c r="J61" s="506"/>
      <c r="K61" s="506"/>
      <c r="L61" s="506"/>
      <c r="M61" s="506"/>
      <c r="N61" s="1080"/>
      <c r="S61" s="723"/>
    </row>
    <row r="62" spans="1:20" s="293" customFormat="1" ht="15.75">
      <c r="B62" s="313"/>
      <c r="C62" s="502"/>
      <c r="D62" s="506"/>
      <c r="E62" s="506"/>
      <c r="F62" s="506"/>
      <c r="G62" s="506"/>
      <c r="H62" s="506"/>
      <c r="I62" s="506"/>
      <c r="J62" s="506"/>
      <c r="K62" s="506"/>
      <c r="L62" s="506"/>
      <c r="M62" s="506"/>
      <c r="N62" s="1080"/>
      <c r="S62" s="723"/>
    </row>
    <row r="63" spans="1:20" ht="15.75">
      <c r="A63" s="293"/>
      <c r="B63" s="313"/>
      <c r="C63" s="502"/>
      <c r="D63" s="506"/>
      <c r="E63" s="506"/>
      <c r="F63" s="506"/>
      <c r="G63" s="506"/>
      <c r="H63" s="506"/>
      <c r="I63" s="506"/>
      <c r="J63" s="506"/>
      <c r="K63" s="506"/>
      <c r="L63" s="506"/>
      <c r="M63" s="506"/>
      <c r="N63" s="1080"/>
    </row>
    <row r="64" spans="1:20" ht="15.75">
      <c r="B64" s="313"/>
      <c r="C64" s="507"/>
      <c r="D64" s="507"/>
      <c r="E64" s="507"/>
      <c r="F64" s="507"/>
      <c r="G64" s="507"/>
      <c r="H64" s="507"/>
      <c r="I64" s="507"/>
      <c r="J64" s="507"/>
      <c r="K64" s="507"/>
      <c r="L64" s="507"/>
      <c r="M64" s="507"/>
      <c r="N64" s="1080"/>
    </row>
    <row r="65" spans="1:19" ht="15.75">
      <c r="B65" s="313"/>
      <c r="C65" s="508"/>
      <c r="D65" s="503"/>
      <c r="E65" s="503"/>
      <c r="F65" s="503"/>
      <c r="G65" s="502"/>
      <c r="H65" s="502"/>
      <c r="I65" s="503"/>
      <c r="J65" s="503"/>
      <c r="K65" s="503"/>
      <c r="L65" s="509"/>
      <c r="M65" s="503"/>
      <c r="N65" s="1080"/>
    </row>
    <row r="66" spans="1:19" ht="15.75">
      <c r="B66" s="298"/>
      <c r="C66" s="978"/>
      <c r="D66" s="1080"/>
      <c r="E66" s="1080"/>
      <c r="F66" s="1080"/>
      <c r="G66" s="1080"/>
      <c r="H66" s="1080"/>
      <c r="I66" s="1080"/>
      <c r="J66" s="1080"/>
      <c r="K66" s="1080"/>
      <c r="L66" s="1080"/>
      <c r="M66" s="1080"/>
      <c r="N66" s="1080"/>
    </row>
    <row r="67" spans="1:19" s="293" customFormat="1" ht="15.75">
      <c r="A67" s="283"/>
      <c r="B67" s="298"/>
      <c r="C67" s="978"/>
      <c r="D67" s="978"/>
      <c r="E67" s="978"/>
      <c r="F67" s="978"/>
      <c r="G67" s="978"/>
      <c r="H67" s="978"/>
      <c r="I67" s="978"/>
      <c r="J67" s="978"/>
      <c r="K67" s="978"/>
      <c r="L67" s="978"/>
      <c r="M67" s="978"/>
      <c r="N67" s="978"/>
      <c r="S67" s="723"/>
    </row>
    <row r="68" spans="1:19" ht="15.75">
      <c r="B68" s="316"/>
      <c r="C68" s="514"/>
      <c r="D68" s="514"/>
      <c r="E68" s="514"/>
      <c r="F68" s="514"/>
      <c r="G68" s="514"/>
      <c r="H68" s="522"/>
      <c r="I68" s="518"/>
      <c r="J68" s="518"/>
      <c r="K68" s="518"/>
      <c r="L68" s="515"/>
      <c r="M68" s="514"/>
      <c r="N68" s="518"/>
    </row>
    <row r="69" spans="1:19" ht="15.75">
      <c r="A69" s="621"/>
      <c r="B69" s="299"/>
      <c r="C69" s="498"/>
      <c r="D69" s="504"/>
      <c r="E69" s="504"/>
      <c r="F69" s="504"/>
      <c r="G69" s="504"/>
      <c r="H69" s="504"/>
      <c r="I69" s="504"/>
      <c r="J69" s="504"/>
      <c r="K69" s="504"/>
      <c r="L69" s="505"/>
      <c r="M69" s="504"/>
      <c r="N69" s="981"/>
    </row>
    <row r="70" spans="1:19" ht="15.75">
      <c r="B70" s="298"/>
      <c r="C70" s="504"/>
      <c r="D70" s="504"/>
      <c r="E70" s="504"/>
      <c r="F70" s="504"/>
      <c r="G70" s="504"/>
      <c r="H70" s="504"/>
      <c r="I70" s="504"/>
      <c r="J70" s="504"/>
      <c r="K70" s="504"/>
      <c r="L70" s="505"/>
      <c r="M70" s="504"/>
      <c r="N70" s="981"/>
    </row>
    <row r="71" spans="1:19" ht="15.75">
      <c r="B71" s="298"/>
      <c r="C71" s="504"/>
      <c r="D71" s="504"/>
      <c r="E71" s="504"/>
      <c r="F71" s="504"/>
      <c r="G71" s="504"/>
      <c r="H71" s="504"/>
      <c r="I71" s="504"/>
      <c r="J71" s="504"/>
      <c r="K71" s="504"/>
      <c r="L71" s="505"/>
      <c r="M71" s="504"/>
      <c r="N71" s="981"/>
    </row>
    <row r="72" spans="1:19" ht="15.75">
      <c r="B72" s="298"/>
      <c r="C72" s="504"/>
      <c r="D72" s="504"/>
      <c r="E72" s="504"/>
      <c r="F72" s="504"/>
      <c r="G72" s="504"/>
      <c r="H72" s="504"/>
      <c r="I72" s="504"/>
      <c r="J72" s="504"/>
      <c r="K72" s="504"/>
      <c r="L72" s="505"/>
      <c r="M72" s="504"/>
      <c r="N72" s="981"/>
    </row>
    <row r="73" spans="1:19" ht="15.75">
      <c r="B73" s="298"/>
      <c r="C73" s="504"/>
      <c r="D73" s="504"/>
      <c r="E73" s="504"/>
      <c r="F73" s="504"/>
      <c r="G73" s="504"/>
      <c r="H73" s="504"/>
      <c r="I73" s="504"/>
      <c r="J73" s="504"/>
      <c r="K73" s="504"/>
      <c r="L73" s="505"/>
      <c r="M73" s="504"/>
      <c r="N73" s="981"/>
    </row>
    <row r="74" spans="1:19" ht="15.75">
      <c r="B74" s="298"/>
      <c r="C74" s="504"/>
      <c r="D74" s="504"/>
      <c r="E74" s="504"/>
      <c r="F74" s="504"/>
      <c r="G74" s="504"/>
      <c r="H74" s="504"/>
      <c r="I74" s="504"/>
      <c r="J74" s="504"/>
      <c r="K74" s="504"/>
      <c r="L74" s="505"/>
      <c r="M74" s="504"/>
      <c r="N74" s="981"/>
    </row>
    <row r="75" spans="1:19" ht="15.75">
      <c r="B75" s="298"/>
      <c r="C75" s="504"/>
      <c r="D75" s="504"/>
      <c r="E75" s="504"/>
      <c r="F75" s="504"/>
      <c r="G75" s="504"/>
      <c r="H75" s="504"/>
      <c r="I75" s="504"/>
      <c r="J75" s="504"/>
      <c r="K75" s="504"/>
      <c r="L75" s="505"/>
      <c r="M75" s="504"/>
      <c r="N75" s="981"/>
    </row>
    <row r="76" spans="1:19" ht="15.75">
      <c r="B76" s="298"/>
      <c r="C76" s="504"/>
      <c r="D76" s="504"/>
      <c r="E76" s="504"/>
      <c r="F76" s="504"/>
      <c r="G76" s="504"/>
      <c r="H76" s="504"/>
      <c r="I76" s="504"/>
      <c r="J76" s="504"/>
      <c r="K76" s="504"/>
      <c r="L76" s="505"/>
      <c r="M76" s="504"/>
      <c r="N76" s="981"/>
    </row>
    <row r="77" spans="1:19" ht="15.75">
      <c r="B77" s="298"/>
      <c r="C77" s="504"/>
      <c r="D77" s="504"/>
      <c r="E77" s="504"/>
      <c r="F77" s="504"/>
      <c r="G77" s="504"/>
      <c r="H77" s="504"/>
      <c r="I77" s="504"/>
      <c r="J77" s="504"/>
      <c r="K77" s="504"/>
      <c r="L77" s="505"/>
      <c r="M77" s="504"/>
      <c r="N77" s="981"/>
    </row>
    <row r="78" spans="1:19" ht="15.75">
      <c r="B78" s="298"/>
      <c r="C78" s="504"/>
      <c r="D78" s="504"/>
      <c r="E78" s="504"/>
      <c r="F78" s="504"/>
      <c r="G78" s="504"/>
      <c r="H78" s="504"/>
      <c r="I78" s="504"/>
      <c r="J78" s="504"/>
      <c r="K78" s="504"/>
      <c r="L78" s="505"/>
      <c r="M78" s="504"/>
      <c r="N78" s="981"/>
    </row>
    <row r="79" spans="1:19" ht="15.75">
      <c r="B79" s="298"/>
      <c r="C79" s="504"/>
      <c r="D79" s="504"/>
      <c r="E79" s="504"/>
      <c r="F79" s="504"/>
      <c r="G79" s="504"/>
      <c r="H79" s="504"/>
      <c r="I79" s="504"/>
      <c r="J79" s="504"/>
      <c r="K79" s="504"/>
      <c r="L79" s="505"/>
      <c r="M79" s="504"/>
      <c r="N79" s="981"/>
    </row>
    <row r="80" spans="1:19"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row r="120" spans="2:14" ht="15.75">
      <c r="B120" s="298"/>
      <c r="C120" s="504"/>
      <c r="D120" s="504"/>
      <c r="E120" s="504"/>
      <c r="F120" s="504"/>
      <c r="G120" s="504"/>
      <c r="H120" s="504"/>
      <c r="I120" s="504"/>
      <c r="J120" s="504"/>
      <c r="K120" s="504"/>
      <c r="L120" s="505"/>
      <c r="M120" s="504"/>
      <c r="N120" s="981"/>
    </row>
  </sheetData>
  <mergeCells count="3">
    <mergeCell ref="B1:N1"/>
    <mergeCell ref="B4:N4"/>
    <mergeCell ref="B3:N3"/>
  </mergeCells>
  <printOptions horizontalCentered="1"/>
  <pageMargins left="0.5" right="0.5" top="0.5" bottom="0.5" header="0.5" footer="0.5"/>
  <pageSetup scale="74"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8" tint="0.39997558519241921"/>
  </sheetPr>
  <dimension ref="A1:W122"/>
  <sheetViews>
    <sheetView showGridLines="0" showRuler="0" topLeftCell="B3" zoomScaleNormal="100" zoomScaleSheetLayoutView="130" workbookViewId="0">
      <selection activeCell="B63" sqref="A63:XFD75"/>
    </sheetView>
  </sheetViews>
  <sheetFormatPr defaultColWidth="6.85546875" defaultRowHeight="12.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17.28515625" style="510" hidden="1" customWidth="1"/>
    <col min="9" max="9" width="3" style="510" hidden="1" customWidth="1"/>
    <col min="10" max="10" width="1.85546875" style="510" hidden="1" customWidth="1"/>
    <col min="11" max="11" width="19.5703125" style="510" hidden="1" customWidth="1"/>
    <col min="12" max="12" width="15.7109375" style="511" customWidth="1"/>
    <col min="13" max="13" width="3" style="510" hidden="1" customWidth="1"/>
    <col min="14" max="14" width="15.7109375" style="1115" customWidth="1"/>
    <col min="15" max="15" width="21.140625" style="283" customWidth="1"/>
    <col min="16" max="16" width="13.5703125" style="732" bestFit="1" customWidth="1"/>
    <col min="17" max="18" width="7.5703125" style="283" bestFit="1" customWidth="1"/>
    <col min="19" max="16384" width="6.85546875" style="283"/>
  </cols>
  <sheetData>
    <row r="1" spans="1:18" ht="23.45" hidden="1" customHeight="1">
      <c r="B1" s="1706" t="s">
        <v>373</v>
      </c>
      <c r="C1" s="1706"/>
      <c r="D1" s="1706"/>
      <c r="E1" s="1706"/>
      <c r="F1" s="1706"/>
      <c r="G1" s="1706"/>
      <c r="H1" s="1706"/>
      <c r="I1" s="1706"/>
      <c r="J1" s="1706"/>
      <c r="K1" s="1706"/>
      <c r="L1" s="1706"/>
      <c r="M1" s="1706"/>
      <c r="N1" s="1710"/>
    </row>
    <row r="2" spans="1:18" ht="18.75" hidden="1">
      <c r="B2" s="284"/>
      <c r="C2" s="493"/>
      <c r="D2" s="493"/>
      <c r="E2" s="493"/>
      <c r="F2" s="493"/>
      <c r="G2" s="493"/>
      <c r="H2" s="493"/>
      <c r="I2" s="493"/>
      <c r="J2" s="493"/>
      <c r="K2" s="493"/>
      <c r="L2" s="493"/>
      <c r="M2" s="493"/>
      <c r="N2" s="1022"/>
    </row>
    <row r="3" spans="1:18" ht="35.450000000000003" customHeight="1">
      <c r="B3" s="1704" t="s">
        <v>852</v>
      </c>
      <c r="C3" s="1704"/>
      <c r="D3" s="1704"/>
      <c r="E3" s="1704"/>
      <c r="F3" s="1704"/>
      <c r="G3" s="1704"/>
      <c r="H3" s="1704"/>
      <c r="I3" s="1704"/>
      <c r="J3" s="1704"/>
      <c r="K3" s="1704"/>
      <c r="L3" s="1704"/>
      <c r="M3" s="1704"/>
      <c r="N3" s="1704"/>
    </row>
    <row r="4" spans="1:18" ht="32.25" customHeight="1" thickBot="1">
      <c r="B4" s="1711"/>
      <c r="C4" s="1711"/>
      <c r="D4" s="1711"/>
      <c r="E4" s="1711"/>
      <c r="F4" s="1711"/>
      <c r="G4" s="1711"/>
      <c r="H4" s="1711"/>
      <c r="I4" s="1711"/>
      <c r="J4" s="1711"/>
      <c r="K4" s="1711"/>
      <c r="L4" s="1711"/>
      <c r="M4" s="1711"/>
      <c r="N4" s="1711"/>
    </row>
    <row r="5" spans="1:18" s="1125" customFormat="1" ht="52.9" customHeight="1" thickBot="1">
      <c r="B5" s="1126"/>
      <c r="C5" s="1127" t="s">
        <v>981</v>
      </c>
      <c r="D5" s="1127"/>
      <c r="E5" s="1128" t="s">
        <v>979</v>
      </c>
      <c r="F5" s="1127"/>
      <c r="G5" s="1128" t="s">
        <v>980</v>
      </c>
      <c r="H5" s="1128" t="s">
        <v>407</v>
      </c>
      <c r="I5" s="1127"/>
      <c r="J5" s="1127"/>
      <c r="K5" s="1128" t="s">
        <v>593</v>
      </c>
      <c r="L5" s="1141" t="s">
        <v>989</v>
      </c>
      <c r="M5" s="1127"/>
      <c r="N5" s="1129" t="s">
        <v>985</v>
      </c>
      <c r="P5" s="1134"/>
    </row>
    <row r="6" spans="1:18">
      <c r="B6" s="288"/>
      <c r="C6" s="495"/>
      <c r="D6" s="496"/>
      <c r="E6" s="496"/>
      <c r="F6" s="496"/>
      <c r="G6" s="495"/>
      <c r="H6" s="495"/>
      <c r="I6" s="496"/>
      <c r="J6" s="496"/>
      <c r="K6" s="495"/>
      <c r="L6" s="497"/>
      <c r="M6" s="496"/>
    </row>
    <row r="7" spans="1:18" ht="15.75">
      <c r="B7" s="299" t="s">
        <v>2</v>
      </c>
      <c r="C7" s="498"/>
      <c r="D7" s="499"/>
      <c r="E7" s="499"/>
      <c r="F7" s="499"/>
      <c r="G7" s="499"/>
      <c r="H7" s="500"/>
      <c r="I7" s="499"/>
      <c r="J7" s="499"/>
      <c r="K7" s="500"/>
      <c r="L7" s="501"/>
      <c r="M7" s="499"/>
      <c r="N7" s="981"/>
    </row>
    <row r="8" spans="1:18" ht="15.75">
      <c r="A8" s="321" t="s">
        <v>336</v>
      </c>
      <c r="B8" s="298" t="s">
        <v>6</v>
      </c>
      <c r="C8" s="1268">
        <v>12418533.140000001</v>
      </c>
      <c r="D8" s="1243"/>
      <c r="E8" s="1268">
        <v>19248683</v>
      </c>
      <c r="F8" s="1268"/>
      <c r="G8" s="1268">
        <v>18704867</v>
      </c>
      <c r="H8" s="1268">
        <v>15563960</v>
      </c>
      <c r="I8" s="1268"/>
      <c r="J8" s="1268"/>
      <c r="K8" s="1268">
        <v>17101447</v>
      </c>
      <c r="L8" s="1268">
        <v>21301291</v>
      </c>
      <c r="M8" s="1268"/>
      <c r="N8" s="1268">
        <v>2052608</v>
      </c>
      <c r="O8" s="336" t="s">
        <v>11</v>
      </c>
      <c r="P8" s="972">
        <v>955848</v>
      </c>
      <c r="Q8" s="966">
        <v>3.9E-2</v>
      </c>
    </row>
    <row r="9" spans="1:18" ht="16.5" thickBot="1">
      <c r="A9" s="321" t="s">
        <v>338</v>
      </c>
      <c r="B9" s="305" t="s">
        <v>8</v>
      </c>
      <c r="C9" s="514">
        <v>206084.02</v>
      </c>
      <c r="D9" s="514"/>
      <c r="E9" s="514">
        <v>651622</v>
      </c>
      <c r="F9" s="514"/>
      <c r="G9" s="514">
        <v>837463</v>
      </c>
      <c r="H9" s="515">
        <v>15563960</v>
      </c>
      <c r="I9" s="514"/>
      <c r="J9" s="514"/>
      <c r="K9" s="515">
        <v>86198</v>
      </c>
      <c r="L9" s="514">
        <v>86198</v>
      </c>
      <c r="M9" s="514"/>
      <c r="N9" s="527">
        <v>-565424</v>
      </c>
      <c r="O9" s="336" t="s">
        <v>12</v>
      </c>
      <c r="P9" s="972">
        <v>358445</v>
      </c>
      <c r="Q9" s="966">
        <v>1.4999999999999999E-2</v>
      </c>
    </row>
    <row r="10" spans="1:18" ht="16.5" thickBot="1">
      <c r="A10" s="1098" t="s">
        <v>349</v>
      </c>
      <c r="B10" s="305" t="s">
        <v>28</v>
      </c>
      <c r="C10" s="1239">
        <v>12216</v>
      </c>
      <c r="D10" s="518"/>
      <c r="E10" s="1239">
        <v>0</v>
      </c>
      <c r="F10" s="514"/>
      <c r="G10" s="518">
        <v>0</v>
      </c>
      <c r="H10" s="515">
        <v>15563961</v>
      </c>
      <c r="I10" s="514"/>
      <c r="J10" s="514"/>
      <c r="K10" s="515">
        <v>0</v>
      </c>
      <c r="L10" s="518">
        <v>0</v>
      </c>
      <c r="M10" s="514"/>
      <c r="N10" s="527">
        <v>0</v>
      </c>
      <c r="O10" s="336" t="s">
        <v>801</v>
      </c>
      <c r="P10" s="972">
        <v>419463</v>
      </c>
      <c r="Q10" s="966">
        <v>1.7000000000000001E-2</v>
      </c>
    </row>
    <row r="11" spans="1:18" s="625" customFormat="1" ht="15.75">
      <c r="A11" s="283"/>
      <c r="B11" s="298" t="s">
        <v>319</v>
      </c>
      <c r="C11" s="528">
        <v>10303203.649999999</v>
      </c>
      <c r="D11" s="522"/>
      <c r="E11" s="528">
        <v>1655347.8999999985</v>
      </c>
      <c r="F11" s="528" t="s">
        <v>58</v>
      </c>
      <c r="G11" s="528">
        <v>192021.19000000134</v>
      </c>
      <c r="H11" s="522">
        <v>192021.19000000134</v>
      </c>
      <c r="I11" s="522"/>
      <c r="J11" s="522"/>
      <c r="K11" s="518">
        <v>0</v>
      </c>
      <c r="L11" s="528">
        <v>0</v>
      </c>
      <c r="M11" s="515"/>
      <c r="N11" s="527">
        <v>-1655347.8999999985</v>
      </c>
      <c r="O11" s="336" t="s">
        <v>14</v>
      </c>
      <c r="P11" s="973">
        <v>18910002</v>
      </c>
      <c r="Q11" s="966">
        <v>0.77100000000000002</v>
      </c>
    </row>
    <row r="12" spans="1:18" s="293" customFormat="1" ht="15.75">
      <c r="A12" s="625"/>
      <c r="B12" s="622" t="s">
        <v>9</v>
      </c>
      <c r="C12" s="523">
        <v>22940036.809999999</v>
      </c>
      <c r="D12" s="523"/>
      <c r="E12" s="523">
        <v>21555652.899999999</v>
      </c>
      <c r="F12" s="523"/>
      <c r="G12" s="523">
        <v>19734351.190000001</v>
      </c>
      <c r="H12" s="523">
        <v>46883902.189999998</v>
      </c>
      <c r="I12" s="523"/>
      <c r="J12" s="523"/>
      <c r="K12" s="523">
        <v>17187645</v>
      </c>
      <c r="L12" s="523">
        <v>21387489</v>
      </c>
      <c r="M12" s="523"/>
      <c r="N12" s="1026">
        <v>-168163.89999999851</v>
      </c>
      <c r="O12" s="336" t="s">
        <v>38</v>
      </c>
      <c r="P12" s="973">
        <v>78026</v>
      </c>
      <c r="Q12" s="966">
        <v>3.0000000000000001E-3</v>
      </c>
    </row>
    <row r="13" spans="1:18" s="293" customFormat="1" ht="15.75">
      <c r="B13" s="310"/>
      <c r="C13" s="524"/>
      <c r="D13" s="515"/>
      <c r="E13" s="515"/>
      <c r="F13" s="515"/>
      <c r="G13" s="515"/>
      <c r="H13" s="515"/>
      <c r="I13" s="515"/>
      <c r="J13" s="515"/>
      <c r="K13" s="515"/>
      <c r="L13" s="515"/>
      <c r="M13" s="515"/>
      <c r="N13" s="522"/>
      <c r="O13" s="346" t="s">
        <v>23</v>
      </c>
      <c r="P13" s="973">
        <v>3793595.8099999987</v>
      </c>
      <c r="Q13" s="966">
        <v>0.155</v>
      </c>
    </row>
    <row r="14" spans="1:18" s="293" customFormat="1" ht="16.5" thickBot="1">
      <c r="B14" s="313" t="s">
        <v>320</v>
      </c>
      <c r="C14" s="623"/>
      <c r="D14" s="515"/>
      <c r="E14" s="515"/>
      <c r="F14" s="515"/>
      <c r="G14" s="515"/>
      <c r="H14" s="515"/>
      <c r="I14" s="515"/>
      <c r="J14" s="515"/>
      <c r="K14" s="515"/>
      <c r="L14" s="515"/>
      <c r="M14" s="515"/>
      <c r="N14" s="522"/>
      <c r="O14" s="350" t="s">
        <v>25</v>
      </c>
      <c r="P14" s="974">
        <v>24515379.809999999</v>
      </c>
      <c r="Q14" s="668">
        <v>1</v>
      </c>
    </row>
    <row r="15" spans="1:18" s="293" customFormat="1" ht="16.5" thickTop="1">
      <c r="B15" s="311" t="s">
        <v>327</v>
      </c>
      <c r="C15" s="1035">
        <v>3319912</v>
      </c>
      <c r="D15" s="515"/>
      <c r="E15" s="1035">
        <v>1664564.1000000015</v>
      </c>
      <c r="F15" s="515"/>
      <c r="G15" s="1035">
        <v>3127890.8099999987</v>
      </c>
      <c r="H15" s="1035">
        <v>3127890.8099999987</v>
      </c>
      <c r="I15" s="1035"/>
      <c r="J15" s="1035"/>
      <c r="K15" s="1035">
        <v>3307696</v>
      </c>
      <c r="L15" s="1035">
        <v>3127890.8099999987</v>
      </c>
      <c r="M15" s="515"/>
      <c r="N15" s="528">
        <v>1463326.7099999972</v>
      </c>
      <c r="Q15" s="646"/>
    </row>
    <row r="16" spans="1:18" s="293" customFormat="1" ht="15.75">
      <c r="B16" s="622" t="s">
        <v>20</v>
      </c>
      <c r="C16" s="1030">
        <v>3319912</v>
      </c>
      <c r="D16" s="523"/>
      <c r="E16" s="1030">
        <v>1664564.1000000015</v>
      </c>
      <c r="F16" s="523"/>
      <c r="G16" s="1030">
        <v>3127890.8099999987</v>
      </c>
      <c r="H16" s="1030">
        <v>3127890.8099999987</v>
      </c>
      <c r="I16" s="1030"/>
      <c r="J16" s="1030"/>
      <c r="K16" s="1030">
        <v>3307696</v>
      </c>
      <c r="L16" s="1030">
        <v>3127890.8099999987</v>
      </c>
      <c r="M16" s="523"/>
      <c r="N16" s="1026">
        <v>1463326.7099999972</v>
      </c>
      <c r="O16" s="341"/>
      <c r="P16" s="973"/>
      <c r="Q16" s="608"/>
      <c r="R16" s="344"/>
    </row>
    <row r="17" spans="1:23" s="293" customFormat="1" ht="16.5" thickBot="1">
      <c r="B17" s="616" t="s">
        <v>21</v>
      </c>
      <c r="C17" s="617">
        <v>26259948.809999999</v>
      </c>
      <c r="D17" s="617"/>
      <c r="E17" s="617">
        <v>23220217</v>
      </c>
      <c r="F17" s="617"/>
      <c r="G17" s="617">
        <v>22862242</v>
      </c>
      <c r="H17" s="617">
        <v>50011793</v>
      </c>
      <c r="I17" s="617"/>
      <c r="J17" s="617"/>
      <c r="K17" s="617">
        <v>20495341</v>
      </c>
      <c r="L17" s="617">
        <v>24515379.809999999</v>
      </c>
      <c r="M17" s="617"/>
      <c r="N17" s="1028">
        <v>1295162.8099999987</v>
      </c>
      <c r="O17" s="341" t="s">
        <v>6</v>
      </c>
      <c r="P17" s="973">
        <v>21301291</v>
      </c>
      <c r="Q17" s="966">
        <v>0.86799999999999999</v>
      </c>
      <c r="R17" s="344"/>
    </row>
    <row r="18" spans="1:23" s="293" customFormat="1" ht="16.5" thickTop="1">
      <c r="B18" s="316"/>
      <c r="C18" s="619"/>
      <c r="D18" s="515"/>
      <c r="E18" s="515"/>
      <c r="F18" s="515"/>
      <c r="G18" s="515"/>
      <c r="H18" s="515"/>
      <c r="I18" s="515"/>
      <c r="J18" s="515"/>
      <c r="K18" s="515"/>
      <c r="L18" s="515"/>
      <c r="M18" s="515"/>
      <c r="N18" s="522"/>
      <c r="O18" s="341" t="s">
        <v>8</v>
      </c>
      <c r="P18" s="973">
        <v>86198</v>
      </c>
      <c r="Q18" s="966">
        <v>4.0000000000000001E-3</v>
      </c>
    </row>
    <row r="19" spans="1:23" s="293" customFormat="1" ht="15.75">
      <c r="B19" s="349" t="s">
        <v>10</v>
      </c>
      <c r="C19" s="620"/>
      <c r="D19" s="514"/>
      <c r="E19" s="514"/>
      <c r="F19" s="514"/>
      <c r="G19" s="515"/>
      <c r="H19" s="515"/>
      <c r="I19" s="514"/>
      <c r="J19" s="514"/>
      <c r="K19" s="515"/>
      <c r="L19" s="514"/>
      <c r="M19" s="514"/>
      <c r="N19" s="518"/>
      <c r="O19" s="341" t="s">
        <v>28</v>
      </c>
      <c r="P19" s="973">
        <v>0</v>
      </c>
      <c r="Q19" s="966">
        <v>0</v>
      </c>
    </row>
    <row r="20" spans="1:23" s="293" customFormat="1" ht="16.5" thickBot="1">
      <c r="A20" s="621" t="s">
        <v>340</v>
      </c>
      <c r="B20" s="316" t="s">
        <v>11</v>
      </c>
      <c r="C20" s="514">
        <v>904074.28</v>
      </c>
      <c r="D20" s="514"/>
      <c r="E20" s="514">
        <v>941214</v>
      </c>
      <c r="F20" s="514"/>
      <c r="G20" s="514">
        <v>824231.2</v>
      </c>
      <c r="H20" s="515">
        <v>15563960</v>
      </c>
      <c r="I20" s="514"/>
      <c r="J20" s="514"/>
      <c r="K20" s="515">
        <v>955848</v>
      </c>
      <c r="L20" s="514">
        <v>955848</v>
      </c>
      <c r="M20" s="514"/>
      <c r="N20" s="527">
        <v>14634</v>
      </c>
      <c r="O20" s="341" t="s">
        <v>319</v>
      </c>
      <c r="P20" s="973">
        <v>0</v>
      </c>
      <c r="Q20" s="966">
        <v>0</v>
      </c>
    </row>
    <row r="21" spans="1:23" s="293" customFormat="1" ht="16.5" thickBot="1">
      <c r="A21" s="1529" t="s">
        <v>341</v>
      </c>
      <c r="B21" s="316" t="s">
        <v>12</v>
      </c>
      <c r="C21" s="1239">
        <v>369587.06</v>
      </c>
      <c r="D21" s="1239"/>
      <c r="E21" s="1239">
        <v>368201</v>
      </c>
      <c r="F21" s="1239"/>
      <c r="G21" s="1239">
        <v>322100.76</v>
      </c>
      <c r="H21" s="528">
        <v>15563960</v>
      </c>
      <c r="I21" s="1239"/>
      <c r="J21" s="1239"/>
      <c r="K21" s="528">
        <v>358445</v>
      </c>
      <c r="L21" s="1239">
        <v>358445</v>
      </c>
      <c r="M21" s="1239"/>
      <c r="N21" s="1239">
        <v>-9756</v>
      </c>
      <c r="O21" s="293" t="s">
        <v>19</v>
      </c>
      <c r="P21" s="733">
        <v>3127890.8099999987</v>
      </c>
      <c r="Q21" s="293">
        <v>0.128</v>
      </c>
    </row>
    <row r="22" spans="1:23" s="293" customFormat="1" ht="16.5" thickBot="1">
      <c r="A22" s="1529" t="s">
        <v>342</v>
      </c>
      <c r="B22" s="316" t="s">
        <v>801</v>
      </c>
      <c r="C22" s="1239">
        <v>257888.5</v>
      </c>
      <c r="D22" s="1239"/>
      <c r="E22" s="1239">
        <v>413444</v>
      </c>
      <c r="F22" s="1239"/>
      <c r="G22" s="1239">
        <v>360151</v>
      </c>
      <c r="H22" s="528">
        <v>15563960</v>
      </c>
      <c r="I22" s="1239"/>
      <c r="J22" s="1239"/>
      <c r="K22" s="528">
        <v>419463</v>
      </c>
      <c r="L22" s="1239">
        <v>419463</v>
      </c>
      <c r="M22" s="1239"/>
      <c r="N22" s="1239">
        <v>6019</v>
      </c>
      <c r="O22" s="293" t="s">
        <v>21</v>
      </c>
      <c r="P22" s="733">
        <v>24515379.809999999</v>
      </c>
      <c r="Q22" s="646">
        <v>1</v>
      </c>
    </row>
    <row r="23" spans="1:23" s="293" customFormat="1" ht="16.5" thickBot="1">
      <c r="A23" s="621" t="s">
        <v>343</v>
      </c>
      <c r="B23" s="316" t="s">
        <v>14</v>
      </c>
      <c r="C23" s="514">
        <v>21262432.84</v>
      </c>
      <c r="D23" s="514"/>
      <c r="E23" s="514">
        <v>19741760.899999999</v>
      </c>
      <c r="F23" s="514"/>
      <c r="G23" s="514">
        <v>18136835.23</v>
      </c>
      <c r="H23" s="515">
        <v>15563960</v>
      </c>
      <c r="I23" s="514"/>
      <c r="J23" s="514"/>
      <c r="K23" s="515">
        <v>1402914</v>
      </c>
      <c r="L23" s="514">
        <v>18910002</v>
      </c>
      <c r="M23" s="514"/>
      <c r="N23" s="527">
        <v>-831758.89999999851</v>
      </c>
      <c r="P23" s="733"/>
    </row>
    <row r="24" spans="1:23" s="293" customFormat="1" ht="16.5" thickBot="1">
      <c r="A24" s="1295" t="s">
        <v>350</v>
      </c>
      <c r="B24" s="316" t="s">
        <v>15</v>
      </c>
      <c r="C24" s="1239">
        <v>0</v>
      </c>
      <c r="D24" s="1239"/>
      <c r="E24" s="1239">
        <v>753</v>
      </c>
      <c r="F24" s="1239"/>
      <c r="G24" s="1239">
        <v>753</v>
      </c>
      <c r="H24" s="528">
        <v>15563961</v>
      </c>
      <c r="I24" s="1239"/>
      <c r="J24" s="1239"/>
      <c r="K24" s="528">
        <v>0</v>
      </c>
      <c r="L24" s="1239">
        <v>0</v>
      </c>
      <c r="M24" s="1239"/>
      <c r="N24" s="1239">
        <v>-753</v>
      </c>
      <c r="P24" s="733"/>
    </row>
    <row r="25" spans="1:23" s="293" customFormat="1" ht="15.75">
      <c r="A25" s="621" t="s">
        <v>346</v>
      </c>
      <c r="B25" s="316" t="s">
        <v>999</v>
      </c>
      <c r="C25" s="527">
        <v>146054.13</v>
      </c>
      <c r="D25" s="527"/>
      <c r="E25" s="527">
        <v>90280</v>
      </c>
      <c r="F25" s="527"/>
      <c r="G25" s="527">
        <v>90280</v>
      </c>
      <c r="H25" s="528">
        <v>15563960</v>
      </c>
      <c r="I25" s="527"/>
      <c r="J25" s="527"/>
      <c r="K25" s="528">
        <v>78026</v>
      </c>
      <c r="L25" s="527">
        <v>78026</v>
      </c>
      <c r="M25" s="514"/>
      <c r="N25" s="527">
        <v>-12254</v>
      </c>
      <c r="O25" s="344"/>
      <c r="P25" s="1093"/>
      <c r="Q25" s="344"/>
      <c r="R25" s="344"/>
      <c r="S25" s="344"/>
      <c r="T25" s="344"/>
      <c r="U25" s="344"/>
      <c r="V25" s="344"/>
      <c r="W25" s="344"/>
    </row>
    <row r="26" spans="1:23" s="293" customFormat="1" ht="15.75">
      <c r="B26" s="622" t="s">
        <v>22</v>
      </c>
      <c r="C26" s="523">
        <v>22940036.809999999</v>
      </c>
      <c r="D26" s="523"/>
      <c r="E26" s="523">
        <v>21555652.899999999</v>
      </c>
      <c r="F26" s="523"/>
      <c r="G26" s="523">
        <v>19734351.190000001</v>
      </c>
      <c r="H26" s="523">
        <v>93383761</v>
      </c>
      <c r="I26" s="523"/>
      <c r="J26" s="523"/>
      <c r="K26" s="523">
        <v>3214696</v>
      </c>
      <c r="L26" s="523">
        <v>20721784</v>
      </c>
      <c r="M26" s="523"/>
      <c r="N26" s="1026">
        <v>-833868.89999999851</v>
      </c>
      <c r="O26" s="344"/>
      <c r="P26" s="1093"/>
      <c r="Q26" s="344"/>
      <c r="R26" s="344"/>
      <c r="S26" s="344"/>
      <c r="T26" s="344"/>
      <c r="U26" s="344"/>
      <c r="V26" s="344"/>
      <c r="W26" s="344"/>
    </row>
    <row r="27" spans="1:23" s="293" customFormat="1" ht="15.75">
      <c r="B27" s="311"/>
      <c r="C27" s="525"/>
      <c r="D27" s="515"/>
      <c r="E27" s="515"/>
      <c r="F27" s="515"/>
      <c r="G27" s="515"/>
      <c r="H27" s="515"/>
      <c r="I27" s="515"/>
      <c r="J27" s="515"/>
      <c r="K27" s="515"/>
      <c r="L27" s="515"/>
      <c r="M27" s="515"/>
      <c r="N27" s="522"/>
      <c r="O27" s="344"/>
      <c r="P27" s="1093"/>
      <c r="Q27" s="344"/>
      <c r="R27" s="344"/>
      <c r="S27" s="344"/>
      <c r="T27" s="344"/>
      <c r="U27" s="344"/>
      <c r="V27" s="344"/>
      <c r="W27" s="344"/>
    </row>
    <row r="28" spans="1:23" s="293" customFormat="1" ht="15.75">
      <c r="B28" s="313" t="s">
        <v>321</v>
      </c>
      <c r="C28" s="623"/>
      <c r="D28" s="525"/>
      <c r="E28" s="525"/>
      <c r="F28" s="525"/>
      <c r="G28" s="525"/>
      <c r="H28" s="525"/>
      <c r="I28" s="525"/>
      <c r="J28" s="525"/>
      <c r="K28" s="525"/>
      <c r="L28" s="525"/>
      <c r="M28" s="525"/>
      <c r="N28" s="518"/>
      <c r="O28" s="344"/>
      <c r="P28" s="1093"/>
      <c r="Q28" s="344"/>
      <c r="R28" s="344"/>
      <c r="S28" s="344"/>
      <c r="T28" s="344"/>
      <c r="U28" s="344"/>
      <c r="V28" s="344"/>
      <c r="W28" s="344"/>
    </row>
    <row r="29" spans="1:23" s="293" customFormat="1" ht="15.75">
      <c r="B29" s="316" t="s">
        <v>322</v>
      </c>
      <c r="C29" s="528">
        <v>12216</v>
      </c>
      <c r="D29" s="522"/>
      <c r="E29" s="528">
        <v>12216</v>
      </c>
      <c r="F29" s="522"/>
      <c r="G29" s="528">
        <v>12216</v>
      </c>
      <c r="H29" s="522">
        <v>12216</v>
      </c>
      <c r="I29" s="522"/>
      <c r="J29" s="522"/>
      <c r="K29" s="522">
        <v>0</v>
      </c>
      <c r="L29" s="528">
        <v>12216</v>
      </c>
      <c r="M29" s="522"/>
      <c r="N29" s="1239">
        <v>0</v>
      </c>
      <c r="O29" s="344"/>
      <c r="P29" s="1093"/>
      <c r="Q29" s="344"/>
      <c r="R29" s="344"/>
      <c r="S29" s="344"/>
      <c r="T29" s="344"/>
      <c r="U29" s="344"/>
      <c r="V29" s="344"/>
      <c r="W29" s="344"/>
    </row>
    <row r="30" spans="1:23" s="625" customFormat="1" ht="15.75">
      <c r="A30" s="293"/>
      <c r="B30" s="316" t="s">
        <v>31</v>
      </c>
      <c r="C30" s="1036">
        <v>3307696</v>
      </c>
      <c r="D30" s="1035"/>
      <c r="E30" s="1029">
        <v>1652348.1000000015</v>
      </c>
      <c r="F30" s="963"/>
      <c r="G30" s="1029">
        <v>3115674.8099999987</v>
      </c>
      <c r="H30" s="963">
        <v>12162620</v>
      </c>
      <c r="I30" s="963"/>
      <c r="J30" s="963"/>
      <c r="K30" s="963">
        <v>11887357.470000001</v>
      </c>
      <c r="L30" s="1518">
        <v>3781379.8099999987</v>
      </c>
      <c r="M30" s="515"/>
      <c r="N30" s="527">
        <v>2129031.7099999972</v>
      </c>
      <c r="O30" s="1780"/>
      <c r="P30" s="1093"/>
      <c r="Q30" s="344"/>
      <c r="R30" s="661"/>
      <c r="S30" s="661"/>
      <c r="T30" s="661"/>
      <c r="U30" s="661"/>
      <c r="V30" s="661"/>
      <c r="W30" s="661"/>
    </row>
    <row r="31" spans="1:23" s="293" customFormat="1" ht="15.75">
      <c r="A31" s="625"/>
      <c r="B31" s="1246" t="s">
        <v>323</v>
      </c>
      <c r="C31" s="1033">
        <v>3319912</v>
      </c>
      <c r="D31" s="1030"/>
      <c r="E31" s="1030">
        <v>1664564.1000000015</v>
      </c>
      <c r="F31" s="1030"/>
      <c r="G31" s="1030">
        <v>3127890.8099999987</v>
      </c>
      <c r="H31" s="1030">
        <v>12174836</v>
      </c>
      <c r="I31" s="1030"/>
      <c r="J31" s="1030"/>
      <c r="K31" s="1030">
        <v>11887357.470000001</v>
      </c>
      <c r="L31" s="1030">
        <v>3793595.8099999987</v>
      </c>
      <c r="M31" s="523"/>
      <c r="N31" s="1026">
        <v>2129031.7099999972</v>
      </c>
      <c r="O31" s="661"/>
      <c r="P31" s="1781"/>
      <c r="Q31" s="661"/>
      <c r="R31" s="344"/>
      <c r="S31" s="344"/>
      <c r="T31" s="344"/>
      <c r="U31" s="344"/>
      <c r="V31" s="344"/>
      <c r="W31" s="344"/>
    </row>
    <row r="32" spans="1:23" s="293" customFormat="1" ht="16.5" thickBot="1">
      <c r="B32" s="616" t="s">
        <v>25</v>
      </c>
      <c r="C32" s="1267">
        <v>26259948.809999999</v>
      </c>
      <c r="D32" s="627"/>
      <c r="E32" s="1267">
        <v>23220217</v>
      </c>
      <c r="F32" s="1267"/>
      <c r="G32" s="1267">
        <v>22862242</v>
      </c>
      <c r="H32" s="1267">
        <v>105558597</v>
      </c>
      <c r="I32" s="1267"/>
      <c r="J32" s="627"/>
      <c r="K32" s="627">
        <v>15102053.470000001</v>
      </c>
      <c r="L32" s="1267">
        <v>24515379.809999999</v>
      </c>
      <c r="M32" s="1267"/>
      <c r="N32" s="1267">
        <v>1295162.8099999987</v>
      </c>
      <c r="O32" s="344"/>
      <c r="P32" s="1093"/>
      <c r="Q32" s="344"/>
      <c r="R32" s="344"/>
      <c r="S32" s="344"/>
      <c r="T32" s="344"/>
      <c r="U32" s="344"/>
      <c r="V32" s="344"/>
      <c r="W32" s="344"/>
    </row>
    <row r="33" spans="2:23" s="293" customFormat="1" ht="16.5" thickTop="1">
      <c r="B33" s="313"/>
      <c r="C33" s="524"/>
      <c r="D33" s="529"/>
      <c r="E33" s="529"/>
      <c r="F33" s="529"/>
      <c r="G33" s="529"/>
      <c r="H33" s="529"/>
      <c r="I33" s="529"/>
      <c r="J33" s="529"/>
      <c r="K33" s="529"/>
      <c r="L33" s="529"/>
      <c r="M33" s="529"/>
      <c r="N33" s="893"/>
      <c r="O33" s="344"/>
      <c r="P33" s="1093"/>
      <c r="Q33" s="344"/>
      <c r="R33" s="344"/>
      <c r="S33" s="344"/>
      <c r="T33" s="344"/>
      <c r="U33" s="344"/>
      <c r="V33" s="344"/>
      <c r="W33" s="344"/>
    </row>
    <row r="34" spans="2:23" s="293" customFormat="1" ht="15.75">
      <c r="B34" s="313"/>
      <c r="C34" s="524"/>
      <c r="D34" s="529"/>
      <c r="E34" s="529"/>
      <c r="F34" s="529"/>
      <c r="G34" s="529"/>
      <c r="H34" s="529"/>
      <c r="I34" s="529"/>
      <c r="J34" s="529"/>
      <c r="K34" s="529"/>
      <c r="L34" s="529"/>
      <c r="M34" s="529"/>
      <c r="N34" s="893"/>
      <c r="O34" s="344"/>
      <c r="P34" s="1093"/>
      <c r="Q34" s="344"/>
      <c r="R34" s="344"/>
      <c r="S34" s="344"/>
      <c r="T34" s="344"/>
      <c r="U34" s="344"/>
      <c r="V34" s="344"/>
      <c r="W34" s="344"/>
    </row>
    <row r="35" spans="2:23" s="293" customFormat="1" ht="15.75">
      <c r="B35" s="313"/>
      <c r="C35" s="524"/>
      <c r="D35" s="529"/>
      <c r="E35" s="529"/>
      <c r="F35" s="529"/>
      <c r="G35" s="529"/>
      <c r="H35" s="529"/>
      <c r="I35" s="529"/>
      <c r="J35" s="529"/>
      <c r="K35" s="529"/>
      <c r="L35" s="529"/>
      <c r="M35" s="529"/>
      <c r="N35" s="893"/>
      <c r="O35" s="344"/>
      <c r="P35" s="1093"/>
      <c r="Q35" s="344"/>
      <c r="R35" s="344"/>
      <c r="S35" s="344"/>
      <c r="T35" s="344"/>
      <c r="U35" s="344"/>
      <c r="V35" s="344"/>
      <c r="W35" s="344"/>
    </row>
    <row r="36" spans="2:23" s="293" customFormat="1" ht="15.75">
      <c r="B36" s="313"/>
      <c r="C36" s="524"/>
      <c r="D36" s="529"/>
      <c r="E36" s="529"/>
      <c r="F36" s="529"/>
      <c r="G36" s="529"/>
      <c r="H36" s="529"/>
      <c r="I36" s="529"/>
      <c r="J36" s="529"/>
      <c r="K36" s="529"/>
      <c r="L36" s="529"/>
      <c r="M36" s="529"/>
      <c r="N36" s="893"/>
      <c r="O36" s="344"/>
      <c r="P36" s="1093"/>
      <c r="Q36" s="344"/>
      <c r="R36" s="344"/>
      <c r="S36" s="344"/>
      <c r="T36" s="344"/>
      <c r="U36" s="344"/>
      <c r="V36" s="344"/>
      <c r="W36" s="344"/>
    </row>
    <row r="37" spans="2:23" s="293" customFormat="1" ht="15.75">
      <c r="B37" s="313"/>
      <c r="C37" s="524"/>
      <c r="D37" s="529"/>
      <c r="E37" s="529"/>
      <c r="F37" s="529"/>
      <c r="G37" s="529"/>
      <c r="H37" s="529"/>
      <c r="I37" s="529"/>
      <c r="J37" s="529"/>
      <c r="K37" s="529"/>
      <c r="L37" s="529"/>
      <c r="M37" s="529"/>
      <c r="N37" s="893"/>
      <c r="O37" s="344"/>
      <c r="P37" s="1093"/>
      <c r="Q37" s="344"/>
      <c r="R37" s="344"/>
      <c r="S37" s="344"/>
      <c r="T37" s="344"/>
      <c r="U37" s="344"/>
      <c r="V37" s="344"/>
      <c r="W37" s="344"/>
    </row>
    <row r="38" spans="2:23" s="293" customFormat="1" ht="15.75">
      <c r="B38" s="313"/>
      <c r="C38" s="524"/>
      <c r="D38" s="529"/>
      <c r="E38" s="529"/>
      <c r="F38" s="529"/>
      <c r="G38" s="529"/>
      <c r="H38" s="529"/>
      <c r="I38" s="529"/>
      <c r="J38" s="529"/>
      <c r="K38" s="529"/>
      <c r="L38" s="529"/>
      <c r="M38" s="529"/>
      <c r="N38" s="893"/>
      <c r="O38" s="344"/>
      <c r="P38" s="1093"/>
      <c r="Q38" s="344"/>
      <c r="R38" s="344"/>
      <c r="S38" s="344"/>
      <c r="T38" s="344"/>
      <c r="U38" s="344"/>
      <c r="V38" s="344"/>
      <c r="W38" s="344"/>
    </row>
    <row r="39" spans="2:23" s="293" customFormat="1" ht="15.75">
      <c r="B39" s="313"/>
      <c r="C39" s="502"/>
      <c r="D39" s="506"/>
      <c r="E39" s="506"/>
      <c r="F39" s="506"/>
      <c r="G39" s="506"/>
      <c r="H39" s="506"/>
      <c r="I39" s="506"/>
      <c r="J39" s="506"/>
      <c r="K39" s="506"/>
      <c r="L39" s="506"/>
      <c r="M39" s="506"/>
      <c r="N39" s="1080"/>
      <c r="O39" s="344"/>
      <c r="P39" s="1093"/>
      <c r="Q39" s="344"/>
      <c r="R39" s="344"/>
      <c r="S39" s="344"/>
      <c r="T39" s="344"/>
      <c r="U39" s="344"/>
      <c r="V39" s="344"/>
      <c r="W39" s="344"/>
    </row>
    <row r="40" spans="2:23" s="293" customFormat="1" ht="15.75">
      <c r="B40" s="313"/>
      <c r="C40" s="502"/>
      <c r="D40" s="506"/>
      <c r="E40" s="506"/>
      <c r="F40" s="506"/>
      <c r="G40" s="506"/>
      <c r="H40" s="506"/>
      <c r="I40" s="506"/>
      <c r="J40" s="506"/>
      <c r="K40" s="506"/>
      <c r="L40" s="506"/>
      <c r="M40" s="506"/>
      <c r="N40" s="1080"/>
      <c r="O40" s="344"/>
      <c r="P40" s="1093"/>
      <c r="Q40" s="344"/>
      <c r="R40" s="344"/>
      <c r="S40" s="344"/>
      <c r="T40" s="344"/>
      <c r="U40" s="344"/>
      <c r="V40" s="344"/>
      <c r="W40" s="344"/>
    </row>
    <row r="41" spans="2:23" s="293" customFormat="1" ht="15.75">
      <c r="B41" s="313"/>
      <c r="C41" s="502"/>
      <c r="D41" s="506"/>
      <c r="E41" s="506"/>
      <c r="F41" s="506"/>
      <c r="G41" s="506"/>
      <c r="H41" s="506"/>
      <c r="I41" s="506"/>
      <c r="J41" s="506"/>
      <c r="K41" s="506"/>
      <c r="L41" s="506"/>
      <c r="M41" s="506"/>
      <c r="N41" s="1080"/>
      <c r="O41" s="344"/>
      <c r="P41" s="1093"/>
      <c r="Q41" s="344"/>
      <c r="R41" s="344"/>
      <c r="S41" s="344"/>
      <c r="T41" s="344"/>
      <c r="U41" s="344"/>
      <c r="V41" s="344"/>
      <c r="W41" s="344"/>
    </row>
    <row r="42" spans="2:23" s="293" customFormat="1" ht="15.75">
      <c r="B42" s="313"/>
      <c r="C42" s="502"/>
      <c r="D42" s="506"/>
      <c r="E42" s="506"/>
      <c r="F42" s="506"/>
      <c r="G42" s="506"/>
      <c r="H42" s="506"/>
      <c r="I42" s="506"/>
      <c r="J42" s="506"/>
      <c r="K42" s="506"/>
      <c r="L42" s="506"/>
      <c r="M42" s="506"/>
      <c r="N42" s="1080"/>
      <c r="O42" s="344"/>
      <c r="P42" s="1093"/>
      <c r="Q42" s="344"/>
      <c r="R42" s="344"/>
      <c r="S42" s="344"/>
      <c r="T42" s="344"/>
      <c r="U42" s="344"/>
      <c r="V42" s="344"/>
      <c r="W42" s="344"/>
    </row>
    <row r="43" spans="2:23" s="293" customFormat="1" ht="15.75">
      <c r="B43" s="313"/>
      <c r="C43" s="502"/>
      <c r="D43" s="506"/>
      <c r="E43" s="506"/>
      <c r="F43" s="506"/>
      <c r="G43" s="506"/>
      <c r="H43" s="506"/>
      <c r="I43" s="506"/>
      <c r="J43" s="506"/>
      <c r="K43" s="506"/>
      <c r="L43" s="506"/>
      <c r="M43" s="506"/>
      <c r="N43" s="1080"/>
      <c r="O43" s="344"/>
      <c r="P43" s="1093"/>
      <c r="Q43" s="344"/>
      <c r="R43" s="344"/>
      <c r="S43" s="344"/>
      <c r="T43" s="344"/>
      <c r="U43" s="344"/>
      <c r="V43" s="344"/>
      <c r="W43" s="344"/>
    </row>
    <row r="44" spans="2:23" s="293" customFormat="1" ht="15.75">
      <c r="B44" s="313"/>
      <c r="C44" s="502"/>
      <c r="D44" s="506"/>
      <c r="E44" s="506"/>
      <c r="F44" s="506"/>
      <c r="G44" s="506"/>
      <c r="H44" s="506"/>
      <c r="I44" s="506"/>
      <c r="J44" s="506"/>
      <c r="K44" s="506"/>
      <c r="L44" s="506"/>
      <c r="M44" s="506"/>
      <c r="N44" s="1080"/>
      <c r="O44" s="344"/>
      <c r="P44" s="1093"/>
      <c r="Q44" s="344"/>
      <c r="R44" s="729"/>
      <c r="S44" s="344"/>
      <c r="T44" s="344"/>
      <c r="U44" s="344"/>
      <c r="V44" s="344"/>
      <c r="W44" s="344"/>
    </row>
    <row r="45" spans="2:23" s="293" customFormat="1" ht="15.75">
      <c r="B45" s="313"/>
      <c r="C45" s="502"/>
      <c r="D45" s="506"/>
      <c r="E45" s="506"/>
      <c r="F45" s="506"/>
      <c r="G45" s="506"/>
      <c r="H45" s="506"/>
      <c r="I45" s="506"/>
      <c r="J45" s="506"/>
      <c r="K45" s="506"/>
      <c r="L45" s="506"/>
      <c r="M45" s="506"/>
      <c r="N45" s="1080"/>
      <c r="O45" s="344"/>
      <c r="P45" s="1093"/>
      <c r="Q45" s="344"/>
      <c r="R45" s="729"/>
      <c r="S45" s="344"/>
      <c r="T45" s="344"/>
      <c r="U45" s="344"/>
      <c r="V45" s="344"/>
      <c r="W45" s="344"/>
    </row>
    <row r="46" spans="2:23" s="293" customFormat="1" ht="15.75">
      <c r="B46" s="313"/>
      <c r="C46" s="502"/>
      <c r="D46" s="506"/>
      <c r="E46" s="506"/>
      <c r="F46" s="506"/>
      <c r="G46" s="506"/>
      <c r="H46" s="506"/>
      <c r="I46" s="506"/>
      <c r="J46" s="506"/>
      <c r="K46" s="506"/>
      <c r="L46" s="506"/>
      <c r="M46" s="506"/>
      <c r="N46" s="1080"/>
      <c r="O46" s="344"/>
      <c r="P46" s="1093"/>
      <c r="Q46" s="344"/>
      <c r="R46" s="729"/>
      <c r="S46" s="344"/>
      <c r="T46" s="344"/>
      <c r="U46" s="344"/>
      <c r="V46" s="344"/>
      <c r="W46" s="344"/>
    </row>
    <row r="47" spans="2:23" s="293" customFormat="1" ht="15.75">
      <c r="B47" s="313"/>
      <c r="C47" s="502"/>
      <c r="D47" s="506"/>
      <c r="E47" s="506"/>
      <c r="F47" s="506"/>
      <c r="G47" s="506"/>
      <c r="H47" s="506"/>
      <c r="I47" s="506"/>
      <c r="J47" s="506"/>
      <c r="K47" s="506"/>
      <c r="L47" s="506"/>
      <c r="M47" s="506"/>
      <c r="N47" s="1080"/>
      <c r="O47" s="344"/>
      <c r="P47" s="1093"/>
      <c r="Q47" s="344"/>
      <c r="R47" s="729"/>
      <c r="S47" s="344"/>
      <c r="T47" s="344"/>
      <c r="U47" s="344"/>
      <c r="V47" s="344"/>
      <c r="W47" s="344"/>
    </row>
    <row r="48" spans="2:23" s="293" customFormat="1" ht="15.75">
      <c r="B48" s="313"/>
      <c r="C48" s="502"/>
      <c r="D48" s="506"/>
      <c r="E48" s="506"/>
      <c r="F48" s="506"/>
      <c r="G48" s="506"/>
      <c r="H48" s="506"/>
      <c r="I48" s="506"/>
      <c r="J48" s="506"/>
      <c r="K48" s="506"/>
      <c r="L48" s="506"/>
      <c r="M48" s="506"/>
      <c r="N48" s="1080"/>
      <c r="O48" s="344"/>
      <c r="P48" s="1093"/>
      <c r="Q48" s="344"/>
      <c r="R48" s="729"/>
      <c r="S48" s="344"/>
      <c r="T48" s="344"/>
      <c r="U48" s="344"/>
      <c r="V48" s="344"/>
      <c r="W48" s="344"/>
    </row>
    <row r="49" spans="1:23" s="293" customFormat="1" ht="15.75">
      <c r="B49" s="313"/>
      <c r="C49" s="502"/>
      <c r="D49" s="506"/>
      <c r="E49" s="506"/>
      <c r="F49" s="506"/>
      <c r="G49" s="506"/>
      <c r="H49" s="506"/>
      <c r="I49" s="506"/>
      <c r="J49" s="506"/>
      <c r="K49" s="506"/>
      <c r="L49" s="506"/>
      <c r="M49" s="506"/>
      <c r="N49" s="1080"/>
      <c r="O49" s="344"/>
      <c r="P49" s="1093"/>
      <c r="Q49" s="344"/>
      <c r="R49" s="729"/>
      <c r="S49" s="344"/>
      <c r="T49" s="344"/>
      <c r="U49" s="344"/>
      <c r="V49" s="344"/>
      <c r="W49" s="344"/>
    </row>
    <row r="50" spans="1:23" s="293" customFormat="1" ht="15.75">
      <c r="B50" s="313"/>
      <c r="C50" s="502"/>
      <c r="D50" s="506"/>
      <c r="E50" s="506"/>
      <c r="F50" s="506"/>
      <c r="G50" s="506"/>
      <c r="H50" s="506"/>
      <c r="I50" s="506"/>
      <c r="J50" s="506"/>
      <c r="K50" s="506"/>
      <c r="L50" s="506"/>
      <c r="M50" s="506"/>
      <c r="N50" s="1080"/>
      <c r="O50" s="344"/>
      <c r="P50" s="1093"/>
      <c r="Q50" s="344"/>
      <c r="R50" s="729"/>
      <c r="S50" s="344"/>
      <c r="T50" s="344"/>
      <c r="U50" s="344"/>
      <c r="V50" s="344"/>
      <c r="W50" s="344"/>
    </row>
    <row r="51" spans="1:23" s="293" customFormat="1" ht="15.75">
      <c r="B51" s="313"/>
      <c r="C51" s="502"/>
      <c r="D51" s="506"/>
      <c r="E51" s="506"/>
      <c r="F51" s="506"/>
      <c r="G51" s="506"/>
      <c r="H51" s="506"/>
      <c r="I51" s="506"/>
      <c r="J51" s="506"/>
      <c r="K51" s="506"/>
      <c r="L51" s="506"/>
      <c r="M51" s="506"/>
      <c r="N51" s="1080"/>
      <c r="O51" s="344"/>
      <c r="P51" s="1093"/>
      <c r="Q51" s="729"/>
      <c r="R51" s="729"/>
      <c r="S51" s="344"/>
      <c r="T51" s="344"/>
      <c r="U51" s="344"/>
      <c r="V51" s="344"/>
      <c r="W51" s="344"/>
    </row>
    <row r="52" spans="1:23" s="293" customFormat="1" ht="15.75">
      <c r="B52" s="313"/>
      <c r="C52" s="502"/>
      <c r="D52" s="506"/>
      <c r="E52" s="506"/>
      <c r="F52" s="506"/>
      <c r="G52" s="506"/>
      <c r="H52" s="506"/>
      <c r="I52" s="506"/>
      <c r="J52" s="506"/>
      <c r="K52" s="506"/>
      <c r="L52" s="506"/>
      <c r="M52" s="506"/>
      <c r="N52" s="1080"/>
      <c r="O52" s="344"/>
      <c r="P52" s="1093"/>
      <c r="Q52" s="344"/>
      <c r="R52" s="344"/>
      <c r="S52" s="344"/>
      <c r="T52" s="344"/>
      <c r="U52" s="344"/>
      <c r="V52" s="344"/>
      <c r="W52" s="344"/>
    </row>
    <row r="53" spans="1:23" s="293" customFormat="1" ht="15.75">
      <c r="B53" s="313"/>
      <c r="C53" s="502"/>
      <c r="D53" s="506"/>
      <c r="E53" s="506"/>
      <c r="F53" s="506"/>
      <c r="G53" s="506"/>
      <c r="H53" s="506"/>
      <c r="I53" s="506"/>
      <c r="J53" s="506"/>
      <c r="K53" s="506"/>
      <c r="L53" s="506"/>
      <c r="M53" s="506"/>
      <c r="N53" s="1080"/>
      <c r="O53" s="344"/>
      <c r="P53" s="1093"/>
      <c r="Q53" s="344"/>
      <c r="R53" s="344"/>
      <c r="S53" s="344"/>
      <c r="T53" s="344"/>
      <c r="U53" s="344"/>
      <c r="V53" s="344"/>
      <c r="W53" s="344"/>
    </row>
    <row r="54" spans="1:23" s="293" customFormat="1" ht="15.75">
      <c r="B54" s="313"/>
      <c r="C54" s="502"/>
      <c r="D54" s="506"/>
      <c r="E54" s="506"/>
      <c r="F54" s="506"/>
      <c r="G54" s="506"/>
      <c r="H54" s="506"/>
      <c r="I54" s="506"/>
      <c r="J54" s="506"/>
      <c r="K54" s="506"/>
      <c r="L54" s="506"/>
      <c r="M54" s="506"/>
      <c r="N54" s="1080"/>
      <c r="O54" s="344"/>
      <c r="P54" s="1093"/>
      <c r="Q54" s="344"/>
      <c r="R54" s="344"/>
      <c r="S54" s="344"/>
      <c r="T54" s="344"/>
      <c r="U54" s="344"/>
      <c r="V54" s="344"/>
      <c r="W54" s="344"/>
    </row>
    <row r="55" spans="1:23" s="293" customFormat="1" ht="15.75">
      <c r="B55" s="313"/>
      <c r="C55" s="502"/>
      <c r="D55" s="506"/>
      <c r="E55" s="506"/>
      <c r="F55" s="506"/>
      <c r="G55" s="506"/>
      <c r="H55" s="506"/>
      <c r="I55" s="506"/>
      <c r="J55" s="506"/>
      <c r="K55" s="506"/>
      <c r="L55" s="506"/>
      <c r="M55" s="506"/>
      <c r="N55" s="1080"/>
      <c r="P55" s="733"/>
    </row>
    <row r="56" spans="1:23" s="293" customFormat="1" ht="15.75">
      <c r="B56" s="313"/>
      <c r="C56" s="502"/>
      <c r="D56" s="506"/>
      <c r="E56" s="506"/>
      <c r="F56" s="506"/>
      <c r="G56" s="506"/>
      <c r="H56" s="506"/>
      <c r="I56" s="506"/>
      <c r="J56" s="506"/>
      <c r="K56" s="506"/>
      <c r="L56" s="506"/>
      <c r="M56" s="506"/>
      <c r="N56" s="1080"/>
      <c r="P56" s="733"/>
    </row>
    <row r="57" spans="1:23" s="293" customFormat="1" ht="15.75">
      <c r="B57" s="313"/>
      <c r="C57" s="502"/>
      <c r="D57" s="506"/>
      <c r="E57" s="506"/>
      <c r="F57" s="506"/>
      <c r="G57" s="506"/>
      <c r="H57" s="506"/>
      <c r="I57" s="506"/>
      <c r="J57" s="506"/>
      <c r="K57" s="506"/>
      <c r="L57" s="506"/>
      <c r="M57" s="506"/>
      <c r="N57" s="1080"/>
      <c r="P57" s="733"/>
    </row>
    <row r="58" spans="1:23" s="293" customFormat="1" ht="15.75">
      <c r="B58" s="313"/>
      <c r="C58" s="502"/>
      <c r="D58" s="506"/>
      <c r="E58" s="506"/>
      <c r="F58" s="506"/>
      <c r="G58" s="506"/>
      <c r="H58" s="506"/>
      <c r="I58" s="506"/>
      <c r="J58" s="506"/>
      <c r="K58" s="506"/>
      <c r="L58" s="506"/>
      <c r="M58" s="506"/>
      <c r="N58" s="1080"/>
      <c r="P58" s="733"/>
    </row>
    <row r="59" spans="1:23" s="344" customFormat="1" ht="15.75">
      <c r="A59" s="293"/>
      <c r="B59" s="313"/>
      <c r="C59" s="502"/>
      <c r="D59" s="506"/>
      <c r="E59" s="506"/>
      <c r="F59" s="506"/>
      <c r="G59" s="506"/>
      <c r="H59" s="506"/>
      <c r="I59" s="506"/>
      <c r="J59" s="506"/>
      <c r="K59" s="506"/>
      <c r="L59" s="506"/>
      <c r="M59" s="506"/>
      <c r="N59" s="1080"/>
      <c r="O59" s="293"/>
      <c r="P59" s="733"/>
      <c r="Q59" s="293"/>
    </row>
    <row r="60" spans="1:23" s="293" customFormat="1" ht="15.75">
      <c r="A60" s="344"/>
      <c r="B60" s="313"/>
      <c r="C60" s="502"/>
      <c r="D60" s="506"/>
      <c r="E60" s="506"/>
      <c r="F60" s="506"/>
      <c r="G60" s="506"/>
      <c r="H60" s="506"/>
      <c r="I60" s="506"/>
      <c r="J60" s="506"/>
      <c r="K60" s="506"/>
      <c r="L60" s="506"/>
      <c r="M60" s="506"/>
      <c r="N60" s="1080"/>
      <c r="O60" s="344"/>
      <c r="P60" s="1093"/>
      <c r="Q60" s="344"/>
    </row>
    <row r="61" spans="1:23" s="293" customFormat="1" ht="15.75">
      <c r="B61" s="313"/>
      <c r="C61" s="502"/>
      <c r="D61" s="506"/>
      <c r="E61" s="506"/>
      <c r="F61" s="506"/>
      <c r="G61" s="506"/>
      <c r="H61" s="506"/>
      <c r="I61" s="506"/>
      <c r="J61" s="506"/>
      <c r="K61" s="506"/>
      <c r="L61" s="506"/>
      <c r="M61" s="506"/>
      <c r="N61" s="1080"/>
      <c r="P61" s="733"/>
    </row>
    <row r="62" spans="1:23" s="293" customFormat="1" ht="15.75">
      <c r="B62" s="313"/>
      <c r="C62" s="502"/>
      <c r="D62" s="506"/>
      <c r="E62" s="506"/>
      <c r="F62" s="506"/>
      <c r="G62" s="506"/>
      <c r="H62" s="506"/>
      <c r="I62" s="506"/>
      <c r="J62" s="506"/>
      <c r="K62" s="506"/>
      <c r="L62" s="506"/>
      <c r="M62" s="506"/>
      <c r="N62" s="1080"/>
      <c r="P62" s="733"/>
    </row>
    <row r="63" spans="1:23" s="293" customFormat="1" ht="15.75">
      <c r="B63" s="313"/>
      <c r="C63" s="502"/>
      <c r="D63" s="506"/>
      <c r="E63" s="506"/>
      <c r="F63" s="506"/>
      <c r="G63" s="506"/>
      <c r="H63" s="506"/>
      <c r="I63" s="506"/>
      <c r="J63" s="506"/>
      <c r="K63" s="506"/>
      <c r="L63" s="506"/>
      <c r="M63" s="506"/>
      <c r="N63" s="1080"/>
      <c r="P63" s="733"/>
    </row>
    <row r="64" spans="1:23" s="293" customFormat="1" ht="15.75">
      <c r="B64" s="313"/>
      <c r="C64" s="502"/>
      <c r="D64" s="506"/>
      <c r="E64" s="506"/>
      <c r="F64" s="506"/>
      <c r="G64" s="506"/>
      <c r="H64" s="506"/>
      <c r="I64" s="506"/>
      <c r="J64" s="506"/>
      <c r="K64" s="506"/>
      <c r="L64" s="506"/>
      <c r="M64" s="506"/>
      <c r="N64" s="1080"/>
      <c r="P64" s="733"/>
    </row>
    <row r="65" spans="1:17" ht="15.75">
      <c r="A65" s="293"/>
      <c r="B65" s="313"/>
      <c r="C65" s="502"/>
      <c r="D65" s="506"/>
      <c r="E65" s="506"/>
      <c r="F65" s="506"/>
      <c r="G65" s="506"/>
      <c r="H65" s="506"/>
      <c r="I65" s="506"/>
      <c r="J65" s="506"/>
      <c r="K65" s="506"/>
      <c r="L65" s="506"/>
      <c r="M65" s="506"/>
      <c r="N65" s="1080"/>
      <c r="O65" s="293"/>
      <c r="P65" s="733"/>
      <c r="Q65" s="293"/>
    </row>
    <row r="66" spans="1:17" ht="15.75">
      <c r="B66" s="313"/>
      <c r="C66" s="507"/>
      <c r="D66" s="507"/>
      <c r="E66" s="507"/>
      <c r="F66" s="507"/>
      <c r="G66" s="507"/>
      <c r="H66" s="507"/>
      <c r="I66" s="507"/>
      <c r="J66" s="507"/>
      <c r="K66" s="507"/>
      <c r="L66" s="507"/>
      <c r="M66" s="507"/>
      <c r="N66" s="978"/>
    </row>
    <row r="67" spans="1:17" ht="15.75">
      <c r="B67" s="313"/>
      <c r="C67" s="508"/>
      <c r="D67" s="503"/>
      <c r="E67" s="503"/>
      <c r="F67" s="503"/>
      <c r="G67" s="502"/>
      <c r="H67" s="502"/>
      <c r="I67" s="503"/>
      <c r="J67" s="503"/>
      <c r="K67" s="502"/>
      <c r="L67" s="509"/>
      <c r="M67" s="503"/>
      <c r="N67" s="980"/>
    </row>
    <row r="68" spans="1:17" ht="15.75">
      <c r="B68" s="298"/>
      <c r="C68" s="507"/>
      <c r="D68" s="501"/>
      <c r="E68" s="507"/>
      <c r="F68" s="501"/>
      <c r="G68" s="507"/>
      <c r="H68" s="501"/>
      <c r="I68" s="501"/>
      <c r="J68" s="501"/>
      <c r="K68" s="501"/>
      <c r="L68" s="507"/>
      <c r="M68" s="501"/>
      <c r="N68" s="981"/>
    </row>
    <row r="69" spans="1:17" ht="15.75">
      <c r="B69" s="298"/>
      <c r="C69" s="504"/>
      <c r="D69" s="504"/>
      <c r="E69" s="504"/>
      <c r="F69" s="504"/>
      <c r="G69" s="504"/>
      <c r="H69" s="504"/>
      <c r="I69" s="504"/>
      <c r="J69" s="504"/>
      <c r="K69" s="504"/>
      <c r="L69" s="505"/>
      <c r="M69" s="504"/>
      <c r="N69" s="981"/>
    </row>
    <row r="70" spans="1:17" ht="15.75">
      <c r="B70" s="298"/>
      <c r="C70" s="504"/>
      <c r="D70" s="504"/>
      <c r="E70" s="504"/>
      <c r="F70" s="504"/>
      <c r="G70" s="504"/>
      <c r="H70" s="504"/>
      <c r="I70" s="504"/>
      <c r="J70" s="504"/>
      <c r="K70" s="504"/>
      <c r="L70" s="505"/>
      <c r="M70" s="504"/>
      <c r="N70" s="981"/>
    </row>
    <row r="71" spans="1:17" ht="15.75">
      <c r="B71" s="299"/>
      <c r="C71" s="498"/>
      <c r="D71" s="504"/>
      <c r="E71" s="504"/>
      <c r="F71" s="504"/>
      <c r="G71" s="504"/>
      <c r="H71" s="504"/>
      <c r="I71" s="504"/>
      <c r="J71" s="504"/>
      <c r="K71" s="504"/>
      <c r="L71" s="505"/>
      <c r="M71" s="504"/>
      <c r="N71" s="981"/>
    </row>
    <row r="72" spans="1:17" s="293" customFormat="1" ht="15.75">
      <c r="A72" s="283"/>
      <c r="B72" s="298"/>
      <c r="C72" s="504"/>
      <c r="D72" s="504"/>
      <c r="E72" s="504"/>
      <c r="F72" s="504"/>
      <c r="G72" s="504"/>
      <c r="H72" s="504"/>
      <c r="I72" s="504"/>
      <c r="J72" s="504"/>
      <c r="K72" s="504"/>
      <c r="L72" s="505"/>
      <c r="M72" s="504"/>
      <c r="N72" s="981"/>
      <c r="O72" s="283"/>
      <c r="P72" s="732"/>
      <c r="Q72" s="283"/>
    </row>
    <row r="73" spans="1:17" ht="15.75">
      <c r="A73" s="621"/>
      <c r="B73" s="316"/>
      <c r="C73" s="1079"/>
      <c r="D73" s="1079"/>
      <c r="E73" s="1079"/>
      <c r="F73" s="1079"/>
      <c r="G73" s="1079"/>
      <c r="H73" s="1076"/>
      <c r="I73" s="1079"/>
      <c r="J73" s="1079"/>
      <c r="K73" s="1076"/>
      <c r="L73" s="1079"/>
      <c r="M73" s="514"/>
      <c r="N73" s="518"/>
      <c r="O73" s="293"/>
      <c r="P73" s="733"/>
      <c r="Q73" s="293"/>
    </row>
    <row r="74" spans="1:17" ht="15.75">
      <c r="B74" s="298"/>
      <c r="C74" s="1013"/>
      <c r="D74" s="1013"/>
      <c r="E74" s="1013"/>
      <c r="F74" s="1013"/>
      <c r="G74" s="1013"/>
      <c r="H74" s="1013"/>
      <c r="I74" s="1013"/>
      <c r="J74" s="1013"/>
      <c r="K74" s="1013"/>
      <c r="L74" s="977"/>
      <c r="M74" s="504"/>
      <c r="N74" s="981"/>
    </row>
    <row r="75" spans="1:17" ht="15.75">
      <c r="B75" s="298"/>
      <c r="C75" s="504"/>
      <c r="D75" s="504"/>
      <c r="E75" s="504"/>
      <c r="F75" s="504"/>
      <c r="G75" s="504"/>
      <c r="H75" s="504"/>
      <c r="I75" s="504"/>
      <c r="J75" s="504"/>
      <c r="K75" s="504"/>
      <c r="L75" s="505"/>
      <c r="M75" s="504"/>
      <c r="N75" s="981"/>
    </row>
    <row r="76" spans="1:17" ht="15.75">
      <c r="B76" s="298"/>
      <c r="C76" s="504"/>
      <c r="D76" s="504"/>
      <c r="E76" s="504"/>
      <c r="F76" s="504"/>
      <c r="G76" s="504"/>
      <c r="H76" s="504"/>
      <c r="I76" s="504"/>
      <c r="J76" s="504"/>
      <c r="K76" s="504"/>
      <c r="L76" s="505"/>
      <c r="M76" s="504"/>
      <c r="N76" s="981"/>
    </row>
    <row r="77" spans="1:17" ht="15.75">
      <c r="B77" s="298"/>
      <c r="C77" s="504"/>
      <c r="D77" s="504"/>
      <c r="E77" s="504"/>
      <c r="F77" s="504"/>
      <c r="G77" s="504"/>
      <c r="H77" s="504"/>
      <c r="I77" s="504"/>
      <c r="J77" s="504"/>
      <c r="K77" s="504"/>
      <c r="L77" s="505"/>
      <c r="M77" s="504"/>
      <c r="N77" s="981"/>
    </row>
    <row r="78" spans="1:17" ht="15.75">
      <c r="B78" s="298"/>
      <c r="C78" s="504"/>
      <c r="D78" s="504"/>
      <c r="E78" s="504"/>
      <c r="F78" s="504"/>
      <c r="G78" s="504"/>
      <c r="H78" s="504"/>
      <c r="I78" s="504"/>
      <c r="J78" s="504"/>
      <c r="K78" s="504"/>
      <c r="L78" s="505"/>
      <c r="M78" s="504"/>
      <c r="N78" s="981"/>
    </row>
    <row r="79" spans="1:17" ht="15.75">
      <c r="B79" s="298"/>
      <c r="C79" s="504"/>
      <c r="D79" s="504"/>
      <c r="E79" s="504"/>
      <c r="F79" s="504"/>
      <c r="G79" s="504"/>
      <c r="H79" s="504"/>
      <c r="I79" s="504"/>
      <c r="J79" s="504"/>
      <c r="K79" s="504"/>
      <c r="L79" s="505"/>
      <c r="M79" s="504"/>
      <c r="N79" s="981"/>
    </row>
    <row r="80" spans="1:17"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row r="120" spans="2:14" ht="15.75">
      <c r="B120" s="298"/>
      <c r="C120" s="504"/>
      <c r="D120" s="504"/>
      <c r="E120" s="504"/>
      <c r="F120" s="504"/>
      <c r="G120" s="504"/>
      <c r="H120" s="504"/>
      <c r="I120" s="504"/>
      <c r="J120" s="504"/>
      <c r="K120" s="504"/>
      <c r="L120" s="505"/>
      <c r="M120" s="504"/>
      <c r="N120" s="981"/>
    </row>
    <row r="121" spans="2:14" ht="15.75">
      <c r="B121" s="298"/>
      <c r="C121" s="504"/>
      <c r="D121" s="504"/>
      <c r="E121" s="504"/>
      <c r="F121" s="504"/>
      <c r="G121" s="504"/>
      <c r="H121" s="504"/>
      <c r="I121" s="504"/>
      <c r="J121" s="504"/>
      <c r="K121" s="504"/>
      <c r="L121" s="505"/>
      <c r="M121" s="504"/>
      <c r="N121" s="981"/>
    </row>
    <row r="122" spans="2:14" ht="15.75">
      <c r="B122" s="298"/>
      <c r="C122" s="504"/>
      <c r="D122" s="504"/>
      <c r="E122" s="504"/>
      <c r="F122" s="504"/>
      <c r="G122" s="504"/>
      <c r="H122" s="504"/>
      <c r="I122" s="504"/>
      <c r="J122" s="504"/>
      <c r="K122" s="504"/>
      <c r="L122" s="505"/>
      <c r="M122" s="504"/>
      <c r="N122" s="981"/>
    </row>
  </sheetData>
  <mergeCells count="3">
    <mergeCell ref="B1:N1"/>
    <mergeCell ref="B4:N4"/>
    <mergeCell ref="B3:N3"/>
  </mergeCells>
  <printOptions horizontalCentered="1"/>
  <pageMargins left="0.5" right="0.5" top="0.5" bottom="0.5" header="0.5" footer="0.5"/>
  <pageSetup scale="74"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9" tint="0.39997558519241921"/>
    <pageSetUpPr fitToPage="1"/>
  </sheetPr>
  <dimension ref="A1:Y126"/>
  <sheetViews>
    <sheetView showGridLines="0" showRuler="0" topLeftCell="B3" zoomScaleNormal="100" zoomScaleSheetLayoutView="130" workbookViewId="0">
      <selection activeCell="L9" sqref="L9"/>
    </sheetView>
  </sheetViews>
  <sheetFormatPr defaultColWidth="6.85546875" defaultRowHeight="12.75"/>
  <cols>
    <col min="1" max="1" width="17.42578125" style="283" hidden="1" customWidth="1"/>
    <col min="2" max="2" width="43.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1.85546875" style="283" hidden="1" customWidth="1"/>
    <col min="12" max="12" width="15.7109375" style="293" customWidth="1"/>
    <col min="13" max="13" width="3" style="283" hidden="1" customWidth="1"/>
    <col min="14" max="14" width="15.7109375" style="293" customWidth="1"/>
    <col min="15" max="15" width="29.5703125" style="283" bestFit="1" customWidth="1"/>
    <col min="16" max="16" width="14.42578125" style="722" bestFit="1" customWidth="1"/>
    <col min="17" max="17" width="7.5703125" style="283" bestFit="1" customWidth="1"/>
    <col min="18" max="18" width="6.85546875" style="283"/>
    <col min="19" max="19" width="12.42578125" style="722" bestFit="1" customWidth="1"/>
    <col min="20" max="24" width="6.85546875" style="283"/>
    <col min="25" max="25" width="11.85546875" style="283" bestFit="1" customWidth="1"/>
    <col min="26" max="16384" width="6.85546875" style="283"/>
  </cols>
  <sheetData>
    <row r="1" spans="1:25" ht="25.9" hidden="1" customHeight="1">
      <c r="B1" s="1706" t="s">
        <v>591</v>
      </c>
      <c r="C1" s="1706"/>
      <c r="D1" s="1706"/>
      <c r="E1" s="1706"/>
      <c r="F1" s="1706"/>
      <c r="G1" s="1706"/>
      <c r="H1" s="1706"/>
      <c r="I1" s="1706"/>
      <c r="J1" s="1706"/>
      <c r="K1" s="1706"/>
      <c r="L1" s="1706"/>
      <c r="M1" s="1706"/>
      <c r="N1" s="1710"/>
    </row>
    <row r="2" spans="1:25" ht="18.75" hidden="1">
      <c r="B2" s="284"/>
      <c r="C2" s="285"/>
      <c r="D2" s="285"/>
      <c r="E2" s="285"/>
      <c r="F2" s="285"/>
      <c r="G2" s="285"/>
      <c r="H2" s="285"/>
      <c r="I2" s="285"/>
      <c r="J2" s="285"/>
      <c r="K2" s="285"/>
      <c r="L2" s="285"/>
      <c r="M2" s="285"/>
      <c r="N2" s="285"/>
    </row>
    <row r="3" spans="1:25" s="1433" customFormat="1" ht="75" customHeight="1">
      <c r="B3" s="1704" t="s">
        <v>900</v>
      </c>
      <c r="C3" s="1704"/>
      <c r="D3" s="1704"/>
      <c r="E3" s="1704"/>
      <c r="F3" s="1704"/>
      <c r="G3" s="1704"/>
      <c r="H3" s="1704"/>
      <c r="I3" s="1704"/>
      <c r="J3" s="1704"/>
      <c r="K3" s="1704"/>
      <c r="L3" s="1704"/>
      <c r="M3" s="1704"/>
      <c r="N3" s="1704"/>
      <c r="P3" s="1434"/>
      <c r="S3" s="1434"/>
    </row>
    <row r="4" spans="1:25" ht="32.25" customHeight="1" thickBot="1">
      <c r="B4" s="1711"/>
      <c r="C4" s="1711"/>
      <c r="D4" s="1711"/>
      <c r="E4" s="1711"/>
      <c r="F4" s="1711"/>
      <c r="G4" s="1711"/>
      <c r="H4" s="1711"/>
      <c r="I4" s="1711"/>
      <c r="J4" s="1711"/>
      <c r="K4" s="1711"/>
      <c r="L4" s="1711"/>
      <c r="M4" s="1711"/>
      <c r="N4" s="1711"/>
    </row>
    <row r="5" spans="1:25" s="1125" customFormat="1" ht="52.9" customHeight="1" thickBot="1">
      <c r="B5" s="1126"/>
      <c r="C5" s="1127" t="s">
        <v>981</v>
      </c>
      <c r="D5" s="1136" t="s">
        <v>314</v>
      </c>
      <c r="E5" s="1136"/>
      <c r="F5" s="1128" t="s">
        <v>979</v>
      </c>
      <c r="G5" s="1137" t="s">
        <v>407</v>
      </c>
      <c r="H5" s="1136"/>
      <c r="I5" s="1128" t="s">
        <v>980</v>
      </c>
      <c r="J5" s="1138" t="s">
        <v>1</v>
      </c>
      <c r="K5" s="1136"/>
      <c r="L5" s="1141" t="s">
        <v>989</v>
      </c>
      <c r="M5" s="1136"/>
      <c r="N5" s="1129" t="s">
        <v>985</v>
      </c>
      <c r="S5" s="1131"/>
      <c r="T5" s="1139"/>
    </row>
    <row r="6" spans="1:25">
      <c r="B6" s="288"/>
      <c r="C6" s="288"/>
      <c r="D6" s="289"/>
      <c r="E6" s="289"/>
      <c r="F6" s="288"/>
      <c r="G6" s="288"/>
      <c r="H6" s="289"/>
      <c r="I6" s="288"/>
      <c r="J6" s="290"/>
      <c r="K6" s="289"/>
      <c r="L6" s="291"/>
      <c r="M6" s="289"/>
      <c r="N6" s="291"/>
    </row>
    <row r="7" spans="1:25" ht="15.75">
      <c r="B7" s="299" t="s">
        <v>2</v>
      </c>
      <c r="C7" s="299"/>
      <c r="D7" s="300"/>
      <c r="E7" s="300"/>
      <c r="F7" s="300"/>
      <c r="G7" s="301"/>
      <c r="H7" s="300"/>
      <c r="I7" s="301"/>
      <c r="J7" s="300"/>
      <c r="K7" s="300"/>
      <c r="L7" s="302"/>
      <c r="M7" s="300"/>
      <c r="N7" s="302"/>
    </row>
    <row r="8" spans="1:25" ht="21">
      <c r="A8" s="321" t="s">
        <v>367</v>
      </c>
      <c r="B8" s="298" t="s">
        <v>568</v>
      </c>
      <c r="C8" s="1268">
        <v>3964578</v>
      </c>
      <c r="D8" s="1243" t="e">
        <v>#N/A</v>
      </c>
      <c r="E8" s="1243"/>
      <c r="F8" s="1268">
        <v>4098560</v>
      </c>
      <c r="G8" s="1268">
        <v>3886411</v>
      </c>
      <c r="H8" s="1268"/>
      <c r="I8" s="1268">
        <v>4196062</v>
      </c>
      <c r="J8" s="1268">
        <v>97502</v>
      </c>
      <c r="K8" s="1268"/>
      <c r="L8" s="1268">
        <v>4503620</v>
      </c>
      <c r="M8" s="1268"/>
      <c r="N8" s="1268">
        <v>405060</v>
      </c>
      <c r="O8" s="336" t="s">
        <v>11</v>
      </c>
      <c r="P8" s="726">
        <v>319682</v>
      </c>
      <c r="Q8" s="966">
        <v>3.6999999999999998E-2</v>
      </c>
      <c r="Y8" s="1015"/>
    </row>
    <row r="9" spans="1:25" ht="15.6" customHeight="1">
      <c r="A9" s="321" t="s">
        <v>338</v>
      </c>
      <c r="B9" s="305" t="s">
        <v>8</v>
      </c>
      <c r="C9" s="303">
        <v>63530.52</v>
      </c>
      <c r="D9" s="303" t="e">
        <v>#N/A</v>
      </c>
      <c r="E9" s="303"/>
      <c r="F9" s="303">
        <v>23079.16</v>
      </c>
      <c r="G9" s="306">
        <v>3886411</v>
      </c>
      <c r="H9" s="303"/>
      <c r="I9" s="306">
        <v>34643</v>
      </c>
      <c r="J9" s="531">
        <v>11563.84</v>
      </c>
      <c r="K9" s="303"/>
      <c r="L9" s="303">
        <v>23080</v>
      </c>
      <c r="M9" s="303"/>
      <c r="N9" s="1239">
        <v>0.84000000000014552</v>
      </c>
      <c r="O9" s="1476" t="s">
        <v>967</v>
      </c>
      <c r="P9" s="726">
        <v>81231</v>
      </c>
      <c r="Q9" s="966">
        <v>0.01</v>
      </c>
      <c r="Y9" s="1015"/>
    </row>
    <row r="10" spans="1:25" ht="15.75">
      <c r="A10" s="321" t="s">
        <v>349</v>
      </c>
      <c r="B10" s="305" t="s">
        <v>28</v>
      </c>
      <c r="C10" s="303">
        <v>2146302</v>
      </c>
      <c r="D10" s="303" t="e">
        <v>#N/A</v>
      </c>
      <c r="E10" s="303"/>
      <c r="F10" s="303">
        <v>2218659</v>
      </c>
      <c r="G10" s="306">
        <v>3886411</v>
      </c>
      <c r="H10" s="303"/>
      <c r="I10" s="552">
        <v>2218659</v>
      </c>
      <c r="J10" s="531">
        <v>0</v>
      </c>
      <c r="K10" s="303"/>
      <c r="L10" s="303">
        <v>2413183</v>
      </c>
      <c r="M10" s="303"/>
      <c r="N10" s="1239">
        <v>194524</v>
      </c>
      <c r="O10" s="336" t="s">
        <v>801</v>
      </c>
      <c r="P10" s="726">
        <v>255027</v>
      </c>
      <c r="Q10" s="966">
        <v>0.03</v>
      </c>
      <c r="Y10" s="1015"/>
    </row>
    <row r="11" spans="1:25" s="293" customFormat="1" ht="15.6" customHeight="1">
      <c r="B11" s="311" t="s">
        <v>319</v>
      </c>
      <c r="C11" s="517">
        <v>0</v>
      </c>
      <c r="D11" s="306">
        <v>0</v>
      </c>
      <c r="E11" s="306"/>
      <c r="F11" s="1243">
        <v>0</v>
      </c>
      <c r="G11" s="306">
        <v>0</v>
      </c>
      <c r="H11" s="306"/>
      <c r="I11" s="532">
        <v>0</v>
      </c>
      <c r="J11" s="303"/>
      <c r="K11" s="306"/>
      <c r="L11" s="528">
        <v>1537070</v>
      </c>
      <c r="M11" s="306"/>
      <c r="N11" s="1239">
        <v>1537070</v>
      </c>
      <c r="O11" s="1432" t="s">
        <v>957</v>
      </c>
      <c r="P11" s="727">
        <v>626553</v>
      </c>
      <c r="Q11" s="966">
        <v>7.3999999999999996E-2</v>
      </c>
      <c r="S11" s="723"/>
      <c r="Y11" s="1015"/>
    </row>
    <row r="12" spans="1:25" s="625" customFormat="1" ht="15.6" customHeight="1">
      <c r="B12" s="622" t="s">
        <v>9</v>
      </c>
      <c r="C12" s="534">
        <v>6174410.5199999996</v>
      </c>
      <c r="D12" s="534" t="e">
        <v>#N/A</v>
      </c>
      <c r="E12" s="534"/>
      <c r="F12" s="534">
        <v>6340298.1600000001</v>
      </c>
      <c r="G12" s="534">
        <v>11659233</v>
      </c>
      <c r="H12" s="534"/>
      <c r="I12" s="534">
        <v>6449364</v>
      </c>
      <c r="J12" s="534">
        <v>109065.84</v>
      </c>
      <c r="K12" s="534"/>
      <c r="L12" s="534">
        <v>8476953</v>
      </c>
      <c r="M12" s="534"/>
      <c r="N12" s="1251">
        <v>2136654.84</v>
      </c>
      <c r="O12" s="1437" t="s">
        <v>960</v>
      </c>
      <c r="P12" s="727">
        <v>0</v>
      </c>
      <c r="Q12" s="966">
        <v>0</v>
      </c>
      <c r="S12" s="724"/>
      <c r="Y12" s="1015"/>
    </row>
    <row r="13" spans="1:25" s="293" customFormat="1" ht="15.75">
      <c r="B13" s="310"/>
      <c r="C13" s="535"/>
      <c r="D13" s="306"/>
      <c r="E13" s="306"/>
      <c r="F13" s="306"/>
      <c r="G13" s="306"/>
      <c r="H13" s="306"/>
      <c r="I13" s="306"/>
      <c r="J13" s="306"/>
      <c r="K13" s="306"/>
      <c r="L13" s="306"/>
      <c r="M13" s="306"/>
      <c r="N13" s="598"/>
      <c r="O13" s="346" t="s">
        <v>988</v>
      </c>
      <c r="P13" s="727">
        <v>7194460</v>
      </c>
      <c r="Q13" s="966">
        <v>0.84899999999999998</v>
      </c>
      <c r="S13" s="723"/>
    </row>
    <row r="14" spans="1:25" s="293" customFormat="1" ht="15.75">
      <c r="B14" s="313" t="s">
        <v>320</v>
      </c>
      <c r="C14" s="666"/>
      <c r="D14" s="306"/>
      <c r="E14" s="306"/>
      <c r="F14" s="532"/>
      <c r="G14" s="532"/>
      <c r="H14" s="532"/>
      <c r="I14" s="532"/>
      <c r="J14" s="532"/>
      <c r="K14" s="532"/>
      <c r="L14" s="532"/>
      <c r="M14" s="306"/>
      <c r="N14" s="598"/>
      <c r="O14" s="346" t="s">
        <v>23</v>
      </c>
      <c r="P14" s="727">
        <v>0</v>
      </c>
      <c r="Q14" s="966">
        <v>0</v>
      </c>
      <c r="S14" s="723"/>
    </row>
    <row r="15" spans="1:25" s="293" customFormat="1" ht="16.5" thickBot="1">
      <c r="B15" s="311" t="s">
        <v>327</v>
      </c>
      <c r="C15" s="1240">
        <v>235558.27000000048</v>
      </c>
      <c r="D15" s="306">
        <v>0</v>
      </c>
      <c r="E15" s="306"/>
      <c r="F15" s="549">
        <v>558769</v>
      </c>
      <c r="G15" s="532">
        <v>558769</v>
      </c>
      <c r="H15" s="532"/>
      <c r="I15" s="549">
        <v>558769</v>
      </c>
      <c r="J15" s="517">
        <v>0</v>
      </c>
      <c r="K15" s="532"/>
      <c r="L15" s="549">
        <v>0</v>
      </c>
      <c r="M15" s="306"/>
      <c r="N15" s="1239">
        <v>-558769</v>
      </c>
      <c r="O15" s="350" t="s">
        <v>25</v>
      </c>
      <c r="P15" s="728">
        <v>8476953</v>
      </c>
      <c r="Q15" s="1086">
        <v>1</v>
      </c>
      <c r="R15" s="344"/>
      <c r="S15" s="723"/>
    </row>
    <row r="16" spans="1:25" s="293" customFormat="1" ht="16.5" thickTop="1">
      <c r="B16" s="622" t="s">
        <v>20</v>
      </c>
      <c r="C16" s="1251">
        <v>235558.27000000048</v>
      </c>
      <c r="D16" s="534">
        <v>0</v>
      </c>
      <c r="E16" s="534"/>
      <c r="F16" s="776">
        <v>558769</v>
      </c>
      <c r="G16" s="546">
        <v>558769</v>
      </c>
      <c r="H16" s="546"/>
      <c r="I16" s="776">
        <v>558769</v>
      </c>
      <c r="J16" s="546">
        <v>0</v>
      </c>
      <c r="K16" s="546"/>
      <c r="L16" s="776">
        <v>0</v>
      </c>
      <c r="M16" s="534"/>
      <c r="N16" s="1251">
        <v>-558769</v>
      </c>
      <c r="O16" s="341"/>
      <c r="P16" s="727"/>
      <c r="Q16" s="348"/>
      <c r="S16" s="723"/>
    </row>
    <row r="17" spans="1:25" s="293" customFormat="1" ht="16.5" thickBot="1">
      <c r="B17" s="616" t="s">
        <v>21</v>
      </c>
      <c r="C17" s="662">
        <v>6409968.79</v>
      </c>
      <c r="D17" s="662" t="e">
        <v>#N/A</v>
      </c>
      <c r="E17" s="662"/>
      <c r="F17" s="662">
        <v>6899067.1600000001</v>
      </c>
      <c r="G17" s="662">
        <v>12218002</v>
      </c>
      <c r="H17" s="662"/>
      <c r="I17" s="662">
        <v>7008133</v>
      </c>
      <c r="J17" s="663">
        <v>109065.83999999985</v>
      </c>
      <c r="K17" s="662"/>
      <c r="L17" s="662">
        <v>8476953</v>
      </c>
      <c r="M17" s="662"/>
      <c r="N17" s="747">
        <v>1577885.8399999999</v>
      </c>
      <c r="P17" s="723"/>
      <c r="S17" s="723"/>
    </row>
    <row r="18" spans="1:25" s="293" customFormat="1" ht="23.25" thickTop="1">
      <c r="B18" s="316"/>
      <c r="C18" s="664"/>
      <c r="D18" s="306"/>
      <c r="E18" s="306"/>
      <c r="F18" s="306"/>
      <c r="G18" s="306"/>
      <c r="H18" s="306"/>
      <c r="I18" s="306"/>
      <c r="J18" s="306"/>
      <c r="K18" s="306"/>
      <c r="L18" s="306"/>
      <c r="M18" s="306"/>
      <c r="N18" s="598"/>
      <c r="O18" s="1170" t="s">
        <v>986</v>
      </c>
      <c r="P18" s="727">
        <v>4503620</v>
      </c>
      <c r="Q18" s="608">
        <v>0.53100000000000003</v>
      </c>
      <c r="S18" s="723"/>
    </row>
    <row r="19" spans="1:25" s="293" customFormat="1" ht="15.75">
      <c r="B19" s="349" t="s">
        <v>10</v>
      </c>
      <c r="C19" s="665"/>
      <c r="D19" s="303"/>
      <c r="E19" s="303"/>
      <c r="F19" s="306"/>
      <c r="G19" s="306"/>
      <c r="H19" s="303"/>
      <c r="I19" s="306"/>
      <c r="J19" s="303"/>
      <c r="K19" s="303"/>
      <c r="L19" s="303"/>
      <c r="M19" s="303"/>
      <c r="N19" s="597"/>
      <c r="O19" s="341" t="s">
        <v>8</v>
      </c>
      <c r="P19" s="727">
        <v>23080</v>
      </c>
      <c r="Q19" s="608">
        <v>3.0000000000000001E-3</v>
      </c>
      <c r="S19" s="723"/>
    </row>
    <row r="20" spans="1:25" s="293" customFormat="1" ht="15.75">
      <c r="A20" s="621" t="s">
        <v>340</v>
      </c>
      <c r="B20" s="316" t="s">
        <v>11</v>
      </c>
      <c r="C20" s="303">
        <v>257814.25</v>
      </c>
      <c r="D20" s="303" t="e">
        <v>#N/A</v>
      </c>
      <c r="E20" s="303"/>
      <c r="F20" s="303">
        <v>264286</v>
      </c>
      <c r="G20" s="306">
        <v>3886411</v>
      </c>
      <c r="H20" s="303"/>
      <c r="I20" s="306">
        <v>197300.5</v>
      </c>
      <c r="J20" s="531">
        <v>-66985.5</v>
      </c>
      <c r="K20" s="303"/>
      <c r="L20" s="303">
        <v>319682</v>
      </c>
      <c r="M20" s="303"/>
      <c r="N20" s="1239">
        <v>55396</v>
      </c>
      <c r="O20" s="341" t="s">
        <v>28</v>
      </c>
      <c r="P20" s="727">
        <v>2413183</v>
      </c>
      <c r="Q20" s="608">
        <v>0.28499999999999998</v>
      </c>
      <c r="S20" s="723"/>
      <c r="Y20" s="764"/>
    </row>
    <row r="21" spans="1:25" s="293" customFormat="1" ht="15.75">
      <c r="A21" s="621" t="s">
        <v>341</v>
      </c>
      <c r="B21" s="316" t="s">
        <v>12</v>
      </c>
      <c r="C21" s="1240">
        <v>93834.2</v>
      </c>
      <c r="D21" s="1224" t="e">
        <v>#N/A</v>
      </c>
      <c r="E21" s="1224"/>
      <c r="F21" s="1224">
        <v>104067</v>
      </c>
      <c r="G21" s="306">
        <v>3886411</v>
      </c>
      <c r="H21" s="1224"/>
      <c r="I21" s="306">
        <v>89261.5</v>
      </c>
      <c r="J21" s="531">
        <v>-14805.5</v>
      </c>
      <c r="K21" s="1224"/>
      <c r="L21" s="1240">
        <v>81231</v>
      </c>
      <c r="M21" s="1224"/>
      <c r="N21" s="1239">
        <v>-22836</v>
      </c>
      <c r="O21" s="344" t="s">
        <v>319</v>
      </c>
      <c r="P21" s="729">
        <v>1537070</v>
      </c>
      <c r="Q21" s="654">
        <v>0.18099999999999999</v>
      </c>
      <c r="R21" s="344"/>
      <c r="S21" s="723"/>
      <c r="Y21" s="764"/>
    </row>
    <row r="22" spans="1:25" s="293" customFormat="1" ht="21">
      <c r="A22" s="621" t="s">
        <v>342</v>
      </c>
      <c r="B22" s="316" t="s">
        <v>801</v>
      </c>
      <c r="C22" s="1240">
        <v>299209.71000000002</v>
      </c>
      <c r="D22" s="1224" t="e">
        <v>#N/A</v>
      </c>
      <c r="E22" s="1224"/>
      <c r="F22" s="1224">
        <v>283376.89</v>
      </c>
      <c r="G22" s="306">
        <v>3886411</v>
      </c>
      <c r="H22" s="1224"/>
      <c r="I22" s="306">
        <v>363702</v>
      </c>
      <c r="J22" s="531">
        <v>80325.109999999986</v>
      </c>
      <c r="K22" s="1224"/>
      <c r="L22" s="1240">
        <v>255027</v>
      </c>
      <c r="M22" s="1224"/>
      <c r="N22" s="1239">
        <v>-28349.890000000014</v>
      </c>
      <c r="O22" s="344" t="s">
        <v>19</v>
      </c>
      <c r="P22" s="729">
        <v>0</v>
      </c>
      <c r="Q22" s="654">
        <v>0</v>
      </c>
      <c r="R22" s="344"/>
      <c r="S22" s="723"/>
      <c r="Y22" s="764"/>
    </row>
    <row r="23" spans="1:25" s="293" customFormat="1" ht="15.75">
      <c r="A23" s="621" t="s">
        <v>343</v>
      </c>
      <c r="B23" s="316" t="s">
        <v>14</v>
      </c>
      <c r="C23" s="1240">
        <v>387659.04</v>
      </c>
      <c r="D23" s="1224" t="e">
        <v>#N/A</v>
      </c>
      <c r="E23" s="1224"/>
      <c r="F23" s="1224">
        <v>632505.02</v>
      </c>
      <c r="G23" s="306">
        <v>3886411</v>
      </c>
      <c r="H23" s="1224"/>
      <c r="I23" s="306">
        <v>633275.43999999994</v>
      </c>
      <c r="J23" s="531">
        <v>770.41999999992549</v>
      </c>
      <c r="K23" s="1224"/>
      <c r="L23" s="1240">
        <v>626553</v>
      </c>
      <c r="M23" s="1224"/>
      <c r="N23" s="1239">
        <v>-5952.0200000000186</v>
      </c>
      <c r="O23" s="344" t="s">
        <v>21</v>
      </c>
      <c r="P23" s="729">
        <v>8476953</v>
      </c>
      <c r="Q23" s="654">
        <v>1</v>
      </c>
      <c r="R23" s="344"/>
      <c r="S23" s="723"/>
      <c r="Y23" s="764"/>
    </row>
    <row r="24" spans="1:25" s="293" customFormat="1" ht="15.75">
      <c r="A24" s="621" t="s">
        <v>350</v>
      </c>
      <c r="B24" s="316" t="s">
        <v>15</v>
      </c>
      <c r="C24" s="517">
        <v>0</v>
      </c>
      <c r="D24" s="303" t="e">
        <v>#N/A</v>
      </c>
      <c r="E24" s="303"/>
      <c r="F24" s="303">
        <v>70910</v>
      </c>
      <c r="G24" s="306">
        <v>3886411</v>
      </c>
      <c r="H24" s="303"/>
      <c r="I24" s="306">
        <v>77183</v>
      </c>
      <c r="J24" s="531">
        <v>6273</v>
      </c>
      <c r="K24" s="303"/>
      <c r="L24" s="517">
        <v>0</v>
      </c>
      <c r="M24" s="303"/>
      <c r="N24" s="1239">
        <v>-70910</v>
      </c>
      <c r="O24" s="344"/>
      <c r="P24" s="729"/>
      <c r="Q24" s="654"/>
      <c r="R24" s="344"/>
      <c r="S24" s="723"/>
      <c r="Y24" s="764"/>
    </row>
    <row r="25" spans="1:25" s="293" customFormat="1" ht="15.75">
      <c r="A25" s="621" t="s">
        <v>346</v>
      </c>
      <c r="B25" s="316" t="s">
        <v>1001</v>
      </c>
      <c r="C25" s="1224">
        <v>4691203.59</v>
      </c>
      <c r="D25" s="1224" t="e">
        <v>#N/A</v>
      </c>
      <c r="E25" s="1224"/>
      <c r="F25" s="1224">
        <v>4035251</v>
      </c>
      <c r="G25" s="306">
        <v>3886411</v>
      </c>
      <c r="H25" s="1224"/>
      <c r="I25" s="1224">
        <v>4035251</v>
      </c>
      <c r="J25" s="1224">
        <v>0</v>
      </c>
      <c r="K25" s="1224"/>
      <c r="L25" s="1240">
        <v>7134225</v>
      </c>
      <c r="M25" s="1224"/>
      <c r="N25" s="1239">
        <v>3098974</v>
      </c>
      <c r="O25" s="344"/>
      <c r="P25" s="729"/>
      <c r="Q25" s="654"/>
      <c r="R25" s="344"/>
      <c r="S25" s="723"/>
      <c r="Y25" s="764"/>
    </row>
    <row r="26" spans="1:25" s="293" customFormat="1" ht="15.75">
      <c r="A26" s="621"/>
      <c r="B26" s="316" t="s">
        <v>999</v>
      </c>
      <c r="C26" s="1240">
        <v>121479</v>
      </c>
      <c r="D26" s="1224"/>
      <c r="E26" s="1224"/>
      <c r="F26" s="1224">
        <v>75089</v>
      </c>
      <c r="G26" s="306"/>
      <c r="H26" s="1224"/>
      <c r="I26" s="1240">
        <v>75089</v>
      </c>
      <c r="J26" s="531"/>
      <c r="K26" s="1224"/>
      <c r="L26" s="1240">
        <v>60235</v>
      </c>
      <c r="M26" s="1224"/>
      <c r="N26" s="1239">
        <v>-14854</v>
      </c>
      <c r="O26" s="344"/>
      <c r="P26" s="729"/>
      <c r="Q26" s="654"/>
      <c r="R26" s="344"/>
      <c r="S26" s="723"/>
      <c r="Y26" s="764"/>
    </row>
    <row r="27" spans="1:25" s="293" customFormat="1" ht="15.75" hidden="1">
      <c r="A27" s="621"/>
      <c r="B27" s="316" t="s">
        <v>961</v>
      </c>
      <c r="C27" s="1240">
        <v>0</v>
      </c>
      <c r="D27" s="303"/>
      <c r="E27" s="303"/>
      <c r="F27" s="517">
        <v>0</v>
      </c>
      <c r="G27" s="306"/>
      <c r="H27" s="303"/>
      <c r="I27" s="517">
        <v>0</v>
      </c>
      <c r="J27" s="531"/>
      <c r="K27" s="303"/>
      <c r="L27" s="517">
        <v>0</v>
      </c>
      <c r="M27" s="303"/>
      <c r="N27" s="1239">
        <v>0</v>
      </c>
      <c r="O27" s="344"/>
      <c r="P27" s="729">
        <v>4812683</v>
      </c>
      <c r="Q27" s="344"/>
      <c r="R27" s="344"/>
      <c r="S27" s="723"/>
      <c r="Y27" s="764"/>
    </row>
    <row r="28" spans="1:25" s="293" customFormat="1" ht="15.75">
      <c r="B28" s="622" t="s">
        <v>22</v>
      </c>
      <c r="C28" s="534">
        <v>5851199.79</v>
      </c>
      <c r="D28" s="534" t="e">
        <v>#N/A</v>
      </c>
      <c r="E28" s="534"/>
      <c r="F28" s="534">
        <v>5465484.9100000001</v>
      </c>
      <c r="G28" s="534">
        <v>23318466</v>
      </c>
      <c r="H28" s="534"/>
      <c r="I28" s="534">
        <v>5471063</v>
      </c>
      <c r="J28" s="534">
        <v>5577.5299999999115</v>
      </c>
      <c r="K28" s="534"/>
      <c r="L28" s="534">
        <v>8476953</v>
      </c>
      <c r="M28" s="534"/>
      <c r="N28" s="1251">
        <v>3011468.09</v>
      </c>
      <c r="O28" s="344"/>
      <c r="P28" s="729"/>
      <c r="Q28" s="344"/>
      <c r="R28" s="344"/>
      <c r="S28" s="729"/>
      <c r="T28" s="344"/>
      <c r="U28" s="344"/>
      <c r="V28" s="344"/>
    </row>
    <row r="29" spans="1:25" s="293" customFormat="1" ht="15.75">
      <c r="B29" s="311"/>
      <c r="C29" s="536"/>
      <c r="D29" s="306"/>
      <c r="E29" s="306"/>
      <c r="F29" s="306"/>
      <c r="G29" s="306"/>
      <c r="H29" s="306"/>
      <c r="I29" s="306"/>
      <c r="J29" s="306"/>
      <c r="K29" s="306"/>
      <c r="L29" s="306"/>
      <c r="M29" s="306"/>
      <c r="N29" s="598"/>
      <c r="O29" s="344"/>
      <c r="P29" s="1277"/>
      <c r="Q29" s="344"/>
      <c r="R29" s="344"/>
      <c r="S29" s="729"/>
      <c r="T29" s="344"/>
      <c r="U29" s="344"/>
      <c r="V29" s="344"/>
    </row>
    <row r="30" spans="1:25" s="293" customFormat="1" ht="15.75">
      <c r="B30" s="313" t="s">
        <v>321</v>
      </c>
      <c r="C30" s="666"/>
      <c r="D30" s="536"/>
      <c r="E30" s="536"/>
      <c r="F30" s="517"/>
      <c r="G30" s="517"/>
      <c r="H30" s="517"/>
      <c r="I30" s="517"/>
      <c r="J30" s="517"/>
      <c r="K30" s="517"/>
      <c r="L30" s="517"/>
      <c r="M30" s="536"/>
      <c r="N30" s="597"/>
      <c r="O30" s="344"/>
      <c r="P30" s="542"/>
      <c r="Q30" s="344"/>
      <c r="R30" s="344"/>
      <c r="S30" s="729"/>
      <c r="T30" s="344"/>
      <c r="U30" s="344"/>
      <c r="V30" s="344"/>
    </row>
    <row r="31" spans="1:25" s="293" customFormat="1" ht="15.75" hidden="1">
      <c r="B31" s="316" t="s">
        <v>322</v>
      </c>
      <c r="C31" s="517">
        <v>0</v>
      </c>
      <c r="D31" s="306">
        <v>0</v>
      </c>
      <c r="E31" s="306"/>
      <c r="F31" s="517">
        <v>0</v>
      </c>
      <c r="G31" s="532">
        <v>0</v>
      </c>
      <c r="H31" s="532"/>
      <c r="I31" s="517">
        <v>0</v>
      </c>
      <c r="J31" s="517">
        <v>0</v>
      </c>
      <c r="K31" s="532"/>
      <c r="L31" s="517">
        <v>0</v>
      </c>
      <c r="M31" s="306"/>
      <c r="N31" s="599">
        <v>0</v>
      </c>
      <c r="O31" s="344"/>
      <c r="P31" s="729"/>
      <c r="Q31" s="344"/>
      <c r="R31" s="344"/>
      <c r="S31" s="729"/>
      <c r="T31" s="344"/>
      <c r="U31" s="344"/>
      <c r="V31" s="344"/>
    </row>
    <row r="32" spans="1:25" s="293" customFormat="1" ht="15.75">
      <c r="B32" s="316" t="s">
        <v>31</v>
      </c>
      <c r="C32" s="1240">
        <v>558769</v>
      </c>
      <c r="D32" s="306"/>
      <c r="E32" s="306"/>
      <c r="F32" s="549">
        <v>1433582.25</v>
      </c>
      <c r="G32" s="532">
        <v>1433582.25</v>
      </c>
      <c r="H32" s="532"/>
      <c r="I32" s="549">
        <v>1537070</v>
      </c>
      <c r="J32" s="517">
        <v>103487.75</v>
      </c>
      <c r="K32" s="532"/>
      <c r="L32" s="549">
        <v>0</v>
      </c>
      <c r="M32" s="306"/>
      <c r="N32" s="1239">
        <v>-1433582.25</v>
      </c>
      <c r="O32" s="344"/>
      <c r="P32" s="729"/>
      <c r="Q32" s="344"/>
      <c r="R32" s="344"/>
      <c r="S32" s="729"/>
      <c r="T32" s="344"/>
      <c r="U32" s="344"/>
      <c r="V32" s="344"/>
    </row>
    <row r="33" spans="2:22" s="625" customFormat="1" ht="15.75">
      <c r="B33" s="1246" t="s">
        <v>323</v>
      </c>
      <c r="C33" s="1251">
        <v>558769</v>
      </c>
      <c r="D33" s="534">
        <v>0</v>
      </c>
      <c r="E33" s="534"/>
      <c r="F33" s="1251">
        <v>1433582.25</v>
      </c>
      <c r="G33" s="546">
        <v>0</v>
      </c>
      <c r="H33" s="546"/>
      <c r="I33" s="1251">
        <v>1537070</v>
      </c>
      <c r="J33" s="546">
        <v>0</v>
      </c>
      <c r="K33" s="546"/>
      <c r="L33" s="1251">
        <v>0</v>
      </c>
      <c r="M33" s="534"/>
      <c r="N33" s="1251">
        <v>-1433582.25</v>
      </c>
      <c r="O33" s="661"/>
      <c r="P33" s="1277"/>
      <c r="Q33" s="661"/>
      <c r="R33" s="661"/>
      <c r="S33" s="1277"/>
      <c r="T33" s="661"/>
      <c r="U33" s="661"/>
      <c r="V33" s="661"/>
    </row>
    <row r="34" spans="2:22" s="293" customFormat="1" ht="16.5" thickBot="1">
      <c r="B34" s="616" t="s">
        <v>25</v>
      </c>
      <c r="C34" s="1267">
        <v>6409968.79</v>
      </c>
      <c r="D34" s="627" t="e">
        <v>#N/A</v>
      </c>
      <c r="E34" s="1267"/>
      <c r="F34" s="1267">
        <v>6899067.1600000001</v>
      </c>
      <c r="G34" s="1267">
        <v>23318466</v>
      </c>
      <c r="H34" s="1267"/>
      <c r="I34" s="1267">
        <v>7008133</v>
      </c>
      <c r="J34" s="627">
        <v>-109065.83999999985</v>
      </c>
      <c r="K34" s="627"/>
      <c r="L34" s="1267">
        <v>8476953</v>
      </c>
      <c r="M34" s="1267"/>
      <c r="N34" s="1267">
        <v>1577885.8399999999</v>
      </c>
      <c r="O34" s="344"/>
      <c r="P34" s="729"/>
      <c r="Q34" s="344"/>
      <c r="R34" s="344"/>
      <c r="S34" s="729"/>
      <c r="T34" s="344"/>
      <c r="U34" s="344"/>
      <c r="V34" s="344"/>
    </row>
    <row r="35" spans="2:22" s="293" customFormat="1" ht="16.5" thickTop="1">
      <c r="B35" s="313"/>
      <c r="C35" s="535"/>
      <c r="D35" s="537"/>
      <c r="E35" s="537"/>
      <c r="F35" s="537"/>
      <c r="G35" s="537"/>
      <c r="H35" s="537"/>
      <c r="I35" s="537"/>
      <c r="J35" s="535"/>
      <c r="K35" s="537"/>
      <c r="L35" s="537"/>
      <c r="M35" s="537"/>
      <c r="N35" s="537"/>
      <c r="O35" s="344"/>
      <c r="P35" s="729"/>
      <c r="Q35" s="344"/>
      <c r="R35" s="344"/>
      <c r="S35" s="729"/>
      <c r="T35" s="344"/>
      <c r="U35" s="344"/>
      <c r="V35" s="344"/>
    </row>
    <row r="36" spans="2:22" s="293" customFormat="1" ht="15.75">
      <c r="B36" s="313"/>
      <c r="C36" s="535"/>
      <c r="D36" s="537"/>
      <c r="E36" s="537"/>
      <c r="F36" s="537"/>
      <c r="G36" s="537"/>
      <c r="H36" s="537"/>
      <c r="I36" s="537"/>
      <c r="J36" s="535"/>
      <c r="K36" s="537"/>
      <c r="L36" s="537" t="s">
        <v>58</v>
      </c>
      <c r="M36" s="537"/>
      <c r="N36" s="537"/>
      <c r="O36" s="344"/>
      <c r="P36" s="729"/>
      <c r="Q36" s="344"/>
      <c r="R36" s="344"/>
      <c r="S36" s="729"/>
      <c r="T36" s="344"/>
      <c r="U36" s="344"/>
      <c r="V36" s="344"/>
    </row>
    <row r="37" spans="2:22" s="293" customFormat="1" ht="15.75">
      <c r="B37" s="313"/>
      <c r="C37" s="535"/>
      <c r="D37" s="537"/>
      <c r="E37" s="537"/>
      <c r="F37" s="537"/>
      <c r="G37" s="537"/>
      <c r="H37" s="537"/>
      <c r="I37" s="537"/>
      <c r="J37" s="535"/>
      <c r="K37" s="537"/>
      <c r="L37" s="537"/>
      <c r="M37" s="537"/>
      <c r="N37" s="537"/>
      <c r="O37" s="344"/>
      <c r="P37" s="729"/>
      <c r="Q37" s="344"/>
      <c r="R37" s="344"/>
      <c r="S37" s="729"/>
      <c r="T37" s="344"/>
      <c r="U37" s="344"/>
      <c r="V37" s="344"/>
    </row>
    <row r="38" spans="2:22" s="293" customFormat="1" ht="15.75">
      <c r="B38" s="313"/>
      <c r="C38" s="535"/>
      <c r="D38" s="537"/>
      <c r="E38" s="537"/>
      <c r="F38" s="537"/>
      <c r="G38" s="537"/>
      <c r="H38" s="537"/>
      <c r="I38" s="537"/>
      <c r="J38" s="535"/>
      <c r="K38" s="537"/>
      <c r="L38" s="537"/>
      <c r="M38" s="537"/>
      <c r="N38" s="537"/>
      <c r="O38" s="344"/>
      <c r="P38" s="729"/>
      <c r="Q38" s="344"/>
      <c r="R38" s="344"/>
      <c r="S38" s="729"/>
      <c r="T38" s="344"/>
      <c r="U38" s="344"/>
      <c r="V38" s="344"/>
    </row>
    <row r="39" spans="2:22" s="293" customFormat="1" ht="15.75">
      <c r="B39" s="313"/>
      <c r="C39" s="535"/>
      <c r="D39" s="537"/>
      <c r="E39" s="537"/>
      <c r="F39" s="537"/>
      <c r="G39" s="537"/>
      <c r="H39" s="537"/>
      <c r="I39" s="537"/>
      <c r="J39" s="535"/>
      <c r="K39" s="537"/>
      <c r="L39" s="537"/>
      <c r="M39" s="537"/>
      <c r="N39" s="537"/>
      <c r="O39" s="344"/>
      <c r="P39" s="729"/>
      <c r="Q39" s="729"/>
      <c r="R39" s="344"/>
      <c r="S39" s="729"/>
      <c r="T39" s="344"/>
      <c r="U39" s="344"/>
      <c r="V39" s="344"/>
    </row>
    <row r="40" spans="2:22" s="293" customFormat="1" ht="15.75">
      <c r="B40" s="313"/>
      <c r="C40" s="310"/>
      <c r="D40" s="332"/>
      <c r="E40" s="332"/>
      <c r="F40" s="332"/>
      <c r="G40" s="332"/>
      <c r="H40" s="332"/>
      <c r="I40" s="332"/>
      <c r="J40" s="310"/>
      <c r="K40" s="332"/>
      <c r="L40" s="332"/>
      <c r="M40" s="332"/>
      <c r="N40" s="332"/>
      <c r="O40" s="344"/>
      <c r="P40" s="729"/>
      <c r="Q40" s="729"/>
      <c r="R40" s="344"/>
      <c r="S40" s="729"/>
      <c r="T40" s="344"/>
      <c r="U40" s="344"/>
      <c r="V40" s="344"/>
    </row>
    <row r="41" spans="2:22" s="293" customFormat="1" ht="15.75">
      <c r="B41" s="313"/>
      <c r="C41" s="310"/>
      <c r="D41" s="332"/>
      <c r="E41" s="332"/>
      <c r="F41" s="332"/>
      <c r="G41" s="332"/>
      <c r="H41" s="332"/>
      <c r="I41" s="332"/>
      <c r="J41" s="310"/>
      <c r="K41" s="332"/>
      <c r="L41" s="332"/>
      <c r="M41" s="332"/>
      <c r="N41" s="332"/>
      <c r="O41" s="344"/>
      <c r="P41" s="729"/>
      <c r="Q41" s="729"/>
      <c r="R41" s="344"/>
      <c r="S41" s="729"/>
      <c r="T41" s="344"/>
      <c r="U41" s="344"/>
      <c r="V41" s="344"/>
    </row>
    <row r="42" spans="2:22" s="293" customFormat="1" ht="15.75">
      <c r="B42" s="313"/>
      <c r="C42" s="310"/>
      <c r="D42" s="332"/>
      <c r="E42" s="332"/>
      <c r="F42" s="332"/>
      <c r="G42" s="332"/>
      <c r="H42" s="332"/>
      <c r="I42" s="332"/>
      <c r="J42" s="310"/>
      <c r="K42" s="332"/>
      <c r="L42" s="332"/>
      <c r="M42" s="332"/>
      <c r="N42" s="332"/>
      <c r="O42" s="344"/>
      <c r="P42" s="729"/>
      <c r="Q42" s="729"/>
      <c r="R42" s="729"/>
      <c r="S42" s="729"/>
      <c r="T42" s="344"/>
      <c r="U42" s="344"/>
      <c r="V42" s="344"/>
    </row>
    <row r="43" spans="2:22" s="293" customFormat="1" ht="15.75">
      <c r="B43" s="313"/>
      <c r="C43" s="310"/>
      <c r="D43" s="332"/>
      <c r="E43" s="332"/>
      <c r="F43" s="332"/>
      <c r="G43" s="332"/>
      <c r="H43" s="332"/>
      <c r="I43" s="332"/>
      <c r="J43" s="310"/>
      <c r="K43" s="332"/>
      <c r="L43" s="332"/>
      <c r="M43" s="332"/>
      <c r="N43" s="332"/>
      <c r="O43" s="344"/>
      <c r="P43" s="729"/>
      <c r="Q43" s="729"/>
      <c r="R43" s="729"/>
      <c r="S43" s="729"/>
      <c r="T43" s="344"/>
      <c r="U43" s="344"/>
      <c r="V43" s="344"/>
    </row>
    <row r="44" spans="2:22" s="293" customFormat="1" ht="15.75">
      <c r="B44" s="313"/>
      <c r="C44" s="310"/>
      <c r="D44" s="332"/>
      <c r="E44" s="332"/>
      <c r="F44" s="332"/>
      <c r="G44" s="332"/>
      <c r="H44" s="332"/>
      <c r="I44" s="332"/>
      <c r="J44" s="310"/>
      <c r="K44" s="332"/>
      <c r="L44" s="332"/>
      <c r="M44" s="332"/>
      <c r="N44" s="332"/>
      <c r="O44" s="344"/>
      <c r="P44" s="729"/>
      <c r="Q44" s="729"/>
      <c r="R44" s="729"/>
      <c r="S44" s="729"/>
      <c r="T44" s="344"/>
      <c r="U44" s="344"/>
      <c r="V44" s="344"/>
    </row>
    <row r="45" spans="2:22" s="293" customFormat="1" ht="15.75">
      <c r="B45" s="313"/>
      <c r="C45" s="310"/>
      <c r="D45" s="332"/>
      <c r="E45" s="332"/>
      <c r="F45" s="332"/>
      <c r="G45" s="332"/>
      <c r="H45" s="332"/>
      <c r="I45" s="332"/>
      <c r="J45" s="310"/>
      <c r="K45" s="332"/>
      <c r="L45" s="332"/>
      <c r="M45" s="332"/>
      <c r="N45" s="332"/>
      <c r="O45" s="344"/>
      <c r="P45" s="729"/>
      <c r="Q45" s="729"/>
      <c r="R45" s="729"/>
      <c r="S45" s="729"/>
      <c r="T45" s="344"/>
      <c r="U45" s="344"/>
      <c r="V45" s="344"/>
    </row>
    <row r="46" spans="2:22" s="293" customFormat="1" ht="15.75">
      <c r="B46" s="313"/>
      <c r="C46" s="310"/>
      <c r="D46" s="332"/>
      <c r="E46" s="332"/>
      <c r="F46" s="332"/>
      <c r="G46" s="332"/>
      <c r="H46" s="332"/>
      <c r="I46" s="332"/>
      <c r="J46" s="310"/>
      <c r="K46" s="332"/>
      <c r="L46" s="332"/>
      <c r="M46" s="332"/>
      <c r="N46" s="332"/>
      <c r="O46" s="344"/>
      <c r="P46" s="729"/>
      <c r="Q46" s="729"/>
      <c r="R46" s="729"/>
      <c r="S46" s="729"/>
      <c r="T46" s="344"/>
      <c r="U46" s="344"/>
      <c r="V46" s="344"/>
    </row>
    <row r="47" spans="2:22" s="293" customFormat="1" ht="15.75">
      <c r="B47" s="313"/>
      <c r="C47" s="310"/>
      <c r="D47" s="332"/>
      <c r="E47" s="332"/>
      <c r="F47" s="332"/>
      <c r="G47" s="332"/>
      <c r="H47" s="332"/>
      <c r="I47" s="332"/>
      <c r="J47" s="310"/>
      <c r="K47" s="332"/>
      <c r="L47" s="332"/>
      <c r="M47" s="332"/>
      <c r="N47" s="332"/>
      <c r="O47" s="344"/>
      <c r="P47" s="729"/>
      <c r="Q47" s="729"/>
      <c r="R47" s="1767"/>
      <c r="S47" s="729"/>
      <c r="T47" s="344"/>
      <c r="U47" s="344"/>
      <c r="V47" s="344"/>
    </row>
    <row r="48" spans="2:22" s="293" customFormat="1" ht="15.75">
      <c r="B48" s="313"/>
      <c r="C48" s="310"/>
      <c r="D48" s="332"/>
      <c r="E48" s="332"/>
      <c r="F48" s="332"/>
      <c r="G48" s="332"/>
      <c r="H48" s="332"/>
      <c r="I48" s="332"/>
      <c r="J48" s="310"/>
      <c r="K48" s="332"/>
      <c r="L48" s="332"/>
      <c r="M48" s="332"/>
      <c r="N48" s="332"/>
      <c r="O48" s="344"/>
      <c r="P48" s="729"/>
      <c r="Q48" s="344"/>
      <c r="R48" s="344"/>
      <c r="S48" s="729"/>
      <c r="T48" s="344"/>
      <c r="U48" s="344"/>
      <c r="V48" s="344"/>
    </row>
    <row r="49" spans="2:22" s="293" customFormat="1" ht="15.75">
      <c r="B49" s="313"/>
      <c r="C49" s="310"/>
      <c r="D49" s="332"/>
      <c r="E49" s="332"/>
      <c r="F49" s="332"/>
      <c r="G49" s="332"/>
      <c r="H49" s="332"/>
      <c r="I49" s="332"/>
      <c r="J49" s="310"/>
      <c r="K49" s="332"/>
      <c r="L49" s="332"/>
      <c r="M49" s="332"/>
      <c r="N49" s="332"/>
      <c r="O49" s="344"/>
      <c r="P49" s="729"/>
      <c r="Q49" s="344"/>
      <c r="R49" s="344"/>
      <c r="S49" s="729"/>
      <c r="T49" s="344"/>
      <c r="U49" s="344"/>
      <c r="V49" s="344"/>
    </row>
    <row r="50" spans="2:22" s="293" customFormat="1" ht="15.75">
      <c r="B50" s="313"/>
      <c r="C50" s="310"/>
      <c r="D50" s="332"/>
      <c r="E50" s="332"/>
      <c r="F50" s="332"/>
      <c r="G50" s="332"/>
      <c r="H50" s="332"/>
      <c r="I50" s="332"/>
      <c r="J50" s="310"/>
      <c r="K50" s="332"/>
      <c r="L50" s="332"/>
      <c r="M50" s="332"/>
      <c r="N50" s="332"/>
      <c r="O50" s="344"/>
      <c r="P50" s="729"/>
      <c r="Q50" s="344"/>
      <c r="R50" s="344"/>
      <c r="S50" s="729"/>
      <c r="T50" s="344"/>
      <c r="U50" s="344"/>
      <c r="V50" s="344"/>
    </row>
    <row r="51" spans="2:22" s="293" customFormat="1" ht="15.75">
      <c r="B51" s="313"/>
      <c r="C51" s="310"/>
      <c r="D51" s="332"/>
      <c r="E51" s="332"/>
      <c r="F51" s="332"/>
      <c r="G51" s="332"/>
      <c r="H51" s="332"/>
      <c r="I51" s="332"/>
      <c r="J51" s="310"/>
      <c r="K51" s="332"/>
      <c r="L51" s="332"/>
      <c r="M51" s="332"/>
      <c r="N51" s="332"/>
      <c r="P51" s="723"/>
      <c r="S51" s="723"/>
    </row>
    <row r="52" spans="2:22" s="293" customFormat="1" ht="15.75">
      <c r="B52" s="313"/>
      <c r="C52" s="310"/>
      <c r="D52" s="332"/>
      <c r="E52" s="332"/>
      <c r="F52" s="332"/>
      <c r="G52" s="332"/>
      <c r="H52" s="332"/>
      <c r="I52" s="332"/>
      <c r="J52" s="310"/>
      <c r="K52" s="332"/>
      <c r="L52" s="332"/>
      <c r="M52" s="332"/>
      <c r="N52" s="332"/>
      <c r="P52" s="723"/>
      <c r="S52" s="723"/>
    </row>
    <row r="53" spans="2:22" s="293" customFormat="1" ht="15.75">
      <c r="B53" s="313"/>
      <c r="C53" s="310"/>
      <c r="D53" s="332"/>
      <c r="E53" s="332"/>
      <c r="F53" s="332"/>
      <c r="G53" s="332"/>
      <c r="H53" s="332"/>
      <c r="I53" s="332"/>
      <c r="J53" s="310"/>
      <c r="K53" s="332"/>
      <c r="L53" s="332"/>
      <c r="M53" s="332"/>
      <c r="N53" s="332"/>
      <c r="P53" s="723"/>
      <c r="S53" s="723"/>
    </row>
    <row r="54" spans="2:22" s="293" customFormat="1" ht="15.75">
      <c r="B54" s="313"/>
      <c r="C54" s="310"/>
      <c r="D54" s="332"/>
      <c r="E54" s="332"/>
      <c r="F54" s="332"/>
      <c r="G54" s="332"/>
      <c r="H54" s="332"/>
      <c r="I54" s="332"/>
      <c r="J54" s="310"/>
      <c r="K54" s="332"/>
      <c r="L54" s="332"/>
      <c r="M54" s="332"/>
      <c r="N54" s="332"/>
      <c r="P54" s="723"/>
      <c r="S54" s="723"/>
    </row>
    <row r="55" spans="2:22" s="293" customFormat="1" ht="15.75">
      <c r="B55" s="313"/>
      <c r="C55" s="310"/>
      <c r="D55" s="332"/>
      <c r="E55" s="332"/>
      <c r="F55" s="332"/>
      <c r="G55" s="332"/>
      <c r="H55" s="332"/>
      <c r="I55" s="332"/>
      <c r="J55" s="310"/>
      <c r="K55" s="332"/>
      <c r="L55" s="332"/>
      <c r="M55" s="332"/>
      <c r="N55" s="332"/>
      <c r="P55" s="723"/>
      <c r="S55" s="723"/>
    </row>
    <row r="56" spans="2:22" s="293" customFormat="1" ht="15.75">
      <c r="B56" s="313"/>
      <c r="C56" s="310"/>
      <c r="D56" s="332"/>
      <c r="E56" s="332"/>
      <c r="F56" s="332"/>
      <c r="G56" s="332"/>
      <c r="H56" s="332"/>
      <c r="I56" s="332"/>
      <c r="J56" s="310"/>
      <c r="K56" s="332"/>
      <c r="L56" s="332"/>
      <c r="M56" s="332"/>
      <c r="N56" s="332"/>
      <c r="P56" s="723" t="s">
        <v>58</v>
      </c>
      <c r="S56" s="723"/>
    </row>
    <row r="57" spans="2:22" s="293" customFormat="1" ht="15.75">
      <c r="B57" s="313"/>
      <c r="C57" s="310"/>
      <c r="D57" s="332"/>
      <c r="E57" s="332"/>
      <c r="F57" s="332"/>
      <c r="G57" s="332"/>
      <c r="H57" s="332"/>
      <c r="I57" s="332"/>
      <c r="J57" s="310"/>
      <c r="K57" s="332"/>
      <c r="L57" s="332"/>
      <c r="M57" s="332"/>
      <c r="N57" s="332"/>
      <c r="P57" s="723" t="s">
        <v>58</v>
      </c>
      <c r="S57" s="723"/>
    </row>
    <row r="58" spans="2:22" s="293" customFormat="1" ht="15.75">
      <c r="B58" s="313"/>
      <c r="C58" s="310"/>
      <c r="D58" s="332"/>
      <c r="E58" s="332"/>
      <c r="F58" s="332"/>
      <c r="G58" s="332"/>
      <c r="H58" s="332"/>
      <c r="I58" s="332"/>
      <c r="J58" s="310"/>
      <c r="K58" s="332"/>
      <c r="L58" s="332"/>
      <c r="M58" s="332"/>
      <c r="N58" s="332"/>
      <c r="P58" s="723"/>
      <c r="S58" s="723"/>
    </row>
    <row r="59" spans="2:22" s="293" customFormat="1" ht="15.75">
      <c r="B59" s="313"/>
      <c r="C59" s="310"/>
      <c r="D59" s="332"/>
      <c r="E59" s="332"/>
      <c r="F59" s="332"/>
      <c r="G59" s="332"/>
      <c r="H59" s="332"/>
      <c r="I59" s="332"/>
      <c r="J59" s="310"/>
      <c r="K59" s="332"/>
      <c r="L59" s="332"/>
      <c r="M59" s="332"/>
      <c r="N59" s="332"/>
      <c r="P59" s="723"/>
      <c r="S59" s="723"/>
    </row>
    <row r="60" spans="2:22" s="293" customFormat="1" ht="15.75">
      <c r="B60" s="313"/>
      <c r="C60" s="310"/>
      <c r="D60" s="332"/>
      <c r="E60" s="332"/>
      <c r="F60" s="332"/>
      <c r="G60" s="332"/>
      <c r="H60" s="332"/>
      <c r="I60" s="332"/>
      <c r="J60" s="310"/>
      <c r="K60" s="332"/>
      <c r="L60" s="332"/>
      <c r="M60" s="332"/>
      <c r="N60" s="332"/>
      <c r="P60" s="723"/>
      <c r="S60" s="723"/>
    </row>
    <row r="61" spans="2:22" s="344" customFormat="1" ht="15.75">
      <c r="B61" s="313"/>
      <c r="C61" s="310"/>
      <c r="D61" s="332"/>
      <c r="E61" s="332"/>
      <c r="F61" s="332"/>
      <c r="G61" s="332"/>
      <c r="H61" s="332"/>
      <c r="I61" s="332"/>
      <c r="J61" s="310"/>
      <c r="K61" s="332"/>
      <c r="L61" s="332"/>
      <c r="M61" s="332"/>
      <c r="N61" s="332"/>
      <c r="P61" s="729"/>
      <c r="S61" s="729"/>
    </row>
    <row r="62" spans="2:22" s="293" customFormat="1" ht="15.75">
      <c r="B62" s="313"/>
      <c r="C62" s="310"/>
      <c r="D62" s="332"/>
      <c r="E62" s="332"/>
      <c r="F62" s="332"/>
      <c r="G62" s="332"/>
      <c r="H62" s="332"/>
      <c r="I62" s="332"/>
      <c r="J62" s="310"/>
      <c r="K62" s="332"/>
      <c r="L62" s="332"/>
      <c r="M62" s="332"/>
      <c r="N62" s="332"/>
      <c r="P62" s="723"/>
      <c r="S62" s="723"/>
    </row>
    <row r="63" spans="2:22" s="293" customFormat="1" ht="15.75">
      <c r="B63" s="313"/>
      <c r="C63" s="310"/>
      <c r="D63" s="332"/>
      <c r="E63" s="332"/>
      <c r="F63" s="332"/>
      <c r="G63" s="332"/>
      <c r="H63" s="332"/>
      <c r="I63" s="332"/>
      <c r="J63" s="310"/>
      <c r="K63" s="332"/>
      <c r="L63" s="332"/>
      <c r="M63" s="332"/>
      <c r="N63" s="332"/>
      <c r="P63" s="723"/>
      <c r="S63" s="723"/>
    </row>
    <row r="64" spans="2:22" s="293" customFormat="1" ht="15.75">
      <c r="B64" s="313"/>
      <c r="C64" s="310"/>
      <c r="D64" s="332"/>
      <c r="E64" s="332"/>
      <c r="F64" s="332"/>
      <c r="G64" s="332"/>
      <c r="H64" s="332"/>
      <c r="I64" s="332"/>
      <c r="J64" s="310"/>
      <c r="K64" s="332"/>
      <c r="L64" s="332"/>
      <c r="M64" s="332"/>
      <c r="N64" s="332"/>
      <c r="P64" s="723"/>
      <c r="S64" s="723"/>
    </row>
    <row r="65" spans="2:19" s="293" customFormat="1" ht="15.75">
      <c r="B65" s="313"/>
      <c r="C65" s="310"/>
      <c r="D65" s="332"/>
      <c r="E65" s="332"/>
      <c r="F65" s="332"/>
      <c r="G65" s="332"/>
      <c r="H65" s="332"/>
      <c r="I65" s="332"/>
      <c r="J65" s="310"/>
      <c r="K65" s="332"/>
      <c r="L65" s="332"/>
      <c r="M65" s="332"/>
      <c r="N65" s="332"/>
      <c r="P65" s="723"/>
      <c r="S65" s="723"/>
    </row>
    <row r="66" spans="2:19" s="293" customFormat="1" ht="15.75">
      <c r="B66" s="313"/>
      <c r="C66" s="310"/>
      <c r="D66" s="332"/>
      <c r="E66" s="332"/>
      <c r="F66" s="332"/>
      <c r="G66" s="332"/>
      <c r="H66" s="332"/>
      <c r="I66" s="332"/>
      <c r="J66" s="310"/>
      <c r="K66" s="332"/>
      <c r="L66" s="332"/>
      <c r="M66" s="332"/>
      <c r="N66" s="332"/>
      <c r="P66" s="723"/>
      <c r="S66" s="723"/>
    </row>
    <row r="67" spans="2:19" s="293" customFormat="1" ht="15.75">
      <c r="B67" s="313"/>
      <c r="C67" s="310"/>
      <c r="D67" s="332"/>
      <c r="E67" s="332"/>
      <c r="F67" s="332"/>
      <c r="G67" s="332"/>
      <c r="H67" s="332"/>
      <c r="I67" s="332"/>
      <c r="J67" s="310"/>
      <c r="K67" s="332"/>
      <c r="L67" s="332"/>
      <c r="M67" s="332"/>
      <c r="N67" s="332"/>
      <c r="P67" s="723"/>
      <c r="S67" s="723"/>
    </row>
    <row r="68" spans="2:19" s="293" customFormat="1" ht="15.75">
      <c r="B68" s="313"/>
      <c r="C68" s="310"/>
      <c r="D68" s="332"/>
      <c r="E68" s="332"/>
      <c r="F68" s="332"/>
      <c r="G68" s="332"/>
      <c r="H68" s="332"/>
      <c r="I68" s="332"/>
      <c r="J68" s="310"/>
      <c r="K68" s="332"/>
      <c r="L68" s="332"/>
      <c r="M68" s="332"/>
      <c r="N68" s="332"/>
      <c r="P68" s="723"/>
      <c r="S68" s="723"/>
    </row>
    <row r="69" spans="2:19" s="293" customFormat="1" ht="15.75">
      <c r="B69" s="313"/>
      <c r="C69" s="310"/>
      <c r="D69" s="332"/>
      <c r="E69" s="332"/>
      <c r="F69" s="332"/>
      <c r="G69" s="332"/>
      <c r="H69" s="332"/>
      <c r="I69" s="332"/>
      <c r="J69" s="310"/>
      <c r="K69" s="332"/>
      <c r="L69" s="332"/>
      <c r="M69" s="332"/>
      <c r="N69" s="332"/>
      <c r="P69" s="723"/>
      <c r="S69" s="723"/>
    </row>
    <row r="70" spans="2:19" ht="15.75">
      <c r="B70" s="313"/>
      <c r="C70" s="314"/>
      <c r="D70" s="314"/>
      <c r="E70" s="314"/>
      <c r="F70" s="314"/>
      <c r="G70" s="314"/>
      <c r="H70" s="314"/>
      <c r="I70" s="314"/>
      <c r="J70" s="314"/>
      <c r="K70" s="314"/>
      <c r="L70" s="314"/>
      <c r="M70" s="314"/>
      <c r="N70" s="314"/>
    </row>
    <row r="71" spans="2:19" ht="15.75">
      <c r="B71" s="313"/>
      <c r="C71" s="313"/>
      <c r="D71" s="305"/>
      <c r="E71" s="305"/>
      <c r="F71" s="310"/>
      <c r="G71" s="310"/>
      <c r="H71" s="305"/>
      <c r="I71" s="310"/>
      <c r="J71" s="298"/>
      <c r="K71" s="305"/>
      <c r="L71" s="316"/>
      <c r="M71" s="305"/>
      <c r="N71" s="316"/>
    </row>
    <row r="72" spans="2:19" ht="15.75">
      <c r="B72" s="298"/>
      <c r="C72" s="902"/>
      <c r="D72" s="902"/>
      <c r="E72" s="902"/>
      <c r="F72" s="902"/>
      <c r="G72" s="902"/>
      <c r="H72" s="902"/>
      <c r="I72" s="902"/>
      <c r="J72" s="902"/>
      <c r="K72" s="902"/>
      <c r="L72" s="902"/>
      <c r="M72" s="902"/>
      <c r="N72" s="902"/>
    </row>
    <row r="73" spans="2:19" ht="15.75">
      <c r="B73" s="298"/>
      <c r="C73" s="298"/>
      <c r="D73" s="298"/>
      <c r="E73" s="298"/>
      <c r="F73" s="298"/>
      <c r="G73" s="298"/>
      <c r="H73" s="298"/>
      <c r="I73" s="298"/>
      <c r="J73" s="298"/>
      <c r="K73" s="298"/>
      <c r="L73" s="311"/>
      <c r="M73" s="298"/>
      <c r="N73" s="311"/>
    </row>
    <row r="74" spans="2:19" ht="15.75">
      <c r="B74" s="298"/>
      <c r="C74" s="298"/>
      <c r="D74" s="298"/>
      <c r="E74" s="298"/>
      <c r="F74" s="298"/>
      <c r="G74" s="298"/>
      <c r="H74" s="298"/>
      <c r="I74" s="298"/>
      <c r="J74" s="298"/>
      <c r="K74" s="298"/>
      <c r="L74" s="311"/>
      <c r="M74" s="298"/>
      <c r="N74" s="311"/>
    </row>
    <row r="75" spans="2:19" ht="15.75">
      <c r="B75" s="299"/>
      <c r="C75" s="299"/>
      <c r="D75" s="298"/>
      <c r="E75" s="298"/>
      <c r="F75" s="298"/>
      <c r="G75" s="298"/>
      <c r="H75" s="298"/>
      <c r="I75" s="298"/>
      <c r="J75" s="298"/>
      <c r="K75" s="298"/>
      <c r="L75" s="311"/>
      <c r="M75" s="298"/>
      <c r="N75" s="311"/>
    </row>
    <row r="76" spans="2:19" ht="15.75">
      <c r="B76" s="298"/>
      <c r="C76" s="298"/>
      <c r="D76" s="298"/>
      <c r="E76" s="298"/>
      <c r="F76" s="298"/>
      <c r="G76" s="298"/>
      <c r="H76" s="298"/>
      <c r="I76" s="298"/>
      <c r="J76" s="298"/>
      <c r="K76" s="298"/>
      <c r="L76" s="311"/>
      <c r="M76" s="298"/>
      <c r="N76" s="311"/>
    </row>
    <row r="77" spans="2:19" ht="15.75">
      <c r="B77" s="298"/>
      <c r="C77" s="298"/>
      <c r="D77" s="298"/>
      <c r="E77" s="298"/>
      <c r="F77" s="298"/>
      <c r="G77" s="298"/>
      <c r="H77" s="298"/>
      <c r="I77" s="298"/>
      <c r="J77" s="298"/>
      <c r="K77" s="298"/>
      <c r="L77" s="311"/>
      <c r="M77" s="298"/>
      <c r="N77" s="311"/>
    </row>
    <row r="78" spans="2:19" ht="15.75">
      <c r="B78" s="298"/>
      <c r="C78" s="298"/>
      <c r="D78" s="298"/>
      <c r="E78" s="298"/>
      <c r="F78" s="298"/>
      <c r="G78" s="298"/>
      <c r="H78" s="298"/>
      <c r="I78" s="298"/>
      <c r="J78" s="298"/>
      <c r="K78" s="298"/>
      <c r="L78" s="311"/>
      <c r="M78" s="298"/>
      <c r="N78" s="311"/>
    </row>
    <row r="79" spans="2:19" ht="15.75">
      <c r="B79" s="298"/>
      <c r="C79" s="298"/>
      <c r="D79" s="298"/>
      <c r="E79" s="298"/>
      <c r="F79" s="298"/>
      <c r="G79" s="298"/>
      <c r="H79" s="298"/>
      <c r="I79" s="298"/>
      <c r="J79" s="298"/>
      <c r="K79" s="298"/>
      <c r="L79" s="311"/>
      <c r="M79" s="298"/>
      <c r="N79" s="311"/>
    </row>
    <row r="80" spans="2:19"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row r="124" spans="2:14" ht="15.75">
      <c r="B124" s="298"/>
      <c r="C124" s="298"/>
      <c r="D124" s="298"/>
      <c r="E124" s="298"/>
      <c r="F124" s="298"/>
      <c r="G124" s="298"/>
      <c r="H124" s="298"/>
      <c r="I124" s="298"/>
      <c r="J124" s="298"/>
      <c r="K124" s="298"/>
      <c r="L124" s="311"/>
      <c r="M124" s="298"/>
      <c r="N124" s="311"/>
    </row>
    <row r="125" spans="2:14" ht="15.75">
      <c r="B125" s="298"/>
      <c r="C125" s="298"/>
      <c r="D125" s="298"/>
      <c r="E125" s="298"/>
      <c r="F125" s="298"/>
      <c r="G125" s="298"/>
      <c r="H125" s="298"/>
      <c r="I125" s="298"/>
      <c r="J125" s="298"/>
      <c r="K125" s="298"/>
      <c r="L125" s="311"/>
      <c r="M125" s="298"/>
      <c r="N125" s="311"/>
    </row>
    <row r="126" spans="2:14" ht="15.75">
      <c r="B126" s="298"/>
      <c r="C126" s="298"/>
      <c r="D126" s="298"/>
      <c r="E126" s="298"/>
      <c r="F126" s="298"/>
      <c r="G126" s="298"/>
      <c r="H126" s="298"/>
      <c r="I126" s="298"/>
      <c r="J126" s="298"/>
      <c r="K126" s="298"/>
      <c r="L126" s="311"/>
      <c r="M126" s="298"/>
      <c r="N126" s="311"/>
    </row>
  </sheetData>
  <sortState ref="A25:N27">
    <sortCondition ref="A25"/>
  </sortState>
  <mergeCells count="3">
    <mergeCell ref="B1:N1"/>
    <mergeCell ref="B4:N4"/>
    <mergeCell ref="B3:N3"/>
  </mergeCells>
  <printOptions horizontalCentered="1"/>
  <pageMargins left="0.5" right="0.5" top="0.5" bottom="0.5" header="0.5" footer="0.5"/>
  <pageSetup scale="74" orientation="portrait"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9" tint="0.39997558519241921"/>
    <pageSetUpPr fitToPage="1"/>
  </sheetPr>
  <dimension ref="A1:U96"/>
  <sheetViews>
    <sheetView showGridLines="0" showRuler="0" topLeftCell="B3" zoomScaleNormal="100" zoomScaleSheetLayoutView="130" workbookViewId="0">
      <selection activeCell="B58" sqref="A58:XFD64"/>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85546875" style="283" bestFit="1" customWidth="1"/>
    <col min="16" max="19" width="6.85546875" style="283"/>
    <col min="20" max="20" width="10.7109375" style="723" bestFit="1" customWidth="1"/>
    <col min="21" max="16384" width="6.85546875" style="283"/>
  </cols>
  <sheetData>
    <row r="1" spans="1:20" ht="23.45" hidden="1" customHeight="1">
      <c r="B1" s="1706" t="s">
        <v>592</v>
      </c>
      <c r="C1" s="1706"/>
      <c r="D1" s="1706"/>
      <c r="E1" s="1706"/>
      <c r="F1" s="1706"/>
      <c r="G1" s="1706"/>
      <c r="H1" s="1706"/>
      <c r="I1" s="1706"/>
      <c r="J1" s="1706"/>
      <c r="K1" s="1706"/>
      <c r="L1" s="1706"/>
      <c r="M1" s="1706"/>
      <c r="N1" s="1710"/>
    </row>
    <row r="2" spans="1:20" ht="18.75" hidden="1">
      <c r="B2" s="284"/>
      <c r="C2" s="285"/>
      <c r="D2" s="285"/>
      <c r="E2" s="285"/>
      <c r="F2" s="285"/>
      <c r="G2" s="285"/>
      <c r="H2" s="285"/>
      <c r="I2" s="285"/>
      <c r="J2" s="285"/>
      <c r="K2" s="285"/>
      <c r="L2" s="285"/>
      <c r="M2" s="285"/>
      <c r="N2" s="285"/>
    </row>
    <row r="3" spans="1:20" ht="79.900000000000006" customHeight="1">
      <c r="B3" s="1704" t="s">
        <v>974</v>
      </c>
      <c r="C3" s="1704"/>
      <c r="D3" s="1704"/>
      <c r="E3" s="1704"/>
      <c r="F3" s="1704"/>
      <c r="G3" s="1704"/>
      <c r="H3" s="1704"/>
      <c r="I3" s="1704"/>
      <c r="J3" s="1704"/>
      <c r="K3" s="1704"/>
      <c r="L3" s="1704"/>
      <c r="M3" s="1704"/>
      <c r="N3" s="1704"/>
    </row>
    <row r="4" spans="1:20" ht="32.25" customHeight="1" thickBot="1">
      <c r="B4" s="1711"/>
      <c r="C4" s="1711"/>
      <c r="D4" s="1711"/>
      <c r="E4" s="1711"/>
      <c r="F4" s="1711"/>
      <c r="G4" s="1711"/>
      <c r="H4" s="1711"/>
      <c r="I4" s="1711"/>
      <c r="J4" s="1711"/>
      <c r="K4" s="1711"/>
      <c r="L4" s="1711"/>
      <c r="M4" s="1711"/>
      <c r="N4" s="1711"/>
    </row>
    <row r="5" spans="1:20" s="1125" customFormat="1" ht="52.9" customHeight="1" thickBot="1">
      <c r="B5" s="1126"/>
      <c r="C5" s="1127" t="s">
        <v>978</v>
      </c>
      <c r="D5" s="1136" t="s">
        <v>314</v>
      </c>
      <c r="E5" s="1136"/>
      <c r="F5" s="1128" t="s">
        <v>982</v>
      </c>
      <c r="G5" s="1137" t="s">
        <v>407</v>
      </c>
      <c r="H5" s="1136"/>
      <c r="I5" s="1128" t="s">
        <v>980</v>
      </c>
      <c r="J5" s="1138" t="s">
        <v>1</v>
      </c>
      <c r="K5" s="1136"/>
      <c r="L5" s="1141" t="s">
        <v>989</v>
      </c>
      <c r="M5" s="1136"/>
      <c r="N5" s="1129" t="s">
        <v>985</v>
      </c>
      <c r="T5" s="1766"/>
    </row>
    <row r="6" spans="1:20">
      <c r="B6" s="288"/>
      <c r="C6" s="288"/>
      <c r="D6" s="289"/>
      <c r="E6" s="289"/>
      <c r="F6" s="288"/>
      <c r="G6" s="288"/>
      <c r="H6" s="289"/>
      <c r="I6" s="288"/>
      <c r="J6" s="290"/>
      <c r="K6" s="289"/>
      <c r="L6" s="291"/>
      <c r="M6" s="289"/>
      <c r="N6" s="291"/>
    </row>
    <row r="7" spans="1:20" ht="15.75">
      <c r="B7" s="299" t="s">
        <v>2</v>
      </c>
      <c r="C7" s="299"/>
      <c r="D7" s="300"/>
      <c r="E7" s="300"/>
      <c r="F7" s="300"/>
      <c r="G7" s="301"/>
      <c r="H7" s="300"/>
      <c r="I7" s="301"/>
      <c r="J7" s="300"/>
      <c r="K7" s="300"/>
      <c r="L7" s="302"/>
      <c r="M7" s="300"/>
      <c r="N7" s="302"/>
    </row>
    <row r="8" spans="1:20" ht="15.75">
      <c r="A8" s="321" t="s">
        <v>338</v>
      </c>
      <c r="B8" s="305" t="s">
        <v>8</v>
      </c>
      <c r="C8" s="1268">
        <v>0.68</v>
      </c>
      <c r="D8" s="1243" t="e">
        <v>#N/A</v>
      </c>
      <c r="E8" s="1243"/>
      <c r="F8" s="1268">
        <v>0</v>
      </c>
      <c r="G8" s="1268">
        <v>15</v>
      </c>
      <c r="H8" s="1268"/>
      <c r="I8" s="1268">
        <v>0</v>
      </c>
      <c r="J8" s="1268">
        <v>0</v>
      </c>
      <c r="K8" s="1268"/>
      <c r="L8" s="1268">
        <v>0</v>
      </c>
      <c r="M8" s="1268"/>
      <c r="N8" s="1268">
        <v>0</v>
      </c>
      <c r="O8" s="336" t="s">
        <v>801</v>
      </c>
      <c r="P8" s="333">
        <v>0</v>
      </c>
      <c r="Q8" s="337">
        <v>0</v>
      </c>
    </row>
    <row r="9" spans="1:20" ht="15.75">
      <c r="A9" s="321" t="s">
        <v>349</v>
      </c>
      <c r="B9" s="305" t="s">
        <v>28</v>
      </c>
      <c r="C9" s="549">
        <v>0</v>
      </c>
      <c r="D9" s="549" t="e">
        <v>#N/A</v>
      </c>
      <c r="E9" s="549"/>
      <c r="F9" s="539">
        <v>0</v>
      </c>
      <c r="G9" s="539">
        <v>15</v>
      </c>
      <c r="H9" s="517"/>
      <c r="I9" s="539">
        <v>0</v>
      </c>
      <c r="J9" s="543">
        <v>0</v>
      </c>
      <c r="K9" s="517"/>
      <c r="L9" s="1241">
        <v>25021</v>
      </c>
      <c r="M9" s="303"/>
      <c r="N9" s="1241">
        <v>25021</v>
      </c>
      <c r="O9" s="336"/>
      <c r="P9" s="333"/>
      <c r="Q9" s="337"/>
    </row>
    <row r="10" spans="1:20" ht="15.75">
      <c r="B10" s="298" t="s">
        <v>319</v>
      </c>
      <c r="C10" s="550">
        <v>9.32</v>
      </c>
      <c r="D10" s="552" t="e">
        <v>#N/A</v>
      </c>
      <c r="E10" s="552"/>
      <c r="F10" s="550">
        <v>10</v>
      </c>
      <c r="G10" s="550">
        <v>10</v>
      </c>
      <c r="H10" s="552"/>
      <c r="I10" s="550">
        <v>10</v>
      </c>
      <c r="J10" s="551"/>
      <c r="K10" s="552"/>
      <c r="L10" s="1241">
        <v>0</v>
      </c>
      <c r="M10" s="306"/>
      <c r="N10" s="1241">
        <v>-10</v>
      </c>
      <c r="O10" s="336" t="s">
        <v>323</v>
      </c>
      <c r="P10" s="333">
        <v>307</v>
      </c>
      <c r="Q10" s="337">
        <v>1</v>
      </c>
    </row>
    <row r="11" spans="1:20" s="625" customFormat="1" ht="16.5" thickBot="1">
      <c r="B11" s="622" t="s">
        <v>9</v>
      </c>
      <c r="C11" s="553">
        <v>10</v>
      </c>
      <c r="D11" s="553" t="e">
        <v>#N/A</v>
      </c>
      <c r="E11" s="553"/>
      <c r="F11" s="553">
        <v>10</v>
      </c>
      <c r="G11" s="553">
        <v>40</v>
      </c>
      <c r="H11" s="553"/>
      <c r="I11" s="553">
        <v>10</v>
      </c>
      <c r="J11" s="1244">
        <v>0</v>
      </c>
      <c r="K11" s="1244">
        <v>0</v>
      </c>
      <c r="L11" s="1244">
        <v>25021</v>
      </c>
      <c r="M11" s="308"/>
      <c r="N11" s="1153">
        <v>25011</v>
      </c>
      <c r="O11" s="345" t="s">
        <v>25</v>
      </c>
      <c r="P11" s="338">
        <v>307</v>
      </c>
      <c r="Q11" s="339">
        <v>1</v>
      </c>
      <c r="R11" s="661"/>
      <c r="T11" s="724"/>
    </row>
    <row r="12" spans="1:20" s="293" customFormat="1" ht="16.5" thickTop="1">
      <c r="B12" s="310"/>
      <c r="C12" s="556"/>
      <c r="D12" s="550"/>
      <c r="E12" s="550"/>
      <c r="F12" s="550"/>
      <c r="G12" s="550"/>
      <c r="H12" s="550"/>
      <c r="I12" s="550"/>
      <c r="J12" s="550"/>
      <c r="K12" s="550"/>
      <c r="L12" s="550"/>
      <c r="M12" s="304"/>
      <c r="N12" s="1154"/>
      <c r="O12" s="346"/>
      <c r="P12" s="341"/>
      <c r="Q12" s="348"/>
      <c r="R12" s="344"/>
      <c r="T12" s="723"/>
    </row>
    <row r="13" spans="1:20" s="293" customFormat="1" ht="15.75">
      <c r="B13" s="313" t="s">
        <v>320</v>
      </c>
      <c r="C13" s="556"/>
      <c r="D13" s="552"/>
      <c r="E13" s="552"/>
      <c r="F13" s="550"/>
      <c r="G13" s="550"/>
      <c r="H13" s="552"/>
      <c r="I13" s="550"/>
      <c r="J13" s="550"/>
      <c r="K13" s="552"/>
      <c r="L13" s="552"/>
      <c r="M13" s="306"/>
      <c r="N13" s="1155"/>
      <c r="O13" s="346"/>
      <c r="P13" s="341"/>
      <c r="Q13" s="348"/>
      <c r="R13" s="344"/>
      <c r="T13" s="723"/>
    </row>
    <row r="14" spans="1:20" s="293" customFormat="1" ht="15.75">
      <c r="B14" s="311" t="s">
        <v>327</v>
      </c>
      <c r="C14" s="548">
        <v>-24704</v>
      </c>
      <c r="D14" s="552" t="e">
        <v>#N/A</v>
      </c>
      <c r="E14" s="552"/>
      <c r="F14" s="549">
        <v>-24714</v>
      </c>
      <c r="G14" s="550">
        <v>-24714</v>
      </c>
      <c r="H14" s="552"/>
      <c r="I14" s="549">
        <v>-24714</v>
      </c>
      <c r="J14" s="540">
        <v>0</v>
      </c>
      <c r="K14" s="532"/>
      <c r="L14" s="549">
        <v>-24714</v>
      </c>
      <c r="M14" s="306"/>
      <c r="N14" s="1241">
        <v>0</v>
      </c>
      <c r="O14" s="346"/>
      <c r="P14" s="341"/>
      <c r="Q14" s="348"/>
      <c r="R14" s="344"/>
      <c r="T14" s="723"/>
    </row>
    <row r="15" spans="1:20" s="293" customFormat="1" ht="15.75">
      <c r="B15" s="622" t="s">
        <v>20</v>
      </c>
      <c r="C15" s="776">
        <v>-24704</v>
      </c>
      <c r="D15" s="553" t="e">
        <v>#N/A</v>
      </c>
      <c r="E15" s="553"/>
      <c r="F15" s="553">
        <v>-24714</v>
      </c>
      <c r="G15" s="553">
        <v>-24714</v>
      </c>
      <c r="H15" s="553"/>
      <c r="I15" s="553">
        <v>-24714</v>
      </c>
      <c r="J15" s="987">
        <v>0</v>
      </c>
      <c r="K15" s="541"/>
      <c r="L15" s="553">
        <v>-24714</v>
      </c>
      <c r="M15" s="308"/>
      <c r="N15" s="1244">
        <v>0</v>
      </c>
      <c r="O15" s="346"/>
      <c r="P15" s="341"/>
      <c r="Q15" s="348"/>
      <c r="R15" s="344"/>
      <c r="T15" s="723"/>
    </row>
    <row r="16" spans="1:20" s="293" customFormat="1" ht="16.5" thickBot="1">
      <c r="B16" s="616" t="s">
        <v>21</v>
      </c>
      <c r="C16" s="659">
        <v>-24694</v>
      </c>
      <c r="D16" s="659" t="e">
        <v>#N/A</v>
      </c>
      <c r="E16" s="659"/>
      <c r="F16" s="659">
        <v>-24704</v>
      </c>
      <c r="G16" s="659">
        <v>-24674</v>
      </c>
      <c r="H16" s="659"/>
      <c r="I16" s="659">
        <v>-24704</v>
      </c>
      <c r="J16" s="659">
        <v>0</v>
      </c>
      <c r="K16" s="659"/>
      <c r="L16" s="659">
        <v>307</v>
      </c>
      <c r="M16" s="647"/>
      <c r="N16" s="1158">
        <v>25011</v>
      </c>
      <c r="O16" s="341"/>
      <c r="P16" s="341"/>
      <c r="Q16" s="348"/>
      <c r="T16" s="723"/>
    </row>
    <row r="17" spans="1:20" s="293" customFormat="1" ht="16.5" thickTop="1">
      <c r="B17" s="316"/>
      <c r="C17" s="550"/>
      <c r="D17" s="550"/>
      <c r="E17" s="550"/>
      <c r="F17" s="550"/>
      <c r="G17" s="550"/>
      <c r="H17" s="550"/>
      <c r="I17" s="550"/>
      <c r="J17" s="550"/>
      <c r="K17" s="550"/>
      <c r="L17" s="550"/>
      <c r="M17" s="304"/>
      <c r="N17" s="1154"/>
      <c r="O17" s="341"/>
      <c r="P17" s="341"/>
      <c r="Q17" s="348"/>
      <c r="T17" s="723"/>
    </row>
    <row r="18" spans="1:20" s="293" customFormat="1" ht="15.75">
      <c r="B18" s="349" t="s">
        <v>10</v>
      </c>
      <c r="C18" s="660"/>
      <c r="D18" s="554"/>
      <c r="E18" s="554"/>
      <c r="F18" s="550"/>
      <c r="G18" s="550"/>
      <c r="H18" s="554"/>
      <c r="I18" s="550"/>
      <c r="J18" s="554"/>
      <c r="K18" s="554"/>
      <c r="L18" s="554"/>
      <c r="M18" s="302"/>
      <c r="N18" s="1159"/>
      <c r="T18" s="723"/>
    </row>
    <row r="19" spans="1:20" s="293" customFormat="1" ht="15.75">
      <c r="A19" s="293" t="s">
        <v>342</v>
      </c>
      <c r="B19" s="311" t="s">
        <v>801</v>
      </c>
      <c r="C19" s="548">
        <v>10</v>
      </c>
      <c r="D19" s="1243" t="e">
        <v>#N/A</v>
      </c>
      <c r="E19" s="1243"/>
      <c r="F19" s="1240">
        <v>10</v>
      </c>
      <c r="G19" s="1241">
        <v>15</v>
      </c>
      <c r="H19" s="1243"/>
      <c r="I19" s="1240">
        <v>10</v>
      </c>
      <c r="J19" s="540">
        <v>0</v>
      </c>
      <c r="K19" s="532"/>
      <c r="L19" s="1240">
        <v>0</v>
      </c>
      <c r="M19" s="306"/>
      <c r="N19" s="1241">
        <v>-10</v>
      </c>
      <c r="O19" s="346" t="s">
        <v>8</v>
      </c>
      <c r="P19" s="341">
        <v>0</v>
      </c>
      <c r="Q19" s="348">
        <v>0</v>
      </c>
      <c r="R19" s="344"/>
      <c r="T19" s="723"/>
    </row>
    <row r="20" spans="1:20" s="293" customFormat="1" ht="15.75">
      <c r="B20" s="622" t="s">
        <v>22</v>
      </c>
      <c r="C20" s="553">
        <v>10</v>
      </c>
      <c r="D20" s="553" t="e">
        <v>#N/A</v>
      </c>
      <c r="E20" s="553"/>
      <c r="F20" s="553">
        <v>10</v>
      </c>
      <c r="G20" s="553">
        <v>15</v>
      </c>
      <c r="H20" s="553"/>
      <c r="I20" s="553">
        <v>10</v>
      </c>
      <c r="J20" s="553">
        <v>0</v>
      </c>
      <c r="K20" s="553"/>
      <c r="L20" s="553">
        <v>0</v>
      </c>
      <c r="M20" s="308"/>
      <c r="N20" s="1244">
        <v>-10</v>
      </c>
      <c r="O20" s="341" t="s">
        <v>28</v>
      </c>
      <c r="P20" s="341">
        <v>25021</v>
      </c>
      <c r="Q20" s="348">
        <v>81.501628664495115</v>
      </c>
      <c r="T20" s="723"/>
    </row>
    <row r="21" spans="1:20" s="293" customFormat="1" ht="15.75">
      <c r="B21" s="311"/>
      <c r="C21" s="554"/>
      <c r="D21" s="550"/>
      <c r="E21" s="550"/>
      <c r="F21" s="550"/>
      <c r="G21" s="550"/>
      <c r="H21" s="550"/>
      <c r="I21" s="550"/>
      <c r="J21" s="550"/>
      <c r="K21" s="550"/>
      <c r="L21" s="550"/>
      <c r="M21" s="304"/>
      <c r="N21" s="1154"/>
      <c r="O21" s="341" t="s">
        <v>319</v>
      </c>
      <c r="P21" s="341">
        <v>0</v>
      </c>
      <c r="Q21" s="348">
        <v>0</v>
      </c>
      <c r="T21" s="723"/>
    </row>
    <row r="22" spans="1:20" s="293" customFormat="1" ht="16.5" thickBot="1">
      <c r="B22" s="313" t="s">
        <v>321</v>
      </c>
      <c r="C22" s="556"/>
      <c r="D22" s="554"/>
      <c r="E22" s="554"/>
      <c r="F22" s="554"/>
      <c r="G22" s="554"/>
      <c r="H22" s="554"/>
      <c r="I22" s="554"/>
      <c r="J22" s="554"/>
      <c r="K22" s="554"/>
      <c r="L22" s="554"/>
      <c r="M22" s="311"/>
      <c r="N22" s="1159"/>
      <c r="O22" s="345" t="s">
        <v>20</v>
      </c>
      <c r="P22" s="338">
        <v>-24714</v>
      </c>
      <c r="Q22" s="339">
        <v>-80.501628664495115</v>
      </c>
      <c r="T22" s="723"/>
    </row>
    <row r="23" spans="1:20" s="293" customFormat="1" ht="16.5" hidden="1" thickBot="1">
      <c r="B23" s="316" t="s">
        <v>322</v>
      </c>
      <c r="C23" s="304">
        <v>0</v>
      </c>
      <c r="D23" s="550" t="e">
        <v>#N/A</v>
      </c>
      <c r="E23" s="550"/>
      <c r="F23" s="304">
        <v>0</v>
      </c>
      <c r="G23" s="550">
        <v>0</v>
      </c>
      <c r="H23" s="550"/>
      <c r="I23" s="1083">
        <v>0</v>
      </c>
      <c r="J23" s="554">
        <v>0</v>
      </c>
      <c r="K23" s="550"/>
      <c r="L23" s="1083">
        <v>0</v>
      </c>
      <c r="M23" s="304"/>
      <c r="N23" s="1161">
        <v>0</v>
      </c>
      <c r="O23" s="340" t="s">
        <v>21</v>
      </c>
      <c r="P23" s="340">
        <v>307</v>
      </c>
      <c r="Q23" s="347">
        <v>1</v>
      </c>
      <c r="R23" s="344"/>
      <c r="S23" s="344"/>
      <c r="T23" s="723"/>
    </row>
    <row r="24" spans="1:20" s="293" customFormat="1" ht="16.5" thickTop="1">
      <c r="B24" s="316" t="s">
        <v>31</v>
      </c>
      <c r="C24" s="559">
        <v>-24704</v>
      </c>
      <c r="D24" s="550"/>
      <c r="E24" s="550"/>
      <c r="F24" s="550">
        <v>-24714</v>
      </c>
      <c r="G24" s="550">
        <v>-24785</v>
      </c>
      <c r="H24" s="550"/>
      <c r="I24" s="550">
        <v>-24714</v>
      </c>
      <c r="J24" s="554"/>
      <c r="K24" s="550"/>
      <c r="L24" s="550">
        <v>307</v>
      </c>
      <c r="M24" s="304"/>
      <c r="N24" s="1241">
        <v>25021</v>
      </c>
      <c r="O24" s="344"/>
      <c r="P24" s="538"/>
      <c r="Q24" s="654"/>
      <c r="R24" s="344"/>
      <c r="S24" s="344"/>
      <c r="T24" s="723"/>
    </row>
    <row r="25" spans="1:20" s="625" customFormat="1" ht="15.75">
      <c r="B25" s="1246" t="s">
        <v>323</v>
      </c>
      <c r="C25" s="553">
        <v>-24704</v>
      </c>
      <c r="D25" s="553" t="e">
        <v>#N/A</v>
      </c>
      <c r="E25" s="553"/>
      <c r="F25" s="553">
        <v>-24714</v>
      </c>
      <c r="G25" s="553">
        <v>-24785</v>
      </c>
      <c r="H25" s="553"/>
      <c r="I25" s="1084">
        <v>-24714</v>
      </c>
      <c r="J25" s="553">
        <v>0</v>
      </c>
      <c r="K25" s="553"/>
      <c r="L25" s="553">
        <v>307</v>
      </c>
      <c r="M25" s="308"/>
      <c r="N25" s="1244">
        <v>25021</v>
      </c>
      <c r="O25" s="344"/>
      <c r="P25" s="344"/>
      <c r="Q25" s="344"/>
      <c r="R25" s="661"/>
      <c r="S25" s="661"/>
      <c r="T25" s="724"/>
    </row>
    <row r="26" spans="1:20" s="293" customFormat="1" ht="16.5" thickBot="1">
      <c r="B26" s="616" t="s">
        <v>25</v>
      </c>
      <c r="C26" s="1267">
        <v>-24694</v>
      </c>
      <c r="D26" s="627" t="e">
        <v>#N/A</v>
      </c>
      <c r="E26" s="1267"/>
      <c r="F26" s="1267">
        <v>-24704</v>
      </c>
      <c r="G26" s="1267">
        <v>-24770</v>
      </c>
      <c r="H26" s="1267"/>
      <c r="I26" s="1267">
        <v>-24704</v>
      </c>
      <c r="J26" s="627">
        <v>0</v>
      </c>
      <c r="K26" s="627"/>
      <c r="L26" s="1267">
        <v>307</v>
      </c>
      <c r="M26" s="1267"/>
      <c r="N26" s="1267">
        <v>25011</v>
      </c>
      <c r="O26" s="661"/>
      <c r="P26" s="661"/>
      <c r="Q26" s="661"/>
      <c r="R26" s="344"/>
      <c r="S26" s="344"/>
      <c r="T26" s="723"/>
    </row>
    <row r="27" spans="1:20" s="293" customFormat="1" ht="16.5" thickTop="1">
      <c r="B27" s="313"/>
      <c r="C27" s="310"/>
      <c r="D27" s="332"/>
      <c r="E27" s="332"/>
      <c r="F27" s="332"/>
      <c r="G27" s="332"/>
      <c r="H27" s="332"/>
      <c r="I27" s="332"/>
      <c r="J27" s="310"/>
      <c r="K27" s="332"/>
      <c r="L27" s="332"/>
      <c r="M27" s="332"/>
      <c r="N27" s="1165"/>
      <c r="O27" s="344"/>
      <c r="P27" s="344"/>
      <c r="Q27" s="344"/>
      <c r="T27" s="723"/>
    </row>
    <row r="28" spans="1:20" s="293" customFormat="1" ht="15.75">
      <c r="B28" s="313"/>
      <c r="C28" s="310"/>
      <c r="D28" s="332"/>
      <c r="E28" s="332"/>
      <c r="F28" s="332"/>
      <c r="G28" s="332"/>
      <c r="H28" s="332"/>
      <c r="I28" s="332"/>
      <c r="J28" s="310"/>
      <c r="K28" s="332"/>
      <c r="L28" s="332"/>
      <c r="M28" s="332"/>
      <c r="N28" s="1165"/>
      <c r="T28" s="723"/>
    </row>
    <row r="29" spans="1:20" s="293" customFormat="1" ht="15.75">
      <c r="B29" s="313"/>
      <c r="C29" s="310"/>
      <c r="D29" s="332"/>
      <c r="E29" s="332"/>
      <c r="F29" s="332"/>
      <c r="G29" s="332"/>
      <c r="H29" s="332"/>
      <c r="I29" s="332"/>
      <c r="J29" s="310"/>
      <c r="K29" s="332"/>
      <c r="L29" s="332"/>
      <c r="M29" s="332"/>
      <c r="N29" s="604"/>
      <c r="T29" s="723"/>
    </row>
    <row r="30" spans="1:20" s="293" customFormat="1" ht="15.75">
      <c r="B30" s="313"/>
      <c r="C30" s="310"/>
      <c r="D30" s="332"/>
      <c r="E30" s="332"/>
      <c r="F30" s="332"/>
      <c r="G30" s="332"/>
      <c r="H30" s="332"/>
      <c r="I30" s="332"/>
      <c r="J30" s="310"/>
      <c r="K30" s="332"/>
      <c r="L30" s="332"/>
      <c r="M30" s="332"/>
      <c r="N30" s="604"/>
      <c r="T30" s="723"/>
    </row>
    <row r="31" spans="1:20" s="293" customFormat="1" ht="15.75">
      <c r="B31" s="313"/>
      <c r="C31" s="310"/>
      <c r="D31" s="332"/>
      <c r="E31" s="332"/>
      <c r="F31" s="332"/>
      <c r="G31" s="332"/>
      <c r="H31" s="332"/>
      <c r="I31" s="332"/>
      <c r="J31" s="310"/>
      <c r="K31" s="332"/>
      <c r="L31" s="332"/>
      <c r="M31" s="332"/>
      <c r="N31" s="604"/>
      <c r="T31" s="723"/>
    </row>
    <row r="32" spans="1:20" s="293" customFormat="1" ht="15.75">
      <c r="B32" s="313"/>
      <c r="C32" s="310"/>
      <c r="D32" s="332"/>
      <c r="E32" s="332"/>
      <c r="F32" s="332"/>
      <c r="G32" s="332"/>
      <c r="H32" s="332"/>
      <c r="I32" s="332"/>
      <c r="J32" s="310"/>
      <c r="K32" s="332"/>
      <c r="L32" s="332"/>
      <c r="M32" s="332"/>
      <c r="N32" s="332"/>
      <c r="T32" s="723"/>
    </row>
    <row r="33" spans="2:21" s="293" customFormat="1" ht="15.75">
      <c r="B33" s="313"/>
      <c r="C33" s="310"/>
      <c r="D33" s="332"/>
      <c r="E33" s="332"/>
      <c r="F33" s="332"/>
      <c r="G33" s="332"/>
      <c r="H33" s="332"/>
      <c r="I33" s="332"/>
      <c r="J33" s="310"/>
      <c r="K33" s="332"/>
      <c r="L33" s="332"/>
      <c r="M33" s="332"/>
      <c r="N33" s="332"/>
      <c r="T33" s="723"/>
    </row>
    <row r="34" spans="2:21" s="293" customFormat="1" ht="15.75">
      <c r="B34" s="313"/>
      <c r="C34" s="310"/>
      <c r="D34" s="332"/>
      <c r="E34" s="332"/>
      <c r="F34" s="332"/>
      <c r="G34" s="332"/>
      <c r="H34" s="332"/>
      <c r="I34" s="332"/>
      <c r="J34" s="310"/>
      <c r="K34" s="332"/>
      <c r="L34" s="332"/>
      <c r="M34" s="332"/>
      <c r="N34" s="332"/>
      <c r="O34" s="344"/>
      <c r="P34" s="344"/>
      <c r="Q34" s="344"/>
      <c r="R34" s="344"/>
      <c r="S34" s="344"/>
      <c r="T34" s="729"/>
      <c r="U34" s="344"/>
    </row>
    <row r="35" spans="2:21" s="293" customFormat="1" ht="15.75">
      <c r="B35" s="313"/>
      <c r="C35" s="310"/>
      <c r="D35" s="332"/>
      <c r="E35" s="332"/>
      <c r="F35" s="332"/>
      <c r="G35" s="332"/>
      <c r="H35" s="332"/>
      <c r="I35" s="332"/>
      <c r="J35" s="310"/>
      <c r="K35" s="332"/>
      <c r="L35" s="332"/>
      <c r="M35" s="332"/>
      <c r="N35" s="332"/>
      <c r="O35" s="344"/>
      <c r="P35" s="344"/>
      <c r="Q35" s="344"/>
      <c r="R35" s="344"/>
      <c r="S35" s="344"/>
      <c r="T35" s="729"/>
      <c r="U35" s="344"/>
    </row>
    <row r="36" spans="2:21" s="293" customFormat="1" ht="15.75">
      <c r="B36" s="313"/>
      <c r="C36" s="310"/>
      <c r="D36" s="332"/>
      <c r="E36" s="332"/>
      <c r="F36" s="332"/>
      <c r="G36" s="332"/>
      <c r="H36" s="332"/>
      <c r="I36" s="332"/>
      <c r="J36" s="310"/>
      <c r="K36" s="332"/>
      <c r="L36" s="332"/>
      <c r="M36" s="332"/>
      <c r="N36" s="332"/>
      <c r="O36" s="344"/>
      <c r="P36" s="344"/>
      <c r="Q36" s="344"/>
      <c r="R36" s="344"/>
      <c r="S36" s="344"/>
      <c r="T36" s="729"/>
      <c r="U36" s="344"/>
    </row>
    <row r="37" spans="2:21" s="293" customFormat="1" ht="15.75">
      <c r="B37" s="313"/>
      <c r="C37" s="310"/>
      <c r="D37" s="332"/>
      <c r="E37" s="332"/>
      <c r="F37" s="332"/>
      <c r="G37" s="332"/>
      <c r="H37" s="332"/>
      <c r="I37" s="332"/>
      <c r="J37" s="310"/>
      <c r="K37" s="332"/>
      <c r="L37" s="332"/>
      <c r="M37" s="332"/>
      <c r="N37" s="332"/>
      <c r="O37" s="344"/>
      <c r="P37" s="344"/>
      <c r="Q37" s="344"/>
      <c r="R37" s="344"/>
      <c r="S37" s="344"/>
      <c r="T37" s="729"/>
      <c r="U37" s="344"/>
    </row>
    <row r="38" spans="2:21" s="293" customFormat="1" ht="15.75">
      <c r="B38" s="313"/>
      <c r="C38" s="310"/>
      <c r="D38" s="332"/>
      <c r="E38" s="332"/>
      <c r="F38" s="332"/>
      <c r="G38" s="332"/>
      <c r="H38" s="332"/>
      <c r="I38" s="332"/>
      <c r="J38" s="310"/>
      <c r="K38" s="332"/>
      <c r="L38" s="332"/>
      <c r="M38" s="332"/>
      <c r="N38" s="332"/>
      <c r="O38" s="344"/>
      <c r="P38" s="344"/>
      <c r="Q38" s="344"/>
      <c r="R38" s="344"/>
      <c r="S38" s="729"/>
      <c r="T38" s="729"/>
      <c r="U38" s="344"/>
    </row>
    <row r="39" spans="2:21" s="293" customFormat="1" ht="15.75">
      <c r="B39" s="313"/>
      <c r="C39" s="310"/>
      <c r="D39" s="332"/>
      <c r="E39" s="332"/>
      <c r="F39" s="332"/>
      <c r="G39" s="332"/>
      <c r="H39" s="332"/>
      <c r="I39" s="332"/>
      <c r="J39" s="310"/>
      <c r="K39" s="332"/>
      <c r="L39" s="332"/>
      <c r="M39" s="332"/>
      <c r="N39" s="332"/>
      <c r="O39" s="344"/>
      <c r="P39" s="344"/>
      <c r="Q39" s="729"/>
      <c r="R39" s="344"/>
      <c r="S39" s="729"/>
      <c r="T39" s="729"/>
      <c r="U39" s="344"/>
    </row>
    <row r="40" spans="2:21">
      <c r="N40" s="344"/>
      <c r="O40" s="344"/>
      <c r="P40" s="344"/>
      <c r="Q40" s="729"/>
      <c r="R40" s="344"/>
      <c r="S40" s="729"/>
      <c r="T40" s="729"/>
      <c r="U40" s="344"/>
    </row>
    <row r="41" spans="2:21">
      <c r="N41" s="344"/>
      <c r="O41" s="344"/>
      <c r="P41" s="344"/>
      <c r="Q41" s="729"/>
      <c r="R41" s="729"/>
      <c r="S41" s="729"/>
      <c r="T41" s="729"/>
      <c r="U41" s="344"/>
    </row>
    <row r="42" spans="2:21">
      <c r="N42" s="344"/>
      <c r="O42" s="344"/>
      <c r="P42" s="344"/>
      <c r="Q42" s="729"/>
      <c r="R42" s="729"/>
      <c r="S42" s="729"/>
      <c r="T42" s="729"/>
      <c r="U42" s="344"/>
    </row>
    <row r="43" spans="2:21" ht="15.75">
      <c r="B43" s="298"/>
      <c r="C43" s="298"/>
      <c r="D43" s="298"/>
      <c r="E43" s="298"/>
      <c r="F43" s="298"/>
      <c r="G43" s="298"/>
      <c r="H43" s="298"/>
      <c r="I43" s="298"/>
      <c r="J43" s="298"/>
      <c r="K43" s="298"/>
      <c r="L43" s="311"/>
      <c r="M43" s="298"/>
      <c r="N43" s="316"/>
      <c r="O43" s="344"/>
      <c r="P43" s="344"/>
      <c r="Q43" s="729"/>
      <c r="R43" s="729"/>
      <c r="S43" s="729"/>
      <c r="T43" s="729"/>
      <c r="U43" s="344"/>
    </row>
    <row r="44" spans="2:21" ht="15.75">
      <c r="B44" s="298"/>
      <c r="C44" s="298"/>
      <c r="D44" s="298"/>
      <c r="E44" s="298"/>
      <c r="F44" s="298"/>
      <c r="G44" s="298"/>
      <c r="H44" s="298"/>
      <c r="I44" s="298"/>
      <c r="J44" s="298"/>
      <c r="K44" s="298"/>
      <c r="L44" s="311"/>
      <c r="M44" s="298"/>
      <c r="N44" s="316"/>
      <c r="O44" s="344"/>
      <c r="P44" s="344"/>
      <c r="Q44" s="729"/>
      <c r="R44" s="729"/>
      <c r="S44" s="729"/>
      <c r="T44" s="729"/>
      <c r="U44" s="344"/>
    </row>
    <row r="45" spans="2:21" ht="15.75">
      <c r="B45" s="299"/>
      <c r="C45" s="299"/>
      <c r="D45" s="298"/>
      <c r="E45" s="298"/>
      <c r="F45" s="298"/>
      <c r="G45" s="298"/>
      <c r="H45" s="298"/>
      <c r="I45" s="298"/>
      <c r="J45" s="298"/>
      <c r="K45" s="298"/>
      <c r="L45" s="311"/>
      <c r="M45" s="298"/>
      <c r="N45" s="316"/>
      <c r="O45" s="344"/>
      <c r="P45" s="344"/>
      <c r="Q45" s="729"/>
      <c r="R45" s="729"/>
      <c r="S45" s="729"/>
      <c r="T45" s="729"/>
      <c r="U45" s="344"/>
    </row>
    <row r="46" spans="2:21" ht="15.75">
      <c r="B46" s="298"/>
      <c r="C46" s="298"/>
      <c r="D46" s="298"/>
      <c r="E46" s="298"/>
      <c r="F46" s="298"/>
      <c r="G46" s="298"/>
      <c r="H46" s="298"/>
      <c r="I46" s="298"/>
      <c r="J46" s="298"/>
      <c r="K46" s="298"/>
      <c r="L46" s="311"/>
      <c r="M46" s="298"/>
      <c r="N46" s="316"/>
      <c r="O46" s="344"/>
      <c r="P46" s="344"/>
      <c r="Q46" s="729"/>
      <c r="R46" s="1767"/>
      <c r="S46" s="344"/>
      <c r="T46" s="729"/>
      <c r="U46" s="344"/>
    </row>
    <row r="47" spans="2:21" ht="15.75">
      <c r="B47" s="298"/>
      <c r="C47" s="298"/>
      <c r="D47" s="298"/>
      <c r="E47" s="298"/>
      <c r="F47" s="298"/>
      <c r="G47" s="298"/>
      <c r="H47" s="298"/>
      <c r="I47" s="298"/>
      <c r="J47" s="298"/>
      <c r="K47" s="298"/>
      <c r="L47" s="311"/>
      <c r="M47" s="298"/>
      <c r="N47" s="316"/>
      <c r="O47" s="344"/>
      <c r="P47" s="344"/>
      <c r="Q47" s="729"/>
      <c r="R47" s="344"/>
      <c r="S47" s="344"/>
      <c r="T47" s="729"/>
      <c r="U47" s="344"/>
    </row>
    <row r="48" spans="2:21" ht="15.75">
      <c r="B48" s="298"/>
      <c r="C48" s="298"/>
      <c r="D48" s="298"/>
      <c r="E48" s="298"/>
      <c r="F48" s="298"/>
      <c r="G48" s="298"/>
      <c r="H48" s="298"/>
      <c r="I48" s="298"/>
      <c r="J48" s="298"/>
      <c r="K48" s="298"/>
      <c r="L48" s="311"/>
      <c r="M48" s="298"/>
      <c r="N48" s="316"/>
      <c r="O48" s="344"/>
      <c r="P48" s="344"/>
      <c r="Q48" s="344"/>
      <c r="R48" s="344"/>
      <c r="S48" s="344"/>
      <c r="T48" s="729"/>
      <c r="U48" s="344"/>
    </row>
    <row r="49" spans="2:21" ht="15.75">
      <c r="B49" s="298"/>
      <c r="C49" s="298"/>
      <c r="D49" s="298"/>
      <c r="E49" s="298"/>
      <c r="F49" s="298"/>
      <c r="G49" s="298"/>
      <c r="H49" s="298"/>
      <c r="I49" s="298"/>
      <c r="J49" s="298"/>
      <c r="K49" s="298"/>
      <c r="L49" s="311"/>
      <c r="M49" s="298"/>
      <c r="N49" s="316"/>
      <c r="O49" s="344"/>
      <c r="P49" s="344"/>
      <c r="Q49" s="344"/>
      <c r="R49" s="344"/>
      <c r="S49" s="344"/>
      <c r="T49" s="729"/>
      <c r="U49" s="344"/>
    </row>
    <row r="50" spans="2:21" ht="15.75">
      <c r="B50" s="298"/>
      <c r="C50" s="298"/>
      <c r="D50" s="298"/>
      <c r="E50" s="298"/>
      <c r="F50" s="298"/>
      <c r="G50" s="298"/>
      <c r="H50" s="298"/>
      <c r="I50" s="298"/>
      <c r="J50" s="298"/>
      <c r="K50" s="298"/>
      <c r="L50" s="311"/>
      <c r="M50" s="298"/>
      <c r="N50" s="311"/>
    </row>
    <row r="51" spans="2:21" ht="15.75">
      <c r="B51" s="298"/>
      <c r="C51" s="298"/>
      <c r="D51" s="298"/>
      <c r="E51" s="298"/>
      <c r="F51" s="298"/>
      <c r="G51" s="298"/>
      <c r="H51" s="298"/>
      <c r="I51" s="298"/>
      <c r="J51" s="298"/>
      <c r="K51" s="298"/>
      <c r="L51" s="311"/>
      <c r="M51" s="298"/>
      <c r="N51" s="311"/>
    </row>
    <row r="52" spans="2:21" ht="15.75">
      <c r="B52" s="298"/>
      <c r="C52" s="298"/>
      <c r="D52" s="298"/>
      <c r="E52" s="298"/>
      <c r="F52" s="298"/>
      <c r="G52" s="298"/>
      <c r="H52" s="298"/>
      <c r="I52" s="298"/>
      <c r="J52" s="298"/>
      <c r="K52" s="298"/>
      <c r="L52" s="311"/>
      <c r="M52" s="298"/>
      <c r="N52" s="311"/>
    </row>
    <row r="53" spans="2:21" ht="15.75">
      <c r="B53" s="298"/>
      <c r="C53" s="298"/>
      <c r="D53" s="298"/>
      <c r="E53" s="298"/>
      <c r="F53" s="298"/>
      <c r="G53" s="298"/>
      <c r="H53" s="298"/>
      <c r="I53" s="298"/>
      <c r="J53" s="298"/>
      <c r="K53" s="298"/>
      <c r="L53" s="311"/>
      <c r="M53" s="298"/>
      <c r="N53" s="311"/>
    </row>
    <row r="54" spans="2:21" ht="15.75">
      <c r="B54" s="298"/>
      <c r="C54" s="298"/>
      <c r="D54" s="298"/>
      <c r="E54" s="298"/>
      <c r="F54" s="298"/>
      <c r="G54" s="298"/>
      <c r="H54" s="298"/>
      <c r="I54" s="298"/>
      <c r="J54" s="298"/>
      <c r="K54" s="298"/>
      <c r="L54" s="311"/>
      <c r="M54" s="298"/>
      <c r="N54" s="311"/>
    </row>
    <row r="55" spans="2:21" ht="15.75">
      <c r="B55" s="298"/>
      <c r="C55" s="298"/>
      <c r="D55" s="298"/>
      <c r="E55" s="298"/>
      <c r="F55" s="298"/>
      <c r="G55" s="298"/>
      <c r="H55" s="298"/>
      <c r="I55" s="298"/>
      <c r="J55" s="298"/>
      <c r="K55" s="298"/>
      <c r="L55" s="311"/>
      <c r="M55" s="298"/>
      <c r="N55" s="311"/>
    </row>
    <row r="56" spans="2:21" ht="15.75">
      <c r="B56" s="298"/>
      <c r="C56" s="298"/>
      <c r="D56" s="298"/>
      <c r="E56" s="298"/>
      <c r="F56" s="298"/>
      <c r="G56" s="298"/>
      <c r="H56" s="298"/>
      <c r="I56" s="298"/>
      <c r="J56" s="298"/>
      <c r="K56" s="298"/>
      <c r="L56" s="311"/>
      <c r="M56" s="298"/>
      <c r="N56" s="311"/>
    </row>
    <row r="57" spans="2:21" ht="15.75">
      <c r="B57" s="298"/>
      <c r="C57" s="298"/>
      <c r="D57" s="298"/>
      <c r="E57" s="298"/>
      <c r="F57" s="298"/>
      <c r="G57" s="298"/>
      <c r="H57" s="298"/>
      <c r="I57" s="298"/>
      <c r="J57" s="298"/>
      <c r="K57" s="298"/>
      <c r="L57" s="311"/>
      <c r="M57" s="298"/>
      <c r="N57" s="311"/>
    </row>
    <row r="58" spans="2:21" ht="15.75">
      <c r="B58" s="298"/>
      <c r="C58" s="298"/>
      <c r="D58" s="298"/>
      <c r="E58" s="298"/>
      <c r="F58" s="298"/>
      <c r="G58" s="298"/>
      <c r="H58" s="298"/>
      <c r="I58" s="298"/>
      <c r="J58" s="298"/>
      <c r="K58" s="298"/>
      <c r="L58" s="311"/>
      <c r="M58" s="298"/>
      <c r="N58" s="311"/>
    </row>
    <row r="59" spans="2:21" ht="15.75">
      <c r="B59" s="298"/>
      <c r="C59" s="298"/>
      <c r="D59" s="298"/>
      <c r="E59" s="298"/>
      <c r="F59" s="298"/>
      <c r="G59" s="298"/>
      <c r="H59" s="298"/>
      <c r="I59" s="298"/>
      <c r="J59" s="298"/>
      <c r="K59" s="298"/>
      <c r="L59" s="311"/>
      <c r="M59" s="298"/>
      <c r="N59" s="311"/>
    </row>
    <row r="60" spans="2:21" ht="15.75">
      <c r="B60" s="313"/>
      <c r="C60" s="314"/>
      <c r="D60" s="314"/>
      <c r="E60" s="314"/>
      <c r="F60" s="314"/>
      <c r="G60" s="314"/>
      <c r="H60" s="314"/>
      <c r="I60" s="314"/>
      <c r="J60" s="314"/>
      <c r="K60" s="314"/>
      <c r="L60" s="314"/>
      <c r="M60" s="314"/>
      <c r="N60" s="314"/>
    </row>
    <row r="61" spans="2:21" ht="15.75">
      <c r="B61" s="313"/>
      <c r="C61" s="313"/>
      <c r="D61" s="305"/>
      <c r="E61" s="305"/>
      <c r="F61" s="310"/>
      <c r="G61" s="310"/>
      <c r="H61" s="305"/>
      <c r="I61" s="310"/>
      <c r="J61" s="298"/>
      <c r="K61" s="305"/>
      <c r="L61" s="316"/>
      <c r="M61" s="305"/>
      <c r="N61" s="316"/>
    </row>
    <row r="62" spans="2:21" ht="15.75">
      <c r="B62" s="298"/>
      <c r="C62" s="302"/>
      <c r="D62" s="302"/>
      <c r="E62" s="302"/>
      <c r="F62" s="302"/>
      <c r="G62" s="302"/>
      <c r="H62" s="302"/>
      <c r="I62" s="302"/>
      <c r="J62" s="302"/>
      <c r="K62" s="302"/>
      <c r="L62" s="302"/>
      <c r="M62" s="302"/>
      <c r="N62" s="302"/>
    </row>
    <row r="63" spans="2:21" ht="15.75">
      <c r="B63" s="298"/>
      <c r="C63" s="298"/>
      <c r="D63" s="298"/>
      <c r="E63" s="298"/>
      <c r="F63" s="298"/>
      <c r="G63" s="298"/>
      <c r="H63" s="298"/>
      <c r="I63" s="298"/>
      <c r="J63" s="298"/>
      <c r="K63" s="298"/>
      <c r="L63" s="311"/>
      <c r="M63" s="298"/>
      <c r="N63" s="311"/>
    </row>
    <row r="64" spans="2:21" ht="15.75">
      <c r="B64" s="298"/>
      <c r="C64" s="298"/>
      <c r="D64" s="298"/>
      <c r="E64" s="298"/>
      <c r="F64" s="298"/>
      <c r="G64" s="298"/>
      <c r="H64" s="298"/>
      <c r="I64" s="298"/>
      <c r="J64" s="298"/>
      <c r="K64" s="298"/>
      <c r="L64" s="311"/>
      <c r="M64" s="298"/>
      <c r="N64" s="311"/>
    </row>
    <row r="65" spans="2:14" ht="15.75">
      <c r="B65" s="298"/>
      <c r="C65" s="298"/>
      <c r="D65" s="298"/>
      <c r="E65" s="298"/>
      <c r="F65" s="298"/>
      <c r="G65" s="298"/>
      <c r="H65" s="298"/>
      <c r="I65" s="298"/>
      <c r="J65" s="298"/>
      <c r="K65" s="298"/>
      <c r="L65" s="311"/>
      <c r="M65" s="298"/>
      <c r="N65" s="311"/>
    </row>
    <row r="66" spans="2:14" ht="15.75">
      <c r="B66" s="298"/>
      <c r="C66" s="298"/>
      <c r="D66" s="298"/>
      <c r="E66" s="298"/>
      <c r="F66" s="298"/>
      <c r="G66" s="298"/>
      <c r="H66" s="298"/>
      <c r="I66" s="298"/>
      <c r="J66" s="298"/>
      <c r="K66" s="298"/>
      <c r="L66" s="311"/>
      <c r="M66" s="298"/>
      <c r="N66" s="311"/>
    </row>
    <row r="67" spans="2:14" ht="15.75">
      <c r="B67" s="298"/>
      <c r="C67" s="298"/>
      <c r="D67" s="298"/>
      <c r="E67" s="298"/>
      <c r="F67" s="298"/>
      <c r="G67" s="298"/>
      <c r="H67" s="298"/>
      <c r="I67" s="298"/>
      <c r="J67" s="298"/>
      <c r="K67" s="298"/>
      <c r="L67" s="311"/>
      <c r="M67" s="298"/>
      <c r="N67" s="311"/>
    </row>
    <row r="68" spans="2:14" ht="15.75">
      <c r="B68" s="298"/>
      <c r="C68" s="298"/>
      <c r="D68" s="298"/>
      <c r="E68" s="298"/>
      <c r="F68" s="298"/>
      <c r="G68" s="298"/>
      <c r="H68" s="298"/>
      <c r="I68" s="298"/>
      <c r="J68" s="298"/>
      <c r="K68" s="298"/>
      <c r="L68" s="311"/>
      <c r="M68" s="298"/>
      <c r="N68" s="311"/>
    </row>
    <row r="69" spans="2:14" ht="15.75">
      <c r="B69" s="298"/>
      <c r="C69" s="298"/>
      <c r="D69" s="298"/>
      <c r="E69" s="298"/>
      <c r="F69" s="298"/>
      <c r="G69" s="298"/>
      <c r="H69" s="298"/>
      <c r="I69" s="298"/>
      <c r="J69" s="298"/>
      <c r="K69" s="298"/>
      <c r="L69" s="311"/>
      <c r="M69" s="298"/>
      <c r="N69" s="311"/>
    </row>
    <row r="70" spans="2:14" ht="15.75">
      <c r="B70" s="298"/>
      <c r="C70" s="298"/>
      <c r="D70" s="298"/>
      <c r="E70" s="298"/>
      <c r="F70" s="298"/>
      <c r="G70" s="298"/>
      <c r="H70" s="298"/>
      <c r="I70" s="298"/>
      <c r="J70" s="298"/>
      <c r="K70" s="298"/>
      <c r="L70" s="311"/>
      <c r="M70" s="298"/>
      <c r="N70" s="311"/>
    </row>
    <row r="71" spans="2:14" ht="15.75">
      <c r="B71" s="298"/>
      <c r="C71" s="298"/>
      <c r="D71" s="298"/>
      <c r="E71" s="298"/>
      <c r="F71" s="298"/>
      <c r="G71" s="298"/>
      <c r="H71" s="298"/>
      <c r="I71" s="298"/>
      <c r="J71" s="298"/>
      <c r="K71" s="298"/>
      <c r="L71" s="311"/>
      <c r="M71" s="298"/>
      <c r="N71" s="311"/>
    </row>
    <row r="72" spans="2:14" ht="15.75">
      <c r="B72" s="298"/>
      <c r="C72" s="298"/>
      <c r="D72" s="298"/>
      <c r="E72" s="298"/>
      <c r="F72" s="298"/>
      <c r="G72" s="298"/>
      <c r="H72" s="298"/>
      <c r="I72" s="298"/>
      <c r="J72" s="298"/>
      <c r="K72" s="298"/>
      <c r="L72" s="311"/>
      <c r="M72" s="298"/>
      <c r="N72" s="311"/>
    </row>
    <row r="73" spans="2:14" ht="15.75">
      <c r="B73" s="298"/>
      <c r="C73" s="298"/>
      <c r="D73" s="298"/>
      <c r="E73" s="298"/>
      <c r="F73" s="298"/>
      <c r="G73" s="298"/>
      <c r="H73" s="298"/>
      <c r="I73" s="298"/>
      <c r="J73" s="298"/>
      <c r="K73" s="298"/>
      <c r="L73" s="311"/>
      <c r="M73" s="298"/>
      <c r="N73" s="311"/>
    </row>
    <row r="74" spans="2:14" ht="15.75">
      <c r="B74" s="298"/>
      <c r="C74" s="298"/>
      <c r="D74" s="298"/>
      <c r="E74" s="298"/>
      <c r="F74" s="298"/>
      <c r="G74" s="298"/>
      <c r="H74" s="298"/>
      <c r="I74" s="298"/>
      <c r="J74" s="298"/>
      <c r="K74" s="298"/>
      <c r="L74" s="311"/>
      <c r="M74" s="298"/>
      <c r="N74" s="311"/>
    </row>
    <row r="75" spans="2:14" ht="15.75">
      <c r="B75" s="298"/>
      <c r="C75" s="298"/>
      <c r="D75" s="298"/>
      <c r="E75" s="298"/>
      <c r="F75" s="298"/>
      <c r="G75" s="298"/>
      <c r="H75" s="298"/>
      <c r="I75" s="298"/>
      <c r="J75" s="298"/>
      <c r="K75" s="298"/>
      <c r="L75" s="311"/>
      <c r="M75" s="298"/>
      <c r="N75" s="311"/>
    </row>
    <row r="76" spans="2:14" ht="15.75">
      <c r="B76" s="298"/>
      <c r="C76" s="298"/>
      <c r="D76" s="298"/>
      <c r="E76" s="298"/>
      <c r="F76" s="298"/>
      <c r="G76" s="298"/>
      <c r="H76" s="298"/>
      <c r="I76" s="298"/>
      <c r="J76" s="298"/>
      <c r="K76" s="298"/>
      <c r="L76" s="311"/>
      <c r="M76" s="298"/>
      <c r="N76" s="311"/>
    </row>
    <row r="77" spans="2:14" ht="15.75">
      <c r="B77" s="298"/>
      <c r="C77" s="298"/>
      <c r="D77" s="298"/>
      <c r="E77" s="298"/>
      <c r="F77" s="298"/>
      <c r="G77" s="298"/>
      <c r="H77" s="298"/>
      <c r="I77" s="298"/>
      <c r="J77" s="298"/>
      <c r="K77" s="298"/>
      <c r="L77" s="311"/>
      <c r="M77" s="298"/>
      <c r="N77" s="311"/>
    </row>
    <row r="78" spans="2:14" ht="15.75">
      <c r="B78" s="298"/>
      <c r="C78" s="298"/>
      <c r="D78" s="298"/>
      <c r="E78" s="298"/>
      <c r="F78" s="298"/>
      <c r="G78" s="298"/>
      <c r="H78" s="298"/>
      <c r="I78" s="298"/>
      <c r="J78" s="298"/>
      <c r="K78" s="298"/>
      <c r="L78" s="311"/>
      <c r="M78" s="298"/>
      <c r="N78" s="311"/>
    </row>
    <row r="79" spans="2:14" ht="15.75">
      <c r="B79" s="298"/>
      <c r="C79" s="298"/>
      <c r="D79" s="298"/>
      <c r="E79" s="298"/>
      <c r="F79" s="298"/>
      <c r="G79" s="298"/>
      <c r="H79" s="298"/>
      <c r="I79" s="298"/>
      <c r="J79" s="298"/>
      <c r="K79" s="298"/>
      <c r="L79" s="311"/>
      <c r="M79" s="298"/>
      <c r="N79" s="311"/>
    </row>
    <row r="80" spans="2:14"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sheetData>
  <mergeCells count="3">
    <mergeCell ref="B1:N1"/>
    <mergeCell ref="B4:N4"/>
    <mergeCell ref="B3:N3"/>
  </mergeCells>
  <printOptions horizontalCentered="1"/>
  <pageMargins left="0.75" right="0.75" top="0.5" bottom="0.5" header="0.5" footer="0.5"/>
  <pageSetup scale="78"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9" tint="0.39997558519241921"/>
    <pageSetUpPr fitToPage="1"/>
  </sheetPr>
  <dimension ref="A1:AE126"/>
  <sheetViews>
    <sheetView showGridLines="0" showRuler="0" topLeftCell="B3" zoomScaleNormal="100" zoomScaleSheetLayoutView="130" workbookViewId="0">
      <selection activeCell="I23" sqref="I23"/>
    </sheetView>
  </sheetViews>
  <sheetFormatPr defaultColWidth="6.85546875" defaultRowHeight="12.75"/>
  <cols>
    <col min="1" max="1" width="17.42578125" style="283" hidden="1" customWidth="1"/>
    <col min="2" max="2" width="43.42578125" style="283" customWidth="1"/>
    <col min="3" max="3" width="15.7109375" style="283" customWidth="1"/>
    <col min="4" max="4" width="18.7109375" style="283" hidden="1" customWidth="1"/>
    <col min="5" max="5" width="1.85546875" style="283" hidden="1" customWidth="1"/>
    <col min="6" max="6" width="15.7109375" style="283" customWidth="1"/>
    <col min="7" max="7" width="17.28515625" style="283" hidden="1" customWidth="1"/>
    <col min="8" max="8" width="1.85546875" style="283" hidden="1" customWidth="1"/>
    <col min="9" max="9" width="15.7109375" style="283" customWidth="1"/>
    <col min="10" max="10" width="20.5703125" style="283" hidden="1" customWidth="1"/>
    <col min="11" max="11" width="1.85546875" style="283" hidden="1" customWidth="1"/>
    <col min="12" max="12" width="15.7109375" style="293" customWidth="1"/>
    <col min="13" max="13" width="1.85546875" style="283" hidden="1" customWidth="1"/>
    <col min="14" max="14" width="15.7109375" style="293" customWidth="1"/>
    <col min="15" max="15" width="21.42578125" style="283" bestFit="1" customWidth="1"/>
    <col min="16" max="16" width="11.85546875" style="283" bestFit="1" customWidth="1"/>
    <col min="17" max="17" width="7.5703125" style="283" bestFit="1" customWidth="1"/>
    <col min="18" max="18" width="6.85546875" style="283"/>
    <col min="19" max="19" width="18.28515625" style="722" bestFit="1" customWidth="1"/>
    <col min="20" max="20" width="9.42578125" style="283" bestFit="1" customWidth="1"/>
    <col min="21" max="22" width="6.85546875" style="283"/>
    <col min="23" max="23" width="12.42578125" style="283" bestFit="1" customWidth="1"/>
    <col min="24" max="24" width="11.7109375" style="283" bestFit="1" customWidth="1"/>
    <col min="25" max="16384" width="6.85546875" style="283"/>
  </cols>
  <sheetData>
    <row r="1" spans="1:31" ht="25.5" hidden="1" customHeight="1">
      <c r="B1" s="1706" t="s">
        <v>590</v>
      </c>
      <c r="C1" s="1706"/>
      <c r="D1" s="1706"/>
      <c r="E1" s="1706"/>
      <c r="F1" s="1706"/>
      <c r="G1" s="1706"/>
      <c r="H1" s="1706"/>
      <c r="I1" s="1706"/>
      <c r="J1" s="1706"/>
      <c r="K1" s="1706"/>
      <c r="L1" s="1706"/>
      <c r="M1" s="1706"/>
      <c r="N1" s="1710"/>
    </row>
    <row r="2" spans="1:31" ht="18.75" hidden="1">
      <c r="B2" s="284"/>
      <c r="C2" s="285"/>
      <c r="D2" s="285"/>
      <c r="E2" s="285"/>
      <c r="F2" s="285"/>
      <c r="G2" s="285"/>
      <c r="H2" s="285"/>
      <c r="I2" s="285"/>
      <c r="J2" s="285"/>
      <c r="K2" s="285"/>
      <c r="L2" s="285"/>
      <c r="M2" s="285"/>
      <c r="N2" s="285"/>
    </row>
    <row r="3" spans="1:31" s="1433" customFormat="1" ht="75" customHeight="1">
      <c r="B3" s="1704" t="s">
        <v>901</v>
      </c>
      <c r="C3" s="1704"/>
      <c r="D3" s="1704"/>
      <c r="E3" s="1704"/>
      <c r="F3" s="1704"/>
      <c r="G3" s="1704"/>
      <c r="H3" s="1704"/>
      <c r="I3" s="1704"/>
      <c r="J3" s="1704"/>
      <c r="K3" s="1704"/>
      <c r="L3" s="1704"/>
      <c r="M3" s="1704"/>
      <c r="N3" s="1704"/>
      <c r="S3" s="1712"/>
      <c r="T3" s="1712"/>
      <c r="U3" s="1712"/>
      <c r="V3" s="1712"/>
      <c r="W3" s="1712"/>
      <c r="X3" s="1712"/>
      <c r="Y3" s="1712"/>
      <c r="Z3" s="1712"/>
      <c r="AA3" s="1712"/>
      <c r="AB3" s="1712"/>
      <c r="AC3" s="1712"/>
      <c r="AD3" s="1712"/>
      <c r="AE3" s="1712"/>
    </row>
    <row r="4" spans="1:31" ht="32.25" customHeight="1" thickBot="1">
      <c r="B4" s="1711"/>
      <c r="C4" s="1711"/>
      <c r="D4" s="1711"/>
      <c r="E4" s="1711"/>
      <c r="F4" s="1711"/>
      <c r="G4" s="1711"/>
      <c r="H4" s="1711"/>
      <c r="I4" s="1711"/>
      <c r="J4" s="1711"/>
      <c r="K4" s="1711"/>
      <c r="L4" s="1711"/>
      <c r="M4" s="1711"/>
      <c r="N4" s="1711"/>
    </row>
    <row r="5" spans="1:31"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131"/>
      <c r="T5" s="1139"/>
    </row>
    <row r="6" spans="1:31" ht="12.75" customHeight="1">
      <c r="B6" s="288"/>
      <c r="C6" s="288"/>
      <c r="D6" s="289"/>
      <c r="E6" s="289"/>
      <c r="F6" s="288"/>
      <c r="G6" s="288"/>
      <c r="H6" s="289"/>
      <c r="I6" s="288"/>
      <c r="J6" s="290"/>
      <c r="K6" s="289"/>
      <c r="L6" s="291"/>
      <c r="M6" s="289"/>
      <c r="N6" s="291"/>
    </row>
    <row r="7" spans="1:31" ht="15.75" customHeight="1">
      <c r="B7" s="299" t="s">
        <v>2</v>
      </c>
      <c r="C7" s="299"/>
      <c r="D7" s="300"/>
      <c r="E7" s="300"/>
      <c r="F7" s="300"/>
      <c r="G7" s="301"/>
      <c r="H7" s="300"/>
      <c r="I7" s="301"/>
      <c r="J7" s="300"/>
      <c r="K7" s="300"/>
      <c r="L7" s="302"/>
      <c r="M7" s="300"/>
      <c r="N7" s="302"/>
      <c r="O7" s="336" t="s">
        <v>11</v>
      </c>
      <c r="P7" s="333">
        <v>554091</v>
      </c>
      <c r="Q7" s="966">
        <v>0.06</v>
      </c>
    </row>
    <row r="8" spans="1:31" ht="15.75" customHeight="1">
      <c r="A8" s="321" t="s">
        <v>367</v>
      </c>
      <c r="B8" s="298" t="s">
        <v>568</v>
      </c>
      <c r="C8" s="1268">
        <v>3248494</v>
      </c>
      <c r="D8" s="1243" t="e">
        <v>#N/A</v>
      </c>
      <c r="E8" s="1243"/>
      <c r="F8" s="1268">
        <v>3396849</v>
      </c>
      <c r="G8" s="1268">
        <v>3116204</v>
      </c>
      <c r="H8" s="1268"/>
      <c r="I8" s="1268">
        <v>3471359</v>
      </c>
      <c r="J8" s="1268">
        <v>74510</v>
      </c>
      <c r="K8" s="1268"/>
      <c r="L8" s="1241">
        <v>3684301</v>
      </c>
      <c r="M8" s="1268"/>
      <c r="N8" s="1268">
        <v>287452</v>
      </c>
      <c r="O8" s="336" t="s">
        <v>12</v>
      </c>
      <c r="P8" s="333">
        <v>194410</v>
      </c>
      <c r="Q8" s="966">
        <v>2.1000000000000001E-2</v>
      </c>
    </row>
    <row r="9" spans="1:31" ht="15.75" hidden="1" customHeight="1" thickBot="1">
      <c r="A9" s="1097" t="s">
        <v>336</v>
      </c>
      <c r="B9" s="298" t="s">
        <v>114</v>
      </c>
      <c r="C9" s="517">
        <v>0</v>
      </c>
      <c r="D9" s="517" t="e">
        <v>#N/A</v>
      </c>
      <c r="E9" s="517"/>
      <c r="F9" s="517">
        <v>0</v>
      </c>
      <c r="G9" s="304">
        <v>3116205</v>
      </c>
      <c r="H9" s="303"/>
      <c r="I9" s="304">
        <v>0</v>
      </c>
      <c r="J9" s="300">
        <v>0</v>
      </c>
      <c r="K9" s="303"/>
      <c r="L9" s="1240">
        <v>0</v>
      </c>
      <c r="M9" s="303"/>
      <c r="N9" s="1152">
        <v>0</v>
      </c>
    </row>
    <row r="10" spans="1:31" ht="15.75" customHeight="1">
      <c r="A10" s="321" t="s">
        <v>338</v>
      </c>
      <c r="B10" s="305" t="s">
        <v>8</v>
      </c>
      <c r="C10" s="303">
        <v>32875.9</v>
      </c>
      <c r="D10" s="303" t="e">
        <v>#N/A</v>
      </c>
      <c r="E10" s="303"/>
      <c r="F10" s="303">
        <v>16763</v>
      </c>
      <c r="G10" s="304">
        <v>3116204</v>
      </c>
      <c r="H10" s="303"/>
      <c r="I10" s="304">
        <v>16763</v>
      </c>
      <c r="J10" s="300">
        <v>0</v>
      </c>
      <c r="K10" s="303"/>
      <c r="L10" s="1240">
        <v>168388</v>
      </c>
      <c r="M10" s="303"/>
      <c r="N10" s="1240">
        <v>151625</v>
      </c>
      <c r="O10" s="336" t="s">
        <v>801</v>
      </c>
      <c r="P10" s="333">
        <v>1659179</v>
      </c>
      <c r="Q10" s="966">
        <v>0.18</v>
      </c>
    </row>
    <row r="11" spans="1:31" s="293" customFormat="1" ht="15.75" customHeight="1">
      <c r="A11" s="321" t="s">
        <v>349</v>
      </c>
      <c r="B11" s="305" t="s">
        <v>28</v>
      </c>
      <c r="C11" s="303">
        <v>4710551.33</v>
      </c>
      <c r="D11" s="303" t="e">
        <v>#N/A</v>
      </c>
      <c r="E11" s="303"/>
      <c r="F11" s="303">
        <v>1839741</v>
      </c>
      <c r="G11" s="304">
        <v>3116204</v>
      </c>
      <c r="H11" s="303"/>
      <c r="I11" s="550">
        <v>1839741</v>
      </c>
      <c r="J11" s="300">
        <v>0</v>
      </c>
      <c r="K11" s="303"/>
      <c r="L11" s="1240">
        <v>2083346</v>
      </c>
      <c r="M11" s="303"/>
      <c r="N11" s="1152">
        <v>243605</v>
      </c>
      <c r="O11" s="346" t="s">
        <v>14</v>
      </c>
      <c r="P11" s="341">
        <v>902835</v>
      </c>
      <c r="Q11" s="966">
        <v>9.8000000000000004E-2</v>
      </c>
      <c r="S11" s="723"/>
    </row>
    <row r="12" spans="1:31" s="625" customFormat="1" ht="15.75" customHeight="1">
      <c r="A12" s="293"/>
      <c r="B12" s="311" t="s">
        <v>319</v>
      </c>
      <c r="C12" s="517">
        <v>0</v>
      </c>
      <c r="D12" s="306">
        <v>0</v>
      </c>
      <c r="E12" s="306"/>
      <c r="F12" s="1243">
        <v>1172153.6200000001</v>
      </c>
      <c r="G12" s="304">
        <v>1172153.6200000001</v>
      </c>
      <c r="H12" s="306"/>
      <c r="I12" s="1243">
        <v>1189559.9100000001</v>
      </c>
      <c r="J12" s="302"/>
      <c r="K12" s="306"/>
      <c r="L12" s="1243">
        <v>3281714</v>
      </c>
      <c r="M12" s="306"/>
      <c r="N12" s="1152">
        <v>2109560.38</v>
      </c>
      <c r="O12" s="1432" t="s">
        <v>958</v>
      </c>
      <c r="P12" s="341">
        <v>5907234</v>
      </c>
      <c r="Q12" s="966">
        <v>0.64100000000000001</v>
      </c>
      <c r="S12" s="724"/>
    </row>
    <row r="13" spans="1:31" s="293" customFormat="1" ht="15.75" customHeight="1">
      <c r="A13" s="625"/>
      <c r="B13" s="622" t="s">
        <v>9</v>
      </c>
      <c r="C13" s="308">
        <v>7991921.2300000004</v>
      </c>
      <c r="D13" s="308" t="e">
        <v>#N/A</v>
      </c>
      <c r="E13" s="308"/>
      <c r="F13" s="308">
        <v>6425506.6200000001</v>
      </c>
      <c r="G13" s="308">
        <v>13636970.620000001</v>
      </c>
      <c r="H13" s="308"/>
      <c r="I13" s="308">
        <v>6517422.9100000001</v>
      </c>
      <c r="J13" s="308">
        <v>74510</v>
      </c>
      <c r="K13" s="308"/>
      <c r="L13" s="308">
        <v>9217749</v>
      </c>
      <c r="M13" s="308"/>
      <c r="N13" s="1153">
        <v>2792242.38</v>
      </c>
      <c r="O13" s="346" t="s">
        <v>23</v>
      </c>
      <c r="P13" s="341">
        <v>0</v>
      </c>
      <c r="Q13" s="966">
        <v>0</v>
      </c>
      <c r="S13" s="723"/>
    </row>
    <row r="14" spans="1:31" s="293" customFormat="1" ht="16.5" customHeight="1" thickBot="1">
      <c r="B14" s="310"/>
      <c r="C14" s="310"/>
      <c r="D14" s="304"/>
      <c r="E14" s="304"/>
      <c r="F14" s="304"/>
      <c r="G14" s="304"/>
      <c r="H14" s="304"/>
      <c r="I14" s="304"/>
      <c r="J14" s="304"/>
      <c r="K14" s="304"/>
      <c r="L14" s="304"/>
      <c r="M14" s="304"/>
      <c r="N14" s="1154"/>
      <c r="O14" s="350" t="s">
        <v>25</v>
      </c>
      <c r="P14" s="340">
        <v>9217749</v>
      </c>
      <c r="Q14" s="668">
        <v>1</v>
      </c>
      <c r="S14" s="723"/>
    </row>
    <row r="15" spans="1:31" s="293" customFormat="1" ht="16.5" thickTop="1">
      <c r="B15" s="313" t="s">
        <v>320</v>
      </c>
      <c r="C15" s="313"/>
      <c r="D15" s="306"/>
      <c r="E15" s="306"/>
      <c r="F15" s="304"/>
      <c r="G15" s="304"/>
      <c r="H15" s="306"/>
      <c r="I15" s="304"/>
      <c r="J15" s="304"/>
      <c r="K15" s="306"/>
      <c r="L15" s="306"/>
      <c r="M15" s="306"/>
      <c r="N15" s="1155"/>
      <c r="O15" s="341"/>
      <c r="P15" s="341"/>
      <c r="Q15" s="348"/>
      <c r="S15" s="723"/>
    </row>
    <row r="16" spans="1:31" s="293" customFormat="1" ht="15.75">
      <c r="B16" s="311" t="s">
        <v>327</v>
      </c>
      <c r="C16" s="303">
        <v>385626.98000000045</v>
      </c>
      <c r="D16" s="306">
        <v>0</v>
      </c>
      <c r="E16" s="306"/>
      <c r="F16" s="549">
        <v>3299120.38</v>
      </c>
      <c r="G16" s="539">
        <v>3299120.38</v>
      </c>
      <c r="H16" s="532"/>
      <c r="I16" s="549">
        <v>3281714.09</v>
      </c>
      <c r="J16" s="540">
        <v>-17406.290000000037</v>
      </c>
      <c r="K16" s="532"/>
      <c r="L16" s="549">
        <v>0</v>
      </c>
      <c r="M16" s="532"/>
      <c r="N16" s="1152">
        <v>-3299120.38</v>
      </c>
      <c r="O16" s="341"/>
      <c r="P16" s="341"/>
      <c r="Q16" s="348"/>
      <c r="S16" s="723"/>
    </row>
    <row r="17" spans="1:23" s="293" customFormat="1" ht="15.75">
      <c r="B17" s="622" t="s">
        <v>20</v>
      </c>
      <c r="C17" s="534">
        <v>385626.98000000045</v>
      </c>
      <c r="D17" s="308">
        <v>0</v>
      </c>
      <c r="E17" s="308"/>
      <c r="F17" s="534">
        <v>3299120.38</v>
      </c>
      <c r="G17" s="534">
        <v>3299120.38</v>
      </c>
      <c r="H17" s="534"/>
      <c r="I17" s="534">
        <v>3281714.09</v>
      </c>
      <c r="J17" s="534">
        <v>-17406.290000000037</v>
      </c>
      <c r="K17" s="534"/>
      <c r="L17" s="546">
        <v>0</v>
      </c>
      <c r="M17" s="541"/>
      <c r="N17" s="1157">
        <v>-3299120.38</v>
      </c>
      <c r="S17" s="723"/>
      <c r="T17" s="775"/>
      <c r="U17" s="775"/>
    </row>
    <row r="18" spans="1:23" s="293" customFormat="1" ht="15.6" customHeight="1" thickBot="1">
      <c r="B18" s="616" t="s">
        <v>21</v>
      </c>
      <c r="C18" s="647">
        <v>8377548.2100000009</v>
      </c>
      <c r="D18" s="647" t="e">
        <v>#N/A</v>
      </c>
      <c r="E18" s="647"/>
      <c r="F18" s="1247">
        <v>9724627</v>
      </c>
      <c r="G18" s="647">
        <v>16936091</v>
      </c>
      <c r="H18" s="647"/>
      <c r="I18" s="647">
        <v>9799137</v>
      </c>
      <c r="J18" s="648">
        <v>74510</v>
      </c>
      <c r="K18" s="647"/>
      <c r="L18" s="647">
        <v>9217749</v>
      </c>
      <c r="M18" s="647"/>
      <c r="N18" s="1158">
        <v>-506878</v>
      </c>
      <c r="O18" s="1170" t="s">
        <v>986</v>
      </c>
      <c r="P18" s="341">
        <v>3684301</v>
      </c>
      <c r="Q18" s="966">
        <v>0.4</v>
      </c>
      <c r="S18" s="723"/>
    </row>
    <row r="19" spans="1:23" s="293" customFormat="1" ht="16.5" thickTop="1">
      <c r="B19" s="316"/>
      <c r="C19" s="316"/>
      <c r="D19" s="304"/>
      <c r="E19" s="304"/>
      <c r="F19" s="304"/>
      <c r="G19" s="304"/>
      <c r="H19" s="304"/>
      <c r="I19" s="304"/>
      <c r="J19" s="304"/>
      <c r="K19" s="304"/>
      <c r="L19" s="304"/>
      <c r="M19" s="304"/>
      <c r="N19" s="1154"/>
      <c r="O19" s="1088" t="s">
        <v>114</v>
      </c>
      <c r="P19" s="341">
        <v>0</v>
      </c>
      <c r="Q19" s="966">
        <v>0</v>
      </c>
      <c r="S19" s="723"/>
    </row>
    <row r="20" spans="1:23" s="293" customFormat="1" ht="15.75">
      <c r="B20" s="349" t="s">
        <v>10</v>
      </c>
      <c r="C20" s="349"/>
      <c r="D20" s="302"/>
      <c r="E20" s="302"/>
      <c r="F20" s="304"/>
      <c r="G20" s="304"/>
      <c r="H20" s="302"/>
      <c r="I20" s="304"/>
      <c r="J20" s="302"/>
      <c r="K20" s="302"/>
      <c r="L20" s="302"/>
      <c r="M20" s="302"/>
      <c r="N20" s="1159"/>
      <c r="O20" s="341" t="s">
        <v>8</v>
      </c>
      <c r="P20" s="341">
        <v>168388</v>
      </c>
      <c r="Q20" s="966">
        <v>1.7999999999999999E-2</v>
      </c>
      <c r="S20" s="723"/>
      <c r="W20" s="723"/>
    </row>
    <row r="21" spans="1:23" s="293" customFormat="1" ht="15.75" customHeight="1">
      <c r="A21" s="621" t="s">
        <v>340</v>
      </c>
      <c r="B21" s="316" t="s">
        <v>11</v>
      </c>
      <c r="C21" s="303">
        <v>393326.74</v>
      </c>
      <c r="D21" s="303" t="e">
        <v>#N/A</v>
      </c>
      <c r="E21" s="303"/>
      <c r="F21" s="303">
        <v>473861</v>
      </c>
      <c r="G21" s="304">
        <v>3116204</v>
      </c>
      <c r="H21" s="303"/>
      <c r="I21" s="304">
        <v>471987.74</v>
      </c>
      <c r="J21" s="300">
        <v>-1873.2600000000093</v>
      </c>
      <c r="K21" s="303"/>
      <c r="L21" s="1240">
        <v>554091</v>
      </c>
      <c r="M21" s="303"/>
      <c r="N21" s="1152">
        <v>80230</v>
      </c>
      <c r="O21" s="1170" t="s">
        <v>959</v>
      </c>
      <c r="P21" s="341">
        <v>2083346</v>
      </c>
      <c r="Q21" s="966">
        <v>0.22600000000000001</v>
      </c>
      <c r="S21" s="723"/>
      <c r="W21" s="723"/>
    </row>
    <row r="22" spans="1:23" s="293" customFormat="1" ht="15.75">
      <c r="A22" s="621" t="s">
        <v>341</v>
      </c>
      <c r="B22" s="316" t="s">
        <v>12</v>
      </c>
      <c r="C22" s="303">
        <v>160517.31</v>
      </c>
      <c r="D22" s="303" t="e">
        <v>#N/A</v>
      </c>
      <c r="E22" s="303"/>
      <c r="F22" s="303">
        <v>184812</v>
      </c>
      <c r="G22" s="304">
        <v>3116204</v>
      </c>
      <c r="H22" s="303"/>
      <c r="I22" s="304">
        <v>171343.1</v>
      </c>
      <c r="J22" s="300">
        <v>-13468.899999999994</v>
      </c>
      <c r="K22" s="303"/>
      <c r="L22" s="1240">
        <v>194410</v>
      </c>
      <c r="M22" s="303"/>
      <c r="N22" s="1152">
        <v>9598</v>
      </c>
      <c r="O22" s="341" t="s">
        <v>319</v>
      </c>
      <c r="P22" s="341">
        <v>3281714</v>
      </c>
      <c r="Q22" s="966">
        <v>0.35599999999999998</v>
      </c>
      <c r="S22" s="723"/>
      <c r="W22" s="723"/>
    </row>
    <row r="23" spans="1:23" s="293" customFormat="1" ht="21">
      <c r="A23" s="621" t="s">
        <v>342</v>
      </c>
      <c r="B23" s="316" t="s">
        <v>801</v>
      </c>
      <c r="C23" s="1240">
        <v>682729.27</v>
      </c>
      <c r="D23" s="1224" t="e">
        <v>#N/A</v>
      </c>
      <c r="E23" s="1224"/>
      <c r="F23" s="1240">
        <v>1169370.6200000001</v>
      </c>
      <c r="G23" s="304">
        <v>3116204</v>
      </c>
      <c r="H23" s="1224"/>
      <c r="I23" s="304">
        <v>1100441.07</v>
      </c>
      <c r="J23" s="1223">
        <v>-68929.550000000047</v>
      </c>
      <c r="K23" s="1224"/>
      <c r="L23" s="1240">
        <v>1659179</v>
      </c>
      <c r="M23" s="1224"/>
      <c r="N23" s="1240">
        <v>489808.37999999989</v>
      </c>
      <c r="O23" s="344" t="s">
        <v>19</v>
      </c>
      <c r="P23" s="538">
        <v>0</v>
      </c>
      <c r="Q23" s="673">
        <v>0</v>
      </c>
      <c r="S23" s="723"/>
      <c r="W23" s="723"/>
    </row>
    <row r="24" spans="1:23" s="293" customFormat="1" ht="16.5" thickBot="1">
      <c r="A24" s="621" t="s">
        <v>343</v>
      </c>
      <c r="B24" s="316" t="s">
        <v>14</v>
      </c>
      <c r="C24" s="303">
        <v>284697.77</v>
      </c>
      <c r="D24" s="303" t="e">
        <v>#N/A</v>
      </c>
      <c r="E24" s="303"/>
      <c r="F24" s="303">
        <v>237690</v>
      </c>
      <c r="G24" s="304">
        <v>3116204</v>
      </c>
      <c r="H24" s="303"/>
      <c r="I24" s="304">
        <v>413878</v>
      </c>
      <c r="J24" s="300">
        <v>176188</v>
      </c>
      <c r="K24" s="303"/>
      <c r="L24" s="1240">
        <v>902835</v>
      </c>
      <c r="M24" s="303"/>
      <c r="N24" s="1152">
        <v>665145</v>
      </c>
      <c r="O24" s="655" t="s">
        <v>21</v>
      </c>
      <c r="P24" s="656">
        <v>9217749</v>
      </c>
      <c r="Q24" s="697">
        <v>1</v>
      </c>
      <c r="S24" s="723"/>
      <c r="W24" s="723"/>
    </row>
    <row r="25" spans="1:23" s="293" customFormat="1" ht="16.5" thickTop="1">
      <c r="A25" s="621"/>
      <c r="B25" s="316" t="s">
        <v>1001</v>
      </c>
      <c r="C25" s="1240">
        <v>530000</v>
      </c>
      <c r="D25" s="1224"/>
      <c r="E25" s="1224"/>
      <c r="F25" s="1240">
        <v>4317061</v>
      </c>
      <c r="G25" s="304"/>
      <c r="H25" s="1224"/>
      <c r="I25" s="304">
        <v>4317061</v>
      </c>
      <c r="J25" s="1223"/>
      <c r="K25" s="1224"/>
      <c r="L25" s="1240">
        <v>5481235</v>
      </c>
      <c r="M25" s="1224"/>
      <c r="N25" s="1240">
        <v>1164174</v>
      </c>
      <c r="O25" s="344"/>
      <c r="P25" s="538"/>
      <c r="Q25" s="673"/>
      <c r="S25" s="723"/>
      <c r="W25" s="723"/>
    </row>
    <row r="26" spans="1:23" s="293" customFormat="1" ht="15.75">
      <c r="A26" s="621"/>
      <c r="B26" s="316" t="s">
        <v>1000</v>
      </c>
      <c r="C26" s="1240">
        <v>0</v>
      </c>
      <c r="D26" s="1224"/>
      <c r="E26" s="1224"/>
      <c r="F26" s="1240">
        <v>0</v>
      </c>
      <c r="G26" s="304"/>
      <c r="H26" s="1224"/>
      <c r="I26" s="1240">
        <v>0</v>
      </c>
      <c r="J26" s="1223"/>
      <c r="K26" s="1224"/>
      <c r="L26" s="1240">
        <v>391737</v>
      </c>
      <c r="M26" s="1224"/>
      <c r="N26" s="1152">
        <v>391737</v>
      </c>
      <c r="O26" s="344"/>
      <c r="P26" s="538"/>
      <c r="Q26" s="673"/>
      <c r="S26" s="723"/>
      <c r="W26" s="723"/>
    </row>
    <row r="27" spans="1:23" s="293" customFormat="1" ht="15.75">
      <c r="A27" s="621"/>
      <c r="B27" s="316" t="s">
        <v>999</v>
      </c>
      <c r="C27" s="1240">
        <v>69098.899999999994</v>
      </c>
      <c r="D27" s="1224"/>
      <c r="E27" s="1224"/>
      <c r="F27" s="1240">
        <v>42712</v>
      </c>
      <c r="G27" s="304"/>
      <c r="H27" s="1224"/>
      <c r="I27" s="304">
        <v>42712</v>
      </c>
      <c r="J27" s="1223"/>
      <c r="K27" s="1224"/>
      <c r="L27" s="1240">
        <v>34262</v>
      </c>
      <c r="M27" s="1224"/>
      <c r="N27" s="1152">
        <v>-8450</v>
      </c>
      <c r="O27" s="344"/>
      <c r="P27" s="538"/>
      <c r="Q27" s="673"/>
      <c r="S27" s="723"/>
      <c r="W27" s="723"/>
    </row>
    <row r="28" spans="1:23" s="293" customFormat="1" ht="15.75">
      <c r="A28" s="621" t="s">
        <v>346</v>
      </c>
      <c r="B28" s="316" t="s">
        <v>961</v>
      </c>
      <c r="C28" s="303">
        <v>1785904.2200000002</v>
      </c>
      <c r="D28" s="303" t="e">
        <v>#N/A</v>
      </c>
      <c r="E28" s="303"/>
      <c r="F28" s="723">
        <v>0</v>
      </c>
      <c r="G28" s="304">
        <v>3116204</v>
      </c>
      <c r="H28" s="303"/>
      <c r="I28" s="723">
        <v>0</v>
      </c>
      <c r="J28" s="300">
        <v>0</v>
      </c>
      <c r="K28" s="303"/>
      <c r="L28" s="723">
        <v>0</v>
      </c>
      <c r="M28" s="303"/>
      <c r="N28" s="723">
        <v>0</v>
      </c>
      <c r="S28" s="1281"/>
      <c r="W28" s="723"/>
    </row>
    <row r="29" spans="1:23" s="293" customFormat="1" ht="15.75">
      <c r="B29" s="622" t="s">
        <v>22</v>
      </c>
      <c r="C29" s="308">
        <v>3906274.2100000004</v>
      </c>
      <c r="D29" s="308" t="e">
        <v>#N/A</v>
      </c>
      <c r="E29" s="308"/>
      <c r="F29" s="308">
        <v>6425506.6200000001</v>
      </c>
      <c r="G29" s="308">
        <v>15581020</v>
      </c>
      <c r="H29" s="308"/>
      <c r="I29" s="308">
        <v>6517422.9100000001</v>
      </c>
      <c r="J29" s="308">
        <v>91916.28999999995</v>
      </c>
      <c r="K29" s="308"/>
      <c r="L29" s="308">
        <v>9217749</v>
      </c>
      <c r="M29" s="308"/>
      <c r="N29" s="1153">
        <v>2792242.38</v>
      </c>
      <c r="P29" s="344"/>
      <c r="Q29" s="1277"/>
      <c r="R29" s="344"/>
      <c r="S29" s="729"/>
      <c r="T29" s="344"/>
    </row>
    <row r="30" spans="1:23" s="293" customFormat="1" ht="15.75">
      <c r="B30" s="311"/>
      <c r="C30" s="311"/>
      <c r="D30" s="304"/>
      <c r="E30" s="304"/>
      <c r="F30" s="304"/>
      <c r="G30" s="304"/>
      <c r="H30" s="304"/>
      <c r="I30" s="304"/>
      <c r="J30" s="304"/>
      <c r="K30" s="304"/>
      <c r="L30" s="304"/>
      <c r="M30" s="304"/>
      <c r="N30" s="1154"/>
      <c r="P30" s="344"/>
      <c r="Q30" s="344"/>
      <c r="R30" s="344"/>
      <c r="S30" s="729"/>
      <c r="T30" s="672"/>
    </row>
    <row r="31" spans="1:23" s="293" customFormat="1" ht="15.75">
      <c r="B31" s="313" t="s">
        <v>321</v>
      </c>
      <c r="C31" s="313"/>
      <c r="D31" s="311"/>
      <c r="E31" s="311"/>
      <c r="F31" s="311"/>
      <c r="G31" s="311"/>
      <c r="H31" s="311"/>
      <c r="I31" s="311"/>
      <c r="J31" s="311"/>
      <c r="K31" s="311"/>
      <c r="L31" s="311"/>
      <c r="M31" s="311"/>
      <c r="N31" s="1159"/>
      <c r="P31" s="344"/>
      <c r="Q31" s="344"/>
      <c r="R31" s="344"/>
      <c r="S31" s="729"/>
      <c r="T31" s="344"/>
    </row>
    <row r="32" spans="1:23" s="293" customFormat="1" ht="15.75" hidden="1">
      <c r="B32" s="316" t="s">
        <v>322</v>
      </c>
      <c r="C32" s="304">
        <v>0</v>
      </c>
      <c r="D32" s="304">
        <v>0</v>
      </c>
      <c r="E32" s="304"/>
      <c r="F32" s="304">
        <v>0</v>
      </c>
      <c r="G32" s="539">
        <v>0</v>
      </c>
      <c r="H32" s="539"/>
      <c r="I32" s="304">
        <v>0</v>
      </c>
      <c r="J32" s="540">
        <v>0</v>
      </c>
      <c r="K32" s="539"/>
      <c r="L32" s="304">
        <v>0</v>
      </c>
      <c r="M32" s="539"/>
      <c r="N32" s="1161">
        <v>0</v>
      </c>
      <c r="P32" s="672"/>
      <c r="Q32" s="344"/>
      <c r="R32" s="344"/>
      <c r="S32" s="729"/>
      <c r="T32" s="344"/>
    </row>
    <row r="33" spans="1:21" s="625" customFormat="1" ht="15.75">
      <c r="A33" s="293"/>
      <c r="B33" s="316" t="s">
        <v>31</v>
      </c>
      <c r="C33" s="1240">
        <v>4471274</v>
      </c>
      <c r="D33" s="304"/>
      <c r="E33" s="304"/>
      <c r="F33" s="549">
        <v>3299120.4099999997</v>
      </c>
      <c r="G33" s="539"/>
      <c r="H33" s="539"/>
      <c r="I33" s="549">
        <v>3281714.09</v>
      </c>
      <c r="J33" s="540"/>
      <c r="K33" s="539"/>
      <c r="L33" s="1240">
        <v>0</v>
      </c>
      <c r="M33" s="539"/>
      <c r="N33" s="1152">
        <v>-3299120.4099999997</v>
      </c>
      <c r="O33" s="293"/>
      <c r="P33" s="344"/>
      <c r="Q33" s="344"/>
      <c r="R33" s="661"/>
      <c r="S33" s="1277"/>
      <c r="T33" s="661"/>
    </row>
    <row r="34" spans="1:21" s="293" customFormat="1" ht="15.75">
      <c r="A34" s="625"/>
      <c r="B34" s="1246" t="s">
        <v>323</v>
      </c>
      <c r="C34" s="1244">
        <v>4471274</v>
      </c>
      <c r="D34" s="1225">
        <v>0</v>
      </c>
      <c r="E34" s="1225"/>
      <c r="F34" s="1244">
        <v>3299120.4099999997</v>
      </c>
      <c r="G34" s="541">
        <v>0</v>
      </c>
      <c r="H34" s="541"/>
      <c r="I34" s="1244">
        <v>3281714.09</v>
      </c>
      <c r="J34" s="541">
        <v>0</v>
      </c>
      <c r="K34" s="541"/>
      <c r="L34" s="1244">
        <v>0</v>
      </c>
      <c r="M34" s="541"/>
      <c r="N34" s="1157">
        <v>-3299120.4099999997</v>
      </c>
      <c r="O34" s="625"/>
      <c r="P34" s="661"/>
      <c r="Q34" s="661"/>
      <c r="R34" s="344"/>
      <c r="S34" s="729"/>
      <c r="T34" s="1757"/>
      <c r="U34" s="775"/>
    </row>
    <row r="35" spans="1:21" s="293" customFormat="1" ht="16.5" thickBot="1">
      <c r="B35" s="616" t="s">
        <v>25</v>
      </c>
      <c r="C35" s="1267">
        <v>8377548.2100000009</v>
      </c>
      <c r="D35" s="627" t="e">
        <v>#N/A</v>
      </c>
      <c r="E35" s="1267"/>
      <c r="F35" s="1267">
        <v>9724627</v>
      </c>
      <c r="G35" s="1267">
        <v>15581020</v>
      </c>
      <c r="H35" s="1267"/>
      <c r="I35" s="1267">
        <v>9799137</v>
      </c>
      <c r="J35" s="627">
        <v>-74510</v>
      </c>
      <c r="K35" s="627"/>
      <c r="L35" s="1267">
        <v>9217749</v>
      </c>
      <c r="M35" s="1267"/>
      <c r="N35" s="1267">
        <v>-506878</v>
      </c>
      <c r="P35" s="1756"/>
      <c r="Q35" s="344"/>
      <c r="R35" s="344"/>
      <c r="S35" s="729"/>
      <c r="T35" s="344"/>
    </row>
    <row r="36" spans="1:21" s="293" customFormat="1" ht="16.5" thickTop="1">
      <c r="B36" s="313"/>
      <c r="C36" s="310"/>
      <c r="D36" s="332"/>
      <c r="E36" s="332"/>
      <c r="F36" s="332"/>
      <c r="G36" s="332"/>
      <c r="H36" s="332"/>
      <c r="I36" s="332"/>
      <c r="J36" s="310"/>
      <c r="K36" s="332"/>
      <c r="L36" s="332"/>
      <c r="M36" s="332"/>
      <c r="N36" s="544"/>
      <c r="P36" s="344"/>
      <c r="Q36" s="344"/>
      <c r="R36" s="344"/>
      <c r="S36" s="729"/>
      <c r="T36" s="344"/>
    </row>
    <row r="37" spans="1:21" s="293" customFormat="1" ht="15.75">
      <c r="B37" s="313"/>
      <c r="C37" s="310"/>
      <c r="D37" s="332"/>
      <c r="E37" s="332"/>
      <c r="F37" s="332"/>
      <c r="G37" s="332"/>
      <c r="H37" s="332"/>
      <c r="I37" s="332"/>
      <c r="J37" s="310"/>
      <c r="K37" s="332"/>
      <c r="L37" s="332" t="s">
        <v>58</v>
      </c>
      <c r="M37" s="332"/>
      <c r="N37" s="544"/>
      <c r="P37" s="344"/>
      <c r="Q37" s="344"/>
      <c r="R37" s="344"/>
      <c r="S37" s="729"/>
      <c r="T37" s="344"/>
    </row>
    <row r="38" spans="1:21" s="293" customFormat="1" ht="15.75">
      <c r="B38" s="313"/>
      <c r="C38" s="310"/>
      <c r="D38" s="332"/>
      <c r="E38" s="332"/>
      <c r="F38" s="332"/>
      <c r="G38" s="332"/>
      <c r="H38" s="332"/>
      <c r="I38" s="332"/>
      <c r="J38" s="310"/>
      <c r="K38" s="332"/>
      <c r="L38" s="332"/>
      <c r="M38" s="332"/>
      <c r="N38" s="544"/>
      <c r="P38" s="344"/>
      <c r="Q38" s="344"/>
      <c r="R38" s="344"/>
      <c r="S38" s="729"/>
      <c r="T38" s="344"/>
    </row>
    <row r="39" spans="1:21" s="293" customFormat="1" ht="15.75">
      <c r="B39" s="313"/>
      <c r="C39" s="310"/>
      <c r="D39" s="332"/>
      <c r="E39" s="332"/>
      <c r="F39" s="332"/>
      <c r="G39" s="332"/>
      <c r="H39" s="332"/>
      <c r="I39" s="332"/>
      <c r="J39" s="310"/>
      <c r="K39" s="332"/>
      <c r="L39" s="332"/>
      <c r="M39" s="332"/>
      <c r="N39" s="544"/>
      <c r="P39" s="344"/>
      <c r="Q39" s="344"/>
      <c r="R39" s="344"/>
      <c r="S39" s="729"/>
      <c r="T39" s="344"/>
    </row>
    <row r="40" spans="1:21" s="293" customFormat="1" ht="15.75">
      <c r="B40" s="313"/>
      <c r="C40" s="310"/>
      <c r="D40" s="332"/>
      <c r="E40" s="332"/>
      <c r="F40" s="332"/>
      <c r="G40" s="332"/>
      <c r="H40" s="332"/>
      <c r="I40" s="332"/>
      <c r="J40" s="310"/>
      <c r="K40" s="332"/>
      <c r="L40" s="332"/>
      <c r="M40" s="332"/>
      <c r="N40" s="544"/>
      <c r="P40" s="344"/>
      <c r="Q40" s="344"/>
      <c r="R40" s="344"/>
      <c r="S40" s="729"/>
      <c r="T40" s="344"/>
    </row>
    <row r="41" spans="1:21" s="293" customFormat="1" ht="15.75">
      <c r="B41" s="313"/>
      <c r="C41" s="310"/>
      <c r="D41" s="332"/>
      <c r="E41" s="332"/>
      <c r="F41" s="332"/>
      <c r="G41" s="332"/>
      <c r="H41" s="332"/>
      <c r="I41" s="332"/>
      <c r="J41" s="310"/>
      <c r="K41" s="332"/>
      <c r="L41" s="332"/>
      <c r="M41" s="332"/>
      <c r="N41" s="332"/>
      <c r="P41" s="344"/>
      <c r="Q41" s="344"/>
      <c r="R41" s="344"/>
      <c r="S41" s="729"/>
      <c r="T41" s="344"/>
    </row>
    <row r="42" spans="1:21" s="293" customFormat="1" ht="15.75">
      <c r="B42" s="313"/>
      <c r="C42" s="310"/>
      <c r="D42" s="332"/>
      <c r="E42" s="332"/>
      <c r="F42" s="332"/>
      <c r="G42" s="332"/>
      <c r="H42" s="332"/>
      <c r="I42" s="332"/>
      <c r="J42" s="310"/>
      <c r="K42" s="332"/>
      <c r="L42" s="332"/>
      <c r="M42" s="332"/>
      <c r="N42" s="332"/>
      <c r="P42" s="344"/>
      <c r="Q42" s="344"/>
      <c r="R42" s="344"/>
      <c r="S42" s="729"/>
      <c r="T42" s="344"/>
    </row>
    <row r="43" spans="1:21" s="293" customFormat="1" ht="15.75">
      <c r="B43" s="313"/>
      <c r="C43" s="310"/>
      <c r="D43" s="332"/>
      <c r="E43" s="332"/>
      <c r="F43" s="332"/>
      <c r="G43" s="332"/>
      <c r="H43" s="332"/>
      <c r="I43" s="332"/>
      <c r="J43" s="310"/>
      <c r="K43" s="332"/>
      <c r="L43" s="332"/>
      <c r="M43" s="332"/>
      <c r="N43" s="332"/>
      <c r="P43" s="344"/>
      <c r="Q43" s="729"/>
      <c r="R43" s="344"/>
      <c r="S43" s="729"/>
      <c r="T43" s="344"/>
    </row>
    <row r="44" spans="1:21" s="293" customFormat="1" ht="15.75">
      <c r="B44" s="313"/>
      <c r="C44" s="310"/>
      <c r="D44" s="332"/>
      <c r="E44" s="332"/>
      <c r="F44" s="332"/>
      <c r="G44" s="332"/>
      <c r="H44" s="332"/>
      <c r="I44" s="332"/>
      <c r="J44" s="310"/>
      <c r="K44" s="332"/>
      <c r="L44" s="332"/>
      <c r="M44" s="332"/>
      <c r="N44" s="332"/>
      <c r="P44" s="344"/>
      <c r="Q44" s="729"/>
      <c r="R44" s="344"/>
      <c r="S44" s="729"/>
      <c r="T44" s="344"/>
    </row>
    <row r="45" spans="1:21" s="293" customFormat="1" ht="15.75">
      <c r="B45" s="313"/>
      <c r="C45" s="310"/>
      <c r="D45" s="332"/>
      <c r="E45" s="332"/>
      <c r="F45" s="332"/>
      <c r="G45" s="332"/>
      <c r="H45" s="332"/>
      <c r="I45" s="332"/>
      <c r="J45" s="310"/>
      <c r="K45" s="332"/>
      <c r="L45" s="332"/>
      <c r="M45" s="332"/>
      <c r="N45" s="332"/>
      <c r="P45" s="344"/>
      <c r="Q45" s="729"/>
      <c r="R45" s="729"/>
      <c r="S45" s="729"/>
      <c r="T45" s="344"/>
    </row>
    <row r="46" spans="1:21" s="293" customFormat="1" ht="15.75">
      <c r="B46" s="313"/>
      <c r="C46" s="310"/>
      <c r="D46" s="332"/>
      <c r="E46" s="332"/>
      <c r="F46" s="332"/>
      <c r="G46" s="332"/>
      <c r="H46" s="332"/>
      <c r="I46" s="332"/>
      <c r="J46" s="310"/>
      <c r="K46" s="332"/>
      <c r="L46" s="332"/>
      <c r="M46" s="332"/>
      <c r="N46" s="332"/>
      <c r="P46" s="344"/>
      <c r="Q46" s="729"/>
      <c r="R46" s="729"/>
      <c r="S46" s="729"/>
      <c r="T46" s="344"/>
    </row>
    <row r="47" spans="1:21" s="293" customFormat="1" ht="15.75">
      <c r="B47" s="313"/>
      <c r="C47" s="310"/>
      <c r="D47" s="332"/>
      <c r="E47" s="332"/>
      <c r="F47" s="332"/>
      <c r="G47" s="332"/>
      <c r="H47" s="332"/>
      <c r="I47" s="332"/>
      <c r="J47" s="310"/>
      <c r="K47" s="332"/>
      <c r="L47" s="332"/>
      <c r="M47" s="332"/>
      <c r="N47" s="332"/>
      <c r="P47" s="344"/>
      <c r="Q47" s="729"/>
      <c r="R47" s="729"/>
      <c r="S47" s="729"/>
      <c r="T47" s="344"/>
    </row>
    <row r="48" spans="1:21" s="293" customFormat="1" ht="15.75">
      <c r="B48" s="313"/>
      <c r="C48" s="310"/>
      <c r="D48" s="332"/>
      <c r="E48" s="332"/>
      <c r="F48" s="332"/>
      <c r="G48" s="332"/>
      <c r="H48" s="332"/>
      <c r="I48" s="332"/>
      <c r="J48" s="310"/>
      <c r="K48" s="332"/>
      <c r="L48" s="332"/>
      <c r="M48" s="332"/>
      <c r="N48" s="332"/>
      <c r="P48" s="344"/>
      <c r="Q48" s="729"/>
      <c r="R48" s="729"/>
      <c r="S48" s="729"/>
      <c r="T48" s="344"/>
    </row>
    <row r="49" spans="1:20" s="293" customFormat="1" ht="15.75">
      <c r="B49" s="313"/>
      <c r="C49" s="310"/>
      <c r="D49" s="332"/>
      <c r="E49" s="332"/>
      <c r="F49" s="332"/>
      <c r="G49" s="332"/>
      <c r="H49" s="332"/>
      <c r="I49" s="332"/>
      <c r="J49" s="310"/>
      <c r="K49" s="332"/>
      <c r="L49" s="332"/>
      <c r="M49" s="332"/>
      <c r="N49" s="332"/>
      <c r="P49" s="344"/>
      <c r="Q49" s="729"/>
      <c r="R49" s="729"/>
      <c r="S49" s="729"/>
      <c r="T49" s="344"/>
    </row>
    <row r="50" spans="1:20" s="293" customFormat="1" ht="15.75">
      <c r="B50" s="313"/>
      <c r="C50" s="310"/>
      <c r="D50" s="332"/>
      <c r="E50" s="332"/>
      <c r="F50" s="332"/>
      <c r="G50" s="332"/>
      <c r="H50" s="332"/>
      <c r="I50" s="332"/>
      <c r="J50" s="310"/>
      <c r="K50" s="332"/>
      <c r="L50" s="332"/>
      <c r="M50" s="332"/>
      <c r="N50" s="332"/>
      <c r="P50" s="344"/>
      <c r="Q50" s="729"/>
      <c r="R50" s="344"/>
      <c r="S50" s="729"/>
      <c r="T50" s="344"/>
    </row>
    <row r="51" spans="1:20" s="293" customFormat="1" ht="15.75">
      <c r="B51" s="313"/>
      <c r="C51" s="310"/>
      <c r="D51" s="332"/>
      <c r="E51" s="332"/>
      <c r="F51" s="332"/>
      <c r="G51" s="332"/>
      <c r="H51" s="332"/>
      <c r="I51" s="332"/>
      <c r="J51" s="310"/>
      <c r="K51" s="332"/>
      <c r="L51" s="332"/>
      <c r="M51" s="332"/>
      <c r="N51" s="332"/>
      <c r="P51" s="344"/>
      <c r="Q51" s="729"/>
      <c r="R51" s="1767"/>
      <c r="S51" s="729"/>
      <c r="T51" s="344"/>
    </row>
    <row r="52" spans="1:20" s="293" customFormat="1" ht="15.75">
      <c r="B52" s="313"/>
      <c r="C52" s="310"/>
      <c r="D52" s="332"/>
      <c r="E52" s="332"/>
      <c r="F52" s="332"/>
      <c r="G52" s="332"/>
      <c r="H52" s="332"/>
      <c r="I52" s="332"/>
      <c r="J52" s="310"/>
      <c r="K52" s="332"/>
      <c r="L52" s="332"/>
      <c r="M52" s="332"/>
      <c r="N52" s="332"/>
      <c r="P52" s="344"/>
      <c r="Q52" s="344"/>
      <c r="R52" s="344"/>
      <c r="S52" s="729"/>
      <c r="T52" s="344"/>
    </row>
    <row r="53" spans="1:20" s="293" customFormat="1" ht="15.75">
      <c r="B53" s="313"/>
      <c r="C53" s="310"/>
      <c r="D53" s="332"/>
      <c r="E53" s="332"/>
      <c r="F53" s="332"/>
      <c r="G53" s="332"/>
      <c r="H53" s="332"/>
      <c r="I53" s="332"/>
      <c r="J53" s="310"/>
      <c r="K53" s="332"/>
      <c r="L53" s="332"/>
      <c r="M53" s="332"/>
      <c r="N53" s="332"/>
      <c r="P53" s="344"/>
      <c r="Q53" s="344"/>
      <c r="R53" s="344"/>
      <c r="S53" s="729"/>
      <c r="T53" s="344"/>
    </row>
    <row r="54" spans="1:20" s="293" customFormat="1" ht="15.75">
      <c r="B54" s="313"/>
      <c r="C54" s="310"/>
      <c r="D54" s="332"/>
      <c r="E54" s="332"/>
      <c r="F54" s="332"/>
      <c r="G54" s="332"/>
      <c r="H54" s="332"/>
      <c r="I54" s="332"/>
      <c r="J54" s="310"/>
      <c r="K54" s="332"/>
      <c r="L54" s="332"/>
      <c r="M54" s="332"/>
      <c r="N54" s="332"/>
      <c r="P54" s="344"/>
      <c r="Q54" s="344"/>
      <c r="R54" s="344"/>
      <c r="S54" s="729"/>
      <c r="T54" s="344"/>
    </row>
    <row r="55" spans="1:20" s="293" customFormat="1" ht="15.75">
      <c r="B55" s="313"/>
      <c r="C55" s="310"/>
      <c r="D55" s="332"/>
      <c r="E55" s="332"/>
      <c r="F55" s="332"/>
      <c r="G55" s="332"/>
      <c r="H55" s="332"/>
      <c r="I55" s="332"/>
      <c r="J55" s="310"/>
      <c r="K55" s="332"/>
      <c r="L55" s="332"/>
      <c r="M55" s="332"/>
      <c r="N55" s="332"/>
      <c r="P55" s="344"/>
      <c r="Q55" s="344"/>
      <c r="R55" s="344"/>
      <c r="S55" s="729"/>
      <c r="T55" s="344"/>
    </row>
    <row r="56" spans="1:20" s="293" customFormat="1" ht="15.75">
      <c r="B56" s="313"/>
      <c r="C56" s="310"/>
      <c r="D56" s="332"/>
      <c r="E56" s="332"/>
      <c r="F56" s="332"/>
      <c r="G56" s="332"/>
      <c r="H56" s="332"/>
      <c r="I56" s="332"/>
      <c r="J56" s="310"/>
      <c r="K56" s="332"/>
      <c r="L56" s="332"/>
      <c r="M56" s="332"/>
      <c r="N56" s="332"/>
      <c r="P56" s="344"/>
      <c r="Q56" s="344"/>
      <c r="R56" s="344"/>
      <c r="S56" s="729"/>
      <c r="T56" s="344"/>
    </row>
    <row r="57" spans="1:20" s="293" customFormat="1" ht="15.75">
      <c r="B57" s="313"/>
      <c r="C57" s="310"/>
      <c r="D57" s="332"/>
      <c r="E57" s="332"/>
      <c r="F57" s="332"/>
      <c r="G57" s="332"/>
      <c r="H57" s="332"/>
      <c r="I57" s="332"/>
      <c r="J57" s="310"/>
      <c r="K57" s="332"/>
      <c r="L57" s="332"/>
      <c r="M57" s="332"/>
      <c r="N57" s="332"/>
      <c r="P57" s="344"/>
      <c r="Q57" s="344"/>
      <c r="R57" s="344"/>
      <c r="S57" s="729"/>
      <c r="T57" s="344"/>
    </row>
    <row r="58" spans="1:20" s="293" customFormat="1" ht="15.75">
      <c r="B58" s="313"/>
      <c r="C58" s="310"/>
      <c r="D58" s="332"/>
      <c r="E58" s="332"/>
      <c r="F58" s="332"/>
      <c r="G58" s="332"/>
      <c r="H58" s="332"/>
      <c r="I58" s="332"/>
      <c r="J58" s="310"/>
      <c r="K58" s="332"/>
      <c r="L58" s="332"/>
      <c r="M58" s="332"/>
      <c r="N58" s="332"/>
      <c r="P58" s="344"/>
      <c r="Q58" s="344"/>
      <c r="R58" s="344"/>
      <c r="S58" s="729"/>
      <c r="T58" s="344"/>
    </row>
    <row r="59" spans="1:20" s="293" customFormat="1" ht="15.75">
      <c r="B59" s="313"/>
      <c r="C59" s="310"/>
      <c r="D59" s="332"/>
      <c r="E59" s="332"/>
      <c r="F59" s="332"/>
      <c r="G59" s="332"/>
      <c r="H59" s="332"/>
      <c r="I59" s="332"/>
      <c r="J59" s="310"/>
      <c r="K59" s="332"/>
      <c r="L59" s="332"/>
      <c r="M59" s="332"/>
      <c r="N59" s="332"/>
      <c r="P59" s="344"/>
      <c r="Q59" s="344"/>
      <c r="R59" s="344"/>
      <c r="S59" s="729"/>
      <c r="T59" s="344"/>
    </row>
    <row r="60" spans="1:20" s="293" customFormat="1" ht="15.75">
      <c r="B60" s="313"/>
      <c r="C60" s="310"/>
      <c r="D60" s="332"/>
      <c r="E60" s="332"/>
      <c r="F60" s="332"/>
      <c r="G60" s="332"/>
      <c r="H60" s="332"/>
      <c r="I60" s="332"/>
      <c r="J60" s="310"/>
      <c r="K60" s="332"/>
      <c r="L60" s="332"/>
      <c r="M60" s="332"/>
      <c r="N60" s="332"/>
      <c r="P60" s="344"/>
      <c r="Q60" s="344"/>
      <c r="R60" s="344"/>
      <c r="S60" s="729"/>
      <c r="T60" s="344"/>
    </row>
    <row r="61" spans="1:20" s="344" customFormat="1" ht="15.75">
      <c r="A61" s="293"/>
      <c r="B61" s="313"/>
      <c r="C61" s="310"/>
      <c r="D61" s="332"/>
      <c r="E61" s="332"/>
      <c r="F61" s="332"/>
      <c r="G61" s="332"/>
      <c r="H61" s="332"/>
      <c r="I61" s="332"/>
      <c r="J61" s="310"/>
      <c r="K61" s="332"/>
      <c r="L61" s="332"/>
      <c r="M61" s="332"/>
      <c r="N61" s="332"/>
      <c r="O61" s="293"/>
      <c r="S61" s="729"/>
    </row>
    <row r="62" spans="1:20" s="293" customFormat="1" ht="15.75">
      <c r="A62" s="344"/>
      <c r="B62" s="313"/>
      <c r="C62" s="310"/>
      <c r="D62" s="332"/>
      <c r="E62" s="332"/>
      <c r="F62" s="332"/>
      <c r="G62" s="332"/>
      <c r="H62" s="332"/>
      <c r="I62" s="332"/>
      <c r="J62" s="310"/>
      <c r="K62" s="332"/>
      <c r="L62" s="332"/>
      <c r="M62" s="332"/>
      <c r="N62" s="332"/>
      <c r="O62" s="344"/>
      <c r="P62" s="344"/>
      <c r="Q62" s="344"/>
      <c r="R62" s="344"/>
      <c r="S62" s="729"/>
      <c r="T62" s="344"/>
    </row>
    <row r="63" spans="1:20" s="293" customFormat="1" ht="15.75">
      <c r="B63" s="313"/>
      <c r="C63" s="310"/>
      <c r="D63" s="332"/>
      <c r="E63" s="332"/>
      <c r="F63" s="332"/>
      <c r="G63" s="332"/>
      <c r="H63" s="332"/>
      <c r="I63" s="332"/>
      <c r="J63" s="310"/>
      <c r="K63" s="332"/>
      <c r="L63" s="332"/>
      <c r="M63" s="332"/>
      <c r="N63" s="332"/>
      <c r="P63" s="344"/>
      <c r="Q63" s="344"/>
      <c r="R63" s="344"/>
      <c r="S63" s="729"/>
      <c r="T63" s="344"/>
    </row>
    <row r="64" spans="1:20" s="293" customFormat="1" ht="15.75">
      <c r="B64" s="313"/>
      <c r="C64" s="310"/>
      <c r="D64" s="332"/>
      <c r="E64" s="332"/>
      <c r="F64" s="332"/>
      <c r="G64" s="332"/>
      <c r="H64" s="332"/>
      <c r="I64" s="332"/>
      <c r="J64" s="310"/>
      <c r="K64" s="332"/>
      <c r="L64" s="332"/>
      <c r="M64" s="332"/>
      <c r="N64" s="332"/>
      <c r="P64" s="344"/>
      <c r="Q64" s="344"/>
      <c r="R64" s="344"/>
      <c r="S64" s="729"/>
      <c r="T64" s="344"/>
    </row>
    <row r="65" spans="1:20" s="293" customFormat="1" ht="15.75">
      <c r="B65" s="313"/>
      <c r="C65" s="310"/>
      <c r="D65" s="332"/>
      <c r="E65" s="332"/>
      <c r="F65" s="332"/>
      <c r="G65" s="332"/>
      <c r="H65" s="332"/>
      <c r="I65" s="332"/>
      <c r="J65" s="310"/>
      <c r="K65" s="332"/>
      <c r="L65" s="332"/>
      <c r="M65" s="332"/>
      <c r="N65" s="332"/>
      <c r="P65" s="344"/>
      <c r="Q65" s="344"/>
      <c r="R65" s="344"/>
      <c r="S65" s="729"/>
      <c r="T65" s="344"/>
    </row>
    <row r="66" spans="1:20" s="293" customFormat="1" ht="15.75">
      <c r="B66" s="313"/>
      <c r="C66" s="310"/>
      <c r="D66" s="332"/>
      <c r="E66" s="332"/>
      <c r="F66" s="332"/>
      <c r="G66" s="332"/>
      <c r="H66" s="332"/>
      <c r="I66" s="332"/>
      <c r="J66" s="310"/>
      <c r="K66" s="332"/>
      <c r="L66" s="332"/>
      <c r="M66" s="332"/>
      <c r="N66" s="332"/>
      <c r="P66" s="344"/>
      <c r="Q66" s="344"/>
      <c r="R66" s="344"/>
      <c r="S66" s="729"/>
      <c r="T66" s="344"/>
    </row>
    <row r="67" spans="1:20" s="293" customFormat="1" ht="15.75">
      <c r="B67" s="313"/>
      <c r="C67" s="310"/>
      <c r="D67" s="332"/>
      <c r="E67" s="332"/>
      <c r="F67" s="332"/>
      <c r="G67" s="332"/>
      <c r="H67" s="332"/>
      <c r="I67" s="332"/>
      <c r="J67" s="310"/>
      <c r="K67" s="332"/>
      <c r="L67" s="332"/>
      <c r="M67" s="332"/>
      <c r="N67" s="332"/>
      <c r="P67" s="344"/>
      <c r="Q67" s="344"/>
      <c r="R67" s="344"/>
      <c r="S67" s="729"/>
      <c r="T67" s="344"/>
    </row>
    <row r="68" spans="1:20" s="293" customFormat="1" ht="15.75">
      <c r="B68" s="313"/>
      <c r="C68" s="310"/>
      <c r="D68" s="332"/>
      <c r="E68" s="332"/>
      <c r="F68" s="332"/>
      <c r="G68" s="332"/>
      <c r="H68" s="332"/>
      <c r="I68" s="332"/>
      <c r="J68" s="310"/>
      <c r="K68" s="332"/>
      <c r="L68" s="332"/>
      <c r="M68" s="332"/>
      <c r="N68" s="332"/>
      <c r="P68" s="344"/>
      <c r="Q68" s="344"/>
      <c r="R68" s="344"/>
      <c r="S68" s="729"/>
      <c r="T68" s="344"/>
    </row>
    <row r="69" spans="1:20" ht="15.75">
      <c r="A69" s="293"/>
      <c r="B69" s="313"/>
      <c r="C69" s="310"/>
      <c r="D69" s="332"/>
      <c r="E69" s="332"/>
      <c r="F69" s="332"/>
      <c r="G69" s="332"/>
      <c r="H69" s="332"/>
      <c r="I69" s="332"/>
      <c r="J69" s="310"/>
      <c r="K69" s="332"/>
      <c r="L69" s="332"/>
      <c r="M69" s="332"/>
      <c r="N69" s="332"/>
      <c r="O69" s="293"/>
      <c r="P69" s="344"/>
      <c r="Q69" s="344"/>
      <c r="R69" s="344"/>
      <c r="S69" s="729"/>
      <c r="T69" s="344"/>
    </row>
    <row r="70" spans="1:20" ht="15.75">
      <c r="B70" s="313"/>
      <c r="C70" s="314"/>
      <c r="D70" s="314"/>
      <c r="E70" s="314"/>
      <c r="F70" s="314"/>
      <c r="G70" s="314"/>
      <c r="H70" s="314"/>
      <c r="I70" s="314"/>
      <c r="J70" s="314"/>
      <c r="K70" s="314"/>
      <c r="L70" s="314"/>
      <c r="M70" s="314"/>
      <c r="N70" s="314"/>
      <c r="P70" s="344"/>
      <c r="Q70" s="344"/>
      <c r="R70" s="344"/>
      <c r="S70" s="729"/>
      <c r="T70" s="344"/>
    </row>
    <row r="71" spans="1:20" ht="15.75">
      <c r="B71" s="313"/>
      <c r="C71" s="313"/>
      <c r="D71" s="305"/>
      <c r="E71" s="305"/>
      <c r="F71" s="310"/>
      <c r="G71" s="310"/>
      <c r="H71" s="305"/>
      <c r="I71" s="310"/>
      <c r="J71" s="298"/>
      <c r="K71" s="305"/>
      <c r="L71" s="316"/>
      <c r="M71" s="305"/>
      <c r="N71" s="316"/>
      <c r="P71" s="344"/>
      <c r="Q71" s="344"/>
      <c r="R71" s="344"/>
      <c r="S71" s="729"/>
      <c r="T71" s="344"/>
    </row>
    <row r="72" spans="1:20" ht="15.75">
      <c r="B72" s="298"/>
      <c r="C72" s="902"/>
      <c r="D72" s="902"/>
      <c r="E72" s="902"/>
      <c r="F72" s="902"/>
      <c r="G72" s="902"/>
      <c r="H72" s="902"/>
      <c r="I72" s="902"/>
      <c r="J72" s="902"/>
      <c r="K72" s="902"/>
      <c r="L72" s="902"/>
      <c r="M72" s="902"/>
      <c r="N72" s="902"/>
      <c r="P72" s="344"/>
      <c r="Q72" s="344"/>
      <c r="R72" s="344"/>
      <c r="S72" s="729"/>
      <c r="T72" s="344"/>
    </row>
    <row r="73" spans="1:20" ht="15.75">
      <c r="B73" s="298"/>
      <c r="C73" s="298"/>
      <c r="D73" s="298"/>
      <c r="E73" s="298"/>
      <c r="F73" s="298"/>
      <c r="G73" s="298"/>
      <c r="H73" s="298"/>
      <c r="I73" s="298"/>
      <c r="J73" s="298"/>
      <c r="K73" s="298"/>
      <c r="L73" s="311"/>
      <c r="M73" s="298"/>
      <c r="N73" s="311"/>
      <c r="P73" s="344"/>
      <c r="Q73" s="344"/>
      <c r="R73" s="344"/>
      <c r="S73" s="729"/>
      <c r="T73" s="344"/>
    </row>
    <row r="74" spans="1:20" ht="15.75">
      <c r="B74" s="298"/>
      <c r="C74" s="298"/>
      <c r="D74" s="298"/>
      <c r="E74" s="298"/>
      <c r="F74" s="298"/>
      <c r="G74" s="298"/>
      <c r="H74" s="298"/>
      <c r="I74" s="298"/>
      <c r="J74" s="298"/>
      <c r="K74" s="298"/>
      <c r="L74" s="311"/>
      <c r="M74" s="298"/>
      <c r="N74" s="311"/>
      <c r="P74" s="344"/>
      <c r="Q74" s="344"/>
      <c r="R74" s="344"/>
      <c r="S74" s="729"/>
      <c r="T74" s="344"/>
    </row>
    <row r="75" spans="1:20" ht="15.75">
      <c r="B75" s="299"/>
      <c r="C75" s="299"/>
      <c r="D75" s="298"/>
      <c r="E75" s="298"/>
      <c r="F75" s="298"/>
      <c r="G75" s="298"/>
      <c r="H75" s="298"/>
      <c r="I75" s="298"/>
      <c r="J75" s="298"/>
      <c r="K75" s="298"/>
      <c r="L75" s="311"/>
      <c r="M75" s="298"/>
      <c r="N75" s="311"/>
      <c r="P75" s="344"/>
      <c r="Q75" s="344"/>
      <c r="R75" s="344"/>
      <c r="S75" s="729"/>
      <c r="T75" s="344"/>
    </row>
    <row r="76" spans="1:20" ht="15.75">
      <c r="B76" s="298"/>
      <c r="C76" s="298"/>
      <c r="D76" s="298"/>
      <c r="E76" s="298"/>
      <c r="F76" s="298"/>
      <c r="G76" s="298"/>
      <c r="H76" s="298"/>
      <c r="I76" s="298"/>
      <c r="J76" s="298"/>
      <c r="K76" s="298"/>
      <c r="L76" s="311"/>
      <c r="M76" s="298"/>
      <c r="N76" s="311"/>
      <c r="P76" s="344"/>
      <c r="Q76" s="344"/>
      <c r="R76" s="344"/>
      <c r="S76" s="729"/>
      <c r="T76" s="344"/>
    </row>
    <row r="77" spans="1:20" ht="15.75">
      <c r="B77" s="298"/>
      <c r="C77" s="298"/>
      <c r="D77" s="298"/>
      <c r="E77" s="298"/>
      <c r="F77" s="298"/>
      <c r="G77" s="298"/>
      <c r="H77" s="298"/>
      <c r="I77" s="298"/>
      <c r="J77" s="298"/>
      <c r="K77" s="298"/>
      <c r="L77" s="311"/>
      <c r="M77" s="298"/>
      <c r="N77" s="311"/>
      <c r="P77" s="344"/>
      <c r="Q77" s="344"/>
      <c r="R77" s="344"/>
      <c r="S77" s="729"/>
      <c r="T77" s="344"/>
    </row>
    <row r="78" spans="1:20" ht="15.75">
      <c r="B78" s="298"/>
      <c r="C78" s="298"/>
      <c r="D78" s="298"/>
      <c r="E78" s="298"/>
      <c r="F78" s="298"/>
      <c r="G78" s="298"/>
      <c r="H78" s="298"/>
      <c r="I78" s="298"/>
      <c r="J78" s="298"/>
      <c r="K78" s="298"/>
      <c r="L78" s="311"/>
      <c r="M78" s="298"/>
      <c r="N78" s="311"/>
      <c r="P78" s="344"/>
      <c r="Q78" s="344"/>
      <c r="R78" s="344"/>
      <c r="S78" s="729"/>
      <c r="T78" s="344"/>
    </row>
    <row r="79" spans="1:20" ht="15.75">
      <c r="B79" s="298"/>
      <c r="C79" s="298"/>
      <c r="D79" s="298"/>
      <c r="E79" s="298"/>
      <c r="F79" s="298"/>
      <c r="G79" s="298"/>
      <c r="H79" s="298"/>
      <c r="I79" s="298"/>
      <c r="J79" s="298"/>
      <c r="K79" s="298"/>
      <c r="L79" s="311"/>
      <c r="M79" s="298"/>
      <c r="N79" s="311"/>
      <c r="P79" s="344"/>
      <c r="Q79" s="344"/>
      <c r="R79" s="344"/>
      <c r="S79" s="729"/>
      <c r="T79" s="344"/>
    </row>
    <row r="80" spans="1:20" ht="15.75">
      <c r="B80" s="298"/>
      <c r="C80" s="298"/>
      <c r="D80" s="298"/>
      <c r="E80" s="298"/>
      <c r="F80" s="298"/>
      <c r="G80" s="298"/>
      <c r="H80" s="298"/>
      <c r="I80" s="298"/>
      <c r="J80" s="298"/>
      <c r="K80" s="298"/>
      <c r="L80" s="311"/>
      <c r="M80" s="298"/>
      <c r="N80" s="311"/>
      <c r="P80" s="344"/>
      <c r="Q80" s="344"/>
      <c r="R80" s="344"/>
      <c r="S80" s="729"/>
      <c r="T80" s="344"/>
    </row>
    <row r="81" spans="2:20" ht="15.75">
      <c r="B81" s="298"/>
      <c r="C81" s="298"/>
      <c r="D81" s="298"/>
      <c r="E81" s="298"/>
      <c r="F81" s="298"/>
      <c r="G81" s="298"/>
      <c r="H81" s="298"/>
      <c r="I81" s="298"/>
      <c r="J81" s="298"/>
      <c r="K81" s="298"/>
      <c r="L81" s="311"/>
      <c r="M81" s="298"/>
      <c r="N81" s="311"/>
      <c r="P81" s="344"/>
      <c r="Q81" s="344"/>
      <c r="R81" s="344"/>
      <c r="S81" s="729"/>
      <c r="T81" s="344"/>
    </row>
    <row r="82" spans="2:20" ht="15.75">
      <c r="B82" s="298"/>
      <c r="C82" s="298"/>
      <c r="D82" s="298"/>
      <c r="E82" s="298"/>
      <c r="F82" s="298"/>
      <c r="G82" s="298"/>
      <c r="H82" s="298"/>
      <c r="I82" s="298"/>
      <c r="J82" s="298"/>
      <c r="K82" s="298"/>
      <c r="L82" s="311"/>
      <c r="M82" s="298"/>
      <c r="N82" s="311"/>
      <c r="P82" s="344"/>
      <c r="Q82" s="344"/>
      <c r="R82" s="344"/>
      <c r="S82" s="729"/>
      <c r="T82" s="344"/>
    </row>
    <row r="83" spans="2:20" ht="15.75">
      <c r="B83" s="298"/>
      <c r="C83" s="298"/>
      <c r="D83" s="298"/>
      <c r="E83" s="298"/>
      <c r="F83" s="298"/>
      <c r="G83" s="298"/>
      <c r="H83" s="298"/>
      <c r="I83" s="298"/>
      <c r="J83" s="298"/>
      <c r="K83" s="298"/>
      <c r="L83" s="311"/>
      <c r="M83" s="298"/>
      <c r="N83" s="311"/>
      <c r="P83" s="344"/>
      <c r="Q83" s="344"/>
      <c r="R83" s="344"/>
      <c r="S83" s="729"/>
      <c r="T83" s="344"/>
    </row>
    <row r="84" spans="2:20" ht="15.75">
      <c r="B84" s="298"/>
      <c r="C84" s="298"/>
      <c r="D84" s="298"/>
      <c r="E84" s="298"/>
      <c r="F84" s="298"/>
      <c r="G84" s="298"/>
      <c r="H84" s="298"/>
      <c r="I84" s="298"/>
      <c r="J84" s="298"/>
      <c r="K84" s="298"/>
      <c r="L84" s="311"/>
      <c r="M84" s="298"/>
      <c r="N84" s="311"/>
      <c r="P84" s="344"/>
      <c r="Q84" s="344"/>
      <c r="R84" s="344"/>
      <c r="S84" s="729"/>
      <c r="T84" s="344"/>
    </row>
    <row r="85" spans="2:20" ht="15.75">
      <c r="B85" s="298"/>
      <c r="C85" s="298"/>
      <c r="D85" s="298"/>
      <c r="E85" s="298"/>
      <c r="F85" s="298"/>
      <c r="G85" s="298"/>
      <c r="H85" s="298"/>
      <c r="I85" s="298"/>
      <c r="J85" s="298"/>
      <c r="K85" s="298"/>
      <c r="L85" s="311"/>
      <c r="M85" s="298"/>
      <c r="N85" s="311"/>
      <c r="P85" s="344"/>
      <c r="Q85" s="344"/>
      <c r="R85" s="344"/>
      <c r="S85" s="729"/>
      <c r="T85" s="344"/>
    </row>
    <row r="86" spans="2:20" ht="15.75">
      <c r="B86" s="298"/>
      <c r="C86" s="298"/>
      <c r="D86" s="298"/>
      <c r="E86" s="298"/>
      <c r="F86" s="298"/>
      <c r="G86" s="298"/>
      <c r="H86" s="298"/>
      <c r="I86" s="298"/>
      <c r="J86" s="298"/>
      <c r="K86" s="298"/>
      <c r="L86" s="311"/>
      <c r="M86" s="298"/>
      <c r="N86" s="311"/>
      <c r="P86" s="344"/>
      <c r="Q86" s="344"/>
      <c r="R86" s="344"/>
      <c r="S86" s="729"/>
      <c r="T86" s="344"/>
    </row>
    <row r="87" spans="2:20" ht="15.75">
      <c r="B87" s="298"/>
      <c r="C87" s="298"/>
      <c r="D87" s="298"/>
      <c r="E87" s="298"/>
      <c r="F87" s="298"/>
      <c r="G87" s="298"/>
      <c r="H87" s="298"/>
      <c r="I87" s="298"/>
      <c r="J87" s="298"/>
      <c r="K87" s="298"/>
      <c r="L87" s="311"/>
      <c r="M87" s="298"/>
      <c r="N87" s="311"/>
      <c r="P87" s="344"/>
      <c r="Q87" s="344"/>
      <c r="R87" s="344"/>
      <c r="S87" s="729"/>
      <c r="T87" s="344"/>
    </row>
    <row r="88" spans="2:20" ht="15.75">
      <c r="B88" s="298"/>
      <c r="C88" s="298"/>
      <c r="D88" s="298"/>
      <c r="E88" s="298"/>
      <c r="F88" s="298"/>
      <c r="G88" s="298"/>
      <c r="H88" s="298"/>
      <c r="I88" s="298"/>
      <c r="J88" s="298"/>
      <c r="K88" s="298"/>
      <c r="L88" s="311"/>
      <c r="M88" s="298"/>
      <c r="N88" s="311"/>
      <c r="P88" s="344"/>
      <c r="Q88" s="344"/>
      <c r="R88" s="344"/>
      <c r="S88" s="729"/>
      <c r="T88" s="344"/>
    </row>
    <row r="89" spans="2:20" ht="15.75">
      <c r="B89" s="298"/>
      <c r="C89" s="298"/>
      <c r="D89" s="298"/>
      <c r="E89" s="298"/>
      <c r="F89" s="298"/>
      <c r="G89" s="298"/>
      <c r="H89" s="298"/>
      <c r="I89" s="298"/>
      <c r="J89" s="298"/>
      <c r="K89" s="298"/>
      <c r="L89" s="311"/>
      <c r="M89" s="298"/>
      <c r="N89" s="311"/>
      <c r="P89" s="344"/>
      <c r="Q89" s="344"/>
      <c r="R89" s="344"/>
      <c r="S89" s="729"/>
      <c r="T89" s="344"/>
    </row>
    <row r="90" spans="2:20" ht="15.75">
      <c r="B90" s="298"/>
      <c r="C90" s="298"/>
      <c r="D90" s="298"/>
      <c r="E90" s="298"/>
      <c r="F90" s="298"/>
      <c r="G90" s="298"/>
      <c r="H90" s="298"/>
      <c r="I90" s="298"/>
      <c r="J90" s="298"/>
      <c r="K90" s="298"/>
      <c r="L90" s="311"/>
      <c r="M90" s="298"/>
      <c r="N90" s="311"/>
      <c r="P90" s="344"/>
      <c r="Q90" s="344"/>
      <c r="R90" s="344"/>
      <c r="S90" s="729"/>
      <c r="T90" s="344"/>
    </row>
    <row r="91" spans="2:20" ht="15.75">
      <c r="B91" s="298"/>
      <c r="C91" s="298"/>
      <c r="D91" s="298"/>
      <c r="E91" s="298"/>
      <c r="F91" s="298"/>
      <c r="G91" s="298"/>
      <c r="H91" s="298"/>
      <c r="I91" s="298"/>
      <c r="J91" s="298"/>
      <c r="K91" s="298"/>
      <c r="L91" s="311"/>
      <c r="M91" s="298"/>
      <c r="N91" s="311"/>
      <c r="P91" s="344"/>
      <c r="Q91" s="344"/>
      <c r="R91" s="344"/>
      <c r="S91" s="729"/>
      <c r="T91" s="344"/>
    </row>
    <row r="92" spans="2:20" ht="15.75">
      <c r="B92" s="298"/>
      <c r="C92" s="298"/>
      <c r="D92" s="298"/>
      <c r="E92" s="298"/>
      <c r="F92" s="298"/>
      <c r="G92" s="298"/>
      <c r="H92" s="298"/>
      <c r="I92" s="298"/>
      <c r="J92" s="298"/>
      <c r="K92" s="298"/>
      <c r="L92" s="311"/>
      <c r="M92" s="298"/>
      <c r="N92" s="311"/>
      <c r="P92" s="344"/>
      <c r="Q92" s="344"/>
      <c r="R92" s="344"/>
      <c r="S92" s="729"/>
      <c r="T92" s="344"/>
    </row>
    <row r="93" spans="2:20" ht="15.75">
      <c r="B93" s="298"/>
      <c r="C93" s="298"/>
      <c r="D93" s="298"/>
      <c r="E93" s="298"/>
      <c r="F93" s="298"/>
      <c r="G93" s="298"/>
      <c r="H93" s="298"/>
      <c r="I93" s="298"/>
      <c r="J93" s="298"/>
      <c r="K93" s="298"/>
      <c r="L93" s="311"/>
      <c r="M93" s="298"/>
      <c r="N93" s="311"/>
      <c r="P93" s="344"/>
      <c r="Q93" s="344"/>
      <c r="R93" s="344"/>
      <c r="S93" s="729"/>
      <c r="T93" s="344"/>
    </row>
    <row r="94" spans="2:20" ht="15.75">
      <c r="B94" s="298"/>
      <c r="C94" s="298"/>
      <c r="D94" s="298"/>
      <c r="E94" s="298"/>
      <c r="F94" s="298"/>
      <c r="G94" s="298"/>
      <c r="H94" s="298"/>
      <c r="I94" s="298"/>
      <c r="J94" s="298"/>
      <c r="K94" s="298"/>
      <c r="L94" s="311"/>
      <c r="M94" s="298"/>
      <c r="N94" s="311"/>
      <c r="P94" s="344"/>
      <c r="Q94" s="344"/>
      <c r="R94" s="344"/>
      <c r="S94" s="729"/>
      <c r="T94" s="344"/>
    </row>
    <row r="95" spans="2:20" ht="15.75">
      <c r="B95" s="298"/>
      <c r="C95" s="298"/>
      <c r="D95" s="298"/>
      <c r="E95" s="298"/>
      <c r="F95" s="298"/>
      <c r="G95" s="298"/>
      <c r="H95" s="298"/>
      <c r="I95" s="298"/>
      <c r="J95" s="298"/>
      <c r="K95" s="298"/>
      <c r="L95" s="311"/>
      <c r="M95" s="298"/>
      <c r="N95" s="311"/>
      <c r="P95" s="344"/>
      <c r="Q95" s="344"/>
      <c r="R95" s="344"/>
      <c r="S95" s="729"/>
      <c r="T95" s="344"/>
    </row>
    <row r="96" spans="2:20" ht="15.75">
      <c r="B96" s="298"/>
      <c r="C96" s="298"/>
      <c r="D96" s="298"/>
      <c r="E96" s="298"/>
      <c r="F96" s="298"/>
      <c r="G96" s="298"/>
      <c r="H96" s="298"/>
      <c r="I96" s="298"/>
      <c r="J96" s="298"/>
      <c r="K96" s="298"/>
      <c r="L96" s="311"/>
      <c r="M96" s="298"/>
      <c r="N96" s="311"/>
      <c r="P96" s="344"/>
      <c r="Q96" s="344"/>
      <c r="R96" s="344"/>
      <c r="S96" s="729"/>
      <c r="T96" s="344"/>
    </row>
    <row r="97" spans="2:20" ht="15.75">
      <c r="B97" s="298"/>
      <c r="C97" s="298"/>
      <c r="D97" s="298"/>
      <c r="E97" s="298"/>
      <c r="F97" s="298"/>
      <c r="G97" s="298"/>
      <c r="H97" s="298"/>
      <c r="I97" s="298"/>
      <c r="J97" s="298"/>
      <c r="K97" s="298"/>
      <c r="L97" s="311"/>
      <c r="M97" s="298"/>
      <c r="N97" s="311"/>
      <c r="P97" s="344"/>
      <c r="Q97" s="344"/>
      <c r="R97" s="344"/>
      <c r="S97" s="729"/>
      <c r="T97" s="344"/>
    </row>
    <row r="98" spans="2:20" ht="15.75">
      <c r="B98" s="298"/>
      <c r="C98" s="298"/>
      <c r="D98" s="298"/>
      <c r="E98" s="298"/>
      <c r="F98" s="298"/>
      <c r="G98" s="298"/>
      <c r="H98" s="298"/>
      <c r="I98" s="298"/>
      <c r="J98" s="298"/>
      <c r="K98" s="298"/>
      <c r="L98" s="311"/>
      <c r="M98" s="298"/>
      <c r="N98" s="311"/>
      <c r="P98" s="344"/>
      <c r="Q98" s="344"/>
      <c r="R98" s="344"/>
      <c r="S98" s="729"/>
      <c r="T98" s="344"/>
    </row>
    <row r="99" spans="2:20" ht="15.75">
      <c r="B99" s="298"/>
      <c r="C99" s="298"/>
      <c r="D99" s="298"/>
      <c r="E99" s="298"/>
      <c r="F99" s="298"/>
      <c r="G99" s="298"/>
      <c r="H99" s="298"/>
      <c r="I99" s="298"/>
      <c r="J99" s="298"/>
      <c r="K99" s="298"/>
      <c r="L99" s="311"/>
      <c r="M99" s="298"/>
      <c r="N99" s="311"/>
    </row>
    <row r="100" spans="2:20" ht="15.75">
      <c r="B100" s="298"/>
      <c r="C100" s="298"/>
      <c r="D100" s="298"/>
      <c r="E100" s="298"/>
      <c r="F100" s="298"/>
      <c r="G100" s="298"/>
      <c r="H100" s="298"/>
      <c r="I100" s="298"/>
      <c r="J100" s="298"/>
      <c r="K100" s="298"/>
      <c r="L100" s="311"/>
      <c r="M100" s="298"/>
      <c r="N100" s="311"/>
    </row>
    <row r="101" spans="2:20" ht="15.75">
      <c r="B101" s="298"/>
      <c r="C101" s="298"/>
      <c r="D101" s="298"/>
      <c r="E101" s="298"/>
      <c r="F101" s="298"/>
      <c r="G101" s="298"/>
      <c r="H101" s="298"/>
      <c r="I101" s="298"/>
      <c r="J101" s="298"/>
      <c r="K101" s="298"/>
      <c r="L101" s="311"/>
      <c r="M101" s="298"/>
      <c r="N101" s="311"/>
    </row>
    <row r="102" spans="2:20" ht="15.75">
      <c r="B102" s="298"/>
      <c r="C102" s="298"/>
      <c r="D102" s="298"/>
      <c r="E102" s="298"/>
      <c r="F102" s="298"/>
      <c r="G102" s="298"/>
      <c r="H102" s="298"/>
      <c r="I102" s="298"/>
      <c r="J102" s="298"/>
      <c r="K102" s="298"/>
      <c r="L102" s="311"/>
      <c r="M102" s="298"/>
      <c r="N102" s="311"/>
    </row>
    <row r="103" spans="2:20" ht="15.75">
      <c r="B103" s="298"/>
      <c r="C103" s="298"/>
      <c r="D103" s="298"/>
      <c r="E103" s="298"/>
      <c r="F103" s="298"/>
      <c r="G103" s="298"/>
      <c r="H103" s="298"/>
      <c r="I103" s="298"/>
      <c r="J103" s="298"/>
      <c r="K103" s="298"/>
      <c r="L103" s="311"/>
      <c r="M103" s="298"/>
      <c r="N103" s="311"/>
    </row>
    <row r="104" spans="2:20" ht="15.75">
      <c r="B104" s="298"/>
      <c r="C104" s="298"/>
      <c r="D104" s="298"/>
      <c r="E104" s="298"/>
      <c r="F104" s="298"/>
      <c r="G104" s="298"/>
      <c r="H104" s="298"/>
      <c r="I104" s="298"/>
      <c r="J104" s="298"/>
      <c r="K104" s="298"/>
      <c r="L104" s="311"/>
      <c r="M104" s="298"/>
      <c r="N104" s="311"/>
    </row>
    <row r="105" spans="2:20" ht="15.75">
      <c r="B105" s="298"/>
      <c r="C105" s="298"/>
      <c r="D105" s="298"/>
      <c r="E105" s="298"/>
      <c r="F105" s="298"/>
      <c r="G105" s="298"/>
      <c r="H105" s="298"/>
      <c r="I105" s="298"/>
      <c r="J105" s="298"/>
      <c r="K105" s="298"/>
      <c r="L105" s="311"/>
      <c r="M105" s="298"/>
      <c r="N105" s="311"/>
    </row>
    <row r="106" spans="2:20" ht="15.75">
      <c r="B106" s="298"/>
      <c r="C106" s="298"/>
      <c r="D106" s="298"/>
      <c r="E106" s="298"/>
      <c r="F106" s="298"/>
      <c r="G106" s="298"/>
      <c r="H106" s="298"/>
      <c r="I106" s="298"/>
      <c r="J106" s="298"/>
      <c r="K106" s="298"/>
      <c r="L106" s="311"/>
      <c r="M106" s="298"/>
      <c r="N106" s="311"/>
    </row>
    <row r="107" spans="2:20" ht="15.75">
      <c r="B107" s="298"/>
      <c r="C107" s="298"/>
      <c r="D107" s="298"/>
      <c r="E107" s="298"/>
      <c r="F107" s="298"/>
      <c r="G107" s="298"/>
      <c r="H107" s="298"/>
      <c r="I107" s="298"/>
      <c r="J107" s="298"/>
      <c r="K107" s="298"/>
      <c r="L107" s="311"/>
      <c r="M107" s="298"/>
      <c r="N107" s="311"/>
    </row>
    <row r="108" spans="2:20" ht="15.75">
      <c r="B108" s="298"/>
      <c r="C108" s="298"/>
      <c r="D108" s="298"/>
      <c r="E108" s="298"/>
      <c r="F108" s="298"/>
      <c r="G108" s="298"/>
      <c r="H108" s="298"/>
      <c r="I108" s="298"/>
      <c r="J108" s="298"/>
      <c r="K108" s="298"/>
      <c r="L108" s="311"/>
      <c r="M108" s="298"/>
      <c r="N108" s="311"/>
    </row>
    <row r="109" spans="2:20" ht="15.75">
      <c r="B109" s="298"/>
      <c r="C109" s="298"/>
      <c r="D109" s="298"/>
      <c r="E109" s="298"/>
      <c r="F109" s="298"/>
      <c r="G109" s="298"/>
      <c r="H109" s="298"/>
      <c r="I109" s="298"/>
      <c r="J109" s="298"/>
      <c r="K109" s="298"/>
      <c r="L109" s="311"/>
      <c r="M109" s="298"/>
      <c r="N109" s="311"/>
    </row>
    <row r="110" spans="2:20" ht="15.75">
      <c r="B110" s="298"/>
      <c r="C110" s="298"/>
      <c r="D110" s="298"/>
      <c r="E110" s="298"/>
      <c r="F110" s="298"/>
      <c r="G110" s="298"/>
      <c r="H110" s="298"/>
      <c r="I110" s="298"/>
      <c r="J110" s="298"/>
      <c r="K110" s="298"/>
      <c r="L110" s="311"/>
      <c r="M110" s="298"/>
      <c r="N110" s="311"/>
    </row>
    <row r="111" spans="2:20" ht="15.75">
      <c r="B111" s="298"/>
      <c r="C111" s="298"/>
      <c r="D111" s="298"/>
      <c r="E111" s="298"/>
      <c r="F111" s="298"/>
      <c r="G111" s="298"/>
      <c r="H111" s="298"/>
      <c r="I111" s="298"/>
      <c r="J111" s="298"/>
      <c r="K111" s="298"/>
      <c r="L111" s="311"/>
      <c r="M111" s="298"/>
      <c r="N111" s="311"/>
    </row>
    <row r="112" spans="2:20"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row r="124" spans="2:14" ht="15.75">
      <c r="B124" s="298"/>
      <c r="C124" s="298"/>
      <c r="D124" s="298"/>
      <c r="E124" s="298"/>
      <c r="F124" s="298"/>
      <c r="G124" s="298"/>
      <c r="H124" s="298"/>
      <c r="I124" s="298"/>
      <c r="J124" s="298"/>
      <c r="K124" s="298"/>
      <c r="L124" s="311"/>
      <c r="M124" s="298"/>
      <c r="N124" s="311"/>
    </row>
    <row r="125" spans="2:14" ht="15.75">
      <c r="B125" s="298"/>
      <c r="C125" s="298"/>
      <c r="D125" s="298"/>
      <c r="E125" s="298"/>
      <c r="F125" s="298"/>
      <c r="G125" s="298"/>
      <c r="H125" s="298"/>
      <c r="I125" s="298"/>
      <c r="J125" s="298"/>
      <c r="K125" s="298"/>
      <c r="L125" s="311"/>
      <c r="M125" s="298"/>
      <c r="N125" s="311"/>
    </row>
    <row r="126" spans="2:14" ht="15.75">
      <c r="B126" s="298"/>
      <c r="C126" s="298"/>
      <c r="D126" s="298"/>
      <c r="E126" s="298"/>
      <c r="F126" s="298"/>
      <c r="G126" s="298"/>
      <c r="H126" s="298"/>
      <c r="I126" s="298"/>
      <c r="J126" s="298"/>
      <c r="K126" s="298"/>
      <c r="L126" s="311"/>
      <c r="M126" s="298"/>
      <c r="N126" s="311"/>
    </row>
  </sheetData>
  <sortState ref="B25:N27">
    <sortCondition ref="B25"/>
  </sortState>
  <mergeCells count="4">
    <mergeCell ref="B1:N1"/>
    <mergeCell ref="B4:N4"/>
    <mergeCell ref="B3:N3"/>
    <mergeCell ref="S3:AE3"/>
  </mergeCells>
  <printOptions horizontalCentered="1"/>
  <pageMargins left="0.5" right="0.5" top="0.5" bottom="0.5" header="0.5" footer="0.5"/>
  <pageSetup scale="74"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8" tint="0.39997558519241921"/>
  </sheetPr>
  <dimension ref="A1:AE118"/>
  <sheetViews>
    <sheetView showGridLines="0" showRuler="0" topLeftCell="B3" zoomScaleNormal="100" zoomScaleSheetLayoutView="130" workbookViewId="0">
      <selection activeCell="B61" sqref="A61:XFD67"/>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1.85546875" style="283" hidden="1" customWidth="1"/>
    <col min="6" max="6" width="15.7109375" style="283" customWidth="1"/>
    <col min="7" max="7" width="17.28515625" style="283" hidden="1" customWidth="1"/>
    <col min="8" max="8" width="1.85546875" style="283" hidden="1" customWidth="1"/>
    <col min="9" max="9" width="15.7109375" style="283" customWidth="1"/>
    <col min="10" max="10" width="20.5703125" style="283" hidden="1" customWidth="1"/>
    <col min="11" max="11" width="1.85546875" style="283" hidden="1" customWidth="1"/>
    <col min="12" max="12" width="15.7109375" style="293" customWidth="1"/>
    <col min="13" max="13" width="1.85546875" style="283" hidden="1" customWidth="1"/>
    <col min="14" max="14" width="15.7109375" style="293" customWidth="1"/>
    <col min="15" max="15" width="21.42578125" style="283" bestFit="1" customWidth="1"/>
    <col min="16" max="16" width="11.85546875" style="283" bestFit="1" customWidth="1"/>
    <col min="17" max="17" width="7.5703125" style="283" bestFit="1" customWidth="1"/>
    <col min="18" max="18" width="6.85546875" style="283"/>
    <col min="19" max="19" width="18.28515625" style="723" bestFit="1" customWidth="1"/>
    <col min="20" max="20" width="9.42578125" style="293" bestFit="1" customWidth="1"/>
    <col min="21" max="22" width="6.85546875" style="293"/>
    <col min="23" max="23" width="8" style="293" bestFit="1" customWidth="1"/>
    <col min="24" max="24" width="11.7109375" style="293" bestFit="1" customWidth="1"/>
    <col min="25" max="30" width="6.85546875" style="293"/>
    <col min="31" max="16384" width="6.85546875" style="283"/>
  </cols>
  <sheetData>
    <row r="1" spans="1:31" ht="44.25" hidden="1">
      <c r="B1" s="1706" t="s">
        <v>773</v>
      </c>
      <c r="C1" s="1706"/>
      <c r="D1" s="1706"/>
      <c r="E1" s="1706"/>
      <c r="F1" s="1706"/>
      <c r="G1" s="1706"/>
      <c r="H1" s="1706"/>
      <c r="I1" s="1706"/>
      <c r="J1" s="1706"/>
      <c r="K1" s="1706"/>
      <c r="L1" s="1706"/>
      <c r="M1" s="1706"/>
      <c r="N1" s="1710"/>
    </row>
    <row r="2" spans="1:31" ht="18.75" hidden="1">
      <c r="B2" s="284"/>
      <c r="C2" s="285"/>
      <c r="D2" s="285"/>
      <c r="E2" s="285"/>
      <c r="F2" s="285"/>
      <c r="G2" s="285"/>
      <c r="H2" s="285"/>
      <c r="I2" s="285"/>
      <c r="J2" s="285"/>
      <c r="K2" s="285"/>
      <c r="L2" s="285"/>
      <c r="M2" s="285"/>
      <c r="N2" s="285"/>
    </row>
    <row r="3" spans="1:31" ht="35.450000000000003" customHeight="1">
      <c r="B3" s="1708" t="s">
        <v>902</v>
      </c>
      <c r="C3" s="1708"/>
      <c r="D3" s="1708"/>
      <c r="E3" s="1708"/>
      <c r="F3" s="1708"/>
      <c r="G3" s="1708"/>
      <c r="H3" s="1708"/>
      <c r="I3" s="1708"/>
      <c r="J3" s="1708"/>
      <c r="K3" s="1708"/>
      <c r="L3" s="1708"/>
      <c r="M3" s="1708"/>
      <c r="N3" s="1708"/>
      <c r="S3" s="1709"/>
      <c r="T3" s="1709"/>
      <c r="U3" s="1709"/>
      <c r="V3" s="1709"/>
      <c r="W3" s="1709"/>
      <c r="X3" s="1709"/>
      <c r="Y3" s="1709"/>
      <c r="Z3" s="1709"/>
      <c r="AA3" s="1709"/>
      <c r="AB3" s="1709"/>
      <c r="AC3" s="1709"/>
      <c r="AD3" s="1709"/>
      <c r="AE3" s="1709"/>
    </row>
    <row r="4" spans="1:31" ht="32.25" customHeight="1" thickBot="1">
      <c r="B4" s="1711"/>
      <c r="C4" s="1711"/>
      <c r="D4" s="1711"/>
      <c r="E4" s="1711"/>
      <c r="F4" s="1711"/>
      <c r="G4" s="1711"/>
      <c r="H4" s="1711"/>
      <c r="I4" s="1711"/>
      <c r="J4" s="1711"/>
      <c r="K4" s="1711"/>
      <c r="L4" s="1711"/>
      <c r="M4" s="1711"/>
      <c r="N4" s="1711"/>
    </row>
    <row r="5" spans="1:31"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765"/>
      <c r="T5" s="1766"/>
      <c r="U5" s="1765"/>
      <c r="V5" s="1765"/>
      <c r="W5" s="1765"/>
      <c r="X5" s="1765"/>
      <c r="Y5" s="1765"/>
      <c r="Z5" s="1765"/>
      <c r="AA5" s="1765"/>
      <c r="AB5" s="1765"/>
      <c r="AC5" s="1765"/>
      <c r="AD5" s="1765"/>
    </row>
    <row r="6" spans="1:31" ht="12.75" customHeight="1">
      <c r="B6" s="288"/>
      <c r="C6" s="288"/>
      <c r="D6" s="289"/>
      <c r="E6" s="289"/>
      <c r="F6" s="288"/>
      <c r="G6" s="288"/>
      <c r="H6" s="289"/>
      <c r="I6" s="288"/>
      <c r="J6" s="290"/>
      <c r="K6" s="289"/>
      <c r="L6" s="291"/>
      <c r="M6" s="289"/>
      <c r="N6" s="291"/>
    </row>
    <row r="7" spans="1:31" ht="15.75" customHeight="1" thickBot="1">
      <c r="B7" s="299" t="s">
        <v>2</v>
      </c>
      <c r="C7" s="299"/>
      <c r="D7" s="300"/>
      <c r="E7" s="300"/>
      <c r="F7" s="300"/>
      <c r="G7" s="301"/>
      <c r="H7" s="300"/>
      <c r="I7" s="301"/>
      <c r="J7" s="300"/>
      <c r="K7" s="300"/>
      <c r="L7" s="302"/>
      <c r="M7" s="300"/>
      <c r="N7" s="302"/>
    </row>
    <row r="8" spans="1:31" ht="15.75" customHeight="1" thickBot="1">
      <c r="A8" s="1071" t="s">
        <v>336</v>
      </c>
      <c r="B8" s="298" t="s">
        <v>6</v>
      </c>
      <c r="C8" s="1268">
        <v>185008</v>
      </c>
      <c r="D8" s="1243" t="e">
        <v>#N/A</v>
      </c>
      <c r="E8" s="1243"/>
      <c r="F8" s="1268">
        <v>0</v>
      </c>
      <c r="G8" s="1268">
        <v>15</v>
      </c>
      <c r="H8" s="1268"/>
      <c r="I8" s="1268">
        <v>0</v>
      </c>
      <c r="J8" s="1268">
        <v>0</v>
      </c>
      <c r="K8" s="1268"/>
      <c r="L8" s="1268">
        <v>0</v>
      </c>
      <c r="M8" s="1268"/>
      <c r="N8" s="1268">
        <v>0</v>
      </c>
      <c r="O8" s="336" t="s">
        <v>11</v>
      </c>
      <c r="P8" s="333">
        <v>462429</v>
      </c>
      <c r="Q8" s="966">
        <v>0.32900000000000001</v>
      </c>
    </row>
    <row r="9" spans="1:31" ht="15.75" customHeight="1" thickBot="1">
      <c r="A9" s="1071" t="s">
        <v>337</v>
      </c>
      <c r="B9" s="305" t="s">
        <v>368</v>
      </c>
      <c r="C9" s="549">
        <v>292882</v>
      </c>
      <c r="D9" s="549" t="e">
        <v>#N/A</v>
      </c>
      <c r="E9" s="549"/>
      <c r="F9" s="539">
        <v>0</v>
      </c>
      <c r="G9" s="539">
        <v>15</v>
      </c>
      <c r="H9" s="517"/>
      <c r="I9" s="1241">
        <v>470979</v>
      </c>
      <c r="J9" s="543">
        <v>470979</v>
      </c>
      <c r="K9" s="517"/>
      <c r="L9" s="539">
        <v>0</v>
      </c>
      <c r="M9" s="303"/>
      <c r="N9" s="539">
        <v>0</v>
      </c>
      <c r="O9" s="336" t="s">
        <v>12</v>
      </c>
      <c r="P9" s="333">
        <v>104036</v>
      </c>
      <c r="Q9" s="966">
        <v>7.3999999999999996E-2</v>
      </c>
    </row>
    <row r="10" spans="1:31" ht="15.75" customHeight="1" thickBot="1">
      <c r="A10" s="1071" t="s">
        <v>338</v>
      </c>
      <c r="B10" s="305" t="s">
        <v>8</v>
      </c>
      <c r="C10" s="549">
        <v>19328</v>
      </c>
      <c r="D10" s="549" t="e">
        <v>#N/A</v>
      </c>
      <c r="E10" s="549"/>
      <c r="F10" s="539">
        <v>0</v>
      </c>
      <c r="G10" s="539">
        <v>15</v>
      </c>
      <c r="H10" s="517"/>
      <c r="I10" s="1241">
        <v>8557</v>
      </c>
      <c r="J10" s="543">
        <v>8557</v>
      </c>
      <c r="K10" s="517"/>
      <c r="L10" s="539">
        <v>0</v>
      </c>
      <c r="M10" s="303"/>
      <c r="N10" s="539">
        <v>0</v>
      </c>
      <c r="O10" s="336" t="s">
        <v>801</v>
      </c>
      <c r="P10" s="333">
        <v>210000</v>
      </c>
      <c r="Q10" s="966">
        <v>0.14899999999999999</v>
      </c>
    </row>
    <row r="11" spans="1:31" s="293" customFormat="1" ht="15.75" customHeight="1">
      <c r="B11" s="311" t="s">
        <v>319</v>
      </c>
      <c r="C11" s="1240">
        <v>373217</v>
      </c>
      <c r="D11" s="306">
        <v>0</v>
      </c>
      <c r="E11" s="306"/>
      <c r="F11" s="1241">
        <v>2288248</v>
      </c>
      <c r="G11" s="304">
        <v>2288248</v>
      </c>
      <c r="H11" s="306"/>
      <c r="I11" s="306">
        <v>1449589</v>
      </c>
      <c r="J11" s="302"/>
      <c r="K11" s="306"/>
      <c r="L11" s="306">
        <v>796465</v>
      </c>
      <c r="M11" s="306"/>
      <c r="N11" s="1152">
        <v>-1491783</v>
      </c>
      <c r="O11" s="346" t="s">
        <v>14</v>
      </c>
      <c r="P11" s="341">
        <v>20000</v>
      </c>
      <c r="Q11" s="966">
        <v>1.4E-2</v>
      </c>
      <c r="S11" s="723"/>
    </row>
    <row r="12" spans="1:31" s="625" customFormat="1" ht="15.75" customHeight="1">
      <c r="B12" s="622" t="s">
        <v>9</v>
      </c>
      <c r="C12" s="308">
        <v>870435</v>
      </c>
      <c r="D12" s="308" t="e">
        <v>#N/A</v>
      </c>
      <c r="E12" s="308"/>
      <c r="F12" s="1244">
        <v>2288248</v>
      </c>
      <c r="G12" s="308">
        <v>2288293</v>
      </c>
      <c r="H12" s="308"/>
      <c r="I12" s="308">
        <v>1929125</v>
      </c>
      <c r="J12" s="308">
        <v>479536</v>
      </c>
      <c r="K12" s="308"/>
      <c r="L12" s="308">
        <v>796465</v>
      </c>
      <c r="M12" s="308"/>
      <c r="N12" s="1153">
        <v>-1491783</v>
      </c>
      <c r="O12" s="346" t="s">
        <v>38</v>
      </c>
      <c r="P12" s="341">
        <v>0</v>
      </c>
      <c r="Q12" s="966">
        <v>0</v>
      </c>
      <c r="S12" s="792"/>
    </row>
    <row r="13" spans="1:31" s="293" customFormat="1" ht="15.75" customHeight="1">
      <c r="B13" s="310"/>
      <c r="C13" s="310"/>
      <c r="D13" s="304"/>
      <c r="E13" s="304"/>
      <c r="F13" s="304"/>
      <c r="G13" s="304"/>
      <c r="H13" s="304"/>
      <c r="I13" s="304"/>
      <c r="J13" s="304"/>
      <c r="K13" s="304"/>
      <c r="L13" s="304"/>
      <c r="M13" s="304"/>
      <c r="N13" s="1154"/>
      <c r="O13" s="346" t="s">
        <v>23</v>
      </c>
      <c r="P13" s="341">
        <v>610487</v>
      </c>
      <c r="Q13" s="966">
        <v>0.434</v>
      </c>
      <c r="S13" s="723"/>
    </row>
    <row r="14" spans="1:31" s="293" customFormat="1" ht="16.5" customHeight="1" thickBot="1">
      <c r="B14" s="313" t="s">
        <v>320</v>
      </c>
      <c r="C14" s="313"/>
      <c r="D14" s="306"/>
      <c r="E14" s="306"/>
      <c r="F14" s="304"/>
      <c r="G14" s="304"/>
      <c r="H14" s="306"/>
      <c r="I14" s="304"/>
      <c r="J14" s="304"/>
      <c r="K14" s="306"/>
      <c r="L14" s="306"/>
      <c r="M14" s="306"/>
      <c r="N14" s="1155"/>
      <c r="O14" s="350" t="s">
        <v>25</v>
      </c>
      <c r="P14" s="340">
        <v>1406952</v>
      </c>
      <c r="Q14" s="668">
        <v>1</v>
      </c>
      <c r="S14" s="723"/>
    </row>
    <row r="15" spans="1:31" s="293" customFormat="1" ht="16.5" thickTop="1">
      <c r="B15" s="311" t="s">
        <v>327</v>
      </c>
      <c r="C15" s="1224">
        <v>2856541</v>
      </c>
      <c r="D15" s="306">
        <v>0</v>
      </c>
      <c r="E15" s="306"/>
      <c r="F15" s="528">
        <v>568293</v>
      </c>
      <c r="G15" s="539">
        <v>568293</v>
      </c>
      <c r="H15" s="532"/>
      <c r="I15" s="515">
        <v>1406952</v>
      </c>
      <c r="J15" s="540">
        <v>838659</v>
      </c>
      <c r="K15" s="532"/>
      <c r="L15" s="528">
        <v>610487</v>
      </c>
      <c r="M15" s="532"/>
      <c r="N15" s="1156">
        <v>42194</v>
      </c>
      <c r="O15" s="341"/>
      <c r="P15" s="341"/>
      <c r="Q15" s="348"/>
      <c r="S15" s="723"/>
    </row>
    <row r="16" spans="1:31" s="293" customFormat="1" ht="15.75">
      <c r="B16" s="622" t="s">
        <v>20</v>
      </c>
      <c r="C16" s="534">
        <v>2856541</v>
      </c>
      <c r="D16" s="308">
        <v>0</v>
      </c>
      <c r="E16" s="308"/>
      <c r="F16" s="553">
        <v>568293</v>
      </c>
      <c r="G16" s="541">
        <v>568293</v>
      </c>
      <c r="H16" s="541"/>
      <c r="I16" s="553">
        <v>1406952</v>
      </c>
      <c r="J16" s="1062">
        <v>838659</v>
      </c>
      <c r="K16" s="553"/>
      <c r="L16" s="1085">
        <v>610487</v>
      </c>
      <c r="M16" s="541"/>
      <c r="N16" s="1157">
        <v>42194</v>
      </c>
      <c r="O16" s="341"/>
      <c r="P16" s="341"/>
      <c r="Q16" s="348"/>
      <c r="S16" s="775"/>
    </row>
    <row r="17" spans="1:23" s="293" customFormat="1" ht="16.5" thickBot="1">
      <c r="B17" s="616" t="s">
        <v>21</v>
      </c>
      <c r="C17" s="1247">
        <v>3726976</v>
      </c>
      <c r="D17" s="647" t="e">
        <v>#N/A</v>
      </c>
      <c r="E17" s="647"/>
      <c r="F17" s="647">
        <v>2856541</v>
      </c>
      <c r="G17" s="647">
        <v>2856586</v>
      </c>
      <c r="H17" s="647"/>
      <c r="I17" s="647">
        <v>3336077</v>
      </c>
      <c r="J17" s="648">
        <v>479536</v>
      </c>
      <c r="K17" s="647"/>
      <c r="L17" s="647">
        <v>1406952</v>
      </c>
      <c r="M17" s="647"/>
      <c r="N17" s="1158">
        <v>-1449589</v>
      </c>
      <c r="S17" s="775"/>
      <c r="T17" s="775"/>
      <c r="U17" s="775"/>
    </row>
    <row r="18" spans="1:23" s="293" customFormat="1" ht="16.5" thickTop="1">
      <c r="B18" s="316"/>
      <c r="C18" s="316"/>
      <c r="D18" s="304"/>
      <c r="E18" s="304"/>
      <c r="F18" s="304"/>
      <c r="G18" s="304"/>
      <c r="H18" s="304"/>
      <c r="I18" s="304"/>
      <c r="J18" s="304"/>
      <c r="K18" s="304"/>
      <c r="L18" s="909"/>
      <c r="M18" s="304"/>
      <c r="N18" s="1154"/>
      <c r="O18" s="341" t="s">
        <v>6</v>
      </c>
      <c r="P18" s="341">
        <v>0</v>
      </c>
      <c r="Q18" s="608">
        <v>0</v>
      </c>
      <c r="S18" s="723"/>
    </row>
    <row r="19" spans="1:23" s="293" customFormat="1" ht="15.75">
      <c r="B19" s="349" t="s">
        <v>10</v>
      </c>
      <c r="C19" s="349"/>
      <c r="D19" s="302"/>
      <c r="E19" s="302"/>
      <c r="F19" s="304"/>
      <c r="G19" s="304"/>
      <c r="H19" s="302"/>
      <c r="I19" s="304"/>
      <c r="J19" s="302"/>
      <c r="K19" s="302"/>
      <c r="L19" s="902"/>
      <c r="M19" s="302"/>
      <c r="N19" s="1159"/>
      <c r="O19" s="341" t="s">
        <v>368</v>
      </c>
      <c r="P19" s="341">
        <v>0</v>
      </c>
      <c r="Q19" s="608">
        <v>0</v>
      </c>
      <c r="S19" s="723"/>
    </row>
    <row r="20" spans="1:23" s="293" customFormat="1" ht="16.5" thickBot="1">
      <c r="A20" s="621" t="s">
        <v>340</v>
      </c>
      <c r="B20" s="316" t="s">
        <v>11</v>
      </c>
      <c r="C20" s="549">
        <v>336604</v>
      </c>
      <c r="D20" s="549" t="e">
        <v>#N/A</v>
      </c>
      <c r="E20" s="549"/>
      <c r="F20" s="550">
        <v>564238</v>
      </c>
      <c r="G20" s="550">
        <v>15</v>
      </c>
      <c r="H20" s="549"/>
      <c r="I20" s="550">
        <v>272537</v>
      </c>
      <c r="J20" s="551">
        <v>-291701</v>
      </c>
      <c r="K20" s="549"/>
      <c r="L20" s="550">
        <v>462429</v>
      </c>
      <c r="M20" s="303"/>
      <c r="N20" s="1152">
        <v>-101809</v>
      </c>
      <c r="O20" s="341" t="s">
        <v>8</v>
      </c>
      <c r="P20" s="341">
        <v>0</v>
      </c>
      <c r="Q20" s="608">
        <v>0</v>
      </c>
      <c r="S20" s="723"/>
    </row>
    <row r="21" spans="1:23" s="293" customFormat="1" ht="16.5" thickBot="1">
      <c r="A21" s="1529" t="s">
        <v>341</v>
      </c>
      <c r="B21" s="316" t="s">
        <v>12</v>
      </c>
      <c r="C21" s="1240">
        <v>214652</v>
      </c>
      <c r="D21" s="1240" t="e">
        <v>#N/A</v>
      </c>
      <c r="E21" s="1240"/>
      <c r="F21" s="1241">
        <v>145700</v>
      </c>
      <c r="G21" s="1241">
        <v>15</v>
      </c>
      <c r="H21" s="1240"/>
      <c r="I21" s="1241">
        <v>98278</v>
      </c>
      <c r="J21" s="1242">
        <v>-47422</v>
      </c>
      <c r="K21" s="1240"/>
      <c r="L21" s="1241">
        <v>104036</v>
      </c>
      <c r="M21" s="1224"/>
      <c r="N21" s="1152">
        <v>-41664</v>
      </c>
      <c r="O21" s="344" t="s">
        <v>319</v>
      </c>
      <c r="P21" s="538">
        <v>796465</v>
      </c>
      <c r="Q21" s="654">
        <v>0.56599999999999995</v>
      </c>
      <c r="S21" s="723"/>
    </row>
    <row r="22" spans="1:23" s="293" customFormat="1" ht="16.5" thickBot="1">
      <c r="A22" s="1529" t="s">
        <v>342</v>
      </c>
      <c r="B22" s="316" t="s">
        <v>801</v>
      </c>
      <c r="C22" s="1240">
        <v>98429</v>
      </c>
      <c r="D22" s="1240" t="e">
        <v>#N/A</v>
      </c>
      <c r="E22" s="1240"/>
      <c r="F22" s="1241">
        <v>210000</v>
      </c>
      <c r="G22" s="1241">
        <v>15</v>
      </c>
      <c r="H22" s="1240"/>
      <c r="I22" s="1241">
        <v>190000</v>
      </c>
      <c r="J22" s="1242">
        <v>-20000</v>
      </c>
      <c r="K22" s="1240"/>
      <c r="L22" s="1241">
        <v>210000</v>
      </c>
      <c r="M22" s="1224"/>
      <c r="N22" s="1152">
        <v>0</v>
      </c>
      <c r="O22" s="344" t="s">
        <v>19</v>
      </c>
      <c r="P22" s="538">
        <v>610487</v>
      </c>
      <c r="Q22" s="654">
        <v>0.434</v>
      </c>
      <c r="S22" s="723"/>
    </row>
    <row r="23" spans="1:23" s="293" customFormat="1" ht="16.5" thickBot="1">
      <c r="A23" s="621" t="s">
        <v>343</v>
      </c>
      <c r="B23" s="316" t="s">
        <v>14</v>
      </c>
      <c r="C23" s="549">
        <v>0</v>
      </c>
      <c r="D23" s="549" t="e">
        <v>#N/A</v>
      </c>
      <c r="E23" s="549"/>
      <c r="F23" s="550">
        <v>20000</v>
      </c>
      <c r="G23" s="550">
        <v>15</v>
      </c>
      <c r="H23" s="549"/>
      <c r="I23" s="550">
        <v>20000</v>
      </c>
      <c r="J23" s="551">
        <v>0</v>
      </c>
      <c r="K23" s="549"/>
      <c r="L23" s="550">
        <v>20000</v>
      </c>
      <c r="M23" s="303"/>
      <c r="N23" s="539">
        <v>0</v>
      </c>
      <c r="O23" s="655" t="s">
        <v>21</v>
      </c>
      <c r="P23" s="656">
        <v>1406952</v>
      </c>
      <c r="Q23" s="697">
        <v>1</v>
      </c>
      <c r="S23" s="723"/>
    </row>
    <row r="24" spans="1:23" s="293" customFormat="1" ht="17.25" thickTop="1" thickBot="1">
      <c r="A24" s="1071" t="s">
        <v>350</v>
      </c>
      <c r="B24" s="316" t="s">
        <v>15</v>
      </c>
      <c r="C24" s="549">
        <v>220750</v>
      </c>
      <c r="D24" s="549" t="e">
        <v>#N/A</v>
      </c>
      <c r="E24" s="549"/>
      <c r="F24" s="550">
        <v>185205</v>
      </c>
      <c r="G24" s="550">
        <v>15</v>
      </c>
      <c r="H24" s="549"/>
      <c r="I24" s="550">
        <v>185205</v>
      </c>
      <c r="J24" s="551">
        <v>0</v>
      </c>
      <c r="K24" s="549"/>
      <c r="L24" s="550">
        <v>0</v>
      </c>
      <c r="M24" s="303"/>
      <c r="N24" s="1152">
        <v>-185205</v>
      </c>
      <c r="O24" s="344"/>
      <c r="P24" s="538"/>
      <c r="Q24" s="654"/>
      <c r="S24" s="723"/>
    </row>
    <row r="25" spans="1:23" s="293" customFormat="1" ht="15.75">
      <c r="A25" s="621" t="s">
        <v>346</v>
      </c>
      <c r="B25" s="316" t="s">
        <v>1001</v>
      </c>
      <c r="C25" s="517">
        <v>0</v>
      </c>
      <c r="D25" s="303" t="e">
        <v>#N/A</v>
      </c>
      <c r="E25" s="303"/>
      <c r="F25" s="1240">
        <v>1163105</v>
      </c>
      <c r="G25" s="304">
        <v>3647547</v>
      </c>
      <c r="H25" s="303"/>
      <c r="I25" s="304">
        <v>1163105</v>
      </c>
      <c r="J25" s="302">
        <v>0</v>
      </c>
      <c r="K25" s="303"/>
      <c r="L25" s="517">
        <v>0</v>
      </c>
      <c r="M25" s="303"/>
      <c r="N25" s="1152">
        <v>-1163105</v>
      </c>
      <c r="S25" s="724"/>
    </row>
    <row r="26" spans="1:23" s="293" customFormat="1" ht="15.75">
      <c r="B26" s="622" t="s">
        <v>22</v>
      </c>
      <c r="C26" s="553">
        <v>870435</v>
      </c>
      <c r="D26" s="308" t="e">
        <v>#N/A</v>
      </c>
      <c r="E26" s="308"/>
      <c r="F26" s="1244">
        <v>2288248</v>
      </c>
      <c r="G26" s="308">
        <v>3647622</v>
      </c>
      <c r="H26" s="308"/>
      <c r="I26" s="308">
        <v>1929125</v>
      </c>
      <c r="J26" s="308">
        <v>-359123</v>
      </c>
      <c r="K26" s="308"/>
      <c r="L26" s="308">
        <v>796465</v>
      </c>
      <c r="M26" s="308"/>
      <c r="N26" s="1153">
        <v>-1491783</v>
      </c>
      <c r="O26" s="344"/>
      <c r="P26" s="344"/>
      <c r="Q26" s="344"/>
      <c r="R26" s="344"/>
      <c r="S26" s="1782"/>
      <c r="T26" s="344"/>
      <c r="U26" s="344"/>
      <c r="V26" s="344"/>
      <c r="W26" s="344"/>
    </row>
    <row r="27" spans="1:23" s="293" customFormat="1" ht="15.75">
      <c r="B27" s="311"/>
      <c r="C27" s="311"/>
      <c r="D27" s="304"/>
      <c r="E27" s="304"/>
      <c r="F27" s="304"/>
      <c r="G27" s="304"/>
      <c r="H27" s="304"/>
      <c r="I27" s="304"/>
      <c r="J27" s="304"/>
      <c r="K27" s="304"/>
      <c r="L27" s="304"/>
      <c r="M27" s="304"/>
      <c r="N27" s="1154"/>
      <c r="O27" s="344"/>
      <c r="P27" s="344"/>
      <c r="Q27" s="344"/>
      <c r="R27" s="344"/>
      <c r="S27" s="729"/>
      <c r="T27" s="344"/>
      <c r="U27" s="344"/>
      <c r="V27" s="344"/>
      <c r="W27" s="344"/>
    </row>
    <row r="28" spans="1:23" s="293" customFormat="1" ht="15.75">
      <c r="B28" s="313" t="s">
        <v>321</v>
      </c>
      <c r="C28" s="313"/>
      <c r="D28" s="311"/>
      <c r="E28" s="311"/>
      <c r="F28" s="311"/>
      <c r="G28" s="311"/>
      <c r="H28" s="311"/>
      <c r="I28" s="311"/>
      <c r="J28" s="311"/>
      <c r="K28" s="311"/>
      <c r="L28" s="302"/>
      <c r="M28" s="311"/>
      <c r="N28" s="1159"/>
      <c r="O28" s="344"/>
      <c r="P28" s="344"/>
      <c r="Q28" s="344"/>
      <c r="R28" s="344"/>
      <c r="S28" s="729"/>
      <c r="T28" s="672"/>
      <c r="U28" s="344"/>
      <c r="V28" s="344"/>
      <c r="W28" s="344"/>
    </row>
    <row r="29" spans="1:23" s="293" customFormat="1" ht="15.75" hidden="1">
      <c r="B29" s="316" t="s">
        <v>322</v>
      </c>
      <c r="C29" s="304">
        <v>0</v>
      </c>
      <c r="D29" s="304">
        <v>0</v>
      </c>
      <c r="E29" s="304"/>
      <c r="F29" s="304">
        <v>0</v>
      </c>
      <c r="G29" s="539">
        <v>0</v>
      </c>
      <c r="H29" s="539"/>
      <c r="I29" s="304">
        <v>0</v>
      </c>
      <c r="J29" s="540">
        <v>0</v>
      </c>
      <c r="K29" s="539"/>
      <c r="L29" s="304">
        <v>0</v>
      </c>
      <c r="M29" s="539"/>
      <c r="N29" s="1161" t="e">
        <v>#DIV/0!</v>
      </c>
      <c r="O29" s="344"/>
      <c r="P29" s="672"/>
      <c r="Q29" s="344"/>
      <c r="R29" s="344"/>
      <c r="S29" s="729"/>
      <c r="T29" s="344"/>
      <c r="U29" s="344"/>
      <c r="V29" s="344"/>
      <c r="W29" s="344"/>
    </row>
    <row r="30" spans="1:23" s="293" customFormat="1" ht="15.75">
      <c r="B30" s="316" t="s">
        <v>31</v>
      </c>
      <c r="C30" s="557">
        <v>2856541</v>
      </c>
      <c r="D30" s="550"/>
      <c r="E30" s="550"/>
      <c r="F30" s="557">
        <v>568293</v>
      </c>
      <c r="G30" s="563"/>
      <c r="H30" s="563"/>
      <c r="I30" s="557">
        <v>1406952</v>
      </c>
      <c r="J30" s="554"/>
      <c r="K30" s="550"/>
      <c r="L30" s="557">
        <v>610487</v>
      </c>
      <c r="M30" s="539"/>
      <c r="N30" s="1152">
        <v>42194</v>
      </c>
      <c r="O30" s="344"/>
      <c r="P30" s="344"/>
      <c r="Q30" s="344"/>
      <c r="R30" s="344"/>
      <c r="S30" s="729"/>
      <c r="T30" s="344"/>
      <c r="U30" s="344"/>
      <c r="V30" s="344"/>
      <c r="W30" s="344"/>
    </row>
    <row r="31" spans="1:23" s="625" customFormat="1" ht="15.75">
      <c r="B31" s="1246" t="s">
        <v>323</v>
      </c>
      <c r="C31" s="309">
        <v>2856541</v>
      </c>
      <c r="D31" s="308">
        <v>0</v>
      </c>
      <c r="E31" s="308"/>
      <c r="F31" s="309">
        <v>568293</v>
      </c>
      <c r="G31" s="541">
        <v>0</v>
      </c>
      <c r="H31" s="541"/>
      <c r="I31" s="553">
        <v>1406952</v>
      </c>
      <c r="J31" s="541">
        <v>0</v>
      </c>
      <c r="K31" s="541"/>
      <c r="L31" s="1085">
        <v>610487</v>
      </c>
      <c r="M31" s="541"/>
      <c r="N31" s="1157">
        <v>42194</v>
      </c>
      <c r="O31" s="661"/>
      <c r="P31" s="661"/>
      <c r="Q31" s="661"/>
      <c r="R31" s="661"/>
      <c r="S31" s="1277"/>
      <c r="T31" s="661"/>
      <c r="U31" s="661"/>
      <c r="V31" s="661"/>
      <c r="W31" s="661"/>
    </row>
    <row r="32" spans="1:23" s="293" customFormat="1" ht="16.5" thickBot="1">
      <c r="B32" s="616" t="s">
        <v>25</v>
      </c>
      <c r="C32" s="1267">
        <v>3726976</v>
      </c>
      <c r="D32" s="627" t="e">
        <v>#N/A</v>
      </c>
      <c r="E32" s="1267"/>
      <c r="F32" s="1267">
        <v>2856541</v>
      </c>
      <c r="G32" s="1267">
        <v>3647622</v>
      </c>
      <c r="H32" s="1267"/>
      <c r="I32" s="1267">
        <v>3336077</v>
      </c>
      <c r="J32" s="627">
        <v>-479536</v>
      </c>
      <c r="K32" s="627"/>
      <c r="L32" s="1267">
        <v>1406952</v>
      </c>
      <c r="M32" s="1267"/>
      <c r="N32" s="1267">
        <v>-1449589</v>
      </c>
      <c r="O32" s="344"/>
      <c r="P32" s="1783"/>
      <c r="Q32" s="344"/>
      <c r="R32" s="344"/>
      <c r="S32" s="1757"/>
      <c r="T32" s="1757"/>
      <c r="U32" s="1757"/>
      <c r="V32" s="344"/>
      <c r="W32" s="344"/>
    </row>
    <row r="33" spans="2:23" s="293" customFormat="1" ht="16.5" thickTop="1">
      <c r="B33" s="313"/>
      <c r="C33" s="310"/>
      <c r="D33" s="332"/>
      <c r="E33" s="332"/>
      <c r="F33" s="332"/>
      <c r="G33" s="332"/>
      <c r="H33" s="332"/>
      <c r="I33" s="332"/>
      <c r="J33" s="310"/>
      <c r="K33" s="332"/>
      <c r="L33" s="332"/>
      <c r="M33" s="332"/>
      <c r="N33" s="544"/>
      <c r="O33" s="344"/>
      <c r="P33" s="344"/>
      <c r="Q33" s="344"/>
      <c r="R33" s="344"/>
      <c r="S33" s="729"/>
      <c r="T33" s="344"/>
      <c r="U33" s="344"/>
      <c r="V33" s="344"/>
      <c r="W33" s="344"/>
    </row>
    <row r="34" spans="2:23" s="293" customFormat="1" ht="15.75">
      <c r="B34" s="313"/>
      <c r="C34" s="310"/>
      <c r="D34" s="332"/>
      <c r="E34" s="332"/>
      <c r="F34" s="332"/>
      <c r="G34" s="332"/>
      <c r="H34" s="332"/>
      <c r="I34" s="332"/>
      <c r="J34" s="310"/>
      <c r="K34" s="332"/>
      <c r="L34" s="332"/>
      <c r="M34" s="332"/>
      <c r="N34" s="544"/>
      <c r="O34" s="344"/>
      <c r="P34" s="344"/>
      <c r="Q34" s="344"/>
      <c r="R34" s="344"/>
      <c r="S34" s="729"/>
      <c r="T34" s="344"/>
      <c r="U34" s="344"/>
      <c r="V34" s="344"/>
      <c r="W34" s="344"/>
    </row>
    <row r="35" spans="2:23" s="293" customFormat="1" ht="15.75">
      <c r="B35" s="313"/>
      <c r="C35" s="310"/>
      <c r="D35" s="332"/>
      <c r="E35" s="332"/>
      <c r="F35" s="332"/>
      <c r="G35" s="332"/>
      <c r="H35" s="332"/>
      <c r="I35" s="332"/>
      <c r="J35" s="310"/>
      <c r="K35" s="332"/>
      <c r="L35" s="332"/>
      <c r="M35" s="332"/>
      <c r="N35" s="544"/>
      <c r="O35" s="344"/>
      <c r="P35" s="344"/>
      <c r="Q35" s="344"/>
      <c r="R35" s="344"/>
      <c r="S35" s="729"/>
      <c r="T35" s="344"/>
      <c r="U35" s="344"/>
      <c r="V35" s="344"/>
      <c r="W35" s="344"/>
    </row>
    <row r="36" spans="2:23" s="293" customFormat="1" ht="15.75">
      <c r="B36" s="313"/>
      <c r="C36" s="310"/>
      <c r="D36" s="332"/>
      <c r="E36" s="332"/>
      <c r="F36" s="332"/>
      <c r="G36" s="332"/>
      <c r="H36" s="332"/>
      <c r="I36" s="332"/>
      <c r="J36" s="310"/>
      <c r="K36" s="332"/>
      <c r="L36" s="332"/>
      <c r="M36" s="332"/>
      <c r="N36" s="544"/>
      <c r="O36" s="344"/>
      <c r="P36" s="344"/>
      <c r="Q36" s="344"/>
      <c r="R36" s="344"/>
      <c r="S36" s="729"/>
      <c r="T36" s="344"/>
      <c r="U36" s="344"/>
      <c r="V36" s="344"/>
      <c r="W36" s="344"/>
    </row>
    <row r="37" spans="2:23" s="293" customFormat="1" ht="15.75">
      <c r="B37" s="313"/>
      <c r="C37" s="310"/>
      <c r="D37" s="332"/>
      <c r="E37" s="332"/>
      <c r="F37" s="332"/>
      <c r="G37" s="332"/>
      <c r="H37" s="332"/>
      <c r="I37" s="332"/>
      <c r="J37" s="310"/>
      <c r="K37" s="332"/>
      <c r="L37" s="332"/>
      <c r="M37" s="332"/>
      <c r="N37" s="544"/>
      <c r="O37" s="344"/>
      <c r="P37" s="344"/>
      <c r="Q37" s="344"/>
      <c r="R37" s="344"/>
      <c r="S37" s="729"/>
      <c r="T37" s="344"/>
      <c r="U37" s="344"/>
      <c r="V37" s="344"/>
      <c r="W37" s="344"/>
    </row>
    <row r="38" spans="2:23" s="293" customFormat="1" ht="15.75">
      <c r="B38" s="313"/>
      <c r="C38" s="310"/>
      <c r="D38" s="332"/>
      <c r="E38" s="332"/>
      <c r="F38" s="332"/>
      <c r="G38" s="332"/>
      <c r="H38" s="332"/>
      <c r="I38" s="332"/>
      <c r="J38" s="310"/>
      <c r="K38" s="332"/>
      <c r="L38" s="332"/>
      <c r="M38" s="332"/>
      <c r="N38" s="544"/>
      <c r="O38" s="344"/>
      <c r="P38" s="344"/>
      <c r="Q38" s="344"/>
      <c r="R38" s="344"/>
      <c r="S38" s="729"/>
      <c r="T38" s="344"/>
      <c r="U38" s="344"/>
      <c r="V38" s="344"/>
      <c r="W38" s="344"/>
    </row>
    <row r="39" spans="2:23" s="293" customFormat="1" ht="15.75">
      <c r="B39" s="313"/>
      <c r="C39" s="310"/>
      <c r="D39" s="332"/>
      <c r="E39" s="332"/>
      <c r="F39" s="332"/>
      <c r="G39" s="332"/>
      <c r="H39" s="332"/>
      <c r="I39" s="332"/>
      <c r="J39" s="310"/>
      <c r="K39" s="332"/>
      <c r="L39" s="332"/>
      <c r="M39" s="332"/>
      <c r="N39" s="544"/>
      <c r="O39" s="344"/>
      <c r="P39" s="344"/>
      <c r="Q39" s="344"/>
      <c r="R39" s="344"/>
      <c r="S39" s="729"/>
      <c r="T39" s="344"/>
      <c r="U39" s="344"/>
      <c r="V39" s="344"/>
      <c r="W39" s="344"/>
    </row>
    <row r="40" spans="2:23" s="293" customFormat="1" ht="15.75">
      <c r="B40" s="313"/>
      <c r="C40" s="310"/>
      <c r="D40" s="332"/>
      <c r="E40" s="332"/>
      <c r="F40" s="332"/>
      <c r="G40" s="332"/>
      <c r="H40" s="332"/>
      <c r="I40" s="332"/>
      <c r="J40" s="310"/>
      <c r="K40" s="332"/>
      <c r="L40" s="332"/>
      <c r="M40" s="332"/>
      <c r="N40" s="544"/>
      <c r="O40" s="344"/>
      <c r="P40" s="344"/>
      <c r="Q40" s="344"/>
      <c r="R40" s="344"/>
      <c r="S40" s="729"/>
      <c r="T40" s="344"/>
      <c r="U40" s="344"/>
      <c r="V40" s="344"/>
      <c r="W40" s="344"/>
    </row>
    <row r="41" spans="2:23" s="293" customFormat="1" ht="15.75">
      <c r="B41" s="313"/>
      <c r="C41" s="310"/>
      <c r="D41" s="332"/>
      <c r="E41" s="332"/>
      <c r="F41" s="332"/>
      <c r="G41" s="332"/>
      <c r="H41" s="332"/>
      <c r="I41" s="332"/>
      <c r="J41" s="310"/>
      <c r="K41" s="332"/>
      <c r="L41" s="332"/>
      <c r="M41" s="332"/>
      <c r="N41" s="332"/>
      <c r="O41" s="344"/>
      <c r="P41" s="344"/>
      <c r="Q41" s="729"/>
      <c r="R41" s="344"/>
      <c r="S41" s="729"/>
      <c r="T41" s="344"/>
      <c r="U41" s="344"/>
      <c r="V41" s="344"/>
      <c r="W41" s="344"/>
    </row>
    <row r="42" spans="2:23" s="293" customFormat="1" ht="15.75">
      <c r="B42" s="313"/>
      <c r="C42" s="310"/>
      <c r="D42" s="332"/>
      <c r="E42" s="332"/>
      <c r="F42" s="332"/>
      <c r="G42" s="332"/>
      <c r="H42" s="332"/>
      <c r="I42" s="332"/>
      <c r="J42" s="310"/>
      <c r="K42" s="332"/>
      <c r="L42" s="332"/>
      <c r="M42" s="332"/>
      <c r="N42" s="332"/>
      <c r="O42" s="344"/>
      <c r="P42" s="344"/>
      <c r="Q42" s="729"/>
      <c r="R42" s="344"/>
      <c r="S42" s="729"/>
      <c r="T42" s="344"/>
      <c r="U42" s="344"/>
      <c r="V42" s="344"/>
      <c r="W42" s="344"/>
    </row>
    <row r="43" spans="2:23" s="293" customFormat="1" ht="15.75">
      <c r="B43" s="313"/>
      <c r="C43" s="310"/>
      <c r="D43" s="332"/>
      <c r="E43" s="332"/>
      <c r="F43" s="332"/>
      <c r="G43" s="332"/>
      <c r="H43" s="332"/>
      <c r="I43" s="332"/>
      <c r="J43" s="310"/>
      <c r="K43" s="332"/>
      <c r="L43" s="332"/>
      <c r="M43" s="332"/>
      <c r="N43" s="332"/>
      <c r="O43" s="344"/>
      <c r="P43" s="344"/>
      <c r="Q43" s="729"/>
      <c r="R43" s="344"/>
      <c r="S43" s="729"/>
      <c r="T43" s="344"/>
      <c r="U43" s="344"/>
      <c r="V43" s="344"/>
      <c r="W43" s="344"/>
    </row>
    <row r="44" spans="2:23" s="293" customFormat="1" ht="15.75">
      <c r="B44" s="313"/>
      <c r="C44" s="310"/>
      <c r="D44" s="332"/>
      <c r="E44" s="332"/>
      <c r="F44" s="332"/>
      <c r="G44" s="332"/>
      <c r="H44" s="332"/>
      <c r="I44" s="332"/>
      <c r="J44" s="310"/>
      <c r="K44" s="332"/>
      <c r="L44" s="332"/>
      <c r="M44" s="332"/>
      <c r="N44" s="332"/>
      <c r="O44" s="344"/>
      <c r="P44" s="344"/>
      <c r="Q44" s="729"/>
      <c r="R44" s="729"/>
      <c r="S44" s="729"/>
      <c r="T44" s="344"/>
      <c r="U44" s="344"/>
      <c r="V44" s="344"/>
      <c r="W44" s="344"/>
    </row>
    <row r="45" spans="2:23" s="293" customFormat="1" ht="15.75">
      <c r="B45" s="313"/>
      <c r="C45" s="310"/>
      <c r="D45" s="332"/>
      <c r="E45" s="332"/>
      <c r="F45" s="332"/>
      <c r="G45" s="332"/>
      <c r="H45" s="332"/>
      <c r="I45" s="332"/>
      <c r="J45" s="310"/>
      <c r="K45" s="332"/>
      <c r="L45" s="332"/>
      <c r="M45" s="332"/>
      <c r="N45" s="332"/>
      <c r="O45" s="344"/>
      <c r="P45" s="344"/>
      <c r="Q45" s="729"/>
      <c r="R45" s="729"/>
      <c r="S45" s="729"/>
      <c r="T45" s="344"/>
      <c r="U45" s="344"/>
      <c r="V45" s="344"/>
      <c r="W45" s="344"/>
    </row>
    <row r="46" spans="2:23" s="293" customFormat="1" ht="15.75">
      <c r="B46" s="313"/>
      <c r="C46" s="310"/>
      <c r="D46" s="332"/>
      <c r="E46" s="332"/>
      <c r="F46" s="332"/>
      <c r="G46" s="332"/>
      <c r="H46" s="332"/>
      <c r="I46" s="332"/>
      <c r="J46" s="310"/>
      <c r="K46" s="332"/>
      <c r="L46" s="332"/>
      <c r="M46" s="332"/>
      <c r="N46" s="332"/>
      <c r="O46" s="344"/>
      <c r="P46" s="344"/>
      <c r="Q46" s="729"/>
      <c r="R46" s="729"/>
      <c r="S46" s="729"/>
      <c r="T46" s="344"/>
      <c r="U46" s="344"/>
      <c r="V46" s="344"/>
      <c r="W46" s="344"/>
    </row>
    <row r="47" spans="2:23" s="293" customFormat="1" ht="15.75">
      <c r="B47" s="313"/>
      <c r="C47" s="310"/>
      <c r="D47" s="332"/>
      <c r="E47" s="332"/>
      <c r="F47" s="332"/>
      <c r="G47" s="332"/>
      <c r="H47" s="332"/>
      <c r="I47" s="332"/>
      <c r="J47" s="310"/>
      <c r="K47" s="332"/>
      <c r="L47" s="332"/>
      <c r="M47" s="332"/>
      <c r="N47" s="332"/>
      <c r="O47" s="344"/>
      <c r="P47" s="344"/>
      <c r="Q47" s="729"/>
      <c r="R47" s="729"/>
      <c r="S47" s="729"/>
      <c r="T47" s="344"/>
      <c r="U47" s="344"/>
      <c r="V47" s="344"/>
      <c r="W47" s="344"/>
    </row>
    <row r="48" spans="2:23" s="293" customFormat="1" ht="15.75">
      <c r="B48" s="313"/>
      <c r="C48" s="310"/>
      <c r="D48" s="332"/>
      <c r="E48" s="332"/>
      <c r="F48" s="332"/>
      <c r="G48" s="332"/>
      <c r="H48" s="332"/>
      <c r="I48" s="332"/>
      <c r="J48" s="310"/>
      <c r="K48" s="332"/>
      <c r="L48" s="332"/>
      <c r="M48" s="332"/>
      <c r="N48" s="332"/>
      <c r="O48" s="344"/>
      <c r="P48" s="344"/>
      <c r="Q48" s="729"/>
      <c r="R48" s="729"/>
      <c r="S48" s="729"/>
      <c r="T48" s="344"/>
      <c r="U48" s="344"/>
      <c r="V48" s="344"/>
      <c r="W48" s="344"/>
    </row>
    <row r="49" spans="2:23" s="293" customFormat="1" ht="15.75">
      <c r="B49" s="313"/>
      <c r="C49" s="310"/>
      <c r="D49" s="332"/>
      <c r="E49" s="332"/>
      <c r="F49" s="332"/>
      <c r="G49" s="332"/>
      <c r="H49" s="332"/>
      <c r="I49" s="332"/>
      <c r="J49" s="310"/>
      <c r="K49" s="332"/>
      <c r="L49" s="332"/>
      <c r="M49" s="332"/>
      <c r="N49" s="332"/>
      <c r="O49" s="344"/>
      <c r="P49" s="344"/>
      <c r="Q49" s="729"/>
      <c r="R49" s="1767"/>
      <c r="S49" s="344"/>
      <c r="T49" s="344"/>
      <c r="U49" s="344"/>
      <c r="V49" s="344"/>
      <c r="W49" s="344"/>
    </row>
    <row r="50" spans="2:23" s="293" customFormat="1" ht="15.75">
      <c r="B50" s="313"/>
      <c r="C50" s="310"/>
      <c r="D50" s="332"/>
      <c r="E50" s="332"/>
      <c r="F50" s="332"/>
      <c r="G50" s="332"/>
      <c r="H50" s="332"/>
      <c r="I50" s="332"/>
      <c r="J50" s="310"/>
      <c r="K50" s="332"/>
      <c r="L50" s="332"/>
      <c r="M50" s="332"/>
      <c r="N50" s="332"/>
      <c r="O50" s="344"/>
      <c r="P50" s="344"/>
      <c r="Q50" s="344"/>
      <c r="R50" s="344"/>
      <c r="S50" s="729"/>
      <c r="T50" s="344"/>
      <c r="U50" s="344"/>
      <c r="V50" s="344"/>
      <c r="W50" s="344"/>
    </row>
    <row r="51" spans="2:23" s="293" customFormat="1" ht="15.75">
      <c r="B51" s="313"/>
      <c r="C51" s="310"/>
      <c r="D51" s="332"/>
      <c r="E51" s="332"/>
      <c r="F51" s="332"/>
      <c r="G51" s="332"/>
      <c r="H51" s="332"/>
      <c r="I51" s="332"/>
      <c r="J51" s="310"/>
      <c r="K51" s="332"/>
      <c r="L51" s="332"/>
      <c r="M51" s="332"/>
      <c r="N51" s="332"/>
      <c r="O51" s="344"/>
      <c r="P51" s="344"/>
      <c r="Q51" s="344"/>
      <c r="R51" s="344"/>
      <c r="S51" s="729"/>
      <c r="T51" s="344"/>
      <c r="U51" s="344"/>
      <c r="V51" s="344"/>
      <c r="W51" s="344"/>
    </row>
    <row r="52" spans="2:23" s="293" customFormat="1" ht="15.75">
      <c r="B52" s="313"/>
      <c r="C52" s="310"/>
      <c r="D52" s="332"/>
      <c r="E52" s="332"/>
      <c r="F52" s="332"/>
      <c r="G52" s="332"/>
      <c r="H52" s="332"/>
      <c r="I52" s="332"/>
      <c r="J52" s="310"/>
      <c r="K52" s="332"/>
      <c r="L52" s="332"/>
      <c r="M52" s="332"/>
      <c r="N52" s="332"/>
      <c r="O52" s="344"/>
      <c r="P52" s="344"/>
      <c r="Q52" s="344"/>
      <c r="R52" s="344"/>
      <c r="S52" s="729"/>
      <c r="T52" s="344"/>
      <c r="U52" s="344"/>
      <c r="V52" s="344"/>
      <c r="W52" s="344"/>
    </row>
    <row r="53" spans="2:23" s="293" customFormat="1" ht="15.75">
      <c r="B53" s="313"/>
      <c r="C53" s="310"/>
      <c r="D53" s="332"/>
      <c r="E53" s="332"/>
      <c r="F53" s="332"/>
      <c r="G53" s="332"/>
      <c r="H53" s="332"/>
      <c r="I53" s="332"/>
      <c r="J53" s="310"/>
      <c r="K53" s="332"/>
      <c r="L53" s="332"/>
      <c r="M53" s="332"/>
      <c r="N53" s="332"/>
      <c r="O53" s="344"/>
      <c r="P53" s="344"/>
      <c r="Q53" s="344"/>
      <c r="R53" s="344"/>
      <c r="S53" s="729"/>
      <c r="T53" s="344"/>
      <c r="U53" s="344"/>
      <c r="V53" s="344"/>
      <c r="W53" s="344"/>
    </row>
    <row r="54" spans="2:23" s="293" customFormat="1" ht="15.75">
      <c r="B54" s="313"/>
      <c r="C54" s="310"/>
      <c r="D54" s="332"/>
      <c r="E54" s="332"/>
      <c r="F54" s="332"/>
      <c r="G54" s="332"/>
      <c r="H54" s="332"/>
      <c r="I54" s="332"/>
      <c r="J54" s="310"/>
      <c r="K54" s="332"/>
      <c r="L54" s="332"/>
      <c r="M54" s="332"/>
      <c r="N54" s="332"/>
      <c r="O54" s="344"/>
      <c r="P54" s="344"/>
      <c r="Q54" s="344"/>
      <c r="R54" s="344"/>
      <c r="S54" s="729"/>
      <c r="T54" s="344"/>
      <c r="U54" s="344"/>
      <c r="V54" s="344"/>
      <c r="W54" s="344"/>
    </row>
    <row r="55" spans="2:23" s="293" customFormat="1" ht="15.75">
      <c r="B55" s="313"/>
      <c r="C55" s="310"/>
      <c r="D55" s="332"/>
      <c r="E55" s="332"/>
      <c r="F55" s="332"/>
      <c r="G55" s="332"/>
      <c r="H55" s="332"/>
      <c r="I55" s="332"/>
      <c r="J55" s="310"/>
      <c r="K55" s="332"/>
      <c r="L55" s="332"/>
      <c r="M55" s="332"/>
      <c r="N55" s="332"/>
      <c r="S55" s="723"/>
    </row>
    <row r="56" spans="2:23" s="293" customFormat="1" ht="15.75">
      <c r="B56" s="313"/>
      <c r="C56" s="310"/>
      <c r="D56" s="332"/>
      <c r="E56" s="332"/>
      <c r="F56" s="332"/>
      <c r="G56" s="332"/>
      <c r="H56" s="332"/>
      <c r="I56" s="332"/>
      <c r="J56" s="310"/>
      <c r="K56" s="332"/>
      <c r="L56" s="332"/>
      <c r="M56" s="332"/>
      <c r="N56" s="332"/>
      <c r="S56" s="723"/>
    </row>
    <row r="57" spans="2:23" s="293" customFormat="1" ht="15.75">
      <c r="B57" s="313"/>
      <c r="C57" s="310"/>
      <c r="D57" s="332"/>
      <c r="E57" s="332"/>
      <c r="F57" s="332"/>
      <c r="G57" s="332"/>
      <c r="H57" s="332"/>
      <c r="I57" s="332"/>
      <c r="J57" s="310"/>
      <c r="K57" s="332"/>
      <c r="L57" s="332"/>
      <c r="M57" s="332"/>
      <c r="N57" s="332"/>
      <c r="S57" s="723"/>
    </row>
    <row r="58" spans="2:23" s="293" customFormat="1" ht="15.75">
      <c r="B58" s="313"/>
      <c r="C58" s="310"/>
      <c r="D58" s="332"/>
      <c r="E58" s="332"/>
      <c r="F58" s="332"/>
      <c r="G58" s="332"/>
      <c r="H58" s="332"/>
      <c r="I58" s="332"/>
      <c r="J58" s="310"/>
      <c r="K58" s="332"/>
      <c r="L58" s="332"/>
      <c r="M58" s="332"/>
      <c r="N58" s="332"/>
      <c r="S58" s="723"/>
    </row>
    <row r="59" spans="2:23" s="293" customFormat="1" ht="15.75">
      <c r="B59" s="313"/>
      <c r="C59" s="310"/>
      <c r="D59" s="332"/>
      <c r="E59" s="332"/>
      <c r="F59" s="332"/>
      <c r="G59" s="332"/>
      <c r="H59" s="332"/>
      <c r="I59" s="332"/>
      <c r="J59" s="310"/>
      <c r="K59" s="332"/>
      <c r="L59" s="332"/>
      <c r="M59" s="332"/>
      <c r="N59" s="332"/>
      <c r="S59" s="723"/>
    </row>
    <row r="60" spans="2:23" s="344" customFormat="1" ht="15.75">
      <c r="B60" s="313"/>
      <c r="C60" s="310"/>
      <c r="D60" s="332"/>
      <c r="E60" s="332"/>
      <c r="F60" s="332"/>
      <c r="G60" s="332"/>
      <c r="H60" s="332"/>
      <c r="I60" s="332"/>
      <c r="J60" s="310"/>
      <c r="K60" s="332"/>
      <c r="L60" s="332"/>
      <c r="M60" s="332"/>
      <c r="N60" s="332"/>
      <c r="S60" s="729"/>
    </row>
    <row r="61" spans="2:23" s="293" customFormat="1" ht="15.75">
      <c r="B61" s="313"/>
      <c r="C61" s="310"/>
      <c r="D61" s="332"/>
      <c r="E61" s="332"/>
      <c r="F61" s="332"/>
      <c r="G61" s="332"/>
      <c r="H61" s="332"/>
      <c r="I61" s="332"/>
      <c r="J61" s="310"/>
      <c r="K61" s="332"/>
      <c r="L61" s="332"/>
      <c r="M61" s="332"/>
      <c r="N61" s="332"/>
      <c r="S61" s="723"/>
    </row>
    <row r="62" spans="2:23" ht="15.75">
      <c r="B62" s="313"/>
      <c r="C62" s="314"/>
      <c r="D62" s="314"/>
      <c r="E62" s="314"/>
      <c r="F62" s="314"/>
      <c r="G62" s="314"/>
      <c r="H62" s="314"/>
      <c r="I62" s="314"/>
      <c r="J62" s="314"/>
      <c r="K62" s="314"/>
      <c r="L62" s="314"/>
      <c r="M62" s="314"/>
      <c r="N62" s="314"/>
    </row>
    <row r="63" spans="2:23" ht="15.75">
      <c r="B63" s="313"/>
      <c r="C63" s="313"/>
      <c r="D63" s="305"/>
      <c r="E63" s="305"/>
      <c r="F63" s="310"/>
      <c r="G63" s="310"/>
      <c r="H63" s="305"/>
      <c r="I63" s="310"/>
      <c r="J63" s="298"/>
      <c r="K63" s="305"/>
      <c r="L63" s="316"/>
      <c r="M63" s="305"/>
      <c r="N63" s="316"/>
    </row>
    <row r="64" spans="2:23" ht="15.75">
      <c r="B64" s="298"/>
      <c r="C64" s="302"/>
      <c r="D64" s="302"/>
      <c r="E64" s="302"/>
      <c r="F64" s="302"/>
      <c r="G64" s="302"/>
      <c r="H64" s="302"/>
      <c r="I64" s="302"/>
      <c r="J64" s="302"/>
      <c r="K64" s="302"/>
      <c r="L64" s="902"/>
      <c r="M64" s="302"/>
      <c r="N64" s="302"/>
    </row>
    <row r="65" spans="2:14" ht="15.75">
      <c r="B65" s="298"/>
      <c r="C65" s="298"/>
      <c r="D65" s="298"/>
      <c r="E65" s="298"/>
      <c r="F65" s="298"/>
      <c r="G65" s="298"/>
      <c r="H65" s="298"/>
      <c r="I65" s="298"/>
      <c r="J65" s="298"/>
      <c r="K65" s="298"/>
      <c r="L65" s="311"/>
      <c r="M65" s="298"/>
      <c r="N65" s="311"/>
    </row>
    <row r="66" spans="2:14" ht="15.75">
      <c r="B66" s="298"/>
      <c r="C66" s="298"/>
      <c r="D66" s="298"/>
      <c r="E66" s="298"/>
      <c r="F66" s="300"/>
      <c r="G66" s="298"/>
      <c r="H66" s="298"/>
      <c r="I66" s="300"/>
      <c r="J66" s="298"/>
      <c r="K66" s="298"/>
      <c r="L66" s="300"/>
      <c r="M66" s="298"/>
      <c r="N66" s="311"/>
    </row>
    <row r="67" spans="2:14" ht="15.75">
      <c r="B67" s="299"/>
      <c r="C67" s="299"/>
      <c r="D67" s="298"/>
      <c r="E67" s="298"/>
      <c r="F67" s="298"/>
      <c r="G67" s="298"/>
      <c r="H67" s="298"/>
      <c r="I67" s="298"/>
      <c r="J67" s="298"/>
      <c r="K67" s="298"/>
      <c r="L67" s="311"/>
      <c r="M67" s="298"/>
      <c r="N67" s="311"/>
    </row>
    <row r="68" spans="2:14" ht="15.75">
      <c r="B68" s="298"/>
      <c r="C68" s="298"/>
      <c r="D68" s="298"/>
      <c r="E68" s="298"/>
      <c r="F68" s="298"/>
      <c r="G68" s="298"/>
      <c r="H68" s="298"/>
      <c r="I68" s="298"/>
      <c r="J68" s="298"/>
      <c r="K68" s="298"/>
      <c r="L68" s="311"/>
      <c r="M68" s="298"/>
      <c r="N68" s="311"/>
    </row>
    <row r="69" spans="2:14" ht="15.75">
      <c r="B69" s="298"/>
      <c r="C69" s="298"/>
      <c r="D69" s="298"/>
      <c r="E69" s="298"/>
      <c r="F69" s="298"/>
      <c r="G69" s="298"/>
      <c r="H69" s="298"/>
      <c r="I69" s="298"/>
      <c r="J69" s="298"/>
      <c r="K69" s="298"/>
      <c r="L69" s="311"/>
      <c r="M69" s="298"/>
      <c r="N69" s="311"/>
    </row>
    <row r="70" spans="2:14" ht="15.75">
      <c r="B70" s="298"/>
      <c r="C70" s="298"/>
      <c r="D70" s="298"/>
      <c r="E70" s="298"/>
      <c r="F70" s="298"/>
      <c r="G70" s="298"/>
      <c r="H70" s="298"/>
      <c r="I70" s="298"/>
      <c r="J70" s="298"/>
      <c r="K70" s="298"/>
      <c r="L70" s="311"/>
      <c r="M70" s="298"/>
      <c r="N70" s="311"/>
    </row>
    <row r="71" spans="2:14" ht="15.75">
      <c r="B71" s="298"/>
      <c r="C71" s="298"/>
      <c r="D71" s="298"/>
      <c r="E71" s="298"/>
      <c r="F71" s="298"/>
      <c r="G71" s="298"/>
      <c r="H71" s="298"/>
      <c r="I71" s="298"/>
      <c r="J71" s="298"/>
      <c r="K71" s="298"/>
      <c r="L71" s="311"/>
      <c r="M71" s="298"/>
      <c r="N71" s="311"/>
    </row>
    <row r="72" spans="2:14" ht="15.75">
      <c r="B72" s="298"/>
      <c r="C72" s="298"/>
      <c r="D72" s="298"/>
      <c r="E72" s="298"/>
      <c r="F72" s="298"/>
      <c r="G72" s="298"/>
      <c r="H72" s="298"/>
      <c r="I72" s="298"/>
      <c r="J72" s="298"/>
      <c r="K72" s="298"/>
      <c r="L72" s="311"/>
      <c r="M72" s="298"/>
      <c r="N72" s="311"/>
    </row>
    <row r="73" spans="2:14" ht="15.75">
      <c r="B73" s="298"/>
      <c r="C73" s="298"/>
      <c r="D73" s="298"/>
      <c r="E73" s="298"/>
      <c r="F73" s="298"/>
      <c r="G73" s="298"/>
      <c r="H73" s="298"/>
      <c r="I73" s="298"/>
      <c r="J73" s="298"/>
      <c r="K73" s="298"/>
      <c r="L73" s="311"/>
      <c r="M73" s="298"/>
      <c r="N73" s="311"/>
    </row>
    <row r="74" spans="2:14" ht="15.75">
      <c r="B74" s="298"/>
      <c r="C74" s="298"/>
      <c r="D74" s="298"/>
      <c r="E74" s="298"/>
      <c r="F74" s="298"/>
      <c r="G74" s="298"/>
      <c r="H74" s="298"/>
      <c r="I74" s="298"/>
      <c r="J74" s="298"/>
      <c r="K74" s="298"/>
      <c r="L74" s="311"/>
      <c r="M74" s="298"/>
      <c r="N74" s="311"/>
    </row>
    <row r="75" spans="2:14" ht="15.75">
      <c r="B75" s="298"/>
      <c r="C75" s="298"/>
      <c r="D75" s="298"/>
      <c r="E75" s="298"/>
      <c r="F75" s="298"/>
      <c r="G75" s="298"/>
      <c r="H75" s="298"/>
      <c r="I75" s="298"/>
      <c r="J75" s="298"/>
      <c r="K75" s="298"/>
      <c r="L75" s="311"/>
      <c r="M75" s="298"/>
      <c r="N75" s="311"/>
    </row>
    <row r="76" spans="2:14" ht="15.75">
      <c r="B76" s="298"/>
      <c r="C76" s="298"/>
      <c r="D76" s="298"/>
      <c r="E76" s="298"/>
      <c r="F76" s="298"/>
      <c r="G76" s="298"/>
      <c r="H76" s="298"/>
      <c r="I76" s="298"/>
      <c r="J76" s="298"/>
      <c r="K76" s="298"/>
      <c r="L76" s="311"/>
      <c r="M76" s="298"/>
      <c r="N76" s="311"/>
    </row>
    <row r="77" spans="2:14" ht="15.75">
      <c r="B77" s="298"/>
      <c r="C77" s="298"/>
      <c r="D77" s="298"/>
      <c r="E77" s="298"/>
      <c r="F77" s="298"/>
      <c r="G77" s="298"/>
      <c r="H77" s="298"/>
      <c r="I77" s="298"/>
      <c r="J77" s="298"/>
      <c r="K77" s="298"/>
      <c r="L77" s="311"/>
      <c r="M77" s="298"/>
      <c r="N77" s="311"/>
    </row>
    <row r="78" spans="2:14" ht="15.75">
      <c r="B78" s="298"/>
      <c r="C78" s="298"/>
      <c r="D78" s="298"/>
      <c r="E78" s="298"/>
      <c r="F78" s="298"/>
      <c r="G78" s="298"/>
      <c r="H78" s="298"/>
      <c r="I78" s="298"/>
      <c r="J78" s="298"/>
      <c r="K78" s="298"/>
      <c r="L78" s="311"/>
      <c r="M78" s="298"/>
      <c r="N78" s="311"/>
    </row>
    <row r="79" spans="2:14" ht="15.75">
      <c r="B79" s="298"/>
      <c r="C79" s="298"/>
      <c r="D79" s="298"/>
      <c r="E79" s="298"/>
      <c r="F79" s="298"/>
      <c r="G79" s="298"/>
      <c r="H79" s="298"/>
      <c r="I79" s="298"/>
      <c r="J79" s="298"/>
      <c r="K79" s="298"/>
      <c r="L79" s="311"/>
      <c r="M79" s="298"/>
      <c r="N79" s="311"/>
    </row>
    <row r="80" spans="2:14"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sheetData>
  <mergeCells count="4">
    <mergeCell ref="B1:N1"/>
    <mergeCell ref="B3:N3"/>
    <mergeCell ref="S3:AE3"/>
    <mergeCell ref="B4:N4"/>
  </mergeCells>
  <printOptions horizontalCentered="1"/>
  <pageMargins left="0.5" right="0.5" top="0.5" bottom="0.5" header="0.5" footer="0.5"/>
  <pageSetup scale="74"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9" tint="0.39997558519241921"/>
  </sheetPr>
  <dimension ref="A1:AC123"/>
  <sheetViews>
    <sheetView showGridLines="0" showRuler="0" topLeftCell="B3" zoomScaleNormal="100" zoomScaleSheetLayoutView="130" workbookViewId="0">
      <selection activeCell="S29" sqref="S29"/>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140625" style="283" bestFit="1" customWidth="1"/>
    <col min="16" max="16" width="13.28515625" style="283" bestFit="1" customWidth="1"/>
    <col min="17" max="17" width="7.5703125" style="283" bestFit="1" customWidth="1"/>
    <col min="18" max="18" width="6.85546875" style="283"/>
    <col min="19" max="19" width="11" style="722" bestFit="1" customWidth="1"/>
    <col min="20" max="22" width="6.85546875" style="283"/>
    <col min="23" max="23" width="11.5703125" style="283" bestFit="1" customWidth="1"/>
    <col min="24" max="16384" width="6.85546875" style="283"/>
  </cols>
  <sheetData>
    <row r="1" spans="1:29" ht="23.45" hidden="1" customHeight="1">
      <c r="B1" s="1706" t="s">
        <v>402</v>
      </c>
      <c r="C1" s="1706"/>
      <c r="D1" s="1706"/>
      <c r="E1" s="1706"/>
      <c r="F1" s="1706"/>
      <c r="G1" s="1706"/>
      <c r="H1" s="1706"/>
      <c r="I1" s="1706"/>
      <c r="J1" s="1706"/>
      <c r="K1" s="1706"/>
      <c r="L1" s="1706"/>
      <c r="M1" s="1706"/>
      <c r="N1" s="1710"/>
    </row>
    <row r="2" spans="1:29" ht="18.75" hidden="1">
      <c r="B2" s="284"/>
      <c r="C2" s="285"/>
      <c r="D2" s="285"/>
      <c r="E2" s="285"/>
      <c r="F2" s="285"/>
      <c r="G2" s="285"/>
      <c r="H2" s="285"/>
      <c r="I2" s="285"/>
      <c r="J2" s="285"/>
      <c r="K2" s="285"/>
      <c r="L2" s="285"/>
      <c r="M2" s="285"/>
      <c r="N2" s="285"/>
    </row>
    <row r="3" spans="1:29" ht="35.450000000000003" customHeight="1">
      <c r="B3" s="1713" t="s">
        <v>857</v>
      </c>
      <c r="C3" s="1713"/>
      <c r="D3" s="1713"/>
      <c r="E3" s="1713"/>
      <c r="F3" s="1713"/>
      <c r="G3" s="1713"/>
      <c r="H3" s="1713"/>
      <c r="I3" s="1713"/>
      <c r="J3" s="1713"/>
      <c r="K3" s="1713"/>
      <c r="L3" s="1713"/>
      <c r="M3" s="1713"/>
      <c r="N3" s="1713"/>
      <c r="Q3" s="1709"/>
      <c r="R3" s="1709"/>
      <c r="S3" s="1709"/>
      <c r="T3" s="1709"/>
      <c r="U3" s="1709"/>
      <c r="V3" s="1709"/>
      <c r="W3" s="1709"/>
      <c r="X3" s="1709"/>
      <c r="Y3" s="1709"/>
      <c r="Z3" s="1709"/>
      <c r="AA3" s="1709"/>
      <c r="AB3" s="1709"/>
      <c r="AC3" s="1709"/>
    </row>
    <row r="4" spans="1:29" ht="32.25" customHeight="1" thickBot="1">
      <c r="B4" s="1711"/>
      <c r="C4" s="1711"/>
      <c r="D4" s="1711"/>
      <c r="E4" s="1711"/>
      <c r="F4" s="1711"/>
      <c r="G4" s="1711"/>
      <c r="H4" s="1711"/>
      <c r="I4" s="1711"/>
      <c r="J4" s="1711"/>
      <c r="K4" s="1711"/>
      <c r="L4" s="1711"/>
      <c r="M4" s="1711"/>
      <c r="N4" s="1711"/>
    </row>
    <row r="5" spans="1:29"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131"/>
      <c r="T5" s="1139"/>
    </row>
    <row r="6" spans="1:29">
      <c r="B6" s="288"/>
      <c r="C6" s="288"/>
      <c r="D6" s="289"/>
      <c r="E6" s="289"/>
      <c r="F6" s="288"/>
      <c r="G6" s="288"/>
      <c r="H6" s="289"/>
      <c r="I6" s="288"/>
      <c r="J6" s="290"/>
      <c r="K6" s="289"/>
      <c r="L6" s="291"/>
      <c r="M6" s="289"/>
      <c r="N6" s="291"/>
    </row>
    <row r="7" spans="1:29" ht="15.75">
      <c r="B7" s="299" t="s">
        <v>2</v>
      </c>
      <c r="C7" s="299"/>
      <c r="D7" s="300"/>
      <c r="E7" s="300"/>
      <c r="F7" s="300"/>
      <c r="G7" s="301"/>
      <c r="H7" s="300"/>
      <c r="I7" s="301"/>
      <c r="J7" s="300"/>
      <c r="K7" s="300"/>
      <c r="L7" s="302"/>
      <c r="M7" s="300"/>
      <c r="N7" s="302"/>
    </row>
    <row r="8" spans="1:29" ht="21">
      <c r="A8" s="321" t="s">
        <v>367</v>
      </c>
      <c r="B8" s="298" t="s">
        <v>568</v>
      </c>
      <c r="C8" s="1268">
        <v>14678602</v>
      </c>
      <c r="D8" s="1243" t="e">
        <v>#N/A</v>
      </c>
      <c r="E8" s="1243"/>
      <c r="F8" s="1268">
        <v>11052435</v>
      </c>
      <c r="G8" s="1268">
        <v>0</v>
      </c>
      <c r="H8" s="1268"/>
      <c r="I8" s="1268">
        <v>11052436</v>
      </c>
      <c r="J8" s="1268">
        <v>1</v>
      </c>
      <c r="K8" s="1268"/>
      <c r="L8" s="1268">
        <v>9371773</v>
      </c>
      <c r="M8" s="1268"/>
      <c r="N8" s="1268">
        <v>-1680662</v>
      </c>
      <c r="O8" s="336" t="s">
        <v>11</v>
      </c>
      <c r="P8" s="333">
        <v>676555</v>
      </c>
      <c r="Q8" s="966">
        <v>7.1999999999999995E-2</v>
      </c>
      <c r="S8" s="723"/>
      <c r="T8" s="293"/>
      <c r="U8" s="293"/>
      <c r="V8" s="293"/>
      <c r="W8" s="293"/>
      <c r="X8" s="293"/>
      <c r="Y8" s="293"/>
      <c r="Z8" s="293"/>
    </row>
    <row r="9" spans="1:29" ht="15.75">
      <c r="A9" s="321" t="s">
        <v>338</v>
      </c>
      <c r="B9" s="305" t="s">
        <v>8</v>
      </c>
      <c r="C9" s="549">
        <v>849116</v>
      </c>
      <c r="D9" s="549" t="e">
        <v>#N/A</v>
      </c>
      <c r="E9" s="549"/>
      <c r="F9" s="1241">
        <v>822840</v>
      </c>
      <c r="G9" s="550">
        <v>0</v>
      </c>
      <c r="H9" s="549"/>
      <c r="I9" s="1241">
        <v>468697</v>
      </c>
      <c r="J9" s="551">
        <v>-354143</v>
      </c>
      <c r="K9" s="549"/>
      <c r="L9" s="1241">
        <v>0</v>
      </c>
      <c r="M9" s="303"/>
      <c r="N9" s="1160">
        <v>-822840</v>
      </c>
      <c r="O9" s="336" t="s">
        <v>12</v>
      </c>
      <c r="P9" s="333">
        <v>307270</v>
      </c>
      <c r="Q9" s="966">
        <v>3.3000000000000002E-2</v>
      </c>
      <c r="S9" s="723"/>
      <c r="T9" s="293"/>
      <c r="U9" s="293"/>
      <c r="V9" s="293"/>
      <c r="W9" s="293"/>
      <c r="X9" s="293"/>
      <c r="Y9" s="293"/>
      <c r="Z9" s="293"/>
    </row>
    <row r="10" spans="1:29" ht="15.75">
      <c r="A10" s="331"/>
      <c r="B10" s="305" t="s">
        <v>319</v>
      </c>
      <c r="C10" s="549">
        <v>0</v>
      </c>
      <c r="D10" s="549"/>
      <c r="E10" s="549"/>
      <c r="F10" s="549">
        <v>0</v>
      </c>
      <c r="G10" s="550"/>
      <c r="H10" s="549"/>
      <c r="I10" s="550">
        <v>0</v>
      </c>
      <c r="J10" s="551">
        <v>0</v>
      </c>
      <c r="K10" s="549"/>
      <c r="L10" s="549">
        <v>0</v>
      </c>
      <c r="M10" s="303"/>
      <c r="N10" s="539">
        <v>0</v>
      </c>
      <c r="O10" s="336"/>
      <c r="P10" s="333"/>
      <c r="Q10" s="966"/>
      <c r="S10" s="723"/>
      <c r="T10" s="293"/>
      <c r="U10" s="293"/>
      <c r="V10" s="293"/>
      <c r="W10" s="293"/>
      <c r="X10" s="293"/>
      <c r="Y10" s="293"/>
      <c r="Z10" s="293"/>
    </row>
    <row r="11" spans="1:29" ht="15.75" hidden="1">
      <c r="B11" s="298" t="s">
        <v>319</v>
      </c>
      <c r="C11" s="517">
        <v>0</v>
      </c>
      <c r="D11" s="552">
        <v>0</v>
      </c>
      <c r="E11" s="552"/>
      <c r="F11" s="517">
        <v>0</v>
      </c>
      <c r="G11" s="550">
        <v>0</v>
      </c>
      <c r="H11" s="552"/>
      <c r="I11" s="303">
        <v>0</v>
      </c>
      <c r="J11" s="551"/>
      <c r="K11" s="552"/>
      <c r="L11" s="303">
        <v>0</v>
      </c>
      <c r="M11" s="306"/>
      <c r="N11" s="1156">
        <v>0</v>
      </c>
      <c r="S11" s="723"/>
      <c r="T11" s="293"/>
      <c r="U11" s="293"/>
      <c r="V11" s="293"/>
      <c r="W11" s="293"/>
      <c r="X11" s="293"/>
      <c r="Y11" s="293"/>
      <c r="Z11" s="293"/>
    </row>
    <row r="12" spans="1:29" s="625" customFormat="1" ht="15.75">
      <c r="B12" s="622" t="s">
        <v>9</v>
      </c>
      <c r="C12" s="776">
        <v>15527718</v>
      </c>
      <c r="D12" s="308" t="e">
        <v>#N/A</v>
      </c>
      <c r="E12" s="308"/>
      <c r="F12" s="308">
        <v>11875275</v>
      </c>
      <c r="G12" s="308">
        <v>0</v>
      </c>
      <c r="H12" s="308"/>
      <c r="I12" s="308">
        <v>11521133</v>
      </c>
      <c r="J12" s="308">
        <v>-354142</v>
      </c>
      <c r="K12" s="308"/>
      <c r="L12" s="308">
        <v>9371773</v>
      </c>
      <c r="M12" s="308"/>
      <c r="N12" s="1162">
        <v>-2503502</v>
      </c>
      <c r="O12" s="336" t="s">
        <v>801</v>
      </c>
      <c r="P12" s="333">
        <v>95154</v>
      </c>
      <c r="Q12" s="966">
        <v>0.01</v>
      </c>
      <c r="S12" s="724"/>
    </row>
    <row r="13" spans="1:29" s="293" customFormat="1" ht="15.75">
      <c r="B13" s="310"/>
      <c r="C13" s="310"/>
      <c r="D13" s="304"/>
      <c r="E13" s="304"/>
      <c r="F13" s="304"/>
      <c r="G13" s="304"/>
      <c r="H13" s="304"/>
      <c r="I13" s="304"/>
      <c r="J13" s="304"/>
      <c r="K13" s="304"/>
      <c r="L13" s="304"/>
      <c r="M13" s="304"/>
      <c r="N13" s="1154"/>
      <c r="O13" s="346" t="s">
        <v>14</v>
      </c>
      <c r="P13" s="341">
        <v>7387</v>
      </c>
      <c r="Q13" s="966">
        <v>1E-3</v>
      </c>
      <c r="S13" s="723"/>
    </row>
    <row r="14" spans="1:29" s="293" customFormat="1" ht="15.75">
      <c r="B14" s="313" t="s">
        <v>320</v>
      </c>
      <c r="C14" s="313"/>
      <c r="D14" s="306"/>
      <c r="E14" s="306"/>
      <c r="F14" s="304"/>
      <c r="G14" s="304"/>
      <c r="H14" s="306"/>
      <c r="I14" s="304"/>
      <c r="J14" s="304"/>
      <c r="K14" s="306"/>
      <c r="L14" s="306"/>
      <c r="M14" s="306"/>
      <c r="N14" s="1155"/>
      <c r="O14" s="346" t="s">
        <v>85</v>
      </c>
      <c r="P14" s="341">
        <v>8285407</v>
      </c>
      <c r="Q14" s="966">
        <v>0.88</v>
      </c>
      <c r="S14" s="723"/>
    </row>
    <row r="15" spans="1:29" s="293" customFormat="1" ht="15.75">
      <c r="B15" s="311" t="s">
        <v>327</v>
      </c>
      <c r="C15" s="1240">
        <v>0</v>
      </c>
      <c r="D15" s="552">
        <v>38023</v>
      </c>
      <c r="E15" s="552"/>
      <c r="F15" s="1240">
        <v>38023</v>
      </c>
      <c r="G15" s="550">
        <v>38023</v>
      </c>
      <c r="H15" s="552"/>
      <c r="I15" s="303">
        <v>38023</v>
      </c>
      <c r="J15" s="551">
        <v>0</v>
      </c>
      <c r="K15" s="552"/>
      <c r="L15" s="1240">
        <v>38123</v>
      </c>
      <c r="M15" s="306"/>
      <c r="N15" s="1160">
        <v>100</v>
      </c>
      <c r="S15" s="723"/>
    </row>
    <row r="16" spans="1:29" s="293" customFormat="1" ht="15.75">
      <c r="B16" s="622" t="s">
        <v>20</v>
      </c>
      <c r="C16" s="776">
        <v>0</v>
      </c>
      <c r="D16" s="776">
        <v>38023</v>
      </c>
      <c r="E16" s="776"/>
      <c r="F16" s="1090">
        <v>38023</v>
      </c>
      <c r="G16" s="553">
        <v>38023</v>
      </c>
      <c r="H16" s="776"/>
      <c r="I16" s="534">
        <v>38023</v>
      </c>
      <c r="J16" s="1063">
        <v>0</v>
      </c>
      <c r="K16" s="776"/>
      <c r="L16" s="776">
        <v>38123</v>
      </c>
      <c r="M16" s="308"/>
      <c r="N16" s="1162">
        <v>100</v>
      </c>
      <c r="O16" s="346" t="s">
        <v>38</v>
      </c>
      <c r="P16" s="291">
        <v>0</v>
      </c>
      <c r="Q16" s="966">
        <v>0</v>
      </c>
      <c r="S16" s="723"/>
    </row>
    <row r="17" spans="1:23" s="293" customFormat="1" ht="16.5" thickBot="1">
      <c r="B17" s="616" t="s">
        <v>21</v>
      </c>
      <c r="C17" s="747">
        <v>15527718</v>
      </c>
      <c r="D17" s="647" t="e">
        <v>#N/A</v>
      </c>
      <c r="E17" s="647"/>
      <c r="F17" s="647">
        <v>11913298</v>
      </c>
      <c r="G17" s="647">
        <v>38023</v>
      </c>
      <c r="H17" s="647"/>
      <c r="I17" s="647">
        <v>11559156</v>
      </c>
      <c r="J17" s="648">
        <v>-354142</v>
      </c>
      <c r="K17" s="647"/>
      <c r="L17" s="647">
        <v>9409896</v>
      </c>
      <c r="M17" s="647"/>
      <c r="N17" s="1163">
        <v>-2503402</v>
      </c>
      <c r="O17" s="346" t="s">
        <v>323</v>
      </c>
      <c r="P17" s="341">
        <v>38123</v>
      </c>
      <c r="Q17" s="966">
        <v>4.0000000000000001E-3</v>
      </c>
      <c r="S17" s="723"/>
    </row>
    <row r="18" spans="1:23" s="293" customFormat="1" ht="17.25" thickTop="1" thickBot="1">
      <c r="B18" s="316"/>
      <c r="C18" s="316"/>
      <c r="D18" s="304"/>
      <c r="E18" s="304"/>
      <c r="F18" s="304"/>
      <c r="G18" s="304"/>
      <c r="H18" s="304"/>
      <c r="I18" s="304"/>
      <c r="J18" s="304"/>
      <c r="K18" s="304"/>
      <c r="L18" s="304"/>
      <c r="M18" s="304"/>
      <c r="N18" s="1154"/>
      <c r="O18" s="350" t="s">
        <v>25</v>
      </c>
      <c r="P18" s="340">
        <v>9409896</v>
      </c>
      <c r="Q18" s="967">
        <v>1</v>
      </c>
      <c r="S18" s="723"/>
    </row>
    <row r="19" spans="1:23" s="293" customFormat="1" ht="23.25" thickTop="1">
      <c r="B19" s="349" t="s">
        <v>10</v>
      </c>
      <c r="C19" s="349"/>
      <c r="D19" s="302"/>
      <c r="E19" s="302"/>
      <c r="F19" s="304"/>
      <c r="G19" s="304"/>
      <c r="H19" s="302"/>
      <c r="I19" s="304"/>
      <c r="J19" s="302"/>
      <c r="K19" s="302"/>
      <c r="L19" s="302"/>
      <c r="M19" s="302"/>
      <c r="N19" s="1159"/>
      <c r="O19" s="1170" t="s">
        <v>986</v>
      </c>
      <c r="P19" s="341">
        <v>9371773</v>
      </c>
      <c r="Q19" s="608">
        <v>0.996</v>
      </c>
      <c r="S19" s="723"/>
    </row>
    <row r="20" spans="1:23" s="293" customFormat="1" ht="16.5" thickBot="1">
      <c r="A20" s="621" t="s">
        <v>340</v>
      </c>
      <c r="B20" s="316" t="s">
        <v>11</v>
      </c>
      <c r="C20" s="1240">
        <v>689674</v>
      </c>
      <c r="D20" s="303" t="e">
        <v>#N/A</v>
      </c>
      <c r="E20" s="303"/>
      <c r="F20" s="1241">
        <v>0</v>
      </c>
      <c r="G20" s="304">
        <v>785861</v>
      </c>
      <c r="H20" s="303"/>
      <c r="I20" s="550">
        <v>266303</v>
      </c>
      <c r="J20" s="551">
        <v>266303</v>
      </c>
      <c r="K20" s="549"/>
      <c r="L20" s="549">
        <v>676555</v>
      </c>
      <c r="M20" s="303"/>
      <c r="N20" s="1160">
        <v>676555</v>
      </c>
      <c r="O20" s="341" t="s">
        <v>8</v>
      </c>
      <c r="P20" s="341">
        <v>0</v>
      </c>
      <c r="Q20" s="608">
        <v>0</v>
      </c>
      <c r="S20" s="723"/>
      <c r="W20" s="723"/>
    </row>
    <row r="21" spans="1:23" s="293" customFormat="1" ht="16.5" thickBot="1">
      <c r="A21" s="1529" t="s">
        <v>341</v>
      </c>
      <c r="B21" s="316" t="s">
        <v>12</v>
      </c>
      <c r="C21" s="1240">
        <v>265531</v>
      </c>
      <c r="D21" s="1240" t="e">
        <v>#N/A</v>
      </c>
      <c r="E21" s="1240"/>
      <c r="F21" s="1241">
        <v>0</v>
      </c>
      <c r="G21" s="1241">
        <v>125509</v>
      </c>
      <c r="H21" s="1240"/>
      <c r="I21" s="1241">
        <v>141139.62</v>
      </c>
      <c r="J21" s="1242">
        <v>141139.62</v>
      </c>
      <c r="K21" s="1240"/>
      <c r="L21" s="1240">
        <v>307270</v>
      </c>
      <c r="M21" s="1224"/>
      <c r="N21" s="1241">
        <v>307270</v>
      </c>
      <c r="O21" s="341" t="s">
        <v>319</v>
      </c>
      <c r="P21" s="341">
        <v>0</v>
      </c>
      <c r="Q21" s="348">
        <v>0</v>
      </c>
      <c r="S21" s="723"/>
      <c r="W21" s="723"/>
    </row>
    <row r="22" spans="1:23" s="293" customFormat="1" ht="16.5" thickBot="1">
      <c r="A22" s="1529" t="s">
        <v>342</v>
      </c>
      <c r="B22" s="316" t="s">
        <v>801</v>
      </c>
      <c r="C22" s="1240">
        <v>9070574</v>
      </c>
      <c r="D22" s="1240" t="e">
        <v>#N/A</v>
      </c>
      <c r="E22" s="1240"/>
      <c r="F22" s="1241">
        <v>0</v>
      </c>
      <c r="G22" s="1241">
        <v>0</v>
      </c>
      <c r="H22" s="1240"/>
      <c r="I22" s="1241">
        <v>57979</v>
      </c>
      <c r="J22" s="1242">
        <v>57979</v>
      </c>
      <c r="K22" s="1240"/>
      <c r="L22" s="1240">
        <v>95154</v>
      </c>
      <c r="M22" s="1224"/>
      <c r="N22" s="1241">
        <v>95154</v>
      </c>
      <c r="O22" s="341" t="s">
        <v>20</v>
      </c>
      <c r="P22" s="341">
        <v>38123</v>
      </c>
      <c r="Q22" s="348">
        <v>4.0000000000000001E-3</v>
      </c>
      <c r="S22" s="723"/>
      <c r="W22" s="723"/>
    </row>
    <row r="23" spans="1:23" s="293" customFormat="1" ht="16.5" thickBot="1">
      <c r="A23" s="1529" t="s">
        <v>343</v>
      </c>
      <c r="B23" s="316" t="s">
        <v>14</v>
      </c>
      <c r="C23" s="1240">
        <v>-4270</v>
      </c>
      <c r="D23" s="1240" t="e">
        <v>#N/A</v>
      </c>
      <c r="E23" s="1240"/>
      <c r="F23" s="1241">
        <v>0</v>
      </c>
      <c r="G23" s="1241">
        <v>3200</v>
      </c>
      <c r="H23" s="1240"/>
      <c r="I23" s="1241">
        <v>3180</v>
      </c>
      <c r="J23" s="1242">
        <v>3180</v>
      </c>
      <c r="K23" s="1240"/>
      <c r="L23" s="1240">
        <v>7387</v>
      </c>
      <c r="M23" s="1224"/>
      <c r="N23" s="1241">
        <v>7387</v>
      </c>
      <c r="O23" s="341" t="s">
        <v>21</v>
      </c>
      <c r="P23" s="341">
        <v>9409896</v>
      </c>
      <c r="Q23" s="348">
        <v>1</v>
      </c>
      <c r="S23" s="723"/>
      <c r="W23" s="723"/>
    </row>
    <row r="24" spans="1:23" s="293" customFormat="1" ht="16.5" thickBot="1">
      <c r="A24" s="1494" t="s">
        <v>350</v>
      </c>
      <c r="B24" s="316" t="s">
        <v>15</v>
      </c>
      <c r="C24" s="1240">
        <v>832906</v>
      </c>
      <c r="D24" s="549"/>
      <c r="E24" s="549"/>
      <c r="F24" s="1241">
        <v>0</v>
      </c>
      <c r="G24" s="550"/>
      <c r="H24" s="549"/>
      <c r="I24" s="550">
        <v>0</v>
      </c>
      <c r="J24" s="551">
        <v>0</v>
      </c>
      <c r="K24" s="549"/>
      <c r="L24" s="549">
        <v>0</v>
      </c>
      <c r="M24" s="303"/>
      <c r="N24" s="539">
        <v>0</v>
      </c>
      <c r="O24" s="341"/>
      <c r="P24" s="341"/>
      <c r="Q24" s="348"/>
      <c r="S24" s="723"/>
      <c r="W24" s="723"/>
    </row>
    <row r="25" spans="1:23" s="293" customFormat="1" ht="16.5" thickBot="1">
      <c r="A25" s="621" t="s">
        <v>382</v>
      </c>
      <c r="B25" s="316" t="s">
        <v>85</v>
      </c>
      <c r="C25" s="1240">
        <v>4635280</v>
      </c>
      <c r="D25" s="549" t="e">
        <v>#N/A</v>
      </c>
      <c r="E25" s="549"/>
      <c r="F25" s="1241">
        <v>11875275</v>
      </c>
      <c r="G25" s="550">
        <v>-914570</v>
      </c>
      <c r="H25" s="549"/>
      <c r="I25" s="550">
        <v>11052431</v>
      </c>
      <c r="J25" s="551">
        <v>-822844</v>
      </c>
      <c r="K25" s="549"/>
      <c r="L25" s="549">
        <v>8285407</v>
      </c>
      <c r="M25" s="303"/>
      <c r="N25" s="1160">
        <v>-3589868</v>
      </c>
      <c r="O25" s="344"/>
      <c r="P25" s="538"/>
      <c r="Q25" s="654"/>
      <c r="R25" s="344"/>
      <c r="S25" s="729"/>
      <c r="W25" s="723"/>
    </row>
    <row r="26" spans="1:23" s="293" customFormat="1" ht="16.5" hidden="1" thickBot="1">
      <c r="A26" s="658" t="s">
        <v>346</v>
      </c>
      <c r="B26" s="316" t="s">
        <v>38</v>
      </c>
      <c r="C26" s="1240">
        <v>0</v>
      </c>
      <c r="D26" s="517"/>
      <c r="E26" s="517"/>
      <c r="F26" s="1241">
        <v>0</v>
      </c>
      <c r="G26" s="539"/>
      <c r="H26" s="517"/>
      <c r="I26" s="550">
        <v>0</v>
      </c>
      <c r="J26" s="551">
        <v>0</v>
      </c>
      <c r="K26" s="549"/>
      <c r="L26" s="549">
        <v>0</v>
      </c>
      <c r="M26" s="303"/>
      <c r="N26" s="1160">
        <v>0</v>
      </c>
      <c r="O26" s="344"/>
      <c r="P26" s="538"/>
      <c r="Q26" s="654"/>
      <c r="R26" s="344"/>
      <c r="S26" s="729"/>
    </row>
    <row r="27" spans="1:23" s="293" customFormat="1" ht="16.5" thickBot="1">
      <c r="A27" s="1494" t="s">
        <v>987</v>
      </c>
      <c r="B27" s="622" t="s">
        <v>22</v>
      </c>
      <c r="C27" s="776">
        <v>15489695</v>
      </c>
      <c r="D27" s="553" t="e">
        <v>#N/A</v>
      </c>
      <c r="E27" s="553"/>
      <c r="F27" s="776">
        <v>11875275</v>
      </c>
      <c r="G27" s="553">
        <v>0</v>
      </c>
      <c r="H27" s="553"/>
      <c r="I27" s="776">
        <v>11521033</v>
      </c>
      <c r="J27" s="553">
        <v>-354242.38</v>
      </c>
      <c r="K27" s="553"/>
      <c r="L27" s="776">
        <v>9371773</v>
      </c>
      <c r="M27" s="308"/>
      <c r="N27" s="1153">
        <v>-2503502</v>
      </c>
      <c r="O27" s="344"/>
      <c r="P27" s="1277"/>
      <c r="Q27" s="344"/>
      <c r="R27" s="344"/>
      <c r="S27" s="729"/>
      <c r="T27" s="344"/>
      <c r="U27" s="344"/>
      <c r="V27" s="344"/>
      <c r="W27" s="729"/>
    </row>
    <row r="28" spans="1:23" s="293" customFormat="1" ht="15.75">
      <c r="B28" s="311"/>
      <c r="C28" s="554"/>
      <c r="D28" s="550"/>
      <c r="E28" s="550"/>
      <c r="F28" s="550"/>
      <c r="G28" s="550"/>
      <c r="H28" s="550"/>
      <c r="I28" s="550"/>
      <c r="J28" s="550"/>
      <c r="K28" s="550"/>
      <c r="L28" s="550"/>
      <c r="M28" s="304"/>
      <c r="N28" s="1154"/>
      <c r="O28" s="344"/>
      <c r="P28" s="344"/>
      <c r="Q28" s="344"/>
      <c r="R28" s="344"/>
      <c r="S28" s="729"/>
      <c r="T28" s="344"/>
      <c r="U28" s="344"/>
      <c r="V28" s="344"/>
      <c r="W28" s="344"/>
    </row>
    <row r="29" spans="1:23" s="293" customFormat="1" ht="15.75">
      <c r="B29" s="313" t="s">
        <v>321</v>
      </c>
      <c r="C29" s="556"/>
      <c r="D29" s="554"/>
      <c r="E29" s="554"/>
      <c r="F29" s="554"/>
      <c r="G29" s="554"/>
      <c r="H29" s="554"/>
      <c r="I29" s="554"/>
      <c r="J29" s="554"/>
      <c r="K29" s="554"/>
      <c r="L29" s="554"/>
      <c r="M29" s="311"/>
      <c r="N29" s="600"/>
      <c r="O29" s="344"/>
      <c r="P29" s="344"/>
      <c r="Q29" s="344"/>
      <c r="R29" s="344"/>
      <c r="S29" s="729"/>
      <c r="T29" s="344"/>
      <c r="U29" s="344"/>
      <c r="V29" s="344"/>
      <c r="W29" s="344"/>
    </row>
    <row r="30" spans="1:23" s="293" customFormat="1" ht="15.75">
      <c r="B30" s="624" t="s">
        <v>322</v>
      </c>
      <c r="C30" s="1240">
        <v>38023</v>
      </c>
      <c r="D30" s="517">
        <v>38023</v>
      </c>
      <c r="E30" s="517"/>
      <c r="F30" s="549">
        <v>38023</v>
      </c>
      <c r="G30" s="539">
        <v>38023</v>
      </c>
      <c r="H30" s="517"/>
      <c r="I30" s="1240">
        <v>38123</v>
      </c>
      <c r="J30" s="554">
        <v>-100</v>
      </c>
      <c r="K30" s="550"/>
      <c r="L30" s="549">
        <v>38123</v>
      </c>
      <c r="M30" s="304"/>
      <c r="N30" s="1160">
        <v>100</v>
      </c>
      <c r="O30" s="344"/>
      <c r="P30" s="344"/>
      <c r="Q30" s="344"/>
      <c r="R30" s="344"/>
      <c r="S30" s="729"/>
      <c r="T30" s="344"/>
      <c r="U30" s="344"/>
      <c r="V30" s="344"/>
      <c r="W30" s="344"/>
    </row>
    <row r="31" spans="1:23" s="625" customFormat="1" ht="15.75">
      <c r="B31" s="626" t="s">
        <v>323</v>
      </c>
      <c r="C31" s="776">
        <v>38023</v>
      </c>
      <c r="D31" s="546">
        <v>38023</v>
      </c>
      <c r="E31" s="546"/>
      <c r="F31" s="776">
        <v>38023</v>
      </c>
      <c r="G31" s="541">
        <v>38023</v>
      </c>
      <c r="H31" s="546"/>
      <c r="I31" s="776">
        <v>38123</v>
      </c>
      <c r="J31" s="541">
        <v>-100</v>
      </c>
      <c r="K31" s="541"/>
      <c r="L31" s="776">
        <v>38123</v>
      </c>
      <c r="M31" s="308"/>
      <c r="N31" s="1157">
        <v>100</v>
      </c>
      <c r="O31" s="661"/>
      <c r="P31" s="661"/>
      <c r="Q31" s="661"/>
      <c r="R31" s="661"/>
      <c r="S31" s="729"/>
      <c r="T31" s="661"/>
      <c r="U31" s="661"/>
      <c r="V31" s="661"/>
      <c r="W31" s="661"/>
    </row>
    <row r="32" spans="1:23" s="293" customFormat="1" ht="16.5" thickBot="1">
      <c r="B32" s="616" t="s">
        <v>25</v>
      </c>
      <c r="C32" s="1267">
        <v>15527718</v>
      </c>
      <c r="D32" s="627" t="e">
        <v>#N/A</v>
      </c>
      <c r="E32" s="1267"/>
      <c r="F32" s="1267">
        <v>11913298</v>
      </c>
      <c r="G32" s="1267">
        <v>38023</v>
      </c>
      <c r="H32" s="1267"/>
      <c r="I32" s="1267">
        <v>11559156</v>
      </c>
      <c r="J32" s="627">
        <v>354142</v>
      </c>
      <c r="K32" s="627"/>
      <c r="L32" s="1267">
        <v>9409896</v>
      </c>
      <c r="M32" s="1267"/>
      <c r="N32" s="1267">
        <v>-2503402</v>
      </c>
      <c r="O32" s="344"/>
      <c r="P32" s="344"/>
      <c r="Q32" s="344"/>
      <c r="R32" s="344"/>
      <c r="S32" s="729"/>
      <c r="T32" s="344"/>
      <c r="U32" s="344"/>
      <c r="V32" s="344"/>
      <c r="W32" s="344"/>
    </row>
    <row r="33" spans="2:23" s="293" customFormat="1" ht="16.5" thickTop="1">
      <c r="B33" s="313"/>
      <c r="C33" s="310"/>
      <c r="D33" s="332"/>
      <c r="E33" s="332"/>
      <c r="F33" s="332"/>
      <c r="G33" s="332"/>
      <c r="H33" s="332"/>
      <c r="I33" s="332"/>
      <c r="J33" s="310"/>
      <c r="K33" s="332"/>
      <c r="L33" s="332"/>
      <c r="M33" s="332"/>
      <c r="N33" s="332"/>
      <c r="O33" s="344"/>
      <c r="P33" s="344"/>
      <c r="Q33" s="344"/>
      <c r="R33" s="344"/>
      <c r="S33" s="729"/>
      <c r="T33" s="344"/>
      <c r="U33" s="344"/>
      <c r="V33" s="344"/>
      <c r="W33" s="344"/>
    </row>
    <row r="34" spans="2:23" s="293" customFormat="1" ht="15.75">
      <c r="B34" s="313"/>
      <c r="C34" s="310"/>
      <c r="D34" s="332"/>
      <c r="E34" s="332"/>
      <c r="F34" s="332"/>
      <c r="G34" s="332"/>
      <c r="H34" s="332"/>
      <c r="I34" s="332"/>
      <c r="J34" s="310"/>
      <c r="K34" s="332"/>
      <c r="L34" s="332"/>
      <c r="M34" s="332"/>
      <c r="N34" s="332"/>
      <c r="O34" s="344"/>
      <c r="P34" s="344"/>
      <c r="Q34" s="344"/>
      <c r="R34" s="344"/>
      <c r="S34" s="729"/>
      <c r="T34" s="344"/>
      <c r="U34" s="344"/>
      <c r="V34" s="344"/>
      <c r="W34" s="344"/>
    </row>
    <row r="35" spans="2:23" s="293" customFormat="1" ht="15.75">
      <c r="B35" s="313"/>
      <c r="C35" s="310"/>
      <c r="D35" s="332"/>
      <c r="E35" s="332"/>
      <c r="F35" s="332"/>
      <c r="G35" s="332"/>
      <c r="H35" s="332"/>
      <c r="I35" s="332"/>
      <c r="J35" s="310"/>
      <c r="K35" s="332"/>
      <c r="L35" s="332"/>
      <c r="M35" s="332"/>
      <c r="N35" s="332"/>
      <c r="O35" s="344"/>
      <c r="P35" s="344"/>
      <c r="Q35" s="344"/>
      <c r="R35" s="344"/>
      <c r="S35" s="729"/>
      <c r="T35" s="344"/>
      <c r="U35" s="344"/>
      <c r="V35" s="344"/>
      <c r="W35" s="344"/>
    </row>
    <row r="36" spans="2:23" s="293" customFormat="1" ht="15.75">
      <c r="B36" s="313"/>
      <c r="C36" s="310"/>
      <c r="D36" s="332"/>
      <c r="E36" s="332"/>
      <c r="F36" s="332"/>
      <c r="G36" s="332"/>
      <c r="H36" s="332"/>
      <c r="I36" s="332"/>
      <c r="J36" s="310"/>
      <c r="K36" s="332"/>
      <c r="L36" s="332"/>
      <c r="M36" s="332"/>
      <c r="N36" s="332"/>
      <c r="O36" s="344"/>
      <c r="P36" s="344"/>
      <c r="Q36" s="344"/>
      <c r="R36" s="344"/>
      <c r="S36" s="729"/>
      <c r="T36" s="344"/>
      <c r="U36" s="344"/>
      <c r="V36" s="344"/>
      <c r="W36" s="344"/>
    </row>
    <row r="37" spans="2:23" s="293" customFormat="1" ht="15.75">
      <c r="B37" s="313"/>
      <c r="C37" s="310"/>
      <c r="D37" s="332"/>
      <c r="E37" s="332"/>
      <c r="F37" s="332"/>
      <c r="G37" s="332"/>
      <c r="H37" s="332"/>
      <c r="I37" s="332"/>
      <c r="J37" s="310"/>
      <c r="K37" s="332"/>
      <c r="L37" s="332"/>
      <c r="M37" s="332"/>
      <c r="N37" s="332"/>
      <c r="O37" s="344"/>
      <c r="P37" s="344"/>
      <c r="Q37" s="344"/>
      <c r="R37" s="344"/>
      <c r="S37" s="729"/>
      <c r="T37" s="344"/>
      <c r="U37" s="344"/>
      <c r="V37" s="344"/>
      <c r="W37" s="344"/>
    </row>
    <row r="38" spans="2:23" s="293" customFormat="1" ht="15.75">
      <c r="B38" s="313"/>
      <c r="C38" s="310"/>
      <c r="D38" s="332"/>
      <c r="E38" s="332"/>
      <c r="F38" s="332"/>
      <c r="G38" s="332"/>
      <c r="H38" s="332"/>
      <c r="I38" s="332"/>
      <c r="J38" s="310"/>
      <c r="K38" s="332"/>
      <c r="L38" s="332"/>
      <c r="M38" s="332"/>
      <c r="N38" s="332"/>
      <c r="O38" s="344"/>
      <c r="P38" s="344"/>
      <c r="Q38" s="344"/>
      <c r="R38" s="344"/>
      <c r="S38" s="729"/>
      <c r="T38" s="344"/>
      <c r="U38" s="344"/>
      <c r="V38" s="344"/>
      <c r="W38" s="344"/>
    </row>
    <row r="39" spans="2:23" s="293" customFormat="1" ht="15.75">
      <c r="B39" s="313"/>
      <c r="C39" s="310"/>
      <c r="D39" s="332"/>
      <c r="E39" s="332"/>
      <c r="F39" s="332"/>
      <c r="G39" s="332"/>
      <c r="H39" s="332"/>
      <c r="I39" s="332"/>
      <c r="J39" s="310"/>
      <c r="K39" s="332"/>
      <c r="L39" s="332"/>
      <c r="M39" s="332"/>
      <c r="N39" s="332"/>
      <c r="O39" s="344"/>
      <c r="P39" s="344"/>
      <c r="Q39" s="344"/>
      <c r="R39" s="344"/>
      <c r="S39" s="729"/>
      <c r="T39" s="344"/>
      <c r="U39" s="344"/>
      <c r="V39" s="344"/>
      <c r="W39" s="344"/>
    </row>
    <row r="40" spans="2:23" s="293" customFormat="1" ht="15.75">
      <c r="B40" s="313"/>
      <c r="C40" s="310"/>
      <c r="D40" s="332"/>
      <c r="E40" s="332"/>
      <c r="F40" s="332"/>
      <c r="G40" s="332"/>
      <c r="H40" s="332"/>
      <c r="I40" s="332"/>
      <c r="J40" s="310"/>
      <c r="K40" s="332"/>
      <c r="L40" s="332"/>
      <c r="M40" s="332"/>
      <c r="N40" s="332"/>
      <c r="O40" s="344"/>
      <c r="P40" s="344"/>
      <c r="Q40" s="344"/>
      <c r="R40" s="344"/>
      <c r="S40" s="729"/>
      <c r="T40" s="344"/>
      <c r="U40" s="344"/>
      <c r="V40" s="344"/>
      <c r="W40" s="344"/>
    </row>
    <row r="41" spans="2:23" s="293" customFormat="1" ht="15.75">
      <c r="B41" s="313"/>
      <c r="C41" s="310"/>
      <c r="D41" s="332"/>
      <c r="E41" s="332"/>
      <c r="F41" s="332"/>
      <c r="G41" s="332"/>
      <c r="H41" s="332"/>
      <c r="I41" s="332"/>
      <c r="J41" s="310"/>
      <c r="K41" s="332"/>
      <c r="L41" s="332"/>
      <c r="M41" s="332"/>
      <c r="N41" s="332"/>
      <c r="O41" s="344"/>
      <c r="P41" s="344"/>
      <c r="Q41" s="344"/>
      <c r="R41" s="344"/>
      <c r="S41" s="729"/>
      <c r="T41" s="344"/>
      <c r="U41" s="344"/>
      <c r="V41" s="344"/>
      <c r="W41" s="344"/>
    </row>
    <row r="42" spans="2:23" s="293" customFormat="1" ht="15.75">
      <c r="B42" s="313"/>
      <c r="C42" s="310"/>
      <c r="D42" s="332"/>
      <c r="E42" s="332"/>
      <c r="F42" s="332"/>
      <c r="G42" s="332"/>
      <c r="H42" s="332"/>
      <c r="I42" s="332"/>
      <c r="J42" s="310"/>
      <c r="K42" s="332"/>
      <c r="L42" s="332"/>
      <c r="M42" s="332"/>
      <c r="N42" s="332"/>
      <c r="O42" s="344"/>
      <c r="P42" s="344"/>
      <c r="Q42" s="344"/>
      <c r="R42" s="344"/>
      <c r="S42" s="729"/>
      <c r="T42" s="344"/>
      <c r="U42" s="344"/>
      <c r="V42" s="344"/>
      <c r="W42" s="344"/>
    </row>
    <row r="43" spans="2:23" s="293" customFormat="1" ht="15.75">
      <c r="B43" s="313"/>
      <c r="C43" s="310"/>
      <c r="D43" s="332"/>
      <c r="E43" s="332"/>
      <c r="F43" s="332"/>
      <c r="G43" s="332"/>
      <c r="H43" s="332"/>
      <c r="I43" s="332"/>
      <c r="J43" s="310"/>
      <c r="K43" s="332"/>
      <c r="L43" s="332"/>
      <c r="M43" s="332"/>
      <c r="N43" s="332"/>
      <c r="O43" s="344"/>
      <c r="P43" s="344"/>
      <c r="Q43" s="344"/>
      <c r="R43" s="344"/>
      <c r="S43" s="729"/>
      <c r="T43" s="344"/>
      <c r="U43" s="344"/>
      <c r="V43" s="344"/>
      <c r="W43" s="344"/>
    </row>
    <row r="44" spans="2:23" s="293" customFormat="1" ht="15.75">
      <c r="B44" s="313"/>
      <c r="C44" s="310"/>
      <c r="D44" s="332"/>
      <c r="E44" s="332"/>
      <c r="F44" s="332"/>
      <c r="G44" s="332"/>
      <c r="H44" s="332"/>
      <c r="I44" s="332"/>
      <c r="J44" s="310"/>
      <c r="K44" s="332"/>
      <c r="L44" s="332"/>
      <c r="M44" s="332"/>
      <c r="N44" s="332"/>
      <c r="O44" s="344"/>
      <c r="P44" s="344"/>
      <c r="Q44" s="344"/>
      <c r="R44" s="344"/>
      <c r="S44" s="729"/>
      <c r="T44" s="344"/>
      <c r="U44" s="344"/>
      <c r="V44" s="344"/>
      <c r="W44" s="344"/>
    </row>
    <row r="45" spans="2:23" s="293" customFormat="1" ht="15.75">
      <c r="B45" s="313"/>
      <c r="C45" s="310"/>
      <c r="D45" s="332"/>
      <c r="E45" s="332"/>
      <c r="F45" s="332"/>
      <c r="G45" s="332"/>
      <c r="H45" s="332"/>
      <c r="I45" s="332"/>
      <c r="J45" s="310"/>
      <c r="K45" s="332"/>
      <c r="L45" s="332"/>
      <c r="M45" s="332"/>
      <c r="N45" s="332"/>
      <c r="O45" s="344"/>
      <c r="P45" s="344"/>
      <c r="Q45" s="344"/>
      <c r="R45" s="344"/>
      <c r="S45" s="729"/>
      <c r="T45" s="344"/>
      <c r="U45" s="344"/>
      <c r="V45" s="344"/>
      <c r="W45" s="344"/>
    </row>
    <row r="46" spans="2:23" s="293" customFormat="1" ht="15.75">
      <c r="B46" s="313"/>
      <c r="C46" s="310"/>
      <c r="D46" s="332"/>
      <c r="E46" s="332"/>
      <c r="F46" s="332"/>
      <c r="G46" s="332"/>
      <c r="H46" s="332"/>
      <c r="I46" s="332"/>
      <c r="J46" s="310"/>
      <c r="K46" s="332"/>
      <c r="L46" s="332"/>
      <c r="M46" s="332"/>
      <c r="N46" s="332"/>
      <c r="O46" s="344"/>
      <c r="P46" s="344"/>
      <c r="Q46" s="729"/>
      <c r="R46" s="344"/>
      <c r="S46" s="729"/>
      <c r="T46" s="344"/>
      <c r="U46" s="344"/>
      <c r="V46" s="344"/>
      <c r="W46" s="344"/>
    </row>
    <row r="47" spans="2:23" s="293" customFormat="1" ht="15.75">
      <c r="B47" s="313"/>
      <c r="C47" s="310"/>
      <c r="D47" s="332"/>
      <c r="E47" s="332"/>
      <c r="F47" s="332"/>
      <c r="G47" s="332"/>
      <c r="H47" s="332"/>
      <c r="I47" s="332"/>
      <c r="J47" s="310"/>
      <c r="K47" s="332"/>
      <c r="L47" s="332"/>
      <c r="M47" s="332"/>
      <c r="N47" s="332"/>
      <c r="O47" s="344"/>
      <c r="P47" s="344"/>
      <c r="Q47" s="729"/>
      <c r="R47" s="344"/>
      <c r="S47" s="729"/>
      <c r="T47" s="344"/>
      <c r="U47" s="344"/>
      <c r="V47" s="344"/>
      <c r="W47" s="344"/>
    </row>
    <row r="48" spans="2:23" s="293" customFormat="1" ht="15.75">
      <c r="B48" s="313"/>
      <c r="C48" s="310"/>
      <c r="D48" s="332"/>
      <c r="E48" s="332"/>
      <c r="F48" s="332"/>
      <c r="G48" s="332"/>
      <c r="H48" s="332"/>
      <c r="I48" s="332"/>
      <c r="J48" s="310"/>
      <c r="K48" s="332"/>
      <c r="L48" s="332"/>
      <c r="M48" s="332"/>
      <c r="N48" s="332"/>
      <c r="O48" s="344"/>
      <c r="P48" s="344"/>
      <c r="Q48" s="729"/>
      <c r="R48" s="344"/>
      <c r="S48" s="729"/>
      <c r="T48" s="344"/>
      <c r="U48" s="344"/>
      <c r="V48" s="344"/>
      <c r="W48" s="344"/>
    </row>
    <row r="49" spans="2:23" s="293" customFormat="1" ht="15.75">
      <c r="B49" s="313"/>
      <c r="C49" s="310"/>
      <c r="D49" s="332"/>
      <c r="E49" s="332"/>
      <c r="F49" s="332"/>
      <c r="G49" s="332"/>
      <c r="H49" s="332"/>
      <c r="I49" s="332"/>
      <c r="J49" s="310"/>
      <c r="K49" s="332"/>
      <c r="L49" s="332"/>
      <c r="M49" s="332"/>
      <c r="N49" s="332"/>
      <c r="O49" s="344"/>
      <c r="P49" s="344"/>
      <c r="Q49" s="729"/>
      <c r="R49" s="729"/>
      <c r="S49" s="729"/>
      <c r="T49" s="344"/>
      <c r="U49" s="344"/>
      <c r="V49" s="344"/>
      <c r="W49" s="344"/>
    </row>
    <row r="50" spans="2:23" s="293" customFormat="1" ht="15.75">
      <c r="B50" s="313"/>
      <c r="C50" s="310"/>
      <c r="D50" s="332"/>
      <c r="E50" s="332"/>
      <c r="F50" s="332"/>
      <c r="G50" s="332"/>
      <c r="H50" s="332"/>
      <c r="I50" s="332"/>
      <c r="J50" s="310"/>
      <c r="K50" s="332"/>
      <c r="L50" s="332"/>
      <c r="M50" s="332"/>
      <c r="N50" s="332"/>
      <c r="O50" s="344"/>
      <c r="P50" s="344"/>
      <c r="Q50" s="729"/>
      <c r="R50" s="729"/>
      <c r="S50" s="729"/>
      <c r="T50" s="344"/>
      <c r="U50" s="344"/>
      <c r="V50" s="344"/>
      <c r="W50" s="344"/>
    </row>
    <row r="51" spans="2:23" s="293" customFormat="1" ht="15.75">
      <c r="B51" s="313"/>
      <c r="C51" s="310"/>
      <c r="D51" s="332"/>
      <c r="E51" s="332"/>
      <c r="F51" s="332"/>
      <c r="G51" s="332"/>
      <c r="H51" s="332"/>
      <c r="I51" s="332"/>
      <c r="J51" s="310"/>
      <c r="K51" s="332"/>
      <c r="L51" s="332"/>
      <c r="M51" s="332"/>
      <c r="N51" s="332"/>
      <c r="O51" s="344"/>
      <c r="P51" s="344"/>
      <c r="Q51" s="729"/>
      <c r="R51" s="729"/>
      <c r="S51" s="729"/>
      <c r="T51" s="344"/>
      <c r="U51" s="344"/>
      <c r="V51" s="344"/>
      <c r="W51" s="344"/>
    </row>
    <row r="52" spans="2:23" s="293" customFormat="1" ht="15.75">
      <c r="B52" s="313"/>
      <c r="C52" s="310"/>
      <c r="D52" s="332"/>
      <c r="E52" s="332"/>
      <c r="F52" s="332"/>
      <c r="G52" s="332"/>
      <c r="H52" s="332"/>
      <c r="I52" s="332"/>
      <c r="J52" s="310"/>
      <c r="K52" s="332"/>
      <c r="L52" s="332"/>
      <c r="M52" s="332"/>
      <c r="N52" s="332"/>
      <c r="O52" s="344"/>
      <c r="P52" s="344"/>
      <c r="Q52" s="729"/>
      <c r="R52" s="729"/>
      <c r="S52" s="729"/>
      <c r="T52" s="344"/>
      <c r="U52" s="344"/>
      <c r="V52" s="344"/>
      <c r="W52" s="344"/>
    </row>
    <row r="53" spans="2:23" s="293" customFormat="1" ht="15.75">
      <c r="B53" s="313"/>
      <c r="C53" s="310"/>
      <c r="D53" s="332"/>
      <c r="E53" s="332"/>
      <c r="F53" s="332"/>
      <c r="G53" s="332"/>
      <c r="H53" s="332"/>
      <c r="I53" s="332"/>
      <c r="J53" s="310"/>
      <c r="K53" s="332"/>
      <c r="L53" s="332"/>
      <c r="M53" s="332"/>
      <c r="N53" s="332"/>
      <c r="O53" s="344"/>
      <c r="P53" s="344"/>
      <c r="Q53" s="729"/>
      <c r="R53" s="729"/>
      <c r="S53" s="729"/>
      <c r="T53" s="344"/>
      <c r="U53" s="344"/>
      <c r="V53" s="344"/>
      <c r="W53" s="344"/>
    </row>
    <row r="54" spans="2:23" s="293" customFormat="1" ht="15.75">
      <c r="B54" s="313"/>
      <c r="C54" s="310"/>
      <c r="D54" s="332"/>
      <c r="E54" s="332"/>
      <c r="F54" s="332"/>
      <c r="G54" s="332"/>
      <c r="H54" s="332"/>
      <c r="I54" s="332"/>
      <c r="J54" s="310"/>
      <c r="K54" s="332"/>
      <c r="L54" s="332"/>
      <c r="M54" s="332"/>
      <c r="N54" s="332"/>
      <c r="O54" s="344"/>
      <c r="P54" s="344"/>
      <c r="Q54" s="729"/>
      <c r="R54" s="1767"/>
      <c r="S54" s="729"/>
      <c r="T54" s="344"/>
      <c r="U54" s="344"/>
      <c r="V54" s="344"/>
      <c r="W54" s="344"/>
    </row>
    <row r="55" spans="2:23" s="293" customFormat="1" ht="15.75">
      <c r="B55" s="313"/>
      <c r="C55" s="310"/>
      <c r="D55" s="332"/>
      <c r="E55" s="332"/>
      <c r="F55" s="332"/>
      <c r="G55" s="332"/>
      <c r="H55" s="332"/>
      <c r="I55" s="332"/>
      <c r="J55" s="310"/>
      <c r="K55" s="332"/>
      <c r="L55" s="332"/>
      <c r="M55" s="332"/>
      <c r="N55" s="332"/>
      <c r="O55" s="344"/>
      <c r="P55" s="344"/>
      <c r="Q55" s="344"/>
      <c r="R55" s="344"/>
      <c r="S55" s="729"/>
      <c r="T55" s="344"/>
      <c r="U55" s="344"/>
      <c r="V55" s="344"/>
      <c r="W55" s="344"/>
    </row>
    <row r="56" spans="2:23" s="293" customFormat="1" ht="15.75">
      <c r="B56" s="313"/>
      <c r="C56" s="310"/>
      <c r="D56" s="332"/>
      <c r="E56" s="332"/>
      <c r="F56" s="332"/>
      <c r="G56" s="332"/>
      <c r="H56" s="332"/>
      <c r="I56" s="332"/>
      <c r="J56" s="310"/>
      <c r="K56" s="332"/>
      <c r="L56" s="332"/>
      <c r="M56" s="332"/>
      <c r="N56" s="332"/>
      <c r="O56" s="344"/>
      <c r="P56" s="344"/>
      <c r="Q56" s="344"/>
      <c r="R56" s="344"/>
      <c r="S56" s="729"/>
      <c r="T56" s="344"/>
      <c r="U56" s="344"/>
      <c r="V56" s="344"/>
      <c r="W56" s="344"/>
    </row>
    <row r="57" spans="2:23" s="293" customFormat="1" ht="15.75">
      <c r="B57" s="313"/>
      <c r="C57" s="310"/>
      <c r="D57" s="332"/>
      <c r="E57" s="332"/>
      <c r="F57" s="332"/>
      <c r="G57" s="332"/>
      <c r="H57" s="332"/>
      <c r="I57" s="332"/>
      <c r="J57" s="310"/>
      <c r="K57" s="332"/>
      <c r="L57" s="332"/>
      <c r="M57" s="332"/>
      <c r="N57" s="332"/>
      <c r="O57" s="344"/>
      <c r="P57" s="344"/>
      <c r="Q57" s="344"/>
      <c r="R57" s="344"/>
      <c r="S57" s="729"/>
      <c r="T57" s="344"/>
      <c r="U57" s="344"/>
      <c r="V57" s="344"/>
      <c r="W57" s="344"/>
    </row>
    <row r="58" spans="2:23" s="344" customFormat="1" ht="15.75">
      <c r="B58" s="313"/>
      <c r="C58" s="310"/>
      <c r="D58" s="332"/>
      <c r="E58" s="332"/>
      <c r="F58" s="332"/>
      <c r="G58" s="332"/>
      <c r="H58" s="332"/>
      <c r="I58" s="332"/>
      <c r="J58" s="310"/>
      <c r="K58" s="332"/>
      <c r="L58" s="332"/>
      <c r="M58" s="332"/>
      <c r="N58" s="332"/>
      <c r="S58" s="729"/>
    </row>
    <row r="59" spans="2:23" s="293" customFormat="1" ht="15.75">
      <c r="B59" s="313"/>
      <c r="C59" s="310"/>
      <c r="D59" s="332"/>
      <c r="E59" s="332"/>
      <c r="F59" s="332"/>
      <c r="G59" s="332"/>
      <c r="H59" s="332"/>
      <c r="I59" s="332"/>
      <c r="J59" s="310"/>
      <c r="K59" s="332"/>
      <c r="L59" s="332"/>
      <c r="M59" s="332"/>
      <c r="N59" s="332"/>
      <c r="O59" s="344"/>
      <c r="P59" s="344"/>
      <c r="Q59" s="344"/>
      <c r="R59" s="344"/>
      <c r="S59" s="729"/>
      <c r="T59" s="344"/>
      <c r="U59" s="344"/>
      <c r="V59" s="344"/>
      <c r="W59" s="344"/>
    </row>
    <row r="60" spans="2:23" s="293" customFormat="1" ht="15.75">
      <c r="B60" s="313"/>
      <c r="C60" s="310"/>
      <c r="D60" s="332"/>
      <c r="E60" s="332"/>
      <c r="F60" s="332"/>
      <c r="G60" s="332"/>
      <c r="H60" s="332"/>
      <c r="I60" s="332"/>
      <c r="J60" s="310"/>
      <c r="K60" s="332"/>
      <c r="L60" s="332"/>
      <c r="M60" s="332"/>
      <c r="N60" s="332"/>
      <c r="O60" s="344"/>
      <c r="P60" s="344"/>
      <c r="Q60" s="344"/>
      <c r="R60" s="344"/>
      <c r="S60" s="729"/>
      <c r="T60" s="344"/>
      <c r="U60" s="344"/>
      <c r="V60" s="344"/>
      <c r="W60" s="344"/>
    </row>
    <row r="61" spans="2:23" s="293" customFormat="1" ht="15.75">
      <c r="B61" s="313"/>
      <c r="C61" s="310"/>
      <c r="D61" s="332"/>
      <c r="E61" s="332"/>
      <c r="F61" s="332"/>
      <c r="G61" s="332"/>
      <c r="H61" s="332"/>
      <c r="I61" s="332"/>
      <c r="J61" s="310"/>
      <c r="K61" s="332"/>
      <c r="L61" s="332"/>
      <c r="M61" s="332"/>
      <c r="N61" s="332"/>
      <c r="O61" s="344"/>
      <c r="P61" s="344"/>
      <c r="Q61" s="344"/>
      <c r="R61" s="344"/>
      <c r="S61" s="729"/>
      <c r="T61" s="344"/>
      <c r="U61" s="344"/>
      <c r="V61" s="344"/>
      <c r="W61" s="344"/>
    </row>
    <row r="62" spans="2:23" s="293" customFormat="1" ht="15.75">
      <c r="B62" s="313"/>
      <c r="C62" s="310"/>
      <c r="D62" s="332"/>
      <c r="E62" s="332"/>
      <c r="F62" s="332"/>
      <c r="G62" s="332"/>
      <c r="H62" s="332"/>
      <c r="I62" s="332"/>
      <c r="J62" s="310"/>
      <c r="K62" s="332"/>
      <c r="L62" s="332"/>
      <c r="M62" s="332"/>
      <c r="N62" s="332"/>
      <c r="O62" s="344"/>
      <c r="P62" s="344"/>
      <c r="Q62" s="344"/>
      <c r="R62" s="344"/>
      <c r="S62" s="729"/>
      <c r="T62" s="344"/>
      <c r="U62" s="344"/>
      <c r="V62" s="344"/>
      <c r="W62" s="344"/>
    </row>
    <row r="63" spans="2:23" s="293" customFormat="1" ht="15.75">
      <c r="B63" s="313"/>
      <c r="C63" s="310"/>
      <c r="D63" s="332"/>
      <c r="E63" s="332"/>
      <c r="F63" s="332"/>
      <c r="G63" s="332"/>
      <c r="H63" s="332"/>
      <c r="I63" s="332"/>
      <c r="J63" s="310"/>
      <c r="K63" s="332"/>
      <c r="L63" s="332"/>
      <c r="M63" s="332"/>
      <c r="N63" s="332"/>
      <c r="O63" s="344"/>
      <c r="P63" s="344"/>
      <c r="Q63" s="344"/>
      <c r="R63" s="344"/>
      <c r="S63" s="729"/>
      <c r="T63" s="344"/>
      <c r="U63" s="344"/>
      <c r="V63" s="344"/>
      <c r="W63" s="344"/>
    </row>
    <row r="64" spans="2:23" s="293" customFormat="1" ht="15.75">
      <c r="B64" s="313"/>
      <c r="C64" s="310"/>
      <c r="D64" s="332"/>
      <c r="E64" s="332"/>
      <c r="F64" s="332"/>
      <c r="G64" s="332"/>
      <c r="H64" s="332"/>
      <c r="I64" s="332"/>
      <c r="J64" s="310"/>
      <c r="K64" s="332"/>
      <c r="L64" s="332"/>
      <c r="M64" s="332"/>
      <c r="N64" s="332"/>
      <c r="O64" s="344"/>
      <c r="P64" s="344"/>
      <c r="Q64" s="344"/>
      <c r="R64" s="344"/>
      <c r="S64" s="729"/>
      <c r="T64" s="344"/>
      <c r="U64" s="344"/>
      <c r="V64" s="344"/>
      <c r="W64" s="344"/>
    </row>
    <row r="65" spans="2:23" s="293" customFormat="1" ht="15.75">
      <c r="B65" s="313"/>
      <c r="C65" s="310"/>
      <c r="D65" s="332"/>
      <c r="E65" s="332"/>
      <c r="F65" s="332"/>
      <c r="G65" s="332"/>
      <c r="H65" s="332"/>
      <c r="I65" s="332"/>
      <c r="J65" s="310"/>
      <c r="K65" s="332"/>
      <c r="L65" s="332"/>
      <c r="M65" s="332"/>
      <c r="N65" s="332"/>
      <c r="O65" s="344"/>
      <c r="P65" s="344"/>
      <c r="Q65" s="344"/>
      <c r="R65" s="344"/>
      <c r="S65" s="729"/>
      <c r="T65" s="344"/>
      <c r="U65" s="344"/>
      <c r="V65" s="344"/>
      <c r="W65" s="344"/>
    </row>
    <row r="66" spans="2:23" s="293" customFormat="1" ht="15.75">
      <c r="B66" s="313"/>
      <c r="C66" s="310"/>
      <c r="D66" s="332"/>
      <c r="E66" s="332"/>
      <c r="F66" s="332"/>
      <c r="G66" s="332"/>
      <c r="H66" s="332"/>
      <c r="I66" s="332"/>
      <c r="J66" s="310"/>
      <c r="K66" s="332"/>
      <c r="L66" s="332"/>
      <c r="M66" s="332"/>
      <c r="N66" s="332"/>
      <c r="S66" s="723"/>
    </row>
    <row r="67" spans="2:23" ht="15.75">
      <c r="B67" s="313"/>
      <c r="C67" s="314"/>
      <c r="D67" s="314"/>
      <c r="E67" s="314"/>
      <c r="F67" s="314"/>
      <c r="G67" s="314"/>
      <c r="H67" s="314"/>
      <c r="I67" s="314"/>
      <c r="J67" s="315"/>
      <c r="K67" s="314"/>
      <c r="L67" s="314"/>
      <c r="M67" s="314"/>
      <c r="N67" s="314"/>
    </row>
    <row r="68" spans="2:23" ht="15.75">
      <c r="B68" s="313"/>
      <c r="C68" s="313"/>
      <c r="D68" s="305"/>
      <c r="E68" s="305"/>
      <c r="F68" s="310"/>
      <c r="G68" s="310"/>
      <c r="H68" s="305"/>
      <c r="I68" s="310"/>
      <c r="J68" s="298"/>
      <c r="K68" s="305"/>
      <c r="L68" s="316"/>
      <c r="M68" s="305"/>
      <c r="N68" s="316"/>
    </row>
    <row r="69" spans="2:23" ht="15.75">
      <c r="B69" s="298"/>
      <c r="C69" s="302"/>
      <c r="D69" s="302"/>
      <c r="E69" s="302"/>
      <c r="F69" s="302"/>
      <c r="G69" s="302"/>
      <c r="H69" s="302"/>
      <c r="I69" s="302"/>
      <c r="J69" s="302"/>
      <c r="K69" s="302"/>
      <c r="L69" s="302"/>
      <c r="M69" s="302"/>
      <c r="N69" s="302"/>
    </row>
    <row r="70" spans="2:23" ht="15.75">
      <c r="B70" s="298"/>
      <c r="C70" s="298"/>
      <c r="D70" s="298"/>
      <c r="E70" s="298"/>
      <c r="F70" s="298"/>
      <c r="G70" s="298"/>
      <c r="H70" s="298"/>
      <c r="I70" s="298"/>
      <c r="J70" s="298"/>
      <c r="K70" s="298"/>
      <c r="L70" s="311"/>
      <c r="M70" s="298"/>
      <c r="N70" s="311"/>
    </row>
    <row r="71" spans="2:23" ht="15.75">
      <c r="B71" s="298"/>
      <c r="C71" s="298"/>
      <c r="D71" s="298"/>
      <c r="E71" s="298"/>
      <c r="F71" s="298"/>
      <c r="G71" s="298"/>
      <c r="H71" s="298"/>
      <c r="I71" s="298"/>
      <c r="J71" s="298"/>
      <c r="K71" s="298"/>
      <c r="L71" s="311"/>
      <c r="M71" s="298"/>
      <c r="N71" s="311"/>
    </row>
    <row r="72" spans="2:23" ht="15.75">
      <c r="B72" s="299"/>
      <c r="C72" s="299"/>
      <c r="D72" s="298"/>
      <c r="E72" s="298"/>
      <c r="F72" s="298"/>
      <c r="G72" s="298"/>
      <c r="H72" s="298"/>
      <c r="I72" s="298"/>
      <c r="J72" s="298"/>
      <c r="K72" s="298"/>
      <c r="L72" s="311"/>
      <c r="M72" s="298"/>
      <c r="N72" s="311"/>
    </row>
    <row r="73" spans="2:23" ht="15.75">
      <c r="B73" s="298"/>
      <c r="C73" s="298"/>
      <c r="D73" s="298"/>
      <c r="E73" s="298"/>
      <c r="F73" s="298"/>
      <c r="G73" s="298"/>
      <c r="H73" s="298"/>
      <c r="I73" s="298"/>
      <c r="J73" s="298"/>
      <c r="K73" s="298"/>
      <c r="L73" s="311"/>
      <c r="M73" s="298"/>
      <c r="N73" s="311"/>
    </row>
    <row r="74" spans="2:23" ht="15.75">
      <c r="B74" s="298"/>
      <c r="C74" s="298"/>
      <c r="D74" s="298"/>
      <c r="E74" s="298"/>
      <c r="F74" s="298"/>
      <c r="G74" s="298"/>
      <c r="H74" s="298"/>
      <c r="I74" s="298"/>
      <c r="J74" s="298"/>
      <c r="K74" s="298"/>
      <c r="L74" s="311"/>
      <c r="M74" s="298"/>
      <c r="N74" s="311"/>
    </row>
    <row r="75" spans="2:23" ht="15.75">
      <c r="B75" s="298"/>
      <c r="C75" s="298"/>
      <c r="D75" s="298"/>
      <c r="E75" s="298"/>
      <c r="F75" s="298"/>
      <c r="G75" s="298"/>
      <c r="H75" s="298"/>
      <c r="I75" s="298"/>
      <c r="J75" s="298"/>
      <c r="K75" s="298"/>
      <c r="L75" s="311"/>
      <c r="M75" s="298"/>
      <c r="N75" s="311"/>
    </row>
    <row r="76" spans="2:23" ht="15.75">
      <c r="B76" s="298"/>
      <c r="C76" s="298"/>
      <c r="D76" s="298"/>
      <c r="E76" s="298"/>
      <c r="F76" s="298"/>
      <c r="G76" s="298"/>
      <c r="H76" s="298"/>
      <c r="I76" s="298"/>
      <c r="J76" s="298"/>
      <c r="K76" s="298"/>
      <c r="L76" s="311"/>
      <c r="M76" s="298"/>
      <c r="N76" s="311"/>
    </row>
    <row r="77" spans="2:23" ht="15.75">
      <c r="B77" s="298"/>
      <c r="C77" s="298"/>
      <c r="D77" s="298"/>
      <c r="E77" s="298"/>
      <c r="F77" s="298"/>
      <c r="G77" s="298"/>
      <c r="H77" s="298"/>
      <c r="I77" s="298"/>
      <c r="J77" s="298"/>
      <c r="K77" s="298"/>
      <c r="L77" s="311"/>
      <c r="M77" s="298"/>
      <c r="N77" s="311"/>
    </row>
    <row r="78" spans="2:23" ht="15.75">
      <c r="B78" s="298"/>
      <c r="C78" s="298"/>
      <c r="D78" s="298"/>
      <c r="E78" s="298"/>
      <c r="F78" s="298"/>
      <c r="G78" s="298"/>
      <c r="H78" s="298"/>
      <c r="I78" s="298"/>
      <c r="J78" s="298"/>
      <c r="K78" s="298"/>
      <c r="L78" s="311"/>
      <c r="M78" s="298"/>
      <c r="N78" s="311"/>
    </row>
    <row r="79" spans="2:23" ht="15.75">
      <c r="B79" s="298"/>
      <c r="C79" s="298"/>
      <c r="D79" s="298"/>
      <c r="E79" s="298"/>
      <c r="F79" s="298"/>
      <c r="G79" s="298"/>
      <c r="H79" s="298"/>
      <c r="I79" s="298"/>
      <c r="J79" s="298"/>
      <c r="K79" s="298"/>
      <c r="L79" s="311"/>
      <c r="M79" s="298"/>
      <c r="N79" s="311"/>
    </row>
    <row r="80" spans="2:23"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sheetData>
  <mergeCells count="4">
    <mergeCell ref="B1:N1"/>
    <mergeCell ref="B4:N4"/>
    <mergeCell ref="B3:N3"/>
    <mergeCell ref="Q3:AC3"/>
  </mergeCells>
  <printOptions horizontalCentered="1"/>
  <pageMargins left="0.5" right="0.5" top="0.5" bottom="0.5" header="0.5" footer="0.5"/>
  <pageSetup scale="74"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123"/>
  <sheetViews>
    <sheetView showGridLines="0" showRuler="0" topLeftCell="B3" zoomScaleNormal="100" zoomScaleSheetLayoutView="130" workbookViewId="0">
      <selection activeCell="R28" sqref="R28"/>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140625" style="283" bestFit="1" customWidth="1"/>
    <col min="16" max="16" width="8.7109375" style="283" bestFit="1" customWidth="1"/>
    <col min="17" max="17" width="7.5703125" style="283" bestFit="1" customWidth="1"/>
    <col min="18" max="18" width="6.85546875" style="283"/>
    <col min="19" max="19" width="6.85546875" style="722"/>
    <col min="20" max="20" width="16.28515625" style="722" bestFit="1" customWidth="1"/>
    <col min="21" max="16384" width="6.85546875" style="283"/>
  </cols>
  <sheetData>
    <row r="1" spans="1:22" ht="44.25" hidden="1">
      <c r="B1" s="1706" t="s">
        <v>771</v>
      </c>
      <c r="C1" s="1706"/>
      <c r="D1" s="1706"/>
      <c r="E1" s="1706"/>
      <c r="F1" s="1706"/>
      <c r="G1" s="1706"/>
      <c r="H1" s="1706"/>
      <c r="I1" s="1706"/>
      <c r="J1" s="1706"/>
      <c r="K1" s="1706"/>
      <c r="L1" s="1706"/>
      <c r="M1" s="1706"/>
      <c r="N1" s="1710"/>
    </row>
    <row r="2" spans="1:22" ht="18.75" hidden="1">
      <c r="B2" s="284"/>
      <c r="C2" s="285"/>
      <c r="D2" s="285"/>
      <c r="E2" s="285"/>
      <c r="F2" s="285"/>
      <c r="G2" s="285"/>
      <c r="H2" s="285"/>
      <c r="I2" s="285"/>
      <c r="J2" s="285"/>
      <c r="K2" s="285"/>
      <c r="L2" s="285"/>
      <c r="M2" s="285"/>
      <c r="N2" s="285"/>
    </row>
    <row r="3" spans="1:22" ht="35.450000000000003" customHeight="1">
      <c r="B3" s="1708" t="s">
        <v>1008</v>
      </c>
      <c r="C3" s="1708"/>
      <c r="D3" s="1708"/>
      <c r="E3" s="1708"/>
      <c r="F3" s="1708"/>
      <c r="G3" s="1708"/>
      <c r="H3" s="1708"/>
      <c r="I3" s="1708"/>
      <c r="J3" s="1708"/>
      <c r="K3" s="1708"/>
      <c r="L3" s="1708"/>
      <c r="M3" s="1708"/>
      <c r="N3" s="1708"/>
    </row>
    <row r="4" spans="1:22" ht="32.25" customHeight="1" thickBot="1">
      <c r="B4" s="1711"/>
      <c r="C4" s="1711"/>
      <c r="D4" s="1711"/>
      <c r="E4" s="1711"/>
      <c r="F4" s="1711"/>
      <c r="G4" s="1711"/>
      <c r="H4" s="1711"/>
      <c r="I4" s="1711"/>
      <c r="J4" s="1711"/>
      <c r="K4" s="1711"/>
      <c r="L4" s="1711"/>
      <c r="M4" s="1711"/>
      <c r="N4" s="1711"/>
    </row>
    <row r="5" spans="1:22"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131"/>
      <c r="T5" s="1139"/>
    </row>
    <row r="6" spans="1:22">
      <c r="B6" s="288"/>
      <c r="C6" s="288"/>
      <c r="D6" s="289"/>
      <c r="E6" s="289"/>
      <c r="F6" s="288"/>
      <c r="G6" s="288"/>
      <c r="H6" s="289"/>
      <c r="I6" s="288"/>
      <c r="J6" s="290"/>
      <c r="K6" s="289"/>
      <c r="L6" s="291"/>
      <c r="M6" s="289"/>
      <c r="N6" s="291"/>
    </row>
    <row r="7" spans="1:22" ht="16.5" thickBot="1">
      <c r="B7" s="299" t="s">
        <v>2</v>
      </c>
      <c r="C7" s="299"/>
      <c r="D7" s="1223"/>
      <c r="E7" s="1223"/>
      <c r="F7" s="1223"/>
      <c r="G7" s="301"/>
      <c r="H7" s="1223"/>
      <c r="I7" s="301"/>
      <c r="J7" s="1223"/>
      <c r="K7" s="1223"/>
      <c r="L7" s="302"/>
      <c r="M7" s="1223"/>
      <c r="N7" s="302"/>
      <c r="S7" s="723"/>
      <c r="T7" s="723"/>
      <c r="U7" s="293"/>
      <c r="V7" s="293"/>
    </row>
    <row r="8" spans="1:22" ht="16.5" thickBot="1">
      <c r="A8" s="1494" t="s">
        <v>349</v>
      </c>
      <c r="B8" s="311" t="s">
        <v>28</v>
      </c>
      <c r="C8" s="1268">
        <v>0</v>
      </c>
      <c r="D8" s="1243" t="e">
        <v>#N/A</v>
      </c>
      <c r="E8" s="1268"/>
      <c r="F8" s="1268">
        <v>500000</v>
      </c>
      <c r="G8" s="1268">
        <v>259652</v>
      </c>
      <c r="H8" s="1268"/>
      <c r="I8" s="1268">
        <v>500000</v>
      </c>
      <c r="J8" s="1268">
        <v>0</v>
      </c>
      <c r="K8" s="1268"/>
      <c r="L8" s="1268">
        <v>0</v>
      </c>
      <c r="M8" s="1268"/>
      <c r="N8" s="1268">
        <v>-500000</v>
      </c>
      <c r="O8" s="336" t="s">
        <v>801</v>
      </c>
      <c r="P8" s="333">
        <v>400000</v>
      </c>
      <c r="Q8" s="966">
        <v>1</v>
      </c>
      <c r="S8" s="723"/>
      <c r="T8" s="723"/>
      <c r="U8" s="293"/>
      <c r="V8" s="293"/>
    </row>
    <row r="9" spans="1:22" ht="15.75">
      <c r="A9" s="625"/>
      <c r="B9" s="1246" t="s">
        <v>9</v>
      </c>
      <c r="C9" s="1244">
        <v>0</v>
      </c>
      <c r="D9" s="1244" t="e">
        <v>#N/A</v>
      </c>
      <c r="E9" s="1244"/>
      <c r="F9" s="1244">
        <v>500000</v>
      </c>
      <c r="G9" s="1084">
        <v>259652</v>
      </c>
      <c r="H9" s="1084"/>
      <c r="I9" s="1244">
        <v>500000</v>
      </c>
      <c r="J9" s="1084">
        <v>0</v>
      </c>
      <c r="K9" s="1084"/>
      <c r="L9" s="1244">
        <v>0</v>
      </c>
      <c r="M9" s="1225"/>
      <c r="N9" s="1244">
        <v>-500000</v>
      </c>
      <c r="O9" s="346" t="s">
        <v>323</v>
      </c>
      <c r="P9" s="341">
        <v>0</v>
      </c>
      <c r="Q9" s="966">
        <v>0</v>
      </c>
      <c r="S9" s="723"/>
      <c r="T9" s="723"/>
      <c r="U9" s="293"/>
      <c r="V9" s="293"/>
    </row>
    <row r="10" spans="1:22" ht="16.5" thickBot="1">
      <c r="A10" s="293"/>
      <c r="B10" s="310"/>
      <c r="C10" s="310"/>
      <c r="D10" s="304"/>
      <c r="E10" s="304"/>
      <c r="F10" s="304"/>
      <c r="G10" s="304"/>
      <c r="H10" s="304"/>
      <c r="I10" s="304"/>
      <c r="J10" s="304"/>
      <c r="K10" s="304"/>
      <c r="L10" s="304"/>
      <c r="M10" s="304"/>
      <c r="N10" s="1154"/>
      <c r="O10" s="350" t="s">
        <v>25</v>
      </c>
      <c r="P10" s="340">
        <v>400000</v>
      </c>
      <c r="Q10" s="668">
        <v>1</v>
      </c>
      <c r="S10" s="723"/>
      <c r="T10" s="724"/>
      <c r="U10" s="293"/>
      <c r="V10" s="293"/>
    </row>
    <row r="11" spans="1:22" s="625" customFormat="1" ht="16.5" thickTop="1">
      <c r="A11" s="293"/>
      <c r="B11" s="313" t="s">
        <v>320</v>
      </c>
      <c r="C11" s="313"/>
      <c r="D11" s="306"/>
      <c r="E11" s="306"/>
      <c r="F11" s="306"/>
      <c r="G11" s="304"/>
      <c r="H11" s="306"/>
      <c r="I11" s="306"/>
      <c r="J11" s="304"/>
      <c r="K11" s="306"/>
      <c r="L11" s="306"/>
      <c r="M11" s="306"/>
      <c r="N11" s="1155"/>
      <c r="O11" s="346"/>
      <c r="P11" s="341"/>
      <c r="Q11" s="348"/>
      <c r="S11" s="724"/>
      <c r="T11" s="724"/>
    </row>
    <row r="12" spans="1:22" s="293" customFormat="1" ht="15.75">
      <c r="B12" s="311" t="s">
        <v>327</v>
      </c>
      <c r="C12" s="1240">
        <v>0</v>
      </c>
      <c r="D12" s="1240">
        <v>189723</v>
      </c>
      <c r="E12" s="1240"/>
      <c r="F12" s="1240">
        <v>0</v>
      </c>
      <c r="G12" s="1083">
        <v>0</v>
      </c>
      <c r="H12" s="1087"/>
      <c r="I12" s="1240">
        <v>0</v>
      </c>
      <c r="J12" s="1270">
        <v>0</v>
      </c>
      <c r="K12" s="1087"/>
      <c r="L12" s="1240">
        <v>400000</v>
      </c>
      <c r="M12" s="1087"/>
      <c r="N12" s="1240">
        <v>400000</v>
      </c>
      <c r="O12" s="346"/>
      <c r="P12" s="341"/>
      <c r="Q12" s="348"/>
      <c r="S12" s="723"/>
      <c r="T12" s="723"/>
    </row>
    <row r="13" spans="1:22" s="293" customFormat="1" ht="15.75">
      <c r="B13" s="1246" t="s">
        <v>20</v>
      </c>
      <c r="C13" s="546">
        <v>0</v>
      </c>
      <c r="D13" s="541">
        <v>189723</v>
      </c>
      <c r="E13" s="541"/>
      <c r="F13" s="541">
        <v>0</v>
      </c>
      <c r="G13" s="1225">
        <v>0</v>
      </c>
      <c r="H13" s="1225"/>
      <c r="I13" s="541">
        <v>0</v>
      </c>
      <c r="J13" s="1064">
        <v>0</v>
      </c>
      <c r="K13" s="1225"/>
      <c r="L13" s="1244">
        <v>400000</v>
      </c>
      <c r="M13" s="1225"/>
      <c r="N13" s="1153">
        <v>400000</v>
      </c>
      <c r="O13" s="346"/>
      <c r="P13" s="341"/>
      <c r="Q13" s="348"/>
      <c r="S13" s="723"/>
      <c r="T13" s="723"/>
    </row>
    <row r="14" spans="1:22" s="293" customFormat="1" ht="16.5" thickBot="1">
      <c r="B14" s="616" t="s">
        <v>21</v>
      </c>
      <c r="C14" s="657">
        <v>0</v>
      </c>
      <c r="D14" s="657" t="e">
        <v>#N/A</v>
      </c>
      <c r="E14" s="657"/>
      <c r="F14" s="1247">
        <v>500000</v>
      </c>
      <c r="G14" s="1247">
        <v>259652</v>
      </c>
      <c r="H14" s="1247"/>
      <c r="I14" s="1247">
        <v>500000</v>
      </c>
      <c r="J14" s="648">
        <v>0</v>
      </c>
      <c r="K14" s="1247"/>
      <c r="L14" s="1247">
        <v>400000</v>
      </c>
      <c r="M14" s="1247"/>
      <c r="N14" s="1158">
        <v>-100000</v>
      </c>
      <c r="O14" s="341" t="s">
        <v>28</v>
      </c>
      <c r="P14" s="341">
        <v>0</v>
      </c>
      <c r="Q14" s="608">
        <v>0</v>
      </c>
      <c r="S14" s="723"/>
      <c r="T14" s="723"/>
    </row>
    <row r="15" spans="1:22" s="293" customFormat="1" ht="16.5" thickTop="1">
      <c r="B15" s="316"/>
      <c r="C15" s="316"/>
      <c r="D15" s="304"/>
      <c r="E15" s="304"/>
      <c r="F15" s="304"/>
      <c r="G15" s="304"/>
      <c r="H15" s="304"/>
      <c r="I15" s="304"/>
      <c r="J15" s="304"/>
      <c r="K15" s="304"/>
      <c r="L15" s="304"/>
      <c r="M15" s="304"/>
      <c r="N15" s="1154"/>
      <c r="O15" s="341" t="s">
        <v>20</v>
      </c>
      <c r="P15" s="341">
        <v>400000</v>
      </c>
      <c r="Q15" s="608">
        <v>1</v>
      </c>
      <c r="S15" s="723"/>
      <c r="T15" s="723"/>
    </row>
    <row r="16" spans="1:22" s="293" customFormat="1" ht="16.5" thickBot="1">
      <c r="B16" s="349" t="s">
        <v>10</v>
      </c>
      <c r="C16" s="349"/>
      <c r="D16" s="302"/>
      <c r="E16" s="302"/>
      <c r="F16" s="302"/>
      <c r="G16" s="304"/>
      <c r="H16" s="302"/>
      <c r="I16" s="302"/>
      <c r="J16" s="302"/>
      <c r="K16" s="302"/>
      <c r="L16" s="302"/>
      <c r="M16" s="302"/>
      <c r="N16" s="1159"/>
      <c r="O16" s="340" t="s">
        <v>21</v>
      </c>
      <c r="P16" s="340">
        <v>400000</v>
      </c>
      <c r="Q16" s="668">
        <v>1</v>
      </c>
      <c r="S16" s="723"/>
      <c r="T16" s="723"/>
    </row>
    <row r="17" spans="1:20" s="293" customFormat="1" ht="16.5" thickTop="1">
      <c r="A17" s="293" t="s">
        <v>342</v>
      </c>
      <c r="B17" s="311" t="s">
        <v>801</v>
      </c>
      <c r="C17" s="1240">
        <v>0</v>
      </c>
      <c r="D17" s="1240" t="e">
        <v>#N/A</v>
      </c>
      <c r="E17" s="1240"/>
      <c r="F17" s="1240">
        <v>500000</v>
      </c>
      <c r="G17" s="1083">
        <v>259652</v>
      </c>
      <c r="H17" s="1087"/>
      <c r="I17" s="1240">
        <v>100000</v>
      </c>
      <c r="J17" s="1270">
        <v>-400000</v>
      </c>
      <c r="K17" s="1087"/>
      <c r="L17" s="1240">
        <v>400000</v>
      </c>
      <c r="M17" s="1087"/>
      <c r="N17" s="1240">
        <v>-100000</v>
      </c>
      <c r="O17" s="346"/>
      <c r="P17" s="341"/>
      <c r="Q17" s="348"/>
      <c r="S17" s="723"/>
      <c r="T17" s="723"/>
    </row>
    <row r="18" spans="1:20" s="293" customFormat="1" ht="15.75">
      <c r="B18" s="1246" t="s">
        <v>22</v>
      </c>
      <c r="C18" s="541">
        <v>0</v>
      </c>
      <c r="D18" s="541" t="e">
        <v>#N/A</v>
      </c>
      <c r="E18" s="541"/>
      <c r="F18" s="1225">
        <v>500000</v>
      </c>
      <c r="G18" s="1225">
        <v>259652</v>
      </c>
      <c r="H18" s="1225"/>
      <c r="I18" s="1225">
        <v>100000</v>
      </c>
      <c r="J18" s="1225">
        <v>-400000</v>
      </c>
      <c r="K18" s="1225"/>
      <c r="L18" s="1225">
        <v>400000</v>
      </c>
      <c r="M18" s="1225"/>
      <c r="N18" s="1244">
        <v>-100000</v>
      </c>
      <c r="S18" s="723"/>
      <c r="T18" s="723"/>
    </row>
    <row r="19" spans="1:20" s="293" customFormat="1" ht="15.75">
      <c r="B19" s="311"/>
      <c r="C19" s="311"/>
      <c r="D19" s="304"/>
      <c r="E19" s="304"/>
      <c r="F19" s="304"/>
      <c r="G19" s="304"/>
      <c r="H19" s="304"/>
      <c r="I19" s="304"/>
      <c r="J19" s="304"/>
      <c r="K19" s="304"/>
      <c r="L19" s="304"/>
      <c r="M19" s="304"/>
      <c r="N19" s="1154"/>
      <c r="P19" s="653">
        <v>0</v>
      </c>
      <c r="S19" s="723"/>
      <c r="T19" s="723"/>
    </row>
    <row r="20" spans="1:20" s="293" customFormat="1" ht="15.75">
      <c r="B20" s="313" t="s">
        <v>321</v>
      </c>
      <c r="C20" s="313"/>
      <c r="D20" s="311"/>
      <c r="E20" s="311"/>
      <c r="F20" s="311"/>
      <c r="G20" s="311"/>
      <c r="H20" s="311"/>
      <c r="I20" s="311"/>
      <c r="J20" s="311"/>
      <c r="K20" s="311"/>
      <c r="L20" s="311"/>
      <c r="M20" s="311"/>
      <c r="N20" s="1159"/>
      <c r="S20" s="723"/>
      <c r="T20" s="723"/>
    </row>
    <row r="21" spans="1:20" s="293" customFormat="1" ht="15.75" hidden="1">
      <c r="B21" s="316" t="s">
        <v>322</v>
      </c>
      <c r="C21" s="517">
        <v>0</v>
      </c>
      <c r="D21" s="1241">
        <v>297071</v>
      </c>
      <c r="E21" s="1241"/>
      <c r="F21" s="1224">
        <v>0</v>
      </c>
      <c r="G21" s="1241">
        <v>515959</v>
      </c>
      <c r="H21" s="1241"/>
      <c r="I21" s="1224">
        <v>0</v>
      </c>
      <c r="J21" s="554"/>
      <c r="K21" s="1241"/>
      <c r="L21" s="1224">
        <v>0</v>
      </c>
      <c r="M21" s="539"/>
      <c r="N21" s="1160">
        <v>0</v>
      </c>
      <c r="S21" s="723"/>
      <c r="T21" s="723"/>
    </row>
    <row r="22" spans="1:20" s="293" customFormat="1" ht="15.75">
      <c r="B22" s="316" t="s">
        <v>31</v>
      </c>
      <c r="C22" s="1089">
        <v>0</v>
      </c>
      <c r="D22" s="1241"/>
      <c r="E22" s="1241"/>
      <c r="F22" s="1089">
        <v>0</v>
      </c>
      <c r="G22" s="1089"/>
      <c r="H22" s="1089"/>
      <c r="I22" s="1037">
        <v>400000</v>
      </c>
      <c r="J22" s="1089"/>
      <c r="K22" s="1089"/>
      <c r="L22" s="1037">
        <v>0</v>
      </c>
      <c r="M22" s="1241"/>
      <c r="N22" s="1089">
        <v>0</v>
      </c>
      <c r="S22" s="723">
        <v>0</v>
      </c>
      <c r="T22" s="723"/>
    </row>
    <row r="23" spans="1:20" s="293" customFormat="1" ht="15.75">
      <c r="A23" s="625"/>
      <c r="B23" s="1246" t="s">
        <v>323</v>
      </c>
      <c r="C23" s="546">
        <v>0</v>
      </c>
      <c r="D23" s="541">
        <v>297071</v>
      </c>
      <c r="E23" s="541"/>
      <c r="F23" s="546">
        <v>0</v>
      </c>
      <c r="G23" s="541">
        <v>515959</v>
      </c>
      <c r="H23" s="541"/>
      <c r="I23" s="1244">
        <v>400000</v>
      </c>
      <c r="J23" s="541">
        <v>0</v>
      </c>
      <c r="K23" s="541"/>
      <c r="L23" s="1244">
        <v>0</v>
      </c>
      <c r="M23" s="1225"/>
      <c r="N23" s="546">
        <v>0</v>
      </c>
      <c r="O23" s="625"/>
      <c r="P23" s="625"/>
      <c r="Q23" s="625"/>
      <c r="S23" s="723"/>
      <c r="T23" s="723"/>
    </row>
    <row r="24" spans="1:20" s="293" customFormat="1" ht="16.5" thickBot="1">
      <c r="B24" s="616" t="s">
        <v>25</v>
      </c>
      <c r="C24" s="1269">
        <v>0</v>
      </c>
      <c r="D24" s="627" t="e">
        <v>#N/A</v>
      </c>
      <c r="E24" s="1267"/>
      <c r="F24" s="1269">
        <v>500000</v>
      </c>
      <c r="G24" s="1267">
        <v>775611</v>
      </c>
      <c r="H24" s="1267"/>
      <c r="I24" s="1269">
        <v>500000</v>
      </c>
      <c r="J24" s="627">
        <v>0</v>
      </c>
      <c r="K24" s="627"/>
      <c r="L24" s="1269">
        <v>400000</v>
      </c>
      <c r="M24" s="1267"/>
      <c r="N24" s="1269">
        <v>-100000</v>
      </c>
      <c r="S24" s="723"/>
      <c r="T24" s="723"/>
    </row>
    <row r="25" spans="1:20" s="293" customFormat="1" ht="16.5" hidden="1" thickTop="1">
      <c r="B25" s="313"/>
      <c r="C25" s="310"/>
      <c r="D25" s="332"/>
      <c r="E25" s="332"/>
      <c r="F25" s="332"/>
      <c r="G25" s="332"/>
      <c r="H25" s="332"/>
      <c r="I25" s="332"/>
      <c r="J25" s="310"/>
      <c r="K25" s="332"/>
      <c r="L25" s="332"/>
      <c r="M25" s="332"/>
      <c r="N25" s="1165"/>
      <c r="S25" s="723"/>
      <c r="T25" s="725">
        <v>0</v>
      </c>
    </row>
    <row r="26" spans="1:20" s="293" customFormat="1" ht="16.5" hidden="1" thickTop="1">
      <c r="B26" s="313"/>
      <c r="C26" s="310"/>
      <c r="D26" s="332"/>
      <c r="E26" s="332"/>
      <c r="F26" s="332"/>
      <c r="G26" s="332"/>
      <c r="H26" s="332"/>
      <c r="I26" s="332"/>
      <c r="J26" s="310"/>
      <c r="K26" s="332"/>
      <c r="L26" s="332"/>
      <c r="M26" s="332"/>
      <c r="N26" s="1165"/>
      <c r="S26" s="723"/>
      <c r="T26" s="723"/>
    </row>
    <row r="27" spans="1:20" s="625" customFormat="1" ht="16.5" thickTop="1">
      <c r="A27" s="293"/>
      <c r="B27" s="313"/>
      <c r="C27" s="310"/>
      <c r="D27" s="332"/>
      <c r="E27" s="332"/>
      <c r="F27" s="332"/>
      <c r="G27" s="332"/>
      <c r="H27" s="332"/>
      <c r="I27" s="332"/>
      <c r="J27" s="310"/>
      <c r="K27" s="332"/>
      <c r="L27" s="332"/>
      <c r="M27" s="332"/>
      <c r="N27" s="1165"/>
      <c r="O27" s="293"/>
      <c r="P27" s="293"/>
      <c r="Q27" s="293"/>
      <c r="S27" s="724"/>
      <c r="T27" s="724"/>
    </row>
    <row r="28" spans="1:20" s="293" customFormat="1" ht="15.75">
      <c r="B28" s="313"/>
      <c r="C28" s="310"/>
      <c r="D28" s="332"/>
      <c r="E28" s="332"/>
      <c r="F28" s="332"/>
      <c r="G28" s="332"/>
      <c r="H28" s="332"/>
      <c r="I28" s="332"/>
      <c r="J28" s="310"/>
      <c r="K28" s="332"/>
      <c r="L28" s="332"/>
      <c r="M28" s="332"/>
      <c r="N28" s="332"/>
      <c r="Q28" s="293" t="s">
        <v>58</v>
      </c>
      <c r="S28" s="723"/>
      <c r="T28" s="723"/>
    </row>
    <row r="29" spans="1:20" s="293" customFormat="1" ht="15.75">
      <c r="B29" s="313"/>
      <c r="C29" s="310"/>
      <c r="D29" s="332"/>
      <c r="E29" s="332"/>
      <c r="F29" s="332"/>
      <c r="G29" s="332"/>
      <c r="H29" s="332"/>
      <c r="I29" s="332"/>
      <c r="J29" s="310"/>
      <c r="K29" s="332"/>
      <c r="L29" s="332"/>
      <c r="M29" s="332"/>
      <c r="N29" s="332"/>
      <c r="S29" s="723"/>
      <c r="T29" s="723"/>
    </row>
    <row r="30" spans="1:20" s="293" customFormat="1" ht="15.75">
      <c r="B30" s="313"/>
      <c r="C30" s="310"/>
      <c r="D30" s="332"/>
      <c r="E30" s="332"/>
      <c r="F30" s="332"/>
      <c r="G30" s="332"/>
      <c r="H30" s="332"/>
      <c r="I30" s="332"/>
      <c r="J30" s="310"/>
      <c r="K30" s="332"/>
      <c r="L30" s="332"/>
      <c r="M30" s="332"/>
      <c r="N30" s="332"/>
      <c r="S30" s="723"/>
      <c r="T30" s="723"/>
    </row>
    <row r="31" spans="1:20" s="293" customFormat="1" ht="15.75">
      <c r="B31" s="313"/>
      <c r="C31" s="310"/>
      <c r="D31" s="332"/>
      <c r="E31" s="332"/>
      <c r="F31" s="332"/>
      <c r="G31" s="332"/>
      <c r="H31" s="332"/>
      <c r="I31" s="332"/>
      <c r="J31" s="310"/>
      <c r="K31" s="332"/>
      <c r="L31" s="332"/>
      <c r="M31" s="332"/>
      <c r="N31" s="332"/>
      <c r="S31" s="723"/>
      <c r="T31" s="723"/>
    </row>
    <row r="32" spans="1:20" s="293" customFormat="1" ht="15.75">
      <c r="B32" s="313"/>
      <c r="C32" s="310"/>
      <c r="D32" s="332"/>
      <c r="E32" s="332"/>
      <c r="F32" s="332"/>
      <c r="G32" s="332"/>
      <c r="H32" s="332"/>
      <c r="I32" s="332"/>
      <c r="J32" s="310"/>
      <c r="K32" s="332"/>
      <c r="L32" s="332"/>
      <c r="M32" s="332"/>
      <c r="N32" s="332"/>
      <c r="S32" s="723"/>
      <c r="T32" s="723"/>
    </row>
    <row r="33" spans="2:21" s="293" customFormat="1" ht="15.75">
      <c r="B33" s="313"/>
      <c r="C33" s="310"/>
      <c r="D33" s="332"/>
      <c r="E33" s="332"/>
      <c r="F33" s="332"/>
      <c r="G33" s="332"/>
      <c r="H33" s="332"/>
      <c r="I33" s="332"/>
      <c r="J33" s="310"/>
      <c r="K33" s="332"/>
      <c r="L33" s="332"/>
      <c r="M33" s="332"/>
      <c r="N33" s="332"/>
      <c r="S33" s="723"/>
      <c r="T33" s="723"/>
    </row>
    <row r="34" spans="2:21" s="293" customFormat="1" ht="15.75">
      <c r="B34" s="313"/>
      <c r="C34" s="310"/>
      <c r="D34" s="332"/>
      <c r="E34" s="332"/>
      <c r="F34" s="332"/>
      <c r="G34" s="332"/>
      <c r="H34" s="332"/>
      <c r="I34" s="332"/>
      <c r="J34" s="310"/>
      <c r="K34" s="332"/>
      <c r="L34" s="332"/>
      <c r="M34" s="332"/>
      <c r="N34" s="332"/>
      <c r="P34" s="344"/>
      <c r="Q34" s="344"/>
      <c r="R34" s="344"/>
      <c r="S34" s="729"/>
      <c r="T34" s="729"/>
      <c r="U34" s="344"/>
    </row>
    <row r="35" spans="2:21" s="293" customFormat="1" ht="15.75">
      <c r="B35" s="313"/>
      <c r="C35" s="310"/>
      <c r="D35" s="332"/>
      <c r="E35" s="332"/>
      <c r="F35" s="332"/>
      <c r="G35" s="332"/>
      <c r="H35" s="332"/>
      <c r="I35" s="332"/>
      <c r="J35" s="310"/>
      <c r="K35" s="332"/>
      <c r="L35" s="332"/>
      <c r="M35" s="332"/>
      <c r="N35" s="332"/>
      <c r="P35" s="344"/>
      <c r="Q35" s="729"/>
      <c r="R35" s="344"/>
      <c r="S35" s="729"/>
      <c r="T35" s="729"/>
      <c r="U35" s="344"/>
    </row>
    <row r="36" spans="2:21" s="293" customFormat="1" ht="15.75">
      <c r="B36" s="313"/>
      <c r="C36" s="310"/>
      <c r="D36" s="332"/>
      <c r="E36" s="332"/>
      <c r="F36" s="332"/>
      <c r="G36" s="332"/>
      <c r="H36" s="332"/>
      <c r="I36" s="332"/>
      <c r="J36" s="310"/>
      <c r="K36" s="332"/>
      <c r="L36" s="332"/>
      <c r="M36" s="332"/>
      <c r="N36" s="332"/>
      <c r="P36" s="344"/>
      <c r="Q36" s="729"/>
      <c r="R36" s="344"/>
      <c r="S36" s="729"/>
      <c r="T36" s="729"/>
      <c r="U36" s="344"/>
    </row>
    <row r="37" spans="2:21" s="293" customFormat="1" ht="15.75">
      <c r="B37" s="313"/>
      <c r="C37" s="310"/>
      <c r="D37" s="332"/>
      <c r="E37" s="332"/>
      <c r="F37" s="332"/>
      <c r="G37" s="332"/>
      <c r="H37" s="332"/>
      <c r="I37" s="332"/>
      <c r="J37" s="310"/>
      <c r="K37" s="332"/>
      <c r="L37" s="332"/>
      <c r="M37" s="332"/>
      <c r="N37" s="332"/>
      <c r="P37" s="344"/>
      <c r="Q37" s="729"/>
      <c r="R37" s="344"/>
      <c r="S37" s="729"/>
      <c r="T37" s="729"/>
      <c r="U37" s="344"/>
    </row>
    <row r="38" spans="2:21" s="293" customFormat="1" ht="15.75">
      <c r="B38" s="313"/>
      <c r="C38" s="310"/>
      <c r="D38" s="332"/>
      <c r="E38" s="332"/>
      <c r="F38" s="332"/>
      <c r="G38" s="332"/>
      <c r="H38" s="332"/>
      <c r="I38" s="332"/>
      <c r="J38" s="310"/>
      <c r="K38" s="332"/>
      <c r="L38" s="332"/>
      <c r="M38" s="332"/>
      <c r="N38" s="332"/>
      <c r="P38" s="344"/>
      <c r="Q38" s="729"/>
      <c r="R38" s="344"/>
      <c r="S38" s="729"/>
      <c r="T38" s="729"/>
      <c r="U38" s="344"/>
    </row>
    <row r="39" spans="2:21" s="293" customFormat="1" ht="15.75">
      <c r="B39" s="313"/>
      <c r="C39" s="310"/>
      <c r="D39" s="332"/>
      <c r="E39" s="332"/>
      <c r="F39" s="332"/>
      <c r="G39" s="332"/>
      <c r="H39" s="332"/>
      <c r="I39" s="332"/>
      <c r="J39" s="310"/>
      <c r="K39" s="332"/>
      <c r="L39" s="332"/>
      <c r="M39" s="332"/>
      <c r="N39" s="332"/>
      <c r="P39" s="344"/>
      <c r="Q39" s="729"/>
      <c r="R39" s="344"/>
      <c r="S39" s="729"/>
      <c r="T39" s="729"/>
      <c r="U39" s="344"/>
    </row>
    <row r="40" spans="2:21" s="293" customFormat="1" ht="15.75">
      <c r="B40" s="313"/>
      <c r="C40" s="310"/>
      <c r="D40" s="332"/>
      <c r="E40" s="332"/>
      <c r="F40" s="332"/>
      <c r="G40" s="332"/>
      <c r="H40" s="332"/>
      <c r="I40" s="332"/>
      <c r="J40" s="310"/>
      <c r="K40" s="332"/>
      <c r="L40" s="332"/>
      <c r="M40" s="332"/>
      <c r="N40" s="332"/>
      <c r="P40" s="344"/>
      <c r="Q40" s="729"/>
      <c r="R40" s="344"/>
      <c r="S40" s="729"/>
      <c r="T40" s="729"/>
      <c r="U40" s="344"/>
    </row>
    <row r="41" spans="2:21" s="293" customFormat="1" ht="15.75">
      <c r="B41" s="313"/>
      <c r="C41" s="310"/>
      <c r="D41" s="332"/>
      <c r="E41" s="332"/>
      <c r="F41" s="332"/>
      <c r="G41" s="332"/>
      <c r="H41" s="332"/>
      <c r="I41" s="332"/>
      <c r="J41" s="310"/>
      <c r="K41" s="332"/>
      <c r="L41" s="332"/>
      <c r="M41" s="332"/>
      <c r="N41" s="332"/>
      <c r="P41" s="344"/>
      <c r="Q41" s="729"/>
      <c r="R41" s="344"/>
      <c r="S41" s="729"/>
      <c r="T41" s="729"/>
      <c r="U41" s="344"/>
    </row>
    <row r="42" spans="2:21" s="293" customFormat="1" ht="15.75">
      <c r="B42" s="313"/>
      <c r="C42" s="310"/>
      <c r="D42" s="332"/>
      <c r="E42" s="332"/>
      <c r="F42" s="332"/>
      <c r="G42" s="332"/>
      <c r="H42" s="332"/>
      <c r="I42" s="332"/>
      <c r="J42" s="310"/>
      <c r="K42" s="332"/>
      <c r="L42" s="332"/>
      <c r="M42" s="332"/>
      <c r="N42" s="332"/>
      <c r="P42" s="344"/>
      <c r="Q42" s="729"/>
      <c r="R42" s="729"/>
      <c r="S42" s="729"/>
      <c r="T42" s="729"/>
      <c r="U42" s="344"/>
    </row>
    <row r="43" spans="2:21" s="293" customFormat="1" ht="15.75">
      <c r="B43" s="313"/>
      <c r="C43" s="310"/>
      <c r="D43" s="332"/>
      <c r="E43" s="332"/>
      <c r="F43" s="332"/>
      <c r="G43" s="332"/>
      <c r="H43" s="332"/>
      <c r="I43" s="332"/>
      <c r="J43" s="310"/>
      <c r="K43" s="332"/>
      <c r="L43" s="332"/>
      <c r="M43" s="332"/>
      <c r="N43" s="332"/>
      <c r="P43" s="344"/>
      <c r="Q43" s="729"/>
      <c r="R43" s="729"/>
      <c r="S43" s="729"/>
      <c r="T43" s="729"/>
      <c r="U43" s="344"/>
    </row>
    <row r="44" spans="2:21" s="293" customFormat="1" ht="15.75">
      <c r="B44" s="313"/>
      <c r="C44" s="310"/>
      <c r="D44" s="332"/>
      <c r="E44" s="332"/>
      <c r="F44" s="332"/>
      <c r="G44" s="332"/>
      <c r="H44" s="332"/>
      <c r="I44" s="332"/>
      <c r="J44" s="310"/>
      <c r="K44" s="332"/>
      <c r="L44" s="332"/>
      <c r="M44" s="332"/>
      <c r="N44" s="332"/>
      <c r="P44" s="344"/>
      <c r="Q44" s="344"/>
      <c r="R44" s="729"/>
      <c r="S44" s="729"/>
      <c r="T44" s="729"/>
      <c r="U44" s="344"/>
    </row>
    <row r="45" spans="2:21" s="293" customFormat="1" ht="15.75">
      <c r="B45" s="313"/>
      <c r="C45" s="310"/>
      <c r="D45" s="332"/>
      <c r="E45" s="332"/>
      <c r="F45" s="332"/>
      <c r="G45" s="332"/>
      <c r="H45" s="332"/>
      <c r="I45" s="332"/>
      <c r="J45" s="310"/>
      <c r="K45" s="332"/>
      <c r="L45" s="332"/>
      <c r="M45" s="332"/>
      <c r="N45" s="332"/>
      <c r="P45" s="344"/>
      <c r="Q45" s="344"/>
      <c r="R45" s="729"/>
      <c r="S45" s="729"/>
      <c r="T45" s="729"/>
      <c r="U45" s="344"/>
    </row>
    <row r="46" spans="2:21" s="293" customFormat="1" ht="15.75">
      <c r="B46" s="313"/>
      <c r="C46" s="310"/>
      <c r="D46" s="332"/>
      <c r="E46" s="332"/>
      <c r="F46" s="332"/>
      <c r="G46" s="332"/>
      <c r="H46" s="332"/>
      <c r="I46" s="332"/>
      <c r="J46" s="310"/>
      <c r="K46" s="332"/>
      <c r="L46" s="332"/>
      <c r="M46" s="332"/>
      <c r="N46" s="332"/>
      <c r="P46" s="344"/>
      <c r="Q46" s="344"/>
      <c r="R46" s="729"/>
      <c r="S46" s="729"/>
      <c r="T46" s="729"/>
      <c r="U46" s="344"/>
    </row>
    <row r="47" spans="2:21" s="293" customFormat="1" ht="15.75">
      <c r="B47" s="313"/>
      <c r="C47" s="310"/>
      <c r="D47" s="332"/>
      <c r="E47" s="332"/>
      <c r="F47" s="332"/>
      <c r="G47" s="332"/>
      <c r="H47" s="332"/>
      <c r="I47" s="332"/>
      <c r="J47" s="310"/>
      <c r="K47" s="332"/>
      <c r="L47" s="332"/>
      <c r="M47" s="332"/>
      <c r="N47" s="332"/>
      <c r="P47" s="344"/>
      <c r="Q47" s="344"/>
      <c r="R47" s="1767"/>
      <c r="S47" s="729"/>
      <c r="T47" s="729"/>
      <c r="U47" s="344"/>
    </row>
    <row r="48" spans="2:21" s="293" customFormat="1" ht="15.75">
      <c r="B48" s="313"/>
      <c r="C48" s="310"/>
      <c r="D48" s="332"/>
      <c r="E48" s="332"/>
      <c r="F48" s="332"/>
      <c r="G48" s="332"/>
      <c r="H48" s="332"/>
      <c r="I48" s="332"/>
      <c r="J48" s="310"/>
      <c r="K48" s="332"/>
      <c r="L48" s="332"/>
      <c r="M48" s="332"/>
      <c r="N48" s="332"/>
      <c r="P48" s="344"/>
      <c r="Q48" s="344"/>
      <c r="R48" s="344"/>
      <c r="S48" s="729"/>
      <c r="T48" s="729"/>
      <c r="U48" s="344"/>
    </row>
    <row r="49" spans="2:21" s="293" customFormat="1" ht="15.75">
      <c r="B49" s="313"/>
      <c r="C49" s="310"/>
      <c r="D49" s="332"/>
      <c r="E49" s="332"/>
      <c r="F49" s="332"/>
      <c r="G49" s="332"/>
      <c r="H49" s="332"/>
      <c r="I49" s="332"/>
      <c r="J49" s="310"/>
      <c r="K49" s="332"/>
      <c r="L49" s="332"/>
      <c r="M49" s="332"/>
      <c r="N49" s="332"/>
      <c r="P49" s="344"/>
      <c r="Q49" s="344"/>
      <c r="R49" s="344"/>
      <c r="S49" s="729"/>
      <c r="T49" s="729"/>
      <c r="U49" s="344"/>
    </row>
    <row r="50" spans="2:21" s="293" customFormat="1" ht="15.75">
      <c r="B50" s="313"/>
      <c r="C50" s="310"/>
      <c r="D50" s="332"/>
      <c r="E50" s="332"/>
      <c r="F50" s="332"/>
      <c r="G50" s="332"/>
      <c r="H50" s="332"/>
      <c r="I50" s="332"/>
      <c r="J50" s="310"/>
      <c r="K50" s="332"/>
      <c r="L50" s="332"/>
      <c r="M50" s="332"/>
      <c r="N50" s="332"/>
      <c r="P50" s="344"/>
      <c r="Q50" s="344"/>
      <c r="R50" s="344"/>
      <c r="S50" s="729"/>
      <c r="T50" s="729"/>
      <c r="U50" s="344"/>
    </row>
    <row r="51" spans="2:21" s="293" customFormat="1" ht="15.75">
      <c r="B51" s="313"/>
      <c r="C51" s="310"/>
      <c r="D51" s="332"/>
      <c r="E51" s="332"/>
      <c r="F51" s="332"/>
      <c r="G51" s="332"/>
      <c r="H51" s="332"/>
      <c r="I51" s="332"/>
      <c r="J51" s="310"/>
      <c r="K51" s="332"/>
      <c r="L51" s="332"/>
      <c r="M51" s="332"/>
      <c r="N51" s="332"/>
      <c r="P51" s="344"/>
      <c r="Q51" s="344"/>
      <c r="R51" s="344"/>
      <c r="S51" s="729"/>
      <c r="T51" s="729"/>
      <c r="U51" s="344"/>
    </row>
    <row r="52" spans="2:21" s="293" customFormat="1" ht="15.75">
      <c r="B52" s="313"/>
      <c r="C52" s="310"/>
      <c r="D52" s="332"/>
      <c r="E52" s="332"/>
      <c r="F52" s="332"/>
      <c r="G52" s="332"/>
      <c r="H52" s="332"/>
      <c r="I52" s="332"/>
      <c r="J52" s="310"/>
      <c r="K52" s="332"/>
      <c r="L52" s="332"/>
      <c r="M52" s="332"/>
      <c r="N52" s="332"/>
      <c r="S52" s="723"/>
      <c r="T52" s="723"/>
    </row>
    <row r="53" spans="2:21" s="293" customFormat="1" ht="15.75">
      <c r="B53" s="313"/>
      <c r="C53" s="310"/>
      <c r="D53" s="332"/>
      <c r="E53" s="332"/>
      <c r="F53" s="332"/>
      <c r="G53" s="332"/>
      <c r="H53" s="332"/>
      <c r="I53" s="332"/>
      <c r="J53" s="310"/>
      <c r="K53" s="332"/>
      <c r="L53" s="332"/>
      <c r="M53" s="332"/>
      <c r="N53" s="332"/>
      <c r="S53" s="723"/>
      <c r="T53" s="723"/>
    </row>
    <row r="54" spans="2:21" s="293" customFormat="1" ht="15.75">
      <c r="B54" s="313"/>
      <c r="C54" s="310"/>
      <c r="D54" s="332"/>
      <c r="E54" s="332"/>
      <c r="F54" s="332"/>
      <c r="G54" s="332"/>
      <c r="H54" s="332"/>
      <c r="I54" s="332"/>
      <c r="J54" s="310"/>
      <c r="K54" s="332"/>
      <c r="L54" s="332"/>
      <c r="M54" s="332"/>
      <c r="N54" s="332"/>
      <c r="S54" s="723"/>
      <c r="T54" s="723"/>
    </row>
    <row r="55" spans="2:21" s="293" customFormat="1" ht="15.75">
      <c r="B55" s="313"/>
      <c r="C55" s="310"/>
      <c r="D55" s="332"/>
      <c r="E55" s="332"/>
      <c r="F55" s="332"/>
      <c r="G55" s="332"/>
      <c r="H55" s="332"/>
      <c r="I55" s="332"/>
      <c r="J55" s="310"/>
      <c r="K55" s="332"/>
      <c r="L55" s="332"/>
      <c r="M55" s="332"/>
      <c r="N55" s="332"/>
      <c r="S55" s="723"/>
      <c r="T55" s="723"/>
    </row>
    <row r="56" spans="2:21" s="293" customFormat="1" ht="15.75">
      <c r="B56" s="313"/>
      <c r="C56" s="310"/>
      <c r="D56" s="332"/>
      <c r="E56" s="332"/>
      <c r="F56" s="332"/>
      <c r="G56" s="332"/>
      <c r="H56" s="332"/>
      <c r="I56" s="332"/>
      <c r="J56" s="310"/>
      <c r="K56" s="332"/>
      <c r="L56" s="332"/>
      <c r="M56" s="332"/>
      <c r="N56" s="332"/>
      <c r="S56" s="723"/>
      <c r="T56" s="723"/>
    </row>
    <row r="57" spans="2:21" s="293" customFormat="1" ht="15.75">
      <c r="B57" s="313"/>
      <c r="C57" s="310"/>
      <c r="D57" s="332"/>
      <c r="E57" s="332"/>
      <c r="F57" s="332"/>
      <c r="G57" s="332"/>
      <c r="H57" s="332"/>
      <c r="I57" s="332"/>
      <c r="J57" s="310"/>
      <c r="K57" s="332"/>
      <c r="L57" s="332"/>
      <c r="M57" s="332"/>
      <c r="N57" s="332"/>
      <c r="S57" s="723"/>
      <c r="T57" s="723"/>
    </row>
    <row r="58" spans="2:21" s="293" customFormat="1" ht="15.75">
      <c r="B58" s="313"/>
      <c r="C58" s="310"/>
      <c r="D58" s="332"/>
      <c r="E58" s="332"/>
      <c r="F58" s="332"/>
      <c r="G58" s="332"/>
      <c r="H58" s="332"/>
      <c r="I58" s="332"/>
      <c r="J58" s="310"/>
      <c r="K58" s="332"/>
      <c r="L58" s="332"/>
      <c r="M58" s="332"/>
      <c r="N58" s="332"/>
      <c r="S58" s="723"/>
      <c r="T58" s="723"/>
    </row>
    <row r="59" spans="2:21" s="293" customFormat="1" ht="15.75">
      <c r="B59" s="313"/>
      <c r="C59" s="310"/>
      <c r="D59" s="332"/>
      <c r="E59" s="332"/>
      <c r="F59" s="332"/>
      <c r="G59" s="332"/>
      <c r="H59" s="332"/>
      <c r="I59" s="332"/>
      <c r="J59" s="310"/>
      <c r="K59" s="332"/>
      <c r="L59" s="332"/>
      <c r="M59" s="332"/>
      <c r="N59" s="332"/>
      <c r="S59" s="723"/>
      <c r="T59" s="723"/>
    </row>
    <row r="60" spans="2:21" s="293" customFormat="1" ht="15.75">
      <c r="B60" s="313"/>
      <c r="C60" s="310"/>
      <c r="D60" s="332"/>
      <c r="E60" s="332"/>
      <c r="F60" s="332"/>
      <c r="G60" s="332"/>
      <c r="H60" s="332"/>
      <c r="I60" s="332"/>
      <c r="J60" s="310"/>
      <c r="K60" s="332"/>
      <c r="L60" s="332"/>
      <c r="M60" s="332"/>
      <c r="N60" s="332"/>
      <c r="S60" s="723"/>
      <c r="T60" s="723"/>
    </row>
    <row r="61" spans="2:21" s="293" customFormat="1" ht="15.75">
      <c r="B61" s="313"/>
      <c r="C61" s="310"/>
      <c r="D61" s="332"/>
      <c r="E61" s="332"/>
      <c r="F61" s="332"/>
      <c r="G61" s="332"/>
      <c r="H61" s="332"/>
      <c r="I61" s="332"/>
      <c r="J61" s="310"/>
      <c r="K61" s="332"/>
      <c r="L61" s="332"/>
      <c r="M61" s="332"/>
      <c r="N61" s="332"/>
      <c r="S61" s="723"/>
      <c r="T61" s="723"/>
    </row>
    <row r="62" spans="2:21" s="293" customFormat="1" ht="15.75">
      <c r="B62" s="313"/>
      <c r="C62" s="310"/>
      <c r="D62" s="332"/>
      <c r="E62" s="332"/>
      <c r="F62" s="332"/>
      <c r="G62" s="332"/>
      <c r="H62" s="332"/>
      <c r="I62" s="332"/>
      <c r="J62" s="310"/>
      <c r="K62" s="332"/>
      <c r="L62" s="332"/>
      <c r="M62" s="332"/>
      <c r="N62" s="332"/>
      <c r="S62" s="723"/>
      <c r="T62" s="723"/>
    </row>
    <row r="63" spans="2:21" s="293" customFormat="1" ht="15.75">
      <c r="B63" s="313"/>
      <c r="C63" s="310"/>
      <c r="D63" s="332"/>
      <c r="E63" s="332"/>
      <c r="F63" s="332"/>
      <c r="G63" s="332"/>
      <c r="H63" s="332"/>
      <c r="I63" s="332"/>
      <c r="J63" s="310"/>
      <c r="K63" s="332"/>
      <c r="L63" s="332"/>
      <c r="M63" s="332"/>
      <c r="N63" s="332"/>
      <c r="S63" s="723"/>
      <c r="T63" s="723"/>
    </row>
    <row r="64" spans="2:21" s="293" customFormat="1" ht="15.75">
      <c r="B64" s="313"/>
      <c r="C64" s="310"/>
      <c r="D64" s="332"/>
      <c r="E64" s="332"/>
      <c r="F64" s="332"/>
      <c r="G64" s="332"/>
      <c r="H64" s="332"/>
      <c r="I64" s="332"/>
      <c r="J64" s="310"/>
      <c r="K64" s="332"/>
      <c r="L64" s="332"/>
      <c r="M64" s="332"/>
      <c r="N64" s="332"/>
      <c r="S64" s="723"/>
      <c r="T64" s="723"/>
    </row>
    <row r="65" spans="1:20" s="293" customFormat="1" ht="15.75">
      <c r="B65" s="313"/>
      <c r="C65" s="310"/>
      <c r="D65" s="332"/>
      <c r="E65" s="332"/>
      <c r="F65" s="332"/>
      <c r="G65" s="332"/>
      <c r="H65" s="332"/>
      <c r="I65" s="332"/>
      <c r="J65" s="310"/>
      <c r="K65" s="332"/>
      <c r="L65" s="332"/>
      <c r="M65" s="332"/>
      <c r="N65" s="332"/>
      <c r="S65" s="723"/>
      <c r="T65" s="723"/>
    </row>
    <row r="66" spans="1:20" s="293" customFormat="1" ht="15.75">
      <c r="B66" s="313"/>
      <c r="C66" s="310"/>
      <c r="D66" s="332"/>
      <c r="E66" s="332"/>
      <c r="F66" s="332"/>
      <c r="G66" s="332"/>
      <c r="H66" s="332"/>
      <c r="I66" s="332"/>
      <c r="J66" s="310"/>
      <c r="K66" s="332"/>
      <c r="L66" s="332"/>
      <c r="M66" s="332"/>
      <c r="N66" s="332"/>
      <c r="S66" s="723"/>
      <c r="T66" s="723"/>
    </row>
    <row r="67" spans="1:20" s="293" customFormat="1" ht="15.75">
      <c r="A67" s="283"/>
      <c r="B67" s="313" t="s">
        <v>17</v>
      </c>
      <c r="C67" s="314">
        <v>0</v>
      </c>
      <c r="D67" s="314" t="e">
        <v>#N/A</v>
      </c>
      <c r="E67" s="314"/>
      <c r="F67" s="314">
        <v>0</v>
      </c>
      <c r="G67" s="314">
        <v>-515959</v>
      </c>
      <c r="H67" s="314"/>
      <c r="I67" s="314">
        <v>0</v>
      </c>
      <c r="J67" s="314">
        <v>0</v>
      </c>
      <c r="K67" s="314"/>
      <c r="L67" s="314">
        <v>0</v>
      </c>
      <c r="M67" s="314"/>
      <c r="N67" s="314">
        <v>0</v>
      </c>
      <c r="O67" s="283"/>
      <c r="P67" s="283"/>
      <c r="Q67" s="283"/>
      <c r="S67" s="723"/>
      <c r="T67" s="722"/>
    </row>
    <row r="68" spans="1:20" s="293" customFormat="1" ht="15.75">
      <c r="A68" s="283"/>
      <c r="B68" s="313"/>
      <c r="C68" s="313"/>
      <c r="D68" s="305"/>
      <c r="E68" s="305"/>
      <c r="F68" s="310"/>
      <c r="G68" s="310"/>
      <c r="H68" s="305"/>
      <c r="I68" s="310"/>
      <c r="J68" s="298"/>
      <c r="K68" s="305"/>
      <c r="L68" s="316"/>
      <c r="M68" s="305"/>
      <c r="N68" s="316"/>
      <c r="O68" s="283"/>
      <c r="P68" s="283"/>
      <c r="Q68" s="283"/>
      <c r="S68" s="723"/>
      <c r="T68" s="722"/>
    </row>
    <row r="69" spans="1:20" s="293" customFormat="1" ht="15.75">
      <c r="A69" s="283"/>
      <c r="B69" s="298"/>
      <c r="C69" s="302">
        <v>0</v>
      </c>
      <c r="D69" s="302" t="e">
        <v>#N/A</v>
      </c>
      <c r="E69" s="302"/>
      <c r="F69" s="302">
        <v>0</v>
      </c>
      <c r="G69" s="302">
        <v>0</v>
      </c>
      <c r="H69" s="302"/>
      <c r="I69" s="302">
        <v>400000</v>
      </c>
      <c r="J69" s="302">
        <v>400000</v>
      </c>
      <c r="K69" s="302"/>
      <c r="L69" s="302">
        <v>-400000</v>
      </c>
      <c r="M69" s="302"/>
      <c r="N69" s="302">
        <v>-400000</v>
      </c>
      <c r="O69" s="283"/>
      <c r="P69" s="283"/>
      <c r="Q69" s="283"/>
      <c r="S69" s="723"/>
      <c r="T69" s="722"/>
    </row>
    <row r="70" spans="1:20" s="293" customFormat="1" ht="15.75">
      <c r="A70" s="283"/>
      <c r="B70" s="298"/>
      <c r="C70" s="298"/>
      <c r="D70" s="298"/>
      <c r="E70" s="298"/>
      <c r="F70" s="298"/>
      <c r="G70" s="298"/>
      <c r="H70" s="298"/>
      <c r="I70" s="298"/>
      <c r="J70" s="298"/>
      <c r="K70" s="298"/>
      <c r="L70" s="311"/>
      <c r="M70" s="298"/>
      <c r="N70" s="311"/>
      <c r="O70" s="283"/>
      <c r="P70" s="283"/>
      <c r="Q70" s="283"/>
      <c r="S70" s="723"/>
      <c r="T70" s="722"/>
    </row>
    <row r="71" spans="1:20" ht="15.75">
      <c r="B71" s="298"/>
      <c r="C71" s="298"/>
      <c r="D71" s="298"/>
      <c r="E71" s="298"/>
      <c r="F71" s="298"/>
      <c r="G71" s="298"/>
      <c r="H71" s="298"/>
      <c r="I71" s="298"/>
      <c r="J71" s="298"/>
      <c r="K71" s="298"/>
      <c r="L71" s="311"/>
      <c r="M71" s="298"/>
      <c r="N71" s="311"/>
    </row>
    <row r="72" spans="1:20" ht="15.75">
      <c r="B72" s="299"/>
      <c r="C72" s="299"/>
      <c r="D72" s="298"/>
      <c r="E72" s="298"/>
      <c r="F72" s="298"/>
      <c r="G72" s="298"/>
      <c r="H72" s="298"/>
      <c r="I72" s="298"/>
      <c r="J72" s="298"/>
      <c r="K72" s="298"/>
      <c r="L72" s="311"/>
      <c r="M72" s="298"/>
      <c r="N72" s="311"/>
    </row>
    <row r="73" spans="1:20" ht="15.75">
      <c r="B73" s="298"/>
      <c r="C73" s="298"/>
      <c r="D73" s="298"/>
      <c r="E73" s="298"/>
      <c r="F73" s="298"/>
      <c r="G73" s="298"/>
      <c r="H73" s="298"/>
      <c r="I73" s="298"/>
      <c r="J73" s="298"/>
      <c r="K73" s="298"/>
      <c r="L73" s="311"/>
      <c r="M73" s="298"/>
      <c r="N73" s="311"/>
    </row>
    <row r="74" spans="1:20" ht="15.75">
      <c r="B74" s="298"/>
      <c r="C74" s="298"/>
      <c r="D74" s="298"/>
      <c r="E74" s="298"/>
      <c r="F74" s="298"/>
      <c r="G74" s="298"/>
      <c r="H74" s="298"/>
      <c r="I74" s="298"/>
      <c r="J74" s="298"/>
      <c r="K74" s="298"/>
      <c r="L74" s="311"/>
      <c r="M74" s="298"/>
      <c r="N74" s="311"/>
    </row>
    <row r="75" spans="1:20" ht="15.75">
      <c r="B75" s="298"/>
      <c r="C75" s="298"/>
      <c r="D75" s="298"/>
      <c r="E75" s="298"/>
      <c r="F75" s="298"/>
      <c r="G75" s="298"/>
      <c r="H75" s="298"/>
      <c r="I75" s="298"/>
      <c r="J75" s="298"/>
      <c r="K75" s="298"/>
      <c r="L75" s="311"/>
      <c r="M75" s="298"/>
      <c r="N75" s="311"/>
    </row>
    <row r="76" spans="1:20" ht="15.75">
      <c r="B76" s="298"/>
      <c r="C76" s="298"/>
      <c r="D76" s="298"/>
      <c r="E76" s="298"/>
      <c r="F76" s="298"/>
      <c r="G76" s="298"/>
      <c r="H76" s="298"/>
      <c r="I76" s="298"/>
      <c r="J76" s="298"/>
      <c r="K76" s="298"/>
      <c r="L76" s="311"/>
      <c r="M76" s="298"/>
      <c r="N76" s="311"/>
    </row>
    <row r="77" spans="1:20" ht="15.75">
      <c r="B77" s="298"/>
      <c r="C77" s="298"/>
      <c r="D77" s="298"/>
      <c r="E77" s="298"/>
      <c r="F77" s="298"/>
      <c r="G77" s="298"/>
      <c r="H77" s="298"/>
      <c r="I77" s="298"/>
      <c r="J77" s="298"/>
      <c r="K77" s="298"/>
      <c r="L77" s="311"/>
      <c r="M77" s="298"/>
      <c r="N77" s="311"/>
    </row>
    <row r="78" spans="1:20" ht="15.75">
      <c r="B78" s="298"/>
      <c r="C78" s="298"/>
      <c r="D78" s="298"/>
      <c r="E78" s="298"/>
      <c r="F78" s="298"/>
      <c r="G78" s="298"/>
      <c r="H78" s="298"/>
      <c r="I78" s="298"/>
      <c r="J78" s="298"/>
      <c r="K78" s="298"/>
      <c r="L78" s="311"/>
      <c r="M78" s="298"/>
      <c r="N78" s="311"/>
    </row>
    <row r="79" spans="1:20" ht="15.75">
      <c r="B79" s="298"/>
      <c r="C79" s="298"/>
      <c r="D79" s="298"/>
      <c r="E79" s="298"/>
      <c r="F79" s="298"/>
      <c r="G79" s="298"/>
      <c r="H79" s="298"/>
      <c r="I79" s="298"/>
      <c r="J79" s="298"/>
      <c r="K79" s="298"/>
      <c r="L79" s="311"/>
      <c r="M79" s="298"/>
      <c r="N79" s="311"/>
    </row>
    <row r="80" spans="1:20"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sheetData>
  <mergeCells count="3">
    <mergeCell ref="B1:N1"/>
    <mergeCell ref="B3:N3"/>
    <mergeCell ref="B4:N4"/>
  </mergeCells>
  <printOptions horizontalCentered="1"/>
  <pageMargins left="0.5" right="0.5" top="0.5" bottom="0.5" header="0.5" footer="0.5"/>
  <pageSetup scale="74"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9" tint="0.39997558519241921"/>
    <pageSetUpPr fitToPage="1"/>
  </sheetPr>
  <dimension ref="A1:Y122"/>
  <sheetViews>
    <sheetView showGridLines="0" showRuler="0" topLeftCell="B3" zoomScaleNormal="100" zoomScaleSheetLayoutView="130" workbookViewId="0">
      <selection activeCell="B65" sqref="A65:XFD80"/>
    </sheetView>
  </sheetViews>
  <sheetFormatPr defaultColWidth="6.85546875" defaultRowHeight="12.75"/>
  <cols>
    <col min="1" max="1" width="18.8554687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17.28515625" style="510" hidden="1" customWidth="1"/>
    <col min="9" max="9" width="3" style="510" hidden="1" customWidth="1"/>
    <col min="10" max="10" width="19.7109375" style="510" hidden="1" customWidth="1"/>
    <col min="11" max="11" width="1.85546875" style="510" hidden="1" customWidth="1"/>
    <col min="12" max="12" width="15.7109375" style="511" customWidth="1"/>
    <col min="13" max="13" width="3" style="510" hidden="1" customWidth="1"/>
    <col min="14" max="14" width="15.7109375" style="1115" customWidth="1"/>
    <col min="15" max="15" width="29.5703125" style="510" bestFit="1" customWidth="1"/>
    <col min="16" max="16" width="15.42578125" style="722" bestFit="1" customWidth="1"/>
    <col min="17" max="17" width="10" style="283" bestFit="1" customWidth="1"/>
    <col min="18" max="18" width="7.5703125" style="283" bestFit="1" customWidth="1"/>
    <col min="19" max="19" width="14.28515625" style="722" bestFit="1" customWidth="1"/>
    <col min="20" max="21" width="12.42578125" style="283" bestFit="1" customWidth="1"/>
    <col min="22" max="24" width="6.85546875" style="283"/>
    <col min="25" max="25" width="13.5703125" style="283" bestFit="1" customWidth="1"/>
    <col min="26" max="16384" width="6.85546875" style="283"/>
  </cols>
  <sheetData>
    <row r="1" spans="1:19" ht="23.45" hidden="1" customHeight="1">
      <c r="B1" s="1706" t="s">
        <v>371</v>
      </c>
      <c r="C1" s="1706"/>
      <c r="D1" s="1706"/>
      <c r="E1" s="1706"/>
      <c r="F1" s="1706"/>
      <c r="G1" s="1706"/>
      <c r="H1" s="1706"/>
      <c r="I1" s="1706"/>
      <c r="J1" s="1706"/>
      <c r="K1" s="1706"/>
      <c r="L1" s="1706"/>
      <c r="M1" s="1706"/>
      <c r="N1" s="1706"/>
      <c r="O1" s="594" t="s">
        <v>1024</v>
      </c>
    </row>
    <row r="2" spans="1:19" ht="18.75" hidden="1">
      <c r="B2" s="284"/>
      <c r="C2" s="493"/>
      <c r="D2" s="493"/>
      <c r="E2" s="493"/>
      <c r="F2" s="493"/>
      <c r="G2" s="493"/>
      <c r="H2" s="493"/>
      <c r="I2" s="493"/>
      <c r="J2" s="493"/>
      <c r="K2" s="493"/>
      <c r="L2" s="493"/>
      <c r="M2" s="493"/>
      <c r="N2" s="1022"/>
    </row>
    <row r="3" spans="1:19" ht="35.450000000000003" customHeight="1">
      <c r="B3" s="1714" t="s">
        <v>849</v>
      </c>
      <c r="C3" s="1714"/>
      <c r="D3" s="1714"/>
      <c r="E3" s="1714"/>
      <c r="F3" s="1714"/>
      <c r="G3" s="1714"/>
      <c r="H3" s="1714"/>
      <c r="I3" s="1714"/>
      <c r="J3" s="1714"/>
      <c r="K3" s="1714"/>
      <c r="L3" s="1714"/>
      <c r="M3" s="1714"/>
      <c r="N3" s="1714"/>
      <c r="O3" s="717"/>
    </row>
    <row r="4" spans="1:19" ht="32.25" customHeight="1" thickBot="1">
      <c r="B4" s="1711"/>
      <c r="C4" s="1711"/>
      <c r="D4" s="1711"/>
      <c r="E4" s="1711"/>
      <c r="F4" s="1711"/>
      <c r="G4" s="1711"/>
      <c r="H4" s="1711"/>
      <c r="I4" s="1711"/>
      <c r="J4" s="1711"/>
      <c r="K4" s="1711"/>
      <c r="L4" s="1711"/>
      <c r="M4" s="1711"/>
      <c r="N4" s="1711"/>
    </row>
    <row r="5" spans="1:19" s="1125" customFormat="1" ht="52.9" customHeight="1" thickBot="1">
      <c r="B5" s="1126"/>
      <c r="C5" s="1127" t="s">
        <v>981</v>
      </c>
      <c r="D5" s="1127"/>
      <c r="E5" s="1128" t="s">
        <v>982</v>
      </c>
      <c r="F5" s="1127"/>
      <c r="G5" s="1128" t="s">
        <v>980</v>
      </c>
      <c r="H5" s="1128" t="s">
        <v>407</v>
      </c>
      <c r="I5" s="1127"/>
      <c r="J5" s="1128" t="s">
        <v>593</v>
      </c>
      <c r="K5" s="1127"/>
      <c r="L5" s="1141" t="s">
        <v>989</v>
      </c>
      <c r="M5" s="1127"/>
      <c r="N5" s="1129" t="s">
        <v>985</v>
      </c>
      <c r="P5" s="1131"/>
      <c r="R5" s="1130"/>
      <c r="S5" s="1131"/>
    </row>
    <row r="6" spans="1:19" ht="12.75" customHeight="1">
      <c r="B6" s="288"/>
      <c r="C6" s="495"/>
      <c r="D6" s="496"/>
      <c r="E6" s="496"/>
      <c r="F6" s="496"/>
      <c r="G6" s="495"/>
      <c r="H6" s="495"/>
      <c r="I6" s="496"/>
      <c r="J6" s="495"/>
      <c r="K6" s="496"/>
      <c r="L6" s="497"/>
      <c r="M6" s="496"/>
    </row>
    <row r="7" spans="1:19" ht="15.75" customHeight="1">
      <c r="B7" s="299" t="s">
        <v>2</v>
      </c>
      <c r="C7" s="498"/>
      <c r="D7" s="499"/>
      <c r="E7" s="499"/>
      <c r="F7" s="499"/>
      <c r="G7" s="499"/>
      <c r="H7" s="500"/>
      <c r="I7" s="499"/>
      <c r="J7" s="500"/>
      <c r="K7" s="499"/>
      <c r="L7" s="501"/>
      <c r="M7" s="499"/>
      <c r="N7" s="981"/>
      <c r="O7" s="607" t="s">
        <v>11</v>
      </c>
      <c r="P7" s="726">
        <v>3904486</v>
      </c>
      <c r="Q7" s="966">
        <v>0.13400000000000001</v>
      </c>
    </row>
    <row r="8" spans="1:19" ht="15.75" customHeight="1">
      <c r="A8" s="321" t="s">
        <v>336</v>
      </c>
      <c r="B8" s="298" t="s">
        <v>6</v>
      </c>
      <c r="C8" s="1268">
        <v>11692105.75</v>
      </c>
      <c r="D8" s="1243"/>
      <c r="E8" s="1268">
        <v>10762933</v>
      </c>
      <c r="F8" s="1268"/>
      <c r="G8" s="1268">
        <v>11972326</v>
      </c>
      <c r="H8" s="1268">
        <v>6771029</v>
      </c>
      <c r="I8" s="1268"/>
      <c r="J8" s="1268" t="e">
        <v>#N/A</v>
      </c>
      <c r="K8" s="1268"/>
      <c r="L8" s="1268">
        <v>11903785</v>
      </c>
      <c r="M8" s="1268"/>
      <c r="N8" s="1268">
        <v>1140852</v>
      </c>
      <c r="O8" s="607" t="s">
        <v>12</v>
      </c>
      <c r="P8" s="726">
        <v>1532497</v>
      </c>
      <c r="Q8" s="966">
        <v>5.1999999999999998E-2</v>
      </c>
      <c r="S8" s="722" t="s">
        <v>58</v>
      </c>
    </row>
    <row r="9" spans="1:19" ht="15.75" customHeight="1">
      <c r="A9" s="321" t="s">
        <v>337</v>
      </c>
      <c r="B9" s="298" t="s">
        <v>368</v>
      </c>
      <c r="C9" s="547">
        <v>2562334.66</v>
      </c>
      <c r="D9" s="514"/>
      <c r="E9" s="514">
        <v>2807000</v>
      </c>
      <c r="F9" s="514"/>
      <c r="G9" s="527">
        <v>2804000</v>
      </c>
      <c r="H9" s="515">
        <v>2032439</v>
      </c>
      <c r="I9" s="514"/>
      <c r="J9" s="528">
        <v>3038435</v>
      </c>
      <c r="K9" s="514"/>
      <c r="L9" s="514">
        <v>3038435</v>
      </c>
      <c r="M9" s="514"/>
      <c r="N9" s="527">
        <v>231435</v>
      </c>
      <c r="O9" s="607" t="s">
        <v>801</v>
      </c>
      <c r="P9" s="726">
        <v>3678473.92</v>
      </c>
      <c r="Q9" s="966">
        <v>0.127</v>
      </c>
    </row>
    <row r="10" spans="1:19" s="293" customFormat="1" ht="15.75" customHeight="1" thickBot="1">
      <c r="A10" s="621" t="s">
        <v>338</v>
      </c>
      <c r="B10" s="311" t="s">
        <v>8</v>
      </c>
      <c r="C10" s="547">
        <v>263878.19</v>
      </c>
      <c r="D10" s="514"/>
      <c r="E10" s="514">
        <v>284197</v>
      </c>
      <c r="F10" s="514"/>
      <c r="G10" s="527">
        <v>355498</v>
      </c>
      <c r="H10" s="515">
        <v>260816</v>
      </c>
      <c r="I10" s="514"/>
      <c r="J10" s="528">
        <v>382891.66</v>
      </c>
      <c r="K10" s="514"/>
      <c r="L10" s="514">
        <v>382891.66</v>
      </c>
      <c r="M10" s="514"/>
      <c r="N10" s="527">
        <v>98694.659999999974</v>
      </c>
      <c r="O10" s="607" t="s">
        <v>14</v>
      </c>
      <c r="P10" s="727">
        <v>5751865.7999999998</v>
      </c>
      <c r="Q10" s="966">
        <v>0.19800000000000001</v>
      </c>
      <c r="S10" s="723"/>
    </row>
    <row r="11" spans="1:19" s="293" customFormat="1" ht="15.75" customHeight="1" thickBot="1">
      <c r="A11" s="1095" t="s">
        <v>349</v>
      </c>
      <c r="B11" s="311" t="s">
        <v>28</v>
      </c>
      <c r="C11" s="1239">
        <v>436224.86</v>
      </c>
      <c r="D11" s="518"/>
      <c r="E11" s="1239">
        <v>0</v>
      </c>
      <c r="F11" s="514"/>
      <c r="G11" s="527">
        <v>0</v>
      </c>
      <c r="H11" s="515">
        <v>260816</v>
      </c>
      <c r="I11" s="514"/>
      <c r="J11" s="528">
        <v>0</v>
      </c>
      <c r="K11" s="514"/>
      <c r="L11" s="518">
        <v>0</v>
      </c>
      <c r="M11" s="514"/>
      <c r="N11" s="527">
        <v>0</v>
      </c>
      <c r="O11" s="698" t="s">
        <v>15</v>
      </c>
      <c r="P11" s="727">
        <v>493200</v>
      </c>
      <c r="Q11" s="966">
        <v>1.7000000000000001E-2</v>
      </c>
      <c r="S11" s="723"/>
    </row>
    <row r="12" spans="1:19" s="625" customFormat="1" ht="15.75" customHeight="1">
      <c r="A12" s="293"/>
      <c r="B12" s="311" t="s">
        <v>319</v>
      </c>
      <c r="C12" s="518">
        <v>0</v>
      </c>
      <c r="D12" s="522"/>
      <c r="E12" s="528">
        <v>1544869</v>
      </c>
      <c r="F12" s="522"/>
      <c r="G12" s="528">
        <v>0</v>
      </c>
      <c r="H12" s="522">
        <v>0</v>
      </c>
      <c r="I12" s="522"/>
      <c r="J12" s="518">
        <v>0</v>
      </c>
      <c r="K12" s="522"/>
      <c r="L12" s="528">
        <v>6425006.0599999987</v>
      </c>
      <c r="M12" s="515"/>
      <c r="N12" s="527">
        <v>4880137.0599999987</v>
      </c>
      <c r="O12" s="698" t="s">
        <v>38</v>
      </c>
      <c r="P12" s="727">
        <v>6389595</v>
      </c>
      <c r="Q12" s="966">
        <v>0.22</v>
      </c>
      <c r="S12" s="724"/>
    </row>
    <row r="13" spans="1:19" s="293" customFormat="1" ht="15.75">
      <c r="A13" s="625"/>
      <c r="B13" s="622" t="s">
        <v>9</v>
      </c>
      <c r="C13" s="1030">
        <v>14954543.5</v>
      </c>
      <c r="D13" s="523"/>
      <c r="E13" s="523">
        <v>15398999</v>
      </c>
      <c r="F13" s="523"/>
      <c r="G13" s="523">
        <v>15131824</v>
      </c>
      <c r="H13" s="523">
        <v>9325100</v>
      </c>
      <c r="I13" s="523"/>
      <c r="J13" s="523" t="e">
        <v>#N/A</v>
      </c>
      <c r="K13" s="523"/>
      <c r="L13" s="523">
        <v>21750117.719999999</v>
      </c>
      <c r="M13" s="523"/>
      <c r="N13" s="1026">
        <v>6351118.7199999988</v>
      </c>
      <c r="O13" s="698" t="s">
        <v>23</v>
      </c>
      <c r="P13" s="727">
        <v>7311997.9400000013</v>
      </c>
      <c r="Q13" s="966">
        <v>0.252</v>
      </c>
      <c r="S13" s="879"/>
    </row>
    <row r="14" spans="1:19" s="293" customFormat="1" ht="16.5" thickBot="1">
      <c r="B14" s="310"/>
      <c r="C14" s="1031"/>
      <c r="D14" s="515"/>
      <c r="E14" s="515"/>
      <c r="F14" s="515"/>
      <c r="G14" s="515"/>
      <c r="H14" s="515"/>
      <c r="I14" s="515"/>
      <c r="J14" s="515"/>
      <c r="K14" s="515"/>
      <c r="L14" s="515"/>
      <c r="M14" s="515"/>
      <c r="N14" s="522"/>
      <c r="O14" s="669" t="s">
        <v>25</v>
      </c>
      <c r="P14" s="728">
        <v>29062115.66</v>
      </c>
      <c r="Q14" s="668">
        <v>1</v>
      </c>
      <c r="S14" s="723"/>
    </row>
    <row r="15" spans="1:19" s="293" customFormat="1" ht="16.5" thickTop="1">
      <c r="B15" s="313" t="s">
        <v>320</v>
      </c>
      <c r="C15" s="1031"/>
      <c r="D15" s="515"/>
      <c r="E15" s="515"/>
      <c r="F15" s="515"/>
      <c r="G15" s="515"/>
      <c r="H15" s="515"/>
      <c r="I15" s="515"/>
      <c r="J15" s="515"/>
      <c r="K15" s="515"/>
      <c r="L15" s="515"/>
      <c r="M15" s="515"/>
      <c r="N15" s="522"/>
      <c r="S15" s="723"/>
    </row>
    <row r="16" spans="1:19" s="293" customFormat="1" ht="15.75">
      <c r="B16" s="311" t="s">
        <v>327</v>
      </c>
      <c r="C16" s="1032">
        <v>13370560</v>
      </c>
      <c r="D16" s="515"/>
      <c r="E16" s="515">
        <v>12251781</v>
      </c>
      <c r="F16" s="515"/>
      <c r="G16" s="515">
        <v>13796650</v>
      </c>
      <c r="H16" s="515">
        <v>13796650</v>
      </c>
      <c r="I16" s="515"/>
      <c r="J16" s="515">
        <v>13796650</v>
      </c>
      <c r="K16" s="515"/>
      <c r="L16" s="515">
        <v>7311997.9400000013</v>
      </c>
      <c r="M16" s="515"/>
      <c r="N16" s="528">
        <v>-4939783.0599999987</v>
      </c>
      <c r="O16" s="670"/>
      <c r="P16" s="727"/>
      <c r="Q16" s="348"/>
      <c r="R16" s="344"/>
      <c r="S16" s="724"/>
    </row>
    <row r="17" spans="1:25" s="293" customFormat="1" ht="15.75">
      <c r="B17" s="622" t="s">
        <v>20</v>
      </c>
      <c r="C17" s="1030">
        <v>13370560</v>
      </c>
      <c r="D17" s="523"/>
      <c r="E17" s="523">
        <v>12251781</v>
      </c>
      <c r="F17" s="523"/>
      <c r="G17" s="523">
        <v>13796650</v>
      </c>
      <c r="H17" s="523">
        <v>13796650</v>
      </c>
      <c r="I17" s="523"/>
      <c r="J17" s="523">
        <v>13796650</v>
      </c>
      <c r="K17" s="523"/>
      <c r="L17" s="523">
        <v>7311997.9400000013</v>
      </c>
      <c r="M17" s="523"/>
      <c r="N17" s="1026">
        <v>-4939783.0599999987</v>
      </c>
      <c r="O17" s="670" t="s">
        <v>58</v>
      </c>
      <c r="P17" s="727" t="s">
        <v>58</v>
      </c>
      <c r="Q17" s="966" t="s">
        <v>58</v>
      </c>
      <c r="S17" s="879"/>
      <c r="Y17" s="723"/>
    </row>
    <row r="18" spans="1:25" s="293" customFormat="1" ht="16.5" thickBot="1">
      <c r="B18" s="616" t="s">
        <v>21</v>
      </c>
      <c r="C18" s="1034">
        <v>28325103.5</v>
      </c>
      <c r="D18" s="617"/>
      <c r="E18" s="617">
        <v>27650780</v>
      </c>
      <c r="F18" s="617"/>
      <c r="G18" s="617">
        <v>28928474</v>
      </c>
      <c r="H18" s="617">
        <v>23121750</v>
      </c>
      <c r="I18" s="617"/>
      <c r="J18" s="617" t="e">
        <v>#N/A</v>
      </c>
      <c r="K18" s="617"/>
      <c r="L18" s="617">
        <v>29062115.66</v>
      </c>
      <c r="M18" s="617"/>
      <c r="N18" s="1028">
        <v>1411335.6600000001</v>
      </c>
      <c r="O18" s="670" t="s">
        <v>6</v>
      </c>
      <c r="P18" s="727">
        <v>11903785</v>
      </c>
      <c r="Q18" s="966">
        <v>0.40899999999999997</v>
      </c>
      <c r="S18" s="723"/>
    </row>
    <row r="19" spans="1:25" s="293" customFormat="1" ht="16.5" thickTop="1">
      <c r="B19" s="316"/>
      <c r="C19" s="1035"/>
      <c r="D19" s="515"/>
      <c r="E19" s="515"/>
      <c r="F19" s="515"/>
      <c r="G19" s="515"/>
      <c r="H19" s="515"/>
      <c r="I19" s="515"/>
      <c r="J19" s="515"/>
      <c r="K19" s="515"/>
      <c r="L19" s="515"/>
      <c r="M19" s="515"/>
      <c r="N19" s="522"/>
      <c r="O19" s="670" t="s">
        <v>368</v>
      </c>
      <c r="P19" s="727">
        <v>3038435</v>
      </c>
      <c r="Q19" s="966">
        <v>0.105</v>
      </c>
      <c r="S19" s="723"/>
    </row>
    <row r="20" spans="1:25" s="293" customFormat="1" ht="15.75">
      <c r="B20" s="349" t="s">
        <v>10</v>
      </c>
      <c r="C20" s="1033"/>
      <c r="D20" s="514"/>
      <c r="E20" s="514"/>
      <c r="F20" s="514"/>
      <c r="G20" s="515"/>
      <c r="H20" s="515"/>
      <c r="I20" s="514"/>
      <c r="J20" s="515"/>
      <c r="K20" s="514"/>
      <c r="L20" s="514"/>
      <c r="M20" s="514"/>
      <c r="N20" s="518"/>
      <c r="O20" s="670" t="s">
        <v>8</v>
      </c>
      <c r="P20" s="727">
        <v>382891.66</v>
      </c>
      <c r="Q20" s="966">
        <v>1.2999999999999999E-2</v>
      </c>
      <c r="S20" s="723"/>
      <c r="T20" s="723"/>
      <c r="U20" s="723"/>
    </row>
    <row r="21" spans="1:25" s="293" customFormat="1" ht="15.75">
      <c r="A21" s="621" t="s">
        <v>340</v>
      </c>
      <c r="B21" s="316" t="s">
        <v>11</v>
      </c>
      <c r="C21" s="547">
        <v>3302182</v>
      </c>
      <c r="D21" s="514"/>
      <c r="E21" s="514">
        <v>3736456</v>
      </c>
      <c r="F21" s="514"/>
      <c r="G21" s="527">
        <v>3573425.4</v>
      </c>
      <c r="H21" s="515">
        <v>2138957</v>
      </c>
      <c r="I21" s="514"/>
      <c r="J21" s="528">
        <v>3904486</v>
      </c>
      <c r="K21" s="514"/>
      <c r="L21" s="514">
        <v>3904486</v>
      </c>
      <c r="M21" s="514"/>
      <c r="N21" s="527">
        <v>168030</v>
      </c>
      <c r="O21" s="670" t="s">
        <v>28</v>
      </c>
      <c r="P21" s="727">
        <v>0</v>
      </c>
      <c r="Q21" s="966">
        <v>0</v>
      </c>
      <c r="S21" s="723"/>
      <c r="T21" s="723"/>
      <c r="U21" s="723"/>
    </row>
    <row r="22" spans="1:25" s="293" customFormat="1" ht="15.75">
      <c r="A22" s="621" t="s">
        <v>341</v>
      </c>
      <c r="B22" s="316" t="s">
        <v>12</v>
      </c>
      <c r="C22" s="547">
        <v>1354593.02</v>
      </c>
      <c r="D22" s="514"/>
      <c r="E22" s="514">
        <v>1497106.78</v>
      </c>
      <c r="F22" s="514"/>
      <c r="G22" s="527">
        <v>1310259</v>
      </c>
      <c r="H22" s="515">
        <v>1192556</v>
      </c>
      <c r="I22" s="514"/>
      <c r="J22" s="528">
        <v>1532497</v>
      </c>
      <c r="K22" s="514"/>
      <c r="L22" s="514">
        <v>1532497</v>
      </c>
      <c r="M22" s="514"/>
      <c r="N22" s="527">
        <v>35390.219999999972</v>
      </c>
      <c r="O22" s="670" t="s">
        <v>319</v>
      </c>
      <c r="P22" s="727">
        <v>6425006.0599999987</v>
      </c>
      <c r="Q22" s="966">
        <v>0.221</v>
      </c>
      <c r="R22" s="344"/>
      <c r="S22" s="723"/>
      <c r="T22" s="723"/>
      <c r="U22" s="723"/>
    </row>
    <row r="23" spans="1:25" s="293" customFormat="1" ht="15.75">
      <c r="A23" s="621" t="s">
        <v>342</v>
      </c>
      <c r="B23" s="316" t="s">
        <v>801</v>
      </c>
      <c r="C23" s="547">
        <v>2392498.59</v>
      </c>
      <c r="D23" s="514"/>
      <c r="E23" s="514">
        <v>3518975.38</v>
      </c>
      <c r="F23" s="514"/>
      <c r="G23" s="527">
        <v>3586071</v>
      </c>
      <c r="H23" s="515">
        <v>1218376</v>
      </c>
      <c r="I23" s="514"/>
      <c r="J23" s="528">
        <v>3678473.92</v>
      </c>
      <c r="K23" s="514"/>
      <c r="L23" s="514">
        <v>3678473.92</v>
      </c>
      <c r="M23" s="514"/>
      <c r="N23" s="527">
        <v>159498.54000000004</v>
      </c>
      <c r="O23" s="670" t="s">
        <v>19</v>
      </c>
      <c r="P23" s="727">
        <v>7311997.9400000013</v>
      </c>
      <c r="Q23" s="966">
        <v>0.252</v>
      </c>
      <c r="R23" s="344"/>
      <c r="S23" s="723"/>
      <c r="T23" s="723"/>
      <c r="U23" s="723"/>
    </row>
    <row r="24" spans="1:25" s="293" customFormat="1" ht="16.5" thickBot="1">
      <c r="A24" s="621" t="s">
        <v>343</v>
      </c>
      <c r="B24" s="316" t="s">
        <v>14</v>
      </c>
      <c r="C24" s="547">
        <v>4865790.51</v>
      </c>
      <c r="D24" s="514"/>
      <c r="E24" s="514">
        <v>5411989</v>
      </c>
      <c r="F24" s="514"/>
      <c r="G24" s="527">
        <v>5493329</v>
      </c>
      <c r="H24" s="515">
        <v>2043225</v>
      </c>
      <c r="I24" s="514"/>
      <c r="J24" s="528" t="e">
        <v>#N/A</v>
      </c>
      <c r="K24" s="514"/>
      <c r="L24" s="514">
        <v>5751865.7999999998</v>
      </c>
      <c r="M24" s="514"/>
      <c r="N24" s="527">
        <v>339876.79999999981</v>
      </c>
      <c r="O24" s="669" t="s">
        <v>21</v>
      </c>
      <c r="P24" s="728">
        <v>29062115.66</v>
      </c>
      <c r="Q24" s="668">
        <v>1</v>
      </c>
      <c r="S24" s="723"/>
      <c r="T24" s="723"/>
      <c r="U24" s="723"/>
    </row>
    <row r="25" spans="1:25" s="293" customFormat="1" ht="16.5" thickTop="1">
      <c r="A25" s="621" t="s">
        <v>350</v>
      </c>
      <c r="B25" s="316" t="s">
        <v>15</v>
      </c>
      <c r="C25" s="547">
        <v>936792.82</v>
      </c>
      <c r="D25" s="514"/>
      <c r="E25" s="514">
        <v>364366</v>
      </c>
      <c r="F25" s="514"/>
      <c r="G25" s="527">
        <v>358280</v>
      </c>
      <c r="H25" s="515">
        <v>0</v>
      </c>
      <c r="I25" s="514"/>
      <c r="J25" s="528">
        <v>493200</v>
      </c>
      <c r="K25" s="514"/>
      <c r="L25" s="514">
        <v>493200</v>
      </c>
      <c r="M25" s="514"/>
      <c r="N25" s="527">
        <v>128834</v>
      </c>
      <c r="O25" s="671"/>
      <c r="P25" s="723"/>
      <c r="S25" s="723"/>
      <c r="T25" s="723"/>
      <c r="U25" s="723"/>
    </row>
    <row r="26" spans="1:25" s="293" customFormat="1" ht="15.75">
      <c r="A26" s="621"/>
      <c r="B26" s="316" t="s">
        <v>1001</v>
      </c>
      <c r="C26" s="518">
        <v>0</v>
      </c>
      <c r="D26" s="514"/>
      <c r="E26" s="1239">
        <v>507434</v>
      </c>
      <c r="F26" s="514"/>
      <c r="G26" s="1239">
        <v>507434</v>
      </c>
      <c r="H26" s="515"/>
      <c r="I26" s="514"/>
      <c r="J26" s="528"/>
      <c r="K26" s="514"/>
      <c r="L26" s="514">
        <v>6011250</v>
      </c>
      <c r="M26" s="514"/>
      <c r="N26" s="1239">
        <v>5503816</v>
      </c>
      <c r="O26" s="671"/>
      <c r="P26" s="723"/>
      <c r="S26" s="723"/>
      <c r="T26" s="723"/>
      <c r="U26" s="723"/>
    </row>
    <row r="27" spans="1:25" s="293" customFormat="1" ht="15.75">
      <c r="A27" s="621"/>
      <c r="B27" s="316" t="s">
        <v>1000</v>
      </c>
      <c r="C27" s="547">
        <v>1089867.03</v>
      </c>
      <c r="D27" s="514"/>
      <c r="E27" s="518">
        <v>0</v>
      </c>
      <c r="F27" s="514"/>
      <c r="G27" s="527">
        <v>0</v>
      </c>
      <c r="H27" s="515">
        <v>669294</v>
      </c>
      <c r="I27" s="514"/>
      <c r="J27" s="515">
        <v>885724</v>
      </c>
      <c r="K27" s="514"/>
      <c r="L27" s="518">
        <v>0</v>
      </c>
      <c r="M27" s="514"/>
      <c r="N27" s="527">
        <v>0</v>
      </c>
      <c r="O27" s="1784"/>
      <c r="P27" s="729"/>
      <c r="Q27" s="344"/>
      <c r="R27" s="344"/>
      <c r="S27" s="729"/>
      <c r="T27" s="729"/>
      <c r="U27" s="723"/>
    </row>
    <row r="28" spans="1:25" s="293" customFormat="1" ht="15.75">
      <c r="A28" s="621" t="s">
        <v>346</v>
      </c>
      <c r="B28" s="316" t="s">
        <v>999</v>
      </c>
      <c r="C28" s="547">
        <v>586729</v>
      </c>
      <c r="D28" s="514"/>
      <c r="E28" s="514">
        <v>362672</v>
      </c>
      <c r="F28" s="514"/>
      <c r="G28" s="1239">
        <v>362672</v>
      </c>
      <c r="H28" s="515"/>
      <c r="I28" s="514"/>
      <c r="J28" s="528"/>
      <c r="K28" s="514"/>
      <c r="L28" s="514">
        <v>378345</v>
      </c>
      <c r="M28" s="514"/>
      <c r="N28" s="1239">
        <v>15673</v>
      </c>
      <c r="O28" s="1784"/>
      <c r="P28" s="729"/>
      <c r="Q28" s="344"/>
      <c r="R28" s="344"/>
      <c r="S28" s="729"/>
      <c r="T28" s="344"/>
    </row>
    <row r="29" spans="1:25" s="293" customFormat="1" ht="15.75">
      <c r="B29" s="622" t="s">
        <v>22</v>
      </c>
      <c r="C29" s="523">
        <v>14528453.969999999</v>
      </c>
      <c r="D29" s="523"/>
      <c r="E29" s="523">
        <v>15398999</v>
      </c>
      <c r="F29" s="523"/>
      <c r="G29" s="523">
        <v>15191470</v>
      </c>
      <c r="H29" s="523">
        <v>7262408</v>
      </c>
      <c r="I29" s="523"/>
      <c r="J29" s="523" t="e">
        <v>#N/A</v>
      </c>
      <c r="K29" s="523"/>
      <c r="L29" s="523">
        <v>21750117.719999999</v>
      </c>
      <c r="M29" s="523"/>
      <c r="N29" s="1026">
        <v>6351118.7199999988</v>
      </c>
      <c r="O29" s="1784"/>
      <c r="P29" s="729"/>
      <c r="Q29" s="344"/>
      <c r="R29" s="344"/>
      <c r="S29" s="729"/>
      <c r="T29" s="344"/>
    </row>
    <row r="30" spans="1:25" s="293" customFormat="1" ht="15.75">
      <c r="B30" s="311"/>
      <c r="C30" s="547"/>
      <c r="D30" s="515"/>
      <c r="E30" s="515"/>
      <c r="F30" s="515"/>
      <c r="G30" s="515"/>
      <c r="H30" s="515"/>
      <c r="I30" s="515"/>
      <c r="J30" s="515"/>
      <c r="K30" s="515"/>
      <c r="L30" s="515"/>
      <c r="M30" s="515"/>
      <c r="N30" s="522"/>
      <c r="O30" s="1784"/>
      <c r="P30" s="729"/>
      <c r="Q30" s="344"/>
      <c r="R30" s="344"/>
      <c r="S30" s="729"/>
      <c r="T30" s="672"/>
    </row>
    <row r="31" spans="1:25" s="293" customFormat="1" ht="15.75">
      <c r="B31" s="313" t="s">
        <v>321</v>
      </c>
      <c r="C31" s="1031"/>
      <c r="D31" s="525"/>
      <c r="E31" s="525"/>
      <c r="F31" s="525"/>
      <c r="G31" s="525"/>
      <c r="H31" s="525"/>
      <c r="I31" s="525"/>
      <c r="J31" s="525"/>
      <c r="K31" s="525"/>
      <c r="L31" s="525"/>
      <c r="M31" s="525"/>
      <c r="N31" s="518"/>
      <c r="O31" s="344"/>
      <c r="P31" s="1757"/>
      <c r="Q31" s="1785"/>
      <c r="R31" s="344"/>
      <c r="S31" s="1277"/>
      <c r="T31" s="344"/>
    </row>
    <row r="32" spans="1:25" s="293" customFormat="1" ht="15.75">
      <c r="B32" s="316" t="s">
        <v>322</v>
      </c>
      <c r="C32" s="528">
        <v>3349988.5131506845</v>
      </c>
      <c r="D32" s="515"/>
      <c r="E32" s="515">
        <v>3700746.4032876715</v>
      </c>
      <c r="F32" s="515"/>
      <c r="G32" s="515">
        <v>3675160.6657534251</v>
      </c>
      <c r="H32" s="515">
        <v>3675160.6657534251</v>
      </c>
      <c r="I32" s="515"/>
      <c r="J32" s="515">
        <v>2993217</v>
      </c>
      <c r="K32" s="515"/>
      <c r="L32" s="528">
        <v>3778896.0750684929</v>
      </c>
      <c r="M32" s="515"/>
      <c r="N32" s="528">
        <v>78149.671780821402</v>
      </c>
      <c r="O32" s="1786"/>
      <c r="P32" s="1757"/>
      <c r="Q32" s="1787"/>
      <c r="R32" s="344"/>
      <c r="S32" s="1277"/>
      <c r="T32" s="344"/>
    </row>
    <row r="33" spans="1:25" s="625" customFormat="1" ht="15.75">
      <c r="A33" s="293"/>
      <c r="B33" s="316" t="s">
        <v>31</v>
      </c>
      <c r="C33" s="1029">
        <v>10446661.486849315</v>
      </c>
      <c r="D33" s="515"/>
      <c r="E33" s="1029">
        <v>8551035</v>
      </c>
      <c r="F33" s="515"/>
      <c r="G33" s="1029">
        <v>10061843.334246576</v>
      </c>
      <c r="H33" s="515">
        <v>8671871</v>
      </c>
      <c r="I33" s="515"/>
      <c r="J33" s="515">
        <v>7623268.5899999999</v>
      </c>
      <c r="K33" s="515"/>
      <c r="L33" s="1029">
        <v>3533101.8649315084</v>
      </c>
      <c r="M33" s="515"/>
      <c r="N33" s="528">
        <v>-5017933</v>
      </c>
      <c r="O33" s="1786"/>
      <c r="P33" s="1788"/>
      <c r="Q33" s="344"/>
      <c r="R33" s="661"/>
      <c r="S33" s="1277"/>
      <c r="T33" s="661"/>
    </row>
    <row r="34" spans="1:25" s="293" customFormat="1" ht="15.75">
      <c r="A34" s="625"/>
      <c r="B34" s="1246" t="s">
        <v>323</v>
      </c>
      <c r="C34" s="1030">
        <v>13796650</v>
      </c>
      <c r="D34" s="523"/>
      <c r="E34" s="523">
        <v>12251781.403287672</v>
      </c>
      <c r="F34" s="523"/>
      <c r="G34" s="1026">
        <v>13737004</v>
      </c>
      <c r="H34" s="523">
        <v>12347031.665753424</v>
      </c>
      <c r="I34" s="523"/>
      <c r="J34" s="523">
        <v>10616485.59</v>
      </c>
      <c r="K34" s="523"/>
      <c r="L34" s="523">
        <v>7311997.9400000013</v>
      </c>
      <c r="M34" s="523"/>
      <c r="N34" s="1026">
        <v>-4939783</v>
      </c>
      <c r="O34" s="1789"/>
      <c r="P34" s="1758"/>
      <c r="Q34" s="661"/>
      <c r="R34" s="344"/>
      <c r="S34" s="729"/>
      <c r="T34" s="344"/>
      <c r="Y34" s="723"/>
    </row>
    <row r="35" spans="1:25" s="293" customFormat="1" ht="16.5" thickBot="1">
      <c r="B35" s="616" t="s">
        <v>25</v>
      </c>
      <c r="C35" s="1267">
        <v>28325103.969999999</v>
      </c>
      <c r="D35" s="627"/>
      <c r="E35" s="1267">
        <v>27650780.403287672</v>
      </c>
      <c r="F35" s="1267"/>
      <c r="G35" s="1267">
        <v>28928474</v>
      </c>
      <c r="H35" s="1267">
        <v>19609439.665753424</v>
      </c>
      <c r="I35" s="1267"/>
      <c r="J35" s="627" t="e">
        <v>#N/A</v>
      </c>
      <c r="K35" s="627"/>
      <c r="L35" s="1267">
        <v>29062115.66</v>
      </c>
      <c r="M35" s="1267"/>
      <c r="N35" s="1267">
        <v>1411336.2567123286</v>
      </c>
      <c r="O35" s="1786"/>
      <c r="P35" s="1757"/>
      <c r="Q35" s="344"/>
      <c r="R35" s="344"/>
      <c r="S35" s="729"/>
      <c r="T35" s="344"/>
    </row>
    <row r="36" spans="1:25" s="293" customFormat="1" ht="15.75" thickTop="1">
      <c r="B36" s="1715"/>
      <c r="C36" s="1715"/>
      <c r="D36" s="1715"/>
      <c r="E36" s="1715"/>
      <c r="F36" s="1715"/>
      <c r="G36" s="1715"/>
      <c r="H36" s="1715"/>
      <c r="I36" s="1715"/>
      <c r="J36" s="1715"/>
      <c r="K36" s="1715"/>
      <c r="L36" s="1715"/>
      <c r="M36" s="1715"/>
      <c r="N36" s="1715"/>
      <c r="O36" s="344"/>
      <c r="P36" s="729"/>
      <c r="Q36" s="344"/>
      <c r="R36" s="344"/>
      <c r="S36" s="729"/>
      <c r="T36" s="344"/>
    </row>
    <row r="37" spans="1:25" s="293" customFormat="1" ht="15.75">
      <c r="B37" s="313"/>
      <c r="C37" s="524"/>
      <c r="D37" s="529"/>
      <c r="E37" s="529"/>
      <c r="F37" s="529"/>
      <c r="G37" s="529"/>
      <c r="H37" s="529"/>
      <c r="I37" s="529"/>
      <c r="J37" s="529"/>
      <c r="K37" s="529"/>
      <c r="L37" s="529"/>
      <c r="M37" s="529"/>
      <c r="N37" s="893"/>
      <c r="O37" s="1790"/>
      <c r="P37" s="729"/>
      <c r="Q37" s="344"/>
      <c r="R37" s="344"/>
      <c r="S37" s="729"/>
      <c r="T37" s="344"/>
    </row>
    <row r="38" spans="1:25" s="293" customFormat="1" ht="15.75">
      <c r="B38" s="313"/>
      <c r="C38" s="524"/>
      <c r="D38" s="529"/>
      <c r="E38" s="529"/>
      <c r="F38" s="529"/>
      <c r="G38" s="529"/>
      <c r="H38" s="529"/>
      <c r="I38" s="529"/>
      <c r="J38" s="529"/>
      <c r="K38" s="529"/>
      <c r="L38" s="893" t="s">
        <v>58</v>
      </c>
      <c r="M38" s="529"/>
      <c r="N38" s="893"/>
      <c r="O38" s="1791"/>
      <c r="P38" s="729"/>
      <c r="Q38" s="344"/>
      <c r="R38" s="344"/>
      <c r="S38" s="729"/>
      <c r="T38" s="344"/>
    </row>
    <row r="39" spans="1:25" s="293" customFormat="1" ht="14.45" customHeight="1">
      <c r="B39" s="313"/>
      <c r="C39" s="502"/>
      <c r="D39" s="506"/>
      <c r="E39" s="506"/>
      <c r="F39" s="506"/>
      <c r="G39" s="506"/>
      <c r="H39" s="506"/>
      <c r="I39" s="506"/>
      <c r="J39" s="506"/>
      <c r="K39" s="506"/>
      <c r="L39" s="506"/>
      <c r="M39" s="506"/>
      <c r="N39" s="1080"/>
      <c r="O39" s="1791"/>
      <c r="P39" s="729"/>
      <c r="Q39" s="344"/>
      <c r="R39" s="344"/>
      <c r="S39" s="729"/>
      <c r="T39" s="344"/>
    </row>
    <row r="40" spans="1:25" s="293" customFormat="1" ht="15.75">
      <c r="B40" s="313"/>
      <c r="C40" s="502"/>
      <c r="D40" s="506"/>
      <c r="E40" s="506"/>
      <c r="F40" s="506"/>
      <c r="G40" s="506"/>
      <c r="H40" s="506"/>
      <c r="I40" s="506"/>
      <c r="J40" s="506"/>
      <c r="K40" s="506"/>
      <c r="L40" s="506"/>
      <c r="M40" s="506"/>
      <c r="N40" s="1080"/>
      <c r="O40" s="494"/>
      <c r="P40" s="729"/>
      <c r="Q40" s="344"/>
      <c r="R40" s="344"/>
      <c r="S40" s="729"/>
      <c r="T40" s="344"/>
    </row>
    <row r="41" spans="1:25" s="293" customFormat="1" ht="15.75">
      <c r="B41" s="313"/>
      <c r="C41" s="502"/>
      <c r="D41" s="506"/>
      <c r="E41" s="506"/>
      <c r="F41" s="506"/>
      <c r="G41" s="506"/>
      <c r="H41" s="506"/>
      <c r="I41" s="506"/>
      <c r="J41" s="506"/>
      <c r="K41" s="506"/>
      <c r="L41" s="506"/>
      <c r="M41" s="506"/>
      <c r="N41" s="1080"/>
      <c r="O41" s="494"/>
      <c r="P41" s="729"/>
      <c r="Q41" s="344"/>
      <c r="R41" s="344"/>
      <c r="S41" s="344"/>
      <c r="T41" s="344"/>
    </row>
    <row r="42" spans="1:25" s="293" customFormat="1" ht="15.75">
      <c r="B42" s="313"/>
      <c r="C42" s="502"/>
      <c r="D42" s="506"/>
      <c r="E42" s="506"/>
      <c r="F42" s="506"/>
      <c r="G42" s="506"/>
      <c r="H42" s="506"/>
      <c r="I42" s="506"/>
      <c r="J42" s="506"/>
      <c r="K42" s="506"/>
      <c r="L42" s="506"/>
      <c r="M42" s="506"/>
      <c r="N42" s="1080"/>
      <c r="O42" s="494"/>
      <c r="P42" s="729"/>
      <c r="Q42" s="344"/>
      <c r="R42" s="344"/>
      <c r="S42" s="729"/>
      <c r="T42" s="344"/>
    </row>
    <row r="43" spans="1:25" s="293" customFormat="1" ht="15.75">
      <c r="B43" s="313"/>
      <c r="C43" s="502"/>
      <c r="D43" s="506"/>
      <c r="E43" s="506"/>
      <c r="F43" s="506"/>
      <c r="G43" s="506"/>
      <c r="H43" s="506"/>
      <c r="I43" s="506"/>
      <c r="J43" s="506"/>
      <c r="K43" s="506"/>
      <c r="L43" s="506"/>
      <c r="M43" s="506"/>
      <c r="N43" s="1080"/>
      <c r="O43" s="494"/>
      <c r="P43" s="729"/>
      <c r="Q43" s="344"/>
      <c r="R43" s="344"/>
      <c r="S43" s="729"/>
      <c r="T43" s="344"/>
    </row>
    <row r="44" spans="1:25" s="293" customFormat="1" ht="15.75">
      <c r="B44" s="313"/>
      <c r="C44" s="502"/>
      <c r="D44" s="506"/>
      <c r="E44" s="506"/>
      <c r="F44" s="506"/>
      <c r="G44" s="506"/>
      <c r="H44" s="506"/>
      <c r="I44" s="506"/>
      <c r="J44" s="506"/>
      <c r="K44" s="506"/>
      <c r="L44" s="506"/>
      <c r="M44" s="506"/>
      <c r="N44" s="1080"/>
      <c r="O44" s="494"/>
      <c r="P44" s="729"/>
      <c r="Q44" s="344"/>
      <c r="R44" s="344"/>
      <c r="S44" s="729"/>
      <c r="T44" s="344"/>
    </row>
    <row r="45" spans="1:25" s="293" customFormat="1" ht="15.75">
      <c r="B45" s="313"/>
      <c r="C45" s="502"/>
      <c r="D45" s="506"/>
      <c r="E45" s="506"/>
      <c r="F45" s="506"/>
      <c r="G45" s="506"/>
      <c r="H45" s="506"/>
      <c r="I45" s="506"/>
      <c r="J45" s="506"/>
      <c r="K45" s="506"/>
      <c r="L45" s="506"/>
      <c r="M45" s="506"/>
      <c r="N45" s="1080"/>
      <c r="O45" s="494"/>
      <c r="P45" s="729"/>
      <c r="Q45" s="344"/>
      <c r="R45" s="344"/>
      <c r="S45" s="729"/>
      <c r="T45" s="344"/>
    </row>
    <row r="46" spans="1:25" s="293" customFormat="1" ht="15.75">
      <c r="B46" s="313"/>
      <c r="C46" s="502"/>
      <c r="D46" s="506"/>
      <c r="E46" s="506"/>
      <c r="F46" s="506"/>
      <c r="G46" s="506"/>
      <c r="H46" s="506"/>
      <c r="I46" s="506"/>
      <c r="J46" s="506"/>
      <c r="K46" s="506"/>
      <c r="L46" s="506"/>
      <c r="M46" s="506"/>
      <c r="N46" s="1080"/>
      <c r="O46" s="494"/>
      <c r="P46" s="729"/>
      <c r="Q46" s="344"/>
      <c r="R46" s="344"/>
      <c r="S46" s="729"/>
      <c r="T46" s="344"/>
    </row>
    <row r="47" spans="1:25" s="293" customFormat="1" ht="15.75">
      <c r="B47" s="313"/>
      <c r="C47" s="502"/>
      <c r="D47" s="506"/>
      <c r="E47" s="506"/>
      <c r="F47" s="506"/>
      <c r="G47" s="506"/>
      <c r="H47" s="506"/>
      <c r="I47" s="506"/>
      <c r="J47" s="506"/>
      <c r="K47" s="506"/>
      <c r="L47" s="506"/>
      <c r="M47" s="506"/>
      <c r="N47" s="1080"/>
      <c r="O47" s="494"/>
      <c r="P47" s="729"/>
      <c r="Q47" s="344"/>
      <c r="R47" s="344"/>
      <c r="S47" s="729"/>
      <c r="T47" s="344"/>
    </row>
    <row r="48" spans="1:25" s="293" customFormat="1" ht="15.75">
      <c r="B48" s="313"/>
      <c r="C48" s="502"/>
      <c r="D48" s="506"/>
      <c r="E48" s="506"/>
      <c r="F48" s="506"/>
      <c r="G48" s="506"/>
      <c r="H48" s="506"/>
      <c r="I48" s="506"/>
      <c r="J48" s="506"/>
      <c r="K48" s="506"/>
      <c r="L48" s="506"/>
      <c r="M48" s="506"/>
      <c r="N48" s="1080"/>
      <c r="O48" s="494"/>
      <c r="P48" s="729"/>
      <c r="Q48" s="344"/>
      <c r="R48" s="344"/>
      <c r="S48" s="729"/>
      <c r="T48" s="344"/>
    </row>
    <row r="49" spans="1:20" s="293" customFormat="1" ht="15.75">
      <c r="B49" s="313"/>
      <c r="C49" s="502"/>
      <c r="D49" s="506"/>
      <c r="E49" s="506"/>
      <c r="F49" s="506"/>
      <c r="G49" s="506"/>
      <c r="H49" s="506"/>
      <c r="I49" s="506"/>
      <c r="J49" s="506"/>
      <c r="K49" s="506"/>
      <c r="L49" s="506"/>
      <c r="M49" s="506"/>
      <c r="N49" s="1080"/>
      <c r="O49" s="494"/>
      <c r="P49" s="729"/>
      <c r="Q49" s="344"/>
      <c r="R49" s="344"/>
      <c r="S49" s="729"/>
      <c r="T49" s="344"/>
    </row>
    <row r="50" spans="1:20" s="293" customFormat="1" ht="15.75">
      <c r="B50" s="313"/>
      <c r="C50" s="502"/>
      <c r="D50" s="506"/>
      <c r="E50" s="506"/>
      <c r="F50" s="506"/>
      <c r="G50" s="506"/>
      <c r="H50" s="506"/>
      <c r="I50" s="506"/>
      <c r="J50" s="506"/>
      <c r="K50" s="506"/>
      <c r="L50" s="506"/>
      <c r="M50" s="506"/>
      <c r="N50" s="1080"/>
      <c r="O50" s="494"/>
      <c r="P50" s="729"/>
      <c r="Q50" s="344"/>
      <c r="R50" s="344"/>
      <c r="S50" s="344"/>
      <c r="T50" s="344"/>
    </row>
    <row r="51" spans="1:20" s="293" customFormat="1" ht="15.75">
      <c r="B51" s="313"/>
      <c r="C51" s="502"/>
      <c r="D51" s="506"/>
      <c r="E51" s="506"/>
      <c r="F51" s="506"/>
      <c r="G51" s="506"/>
      <c r="H51" s="506"/>
      <c r="I51" s="506"/>
      <c r="J51" s="506"/>
      <c r="K51" s="506"/>
      <c r="L51" s="506"/>
      <c r="M51" s="506"/>
      <c r="N51" s="1080"/>
      <c r="O51" s="494"/>
      <c r="P51" s="729"/>
      <c r="Q51" s="344"/>
      <c r="R51" s="729"/>
      <c r="S51" s="729"/>
      <c r="T51" s="344"/>
    </row>
    <row r="52" spans="1:20" s="293" customFormat="1" ht="15.75">
      <c r="B52" s="313"/>
      <c r="C52" s="502"/>
      <c r="D52" s="506"/>
      <c r="E52" s="506"/>
      <c r="F52" s="506"/>
      <c r="G52" s="506"/>
      <c r="H52" s="506"/>
      <c r="I52" s="506"/>
      <c r="J52" s="506"/>
      <c r="K52" s="506"/>
      <c r="L52" s="506"/>
      <c r="M52" s="506"/>
      <c r="N52" s="1080"/>
      <c r="O52" s="494"/>
      <c r="P52" s="729"/>
      <c r="Q52" s="344"/>
      <c r="R52" s="344"/>
      <c r="S52" s="729"/>
      <c r="T52" s="344"/>
    </row>
    <row r="53" spans="1:20" s="293" customFormat="1" ht="15.75">
      <c r="B53" s="313"/>
      <c r="C53" s="502"/>
      <c r="D53" s="506"/>
      <c r="E53" s="506"/>
      <c r="F53" s="506"/>
      <c r="G53" s="506"/>
      <c r="H53" s="506"/>
      <c r="I53" s="506"/>
      <c r="J53" s="506"/>
      <c r="K53" s="506"/>
      <c r="L53" s="506"/>
      <c r="M53" s="506"/>
      <c r="N53" s="1080"/>
      <c r="O53" s="494"/>
      <c r="P53" s="729"/>
      <c r="Q53" s="344"/>
      <c r="R53" s="344"/>
      <c r="S53" s="729"/>
      <c r="T53" s="344"/>
    </row>
    <row r="54" spans="1:20" s="293" customFormat="1" ht="15.75">
      <c r="B54" s="313"/>
      <c r="C54" s="502"/>
      <c r="D54" s="506"/>
      <c r="E54" s="506"/>
      <c r="F54" s="506"/>
      <c r="G54" s="506"/>
      <c r="H54" s="506"/>
      <c r="I54" s="506"/>
      <c r="J54" s="506"/>
      <c r="K54" s="506"/>
      <c r="L54" s="506"/>
      <c r="M54" s="506"/>
      <c r="N54" s="1080"/>
      <c r="O54" s="511"/>
      <c r="P54" s="723"/>
      <c r="S54" s="723"/>
    </row>
    <row r="55" spans="1:20" s="293" customFormat="1" ht="15.75">
      <c r="B55" s="313"/>
      <c r="C55" s="502"/>
      <c r="D55" s="506"/>
      <c r="E55" s="506"/>
      <c r="F55" s="506"/>
      <c r="G55" s="506"/>
      <c r="H55" s="506"/>
      <c r="I55" s="506"/>
      <c r="J55" s="506"/>
      <c r="K55" s="506"/>
      <c r="L55" s="506"/>
      <c r="M55" s="506"/>
      <c r="N55" s="1080"/>
      <c r="O55" s="511"/>
      <c r="P55" s="723"/>
      <c r="S55" s="723"/>
    </row>
    <row r="56" spans="1:20" s="293" customFormat="1" ht="15.75">
      <c r="B56" s="313"/>
      <c r="C56" s="502"/>
      <c r="D56" s="506"/>
      <c r="E56" s="506"/>
      <c r="F56" s="506"/>
      <c r="G56" s="506"/>
      <c r="H56" s="506"/>
      <c r="I56" s="506"/>
      <c r="J56" s="506"/>
      <c r="K56" s="506"/>
      <c r="L56" s="506"/>
      <c r="M56" s="506"/>
      <c r="N56" s="1080"/>
      <c r="O56" s="511"/>
      <c r="P56" s="723"/>
      <c r="S56" s="723"/>
    </row>
    <row r="57" spans="1:20" s="293" customFormat="1" ht="15.75">
      <c r="B57" s="313"/>
      <c r="C57" s="502"/>
      <c r="D57" s="506"/>
      <c r="E57" s="506"/>
      <c r="F57" s="506"/>
      <c r="G57" s="506"/>
      <c r="H57" s="506"/>
      <c r="I57" s="506"/>
      <c r="J57" s="506"/>
      <c r="K57" s="506"/>
      <c r="L57" s="506"/>
      <c r="M57" s="506"/>
      <c r="N57" s="1080"/>
      <c r="O57" s="511"/>
      <c r="P57" s="723"/>
      <c r="S57" s="723"/>
    </row>
    <row r="58" spans="1:20" s="293" customFormat="1" ht="15.75">
      <c r="B58" s="313"/>
      <c r="C58" s="502"/>
      <c r="D58" s="506"/>
      <c r="E58" s="506"/>
      <c r="F58" s="506"/>
      <c r="G58" s="506"/>
      <c r="H58" s="506"/>
      <c r="I58" s="506"/>
      <c r="J58" s="506"/>
      <c r="K58" s="506"/>
      <c r="L58" s="506"/>
      <c r="M58" s="506"/>
      <c r="N58" s="1080"/>
      <c r="O58" s="511"/>
      <c r="P58" s="723"/>
      <c r="S58" s="723"/>
    </row>
    <row r="59" spans="1:20" s="293" customFormat="1" ht="15.75">
      <c r="B59" s="313"/>
      <c r="C59" s="502"/>
      <c r="D59" s="506"/>
      <c r="E59" s="506"/>
      <c r="F59" s="506"/>
      <c r="G59" s="506"/>
      <c r="H59" s="506"/>
      <c r="I59" s="506"/>
      <c r="J59" s="506"/>
      <c r="K59" s="506"/>
      <c r="L59" s="506"/>
      <c r="M59" s="506"/>
      <c r="N59" s="1080"/>
      <c r="O59" s="511"/>
      <c r="P59" s="723"/>
      <c r="S59" s="723"/>
    </row>
    <row r="60" spans="1:20" s="293" customFormat="1" ht="15.75">
      <c r="B60" s="313"/>
      <c r="C60" s="502"/>
      <c r="D60" s="506"/>
      <c r="E60" s="506"/>
      <c r="F60" s="506"/>
      <c r="G60" s="506"/>
      <c r="H60" s="506"/>
      <c r="I60" s="506"/>
      <c r="J60" s="506"/>
      <c r="K60" s="506"/>
      <c r="L60" s="506"/>
      <c r="M60" s="506"/>
      <c r="N60" s="1080"/>
      <c r="O60" s="511"/>
      <c r="P60" s="723"/>
      <c r="S60" s="723"/>
    </row>
    <row r="61" spans="1:20" s="344" customFormat="1" ht="15.75">
      <c r="A61" s="293"/>
      <c r="B61" s="313"/>
      <c r="C61" s="502"/>
      <c r="D61" s="506"/>
      <c r="E61" s="506"/>
      <c r="F61" s="506"/>
      <c r="G61" s="506"/>
      <c r="H61" s="506"/>
      <c r="I61" s="506"/>
      <c r="J61" s="506"/>
      <c r="K61" s="506"/>
      <c r="L61" s="506"/>
      <c r="M61" s="506"/>
      <c r="N61" s="1080"/>
      <c r="O61" s="511"/>
      <c r="P61" s="723"/>
      <c r="Q61" s="293"/>
      <c r="S61" s="729"/>
    </row>
    <row r="62" spans="1:20" s="293" customFormat="1" ht="15.75">
      <c r="A62" s="344"/>
      <c r="B62" s="313"/>
      <c r="C62" s="502"/>
      <c r="D62" s="506"/>
      <c r="E62" s="506"/>
      <c r="F62" s="506"/>
      <c r="G62" s="506"/>
      <c r="H62" s="506"/>
      <c r="I62" s="506"/>
      <c r="J62" s="506"/>
      <c r="K62" s="506"/>
      <c r="L62" s="506"/>
      <c r="M62" s="506"/>
      <c r="N62" s="1080"/>
      <c r="O62" s="494"/>
      <c r="P62" s="729"/>
      <c r="Q62" s="344"/>
      <c r="S62" s="723"/>
    </row>
    <row r="63" spans="1:20" s="293" customFormat="1" ht="15.75">
      <c r="B63" s="313"/>
      <c r="C63" s="502"/>
      <c r="D63" s="506"/>
      <c r="E63" s="506"/>
      <c r="F63" s="506"/>
      <c r="G63" s="506"/>
      <c r="H63" s="506"/>
      <c r="I63" s="506"/>
      <c r="J63" s="506"/>
      <c r="K63" s="506"/>
      <c r="L63" s="506"/>
      <c r="M63" s="506"/>
      <c r="N63" s="1080"/>
      <c r="O63" s="511"/>
      <c r="P63" s="723"/>
      <c r="S63" s="723"/>
    </row>
    <row r="64" spans="1:20" s="293" customFormat="1" ht="15.75">
      <c r="B64" s="313"/>
      <c r="C64" s="502"/>
      <c r="D64" s="506"/>
      <c r="E64" s="506"/>
      <c r="F64" s="506"/>
      <c r="G64" s="506"/>
      <c r="H64" s="506"/>
      <c r="I64" s="506"/>
      <c r="J64" s="506"/>
      <c r="K64" s="506"/>
      <c r="L64" s="506"/>
      <c r="M64" s="506"/>
      <c r="N64" s="1080"/>
      <c r="O64" s="511"/>
      <c r="P64" s="723"/>
      <c r="S64" s="723"/>
    </row>
    <row r="65" spans="1:19" ht="15.75">
      <c r="A65" s="293"/>
      <c r="B65" s="313"/>
      <c r="C65" s="502"/>
      <c r="D65" s="506"/>
      <c r="E65" s="506"/>
      <c r="F65" s="506"/>
      <c r="G65" s="506"/>
      <c r="H65" s="506"/>
      <c r="I65" s="506"/>
      <c r="J65" s="506"/>
      <c r="K65" s="506"/>
      <c r="L65" s="506"/>
      <c r="M65" s="506"/>
      <c r="N65" s="1080"/>
      <c r="O65" s="511"/>
      <c r="P65" s="723"/>
      <c r="Q65" s="293"/>
    </row>
    <row r="66" spans="1:19" ht="15.75">
      <c r="B66" s="313"/>
      <c r="C66" s="507"/>
      <c r="D66" s="507"/>
      <c r="E66" s="507"/>
      <c r="F66" s="507"/>
      <c r="G66" s="507"/>
      <c r="H66" s="507"/>
      <c r="I66" s="507"/>
      <c r="J66" s="507"/>
      <c r="K66" s="507"/>
      <c r="L66" s="507"/>
      <c r="M66" s="507"/>
      <c r="N66" s="1080"/>
    </row>
    <row r="67" spans="1:19" ht="15.75">
      <c r="B67" s="313"/>
      <c r="C67" s="508"/>
      <c r="D67" s="503"/>
      <c r="E67" s="503"/>
      <c r="F67" s="503"/>
      <c r="G67" s="502"/>
      <c r="H67" s="502"/>
      <c r="I67" s="503"/>
      <c r="J67" s="502"/>
      <c r="K67" s="503"/>
      <c r="L67" s="509"/>
      <c r="M67" s="503"/>
      <c r="N67" s="1080"/>
    </row>
    <row r="68" spans="1:19" ht="15.75">
      <c r="B68" s="298"/>
      <c r="C68" s="507"/>
      <c r="D68" s="507"/>
      <c r="E68" s="507"/>
      <c r="F68" s="507"/>
      <c r="G68" s="507"/>
      <c r="H68" s="507"/>
      <c r="I68" s="507"/>
      <c r="J68" s="507"/>
      <c r="K68" s="507"/>
      <c r="L68" s="507"/>
      <c r="M68" s="507"/>
      <c r="N68" s="1080"/>
    </row>
    <row r="69" spans="1:19" ht="15.75">
      <c r="B69" s="298"/>
      <c r="C69" s="504"/>
      <c r="D69" s="504"/>
      <c r="E69" s="504"/>
      <c r="F69" s="504"/>
      <c r="G69" s="504"/>
      <c r="H69" s="504"/>
      <c r="I69" s="504"/>
      <c r="J69" s="504"/>
      <c r="K69" s="504"/>
      <c r="L69" s="505"/>
      <c r="M69" s="504"/>
      <c r="N69" s="981"/>
    </row>
    <row r="70" spans="1:19" s="293" customFormat="1" ht="15.75">
      <c r="A70" s="283"/>
      <c r="B70" s="298"/>
      <c r="C70" s="504"/>
      <c r="D70" s="504"/>
      <c r="E70" s="504"/>
      <c r="F70" s="504"/>
      <c r="G70" s="504"/>
      <c r="H70" s="504"/>
      <c r="I70" s="504"/>
      <c r="J70" s="504"/>
      <c r="K70" s="504"/>
      <c r="L70" s="505"/>
      <c r="M70" s="504"/>
      <c r="N70" s="981"/>
      <c r="O70" s="510"/>
      <c r="P70" s="722"/>
      <c r="Q70" s="283"/>
      <c r="R70" s="344"/>
      <c r="S70" s="723"/>
    </row>
    <row r="71" spans="1:19" ht="15.75">
      <c r="A71" s="621"/>
      <c r="B71" s="316"/>
      <c r="C71" s="547"/>
      <c r="D71" s="514"/>
      <c r="E71" s="514"/>
      <c r="F71" s="514"/>
      <c r="G71" s="514"/>
      <c r="H71" s="514"/>
      <c r="I71" s="514"/>
      <c r="J71" s="514"/>
      <c r="K71" s="514"/>
      <c r="L71" s="514"/>
      <c r="M71" s="514"/>
      <c r="N71" s="518"/>
      <c r="O71" s="293"/>
      <c r="P71" s="293"/>
      <c r="Q71" s="293"/>
    </row>
    <row r="72" spans="1:19" ht="15.75">
      <c r="B72" s="298"/>
      <c r="C72" s="504"/>
      <c r="D72" s="504"/>
      <c r="E72" s="504"/>
      <c r="F72" s="504"/>
      <c r="G72" s="504"/>
      <c r="H72" s="504"/>
      <c r="I72" s="504"/>
      <c r="J72" s="504"/>
      <c r="K72" s="504"/>
      <c r="L72" s="505"/>
      <c r="M72" s="504"/>
      <c r="N72" s="981"/>
    </row>
    <row r="73" spans="1:19" ht="15.75">
      <c r="B73" s="298"/>
      <c r="C73" s="504"/>
      <c r="D73" s="504"/>
      <c r="E73" s="504"/>
      <c r="F73" s="504"/>
      <c r="G73" s="504"/>
      <c r="H73" s="504"/>
      <c r="I73" s="504"/>
      <c r="J73" s="504"/>
      <c r="K73" s="504"/>
      <c r="L73" s="505"/>
      <c r="M73" s="504"/>
      <c r="N73" s="981"/>
    </row>
    <row r="74" spans="1:19" ht="15.75">
      <c r="B74" s="298"/>
      <c r="C74" s="504"/>
      <c r="D74" s="504"/>
      <c r="E74" s="504"/>
      <c r="F74" s="504"/>
      <c r="G74" s="504"/>
      <c r="H74" s="504"/>
      <c r="I74" s="504"/>
      <c r="J74" s="504"/>
      <c r="K74" s="504"/>
      <c r="L74" s="505"/>
      <c r="M74" s="504"/>
      <c r="N74" s="981"/>
    </row>
    <row r="75" spans="1:19" ht="15.75">
      <c r="B75" s="298"/>
      <c r="C75" s="504"/>
      <c r="D75" s="504"/>
      <c r="E75" s="504"/>
      <c r="F75" s="504"/>
      <c r="G75" s="504"/>
      <c r="H75" s="504"/>
      <c r="I75" s="504"/>
      <c r="J75" s="504"/>
      <c r="K75" s="504"/>
      <c r="L75" s="505"/>
      <c r="M75" s="504"/>
      <c r="N75" s="981"/>
    </row>
    <row r="76" spans="1:19" ht="15.75">
      <c r="B76" s="298"/>
      <c r="C76" s="504"/>
      <c r="D76" s="504"/>
      <c r="E76" s="504"/>
      <c r="F76" s="504"/>
      <c r="G76" s="504"/>
      <c r="H76" s="504"/>
      <c r="I76" s="504"/>
      <c r="J76" s="504"/>
      <c r="K76" s="504"/>
      <c r="L76" s="505"/>
      <c r="M76" s="504"/>
      <c r="N76" s="981"/>
    </row>
    <row r="77" spans="1:19" ht="15.75">
      <c r="B77" s="298"/>
      <c r="C77" s="504"/>
      <c r="D77" s="504"/>
      <c r="E77" s="504"/>
      <c r="F77" s="504"/>
      <c r="G77" s="504"/>
      <c r="H77" s="504"/>
      <c r="I77" s="504"/>
      <c r="J77" s="504"/>
      <c r="K77" s="504"/>
      <c r="L77" s="505"/>
      <c r="M77" s="504"/>
      <c r="N77" s="981"/>
    </row>
    <row r="78" spans="1:19" ht="15.75">
      <c r="B78" s="298"/>
      <c r="C78" s="504"/>
      <c r="D78" s="504"/>
      <c r="E78" s="504"/>
      <c r="F78" s="504"/>
      <c r="G78" s="504"/>
      <c r="H78" s="504"/>
      <c r="I78" s="504"/>
      <c r="J78" s="504"/>
      <c r="K78" s="504"/>
      <c r="L78" s="505"/>
      <c r="M78" s="504"/>
      <c r="N78" s="981"/>
    </row>
    <row r="79" spans="1:19" ht="15.75">
      <c r="B79" s="298"/>
      <c r="C79" s="504"/>
      <c r="D79" s="504"/>
      <c r="E79" s="504"/>
      <c r="F79" s="504"/>
      <c r="G79" s="504"/>
      <c r="H79" s="504"/>
      <c r="I79" s="504"/>
      <c r="J79" s="504"/>
      <c r="K79" s="504"/>
      <c r="L79" s="505"/>
      <c r="M79" s="504"/>
      <c r="N79" s="981"/>
    </row>
    <row r="80" spans="1:19"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row r="120" spans="2:14" ht="15.75">
      <c r="B120" s="298"/>
      <c r="C120" s="504"/>
      <c r="D120" s="504"/>
      <c r="E120" s="504"/>
      <c r="F120" s="504"/>
      <c r="G120" s="504"/>
      <c r="H120" s="504"/>
      <c r="I120" s="504"/>
      <c r="J120" s="504"/>
      <c r="K120" s="504"/>
      <c r="L120" s="505"/>
      <c r="M120" s="504"/>
      <c r="N120" s="981"/>
    </row>
    <row r="121" spans="2:14" ht="15.75">
      <c r="B121" s="298"/>
      <c r="C121" s="504"/>
      <c r="D121" s="504"/>
      <c r="E121" s="504"/>
      <c r="F121" s="504"/>
      <c r="G121" s="504"/>
      <c r="H121" s="504"/>
      <c r="I121" s="504"/>
      <c r="J121" s="504"/>
      <c r="K121" s="504"/>
      <c r="L121" s="505"/>
      <c r="M121" s="504"/>
      <c r="N121" s="981"/>
    </row>
    <row r="122" spans="2:14" ht="15.75">
      <c r="B122" s="298"/>
      <c r="C122" s="504"/>
      <c r="D122" s="504"/>
      <c r="E122" s="504"/>
      <c r="F122" s="504"/>
      <c r="G122" s="504"/>
      <c r="H122" s="504"/>
      <c r="I122" s="504"/>
      <c r="J122" s="504"/>
      <c r="K122" s="504"/>
      <c r="L122" s="505"/>
      <c r="M122" s="504"/>
      <c r="N122" s="981"/>
    </row>
  </sheetData>
  <mergeCells count="4">
    <mergeCell ref="B1:N1"/>
    <mergeCell ref="B4:N4"/>
    <mergeCell ref="B3:N3"/>
    <mergeCell ref="B36:N36"/>
  </mergeCells>
  <printOptions horizontalCentered="1"/>
  <pageMargins left="0.75" right="0.75" top="0.5" bottom="0.5" header="0.5" footer="0.5"/>
  <pageSetup scale="76"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8" tint="0.39997558519241921"/>
  </sheetPr>
  <dimension ref="A1:AE127"/>
  <sheetViews>
    <sheetView showGridLines="0" showRuler="0" topLeftCell="B3" zoomScaleNormal="100" zoomScaleSheetLayoutView="130" workbookViewId="0">
      <selection activeCell="B69" sqref="A69:XFD76"/>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1144" customWidth="1"/>
    <col min="15" max="15" width="21.42578125" style="283" bestFit="1" customWidth="1"/>
    <col min="16" max="16" width="11.85546875" style="283" bestFit="1" customWidth="1"/>
    <col min="17" max="17" width="7.5703125" style="283" bestFit="1" customWidth="1"/>
    <col min="18" max="18" width="6.85546875" style="283"/>
    <col min="19" max="19" width="18.28515625" style="722" bestFit="1" customWidth="1"/>
    <col min="20" max="20" width="9.42578125" style="283" bestFit="1" customWidth="1"/>
    <col min="21" max="22" width="6.85546875" style="283"/>
    <col min="23" max="23" width="8" style="283" bestFit="1" customWidth="1"/>
    <col min="24" max="24" width="11.7109375" style="283" bestFit="1" customWidth="1"/>
    <col min="25" max="16384" width="6.85546875" style="283"/>
  </cols>
  <sheetData>
    <row r="1" spans="1:31" ht="44.25" hidden="1">
      <c r="B1" s="1706" t="s">
        <v>806</v>
      </c>
      <c r="C1" s="1706"/>
      <c r="D1" s="1706"/>
      <c r="E1" s="1706"/>
      <c r="F1" s="1706"/>
      <c r="G1" s="1706"/>
      <c r="H1" s="1706"/>
      <c r="I1" s="1706"/>
      <c r="J1" s="1706"/>
      <c r="K1" s="1706"/>
      <c r="L1" s="1706"/>
      <c r="M1" s="1706"/>
      <c r="N1" s="1710"/>
    </row>
    <row r="2" spans="1:31" ht="18.75" hidden="1">
      <c r="B2" s="284"/>
      <c r="C2" s="285"/>
      <c r="D2" s="285"/>
      <c r="E2" s="285"/>
      <c r="F2" s="285"/>
      <c r="G2" s="285"/>
      <c r="H2" s="285"/>
      <c r="I2" s="285"/>
      <c r="J2" s="285"/>
      <c r="K2" s="285"/>
      <c r="L2" s="285"/>
      <c r="M2" s="285"/>
      <c r="N2" s="1143"/>
    </row>
    <row r="3" spans="1:31" ht="35.450000000000003" customHeight="1">
      <c r="B3" s="1708" t="s">
        <v>855</v>
      </c>
      <c r="C3" s="1708"/>
      <c r="D3" s="1708"/>
      <c r="E3" s="1708"/>
      <c r="F3" s="1708"/>
      <c r="G3" s="1708"/>
      <c r="H3" s="1708"/>
      <c r="I3" s="1708"/>
      <c r="J3" s="1708"/>
      <c r="K3" s="1708"/>
      <c r="L3" s="1708"/>
      <c r="M3" s="1708"/>
      <c r="N3" s="1708"/>
      <c r="S3" s="1709"/>
      <c r="T3" s="1709"/>
      <c r="U3" s="1709"/>
      <c r="V3" s="1709"/>
      <c r="W3" s="1709"/>
      <c r="X3" s="1709"/>
      <c r="Y3" s="1709"/>
      <c r="Z3" s="1709"/>
      <c r="AA3" s="1709"/>
      <c r="AB3" s="1709"/>
      <c r="AC3" s="1709"/>
      <c r="AD3" s="1709"/>
      <c r="AE3" s="1709"/>
    </row>
    <row r="4" spans="1:31" ht="32.25" customHeight="1" thickBot="1">
      <c r="B4" s="1711"/>
      <c r="C4" s="1711"/>
      <c r="D4" s="1711"/>
      <c r="E4" s="1711"/>
      <c r="F4" s="1711"/>
      <c r="G4" s="1711"/>
      <c r="H4" s="1711"/>
      <c r="I4" s="1711"/>
      <c r="J4" s="1711"/>
      <c r="K4" s="1711"/>
      <c r="L4" s="1711"/>
      <c r="M4" s="1711"/>
      <c r="N4" s="1711"/>
    </row>
    <row r="5" spans="1:31"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T5" s="1139"/>
    </row>
    <row r="6" spans="1:31" ht="12.75" customHeight="1">
      <c r="B6" s="288"/>
      <c r="C6" s="288"/>
      <c r="D6" s="289"/>
      <c r="E6" s="289"/>
      <c r="F6" s="288"/>
      <c r="G6" s="288"/>
      <c r="H6" s="289"/>
      <c r="I6" s="288"/>
      <c r="J6" s="290"/>
      <c r="K6" s="289"/>
      <c r="L6" s="291"/>
      <c r="M6" s="289"/>
    </row>
    <row r="7" spans="1:31" ht="15.75" customHeight="1">
      <c r="B7" s="299" t="s">
        <v>2</v>
      </c>
      <c r="C7" s="299"/>
      <c r="D7" s="300"/>
      <c r="E7" s="300"/>
      <c r="F7" s="300"/>
      <c r="G7" s="301"/>
      <c r="H7" s="300"/>
      <c r="I7" s="301"/>
      <c r="J7" s="300"/>
      <c r="K7" s="300"/>
      <c r="L7" s="302"/>
      <c r="M7" s="300"/>
      <c r="N7" s="1145"/>
    </row>
    <row r="8" spans="1:31" ht="15.75" customHeight="1">
      <c r="A8" s="321" t="s">
        <v>336</v>
      </c>
      <c r="B8" s="298" t="s">
        <v>6</v>
      </c>
      <c r="C8" s="1268">
        <v>46252</v>
      </c>
      <c r="D8" s="1243" t="e">
        <v>#N/A</v>
      </c>
      <c r="E8" s="1243"/>
      <c r="F8" s="1268">
        <v>0</v>
      </c>
      <c r="G8" s="1268">
        <v>3886411</v>
      </c>
      <c r="H8" s="1268"/>
      <c r="I8" s="1268">
        <v>46252</v>
      </c>
      <c r="J8" s="1268">
        <v>46252</v>
      </c>
      <c r="K8" s="1268"/>
      <c r="L8" s="1268">
        <v>46252</v>
      </c>
      <c r="M8" s="1268"/>
      <c r="N8" s="1268">
        <v>46252</v>
      </c>
      <c r="O8" s="336" t="s">
        <v>11</v>
      </c>
      <c r="P8" s="333">
        <v>196713</v>
      </c>
      <c r="Q8" s="966">
        <v>0.33100000000000002</v>
      </c>
    </row>
    <row r="9" spans="1:31" ht="15.75" customHeight="1">
      <c r="A9" s="321" t="s">
        <v>337</v>
      </c>
      <c r="B9" s="305" t="s">
        <v>368</v>
      </c>
      <c r="C9" s="1224">
        <v>185690</v>
      </c>
      <c r="D9" s="303" t="e">
        <v>#N/A</v>
      </c>
      <c r="E9" s="303"/>
      <c r="F9" s="1243">
        <v>300500</v>
      </c>
      <c r="G9" s="532">
        <v>3886411</v>
      </c>
      <c r="H9" s="517"/>
      <c r="I9" s="1243">
        <v>255000</v>
      </c>
      <c r="J9" s="533">
        <v>-45500</v>
      </c>
      <c r="K9" s="517"/>
      <c r="L9" s="1240">
        <v>255000</v>
      </c>
      <c r="M9" s="303"/>
      <c r="N9" s="1146">
        <v>-45500</v>
      </c>
      <c r="O9" s="1464" t="s">
        <v>967</v>
      </c>
      <c r="P9" s="333">
        <v>81781</v>
      </c>
      <c r="Q9" s="966">
        <v>0.13800000000000001</v>
      </c>
    </row>
    <row r="10" spans="1:31" ht="15.75" customHeight="1">
      <c r="A10" s="321" t="s">
        <v>338</v>
      </c>
      <c r="B10" s="305" t="s">
        <v>8</v>
      </c>
      <c r="C10" s="1224">
        <v>18276</v>
      </c>
      <c r="D10" s="303" t="e">
        <v>#N/A</v>
      </c>
      <c r="E10" s="303"/>
      <c r="F10" s="1243">
        <v>12000</v>
      </c>
      <c r="G10" s="532">
        <v>3886411</v>
      </c>
      <c r="H10" s="517"/>
      <c r="I10" s="552">
        <v>19000</v>
      </c>
      <c r="J10" s="533">
        <v>7000</v>
      </c>
      <c r="K10" s="517"/>
      <c r="L10" s="1240">
        <v>19000</v>
      </c>
      <c r="M10" s="303"/>
      <c r="N10" s="1146">
        <v>7000</v>
      </c>
      <c r="O10" s="336" t="s">
        <v>801</v>
      </c>
      <c r="P10" s="333">
        <v>216297</v>
      </c>
      <c r="Q10" s="966">
        <v>0.36499999999999999</v>
      </c>
    </row>
    <row r="11" spans="1:31" s="293" customFormat="1" ht="15.75" customHeight="1">
      <c r="B11" s="311" t="s">
        <v>319</v>
      </c>
      <c r="C11" s="1224">
        <v>175244</v>
      </c>
      <c r="D11" s="306">
        <v>0</v>
      </c>
      <c r="E11" s="306"/>
      <c r="F11" s="1243">
        <v>520267</v>
      </c>
      <c r="G11" s="304">
        <v>520267</v>
      </c>
      <c r="H11" s="306"/>
      <c r="I11" s="303">
        <v>364635</v>
      </c>
      <c r="J11" s="302"/>
      <c r="K11" s="306"/>
      <c r="L11" s="303">
        <v>272768</v>
      </c>
      <c r="M11" s="306"/>
      <c r="N11" s="1146">
        <v>-247499</v>
      </c>
      <c r="O11" s="346" t="s">
        <v>14</v>
      </c>
      <c r="P11" s="341">
        <v>68000</v>
      </c>
      <c r="Q11" s="966">
        <v>0.115</v>
      </c>
      <c r="S11" s="724"/>
    </row>
    <row r="12" spans="1:31" s="625" customFormat="1" ht="15.75" customHeight="1">
      <c r="B12" s="622" t="s">
        <v>9</v>
      </c>
      <c r="C12" s="1225">
        <v>425462</v>
      </c>
      <c r="D12" s="308" t="e">
        <v>#N/A</v>
      </c>
      <c r="E12" s="308"/>
      <c r="F12" s="1244">
        <v>832767</v>
      </c>
      <c r="G12" s="308">
        <v>12179500</v>
      </c>
      <c r="H12" s="308"/>
      <c r="I12" s="308">
        <v>684887</v>
      </c>
      <c r="J12" s="308">
        <v>7752</v>
      </c>
      <c r="K12" s="308"/>
      <c r="L12" s="308">
        <v>593020</v>
      </c>
      <c r="M12" s="308"/>
      <c r="N12" s="1147">
        <v>-239747</v>
      </c>
      <c r="O12" s="346" t="s">
        <v>15</v>
      </c>
      <c r="P12" s="341">
        <v>0</v>
      </c>
      <c r="Q12" s="966">
        <v>0</v>
      </c>
      <c r="S12" s="792"/>
    </row>
    <row r="13" spans="1:31" s="293" customFormat="1" ht="15.75" customHeight="1">
      <c r="B13" s="310"/>
      <c r="C13" s="310"/>
      <c r="D13" s="304"/>
      <c r="E13" s="304"/>
      <c r="F13" s="304"/>
      <c r="G13" s="304"/>
      <c r="H13" s="304"/>
      <c r="I13" s="304"/>
      <c r="J13" s="304"/>
      <c r="K13" s="304"/>
      <c r="L13" s="304"/>
      <c r="M13" s="304"/>
      <c r="N13" s="1148"/>
      <c r="O13" s="346" t="s">
        <v>38</v>
      </c>
      <c r="P13" s="341">
        <v>30229</v>
      </c>
      <c r="Q13" s="966">
        <v>5.0999999999999997E-2</v>
      </c>
      <c r="S13" s="723"/>
    </row>
    <row r="14" spans="1:31" s="293" customFormat="1" ht="16.5" customHeight="1">
      <c r="B14" s="313" t="s">
        <v>320</v>
      </c>
      <c r="C14" s="313"/>
      <c r="D14" s="306"/>
      <c r="E14" s="306"/>
      <c r="F14" s="304"/>
      <c r="G14" s="304"/>
      <c r="H14" s="306"/>
      <c r="I14" s="304"/>
      <c r="J14" s="304"/>
      <c r="K14" s="306"/>
      <c r="L14" s="306"/>
      <c r="M14" s="306"/>
      <c r="N14" s="1146"/>
      <c r="O14" s="346" t="s">
        <v>23</v>
      </c>
      <c r="P14" s="341">
        <v>0</v>
      </c>
      <c r="Q14" s="966">
        <v>0</v>
      </c>
      <c r="S14" s="723"/>
    </row>
    <row r="15" spans="1:31" s="293" customFormat="1" ht="16.5" thickBot="1">
      <c r="B15" s="311" t="s">
        <v>327</v>
      </c>
      <c r="C15" s="514">
        <v>637403</v>
      </c>
      <c r="D15" s="306">
        <v>0</v>
      </c>
      <c r="E15" s="306"/>
      <c r="F15" s="528">
        <v>117136</v>
      </c>
      <c r="G15" s="539">
        <v>117136</v>
      </c>
      <c r="H15" s="532"/>
      <c r="I15" s="528">
        <v>272768</v>
      </c>
      <c r="J15" s="540">
        <v>155632</v>
      </c>
      <c r="K15" s="532"/>
      <c r="L15" s="528">
        <v>0</v>
      </c>
      <c r="M15" s="532"/>
      <c r="N15" s="1146">
        <v>-117136</v>
      </c>
      <c r="O15" s="350" t="s">
        <v>25</v>
      </c>
      <c r="P15" s="340">
        <v>593020</v>
      </c>
      <c r="Q15" s="668">
        <v>1</v>
      </c>
      <c r="S15" s="724"/>
    </row>
    <row r="16" spans="1:31" s="293" customFormat="1" ht="16.5" thickTop="1">
      <c r="B16" s="622" t="s">
        <v>20</v>
      </c>
      <c r="C16" s="534">
        <v>637403</v>
      </c>
      <c r="D16" s="308">
        <v>0</v>
      </c>
      <c r="E16" s="308"/>
      <c r="F16" s="553">
        <v>117136</v>
      </c>
      <c r="G16" s="541">
        <v>117136</v>
      </c>
      <c r="H16" s="541"/>
      <c r="I16" s="553">
        <v>272768</v>
      </c>
      <c r="J16" s="987">
        <v>155632</v>
      </c>
      <c r="K16" s="541"/>
      <c r="L16" s="541">
        <v>0</v>
      </c>
      <c r="M16" s="541"/>
      <c r="N16" s="1147">
        <v>-117136</v>
      </c>
      <c r="O16" s="341"/>
      <c r="P16" s="341"/>
      <c r="Q16" s="348"/>
      <c r="S16" s="775"/>
    </row>
    <row r="17" spans="1:21" s="293" customFormat="1" ht="16.5" thickBot="1">
      <c r="B17" s="616" t="s">
        <v>21</v>
      </c>
      <c r="C17" s="647">
        <v>1062865</v>
      </c>
      <c r="D17" s="647" t="e">
        <v>#N/A</v>
      </c>
      <c r="E17" s="647"/>
      <c r="F17" s="647">
        <v>949903</v>
      </c>
      <c r="G17" s="647">
        <v>12296636</v>
      </c>
      <c r="H17" s="647"/>
      <c r="I17" s="647">
        <v>957655</v>
      </c>
      <c r="J17" s="648">
        <v>7752</v>
      </c>
      <c r="K17" s="647"/>
      <c r="L17" s="647">
        <v>593020</v>
      </c>
      <c r="M17" s="647"/>
      <c r="N17" s="1149">
        <v>-356883</v>
      </c>
      <c r="S17" s="775"/>
      <c r="T17" s="775"/>
      <c r="U17" s="775"/>
    </row>
    <row r="18" spans="1:21" s="293" customFormat="1" ht="16.5" thickTop="1">
      <c r="B18" s="316"/>
      <c r="C18" s="316"/>
      <c r="D18" s="304"/>
      <c r="E18" s="304"/>
      <c r="F18" s="304"/>
      <c r="G18" s="304"/>
      <c r="H18" s="304"/>
      <c r="I18" s="304"/>
      <c r="J18" s="304"/>
      <c r="K18" s="304"/>
      <c r="L18" s="304"/>
      <c r="M18" s="304"/>
      <c r="N18" s="1148"/>
      <c r="O18" s="341" t="s">
        <v>6</v>
      </c>
      <c r="P18" s="341">
        <v>46252</v>
      </c>
      <c r="Q18" s="608">
        <v>7.8E-2</v>
      </c>
      <c r="S18" s="723"/>
    </row>
    <row r="19" spans="1:21" s="293" customFormat="1" ht="15.75">
      <c r="B19" s="349" t="s">
        <v>10</v>
      </c>
      <c r="C19" s="349"/>
      <c r="D19" s="302"/>
      <c r="E19" s="302"/>
      <c r="F19" s="304"/>
      <c r="G19" s="304"/>
      <c r="H19" s="302"/>
      <c r="I19" s="304"/>
      <c r="J19" s="302"/>
      <c r="K19" s="302"/>
      <c r="L19" s="302"/>
      <c r="M19" s="302"/>
      <c r="N19" s="1145"/>
      <c r="O19" s="341" t="s">
        <v>368</v>
      </c>
      <c r="P19" s="341">
        <v>255000</v>
      </c>
      <c r="Q19" s="608">
        <v>0.43</v>
      </c>
      <c r="S19" s="723"/>
    </row>
    <row r="20" spans="1:21" s="293" customFormat="1" ht="15.75">
      <c r="A20" s="621" t="s">
        <v>340</v>
      </c>
      <c r="B20" s="316" t="s">
        <v>11</v>
      </c>
      <c r="C20" s="303">
        <v>188204</v>
      </c>
      <c r="D20" s="303" t="e">
        <v>#N/A</v>
      </c>
      <c r="E20" s="303"/>
      <c r="F20" s="1243">
        <v>239146</v>
      </c>
      <c r="G20" s="306">
        <v>3886411</v>
      </c>
      <c r="H20" s="303"/>
      <c r="I20" s="306">
        <v>196186</v>
      </c>
      <c r="J20" s="531">
        <v>-42960</v>
      </c>
      <c r="K20" s="303"/>
      <c r="L20" s="303">
        <v>196713</v>
      </c>
      <c r="M20" s="303"/>
      <c r="N20" s="1146">
        <v>-42433</v>
      </c>
      <c r="O20" s="341" t="s">
        <v>8</v>
      </c>
      <c r="P20" s="341">
        <v>19000</v>
      </c>
      <c r="Q20" s="608">
        <v>3.2000000000000001E-2</v>
      </c>
      <c r="S20" s="723"/>
    </row>
    <row r="21" spans="1:21" s="293" customFormat="1" ht="16.5" thickBot="1">
      <c r="A21" s="621" t="s">
        <v>341</v>
      </c>
      <c r="B21" s="316" t="s">
        <v>12</v>
      </c>
      <c r="C21" s="303">
        <v>59484</v>
      </c>
      <c r="D21" s="303" t="e">
        <v>#N/A</v>
      </c>
      <c r="E21" s="303"/>
      <c r="F21" s="1243">
        <v>78179</v>
      </c>
      <c r="G21" s="306">
        <v>3886411</v>
      </c>
      <c r="H21" s="303"/>
      <c r="I21" s="306">
        <v>83398</v>
      </c>
      <c r="J21" s="531">
        <v>5219</v>
      </c>
      <c r="K21" s="303"/>
      <c r="L21" s="303">
        <v>81781</v>
      </c>
      <c r="M21" s="303"/>
      <c r="N21" s="1146">
        <v>3602</v>
      </c>
      <c r="O21" s="341" t="s">
        <v>319</v>
      </c>
      <c r="P21" s="341">
        <v>272768</v>
      </c>
      <c r="Q21" s="608">
        <v>0.46</v>
      </c>
      <c r="S21" s="723"/>
    </row>
    <row r="22" spans="1:21" s="293" customFormat="1" ht="16.5" thickBot="1">
      <c r="A22" s="1529" t="s">
        <v>342</v>
      </c>
      <c r="B22" s="316" t="s">
        <v>801</v>
      </c>
      <c r="C22" s="1240">
        <v>109270</v>
      </c>
      <c r="D22" s="1240" t="e">
        <v>#N/A</v>
      </c>
      <c r="E22" s="1240"/>
      <c r="F22" s="1243">
        <v>229854</v>
      </c>
      <c r="G22" s="1541">
        <v>3886411</v>
      </c>
      <c r="H22" s="1087"/>
      <c r="I22" s="1243">
        <v>126715</v>
      </c>
      <c r="J22" s="531">
        <v>-103139</v>
      </c>
      <c r="K22" s="1224"/>
      <c r="L22" s="1240">
        <v>216297</v>
      </c>
      <c r="M22" s="1224"/>
      <c r="N22" s="1240">
        <v>-13557</v>
      </c>
      <c r="O22" s="344" t="s">
        <v>19</v>
      </c>
      <c r="P22" s="538">
        <v>0</v>
      </c>
      <c r="Q22" s="673">
        <v>0</v>
      </c>
      <c r="S22" s="723"/>
    </row>
    <row r="23" spans="1:21" s="293" customFormat="1" ht="16.5" thickBot="1">
      <c r="A23" s="1529" t="s">
        <v>343</v>
      </c>
      <c r="B23" s="316" t="s">
        <v>14</v>
      </c>
      <c r="C23" s="1240">
        <v>48296</v>
      </c>
      <c r="D23" s="1240" t="e">
        <v>#N/A</v>
      </c>
      <c r="E23" s="1240"/>
      <c r="F23" s="1243">
        <v>71000</v>
      </c>
      <c r="G23" s="1541">
        <v>3886411</v>
      </c>
      <c r="H23" s="1087"/>
      <c r="I23" s="1243">
        <v>64000</v>
      </c>
      <c r="J23" s="531">
        <v>-7000</v>
      </c>
      <c r="K23" s="1224"/>
      <c r="L23" s="1240">
        <v>68000</v>
      </c>
      <c r="M23" s="1224"/>
      <c r="N23" s="1240">
        <v>-3000</v>
      </c>
      <c r="O23" s="344" t="s">
        <v>21</v>
      </c>
      <c r="P23" s="538">
        <v>593020</v>
      </c>
      <c r="Q23" s="673">
        <v>1</v>
      </c>
      <c r="S23" s="723"/>
    </row>
    <row r="24" spans="1:21" s="293" customFormat="1" ht="16.5" hidden="1" thickBot="1">
      <c r="A24" s="1299" t="s">
        <v>350</v>
      </c>
      <c r="B24" s="316" t="s">
        <v>15</v>
      </c>
      <c r="C24" s="517">
        <v>0</v>
      </c>
      <c r="D24" s="517" t="e">
        <v>#N/A</v>
      </c>
      <c r="E24" s="517"/>
      <c r="F24" s="1243">
        <v>0</v>
      </c>
      <c r="G24" s="306">
        <v>3886411</v>
      </c>
      <c r="H24" s="1224"/>
      <c r="I24" s="532">
        <v>0</v>
      </c>
      <c r="J24" s="531">
        <v>0</v>
      </c>
      <c r="K24" s="1224"/>
      <c r="L24" s="517">
        <v>0</v>
      </c>
      <c r="M24" s="1224"/>
      <c r="N24" s="517">
        <v>0</v>
      </c>
      <c r="O24" s="344"/>
      <c r="P24" s="538"/>
      <c r="Q24" s="673"/>
      <c r="S24" s="723"/>
    </row>
    <row r="25" spans="1:21" s="293" customFormat="1" ht="15.75">
      <c r="A25" s="1525"/>
      <c r="B25" s="316" t="s">
        <v>1001</v>
      </c>
      <c r="C25" s="517">
        <v>0</v>
      </c>
      <c r="D25" s="517"/>
      <c r="E25" s="517"/>
      <c r="F25" s="1243">
        <v>200000</v>
      </c>
      <c r="G25" s="306"/>
      <c r="H25" s="1224"/>
      <c r="I25" s="306">
        <v>200000</v>
      </c>
      <c r="J25" s="531"/>
      <c r="K25" s="1224"/>
      <c r="L25" s="517">
        <v>0</v>
      </c>
      <c r="M25" s="1224"/>
      <c r="N25" s="1240">
        <v>-200000</v>
      </c>
      <c r="O25" s="344"/>
      <c r="P25" s="538"/>
      <c r="Q25" s="673"/>
      <c r="S25" s="723"/>
    </row>
    <row r="26" spans="1:21" s="293" customFormat="1" ht="15.75">
      <c r="A26" s="621" t="s">
        <v>346</v>
      </c>
      <c r="B26" s="316" t="s">
        <v>999</v>
      </c>
      <c r="C26" s="1240">
        <v>20208</v>
      </c>
      <c r="D26" s="303" t="e">
        <v>#N/A</v>
      </c>
      <c r="E26" s="303"/>
      <c r="F26" s="1243">
        <v>14588</v>
      </c>
      <c r="G26" s="306">
        <v>3886411</v>
      </c>
      <c r="H26" s="303"/>
      <c r="I26" s="552">
        <v>14588</v>
      </c>
      <c r="J26" s="531">
        <v>0</v>
      </c>
      <c r="K26" s="303"/>
      <c r="L26" s="303">
        <v>30229</v>
      </c>
      <c r="M26" s="303"/>
      <c r="N26" s="1146">
        <v>15641</v>
      </c>
      <c r="Q26" s="724"/>
    </row>
    <row r="27" spans="1:21" s="293" customFormat="1" ht="15.75">
      <c r="B27" s="622" t="s">
        <v>22</v>
      </c>
      <c r="C27" s="308">
        <v>425462</v>
      </c>
      <c r="D27" s="308" t="e">
        <v>#N/A</v>
      </c>
      <c r="E27" s="308"/>
      <c r="F27" s="1244">
        <v>832767</v>
      </c>
      <c r="G27" s="308">
        <v>23318466</v>
      </c>
      <c r="H27" s="308"/>
      <c r="I27" s="308">
        <v>684887</v>
      </c>
      <c r="J27" s="308">
        <v>-147880</v>
      </c>
      <c r="K27" s="308"/>
      <c r="L27" s="308">
        <v>593020</v>
      </c>
      <c r="M27" s="308"/>
      <c r="N27" s="1147">
        <v>-239747</v>
      </c>
      <c r="O27" s="293" t="s">
        <v>58</v>
      </c>
      <c r="S27" s="1014"/>
    </row>
    <row r="28" spans="1:21" s="293" customFormat="1" ht="15.75">
      <c r="B28" s="311"/>
      <c r="C28" s="311"/>
      <c r="D28" s="304"/>
      <c r="E28" s="304"/>
      <c r="F28" s="304"/>
      <c r="G28" s="304"/>
      <c r="H28" s="304"/>
      <c r="I28" s="304"/>
      <c r="J28" s="304"/>
      <c r="K28" s="304"/>
      <c r="L28" s="304"/>
      <c r="M28" s="304"/>
      <c r="N28" s="1148"/>
      <c r="S28" s="723"/>
    </row>
    <row r="29" spans="1:21" s="293" customFormat="1" ht="15.75">
      <c r="B29" s="313" t="s">
        <v>321</v>
      </c>
      <c r="C29" s="313"/>
      <c r="D29" s="311"/>
      <c r="E29" s="311"/>
      <c r="F29" s="311"/>
      <c r="G29" s="311"/>
      <c r="H29" s="311"/>
      <c r="I29" s="311"/>
      <c r="J29" s="311"/>
      <c r="K29" s="311"/>
      <c r="L29" s="302"/>
      <c r="M29" s="311"/>
      <c r="N29" s="1145"/>
      <c r="S29" s="723"/>
      <c r="T29" s="291"/>
    </row>
    <row r="30" spans="1:21" s="293" customFormat="1" ht="15.75" hidden="1">
      <c r="B30" s="316" t="s">
        <v>322</v>
      </c>
      <c r="C30" s="539">
        <v>0</v>
      </c>
      <c r="D30" s="304">
        <v>0</v>
      </c>
      <c r="E30" s="304"/>
      <c r="F30" s="539">
        <v>0</v>
      </c>
      <c r="G30" s="539">
        <v>0</v>
      </c>
      <c r="H30" s="539"/>
      <c r="I30" s="539">
        <v>0</v>
      </c>
      <c r="J30" s="540">
        <v>0</v>
      </c>
      <c r="K30" s="539"/>
      <c r="L30" s="965">
        <v>0</v>
      </c>
      <c r="M30" s="539"/>
      <c r="N30" s="1148">
        <v>0</v>
      </c>
      <c r="P30" s="291"/>
      <c r="S30" s="723"/>
    </row>
    <row r="31" spans="1:21" s="293" customFormat="1" ht="15.75">
      <c r="B31" s="316" t="s">
        <v>31</v>
      </c>
      <c r="C31" s="1037">
        <v>637403</v>
      </c>
      <c r="D31" s="312"/>
      <c r="E31" s="312"/>
      <c r="F31" s="1037">
        <v>117136</v>
      </c>
      <c r="G31" s="539"/>
      <c r="H31" s="539"/>
      <c r="I31" s="1037">
        <v>272768</v>
      </c>
      <c r="J31" s="540"/>
      <c r="K31" s="539"/>
      <c r="L31" s="1037">
        <v>0</v>
      </c>
      <c r="M31" s="539"/>
      <c r="N31" s="1146">
        <v>-117136</v>
      </c>
      <c r="S31" s="724"/>
    </row>
    <row r="32" spans="1:21" s="625" customFormat="1" ht="15.75">
      <c r="B32" s="1246" t="s">
        <v>323</v>
      </c>
      <c r="C32" s="309">
        <v>637403</v>
      </c>
      <c r="D32" s="900">
        <v>0</v>
      </c>
      <c r="E32" s="309" t="s">
        <v>58</v>
      </c>
      <c r="F32" s="309">
        <v>117136</v>
      </c>
      <c r="G32" s="541">
        <v>0</v>
      </c>
      <c r="H32" s="541"/>
      <c r="I32" s="553">
        <v>272768</v>
      </c>
      <c r="J32" s="541">
        <v>0</v>
      </c>
      <c r="K32" s="541"/>
      <c r="L32" s="541">
        <v>0</v>
      </c>
      <c r="M32" s="541"/>
      <c r="N32" s="1147">
        <v>-117136</v>
      </c>
      <c r="S32" s="724"/>
    </row>
    <row r="33" spans="2:21" s="293" customFormat="1" ht="16.5" thickBot="1">
      <c r="B33" s="616" t="s">
        <v>25</v>
      </c>
      <c r="C33" s="1267">
        <v>1062865</v>
      </c>
      <c r="D33" s="627" t="e">
        <v>#N/A</v>
      </c>
      <c r="E33" s="1267"/>
      <c r="F33" s="1267">
        <v>949903</v>
      </c>
      <c r="G33" s="1267">
        <v>23318466</v>
      </c>
      <c r="H33" s="1267"/>
      <c r="I33" s="1267">
        <v>957655</v>
      </c>
      <c r="J33" s="627">
        <v>-7752</v>
      </c>
      <c r="K33" s="627"/>
      <c r="L33" s="1267">
        <v>593020</v>
      </c>
      <c r="M33" s="1267"/>
      <c r="N33" s="1267">
        <v>-356883</v>
      </c>
      <c r="P33" s="293" t="s">
        <v>58</v>
      </c>
      <c r="S33" s="775"/>
      <c r="T33" s="775"/>
      <c r="U33" s="775"/>
    </row>
    <row r="34" spans="2:21" s="293" customFormat="1" ht="16.5" thickTop="1">
      <c r="B34" s="313"/>
      <c r="C34" s="310"/>
      <c r="D34" s="332"/>
      <c r="E34" s="332"/>
      <c r="F34" s="332"/>
      <c r="G34" s="332"/>
      <c r="H34" s="332"/>
      <c r="I34" s="332"/>
      <c r="J34" s="310"/>
      <c r="K34" s="332"/>
      <c r="L34" s="332"/>
      <c r="M34" s="332"/>
      <c r="N34" s="1150"/>
      <c r="S34" s="723"/>
    </row>
    <row r="35" spans="2:21" s="293" customFormat="1" ht="15.75">
      <c r="B35" s="313"/>
      <c r="C35" s="310"/>
      <c r="D35" s="332"/>
      <c r="E35" s="332"/>
      <c r="F35" s="332"/>
      <c r="G35" s="332"/>
      <c r="H35" s="332"/>
      <c r="I35" s="332"/>
      <c r="J35" s="310"/>
      <c r="K35" s="332"/>
      <c r="L35" s="332"/>
      <c r="M35" s="332"/>
      <c r="N35" s="1150"/>
      <c r="S35" s="723"/>
    </row>
    <row r="36" spans="2:21" s="293" customFormat="1" ht="15.75">
      <c r="B36" s="313"/>
      <c r="C36" s="310"/>
      <c r="D36" s="332"/>
      <c r="E36" s="332"/>
      <c r="F36" s="332"/>
      <c r="G36" s="332"/>
      <c r="H36" s="332"/>
      <c r="I36" s="332"/>
      <c r="J36" s="310"/>
      <c r="K36" s="332"/>
      <c r="L36" s="332"/>
      <c r="M36" s="332"/>
      <c r="N36" s="1150"/>
      <c r="S36" s="723"/>
    </row>
    <row r="37" spans="2:21" s="293" customFormat="1" ht="15.75">
      <c r="B37" s="313"/>
      <c r="C37" s="310"/>
      <c r="D37" s="332"/>
      <c r="E37" s="332"/>
      <c r="F37" s="332"/>
      <c r="G37" s="332"/>
      <c r="H37" s="332"/>
      <c r="I37" s="332"/>
      <c r="J37" s="310"/>
      <c r="K37" s="332"/>
      <c r="L37" s="332"/>
      <c r="M37" s="332"/>
      <c r="N37" s="1150"/>
      <c r="S37" s="723"/>
    </row>
    <row r="38" spans="2:21" s="293" customFormat="1" ht="15.75">
      <c r="B38" s="313"/>
      <c r="C38" s="310"/>
      <c r="D38" s="332"/>
      <c r="E38" s="332"/>
      <c r="F38" s="332"/>
      <c r="G38" s="332"/>
      <c r="H38" s="332"/>
      <c r="I38" s="332"/>
      <c r="J38" s="310"/>
      <c r="K38" s="332"/>
      <c r="L38" s="332"/>
      <c r="M38" s="332"/>
      <c r="N38" s="1150"/>
      <c r="S38" s="723"/>
    </row>
    <row r="39" spans="2:21" s="293" customFormat="1" ht="15.75">
      <c r="B39" s="313"/>
      <c r="C39" s="310"/>
      <c r="D39" s="332"/>
      <c r="E39" s="332"/>
      <c r="F39" s="332"/>
      <c r="G39" s="332"/>
      <c r="H39" s="332"/>
      <c r="I39" s="332"/>
      <c r="J39" s="310"/>
      <c r="K39" s="332"/>
      <c r="L39" s="332"/>
      <c r="M39" s="332"/>
      <c r="N39" s="1150"/>
      <c r="S39" s="723"/>
    </row>
    <row r="40" spans="2:21" s="293" customFormat="1" ht="15.75">
      <c r="B40" s="313"/>
      <c r="C40" s="310"/>
      <c r="D40" s="332"/>
      <c r="E40" s="332"/>
      <c r="F40" s="332"/>
      <c r="G40" s="332"/>
      <c r="H40" s="332"/>
      <c r="I40" s="332"/>
      <c r="J40" s="310"/>
      <c r="K40" s="332"/>
      <c r="L40" s="332"/>
      <c r="M40" s="332"/>
      <c r="N40" s="1150"/>
      <c r="O40" s="344"/>
      <c r="P40" s="344"/>
      <c r="Q40" s="729"/>
      <c r="R40" s="344"/>
      <c r="S40" s="729"/>
      <c r="T40" s="344"/>
      <c r="U40" s="344"/>
    </row>
    <row r="41" spans="2:21" s="293" customFormat="1" ht="15.75">
      <c r="B41" s="313"/>
      <c r="C41" s="310"/>
      <c r="D41" s="332"/>
      <c r="E41" s="332"/>
      <c r="F41" s="332"/>
      <c r="G41" s="332"/>
      <c r="H41" s="332"/>
      <c r="I41" s="332"/>
      <c r="J41" s="310"/>
      <c r="K41" s="332"/>
      <c r="L41" s="332"/>
      <c r="M41" s="332"/>
      <c r="N41" s="1150"/>
      <c r="O41" s="344"/>
      <c r="P41" s="344"/>
      <c r="Q41" s="729"/>
      <c r="R41" s="344"/>
      <c r="S41" s="729"/>
      <c r="T41" s="344"/>
      <c r="U41" s="344"/>
    </row>
    <row r="42" spans="2:21" s="293" customFormat="1" ht="15.75">
      <c r="B42" s="313"/>
      <c r="C42" s="310"/>
      <c r="D42" s="332"/>
      <c r="E42" s="332"/>
      <c r="F42" s="332"/>
      <c r="G42" s="332"/>
      <c r="H42" s="332"/>
      <c r="I42" s="332"/>
      <c r="J42" s="310"/>
      <c r="K42" s="332"/>
      <c r="L42" s="332"/>
      <c r="M42" s="332"/>
      <c r="N42" s="1150"/>
      <c r="O42" s="344"/>
      <c r="P42" s="344"/>
      <c r="Q42" s="729"/>
      <c r="R42" s="344"/>
      <c r="S42" s="729"/>
      <c r="T42" s="344"/>
      <c r="U42" s="344"/>
    </row>
    <row r="43" spans="2:21" s="293" customFormat="1" ht="15.75">
      <c r="B43" s="313"/>
      <c r="C43" s="310"/>
      <c r="D43" s="332"/>
      <c r="E43" s="332"/>
      <c r="F43" s="332"/>
      <c r="G43" s="332"/>
      <c r="H43" s="332"/>
      <c r="I43" s="332"/>
      <c r="J43" s="310"/>
      <c r="K43" s="332"/>
      <c r="L43" s="332"/>
      <c r="M43" s="332"/>
      <c r="N43" s="1150"/>
      <c r="O43" s="344"/>
      <c r="P43" s="344"/>
      <c r="Q43" s="729"/>
      <c r="R43" s="729"/>
      <c r="S43" s="729"/>
      <c r="T43" s="344"/>
      <c r="U43" s="344"/>
    </row>
    <row r="44" spans="2:21" s="293" customFormat="1" ht="15.75">
      <c r="B44" s="313"/>
      <c r="C44" s="310"/>
      <c r="D44" s="332"/>
      <c r="E44" s="332"/>
      <c r="F44" s="332"/>
      <c r="G44" s="332"/>
      <c r="H44" s="332"/>
      <c r="I44" s="332"/>
      <c r="J44" s="310"/>
      <c r="K44" s="332"/>
      <c r="L44" s="332"/>
      <c r="M44" s="332"/>
      <c r="N44" s="1150"/>
      <c r="O44" s="344"/>
      <c r="P44" s="344"/>
      <c r="Q44" s="729"/>
      <c r="R44" s="729"/>
      <c r="S44" s="729"/>
      <c r="T44" s="344"/>
      <c r="U44" s="344"/>
    </row>
    <row r="45" spans="2:21" s="293" customFormat="1" ht="15.75">
      <c r="B45" s="313"/>
      <c r="C45" s="310"/>
      <c r="D45" s="332"/>
      <c r="E45" s="332"/>
      <c r="F45" s="332"/>
      <c r="G45" s="332"/>
      <c r="H45" s="332"/>
      <c r="I45" s="332"/>
      <c r="J45" s="310"/>
      <c r="K45" s="332"/>
      <c r="L45" s="332"/>
      <c r="M45" s="332"/>
      <c r="N45" s="1150"/>
      <c r="O45" s="344"/>
      <c r="P45" s="344"/>
      <c r="Q45" s="729"/>
      <c r="R45" s="729"/>
      <c r="S45" s="729"/>
      <c r="T45" s="344"/>
      <c r="U45" s="344"/>
    </row>
    <row r="46" spans="2:21" s="293" customFormat="1" ht="15.75">
      <c r="B46" s="313"/>
      <c r="C46" s="310"/>
      <c r="D46" s="332"/>
      <c r="E46" s="332"/>
      <c r="F46" s="332"/>
      <c r="G46" s="332"/>
      <c r="H46" s="332"/>
      <c r="I46" s="332"/>
      <c r="J46" s="310"/>
      <c r="K46" s="332"/>
      <c r="L46" s="332"/>
      <c r="M46" s="332"/>
      <c r="N46" s="1150"/>
      <c r="O46" s="344"/>
      <c r="P46" s="672"/>
      <c r="Q46" s="729"/>
      <c r="R46" s="729"/>
      <c r="S46" s="729"/>
      <c r="T46" s="344"/>
      <c r="U46" s="344"/>
    </row>
    <row r="47" spans="2:21" s="293" customFormat="1" ht="15.75">
      <c r="B47" s="313"/>
      <c r="C47" s="310"/>
      <c r="D47" s="332"/>
      <c r="E47" s="332"/>
      <c r="F47" s="332"/>
      <c r="G47" s="332"/>
      <c r="H47" s="332"/>
      <c r="I47" s="332"/>
      <c r="J47" s="310"/>
      <c r="K47" s="332"/>
      <c r="L47" s="332"/>
      <c r="M47" s="332"/>
      <c r="N47" s="1150"/>
      <c r="O47" s="344"/>
      <c r="P47" s="344"/>
      <c r="Q47" s="729"/>
      <c r="R47" s="729"/>
      <c r="S47" s="729"/>
      <c r="T47" s="344"/>
      <c r="U47" s="344"/>
    </row>
    <row r="48" spans="2:21" s="293" customFormat="1" ht="15.75">
      <c r="B48" s="313"/>
      <c r="C48" s="310"/>
      <c r="D48" s="332"/>
      <c r="E48" s="332"/>
      <c r="F48" s="332"/>
      <c r="G48" s="332"/>
      <c r="H48" s="332"/>
      <c r="I48" s="332"/>
      <c r="J48" s="310"/>
      <c r="K48" s="332"/>
      <c r="L48" s="332"/>
      <c r="M48" s="332"/>
      <c r="N48" s="1150"/>
      <c r="O48" s="344"/>
      <c r="P48" s="344"/>
      <c r="Q48" s="729"/>
      <c r="R48" s="1767"/>
      <c r="S48" s="344"/>
      <c r="T48" s="344"/>
      <c r="U48" s="344"/>
    </row>
    <row r="49" spans="2:21" s="293" customFormat="1" ht="15.75">
      <c r="B49" s="313"/>
      <c r="C49" s="310"/>
      <c r="D49" s="332"/>
      <c r="E49" s="332"/>
      <c r="F49" s="332"/>
      <c r="G49" s="332"/>
      <c r="H49" s="332"/>
      <c r="I49" s="332"/>
      <c r="J49" s="310"/>
      <c r="K49" s="332"/>
      <c r="L49" s="332"/>
      <c r="M49" s="332"/>
      <c r="N49" s="1150"/>
      <c r="O49" s="344"/>
      <c r="P49" s="344"/>
      <c r="Q49" s="344"/>
      <c r="R49" s="344"/>
      <c r="S49" s="729"/>
      <c r="T49" s="344"/>
      <c r="U49" s="344"/>
    </row>
    <row r="50" spans="2:21" s="293" customFormat="1" ht="15.75">
      <c r="B50" s="313"/>
      <c r="C50" s="310"/>
      <c r="D50" s="332"/>
      <c r="E50" s="332"/>
      <c r="F50" s="332"/>
      <c r="G50" s="332"/>
      <c r="H50" s="332"/>
      <c r="I50" s="332"/>
      <c r="J50" s="310"/>
      <c r="K50" s="332"/>
      <c r="L50" s="332"/>
      <c r="M50" s="332"/>
      <c r="N50" s="1150"/>
      <c r="O50" s="344"/>
      <c r="P50" s="344"/>
      <c r="Q50" s="344"/>
      <c r="R50" s="344"/>
      <c r="S50" s="729"/>
      <c r="T50" s="344"/>
      <c r="U50" s="344"/>
    </row>
    <row r="51" spans="2:21" s="293" customFormat="1" ht="15.75">
      <c r="B51" s="313"/>
      <c r="C51" s="310"/>
      <c r="D51" s="332"/>
      <c r="E51" s="332"/>
      <c r="F51" s="332"/>
      <c r="G51" s="332"/>
      <c r="H51" s="332"/>
      <c r="I51" s="332"/>
      <c r="J51" s="310"/>
      <c r="K51" s="332"/>
      <c r="L51" s="332"/>
      <c r="M51" s="332"/>
      <c r="N51" s="1150"/>
      <c r="O51" s="344"/>
      <c r="P51" s="344"/>
      <c r="Q51" s="344"/>
      <c r="R51" s="344"/>
      <c r="S51" s="729"/>
      <c r="T51" s="344"/>
      <c r="U51" s="344"/>
    </row>
    <row r="52" spans="2:21" s="293" customFormat="1" ht="15.75">
      <c r="B52" s="313"/>
      <c r="C52" s="310"/>
      <c r="D52" s="332"/>
      <c r="E52" s="332"/>
      <c r="F52" s="332"/>
      <c r="G52" s="332"/>
      <c r="H52" s="332"/>
      <c r="I52" s="332"/>
      <c r="J52" s="310"/>
      <c r="K52" s="332"/>
      <c r="L52" s="332"/>
      <c r="M52" s="332"/>
      <c r="N52" s="1150"/>
      <c r="O52" s="344"/>
      <c r="P52" s="344"/>
      <c r="Q52" s="344"/>
      <c r="R52" s="344"/>
      <c r="S52" s="729"/>
      <c r="T52" s="344"/>
      <c r="U52" s="344"/>
    </row>
    <row r="53" spans="2:21" s="293" customFormat="1" ht="15.75">
      <c r="B53" s="313"/>
      <c r="C53" s="310"/>
      <c r="D53" s="332"/>
      <c r="E53" s="332"/>
      <c r="F53" s="332"/>
      <c r="G53" s="332"/>
      <c r="H53" s="332"/>
      <c r="I53" s="332"/>
      <c r="J53" s="310"/>
      <c r="K53" s="332"/>
      <c r="L53" s="332"/>
      <c r="M53" s="332"/>
      <c r="N53" s="1150"/>
      <c r="O53" s="344"/>
      <c r="P53" s="344"/>
      <c r="Q53" s="344"/>
      <c r="R53" s="344"/>
      <c r="S53" s="729"/>
      <c r="T53" s="344"/>
      <c r="U53" s="344"/>
    </row>
    <row r="54" spans="2:21" s="293" customFormat="1" ht="15.75">
      <c r="B54" s="313"/>
      <c r="C54" s="310"/>
      <c r="D54" s="332"/>
      <c r="E54" s="332"/>
      <c r="F54" s="332"/>
      <c r="G54" s="332"/>
      <c r="H54" s="332"/>
      <c r="I54" s="332"/>
      <c r="J54" s="310"/>
      <c r="K54" s="332"/>
      <c r="L54" s="332"/>
      <c r="M54" s="332"/>
      <c r="N54" s="1150"/>
      <c r="S54" s="723"/>
    </row>
    <row r="55" spans="2:21" s="293" customFormat="1" ht="15.75">
      <c r="B55" s="313"/>
      <c r="C55" s="310"/>
      <c r="D55" s="332"/>
      <c r="E55" s="332"/>
      <c r="F55" s="332"/>
      <c r="G55" s="332"/>
      <c r="H55" s="332"/>
      <c r="I55" s="332"/>
      <c r="J55" s="310"/>
      <c r="K55" s="332"/>
      <c r="L55" s="332"/>
      <c r="M55" s="332"/>
      <c r="N55" s="1150"/>
      <c r="S55" s="723"/>
    </row>
    <row r="56" spans="2:21" s="293" customFormat="1" ht="15.75">
      <c r="B56" s="313"/>
      <c r="C56" s="310"/>
      <c r="D56" s="332"/>
      <c r="E56" s="332"/>
      <c r="F56" s="332"/>
      <c r="G56" s="332"/>
      <c r="H56" s="332"/>
      <c r="I56" s="332"/>
      <c r="J56" s="310"/>
      <c r="K56" s="332"/>
      <c r="L56" s="332"/>
      <c r="M56" s="332"/>
      <c r="N56" s="1150"/>
      <c r="S56" s="723"/>
    </row>
    <row r="57" spans="2:21" s="293" customFormat="1" ht="15.75">
      <c r="B57" s="313"/>
      <c r="C57" s="310"/>
      <c r="D57" s="332"/>
      <c r="E57" s="332"/>
      <c r="F57" s="332"/>
      <c r="G57" s="332"/>
      <c r="H57" s="332"/>
      <c r="I57" s="332"/>
      <c r="J57" s="310"/>
      <c r="K57" s="332"/>
      <c r="L57" s="332"/>
      <c r="M57" s="332"/>
      <c r="N57" s="1150"/>
      <c r="S57" s="723"/>
    </row>
    <row r="58" spans="2:21" s="293" customFormat="1" ht="15.75">
      <c r="B58" s="313"/>
      <c r="C58" s="310"/>
      <c r="D58" s="332"/>
      <c r="E58" s="332"/>
      <c r="F58" s="332"/>
      <c r="G58" s="332"/>
      <c r="H58" s="332"/>
      <c r="I58" s="332"/>
      <c r="J58" s="310"/>
      <c r="K58" s="332"/>
      <c r="L58" s="332"/>
      <c r="M58" s="332"/>
      <c r="N58" s="1150"/>
      <c r="S58" s="723"/>
    </row>
    <row r="59" spans="2:21" s="293" customFormat="1" ht="15.75">
      <c r="B59" s="313"/>
      <c r="C59" s="310"/>
      <c r="D59" s="332"/>
      <c r="E59" s="332"/>
      <c r="F59" s="332"/>
      <c r="G59" s="332"/>
      <c r="H59" s="332"/>
      <c r="I59" s="332"/>
      <c r="J59" s="310"/>
      <c r="K59" s="332"/>
      <c r="L59" s="332"/>
      <c r="M59" s="332"/>
      <c r="N59" s="1150"/>
      <c r="S59" s="723"/>
    </row>
    <row r="60" spans="2:21" s="293" customFormat="1" ht="15.75">
      <c r="B60" s="313"/>
      <c r="C60" s="310"/>
      <c r="D60" s="332"/>
      <c r="E60" s="332"/>
      <c r="F60" s="332"/>
      <c r="G60" s="332"/>
      <c r="H60" s="332"/>
      <c r="I60" s="332"/>
      <c r="J60" s="310"/>
      <c r="K60" s="332"/>
      <c r="L60" s="332"/>
      <c r="M60" s="332"/>
      <c r="N60" s="1150"/>
      <c r="S60" s="723"/>
    </row>
    <row r="61" spans="2:21" s="293" customFormat="1" ht="15.75">
      <c r="B61" s="313"/>
      <c r="C61" s="310"/>
      <c r="D61" s="332"/>
      <c r="E61" s="332"/>
      <c r="F61" s="332"/>
      <c r="G61" s="332"/>
      <c r="H61" s="332"/>
      <c r="I61" s="332"/>
      <c r="J61" s="310"/>
      <c r="K61" s="332"/>
      <c r="L61" s="332"/>
      <c r="M61" s="332"/>
      <c r="N61" s="1150"/>
      <c r="S61" s="723"/>
    </row>
    <row r="62" spans="2:21" s="293" customFormat="1" ht="15.75">
      <c r="B62" s="313"/>
      <c r="C62" s="310"/>
      <c r="D62" s="332"/>
      <c r="E62" s="332"/>
      <c r="F62" s="332"/>
      <c r="G62" s="332"/>
      <c r="H62" s="332"/>
      <c r="I62" s="332"/>
      <c r="J62" s="310"/>
      <c r="K62" s="332"/>
      <c r="L62" s="332"/>
      <c r="M62" s="332"/>
      <c r="N62" s="1150"/>
      <c r="S62" s="723"/>
    </row>
    <row r="63" spans="2:21" s="344" customFormat="1" ht="15.75">
      <c r="B63" s="313"/>
      <c r="C63" s="310"/>
      <c r="D63" s="332"/>
      <c r="E63" s="332"/>
      <c r="F63" s="332"/>
      <c r="G63" s="332"/>
      <c r="H63" s="332"/>
      <c r="I63" s="332"/>
      <c r="J63" s="310"/>
      <c r="K63" s="332"/>
      <c r="L63" s="332"/>
      <c r="M63" s="332"/>
      <c r="N63" s="1150"/>
      <c r="S63" s="729"/>
    </row>
    <row r="64" spans="2:21" s="344" customFormat="1" ht="15.75">
      <c r="B64" s="313"/>
      <c r="C64" s="310"/>
      <c r="D64" s="332"/>
      <c r="E64" s="332"/>
      <c r="F64" s="332"/>
      <c r="G64" s="332"/>
      <c r="H64" s="332"/>
      <c r="I64" s="332"/>
      <c r="J64" s="310"/>
      <c r="K64" s="332"/>
      <c r="L64" s="332"/>
      <c r="M64" s="332"/>
      <c r="N64" s="1150"/>
      <c r="S64" s="729"/>
    </row>
    <row r="65" spans="2:19" s="293" customFormat="1" ht="15.75">
      <c r="B65" s="313"/>
      <c r="C65" s="310"/>
      <c r="D65" s="332"/>
      <c r="E65" s="332"/>
      <c r="F65" s="332"/>
      <c r="G65" s="332"/>
      <c r="H65" s="332"/>
      <c r="I65" s="332"/>
      <c r="J65" s="310"/>
      <c r="K65" s="332"/>
      <c r="L65" s="332"/>
      <c r="M65" s="332"/>
      <c r="N65" s="1150"/>
      <c r="S65" s="723"/>
    </row>
    <row r="66" spans="2:19" s="293" customFormat="1" ht="15.75">
      <c r="B66" s="313"/>
      <c r="C66" s="310"/>
      <c r="D66" s="332"/>
      <c r="E66" s="332"/>
      <c r="F66" s="332"/>
      <c r="G66" s="332"/>
      <c r="H66" s="332"/>
      <c r="I66" s="332"/>
      <c r="J66" s="310"/>
      <c r="K66" s="332"/>
      <c r="L66" s="332"/>
      <c r="M66" s="332"/>
      <c r="N66" s="1150"/>
      <c r="S66" s="723"/>
    </row>
    <row r="67" spans="2:19" s="293" customFormat="1" ht="15.75">
      <c r="B67" s="313"/>
      <c r="C67" s="310"/>
      <c r="D67" s="332"/>
      <c r="E67" s="332"/>
      <c r="F67" s="332"/>
      <c r="G67" s="332"/>
      <c r="H67" s="332"/>
      <c r="I67" s="332"/>
      <c r="J67" s="310"/>
      <c r="K67" s="332"/>
      <c r="L67" s="332"/>
      <c r="M67" s="332"/>
      <c r="N67" s="1150"/>
      <c r="S67" s="723"/>
    </row>
    <row r="68" spans="2:19" s="293" customFormat="1" ht="15.75">
      <c r="B68" s="313"/>
      <c r="C68" s="310"/>
      <c r="D68" s="332"/>
      <c r="E68" s="332"/>
      <c r="F68" s="332"/>
      <c r="G68" s="332"/>
      <c r="H68" s="332"/>
      <c r="I68" s="332"/>
      <c r="J68" s="310"/>
      <c r="K68" s="332"/>
      <c r="L68" s="332"/>
      <c r="M68" s="332"/>
      <c r="N68" s="1150"/>
      <c r="S68" s="723"/>
    </row>
    <row r="69" spans="2:19" s="293" customFormat="1" ht="15.75">
      <c r="B69" s="313"/>
      <c r="C69" s="310"/>
      <c r="D69" s="332"/>
      <c r="E69" s="332"/>
      <c r="F69" s="332"/>
      <c r="G69" s="332"/>
      <c r="H69" s="332"/>
      <c r="I69" s="332"/>
      <c r="J69" s="310"/>
      <c r="K69" s="332"/>
      <c r="L69" s="332"/>
      <c r="M69" s="332"/>
      <c r="N69" s="1150"/>
      <c r="S69" s="723"/>
    </row>
    <row r="70" spans="2:19" s="293" customFormat="1" ht="15.75">
      <c r="B70" s="313"/>
      <c r="C70" s="310"/>
      <c r="D70" s="332"/>
      <c r="E70" s="332"/>
      <c r="F70" s="332"/>
      <c r="G70" s="332"/>
      <c r="H70" s="332"/>
      <c r="I70" s="332"/>
      <c r="J70" s="310"/>
      <c r="K70" s="332"/>
      <c r="L70" s="332"/>
      <c r="M70" s="332"/>
      <c r="N70" s="1150"/>
      <c r="S70" s="723"/>
    </row>
    <row r="71" spans="2:19" ht="15.75">
      <c r="B71" s="313"/>
      <c r="C71" s="314"/>
      <c r="D71" s="314"/>
      <c r="E71" s="314"/>
      <c r="F71" s="314"/>
      <c r="G71" s="314"/>
      <c r="H71" s="314"/>
      <c r="I71" s="314"/>
      <c r="J71" s="314"/>
      <c r="K71" s="314"/>
      <c r="L71" s="314"/>
      <c r="M71" s="314"/>
      <c r="N71" s="1151"/>
    </row>
    <row r="72" spans="2:19" ht="15.75">
      <c r="B72" s="313"/>
      <c r="C72" s="313"/>
      <c r="D72" s="305"/>
      <c r="E72" s="305"/>
      <c r="F72" s="310"/>
      <c r="G72" s="310"/>
      <c r="H72" s="305"/>
      <c r="I72" s="310"/>
      <c r="J72" s="298"/>
      <c r="K72" s="305"/>
      <c r="L72" s="316"/>
      <c r="M72" s="305"/>
      <c r="N72" s="1148"/>
    </row>
    <row r="73" spans="2:19" ht="15.75">
      <c r="B73" s="298"/>
      <c r="C73" s="902"/>
      <c r="D73" s="902"/>
      <c r="E73" s="902"/>
      <c r="F73" s="902"/>
      <c r="G73" s="902"/>
      <c r="H73" s="902"/>
      <c r="I73" s="902"/>
      <c r="J73" s="902"/>
      <c r="K73" s="902"/>
      <c r="L73" s="902"/>
      <c r="M73" s="902"/>
      <c r="N73" s="1145"/>
    </row>
    <row r="74" spans="2:19" ht="15.75">
      <c r="B74" s="298"/>
      <c r="C74" s="298"/>
      <c r="D74" s="298"/>
      <c r="E74" s="298"/>
      <c r="F74" s="298"/>
      <c r="G74" s="298"/>
      <c r="H74" s="298"/>
      <c r="I74" s="298"/>
      <c r="J74" s="298"/>
      <c r="K74" s="298"/>
      <c r="L74" s="311"/>
      <c r="M74" s="298"/>
      <c r="N74" s="1145"/>
    </row>
    <row r="75" spans="2:19" ht="15.75">
      <c r="B75" s="298"/>
      <c r="C75" s="298"/>
      <c r="D75" s="298"/>
      <c r="E75" s="298"/>
      <c r="F75" s="300"/>
      <c r="G75" s="298"/>
      <c r="H75" s="298"/>
      <c r="I75" s="300"/>
      <c r="J75" s="298"/>
      <c r="K75" s="298"/>
      <c r="L75" s="300"/>
      <c r="M75" s="298"/>
      <c r="N75" s="1145"/>
    </row>
    <row r="76" spans="2:19" ht="15.75">
      <c r="B76" s="299"/>
      <c r="C76" s="299"/>
      <c r="D76" s="298"/>
      <c r="E76" s="298"/>
      <c r="F76" s="298"/>
      <c r="G76" s="298"/>
      <c r="H76" s="298"/>
      <c r="I76" s="298"/>
      <c r="J76" s="298"/>
      <c r="K76" s="298"/>
      <c r="M76" s="298"/>
      <c r="N76" s="1145"/>
    </row>
    <row r="77" spans="2:19" ht="15.75">
      <c r="B77" s="298"/>
      <c r="C77" s="298"/>
      <c r="D77" s="298"/>
      <c r="E77" s="298"/>
      <c r="F77" s="298"/>
      <c r="G77" s="298"/>
      <c r="H77" s="298"/>
      <c r="I77" s="298"/>
      <c r="J77" s="298"/>
      <c r="K77" s="298"/>
      <c r="L77" s="311"/>
      <c r="M77" s="298"/>
      <c r="N77" s="1145"/>
    </row>
    <row r="78" spans="2:19" ht="15.75">
      <c r="B78" s="298"/>
      <c r="C78" s="298"/>
      <c r="D78" s="298"/>
      <c r="E78" s="298"/>
      <c r="F78" s="298"/>
      <c r="G78" s="298"/>
      <c r="H78" s="298"/>
      <c r="I78" s="298"/>
      <c r="J78" s="298"/>
      <c r="K78" s="298"/>
      <c r="L78" s="311"/>
      <c r="M78" s="298"/>
      <c r="N78" s="1145"/>
    </row>
    <row r="79" spans="2:19" ht="15.75">
      <c r="B79" s="298"/>
      <c r="C79" s="298"/>
      <c r="D79" s="298"/>
      <c r="E79" s="298"/>
      <c r="F79" s="298"/>
      <c r="G79" s="298"/>
      <c r="H79" s="298"/>
      <c r="I79" s="298"/>
      <c r="J79" s="298"/>
      <c r="K79" s="298"/>
      <c r="L79" s="311"/>
      <c r="M79" s="298"/>
      <c r="N79" s="1145"/>
    </row>
    <row r="80" spans="2:19" ht="15.75">
      <c r="B80" s="298"/>
      <c r="C80" s="298"/>
      <c r="D80" s="298"/>
      <c r="E80" s="298"/>
      <c r="F80" s="298"/>
      <c r="G80" s="298"/>
      <c r="H80" s="298"/>
      <c r="I80" s="298"/>
      <c r="J80" s="298"/>
      <c r="K80" s="298"/>
      <c r="L80" s="311"/>
      <c r="M80" s="298"/>
      <c r="N80" s="1145"/>
    </row>
    <row r="81" spans="2:14" ht="15.75">
      <c r="B81" s="298"/>
      <c r="C81" s="298"/>
      <c r="D81" s="298"/>
      <c r="E81" s="298"/>
      <c r="F81" s="298"/>
      <c r="G81" s="298"/>
      <c r="H81" s="298"/>
      <c r="I81" s="298"/>
      <c r="J81" s="298"/>
      <c r="K81" s="298"/>
      <c r="L81" s="311"/>
      <c r="M81" s="298"/>
      <c r="N81" s="1145"/>
    </row>
    <row r="82" spans="2:14" ht="15.75">
      <c r="B82" s="298"/>
      <c r="C82" s="298"/>
      <c r="D82" s="298"/>
      <c r="E82" s="298"/>
      <c r="F82" s="298"/>
      <c r="G82" s="298"/>
      <c r="H82" s="298"/>
      <c r="I82" s="298"/>
      <c r="J82" s="298"/>
      <c r="K82" s="298"/>
      <c r="L82" s="311"/>
      <c r="M82" s="298"/>
      <c r="N82" s="1145"/>
    </row>
    <row r="83" spans="2:14" ht="15.75">
      <c r="B83" s="298"/>
      <c r="C83" s="298"/>
      <c r="D83" s="298"/>
      <c r="E83" s="298"/>
      <c r="F83" s="298"/>
      <c r="G83" s="298"/>
      <c r="H83" s="298"/>
      <c r="I83" s="298"/>
      <c r="J83" s="298"/>
      <c r="K83" s="298"/>
      <c r="L83" s="311"/>
      <c r="M83" s="298"/>
      <c r="N83" s="1145"/>
    </row>
    <row r="84" spans="2:14" ht="15.75">
      <c r="B84" s="298"/>
      <c r="C84" s="298"/>
      <c r="D84" s="298"/>
      <c r="E84" s="298"/>
      <c r="F84" s="298"/>
      <c r="G84" s="298"/>
      <c r="H84" s="298"/>
      <c r="I84" s="298"/>
      <c r="J84" s="298"/>
      <c r="K84" s="298"/>
      <c r="L84" s="311"/>
      <c r="M84" s="298"/>
      <c r="N84" s="1145"/>
    </row>
    <row r="85" spans="2:14" ht="15.75">
      <c r="B85" s="298"/>
      <c r="C85" s="298"/>
      <c r="D85" s="298"/>
      <c r="E85" s="298"/>
      <c r="F85" s="298"/>
      <c r="G85" s="298"/>
      <c r="H85" s="298"/>
      <c r="I85" s="298"/>
      <c r="J85" s="298"/>
      <c r="K85" s="298"/>
      <c r="L85" s="311"/>
      <c r="M85" s="298"/>
      <c r="N85" s="1145"/>
    </row>
    <row r="86" spans="2:14" ht="15.75">
      <c r="B86" s="298"/>
      <c r="C86" s="298"/>
      <c r="D86" s="298"/>
      <c r="E86" s="298"/>
      <c r="F86" s="298"/>
      <c r="G86" s="298"/>
      <c r="H86" s="298"/>
      <c r="I86" s="298"/>
      <c r="J86" s="298"/>
      <c r="K86" s="298"/>
      <c r="L86" s="311"/>
      <c r="M86" s="298"/>
      <c r="N86" s="1145"/>
    </row>
    <row r="87" spans="2:14" ht="15.75">
      <c r="B87" s="298"/>
      <c r="C87" s="298"/>
      <c r="D87" s="298"/>
      <c r="E87" s="298"/>
      <c r="F87" s="298"/>
      <c r="G87" s="298"/>
      <c r="H87" s="298"/>
      <c r="I87" s="298"/>
      <c r="J87" s="298"/>
      <c r="K87" s="298"/>
      <c r="L87" s="311"/>
      <c r="M87" s="298"/>
      <c r="N87" s="1145"/>
    </row>
    <row r="88" spans="2:14" ht="15.75">
      <c r="B88" s="298"/>
      <c r="C88" s="298"/>
      <c r="D88" s="298"/>
      <c r="E88" s="298"/>
      <c r="F88" s="298"/>
      <c r="G88" s="298"/>
      <c r="H88" s="298"/>
      <c r="I88" s="298"/>
      <c r="J88" s="298"/>
      <c r="K88" s="298"/>
      <c r="L88" s="311"/>
      <c r="M88" s="298"/>
      <c r="N88" s="1145"/>
    </row>
    <row r="89" spans="2:14" ht="15.75">
      <c r="B89" s="298"/>
      <c r="C89" s="298"/>
      <c r="D89" s="298"/>
      <c r="E89" s="298"/>
      <c r="F89" s="298"/>
      <c r="G89" s="298"/>
      <c r="H89" s="298"/>
      <c r="I89" s="298"/>
      <c r="J89" s="298"/>
      <c r="K89" s="298"/>
      <c r="L89" s="311"/>
      <c r="M89" s="298"/>
      <c r="N89" s="1145"/>
    </row>
    <row r="90" spans="2:14" ht="15.75">
      <c r="B90" s="298"/>
      <c r="C90" s="298"/>
      <c r="D90" s="298"/>
      <c r="E90" s="298"/>
      <c r="F90" s="298"/>
      <c r="G90" s="298"/>
      <c r="H90" s="298"/>
      <c r="I90" s="298"/>
      <c r="J90" s="298"/>
      <c r="K90" s="298"/>
      <c r="L90" s="311"/>
      <c r="M90" s="298"/>
      <c r="N90" s="1145"/>
    </row>
    <row r="91" spans="2:14" ht="15.75">
      <c r="B91" s="298"/>
      <c r="C91" s="298"/>
      <c r="D91" s="298"/>
      <c r="E91" s="298"/>
      <c r="F91" s="298"/>
      <c r="G91" s="298"/>
      <c r="H91" s="298"/>
      <c r="I91" s="298"/>
      <c r="J91" s="298"/>
      <c r="K91" s="298"/>
      <c r="L91" s="311"/>
      <c r="M91" s="298"/>
      <c r="N91" s="1145"/>
    </row>
    <row r="92" spans="2:14" ht="15.75">
      <c r="B92" s="298"/>
      <c r="C92" s="298"/>
      <c r="D92" s="298"/>
      <c r="E92" s="298"/>
      <c r="F92" s="298"/>
      <c r="G92" s="298"/>
      <c r="H92" s="298"/>
      <c r="I92" s="298"/>
      <c r="J92" s="298"/>
      <c r="K92" s="298"/>
      <c r="L92" s="311"/>
      <c r="M92" s="298"/>
      <c r="N92" s="1145"/>
    </row>
    <row r="93" spans="2:14" ht="15.75">
      <c r="B93" s="298"/>
      <c r="C93" s="298"/>
      <c r="D93" s="298"/>
      <c r="E93" s="298"/>
      <c r="F93" s="298"/>
      <c r="G93" s="298"/>
      <c r="H93" s="298"/>
      <c r="I93" s="298"/>
      <c r="J93" s="298"/>
      <c r="K93" s="298"/>
      <c r="L93" s="311"/>
      <c r="M93" s="298"/>
      <c r="N93" s="1145"/>
    </row>
    <row r="94" spans="2:14" ht="15.75">
      <c r="B94" s="298"/>
      <c r="C94" s="298"/>
      <c r="D94" s="298"/>
      <c r="E94" s="298"/>
      <c r="F94" s="298"/>
      <c r="G94" s="298"/>
      <c r="H94" s="298"/>
      <c r="I94" s="298"/>
      <c r="J94" s="298"/>
      <c r="K94" s="298"/>
      <c r="L94" s="311"/>
      <c r="M94" s="298"/>
      <c r="N94" s="1145"/>
    </row>
    <row r="95" spans="2:14" ht="15.75">
      <c r="B95" s="298"/>
      <c r="C95" s="298"/>
      <c r="D95" s="298"/>
      <c r="E95" s="298"/>
      <c r="F95" s="298"/>
      <c r="G95" s="298"/>
      <c r="H95" s="298"/>
      <c r="I95" s="298"/>
      <c r="J95" s="298"/>
      <c r="K95" s="298"/>
      <c r="L95" s="311"/>
      <c r="M95" s="298"/>
      <c r="N95" s="1145"/>
    </row>
    <row r="96" spans="2:14" ht="15.75">
      <c r="B96" s="298"/>
      <c r="C96" s="298"/>
      <c r="D96" s="298"/>
      <c r="E96" s="298"/>
      <c r="F96" s="298"/>
      <c r="G96" s="298"/>
      <c r="H96" s="298"/>
      <c r="I96" s="298"/>
      <c r="J96" s="298"/>
      <c r="K96" s="298"/>
      <c r="L96" s="311"/>
      <c r="M96" s="298"/>
      <c r="N96" s="1145"/>
    </row>
    <row r="97" spans="2:14" ht="15.75">
      <c r="B97" s="298"/>
      <c r="C97" s="298"/>
      <c r="D97" s="298"/>
      <c r="E97" s="298"/>
      <c r="F97" s="298"/>
      <c r="G97" s="298"/>
      <c r="H97" s="298"/>
      <c r="I97" s="298"/>
      <c r="J97" s="298"/>
      <c r="K97" s="298"/>
      <c r="L97" s="311"/>
      <c r="M97" s="298"/>
      <c r="N97" s="1145"/>
    </row>
    <row r="98" spans="2:14" ht="15.75">
      <c r="B98" s="298"/>
      <c r="C98" s="298"/>
      <c r="D98" s="298"/>
      <c r="E98" s="298"/>
      <c r="F98" s="298"/>
      <c r="G98" s="298"/>
      <c r="H98" s="298"/>
      <c r="I98" s="298"/>
      <c r="J98" s="298"/>
      <c r="K98" s="298"/>
      <c r="L98" s="311"/>
      <c r="M98" s="298"/>
      <c r="N98" s="1145"/>
    </row>
    <row r="99" spans="2:14" ht="15.75">
      <c r="B99" s="298"/>
      <c r="C99" s="298"/>
      <c r="D99" s="298"/>
      <c r="E99" s="298"/>
      <c r="F99" s="298"/>
      <c r="G99" s="298"/>
      <c r="H99" s="298"/>
      <c r="I99" s="298"/>
      <c r="J99" s="298"/>
      <c r="K99" s="298"/>
      <c r="L99" s="311"/>
      <c r="M99" s="298"/>
      <c r="N99" s="1145"/>
    </row>
    <row r="100" spans="2:14" ht="15.75">
      <c r="B100" s="298"/>
      <c r="C100" s="298"/>
      <c r="D100" s="298"/>
      <c r="E100" s="298"/>
      <c r="F100" s="298"/>
      <c r="G100" s="298"/>
      <c r="H100" s="298"/>
      <c r="I100" s="298"/>
      <c r="J100" s="298"/>
      <c r="K100" s="298"/>
      <c r="L100" s="311"/>
      <c r="M100" s="298"/>
      <c r="N100" s="1145"/>
    </row>
    <row r="101" spans="2:14" ht="15.75">
      <c r="B101" s="298"/>
      <c r="C101" s="298"/>
      <c r="D101" s="298"/>
      <c r="E101" s="298"/>
      <c r="F101" s="298"/>
      <c r="G101" s="298"/>
      <c r="H101" s="298"/>
      <c r="I101" s="298"/>
      <c r="J101" s="298"/>
      <c r="K101" s="298"/>
      <c r="L101" s="311"/>
      <c r="M101" s="298"/>
      <c r="N101" s="1145"/>
    </row>
    <row r="102" spans="2:14" ht="15.75">
      <c r="B102" s="298"/>
      <c r="C102" s="298"/>
      <c r="D102" s="298"/>
      <c r="E102" s="298"/>
      <c r="F102" s="298"/>
      <c r="G102" s="298"/>
      <c r="H102" s="298"/>
      <c r="I102" s="298"/>
      <c r="J102" s="298"/>
      <c r="K102" s="298"/>
      <c r="L102" s="311"/>
      <c r="M102" s="298"/>
      <c r="N102" s="1145"/>
    </row>
    <row r="103" spans="2:14" ht="15.75">
      <c r="B103" s="298"/>
      <c r="C103" s="298"/>
      <c r="D103" s="298"/>
      <c r="E103" s="298"/>
      <c r="F103" s="298"/>
      <c r="G103" s="298"/>
      <c r="H103" s="298"/>
      <c r="I103" s="298"/>
      <c r="J103" s="298"/>
      <c r="K103" s="298"/>
      <c r="L103" s="311"/>
      <c r="M103" s="298"/>
      <c r="N103" s="1145"/>
    </row>
    <row r="104" spans="2:14" ht="15.75">
      <c r="B104" s="298"/>
      <c r="C104" s="298"/>
      <c r="D104" s="298"/>
      <c r="E104" s="298"/>
      <c r="F104" s="298"/>
      <c r="G104" s="298"/>
      <c r="H104" s="298"/>
      <c r="I104" s="298"/>
      <c r="J104" s="298"/>
      <c r="K104" s="298"/>
      <c r="L104" s="311"/>
      <c r="M104" s="298"/>
      <c r="N104" s="1145"/>
    </row>
    <row r="105" spans="2:14" ht="15.75">
      <c r="B105" s="298"/>
      <c r="C105" s="298"/>
      <c r="D105" s="298"/>
      <c r="E105" s="298"/>
      <c r="F105" s="298"/>
      <c r="G105" s="298"/>
      <c r="H105" s="298"/>
      <c r="I105" s="298"/>
      <c r="J105" s="298"/>
      <c r="K105" s="298"/>
      <c r="L105" s="311"/>
      <c r="M105" s="298"/>
      <c r="N105" s="1145"/>
    </row>
    <row r="106" spans="2:14" ht="15.75">
      <c r="B106" s="298"/>
      <c r="C106" s="298"/>
      <c r="D106" s="298"/>
      <c r="E106" s="298"/>
      <c r="F106" s="298"/>
      <c r="G106" s="298"/>
      <c r="H106" s="298"/>
      <c r="I106" s="298"/>
      <c r="J106" s="298"/>
      <c r="K106" s="298"/>
      <c r="L106" s="311"/>
      <c r="M106" s="298"/>
      <c r="N106" s="1145"/>
    </row>
    <row r="107" spans="2:14" ht="15.75">
      <c r="B107" s="298"/>
      <c r="C107" s="298"/>
      <c r="D107" s="298"/>
      <c r="E107" s="298"/>
      <c r="F107" s="298"/>
      <c r="G107" s="298"/>
      <c r="H107" s="298"/>
      <c r="I107" s="298"/>
      <c r="J107" s="298"/>
      <c r="K107" s="298"/>
      <c r="L107" s="311"/>
      <c r="M107" s="298"/>
      <c r="N107" s="1145"/>
    </row>
    <row r="108" spans="2:14" ht="15.75">
      <c r="B108" s="298"/>
      <c r="C108" s="298"/>
      <c r="D108" s="298"/>
      <c r="E108" s="298"/>
      <c r="F108" s="298"/>
      <c r="G108" s="298"/>
      <c r="H108" s="298"/>
      <c r="I108" s="298"/>
      <c r="J108" s="298"/>
      <c r="K108" s="298"/>
      <c r="L108" s="311"/>
      <c r="M108" s="298"/>
      <c r="N108" s="1145"/>
    </row>
    <row r="109" spans="2:14" ht="15.75">
      <c r="B109" s="298"/>
      <c r="C109" s="298"/>
      <c r="D109" s="298"/>
      <c r="E109" s="298"/>
      <c r="F109" s="298"/>
      <c r="G109" s="298"/>
      <c r="H109" s="298"/>
      <c r="I109" s="298"/>
      <c r="J109" s="298"/>
      <c r="K109" s="298"/>
      <c r="L109" s="311"/>
      <c r="M109" s="298"/>
      <c r="N109" s="1145"/>
    </row>
    <row r="110" spans="2:14" ht="15.75">
      <c r="B110" s="298"/>
      <c r="C110" s="298"/>
      <c r="D110" s="298"/>
      <c r="E110" s="298"/>
      <c r="F110" s="298"/>
      <c r="G110" s="298"/>
      <c r="H110" s="298"/>
      <c r="I110" s="298"/>
      <c r="J110" s="298"/>
      <c r="K110" s="298"/>
      <c r="L110" s="311"/>
      <c r="M110" s="298"/>
      <c r="N110" s="1145"/>
    </row>
    <row r="111" spans="2:14" ht="15.75">
      <c r="B111" s="298"/>
      <c r="C111" s="298"/>
      <c r="D111" s="298"/>
      <c r="E111" s="298"/>
      <c r="F111" s="298"/>
      <c r="G111" s="298"/>
      <c r="H111" s="298"/>
      <c r="I111" s="298"/>
      <c r="J111" s="298"/>
      <c r="K111" s="298"/>
      <c r="L111" s="311"/>
      <c r="M111" s="298"/>
      <c r="N111" s="1145"/>
    </row>
    <row r="112" spans="2:14" ht="15.75">
      <c r="B112" s="298"/>
      <c r="C112" s="298"/>
      <c r="D112" s="298"/>
      <c r="E112" s="298"/>
      <c r="F112" s="298"/>
      <c r="G112" s="298"/>
      <c r="H112" s="298"/>
      <c r="I112" s="298"/>
      <c r="J112" s="298"/>
      <c r="K112" s="298"/>
      <c r="L112" s="311"/>
      <c r="M112" s="298"/>
      <c r="N112" s="1145"/>
    </row>
    <row r="113" spans="2:14" ht="15.75">
      <c r="B113" s="298"/>
      <c r="C113" s="298"/>
      <c r="D113" s="298"/>
      <c r="E113" s="298"/>
      <c r="F113" s="298"/>
      <c r="G113" s="298"/>
      <c r="H113" s="298"/>
      <c r="I113" s="298"/>
      <c r="J113" s="298"/>
      <c r="K113" s="298"/>
      <c r="L113" s="311"/>
      <c r="M113" s="298"/>
      <c r="N113" s="1145"/>
    </row>
    <row r="114" spans="2:14" ht="15.75">
      <c r="B114" s="298"/>
      <c r="C114" s="298"/>
      <c r="D114" s="298"/>
      <c r="E114" s="298"/>
      <c r="F114" s="298"/>
      <c r="G114" s="298"/>
      <c r="H114" s="298"/>
      <c r="I114" s="298"/>
      <c r="J114" s="298"/>
      <c r="K114" s="298"/>
      <c r="L114" s="311"/>
      <c r="M114" s="298"/>
      <c r="N114" s="1145"/>
    </row>
    <row r="115" spans="2:14" ht="15.75">
      <c r="B115" s="298"/>
      <c r="C115" s="298"/>
      <c r="D115" s="298"/>
      <c r="E115" s="298"/>
      <c r="F115" s="298"/>
      <c r="G115" s="298"/>
      <c r="H115" s="298"/>
      <c r="I115" s="298"/>
      <c r="J115" s="298"/>
      <c r="K115" s="298"/>
      <c r="L115" s="311"/>
      <c r="M115" s="298"/>
      <c r="N115" s="1145"/>
    </row>
    <row r="116" spans="2:14" ht="15.75">
      <c r="B116" s="298"/>
      <c r="C116" s="298"/>
      <c r="D116" s="298"/>
      <c r="E116" s="298"/>
      <c r="F116" s="298"/>
      <c r="G116" s="298"/>
      <c r="H116" s="298"/>
      <c r="I116" s="298"/>
      <c r="J116" s="298"/>
      <c r="K116" s="298"/>
      <c r="L116" s="311"/>
      <c r="M116" s="298"/>
      <c r="N116" s="1145"/>
    </row>
    <row r="117" spans="2:14" ht="15.75">
      <c r="B117" s="298"/>
      <c r="C117" s="298"/>
      <c r="D117" s="298"/>
      <c r="E117" s="298"/>
      <c r="F117" s="298"/>
      <c r="G117" s="298"/>
      <c r="H117" s="298"/>
      <c r="I117" s="298"/>
      <c r="J117" s="298"/>
      <c r="K117" s="298"/>
      <c r="L117" s="311"/>
      <c r="M117" s="298"/>
      <c r="N117" s="1145"/>
    </row>
    <row r="118" spans="2:14" ht="15.75">
      <c r="B118" s="298"/>
      <c r="C118" s="298"/>
      <c r="D118" s="298"/>
      <c r="E118" s="298"/>
      <c r="F118" s="298"/>
      <c r="G118" s="298"/>
      <c r="H118" s="298"/>
      <c r="I118" s="298"/>
      <c r="J118" s="298"/>
      <c r="K118" s="298"/>
      <c r="L118" s="311"/>
      <c r="M118" s="298"/>
      <c r="N118" s="1145"/>
    </row>
    <row r="119" spans="2:14" ht="15.75">
      <c r="B119" s="298"/>
      <c r="C119" s="298"/>
      <c r="D119" s="298"/>
      <c r="E119" s="298"/>
      <c r="F119" s="298"/>
      <c r="G119" s="298"/>
      <c r="H119" s="298"/>
      <c r="I119" s="298"/>
      <c r="J119" s="298"/>
      <c r="K119" s="298"/>
      <c r="L119" s="311"/>
      <c r="M119" s="298"/>
      <c r="N119" s="1145"/>
    </row>
    <row r="120" spans="2:14" ht="15.75">
      <c r="B120" s="298"/>
      <c r="C120" s="298"/>
      <c r="D120" s="298"/>
      <c r="E120" s="298"/>
      <c r="F120" s="298"/>
      <c r="G120" s="298"/>
      <c r="H120" s="298"/>
      <c r="I120" s="298"/>
      <c r="J120" s="298"/>
      <c r="K120" s="298"/>
      <c r="L120" s="311"/>
      <c r="M120" s="298"/>
      <c r="N120" s="1145"/>
    </row>
    <row r="121" spans="2:14" ht="15.75">
      <c r="B121" s="298"/>
      <c r="C121" s="298"/>
      <c r="D121" s="298"/>
      <c r="E121" s="298"/>
      <c r="F121" s="298"/>
      <c r="G121" s="298"/>
      <c r="H121" s="298"/>
      <c r="I121" s="298"/>
      <c r="J121" s="298"/>
      <c r="K121" s="298"/>
      <c r="L121" s="311"/>
      <c r="M121" s="298"/>
      <c r="N121" s="1145"/>
    </row>
    <row r="122" spans="2:14" ht="15.75">
      <c r="B122" s="298"/>
      <c r="C122" s="298"/>
      <c r="D122" s="298"/>
      <c r="E122" s="298"/>
      <c r="F122" s="298"/>
      <c r="G122" s="298"/>
      <c r="H122" s="298"/>
      <c r="I122" s="298"/>
      <c r="J122" s="298"/>
      <c r="K122" s="298"/>
      <c r="L122" s="311"/>
      <c r="M122" s="298"/>
      <c r="N122" s="1145"/>
    </row>
    <row r="123" spans="2:14" ht="15.75">
      <c r="B123" s="298"/>
      <c r="C123" s="298"/>
      <c r="D123" s="298"/>
      <c r="E123" s="298"/>
      <c r="F123" s="298"/>
      <c r="G123" s="298"/>
      <c r="H123" s="298"/>
      <c r="I123" s="298"/>
      <c r="J123" s="298"/>
      <c r="K123" s="298"/>
      <c r="L123" s="311"/>
      <c r="M123" s="298"/>
      <c r="N123" s="1145"/>
    </row>
    <row r="124" spans="2:14" ht="15.75">
      <c r="B124" s="298"/>
      <c r="C124" s="298"/>
      <c r="D124" s="298"/>
      <c r="E124" s="298"/>
      <c r="F124" s="298"/>
      <c r="G124" s="298"/>
      <c r="H124" s="298"/>
      <c r="I124" s="298"/>
      <c r="J124" s="298"/>
      <c r="K124" s="298"/>
      <c r="L124" s="311"/>
      <c r="M124" s="298"/>
      <c r="N124" s="1145"/>
    </row>
    <row r="125" spans="2:14" ht="15.75">
      <c r="B125" s="298"/>
      <c r="C125" s="298"/>
      <c r="D125" s="298"/>
      <c r="E125" s="298"/>
      <c r="F125" s="298"/>
      <c r="G125" s="298"/>
      <c r="H125" s="298"/>
      <c r="I125" s="298"/>
      <c r="J125" s="298"/>
      <c r="K125" s="298"/>
      <c r="L125" s="311"/>
      <c r="M125" s="298"/>
      <c r="N125" s="1145"/>
    </row>
    <row r="126" spans="2:14" ht="15.75">
      <c r="B126" s="298"/>
      <c r="C126" s="298"/>
      <c r="D126" s="298"/>
      <c r="E126" s="298"/>
      <c r="F126" s="298"/>
      <c r="G126" s="298"/>
      <c r="H126" s="298"/>
      <c r="I126" s="298"/>
      <c r="J126" s="298"/>
      <c r="K126" s="298"/>
      <c r="L126" s="311"/>
      <c r="M126" s="298"/>
      <c r="N126" s="1145"/>
    </row>
    <row r="127" spans="2:14" ht="15.75">
      <c r="B127" s="298"/>
      <c r="C127" s="298"/>
      <c r="D127" s="298"/>
      <c r="E127" s="298"/>
      <c r="F127" s="298"/>
      <c r="G127" s="298"/>
      <c r="H127" s="298"/>
      <c r="I127" s="298"/>
      <c r="J127" s="298"/>
      <c r="K127" s="298"/>
      <c r="L127" s="311"/>
      <c r="M127" s="298"/>
      <c r="N127" s="1145"/>
    </row>
  </sheetData>
  <mergeCells count="4">
    <mergeCell ref="B1:N1"/>
    <mergeCell ref="B3:N3"/>
    <mergeCell ref="S3:AE3"/>
    <mergeCell ref="B4:N4"/>
  </mergeCells>
  <printOptions horizontalCentered="1"/>
  <pageMargins left="0.5" right="0.5" top="0.5" bottom="0.5" header="0.5" footer="0.5"/>
  <pageSetup scale="74"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8" tint="0.39997558519241921"/>
  </sheetPr>
  <dimension ref="A1:R119"/>
  <sheetViews>
    <sheetView showGridLines="0" showRuler="0" topLeftCell="B3" zoomScaleNormal="100" zoomScaleSheetLayoutView="130" workbookViewId="0">
      <selection activeCell="L23" sqref="L23"/>
    </sheetView>
  </sheetViews>
  <sheetFormatPr defaultColWidth="6.85546875" defaultRowHeight="12.75"/>
  <cols>
    <col min="1" max="1" width="17.42578125" style="283" hidden="1" customWidth="1"/>
    <col min="2" max="2" width="36.5703125" style="283" customWidth="1"/>
    <col min="3" max="3" width="15.7109375" style="510" customWidth="1"/>
    <col min="4" max="4" width="1.85546875" style="510" hidden="1" customWidth="1"/>
    <col min="5" max="5" width="15.7109375" style="510" customWidth="1"/>
    <col min="6" max="6" width="1.85546875" style="510" hidden="1" customWidth="1"/>
    <col min="7" max="7" width="15.7109375" style="510" customWidth="1"/>
    <col min="8" max="8" width="17.28515625" style="510" hidden="1" customWidth="1"/>
    <col min="9" max="9" width="1.85546875" style="510" hidden="1" customWidth="1"/>
    <col min="10" max="10" width="17.42578125" style="510" hidden="1" customWidth="1"/>
    <col min="11" max="11" width="1.85546875" style="510" hidden="1" customWidth="1"/>
    <col min="12" max="12" width="15.7109375" style="511" customWidth="1"/>
    <col min="13" max="13" width="1.85546875" style="510" hidden="1" customWidth="1"/>
    <col min="14" max="14" width="15.7109375" style="1115" customWidth="1"/>
    <col min="15" max="15" width="26.140625" style="283" bestFit="1" customWidth="1"/>
    <col min="16" max="16" width="15.28515625" style="283" bestFit="1" customWidth="1"/>
    <col min="17" max="17" width="18.140625" style="283" bestFit="1" customWidth="1"/>
    <col min="18" max="18" width="13.5703125" style="722" bestFit="1" customWidth="1"/>
    <col min="19" max="16384" width="6.85546875" style="283"/>
  </cols>
  <sheetData>
    <row r="1" spans="1:18" ht="44.25" hidden="1">
      <c r="B1" s="1706" t="s">
        <v>589</v>
      </c>
      <c r="C1" s="1706"/>
      <c r="D1" s="1706"/>
      <c r="E1" s="1706"/>
      <c r="F1" s="1706"/>
      <c r="G1" s="1706"/>
      <c r="H1" s="1706"/>
      <c r="I1" s="1706"/>
      <c r="J1" s="1706"/>
      <c r="K1" s="1706"/>
      <c r="L1" s="1706"/>
      <c r="M1" s="1706"/>
      <c r="N1" s="1706"/>
      <c r="O1" s="593" t="s">
        <v>589</v>
      </c>
    </row>
    <row r="2" spans="1:18" ht="18.75" hidden="1">
      <c r="B2" s="284"/>
      <c r="C2" s="493"/>
      <c r="D2" s="493"/>
      <c r="E2" s="493"/>
      <c r="F2" s="493"/>
      <c r="G2" s="493"/>
      <c r="H2" s="493"/>
      <c r="I2" s="493"/>
      <c r="J2" s="493"/>
      <c r="K2" s="493"/>
      <c r="L2" s="493"/>
      <c r="M2" s="493"/>
      <c r="N2" s="1022"/>
      <c r="O2" s="335"/>
      <c r="P2" s="335"/>
      <c r="Q2" s="335"/>
      <c r="R2" s="1280"/>
    </row>
    <row r="3" spans="1:18" ht="35.450000000000003" customHeight="1">
      <c r="B3" s="1704" t="s">
        <v>846</v>
      </c>
      <c r="C3" s="1704"/>
      <c r="D3" s="1704"/>
      <c r="E3" s="1704"/>
      <c r="F3" s="1704"/>
      <c r="G3" s="1704"/>
      <c r="H3" s="1704"/>
      <c r="I3" s="1704"/>
      <c r="J3" s="1704"/>
      <c r="K3" s="1704"/>
      <c r="L3" s="1704"/>
      <c r="M3" s="1704"/>
      <c r="N3" s="1704"/>
      <c r="O3" s="717"/>
      <c r="P3" s="335"/>
      <c r="Q3" s="335"/>
      <c r="R3" s="1280"/>
    </row>
    <row r="4" spans="1:18" ht="31.5" customHeight="1" thickBot="1">
      <c r="B4" s="1711"/>
      <c r="C4" s="1711"/>
      <c r="D4" s="1711"/>
      <c r="E4" s="1711"/>
      <c r="F4" s="1711"/>
      <c r="G4" s="1711"/>
      <c r="H4" s="1711"/>
      <c r="I4" s="1711"/>
      <c r="J4" s="1711"/>
      <c r="K4" s="1711"/>
      <c r="L4" s="1711"/>
      <c r="M4" s="1711"/>
      <c r="N4" s="1711"/>
      <c r="O4" s="334"/>
      <c r="P4" s="334"/>
      <c r="Q4" s="334"/>
      <c r="R4" s="1280"/>
    </row>
    <row r="5" spans="1:18" hidden="1">
      <c r="B5" s="286"/>
      <c r="C5" s="494"/>
      <c r="D5" s="495"/>
      <c r="E5" s="495"/>
      <c r="F5" s="495"/>
      <c r="G5" s="495"/>
      <c r="H5" s="495" t="s">
        <v>64</v>
      </c>
      <c r="I5" s="495"/>
      <c r="J5" s="495"/>
      <c r="K5" s="495"/>
      <c r="L5" s="495"/>
      <c r="M5" s="495"/>
      <c r="N5" s="1023"/>
      <c r="O5" s="334"/>
      <c r="P5" s="334"/>
      <c r="Q5" s="334"/>
      <c r="R5" s="1280"/>
    </row>
    <row r="6" spans="1:18" s="1125" customFormat="1" ht="52.9" customHeight="1" thickBot="1">
      <c r="B6" s="1126"/>
      <c r="C6" s="1127" t="s">
        <v>981</v>
      </c>
      <c r="D6" s="1127"/>
      <c r="E6" s="1128" t="s">
        <v>982</v>
      </c>
      <c r="F6" s="1127"/>
      <c r="G6" s="1128" t="s">
        <v>980</v>
      </c>
      <c r="H6" s="1128" t="s">
        <v>407</v>
      </c>
      <c r="I6" s="1127"/>
      <c r="J6" s="1128" t="s">
        <v>593</v>
      </c>
      <c r="K6" s="1127"/>
      <c r="L6" s="1141" t="s">
        <v>989</v>
      </c>
      <c r="M6" s="1127"/>
      <c r="N6" s="1129" t="s">
        <v>985</v>
      </c>
      <c r="R6" s="1272"/>
    </row>
    <row r="7" spans="1:18">
      <c r="B7" s="288"/>
      <c r="C7" s="495"/>
      <c r="D7" s="496"/>
      <c r="E7" s="496"/>
      <c r="F7" s="496"/>
      <c r="G7" s="495"/>
      <c r="H7" s="495"/>
      <c r="I7" s="496"/>
      <c r="J7" s="495"/>
      <c r="K7" s="495"/>
      <c r="L7" s="497"/>
      <c r="M7" s="495"/>
      <c r="O7" s="336" t="s">
        <v>11</v>
      </c>
      <c r="P7" s="333">
        <v>4433403</v>
      </c>
      <c r="Q7" s="966">
        <v>0.17</v>
      </c>
      <c r="R7" s="1280" t="s">
        <v>58</v>
      </c>
    </row>
    <row r="8" spans="1:18" ht="15.75">
      <c r="B8" s="299" t="s">
        <v>2</v>
      </c>
      <c r="C8" s="519"/>
      <c r="D8" s="520"/>
      <c r="E8" s="520"/>
      <c r="F8" s="520"/>
      <c r="G8" s="520"/>
      <c r="H8" s="521"/>
      <c r="I8" s="520"/>
      <c r="J8" s="521"/>
      <c r="K8" s="521"/>
      <c r="L8" s="514"/>
      <c r="M8" s="521"/>
      <c r="N8" s="518"/>
      <c r="O8" s="336" t="s">
        <v>12</v>
      </c>
      <c r="P8" s="333">
        <v>2227739</v>
      </c>
      <c r="Q8" s="966">
        <v>0.09</v>
      </c>
      <c r="R8" s="1280"/>
    </row>
    <row r="9" spans="1:18" ht="15.75">
      <c r="A9" s="321" t="s">
        <v>336</v>
      </c>
      <c r="B9" s="298" t="s">
        <v>6</v>
      </c>
      <c r="C9" s="1268">
        <v>21745582</v>
      </c>
      <c r="D9" s="1243"/>
      <c r="E9" s="1268">
        <v>15059466</v>
      </c>
      <c r="F9" s="1268"/>
      <c r="G9" s="1268">
        <v>15187149</v>
      </c>
      <c r="H9" s="1268">
        <v>12443227</v>
      </c>
      <c r="I9" s="1268"/>
      <c r="J9" s="1268">
        <v>101913700</v>
      </c>
      <c r="K9" s="1268"/>
      <c r="L9" s="1268">
        <v>15162899</v>
      </c>
      <c r="M9" s="1268"/>
      <c r="N9" s="1268">
        <v>103433</v>
      </c>
      <c r="O9" s="606" t="s">
        <v>801</v>
      </c>
      <c r="P9" s="333">
        <v>11202894.4</v>
      </c>
      <c r="Q9" s="966">
        <v>0.43</v>
      </c>
      <c r="R9" s="1280"/>
    </row>
    <row r="10" spans="1:18" ht="15.75">
      <c r="A10" s="321" t="s">
        <v>338</v>
      </c>
      <c r="B10" s="298" t="s">
        <v>8</v>
      </c>
      <c r="C10" s="1239">
        <v>1569605.38</v>
      </c>
      <c r="D10" s="1239"/>
      <c r="E10" s="1239">
        <v>102074</v>
      </c>
      <c r="F10" s="1273"/>
      <c r="G10" s="1273">
        <v>79356</v>
      </c>
      <c r="H10" s="963"/>
      <c r="I10" s="1273"/>
      <c r="J10" s="963"/>
      <c r="K10" s="963"/>
      <c r="L10" s="1239">
        <v>103553</v>
      </c>
      <c r="M10" s="963"/>
      <c r="N10" s="1239">
        <v>1479</v>
      </c>
      <c r="O10" s="606" t="s">
        <v>14</v>
      </c>
      <c r="P10" s="333">
        <v>3780022.1</v>
      </c>
      <c r="Q10" s="966">
        <v>0.14000000000000001</v>
      </c>
      <c r="R10" s="1280"/>
    </row>
    <row r="11" spans="1:18" ht="15.6" customHeight="1">
      <c r="A11" s="621" t="s">
        <v>349</v>
      </c>
      <c r="B11" s="305" t="s">
        <v>28</v>
      </c>
      <c r="C11" s="1239">
        <v>3145942.9</v>
      </c>
      <c r="D11" s="518"/>
      <c r="E11" s="1239">
        <v>2055000</v>
      </c>
      <c r="F11" s="514"/>
      <c r="G11" s="514">
        <v>2055000</v>
      </c>
      <c r="H11" s="515">
        <v>60539</v>
      </c>
      <c r="I11" s="514"/>
      <c r="J11" s="515">
        <v>3000000</v>
      </c>
      <c r="K11" s="515"/>
      <c r="L11" s="1239">
        <v>3000000</v>
      </c>
      <c r="M11" s="515"/>
      <c r="N11" s="527">
        <v>945000</v>
      </c>
      <c r="O11" s="1463" t="s">
        <v>968</v>
      </c>
      <c r="P11" s="341">
        <v>1680500</v>
      </c>
      <c r="Q11" s="966">
        <v>0.06</v>
      </c>
      <c r="R11" s="729"/>
    </row>
    <row r="12" spans="1:18" s="293" customFormat="1" ht="15.75">
      <c r="B12" s="311" t="s">
        <v>319</v>
      </c>
      <c r="C12" s="1239">
        <v>0</v>
      </c>
      <c r="D12" s="522"/>
      <c r="E12" s="1239">
        <v>3748964.4499999993</v>
      </c>
      <c r="F12" s="522"/>
      <c r="G12" s="1239">
        <v>3711399.6899999976</v>
      </c>
      <c r="H12" s="515">
        <v>3711399.6899999976</v>
      </c>
      <c r="I12" s="522"/>
      <c r="J12" s="515">
        <v>494824</v>
      </c>
      <c r="K12" s="515"/>
      <c r="L12" s="527">
        <v>5592836</v>
      </c>
      <c r="M12" s="515"/>
      <c r="N12" s="527">
        <v>1843871.5500000007</v>
      </c>
      <c r="O12" s="667" t="s">
        <v>38</v>
      </c>
      <c r="P12" s="341">
        <v>534730</v>
      </c>
      <c r="Q12" s="966">
        <v>0.02</v>
      </c>
      <c r="R12" s="729"/>
    </row>
    <row r="13" spans="1:18" s="293" customFormat="1" ht="15.75">
      <c r="A13" s="625"/>
      <c r="B13" s="622" t="s">
        <v>9</v>
      </c>
      <c r="C13" s="523">
        <v>26461130.279999997</v>
      </c>
      <c r="D13" s="523"/>
      <c r="E13" s="523">
        <v>20965504.449999999</v>
      </c>
      <c r="F13" s="523"/>
      <c r="G13" s="523">
        <v>21032904.689999998</v>
      </c>
      <c r="H13" s="523">
        <v>16215165.689999998</v>
      </c>
      <c r="I13" s="523"/>
      <c r="J13" s="523">
        <v>105408524</v>
      </c>
      <c r="K13" s="523"/>
      <c r="L13" s="523">
        <v>23859288</v>
      </c>
      <c r="M13" s="523"/>
      <c r="N13" s="1026">
        <v>2893783.5500000007</v>
      </c>
      <c r="O13" s="608" t="s">
        <v>23</v>
      </c>
      <c r="P13" s="341">
        <v>2310762.31</v>
      </c>
      <c r="Q13" s="966">
        <v>0.09</v>
      </c>
      <c r="R13" s="729"/>
    </row>
    <row r="14" spans="1:18" s="625" customFormat="1" ht="16.5" thickBot="1">
      <c r="A14" s="293"/>
      <c r="B14" s="310"/>
      <c r="C14" s="524"/>
      <c r="D14" s="515"/>
      <c r="E14" s="515"/>
      <c r="F14" s="515"/>
      <c r="G14" s="515"/>
      <c r="H14" s="515"/>
      <c r="I14" s="515"/>
      <c r="J14" s="515"/>
      <c r="K14" s="515"/>
      <c r="L14" s="515"/>
      <c r="M14" s="515"/>
      <c r="N14" s="522"/>
      <c r="O14" s="668" t="s">
        <v>25</v>
      </c>
      <c r="P14" s="340">
        <v>26170050.809999999</v>
      </c>
      <c r="Q14" s="668">
        <v>0.99999999999999989</v>
      </c>
      <c r="R14" s="1277"/>
    </row>
    <row r="15" spans="1:18" s="293" customFormat="1" ht="16.5" thickTop="1">
      <c r="B15" s="313" t="s">
        <v>320</v>
      </c>
      <c r="C15" s="623"/>
      <c r="D15" s="515"/>
      <c r="E15" s="515"/>
      <c r="F15" s="515"/>
      <c r="G15" s="515"/>
      <c r="H15" s="515"/>
      <c r="I15" s="515"/>
      <c r="J15" s="515"/>
      <c r="K15" s="515"/>
      <c r="L15" s="515"/>
      <c r="M15" s="515"/>
      <c r="N15" s="528" t="s">
        <v>58</v>
      </c>
      <c r="O15" s="608"/>
      <c r="P15" s="341"/>
      <c r="Q15" s="348"/>
      <c r="R15" s="729"/>
    </row>
    <row r="16" spans="1:18" s="293" customFormat="1" ht="15.75">
      <c r="B16" s="311" t="s">
        <v>327</v>
      </c>
      <c r="C16" s="514">
        <v>3869211.7200000025</v>
      </c>
      <c r="D16" s="515"/>
      <c r="E16" s="515">
        <v>7866033.5500000007</v>
      </c>
      <c r="F16" s="515"/>
      <c r="G16" s="515">
        <v>7903598.3100000024</v>
      </c>
      <c r="H16" s="515">
        <v>7903598.3100000024</v>
      </c>
      <c r="I16" s="515"/>
      <c r="J16" s="515">
        <v>11120174</v>
      </c>
      <c r="K16" s="515"/>
      <c r="L16" s="528">
        <v>2310762.3100000024</v>
      </c>
      <c r="M16" s="515"/>
      <c r="N16" s="528">
        <v>-5555272</v>
      </c>
      <c r="O16" s="608" t="s">
        <v>6</v>
      </c>
      <c r="P16" s="341">
        <v>15162899</v>
      </c>
      <c r="Q16" s="608">
        <v>0.57899999999999996</v>
      </c>
      <c r="R16" s="729"/>
    </row>
    <row r="17" spans="1:18" s="293" customFormat="1" ht="15.75">
      <c r="B17" s="622" t="s">
        <v>20</v>
      </c>
      <c r="C17" s="523">
        <v>3869211.7200000025</v>
      </c>
      <c r="D17" s="523"/>
      <c r="E17" s="523">
        <v>7866033.5500000007</v>
      </c>
      <c r="F17" s="523"/>
      <c r="G17" s="523">
        <v>7903598.3100000024</v>
      </c>
      <c r="H17" s="523">
        <v>7903598.3100000024</v>
      </c>
      <c r="I17" s="523"/>
      <c r="J17" s="523">
        <v>11120174</v>
      </c>
      <c r="K17" s="523"/>
      <c r="L17" s="523">
        <v>2310762.3100000024</v>
      </c>
      <c r="M17" s="523"/>
      <c r="N17" s="1026">
        <v>-5555272</v>
      </c>
      <c r="O17" s="608" t="s">
        <v>8</v>
      </c>
      <c r="P17" s="341">
        <v>103553</v>
      </c>
      <c r="Q17" s="608">
        <v>4.0000000000000001E-3</v>
      </c>
      <c r="R17" s="729"/>
    </row>
    <row r="18" spans="1:18" s="293" customFormat="1" ht="16.5" thickBot="1">
      <c r="B18" s="616" t="s">
        <v>21</v>
      </c>
      <c r="C18" s="617">
        <v>30330342</v>
      </c>
      <c r="D18" s="617"/>
      <c r="E18" s="617">
        <v>28831538</v>
      </c>
      <c r="F18" s="617"/>
      <c r="G18" s="617">
        <v>28936503</v>
      </c>
      <c r="H18" s="617">
        <v>24118764</v>
      </c>
      <c r="I18" s="617"/>
      <c r="J18" s="617">
        <v>116528698</v>
      </c>
      <c r="K18" s="617"/>
      <c r="L18" s="617">
        <v>26170050.310000002</v>
      </c>
      <c r="M18" s="617"/>
      <c r="N18" s="1028">
        <v>-2661487.6899999976</v>
      </c>
      <c r="O18" s="608" t="s">
        <v>28</v>
      </c>
      <c r="P18" s="341">
        <v>3000000</v>
      </c>
      <c r="Q18" s="608">
        <v>0.115</v>
      </c>
      <c r="R18" s="729"/>
    </row>
    <row r="19" spans="1:18" s="293" customFormat="1" ht="16.5" thickTop="1">
      <c r="B19" s="316"/>
      <c r="C19" s="619"/>
      <c r="D19" s="515"/>
      <c r="E19" s="515"/>
      <c r="F19" s="515"/>
      <c r="G19" s="515"/>
      <c r="H19" s="515"/>
      <c r="I19" s="515"/>
      <c r="J19" s="515"/>
      <c r="K19" s="515"/>
      <c r="L19" s="515"/>
      <c r="M19" s="515"/>
      <c r="N19" s="522"/>
      <c r="O19" s="608" t="s">
        <v>319</v>
      </c>
      <c r="P19" s="341">
        <v>5592836</v>
      </c>
      <c r="Q19" s="608">
        <v>0.214</v>
      </c>
      <c r="R19" s="729"/>
    </row>
    <row r="20" spans="1:18" s="293" customFormat="1" ht="15.75">
      <c r="B20" s="349" t="s">
        <v>10</v>
      </c>
      <c r="C20" s="620"/>
      <c r="D20" s="514"/>
      <c r="E20" s="514"/>
      <c r="F20" s="514"/>
      <c r="G20" s="515"/>
      <c r="H20" s="515"/>
      <c r="I20" s="514"/>
      <c r="J20" s="515"/>
      <c r="K20" s="515"/>
      <c r="L20" s="514"/>
      <c r="M20" s="515"/>
      <c r="N20" s="518"/>
      <c r="O20" s="608" t="s">
        <v>19</v>
      </c>
      <c r="P20" s="675">
        <v>2310762.3100000024</v>
      </c>
      <c r="Q20" s="608">
        <v>8.7999999999999995E-2</v>
      </c>
      <c r="R20" s="729"/>
    </row>
    <row r="21" spans="1:18" s="293" customFormat="1" ht="16.5" thickBot="1">
      <c r="A21" s="621" t="s">
        <v>340</v>
      </c>
      <c r="B21" s="316" t="s">
        <v>11</v>
      </c>
      <c r="C21" s="514">
        <v>3269656.12</v>
      </c>
      <c r="D21" s="514"/>
      <c r="E21" s="514">
        <v>4547759.2</v>
      </c>
      <c r="F21" s="514"/>
      <c r="G21" s="514">
        <v>4382963.2300000004</v>
      </c>
      <c r="H21" s="515">
        <v>1872039</v>
      </c>
      <c r="I21" s="514"/>
      <c r="J21" s="515">
        <v>4433403</v>
      </c>
      <c r="K21" s="515"/>
      <c r="L21" s="514">
        <v>4433403</v>
      </c>
      <c r="M21" s="515"/>
      <c r="N21" s="527">
        <v>-114356.20000000019</v>
      </c>
      <c r="O21" s="668" t="s">
        <v>21</v>
      </c>
      <c r="P21" s="676">
        <v>26170050.310000002</v>
      </c>
      <c r="Q21" s="968">
        <v>0.99999999999999989</v>
      </c>
      <c r="R21" s="729"/>
    </row>
    <row r="22" spans="1:18" s="293" customFormat="1" ht="16.5" thickTop="1">
      <c r="A22" s="621" t="s">
        <v>341</v>
      </c>
      <c r="B22" s="316" t="s">
        <v>12</v>
      </c>
      <c r="C22" s="514">
        <v>1559433</v>
      </c>
      <c r="D22" s="514"/>
      <c r="E22" s="514">
        <v>2128225</v>
      </c>
      <c r="F22" s="514"/>
      <c r="G22" s="514">
        <v>2038279.49</v>
      </c>
      <c r="H22" s="515">
        <v>1353300</v>
      </c>
      <c r="I22" s="514"/>
      <c r="J22" s="515">
        <v>2227739</v>
      </c>
      <c r="K22" s="515"/>
      <c r="L22" s="514">
        <v>2227739</v>
      </c>
      <c r="M22" s="515"/>
      <c r="N22" s="527">
        <v>99514</v>
      </c>
      <c r="R22" s="729"/>
    </row>
    <row r="23" spans="1:18" s="293" customFormat="1" ht="21">
      <c r="A23" s="621" t="s">
        <v>342</v>
      </c>
      <c r="B23" s="316" t="s">
        <v>801</v>
      </c>
      <c r="C23" s="514">
        <v>9361707.0700000003</v>
      </c>
      <c r="D23" s="514"/>
      <c r="E23" s="514">
        <v>10453058.25</v>
      </c>
      <c r="F23" s="514"/>
      <c r="G23" s="514">
        <v>10801262.210000001</v>
      </c>
      <c r="H23" s="515">
        <v>11434927</v>
      </c>
      <c r="I23" s="514"/>
      <c r="J23" s="515">
        <v>11202894.460000001</v>
      </c>
      <c r="K23" s="515"/>
      <c r="L23" s="514">
        <v>11202894.4</v>
      </c>
      <c r="M23" s="515"/>
      <c r="N23" s="1239">
        <v>749836.15000000037</v>
      </c>
      <c r="O23" s="723" t="s">
        <v>58</v>
      </c>
      <c r="P23" s="910" t="s">
        <v>58</v>
      </c>
      <c r="R23" s="729"/>
    </row>
    <row r="24" spans="1:18" s="293" customFormat="1" ht="15.75">
      <c r="A24" s="621" t="s">
        <v>343</v>
      </c>
      <c r="B24" s="316" t="s">
        <v>14</v>
      </c>
      <c r="C24" s="514">
        <v>3826679.62</v>
      </c>
      <c r="D24" s="514"/>
      <c r="E24" s="514">
        <v>2625510</v>
      </c>
      <c r="F24" s="514"/>
      <c r="G24" s="514">
        <v>2593220.27</v>
      </c>
      <c r="H24" s="515">
        <v>1954940</v>
      </c>
      <c r="I24" s="514"/>
      <c r="J24" s="515">
        <v>3780021.1</v>
      </c>
      <c r="K24" s="515"/>
      <c r="L24" s="514">
        <v>3780022.1</v>
      </c>
      <c r="M24" s="515"/>
      <c r="N24" s="527">
        <v>1154512.1000000001</v>
      </c>
      <c r="O24" s="723"/>
      <c r="P24" s="910"/>
      <c r="R24" s="729"/>
    </row>
    <row r="25" spans="1:18" s="293" customFormat="1" ht="15.75">
      <c r="A25" s="621" t="s">
        <v>350</v>
      </c>
      <c r="B25" s="316" t="s">
        <v>15</v>
      </c>
      <c r="C25" s="514">
        <v>19859</v>
      </c>
      <c r="D25" s="514"/>
      <c r="E25" s="1239">
        <v>791857</v>
      </c>
      <c r="F25" s="514"/>
      <c r="G25" s="514">
        <v>798086.49</v>
      </c>
      <c r="H25" s="518">
        <v>387196</v>
      </c>
      <c r="I25" s="518"/>
      <c r="J25" s="518">
        <v>0</v>
      </c>
      <c r="K25" s="518"/>
      <c r="L25" s="527">
        <v>1680500</v>
      </c>
      <c r="M25" s="522"/>
      <c r="N25" s="527">
        <v>888643</v>
      </c>
      <c r="O25" s="723"/>
      <c r="P25" s="910"/>
      <c r="R25" s="723"/>
    </row>
    <row r="26" spans="1:18" s="293" customFormat="1" ht="15.75">
      <c r="A26" s="621" t="s">
        <v>346</v>
      </c>
      <c r="B26" s="316" t="s">
        <v>999</v>
      </c>
      <c r="C26" s="1239">
        <v>678009</v>
      </c>
      <c r="D26" s="1239"/>
      <c r="E26" s="1239">
        <v>419095</v>
      </c>
      <c r="F26" s="1239"/>
      <c r="G26" s="514">
        <v>419095</v>
      </c>
      <c r="H26" s="1239">
        <v>0</v>
      </c>
      <c r="I26" s="1239"/>
      <c r="J26" s="1239">
        <v>534730</v>
      </c>
      <c r="K26" s="528"/>
      <c r="L26" s="1239">
        <v>534730</v>
      </c>
      <c r="M26" s="528"/>
      <c r="N26" s="1239">
        <v>115635</v>
      </c>
      <c r="O26" s="723"/>
      <c r="P26" s="1099"/>
      <c r="R26" s="723"/>
    </row>
    <row r="27" spans="1:18" s="293" customFormat="1" ht="15.75">
      <c r="B27" s="622" t="s">
        <v>22</v>
      </c>
      <c r="C27" s="523">
        <v>18715344</v>
      </c>
      <c r="D27" s="523"/>
      <c r="E27" s="523">
        <v>20965504.449999999</v>
      </c>
      <c r="F27" s="523"/>
      <c r="G27" s="523">
        <v>21032904.689999998</v>
      </c>
      <c r="H27" s="523">
        <v>17002402</v>
      </c>
      <c r="I27" s="523"/>
      <c r="J27" s="523">
        <v>22178787.560000002</v>
      </c>
      <c r="K27" s="523"/>
      <c r="L27" s="523">
        <v>23859288</v>
      </c>
      <c r="M27" s="523"/>
      <c r="N27" s="1026">
        <v>2893783.5500000007</v>
      </c>
      <c r="O27" s="646"/>
      <c r="R27" s="723"/>
    </row>
    <row r="28" spans="1:18" s="293" customFormat="1" ht="15.75">
      <c r="B28" s="311"/>
      <c r="C28" s="525"/>
      <c r="D28" s="515"/>
      <c r="E28" s="515"/>
      <c r="F28" s="515"/>
      <c r="G28" s="515"/>
      <c r="H28" s="515"/>
      <c r="I28" s="515"/>
      <c r="J28" s="515"/>
      <c r="K28" s="515"/>
      <c r="L28" s="515"/>
      <c r="M28" s="515"/>
      <c r="N28" s="522"/>
      <c r="O28" s="723"/>
      <c r="P28" s="696"/>
      <c r="R28" s="723"/>
    </row>
    <row r="29" spans="1:18" s="293" customFormat="1" ht="15.75">
      <c r="B29" s="313" t="s">
        <v>321</v>
      </c>
      <c r="C29" s="623"/>
      <c r="D29" s="525"/>
      <c r="E29" s="525"/>
      <c r="F29" s="525"/>
      <c r="G29" s="525"/>
      <c r="H29" s="525"/>
      <c r="I29" s="525"/>
      <c r="J29" s="525"/>
      <c r="K29" s="525"/>
      <c r="L29" s="525"/>
      <c r="M29" s="525"/>
      <c r="N29" s="518"/>
      <c r="O29" s="646"/>
      <c r="R29" s="723"/>
    </row>
    <row r="30" spans="1:18" s="293" customFormat="1" ht="15.75">
      <c r="B30" s="316" t="s">
        <v>322</v>
      </c>
      <c r="C30" s="515">
        <v>4639633.003972603</v>
      </c>
      <c r="D30" s="515"/>
      <c r="E30" s="528">
        <v>4528970.9732876718</v>
      </c>
      <c r="F30" s="515"/>
      <c r="G30" s="528">
        <v>4537280.8384931497</v>
      </c>
      <c r="H30" s="515">
        <v>4537280.8384931497</v>
      </c>
      <c r="I30" s="515"/>
      <c r="J30" s="515">
        <v>2465397.84</v>
      </c>
      <c r="K30" s="515"/>
      <c r="L30" s="528">
        <v>2310762.31</v>
      </c>
      <c r="M30" s="515"/>
      <c r="N30" s="528">
        <v>-2218208.6632876717</v>
      </c>
      <c r="O30" s="723"/>
      <c r="R30" s="729"/>
    </row>
    <row r="31" spans="1:18" s="293" customFormat="1" ht="15.75">
      <c r="B31" s="316" t="s">
        <v>31</v>
      </c>
      <c r="C31" s="526">
        <v>6975364.996027397</v>
      </c>
      <c r="D31" s="515"/>
      <c r="E31" s="1096">
        <v>3337062.5767123289</v>
      </c>
      <c r="F31" s="515"/>
      <c r="G31" s="1290">
        <v>3366317.4715068527</v>
      </c>
      <c r="H31" s="515">
        <v>-3027716</v>
      </c>
      <c r="I31" s="515"/>
      <c r="J31" s="515">
        <v>976099</v>
      </c>
      <c r="K31" s="515"/>
      <c r="L31" s="1521">
        <v>0</v>
      </c>
      <c r="M31" s="515"/>
      <c r="N31" s="527">
        <v>-3337062.5767123289</v>
      </c>
      <c r="O31" s="1792"/>
      <c r="P31" s="653"/>
      <c r="R31" s="729"/>
    </row>
    <row r="32" spans="1:18" s="293" customFormat="1" ht="15.75">
      <c r="A32" s="625"/>
      <c r="B32" s="1246" t="s">
        <v>323</v>
      </c>
      <c r="C32" s="523">
        <v>11614998</v>
      </c>
      <c r="D32" s="523"/>
      <c r="E32" s="523">
        <v>7866033.5500000007</v>
      </c>
      <c r="F32" s="523"/>
      <c r="G32" s="1026">
        <v>7903598.3100000024</v>
      </c>
      <c r="H32" s="523">
        <v>1509564.8384931497</v>
      </c>
      <c r="I32" s="523"/>
      <c r="J32" s="523">
        <v>3441496.84</v>
      </c>
      <c r="K32" s="523"/>
      <c r="L32" s="1030">
        <v>2310762.31</v>
      </c>
      <c r="M32" s="523"/>
      <c r="N32" s="1026">
        <v>-5555272</v>
      </c>
      <c r="O32" s="1115"/>
      <c r="P32" s="625"/>
      <c r="R32" s="723"/>
    </row>
    <row r="33" spans="1:18" s="293" customFormat="1" ht="16.5" thickBot="1">
      <c r="B33" s="616" t="s">
        <v>25</v>
      </c>
      <c r="C33" s="1267">
        <v>30330342</v>
      </c>
      <c r="D33" s="627"/>
      <c r="E33" s="1267">
        <v>28831538</v>
      </c>
      <c r="F33" s="1267"/>
      <c r="G33" s="1267">
        <v>28936503</v>
      </c>
      <c r="H33" s="1267">
        <v>18511966.83849315</v>
      </c>
      <c r="I33" s="1267"/>
      <c r="J33" s="627">
        <v>25620284.400000002</v>
      </c>
      <c r="K33" s="627"/>
      <c r="L33" s="1267">
        <v>26170050.309999999</v>
      </c>
      <c r="M33" s="1267"/>
      <c r="N33" s="1267">
        <v>-2661487.6900000013</v>
      </c>
      <c r="P33" s="625"/>
      <c r="R33" s="723"/>
    </row>
    <row r="34" spans="1:18" s="293" customFormat="1" ht="16.5" thickTop="1">
      <c r="B34" s="313"/>
      <c r="C34" s="524"/>
      <c r="D34" s="529"/>
      <c r="E34" s="529"/>
      <c r="F34" s="529"/>
      <c r="G34" s="529"/>
      <c r="H34" s="529"/>
      <c r="I34" s="529"/>
      <c r="J34" s="529"/>
      <c r="K34" s="529"/>
      <c r="L34" s="529"/>
      <c r="M34" s="529"/>
      <c r="N34" s="1120"/>
      <c r="R34" s="723"/>
    </row>
    <row r="35" spans="1:18" s="625" customFormat="1" ht="15.75">
      <c r="A35" s="293"/>
      <c r="B35" s="313"/>
      <c r="C35" s="524"/>
      <c r="D35" s="529"/>
      <c r="E35" s="529"/>
      <c r="F35" s="529"/>
      <c r="G35" s="529"/>
      <c r="H35" s="529"/>
      <c r="I35" s="529"/>
      <c r="J35" s="529"/>
      <c r="K35" s="529"/>
      <c r="L35" s="529"/>
      <c r="M35" s="529"/>
      <c r="N35" s="1120"/>
      <c r="O35" s="293"/>
      <c r="P35" s="293"/>
      <c r="Q35" s="293"/>
      <c r="R35" s="724"/>
    </row>
    <row r="36" spans="1:18" s="293" customFormat="1" ht="15.75">
      <c r="B36" s="313"/>
      <c r="C36" s="502"/>
      <c r="D36" s="506"/>
      <c r="E36" s="506"/>
      <c r="F36" s="506"/>
      <c r="G36" s="506"/>
      <c r="H36" s="506"/>
      <c r="I36" s="506"/>
      <c r="J36" s="506"/>
      <c r="K36" s="506"/>
      <c r="L36" s="506"/>
      <c r="M36" s="506"/>
      <c r="N36" s="1080"/>
      <c r="R36" s="723"/>
    </row>
    <row r="37" spans="1:18" s="293" customFormat="1" ht="15.75">
      <c r="B37" s="313"/>
      <c r="C37" s="502" t="s">
        <v>58</v>
      </c>
      <c r="D37" s="506"/>
      <c r="E37" s="506"/>
      <c r="F37" s="506"/>
      <c r="G37" s="506"/>
      <c r="H37" s="506"/>
      <c r="I37" s="506"/>
      <c r="J37" s="506"/>
      <c r="K37" s="506"/>
      <c r="L37" s="506"/>
      <c r="M37" s="506"/>
      <c r="N37" s="1080"/>
      <c r="R37" s="723"/>
    </row>
    <row r="38" spans="1:18" s="293" customFormat="1" ht="15.75">
      <c r="B38" s="313"/>
      <c r="C38" s="502"/>
      <c r="D38" s="506"/>
      <c r="E38" s="506"/>
      <c r="F38" s="506"/>
      <c r="G38" s="506"/>
      <c r="H38" s="506"/>
      <c r="I38" s="506"/>
      <c r="J38" s="506"/>
      <c r="K38" s="506"/>
      <c r="L38" s="506"/>
      <c r="M38" s="506"/>
      <c r="N38" s="1080"/>
      <c r="R38" s="723"/>
    </row>
    <row r="39" spans="1:18" s="293" customFormat="1" ht="15.75">
      <c r="B39" s="313"/>
      <c r="C39" s="502"/>
      <c r="D39" s="506"/>
      <c r="E39" s="506"/>
      <c r="F39" s="506"/>
      <c r="G39" s="506"/>
      <c r="H39" s="506"/>
      <c r="I39" s="506"/>
      <c r="J39" s="506"/>
      <c r="K39" s="506"/>
      <c r="L39" s="506"/>
      <c r="M39" s="506"/>
      <c r="N39" s="1080"/>
      <c r="R39" s="723"/>
    </row>
    <row r="40" spans="1:18" s="293" customFormat="1" ht="15.75">
      <c r="B40" s="313"/>
      <c r="C40" s="502"/>
      <c r="D40" s="506"/>
      <c r="E40" s="506"/>
      <c r="F40" s="506"/>
      <c r="G40" s="506"/>
      <c r="H40" s="506"/>
      <c r="I40" s="506"/>
      <c r="J40" s="506"/>
      <c r="K40" s="506"/>
      <c r="L40" s="506"/>
      <c r="M40" s="506"/>
      <c r="N40" s="1080"/>
      <c r="Q40" s="724"/>
      <c r="R40" s="723"/>
    </row>
    <row r="41" spans="1:18" s="293" customFormat="1" ht="15.75">
      <c r="B41" s="313"/>
      <c r="C41" s="502"/>
      <c r="D41" s="506"/>
      <c r="E41" s="506"/>
      <c r="F41" s="506"/>
      <c r="G41" s="506"/>
      <c r="H41" s="506"/>
      <c r="I41" s="506"/>
      <c r="J41" s="506"/>
      <c r="K41" s="506"/>
      <c r="L41" s="506"/>
      <c r="M41" s="506"/>
      <c r="N41" s="1080"/>
      <c r="R41" s="723"/>
    </row>
    <row r="42" spans="1:18" s="293" customFormat="1" ht="15.75">
      <c r="B42" s="313"/>
      <c r="C42" s="502"/>
      <c r="D42" s="506"/>
      <c r="E42" s="506"/>
      <c r="F42" s="506"/>
      <c r="G42" s="506"/>
      <c r="H42" s="506"/>
      <c r="I42" s="506"/>
      <c r="J42" s="506"/>
      <c r="K42" s="506"/>
      <c r="L42" s="506"/>
      <c r="M42" s="506"/>
      <c r="N42" s="1080"/>
      <c r="R42" s="723"/>
    </row>
    <row r="43" spans="1:18" s="293" customFormat="1" ht="15.75">
      <c r="B43" s="313"/>
      <c r="C43" s="502"/>
      <c r="D43" s="506"/>
      <c r="E43" s="506"/>
      <c r="F43" s="506"/>
      <c r="G43" s="506"/>
      <c r="H43" s="506"/>
      <c r="I43" s="506"/>
      <c r="J43" s="506"/>
      <c r="K43" s="506"/>
      <c r="L43" s="506"/>
      <c r="M43" s="506"/>
      <c r="N43" s="1080"/>
      <c r="R43" s="723"/>
    </row>
    <row r="44" spans="1:18" s="293" customFormat="1" ht="15.75">
      <c r="B44" s="313"/>
      <c r="C44" s="502"/>
      <c r="D44" s="506"/>
      <c r="E44" s="506"/>
      <c r="F44" s="506"/>
      <c r="G44" s="506"/>
      <c r="H44" s="506"/>
      <c r="I44" s="506"/>
      <c r="J44" s="506"/>
      <c r="K44" s="506"/>
      <c r="L44" s="506"/>
      <c r="M44" s="506"/>
      <c r="N44" s="1080"/>
      <c r="R44" s="724"/>
    </row>
    <row r="45" spans="1:18" s="293" customFormat="1" ht="15.75">
      <c r="B45" s="313"/>
      <c r="C45" s="502"/>
      <c r="D45" s="506"/>
      <c r="E45" s="506"/>
      <c r="F45" s="506"/>
      <c r="G45" s="506"/>
      <c r="H45" s="506"/>
      <c r="I45" s="506"/>
      <c r="J45" s="506"/>
      <c r="K45" s="506"/>
      <c r="L45" s="506"/>
      <c r="M45" s="506"/>
      <c r="N45" s="1080"/>
      <c r="R45" s="723"/>
    </row>
    <row r="46" spans="1:18" s="293" customFormat="1" ht="15.75">
      <c r="B46" s="313"/>
      <c r="C46" s="502"/>
      <c r="D46" s="506"/>
      <c r="E46" s="506"/>
      <c r="F46" s="506"/>
      <c r="G46" s="506"/>
      <c r="H46" s="506"/>
      <c r="I46" s="506"/>
      <c r="J46" s="506"/>
      <c r="K46" s="506"/>
      <c r="L46" s="506"/>
      <c r="M46" s="506"/>
      <c r="N46" s="1080"/>
      <c r="Q46" s="293" t="s">
        <v>58</v>
      </c>
      <c r="R46" s="723"/>
    </row>
    <row r="47" spans="1:18" s="293" customFormat="1" ht="15.75">
      <c r="B47" s="313"/>
      <c r="C47" s="502"/>
      <c r="D47" s="506"/>
      <c r="E47" s="506"/>
      <c r="F47" s="506"/>
      <c r="G47" s="506"/>
      <c r="H47" s="506"/>
      <c r="I47" s="506"/>
      <c r="J47" s="506"/>
      <c r="K47" s="506"/>
      <c r="L47" s="506"/>
      <c r="M47" s="506"/>
      <c r="N47" s="1080"/>
      <c r="R47" s="723"/>
    </row>
    <row r="48" spans="1:18" s="293" customFormat="1" ht="15.75">
      <c r="B48" s="313"/>
      <c r="C48" s="502"/>
      <c r="D48" s="506"/>
      <c r="E48" s="506"/>
      <c r="F48" s="506"/>
      <c r="G48" s="506"/>
      <c r="H48" s="506"/>
      <c r="I48" s="506"/>
      <c r="J48" s="506"/>
      <c r="K48" s="506"/>
      <c r="L48" s="506"/>
      <c r="M48" s="506"/>
      <c r="N48" s="1080"/>
      <c r="R48" s="723"/>
    </row>
    <row r="49" spans="2:18" s="293" customFormat="1" ht="15.75">
      <c r="B49" s="313"/>
      <c r="C49" s="502"/>
      <c r="D49" s="506"/>
      <c r="E49" s="506"/>
      <c r="F49" s="506"/>
      <c r="G49" s="506"/>
      <c r="H49" s="506"/>
      <c r="I49" s="506"/>
      <c r="J49" s="506"/>
      <c r="K49" s="506"/>
      <c r="L49" s="506"/>
      <c r="M49" s="506"/>
      <c r="N49" s="1080"/>
      <c r="R49" s="723"/>
    </row>
    <row r="50" spans="2:18" s="293" customFormat="1" ht="15.75">
      <c r="B50" s="313"/>
      <c r="C50" s="502"/>
      <c r="D50" s="506"/>
      <c r="E50" s="506"/>
      <c r="F50" s="506"/>
      <c r="G50" s="506"/>
      <c r="H50" s="506"/>
      <c r="I50" s="506"/>
      <c r="J50" s="506"/>
      <c r="K50" s="506"/>
      <c r="L50" s="506"/>
      <c r="M50" s="506"/>
      <c r="N50" s="1080"/>
      <c r="R50" s="723"/>
    </row>
    <row r="51" spans="2:18" s="293" customFormat="1" ht="15.75">
      <c r="B51" s="313"/>
      <c r="C51" s="502"/>
      <c r="D51" s="506"/>
      <c r="E51" s="506"/>
      <c r="F51" s="506"/>
      <c r="G51" s="506"/>
      <c r="H51" s="506"/>
      <c r="I51" s="506"/>
      <c r="J51" s="506"/>
      <c r="K51" s="506"/>
      <c r="L51" s="506"/>
      <c r="M51" s="506"/>
      <c r="N51" s="1080"/>
      <c r="R51" s="723"/>
    </row>
    <row r="52" spans="2:18" s="293" customFormat="1" ht="15.75">
      <c r="B52" s="313"/>
      <c r="C52" s="502"/>
      <c r="D52" s="506"/>
      <c r="E52" s="506"/>
      <c r="F52" s="506"/>
      <c r="G52" s="506"/>
      <c r="H52" s="506"/>
      <c r="I52" s="506"/>
      <c r="J52" s="506"/>
      <c r="K52" s="506"/>
      <c r="L52" s="506"/>
      <c r="M52" s="506"/>
      <c r="N52" s="1080"/>
      <c r="R52" s="723"/>
    </row>
    <row r="53" spans="2:18" s="293" customFormat="1" ht="15.75">
      <c r="B53" s="313"/>
      <c r="C53" s="502"/>
      <c r="D53" s="506"/>
      <c r="E53" s="506"/>
      <c r="F53" s="506"/>
      <c r="G53" s="506"/>
      <c r="H53" s="506"/>
      <c r="I53" s="506"/>
      <c r="J53" s="506"/>
      <c r="K53" s="506"/>
      <c r="L53" s="506"/>
      <c r="M53" s="506"/>
      <c r="N53" s="1080"/>
      <c r="R53" s="723"/>
    </row>
    <row r="54" spans="2:18" s="293" customFormat="1" ht="15.75">
      <c r="B54" s="313"/>
      <c r="C54" s="502"/>
      <c r="D54" s="506"/>
      <c r="E54" s="506"/>
      <c r="F54" s="506"/>
      <c r="G54" s="506"/>
      <c r="H54" s="506"/>
      <c r="I54" s="506"/>
      <c r="J54" s="506"/>
      <c r="K54" s="506"/>
      <c r="L54" s="506"/>
      <c r="M54" s="506"/>
      <c r="N54" s="1080"/>
      <c r="R54" s="723"/>
    </row>
    <row r="55" spans="2:18" s="293" customFormat="1" ht="15.75">
      <c r="B55" s="313"/>
      <c r="C55" s="502"/>
      <c r="D55" s="506"/>
      <c r="E55" s="506"/>
      <c r="F55" s="506"/>
      <c r="G55" s="506"/>
      <c r="H55" s="506"/>
      <c r="I55" s="506"/>
      <c r="J55" s="506"/>
      <c r="K55" s="506"/>
      <c r="L55" s="506"/>
      <c r="M55" s="506"/>
      <c r="N55" s="1080"/>
      <c r="R55" s="723"/>
    </row>
    <row r="56" spans="2:18" s="293" customFormat="1" ht="15.75">
      <c r="B56" s="313"/>
      <c r="C56" s="502"/>
      <c r="D56" s="506"/>
      <c r="E56" s="506"/>
      <c r="F56" s="506"/>
      <c r="G56" s="506"/>
      <c r="H56" s="506"/>
      <c r="I56" s="506"/>
      <c r="J56" s="506"/>
      <c r="K56" s="506"/>
      <c r="L56" s="506"/>
      <c r="M56" s="506"/>
      <c r="N56" s="1080"/>
      <c r="R56" s="723"/>
    </row>
    <row r="57" spans="2:18" s="293" customFormat="1" ht="15.75">
      <c r="B57" s="313"/>
      <c r="C57" s="502"/>
      <c r="D57" s="506"/>
      <c r="E57" s="506"/>
      <c r="F57" s="506"/>
      <c r="G57" s="506"/>
      <c r="H57" s="506"/>
      <c r="I57" s="506"/>
      <c r="J57" s="506"/>
      <c r="K57" s="506"/>
      <c r="L57" s="506"/>
      <c r="M57" s="506"/>
      <c r="N57" s="1080"/>
      <c r="R57" s="723"/>
    </row>
    <row r="58" spans="2:18" s="344" customFormat="1" ht="15.75">
      <c r="B58" s="313"/>
      <c r="C58" s="502"/>
      <c r="D58" s="506"/>
      <c r="E58" s="506"/>
      <c r="F58" s="506"/>
      <c r="G58" s="506"/>
      <c r="H58" s="506"/>
      <c r="I58" s="506"/>
      <c r="J58" s="506"/>
      <c r="K58" s="506"/>
      <c r="L58" s="506"/>
      <c r="M58" s="506"/>
      <c r="N58" s="1080"/>
      <c r="O58" s="293"/>
      <c r="P58" s="293"/>
      <c r="Q58" s="293"/>
      <c r="R58" s="729"/>
    </row>
    <row r="59" spans="2:18" s="293" customFormat="1" ht="15.75">
      <c r="B59" s="313"/>
      <c r="C59" s="502"/>
      <c r="D59" s="506"/>
      <c r="E59" s="506"/>
      <c r="F59" s="506"/>
      <c r="G59" s="506"/>
      <c r="H59" s="506"/>
      <c r="I59" s="506"/>
      <c r="J59" s="506"/>
      <c r="K59" s="506"/>
      <c r="L59" s="506"/>
      <c r="M59" s="506"/>
      <c r="N59" s="1080"/>
      <c r="O59" s="344"/>
      <c r="P59" s="344"/>
      <c r="Q59" s="344"/>
      <c r="R59" s="723"/>
    </row>
    <row r="60" spans="2:18" s="344" customFormat="1" ht="15.75">
      <c r="B60" s="313"/>
      <c r="C60" s="502"/>
      <c r="D60" s="506"/>
      <c r="E60" s="506"/>
      <c r="F60" s="506"/>
      <c r="G60" s="506"/>
      <c r="H60" s="506"/>
      <c r="I60" s="506"/>
      <c r="J60" s="506"/>
      <c r="K60" s="506"/>
      <c r="L60" s="506"/>
      <c r="M60" s="506"/>
      <c r="N60" s="1080"/>
      <c r="O60" s="293"/>
      <c r="P60" s="293"/>
      <c r="Q60" s="293"/>
      <c r="R60" s="729"/>
    </row>
    <row r="61" spans="2:18" s="293" customFormat="1" ht="15.75">
      <c r="B61" s="313"/>
      <c r="C61" s="502"/>
      <c r="D61" s="506"/>
      <c r="E61" s="506"/>
      <c r="F61" s="506"/>
      <c r="G61" s="506"/>
      <c r="H61" s="506"/>
      <c r="I61" s="506"/>
      <c r="J61" s="506"/>
      <c r="K61" s="506"/>
      <c r="L61" s="506"/>
      <c r="M61" s="506"/>
      <c r="N61" s="1080"/>
      <c r="O61" s="344"/>
      <c r="P61" s="344"/>
      <c r="Q61" s="344"/>
      <c r="R61" s="723"/>
    </row>
    <row r="62" spans="2:18" s="293" customFormat="1" ht="15.75">
      <c r="B62" s="313"/>
      <c r="C62" s="502"/>
      <c r="D62" s="506"/>
      <c r="E62" s="506"/>
      <c r="F62" s="506"/>
      <c r="G62" s="506"/>
      <c r="H62" s="506"/>
      <c r="I62" s="506"/>
      <c r="J62" s="506"/>
      <c r="K62" s="506"/>
      <c r="L62" s="506"/>
      <c r="M62" s="506"/>
      <c r="N62" s="1080"/>
      <c r="R62" s="723"/>
    </row>
    <row r="63" spans="2:18" s="293" customFormat="1" ht="15.75">
      <c r="B63" s="313"/>
      <c r="C63" s="507"/>
      <c r="D63" s="507"/>
      <c r="E63" s="507"/>
      <c r="F63" s="507"/>
      <c r="G63" s="507"/>
      <c r="H63" s="507"/>
      <c r="I63" s="507"/>
      <c r="J63" s="507"/>
      <c r="K63" s="507"/>
      <c r="L63" s="507"/>
      <c r="M63" s="507"/>
      <c r="N63" s="978"/>
      <c r="Q63" s="1792"/>
      <c r="R63" s="723"/>
    </row>
    <row r="64" spans="2:18" s="293" customFormat="1" ht="15.75">
      <c r="B64" s="313"/>
      <c r="C64" s="508"/>
      <c r="D64" s="509"/>
      <c r="E64" s="509"/>
      <c r="F64" s="509"/>
      <c r="G64" s="502"/>
      <c r="H64" s="502"/>
      <c r="I64" s="509"/>
      <c r="J64" s="502"/>
      <c r="K64" s="502"/>
      <c r="L64" s="509"/>
      <c r="M64" s="502"/>
      <c r="N64" s="980"/>
      <c r="R64" s="723"/>
    </row>
    <row r="65" spans="1:18" s="293" customFormat="1" ht="15.75">
      <c r="B65" s="311"/>
      <c r="C65" s="507"/>
      <c r="D65" s="507"/>
      <c r="E65" s="507"/>
      <c r="F65" s="507"/>
      <c r="G65" s="507"/>
      <c r="H65" s="507"/>
      <c r="I65" s="507"/>
      <c r="J65" s="507"/>
      <c r="K65" s="507"/>
      <c r="L65" s="507"/>
      <c r="M65" s="501"/>
      <c r="N65" s="981"/>
      <c r="R65" s="723"/>
    </row>
    <row r="66" spans="1:18" s="293" customFormat="1" ht="15.75">
      <c r="B66" s="311"/>
      <c r="C66" s="505"/>
      <c r="D66" s="505"/>
      <c r="E66" s="505"/>
      <c r="F66" s="505"/>
      <c r="G66" s="505"/>
      <c r="H66" s="505"/>
      <c r="I66" s="505"/>
      <c r="J66" s="505"/>
      <c r="K66" s="505"/>
      <c r="L66" s="505"/>
      <c r="M66" s="505"/>
      <c r="N66" s="981"/>
      <c r="R66" s="723"/>
    </row>
    <row r="67" spans="1:18" s="293" customFormat="1" ht="15.75">
      <c r="B67" s="311"/>
      <c r="C67" s="505"/>
      <c r="D67" s="505"/>
      <c r="E67" s="505"/>
      <c r="F67" s="505"/>
      <c r="G67" s="505"/>
      <c r="H67" s="505"/>
      <c r="I67" s="505"/>
      <c r="J67" s="505"/>
      <c r="K67" s="505"/>
      <c r="L67" s="505"/>
      <c r="M67" s="505"/>
      <c r="N67" s="981"/>
      <c r="R67" s="723"/>
    </row>
    <row r="68" spans="1:18" s="293" customFormat="1" ht="15.75">
      <c r="B68" s="349"/>
      <c r="C68" s="1793"/>
      <c r="D68" s="505"/>
      <c r="E68" s="505"/>
      <c r="F68" s="505"/>
      <c r="G68" s="505"/>
      <c r="H68" s="505"/>
      <c r="I68" s="505"/>
      <c r="J68" s="505"/>
      <c r="K68" s="505"/>
      <c r="L68" s="505"/>
      <c r="M68" s="505"/>
      <c r="N68" s="981"/>
      <c r="R68" s="723"/>
    </row>
    <row r="69" spans="1:18" s="293" customFormat="1" ht="15.75">
      <c r="A69" s="621"/>
      <c r="B69" s="316"/>
      <c r="C69" s="514"/>
      <c r="D69" s="514"/>
      <c r="E69" s="514"/>
      <c r="F69" s="514"/>
      <c r="G69" s="514"/>
      <c r="H69" s="515"/>
      <c r="I69" s="514"/>
      <c r="J69" s="515"/>
      <c r="K69" s="515"/>
      <c r="L69" s="514"/>
      <c r="M69" s="515"/>
      <c r="N69" s="518"/>
      <c r="O69" s="646"/>
      <c r="R69" s="723"/>
    </row>
    <row r="70" spans="1:18" s="293" customFormat="1" ht="15.75">
      <c r="B70" s="311"/>
      <c r="C70" s="505"/>
      <c r="D70" s="505"/>
      <c r="E70" s="505"/>
      <c r="F70" s="505"/>
      <c r="G70" s="505"/>
      <c r="H70" s="505"/>
      <c r="I70" s="505"/>
      <c r="J70" s="505"/>
      <c r="K70" s="505"/>
      <c r="L70" s="505"/>
      <c r="M70" s="505"/>
      <c r="N70" s="981"/>
      <c r="R70" s="723"/>
    </row>
    <row r="71" spans="1:18" s="293" customFormat="1" ht="15.75">
      <c r="B71" s="311"/>
      <c r="C71" s="501"/>
      <c r="D71" s="505"/>
      <c r="E71" s="505"/>
      <c r="F71" s="505"/>
      <c r="G71" s="505"/>
      <c r="H71" s="505"/>
      <c r="I71" s="505"/>
      <c r="J71" s="505"/>
      <c r="K71" s="505"/>
      <c r="L71" s="505"/>
      <c r="M71" s="505"/>
      <c r="N71" s="981"/>
      <c r="R71" s="723"/>
    </row>
    <row r="72" spans="1:18" s="293" customFormat="1" ht="15.75">
      <c r="B72" s="311"/>
      <c r="C72" s="505"/>
      <c r="D72" s="505"/>
      <c r="E72" s="505"/>
      <c r="F72" s="505"/>
      <c r="G72" s="505"/>
      <c r="H72" s="505"/>
      <c r="I72" s="505"/>
      <c r="J72" s="505"/>
      <c r="K72" s="505"/>
      <c r="L72" s="505"/>
      <c r="M72" s="505"/>
      <c r="N72" s="981"/>
      <c r="R72" s="723"/>
    </row>
    <row r="73" spans="1:18" s="293" customFormat="1" ht="15.75">
      <c r="B73" s="311"/>
      <c r="C73" s="505"/>
      <c r="D73" s="505"/>
      <c r="E73" s="505"/>
      <c r="F73" s="505"/>
      <c r="G73" s="505"/>
      <c r="H73" s="505"/>
      <c r="I73" s="505"/>
      <c r="J73" s="505"/>
      <c r="K73" s="505"/>
      <c r="L73" s="505"/>
      <c r="M73" s="505"/>
      <c r="N73" s="981"/>
      <c r="R73" s="723"/>
    </row>
    <row r="74" spans="1:18" s="293" customFormat="1" ht="15.75">
      <c r="B74" s="311"/>
      <c r="C74" s="505"/>
      <c r="D74" s="505"/>
      <c r="E74" s="505"/>
      <c r="F74" s="505"/>
      <c r="G74" s="505"/>
      <c r="H74" s="505"/>
      <c r="I74" s="505"/>
      <c r="J74" s="505"/>
      <c r="K74" s="505"/>
      <c r="L74" s="505"/>
      <c r="M74" s="505"/>
      <c r="N74" s="981"/>
      <c r="R74" s="723"/>
    </row>
    <row r="75" spans="1:18" ht="15.75">
      <c r="B75" s="298"/>
      <c r="C75" s="504"/>
      <c r="D75" s="504"/>
      <c r="E75" s="504"/>
      <c r="F75" s="504"/>
      <c r="G75" s="504"/>
      <c r="H75" s="504"/>
      <c r="I75" s="504"/>
      <c r="J75" s="504"/>
      <c r="K75" s="504"/>
      <c r="L75" s="505"/>
      <c r="M75" s="504"/>
      <c r="N75" s="981"/>
    </row>
    <row r="76" spans="1:18" ht="15.75">
      <c r="B76" s="298"/>
      <c r="C76" s="504"/>
      <c r="D76" s="504"/>
      <c r="E76" s="504"/>
      <c r="F76" s="504"/>
      <c r="G76" s="504"/>
      <c r="H76" s="504"/>
      <c r="I76" s="504"/>
      <c r="J76" s="504"/>
      <c r="K76" s="504"/>
      <c r="L76" s="505"/>
      <c r="M76" s="504"/>
      <c r="N76" s="981"/>
    </row>
    <row r="77" spans="1:18" ht="15.75">
      <c r="B77" s="298"/>
      <c r="C77" s="504"/>
      <c r="D77" s="504"/>
      <c r="E77" s="504"/>
      <c r="F77" s="504"/>
      <c r="G77" s="504"/>
      <c r="H77" s="504"/>
      <c r="I77" s="504"/>
      <c r="J77" s="504"/>
      <c r="K77" s="504"/>
      <c r="L77" s="505"/>
      <c r="M77" s="504"/>
      <c r="N77" s="981"/>
    </row>
    <row r="78" spans="1:18" ht="15.75">
      <c r="B78" s="298"/>
      <c r="C78" s="504"/>
      <c r="D78" s="504"/>
      <c r="E78" s="504"/>
      <c r="F78" s="504"/>
      <c r="G78" s="504"/>
      <c r="H78" s="504"/>
      <c r="I78" s="504"/>
      <c r="J78" s="504"/>
      <c r="K78" s="504"/>
      <c r="L78" s="505"/>
      <c r="M78" s="504"/>
      <c r="N78" s="981"/>
    </row>
    <row r="79" spans="1:18" ht="15.75">
      <c r="B79" s="298"/>
      <c r="C79" s="504"/>
      <c r="D79" s="504"/>
      <c r="E79" s="504"/>
      <c r="F79" s="504"/>
      <c r="G79" s="504"/>
      <c r="H79" s="504"/>
      <c r="I79" s="504"/>
      <c r="J79" s="504"/>
      <c r="K79" s="504"/>
      <c r="L79" s="505"/>
      <c r="M79" s="504"/>
      <c r="N79" s="981"/>
    </row>
    <row r="80" spans="1:18"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sheetData>
  <mergeCells count="3">
    <mergeCell ref="B1:N1"/>
    <mergeCell ref="B4:N4"/>
    <mergeCell ref="B3:N3"/>
  </mergeCells>
  <printOptions horizontalCentered="1"/>
  <pageMargins left="0.5" right="0.5" top="0.5" bottom="0.5" header="0.5" footer="0.5"/>
  <pageSetup scale="74"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8" tint="0.39997558519241921"/>
  </sheetPr>
  <dimension ref="A1:T126"/>
  <sheetViews>
    <sheetView showGridLines="0" showRuler="0" topLeftCell="B3" zoomScaleNormal="100" zoomScaleSheetLayoutView="130" workbookViewId="0">
      <selection activeCell="B69" sqref="A69:XFD74"/>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140625" style="283" bestFit="1" customWidth="1"/>
    <col min="16" max="16" width="8.7109375" style="283" bestFit="1" customWidth="1"/>
    <col min="17" max="18" width="7.5703125" style="283" bestFit="1" customWidth="1"/>
    <col min="19" max="19" width="6.85546875" style="722"/>
    <col min="20" max="20" width="16.28515625" style="722" bestFit="1" customWidth="1"/>
    <col min="21" max="16384" width="6.85546875" style="283"/>
  </cols>
  <sheetData>
    <row r="1" spans="1:20" ht="44.25" hidden="1">
      <c r="B1" s="1706" t="s">
        <v>771</v>
      </c>
      <c r="C1" s="1706"/>
      <c r="D1" s="1706"/>
      <c r="E1" s="1706"/>
      <c r="F1" s="1706"/>
      <c r="G1" s="1706"/>
      <c r="H1" s="1706"/>
      <c r="I1" s="1706"/>
      <c r="J1" s="1706"/>
      <c r="K1" s="1706"/>
      <c r="L1" s="1706"/>
      <c r="M1" s="1706"/>
      <c r="N1" s="1710"/>
    </row>
    <row r="2" spans="1:20" ht="18.75" hidden="1">
      <c r="B2" s="284"/>
      <c r="C2" s="285"/>
      <c r="D2" s="285"/>
      <c r="E2" s="285"/>
      <c r="F2" s="285"/>
      <c r="G2" s="285"/>
      <c r="H2" s="285"/>
      <c r="I2" s="285"/>
      <c r="J2" s="285"/>
      <c r="K2" s="285"/>
      <c r="L2" s="285"/>
      <c r="M2" s="285"/>
      <c r="N2" s="285"/>
    </row>
    <row r="3" spans="1:20" ht="35.450000000000003" customHeight="1">
      <c r="B3" s="1708" t="s">
        <v>859</v>
      </c>
      <c r="C3" s="1708"/>
      <c r="D3" s="1708"/>
      <c r="E3" s="1708"/>
      <c r="F3" s="1708"/>
      <c r="G3" s="1708"/>
      <c r="H3" s="1708"/>
      <c r="I3" s="1708"/>
      <c r="J3" s="1708"/>
      <c r="K3" s="1708"/>
      <c r="L3" s="1708"/>
      <c r="M3" s="1708"/>
      <c r="N3" s="1708"/>
    </row>
    <row r="4" spans="1:20" ht="32.25" customHeight="1" thickBot="1">
      <c r="B4" s="1711"/>
      <c r="C4" s="1711"/>
      <c r="D4" s="1711"/>
      <c r="E4" s="1711"/>
      <c r="F4" s="1711"/>
      <c r="G4" s="1711"/>
      <c r="H4" s="1711"/>
      <c r="I4" s="1711"/>
      <c r="J4" s="1711"/>
      <c r="K4" s="1711"/>
      <c r="L4" s="1711"/>
      <c r="M4" s="1711"/>
      <c r="N4" s="1711"/>
    </row>
    <row r="5" spans="1:20"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131"/>
      <c r="T5" s="1139"/>
    </row>
    <row r="6" spans="1:20">
      <c r="B6" s="288"/>
      <c r="C6" s="288"/>
      <c r="D6" s="289"/>
      <c r="E6" s="289"/>
      <c r="F6" s="288"/>
      <c r="G6" s="288"/>
      <c r="H6" s="289"/>
      <c r="I6" s="288"/>
      <c r="J6" s="290"/>
      <c r="K6" s="289"/>
      <c r="L6" s="291"/>
      <c r="M6" s="289"/>
      <c r="N6" s="291"/>
    </row>
    <row r="7" spans="1:20" ht="15.75">
      <c r="B7" s="299" t="s">
        <v>2</v>
      </c>
      <c r="C7" s="299"/>
      <c r="D7" s="300"/>
      <c r="E7" s="300"/>
      <c r="F7" s="300"/>
      <c r="G7" s="301"/>
      <c r="H7" s="300"/>
      <c r="I7" s="301"/>
      <c r="J7" s="300"/>
      <c r="K7" s="300"/>
      <c r="L7" s="302"/>
      <c r="M7" s="300"/>
      <c r="N7" s="302"/>
    </row>
    <row r="8" spans="1:20" ht="21">
      <c r="A8" s="321" t="s">
        <v>337</v>
      </c>
      <c r="B8" s="311" t="s">
        <v>368</v>
      </c>
      <c r="C8" s="1268">
        <v>745088</v>
      </c>
      <c r="D8" s="1243" t="e">
        <v>#N/A</v>
      </c>
      <c r="E8" s="1268"/>
      <c r="F8" s="1268">
        <v>800000</v>
      </c>
      <c r="G8" s="1268">
        <v>259652</v>
      </c>
      <c r="H8" s="1268"/>
      <c r="I8" s="1268">
        <v>850000</v>
      </c>
      <c r="J8" s="1268">
        <v>50000</v>
      </c>
      <c r="K8" s="1268"/>
      <c r="L8" s="1268">
        <v>872600</v>
      </c>
      <c r="M8" s="1268"/>
      <c r="N8" s="1268">
        <v>72600</v>
      </c>
      <c r="O8" s="336" t="s">
        <v>801</v>
      </c>
      <c r="P8" s="333">
        <v>893012</v>
      </c>
      <c r="Q8" s="966">
        <v>0.86699999999999999</v>
      </c>
      <c r="S8" s="723"/>
      <c r="T8" s="723"/>
    </row>
    <row r="9" spans="1:20" ht="15.75">
      <c r="A9" s="321" t="s">
        <v>338</v>
      </c>
      <c r="B9" s="305" t="s">
        <v>8</v>
      </c>
      <c r="C9" s="1240">
        <v>-41.65</v>
      </c>
      <c r="D9" s="517" t="e">
        <v>#N/A</v>
      </c>
      <c r="E9" s="517"/>
      <c r="F9" s="549">
        <v>0</v>
      </c>
      <c r="G9" s="304">
        <v>259652</v>
      </c>
      <c r="H9" s="303"/>
      <c r="I9" s="549">
        <v>219.75</v>
      </c>
      <c r="J9" s="300">
        <v>219.75</v>
      </c>
      <c r="K9" s="303"/>
      <c r="L9" s="549">
        <v>0</v>
      </c>
      <c r="M9" s="303"/>
      <c r="N9" s="517">
        <v>0</v>
      </c>
      <c r="O9" s="346" t="s">
        <v>323</v>
      </c>
      <c r="P9" s="341">
        <v>137125.75</v>
      </c>
      <c r="Q9" s="966">
        <v>0.13300000000000001</v>
      </c>
      <c r="S9" s="723"/>
      <c r="T9" s="723"/>
    </row>
    <row r="10" spans="1:20" ht="16.5" thickBot="1">
      <c r="A10" s="331"/>
      <c r="B10" s="305" t="s">
        <v>319</v>
      </c>
      <c r="C10" s="1240">
        <v>0</v>
      </c>
      <c r="D10" s="517"/>
      <c r="E10" s="517"/>
      <c r="F10" s="1240">
        <v>0</v>
      </c>
      <c r="G10" s="304"/>
      <c r="H10" s="1224"/>
      <c r="I10" s="1240">
        <v>0</v>
      </c>
      <c r="J10" s="1223"/>
      <c r="K10" s="1224"/>
      <c r="L10" s="1240">
        <v>20412</v>
      </c>
      <c r="M10" s="1224"/>
      <c r="N10" s="1240">
        <v>20412</v>
      </c>
      <c r="O10" s="350" t="s">
        <v>25</v>
      </c>
      <c r="P10" s="340">
        <v>1030137.75</v>
      </c>
      <c r="Q10" s="668">
        <v>1</v>
      </c>
      <c r="S10" s="723"/>
      <c r="T10" s="723"/>
    </row>
    <row r="11" spans="1:20" ht="16.5" thickTop="1">
      <c r="A11" s="625"/>
      <c r="B11" s="622" t="s">
        <v>9</v>
      </c>
      <c r="C11" s="553">
        <v>745046.35</v>
      </c>
      <c r="D11" s="553" t="e">
        <v>#N/A</v>
      </c>
      <c r="E11" s="553"/>
      <c r="F11" s="1244">
        <v>800000</v>
      </c>
      <c r="G11" s="1084">
        <v>259652</v>
      </c>
      <c r="H11" s="1084"/>
      <c r="I11" s="1244">
        <v>850219.75</v>
      </c>
      <c r="J11" s="1084">
        <v>50000</v>
      </c>
      <c r="K11" s="1084"/>
      <c r="L11" s="1244">
        <v>893012</v>
      </c>
      <c r="M11" s="308"/>
      <c r="N11" s="1244">
        <v>93012</v>
      </c>
      <c r="S11" s="723"/>
      <c r="T11" s="723"/>
    </row>
    <row r="12" spans="1:20" ht="15.75">
      <c r="A12" s="293"/>
      <c r="B12" s="310"/>
      <c r="C12" s="310"/>
      <c r="D12" s="304"/>
      <c r="E12" s="304"/>
      <c r="F12" s="304"/>
      <c r="G12" s="304"/>
      <c r="H12" s="304"/>
      <c r="I12" s="304"/>
      <c r="J12" s="304"/>
      <c r="K12" s="304"/>
      <c r="L12" s="304"/>
      <c r="M12" s="304"/>
      <c r="N12" s="1154"/>
      <c r="O12" s="346"/>
      <c r="P12" s="341"/>
      <c r="Q12" s="348"/>
      <c r="S12" s="723"/>
      <c r="T12" s="724"/>
    </row>
    <row r="13" spans="1:20" s="625" customFormat="1" ht="15.75">
      <c r="A13" s="293"/>
      <c r="B13" s="313" t="s">
        <v>320</v>
      </c>
      <c r="C13" s="313"/>
      <c r="D13" s="306"/>
      <c r="E13" s="306"/>
      <c r="F13" s="306"/>
      <c r="G13" s="304"/>
      <c r="H13" s="306"/>
      <c r="I13" s="306"/>
      <c r="J13" s="304"/>
      <c r="K13" s="306"/>
      <c r="L13" s="306"/>
      <c r="M13" s="306"/>
      <c r="N13" s="1155"/>
      <c r="O13" s="346"/>
      <c r="P13" s="341"/>
      <c r="Q13" s="348"/>
      <c r="S13" s="724"/>
      <c r="T13" s="724"/>
    </row>
    <row r="14" spans="1:20" s="293" customFormat="1" ht="15.75">
      <c r="B14" s="311" t="s">
        <v>327</v>
      </c>
      <c r="C14" s="1240">
        <v>70250.70000000007</v>
      </c>
      <c r="D14" s="517">
        <v>189723</v>
      </c>
      <c r="E14" s="517"/>
      <c r="F14" s="1240">
        <v>107594</v>
      </c>
      <c r="G14" s="304">
        <v>107594</v>
      </c>
      <c r="H14" s="1224"/>
      <c r="I14" s="1240">
        <v>107594</v>
      </c>
      <c r="J14" s="1223">
        <v>0</v>
      </c>
      <c r="K14" s="1224"/>
      <c r="L14" s="1240">
        <v>137125.75</v>
      </c>
      <c r="M14" s="1087"/>
      <c r="N14" s="1240">
        <v>29531.75</v>
      </c>
      <c r="O14" s="346"/>
      <c r="P14" s="341"/>
      <c r="Q14" s="348"/>
      <c r="S14" s="723"/>
      <c r="T14" s="723"/>
    </row>
    <row r="15" spans="1:20" s="293" customFormat="1" ht="15.75">
      <c r="B15" s="622" t="s">
        <v>20</v>
      </c>
      <c r="C15" s="1225">
        <v>70250.70000000007</v>
      </c>
      <c r="D15" s="541">
        <v>189723</v>
      </c>
      <c r="E15" s="541"/>
      <c r="F15" s="1225">
        <v>107594</v>
      </c>
      <c r="G15" s="1225">
        <v>107594</v>
      </c>
      <c r="H15" s="1225"/>
      <c r="I15" s="1225">
        <v>107594</v>
      </c>
      <c r="J15" s="1225">
        <v>0</v>
      </c>
      <c r="K15" s="1225"/>
      <c r="L15" s="1225">
        <v>137125.75</v>
      </c>
      <c r="M15" s="308"/>
      <c r="N15" s="1244">
        <v>29531.75</v>
      </c>
      <c r="O15" s="341" t="s">
        <v>368</v>
      </c>
      <c r="P15" s="341">
        <v>872600</v>
      </c>
      <c r="Q15" s="608">
        <v>0.84699999999999998</v>
      </c>
      <c r="S15" s="723"/>
      <c r="T15" s="723"/>
    </row>
    <row r="16" spans="1:20" s="293" customFormat="1" ht="16.5" thickBot="1">
      <c r="B16" s="616" t="s">
        <v>21</v>
      </c>
      <c r="C16" s="1247">
        <v>815297.05</v>
      </c>
      <c r="D16" s="657" t="e">
        <v>#N/A</v>
      </c>
      <c r="E16" s="657"/>
      <c r="F16" s="647">
        <v>907594</v>
      </c>
      <c r="G16" s="647">
        <v>367246</v>
      </c>
      <c r="H16" s="647"/>
      <c r="I16" s="647">
        <v>957813.75</v>
      </c>
      <c r="J16" s="648">
        <v>50219.75</v>
      </c>
      <c r="K16" s="647"/>
      <c r="L16" s="647">
        <v>1030137.75</v>
      </c>
      <c r="M16" s="647"/>
      <c r="N16" s="1248">
        <v>122543.75</v>
      </c>
      <c r="O16" s="341" t="s">
        <v>20</v>
      </c>
      <c r="P16" s="341">
        <v>137125.75</v>
      </c>
      <c r="Q16" s="608">
        <v>0.13300000000000001</v>
      </c>
      <c r="S16" s="723"/>
      <c r="T16" s="723"/>
    </row>
    <row r="17" spans="1:20" s="293" customFormat="1" ht="16.5" thickTop="1">
      <c r="B17" s="316"/>
      <c r="C17" s="316"/>
      <c r="D17" s="304"/>
      <c r="E17" s="304"/>
      <c r="F17" s="304"/>
      <c r="G17" s="304"/>
      <c r="H17" s="304"/>
      <c r="I17" s="304"/>
      <c r="J17" s="304"/>
      <c r="K17" s="304"/>
      <c r="L17" s="304"/>
      <c r="M17" s="304"/>
      <c r="N17" s="1154"/>
      <c r="O17" s="341" t="s">
        <v>319</v>
      </c>
      <c r="P17" s="341">
        <v>20412</v>
      </c>
      <c r="Q17" s="608">
        <v>0.02</v>
      </c>
      <c r="S17" s="723"/>
      <c r="T17" s="723"/>
    </row>
    <row r="18" spans="1:20" s="293" customFormat="1" ht="16.5" thickBot="1">
      <c r="B18" s="349" t="s">
        <v>10</v>
      </c>
      <c r="C18" s="349"/>
      <c r="D18" s="302"/>
      <c r="E18" s="302"/>
      <c r="F18" s="302"/>
      <c r="G18" s="304"/>
      <c r="H18" s="302"/>
      <c r="I18" s="302"/>
      <c r="J18" s="302"/>
      <c r="K18" s="302"/>
      <c r="L18" s="302"/>
      <c r="M18" s="302"/>
      <c r="N18" s="1159"/>
      <c r="O18" s="340" t="s">
        <v>21</v>
      </c>
      <c r="P18" s="340">
        <v>1030137.75</v>
      </c>
      <c r="Q18" s="668">
        <v>1</v>
      </c>
      <c r="S18" s="723"/>
      <c r="T18" s="723"/>
    </row>
    <row r="19" spans="1:20" s="293" customFormat="1" ht="15.6" customHeight="1" thickTop="1">
      <c r="A19" s="293" t="s">
        <v>342</v>
      </c>
      <c r="B19" s="316" t="s">
        <v>801</v>
      </c>
      <c r="C19" s="1240">
        <v>707703.05</v>
      </c>
      <c r="D19" s="517" t="e">
        <v>#N/A</v>
      </c>
      <c r="E19" s="517"/>
      <c r="F19" s="1240">
        <v>800000</v>
      </c>
      <c r="G19" s="304">
        <v>259652</v>
      </c>
      <c r="H19" s="1224"/>
      <c r="I19" s="1240">
        <v>800000</v>
      </c>
      <c r="J19" s="1223">
        <v>0</v>
      </c>
      <c r="K19" s="1224"/>
      <c r="L19" s="1240">
        <v>893012</v>
      </c>
      <c r="M19" s="1241"/>
      <c r="N19" s="1161">
        <v>93012</v>
      </c>
      <c r="S19" s="723"/>
      <c r="T19" s="723"/>
    </row>
    <row r="20" spans="1:20" s="293" customFormat="1" ht="15.6" customHeight="1">
      <c r="A20" s="293" t="s">
        <v>351</v>
      </c>
      <c r="B20" s="316" t="s">
        <v>1003</v>
      </c>
      <c r="C20" s="1240">
        <v>0</v>
      </c>
      <c r="D20" s="517" t="e">
        <v>#N/A</v>
      </c>
      <c r="E20" s="517"/>
      <c r="F20" s="1240">
        <v>0</v>
      </c>
      <c r="G20" s="304">
        <v>259653</v>
      </c>
      <c r="H20" s="1224"/>
      <c r="I20" s="1240">
        <v>276</v>
      </c>
      <c r="J20" s="1223">
        <v>276</v>
      </c>
      <c r="K20" s="1224"/>
      <c r="L20" s="1240">
        <v>0</v>
      </c>
      <c r="M20" s="1241"/>
      <c r="N20" s="1161">
        <v>0</v>
      </c>
      <c r="S20" s="723"/>
      <c r="T20" s="723"/>
    </row>
    <row r="21" spans="1:20" s="293" customFormat="1" ht="15.75">
      <c r="B21" s="622" t="s">
        <v>22</v>
      </c>
      <c r="C21" s="1225">
        <v>707703.05</v>
      </c>
      <c r="D21" s="541" t="e">
        <v>#N/A</v>
      </c>
      <c r="E21" s="541"/>
      <c r="F21" s="1225">
        <v>800000</v>
      </c>
      <c r="G21" s="308">
        <v>259652</v>
      </c>
      <c r="H21" s="308"/>
      <c r="I21" s="1225">
        <v>800276</v>
      </c>
      <c r="J21" s="308">
        <v>0</v>
      </c>
      <c r="K21" s="308"/>
      <c r="L21" s="1225">
        <v>893012</v>
      </c>
      <c r="M21" s="308"/>
      <c r="N21" s="1225">
        <v>93012</v>
      </c>
      <c r="S21" s="723"/>
      <c r="T21" s="723"/>
    </row>
    <row r="22" spans="1:20" s="293" customFormat="1" ht="15.75">
      <c r="B22" s="311"/>
      <c r="C22" s="311"/>
      <c r="D22" s="304"/>
      <c r="E22" s="304"/>
      <c r="F22" s="304"/>
      <c r="G22" s="304"/>
      <c r="H22" s="304"/>
      <c r="I22" s="304"/>
      <c r="J22" s="304"/>
      <c r="K22" s="304"/>
      <c r="L22" s="304"/>
      <c r="M22" s="304"/>
      <c r="N22" s="1154"/>
      <c r="P22" s="653">
        <v>0</v>
      </c>
      <c r="S22" s="723"/>
      <c r="T22" s="723"/>
    </row>
    <row r="23" spans="1:20" s="293" customFormat="1" ht="15.75">
      <c r="B23" s="313" t="s">
        <v>321</v>
      </c>
      <c r="C23" s="313"/>
      <c r="D23" s="311"/>
      <c r="E23" s="311"/>
      <c r="F23" s="311"/>
      <c r="G23" s="311"/>
      <c r="H23" s="311"/>
      <c r="I23" s="311"/>
      <c r="J23" s="311"/>
      <c r="K23" s="311"/>
      <c r="L23" s="311"/>
      <c r="M23" s="311"/>
      <c r="N23" s="1159"/>
      <c r="S23" s="723"/>
      <c r="T23" s="723"/>
    </row>
    <row r="24" spans="1:20" s="293" customFormat="1" ht="15.75" hidden="1">
      <c r="B24" s="316" t="s">
        <v>322</v>
      </c>
      <c r="C24" s="517">
        <v>0</v>
      </c>
      <c r="D24" s="550">
        <v>297071</v>
      </c>
      <c r="E24" s="550"/>
      <c r="F24" s="303">
        <v>0</v>
      </c>
      <c r="G24" s="550">
        <v>515959</v>
      </c>
      <c r="H24" s="550"/>
      <c r="I24" s="303">
        <v>0</v>
      </c>
      <c r="J24" s="554"/>
      <c r="K24" s="550"/>
      <c r="L24" s="303">
        <v>0</v>
      </c>
      <c r="M24" s="539"/>
      <c r="N24" s="1160">
        <v>0</v>
      </c>
      <c r="S24" s="723"/>
      <c r="T24" s="723"/>
    </row>
    <row r="25" spans="1:20" s="293" customFormat="1" ht="15.75">
      <c r="B25" s="316" t="s">
        <v>31</v>
      </c>
      <c r="C25" s="1240">
        <v>107594</v>
      </c>
      <c r="D25" s="517"/>
      <c r="E25" s="517"/>
      <c r="F25" s="1240">
        <v>107594</v>
      </c>
      <c r="G25" s="304"/>
      <c r="H25" s="1224"/>
      <c r="I25" s="1240">
        <v>157537.75</v>
      </c>
      <c r="J25" s="1223"/>
      <c r="K25" s="1224"/>
      <c r="L25" s="1240">
        <v>137125.75</v>
      </c>
      <c r="M25" s="550"/>
      <c r="N25" s="1161">
        <v>29531.75</v>
      </c>
      <c r="S25" s="723"/>
      <c r="T25" s="723"/>
    </row>
    <row r="26" spans="1:20" s="293" customFormat="1" ht="15.75">
      <c r="A26" s="625"/>
      <c r="B26" s="622" t="s">
        <v>323</v>
      </c>
      <c r="C26" s="1225">
        <v>107594</v>
      </c>
      <c r="D26" s="541">
        <v>297071</v>
      </c>
      <c r="E26" s="541"/>
      <c r="F26" s="1225">
        <v>107594</v>
      </c>
      <c r="G26" s="1225">
        <v>515959</v>
      </c>
      <c r="H26" s="1225"/>
      <c r="I26" s="1225">
        <v>157537.75</v>
      </c>
      <c r="J26" s="1225">
        <v>0</v>
      </c>
      <c r="K26" s="1225"/>
      <c r="L26" s="1225">
        <v>137125.75</v>
      </c>
      <c r="M26" s="308"/>
      <c r="N26" s="1153">
        <v>29531.75</v>
      </c>
      <c r="O26" s="625"/>
      <c r="P26" s="625"/>
      <c r="Q26" s="625"/>
      <c r="S26" s="723"/>
      <c r="T26" s="723"/>
    </row>
    <row r="27" spans="1:20" s="293" customFormat="1" ht="16.5" thickBot="1">
      <c r="B27" s="616" t="s">
        <v>25</v>
      </c>
      <c r="C27" s="1269">
        <v>815297.05</v>
      </c>
      <c r="D27" s="627" t="e">
        <v>#N/A</v>
      </c>
      <c r="E27" s="1267"/>
      <c r="F27" s="1269">
        <v>907594</v>
      </c>
      <c r="G27" s="1267">
        <v>775611</v>
      </c>
      <c r="H27" s="1267"/>
      <c r="I27" s="1269">
        <v>957813.75</v>
      </c>
      <c r="J27" s="627">
        <v>-50219.75</v>
      </c>
      <c r="K27" s="627"/>
      <c r="L27" s="1269">
        <v>1030137.75</v>
      </c>
      <c r="M27" s="1267"/>
      <c r="N27" s="1269">
        <v>122543.75</v>
      </c>
      <c r="S27" s="723"/>
      <c r="T27" s="723"/>
    </row>
    <row r="28" spans="1:20" s="293" customFormat="1" ht="16.5" hidden="1" thickTop="1">
      <c r="B28" s="313"/>
      <c r="C28" s="310"/>
      <c r="D28" s="332"/>
      <c r="E28" s="332"/>
      <c r="F28" s="332"/>
      <c r="G28" s="332"/>
      <c r="H28" s="332"/>
      <c r="I28" s="332"/>
      <c r="J28" s="310"/>
      <c r="K28" s="332"/>
      <c r="L28" s="332"/>
      <c r="M28" s="332"/>
      <c r="N28" s="1165"/>
      <c r="S28" s="723"/>
      <c r="T28" s="725">
        <v>0</v>
      </c>
    </row>
    <row r="29" spans="1:20" s="293" customFormat="1" ht="16.5" hidden="1" thickTop="1">
      <c r="B29" s="313"/>
      <c r="C29" s="310"/>
      <c r="D29" s="332"/>
      <c r="E29" s="332"/>
      <c r="F29" s="332"/>
      <c r="G29" s="332"/>
      <c r="H29" s="332"/>
      <c r="I29" s="332"/>
      <c r="J29" s="310"/>
      <c r="K29" s="332"/>
      <c r="L29" s="332"/>
      <c r="M29" s="332"/>
      <c r="N29" s="1165"/>
      <c r="S29" s="723"/>
      <c r="T29" s="723"/>
    </row>
    <row r="30" spans="1:20" s="625" customFormat="1" ht="16.5" thickTop="1">
      <c r="A30" s="293"/>
      <c r="B30" s="313"/>
      <c r="C30" s="310"/>
      <c r="D30" s="332"/>
      <c r="E30" s="332"/>
      <c r="F30" s="332"/>
      <c r="G30" s="332"/>
      <c r="H30" s="332"/>
      <c r="I30" s="332"/>
      <c r="J30" s="310"/>
      <c r="K30" s="332"/>
      <c r="L30" s="332"/>
      <c r="M30" s="332"/>
      <c r="N30" s="1165"/>
      <c r="O30" s="293"/>
      <c r="P30" s="293"/>
      <c r="Q30" s="293"/>
      <c r="S30" s="724"/>
      <c r="T30" s="724"/>
    </row>
    <row r="31" spans="1:20" s="293" customFormat="1" ht="15.75">
      <c r="B31" s="313"/>
      <c r="C31" s="310"/>
      <c r="D31" s="332"/>
      <c r="E31" s="332"/>
      <c r="F31" s="332"/>
      <c r="G31" s="332"/>
      <c r="H31" s="332"/>
      <c r="I31" s="332"/>
      <c r="J31" s="310"/>
      <c r="K31" s="332"/>
      <c r="L31" s="332"/>
      <c r="M31" s="332"/>
      <c r="N31" s="332"/>
      <c r="Q31" s="293" t="s">
        <v>58</v>
      </c>
      <c r="S31" s="723"/>
      <c r="T31" s="723"/>
    </row>
    <row r="32" spans="1:20" s="293" customFormat="1" ht="15.75">
      <c r="B32" s="313"/>
      <c r="C32" s="310"/>
      <c r="D32" s="332"/>
      <c r="E32" s="332"/>
      <c r="F32" s="332"/>
      <c r="G32" s="332"/>
      <c r="H32" s="332"/>
      <c r="I32" s="332"/>
      <c r="J32" s="310"/>
      <c r="K32" s="332"/>
      <c r="L32" s="332"/>
      <c r="M32" s="332"/>
      <c r="N32" s="332"/>
      <c r="S32" s="723"/>
      <c r="T32" s="723"/>
    </row>
    <row r="33" spans="2:20" s="293" customFormat="1" ht="15.75">
      <c r="B33" s="313"/>
      <c r="C33" s="310"/>
      <c r="D33" s="332"/>
      <c r="E33" s="332"/>
      <c r="F33" s="332"/>
      <c r="G33" s="332"/>
      <c r="H33" s="332"/>
      <c r="I33" s="332"/>
      <c r="J33" s="310"/>
      <c r="K33" s="332"/>
      <c r="L33" s="332"/>
      <c r="M33" s="332"/>
      <c r="N33" s="332"/>
      <c r="S33" s="723"/>
      <c r="T33" s="723"/>
    </row>
    <row r="34" spans="2:20" s="293" customFormat="1" ht="15.75">
      <c r="B34" s="313"/>
      <c r="C34" s="310"/>
      <c r="D34" s="332"/>
      <c r="E34" s="332"/>
      <c r="F34" s="332"/>
      <c r="G34" s="332"/>
      <c r="H34" s="332"/>
      <c r="I34" s="332"/>
      <c r="J34" s="310"/>
      <c r="K34" s="332"/>
      <c r="L34" s="332"/>
      <c r="M34" s="332"/>
      <c r="N34" s="332"/>
      <c r="S34" s="723"/>
      <c r="T34" s="723"/>
    </row>
    <row r="35" spans="2:20" s="293" customFormat="1" ht="15.75">
      <c r="B35" s="313"/>
      <c r="C35" s="310"/>
      <c r="D35" s="332"/>
      <c r="E35" s="332"/>
      <c r="F35" s="332"/>
      <c r="G35" s="332"/>
      <c r="H35" s="332"/>
      <c r="I35" s="332"/>
      <c r="J35" s="310"/>
      <c r="K35" s="332"/>
      <c r="L35" s="332"/>
      <c r="M35" s="332"/>
      <c r="N35" s="332"/>
      <c r="Q35" s="344"/>
      <c r="R35" s="344"/>
      <c r="S35" s="729"/>
      <c r="T35" s="723"/>
    </row>
    <row r="36" spans="2:20" s="293" customFormat="1" ht="15.75">
      <c r="B36" s="313"/>
      <c r="C36" s="310"/>
      <c r="D36" s="332"/>
      <c r="E36" s="332"/>
      <c r="F36" s="332"/>
      <c r="G36" s="332"/>
      <c r="H36" s="332"/>
      <c r="I36" s="332"/>
      <c r="J36" s="310"/>
      <c r="K36" s="332"/>
      <c r="L36" s="332"/>
      <c r="M36" s="332"/>
      <c r="N36" s="332"/>
      <c r="Q36" s="344"/>
      <c r="R36" s="344"/>
      <c r="S36" s="729"/>
      <c r="T36" s="723"/>
    </row>
    <row r="37" spans="2:20" s="293" customFormat="1" ht="15.75">
      <c r="B37" s="313"/>
      <c r="C37" s="310"/>
      <c r="D37" s="332"/>
      <c r="E37" s="332"/>
      <c r="F37" s="332"/>
      <c r="G37" s="332"/>
      <c r="H37" s="332"/>
      <c r="I37" s="332"/>
      <c r="J37" s="310"/>
      <c r="K37" s="332"/>
      <c r="L37" s="332"/>
      <c r="M37" s="332"/>
      <c r="N37" s="332"/>
      <c r="Q37" s="344"/>
      <c r="R37" s="344"/>
      <c r="S37" s="729"/>
      <c r="T37" s="723"/>
    </row>
    <row r="38" spans="2:20" s="293" customFormat="1" ht="15.75">
      <c r="B38" s="313"/>
      <c r="C38" s="310"/>
      <c r="D38" s="332"/>
      <c r="E38" s="332"/>
      <c r="F38" s="332"/>
      <c r="G38" s="332"/>
      <c r="H38" s="332"/>
      <c r="I38" s="332"/>
      <c r="J38" s="310"/>
      <c r="K38" s="332"/>
      <c r="L38" s="332"/>
      <c r="M38" s="332"/>
      <c r="N38" s="332"/>
      <c r="Q38" s="729"/>
      <c r="R38" s="344"/>
      <c r="S38" s="729"/>
      <c r="T38" s="723"/>
    </row>
    <row r="39" spans="2:20" s="293" customFormat="1" ht="15.75">
      <c r="B39" s="313"/>
      <c r="C39" s="310"/>
      <c r="D39" s="332"/>
      <c r="E39" s="332"/>
      <c r="F39" s="332"/>
      <c r="G39" s="332"/>
      <c r="H39" s="332"/>
      <c r="I39" s="332"/>
      <c r="J39" s="310"/>
      <c r="K39" s="332"/>
      <c r="L39" s="332"/>
      <c r="M39" s="332"/>
      <c r="N39" s="332"/>
      <c r="Q39" s="729"/>
      <c r="R39" s="344"/>
      <c r="S39" s="729"/>
      <c r="T39" s="723"/>
    </row>
    <row r="40" spans="2:20" s="293" customFormat="1" ht="15.75">
      <c r="B40" s="313"/>
      <c r="C40" s="310"/>
      <c r="D40" s="332"/>
      <c r="E40" s="332"/>
      <c r="F40" s="332"/>
      <c r="G40" s="332"/>
      <c r="H40" s="332"/>
      <c r="I40" s="332"/>
      <c r="J40" s="310"/>
      <c r="K40" s="332"/>
      <c r="L40" s="332"/>
      <c r="M40" s="332"/>
      <c r="N40" s="332"/>
      <c r="Q40" s="729"/>
      <c r="R40" s="344"/>
      <c r="S40" s="729"/>
      <c r="T40" s="723"/>
    </row>
    <row r="41" spans="2:20" s="293" customFormat="1" ht="15.75">
      <c r="B41" s="313"/>
      <c r="C41" s="310"/>
      <c r="D41" s="332"/>
      <c r="E41" s="332"/>
      <c r="F41" s="332"/>
      <c r="G41" s="332"/>
      <c r="H41" s="332"/>
      <c r="I41" s="332"/>
      <c r="J41" s="310"/>
      <c r="K41" s="332"/>
      <c r="L41" s="332"/>
      <c r="M41" s="332"/>
      <c r="N41" s="332"/>
      <c r="Q41" s="729"/>
      <c r="R41" s="344"/>
      <c r="S41" s="729"/>
      <c r="T41" s="723"/>
    </row>
    <row r="42" spans="2:20" s="293" customFormat="1" ht="15.75">
      <c r="B42" s="313"/>
      <c r="C42" s="310"/>
      <c r="D42" s="332"/>
      <c r="E42" s="332"/>
      <c r="F42" s="332"/>
      <c r="G42" s="332"/>
      <c r="H42" s="332"/>
      <c r="I42" s="332"/>
      <c r="J42" s="310"/>
      <c r="K42" s="332"/>
      <c r="L42" s="332"/>
      <c r="M42" s="332"/>
      <c r="N42" s="332"/>
      <c r="Q42" s="729"/>
      <c r="R42" s="344"/>
      <c r="S42" s="729"/>
      <c r="T42" s="723"/>
    </row>
    <row r="43" spans="2:20" s="293" customFormat="1" ht="15.75">
      <c r="B43" s="313"/>
      <c r="C43" s="310"/>
      <c r="D43" s="332"/>
      <c r="E43" s="332"/>
      <c r="F43" s="332"/>
      <c r="G43" s="332"/>
      <c r="H43" s="332"/>
      <c r="I43" s="332"/>
      <c r="J43" s="310"/>
      <c r="K43" s="332"/>
      <c r="L43" s="332"/>
      <c r="M43" s="332"/>
      <c r="N43" s="332"/>
      <c r="Q43" s="729"/>
      <c r="R43" s="344"/>
      <c r="S43" s="729"/>
      <c r="T43" s="723"/>
    </row>
    <row r="44" spans="2:20" s="293" customFormat="1" ht="15.75">
      <c r="B44" s="313"/>
      <c r="C44" s="310"/>
      <c r="D44" s="332"/>
      <c r="E44" s="332"/>
      <c r="F44" s="332"/>
      <c r="G44" s="332"/>
      <c r="H44" s="332"/>
      <c r="I44" s="332"/>
      <c r="J44" s="310"/>
      <c r="K44" s="332"/>
      <c r="L44" s="332"/>
      <c r="M44" s="332"/>
      <c r="N44" s="332"/>
      <c r="Q44" s="729"/>
      <c r="R44" s="344"/>
      <c r="S44" s="729"/>
      <c r="T44" s="723"/>
    </row>
    <row r="45" spans="2:20" s="293" customFormat="1" ht="15.75">
      <c r="B45" s="313"/>
      <c r="C45" s="310"/>
      <c r="D45" s="332"/>
      <c r="E45" s="332"/>
      <c r="F45" s="332"/>
      <c r="G45" s="332"/>
      <c r="H45" s="332"/>
      <c r="I45" s="332"/>
      <c r="J45" s="310"/>
      <c r="K45" s="332"/>
      <c r="L45" s="332"/>
      <c r="M45" s="332"/>
      <c r="N45" s="332"/>
      <c r="Q45" s="729"/>
      <c r="R45" s="729"/>
      <c r="S45" s="729"/>
      <c r="T45" s="723"/>
    </row>
    <row r="46" spans="2:20" s="293" customFormat="1" ht="15.75">
      <c r="B46" s="313"/>
      <c r="C46" s="310"/>
      <c r="D46" s="332"/>
      <c r="E46" s="332"/>
      <c r="F46" s="332"/>
      <c r="G46" s="332"/>
      <c r="H46" s="332"/>
      <c r="I46" s="332"/>
      <c r="J46" s="310"/>
      <c r="K46" s="332"/>
      <c r="L46" s="332"/>
      <c r="M46" s="332"/>
      <c r="N46" s="332"/>
      <c r="Q46" s="729"/>
      <c r="R46" s="729"/>
      <c r="S46" s="729"/>
      <c r="T46" s="723"/>
    </row>
    <row r="47" spans="2:20" s="293" customFormat="1" ht="15.75">
      <c r="B47" s="313"/>
      <c r="C47" s="310"/>
      <c r="D47" s="332"/>
      <c r="E47" s="332"/>
      <c r="F47" s="332"/>
      <c r="G47" s="332"/>
      <c r="H47" s="332"/>
      <c r="I47" s="332"/>
      <c r="J47" s="310"/>
      <c r="K47" s="332"/>
      <c r="L47" s="332"/>
      <c r="M47" s="332"/>
      <c r="N47" s="332"/>
      <c r="Q47" s="344"/>
      <c r="R47" s="729"/>
      <c r="S47" s="729"/>
      <c r="T47" s="723"/>
    </row>
    <row r="48" spans="2:20" s="293" customFormat="1" ht="15.75">
      <c r="B48" s="313"/>
      <c r="C48" s="310"/>
      <c r="D48" s="332"/>
      <c r="E48" s="332"/>
      <c r="F48" s="332"/>
      <c r="G48" s="332"/>
      <c r="H48" s="332"/>
      <c r="I48" s="332"/>
      <c r="J48" s="310"/>
      <c r="K48" s="332"/>
      <c r="L48" s="332"/>
      <c r="M48" s="332"/>
      <c r="N48" s="332"/>
      <c r="Q48" s="344"/>
      <c r="R48" s="729"/>
      <c r="S48" s="729"/>
      <c r="T48" s="723"/>
    </row>
    <row r="49" spans="2:20" s="293" customFormat="1" ht="15.75">
      <c r="B49" s="313"/>
      <c r="C49" s="310"/>
      <c r="D49" s="332"/>
      <c r="E49" s="332"/>
      <c r="F49" s="332"/>
      <c r="G49" s="332"/>
      <c r="H49" s="332"/>
      <c r="I49" s="332"/>
      <c r="J49" s="310"/>
      <c r="K49" s="332"/>
      <c r="L49" s="332"/>
      <c r="M49" s="332"/>
      <c r="N49" s="332"/>
      <c r="Q49" s="344"/>
      <c r="R49" s="729"/>
      <c r="S49" s="729"/>
      <c r="T49" s="723"/>
    </row>
    <row r="50" spans="2:20" s="293" customFormat="1" ht="15.75">
      <c r="B50" s="313"/>
      <c r="C50" s="310"/>
      <c r="D50" s="332"/>
      <c r="E50" s="332"/>
      <c r="F50" s="332"/>
      <c r="G50" s="332"/>
      <c r="H50" s="332"/>
      <c r="I50" s="332"/>
      <c r="J50" s="310"/>
      <c r="K50" s="332"/>
      <c r="L50" s="332"/>
      <c r="M50" s="332"/>
      <c r="N50" s="332"/>
      <c r="Q50" s="344"/>
      <c r="R50" s="1767"/>
      <c r="S50" s="729"/>
      <c r="T50" s="723"/>
    </row>
    <row r="51" spans="2:20" s="293" customFormat="1" ht="15.75">
      <c r="B51" s="313"/>
      <c r="C51" s="310"/>
      <c r="D51" s="332"/>
      <c r="E51" s="332"/>
      <c r="F51" s="332"/>
      <c r="G51" s="332"/>
      <c r="H51" s="332"/>
      <c r="I51" s="332"/>
      <c r="J51" s="310"/>
      <c r="K51" s="332"/>
      <c r="L51" s="332"/>
      <c r="M51" s="332"/>
      <c r="N51" s="332"/>
      <c r="Q51" s="344"/>
      <c r="R51" s="344"/>
      <c r="S51" s="729"/>
      <c r="T51" s="723"/>
    </row>
    <row r="52" spans="2:20" s="293" customFormat="1" ht="15.75">
      <c r="B52" s="313"/>
      <c r="C52" s="310"/>
      <c r="D52" s="332"/>
      <c r="E52" s="332"/>
      <c r="F52" s="332"/>
      <c r="G52" s="332"/>
      <c r="H52" s="332"/>
      <c r="I52" s="332"/>
      <c r="J52" s="310"/>
      <c r="K52" s="332"/>
      <c r="L52" s="332"/>
      <c r="M52" s="332"/>
      <c r="N52" s="332"/>
      <c r="Q52" s="344"/>
      <c r="R52" s="344"/>
      <c r="S52" s="729"/>
      <c r="T52" s="723"/>
    </row>
    <row r="53" spans="2:20" s="293" customFormat="1" ht="15.75">
      <c r="B53" s="313"/>
      <c r="C53" s="310"/>
      <c r="D53" s="332"/>
      <c r="E53" s="332"/>
      <c r="F53" s="332"/>
      <c r="G53" s="332"/>
      <c r="H53" s="332"/>
      <c r="I53" s="332"/>
      <c r="J53" s="310"/>
      <c r="K53" s="332"/>
      <c r="L53" s="332"/>
      <c r="M53" s="332"/>
      <c r="N53" s="332"/>
      <c r="S53" s="723"/>
      <c r="T53" s="723"/>
    </row>
    <row r="54" spans="2:20" s="293" customFormat="1" ht="15.75">
      <c r="B54" s="313"/>
      <c r="C54" s="310"/>
      <c r="D54" s="332"/>
      <c r="E54" s="332"/>
      <c r="F54" s="332"/>
      <c r="G54" s="332"/>
      <c r="H54" s="332"/>
      <c r="I54" s="332"/>
      <c r="J54" s="310"/>
      <c r="K54" s="332"/>
      <c r="L54" s="332"/>
      <c r="M54" s="332"/>
      <c r="N54" s="332"/>
      <c r="S54" s="723"/>
      <c r="T54" s="723"/>
    </row>
    <row r="55" spans="2:20" s="293" customFormat="1" ht="15.75">
      <c r="B55" s="313"/>
      <c r="C55" s="310"/>
      <c r="D55" s="332"/>
      <c r="E55" s="332"/>
      <c r="F55" s="332"/>
      <c r="G55" s="332"/>
      <c r="H55" s="332"/>
      <c r="I55" s="332"/>
      <c r="J55" s="310"/>
      <c r="K55" s="332"/>
      <c r="L55" s="332"/>
      <c r="M55" s="332"/>
      <c r="N55" s="332"/>
      <c r="S55" s="723"/>
      <c r="T55" s="723"/>
    </row>
    <row r="56" spans="2:20" s="293" customFormat="1" ht="15.75">
      <c r="B56" s="313"/>
      <c r="C56" s="310"/>
      <c r="D56" s="332"/>
      <c r="E56" s="332"/>
      <c r="F56" s="332"/>
      <c r="G56" s="332"/>
      <c r="H56" s="332"/>
      <c r="I56" s="332"/>
      <c r="J56" s="310"/>
      <c r="K56" s="332"/>
      <c r="L56" s="332"/>
      <c r="M56" s="332"/>
      <c r="N56" s="332"/>
      <c r="S56" s="723"/>
      <c r="T56" s="723"/>
    </row>
    <row r="57" spans="2:20" s="293" customFormat="1" ht="15.75">
      <c r="B57" s="313"/>
      <c r="C57" s="310"/>
      <c r="D57" s="332"/>
      <c r="E57" s="332"/>
      <c r="F57" s="332"/>
      <c r="G57" s="332"/>
      <c r="H57" s="332"/>
      <c r="I57" s="332"/>
      <c r="J57" s="310"/>
      <c r="K57" s="332"/>
      <c r="L57" s="332"/>
      <c r="M57" s="332"/>
      <c r="N57" s="332"/>
      <c r="S57" s="723"/>
      <c r="T57" s="723"/>
    </row>
    <row r="58" spans="2:20" s="293" customFormat="1" ht="15.75">
      <c r="B58" s="313"/>
      <c r="C58" s="310"/>
      <c r="D58" s="332"/>
      <c r="E58" s="332"/>
      <c r="F58" s="332"/>
      <c r="G58" s="332"/>
      <c r="H58" s="332"/>
      <c r="I58" s="332"/>
      <c r="J58" s="310"/>
      <c r="K58" s="332"/>
      <c r="L58" s="332"/>
      <c r="M58" s="332"/>
      <c r="N58" s="332"/>
      <c r="S58" s="723"/>
      <c r="T58" s="723"/>
    </row>
    <row r="59" spans="2:20" s="293" customFormat="1" ht="15.75">
      <c r="B59" s="313"/>
      <c r="C59" s="310"/>
      <c r="D59" s="332"/>
      <c r="E59" s="332"/>
      <c r="F59" s="332"/>
      <c r="G59" s="332"/>
      <c r="H59" s="332"/>
      <c r="I59" s="332"/>
      <c r="J59" s="310"/>
      <c r="K59" s="332"/>
      <c r="L59" s="332"/>
      <c r="M59" s="332"/>
      <c r="N59" s="332"/>
      <c r="S59" s="723"/>
      <c r="T59" s="723"/>
    </row>
    <row r="60" spans="2:20" s="293" customFormat="1" ht="15.75">
      <c r="B60" s="313"/>
      <c r="C60" s="310"/>
      <c r="D60" s="332"/>
      <c r="E60" s="332"/>
      <c r="F60" s="332"/>
      <c r="G60" s="332"/>
      <c r="H60" s="332"/>
      <c r="I60" s="332"/>
      <c r="J60" s="310"/>
      <c r="K60" s="332"/>
      <c r="L60" s="332"/>
      <c r="M60" s="332"/>
      <c r="N60" s="332"/>
      <c r="S60" s="723"/>
      <c r="T60" s="723"/>
    </row>
    <row r="61" spans="2:20" s="293" customFormat="1" ht="15.75">
      <c r="B61" s="313"/>
      <c r="C61" s="310"/>
      <c r="D61" s="332"/>
      <c r="E61" s="332"/>
      <c r="F61" s="332"/>
      <c r="G61" s="332"/>
      <c r="H61" s="332"/>
      <c r="I61" s="332"/>
      <c r="J61" s="310"/>
      <c r="K61" s="332"/>
      <c r="L61" s="332"/>
      <c r="M61" s="332"/>
      <c r="N61" s="332"/>
      <c r="S61" s="723"/>
      <c r="T61" s="723"/>
    </row>
    <row r="62" spans="2:20" s="293" customFormat="1" ht="15.75">
      <c r="B62" s="313"/>
      <c r="C62" s="310"/>
      <c r="D62" s="332"/>
      <c r="E62" s="332"/>
      <c r="F62" s="332"/>
      <c r="G62" s="332"/>
      <c r="H62" s="332"/>
      <c r="I62" s="332"/>
      <c r="J62" s="310"/>
      <c r="K62" s="332"/>
      <c r="L62" s="332"/>
      <c r="M62" s="332"/>
      <c r="N62" s="332"/>
      <c r="S62" s="723"/>
      <c r="T62" s="723"/>
    </row>
    <row r="63" spans="2:20" s="293" customFormat="1" ht="15.75">
      <c r="B63" s="313"/>
      <c r="C63" s="310"/>
      <c r="D63" s="332"/>
      <c r="E63" s="332"/>
      <c r="F63" s="332"/>
      <c r="G63" s="332"/>
      <c r="H63" s="332"/>
      <c r="I63" s="332"/>
      <c r="J63" s="310"/>
      <c r="K63" s="332"/>
      <c r="L63" s="332"/>
      <c r="M63" s="332"/>
      <c r="N63" s="332"/>
      <c r="S63" s="723"/>
      <c r="T63" s="723"/>
    </row>
    <row r="64" spans="2:20" s="293" customFormat="1" ht="15.75">
      <c r="B64" s="313"/>
      <c r="C64" s="310"/>
      <c r="D64" s="332"/>
      <c r="E64" s="332"/>
      <c r="F64" s="332"/>
      <c r="G64" s="332"/>
      <c r="H64" s="332"/>
      <c r="I64" s="332"/>
      <c r="J64" s="310"/>
      <c r="K64" s="332"/>
      <c r="L64" s="332"/>
      <c r="M64" s="332"/>
      <c r="N64" s="332"/>
      <c r="S64" s="723"/>
      <c r="T64" s="723"/>
    </row>
    <row r="65" spans="1:20" s="293" customFormat="1" ht="15.75">
      <c r="B65" s="313"/>
      <c r="C65" s="310"/>
      <c r="D65" s="332"/>
      <c r="E65" s="332"/>
      <c r="F65" s="332"/>
      <c r="G65" s="332"/>
      <c r="H65" s="332"/>
      <c r="I65" s="332"/>
      <c r="J65" s="310"/>
      <c r="K65" s="332"/>
      <c r="L65" s="332"/>
      <c r="M65" s="332"/>
      <c r="N65" s="332"/>
      <c r="S65" s="723"/>
      <c r="T65" s="723"/>
    </row>
    <row r="66" spans="1:20" s="293" customFormat="1" ht="15.75">
      <c r="B66" s="313"/>
      <c r="C66" s="310"/>
      <c r="D66" s="332"/>
      <c r="E66" s="332"/>
      <c r="F66" s="332"/>
      <c r="G66" s="332"/>
      <c r="H66" s="332"/>
      <c r="I66" s="332"/>
      <c r="J66" s="310"/>
      <c r="K66" s="332"/>
      <c r="L66" s="332"/>
      <c r="M66" s="332"/>
      <c r="N66" s="332"/>
      <c r="S66" s="723"/>
      <c r="T66" s="723"/>
    </row>
    <row r="67" spans="1:20" s="293" customFormat="1" ht="15.75">
      <c r="B67" s="313"/>
      <c r="C67" s="310"/>
      <c r="D67" s="332"/>
      <c r="E67" s="332"/>
      <c r="F67" s="332"/>
      <c r="G67" s="332"/>
      <c r="H67" s="332"/>
      <c r="I67" s="332"/>
      <c r="J67" s="310"/>
      <c r="K67" s="332"/>
      <c r="L67" s="332"/>
      <c r="M67" s="332"/>
      <c r="N67" s="332"/>
      <c r="S67" s="723"/>
      <c r="T67" s="723"/>
    </row>
    <row r="68" spans="1:20" s="293" customFormat="1" ht="15.75">
      <c r="B68" s="313"/>
      <c r="C68" s="310"/>
      <c r="D68" s="332"/>
      <c r="E68" s="332"/>
      <c r="F68" s="332"/>
      <c r="G68" s="332"/>
      <c r="H68" s="332"/>
      <c r="I68" s="332"/>
      <c r="J68" s="310"/>
      <c r="K68" s="332"/>
      <c r="L68" s="332"/>
      <c r="M68" s="332"/>
      <c r="N68" s="332"/>
      <c r="S68" s="723"/>
      <c r="T68" s="723"/>
    </row>
    <row r="69" spans="1:20" s="293" customFormat="1" ht="15.75">
      <c r="B69" s="313"/>
      <c r="C69" s="310"/>
      <c r="D69" s="332"/>
      <c r="E69" s="332"/>
      <c r="F69" s="332"/>
      <c r="G69" s="332"/>
      <c r="H69" s="332"/>
      <c r="I69" s="332"/>
      <c r="J69" s="310"/>
      <c r="K69" s="332"/>
      <c r="L69" s="332"/>
      <c r="M69" s="332"/>
      <c r="N69" s="332"/>
      <c r="S69" s="723"/>
      <c r="T69" s="723"/>
    </row>
    <row r="70" spans="1:20" s="293" customFormat="1" ht="15.75">
      <c r="A70" s="283"/>
      <c r="B70" s="313"/>
      <c r="C70" s="314"/>
      <c r="D70" s="314"/>
      <c r="E70" s="314"/>
      <c r="F70" s="314"/>
      <c r="G70" s="314"/>
      <c r="H70" s="314"/>
      <c r="I70" s="314"/>
      <c r="J70" s="314"/>
      <c r="K70" s="314"/>
      <c r="L70" s="314"/>
      <c r="M70" s="314"/>
      <c r="N70" s="314"/>
      <c r="O70" s="283"/>
      <c r="P70" s="283"/>
      <c r="Q70" s="283"/>
      <c r="S70" s="723"/>
      <c r="T70" s="722"/>
    </row>
    <row r="71" spans="1:20" s="293" customFormat="1" ht="15.75">
      <c r="A71" s="283"/>
      <c r="B71" s="313"/>
      <c r="C71" s="313"/>
      <c r="D71" s="305"/>
      <c r="E71" s="305"/>
      <c r="F71" s="310"/>
      <c r="G71" s="310"/>
      <c r="H71" s="305"/>
      <c r="I71" s="310"/>
      <c r="J71" s="298"/>
      <c r="K71" s="305"/>
      <c r="L71" s="316"/>
      <c r="M71" s="305"/>
      <c r="N71" s="316"/>
      <c r="O71" s="283"/>
      <c r="P71" s="283"/>
      <c r="Q71" s="283"/>
      <c r="S71" s="723"/>
      <c r="T71" s="722"/>
    </row>
    <row r="72" spans="1:20" s="293" customFormat="1" ht="15.75">
      <c r="A72" s="283"/>
      <c r="B72" s="298"/>
      <c r="C72" s="302"/>
      <c r="D72" s="302"/>
      <c r="E72" s="302"/>
      <c r="F72" s="302"/>
      <c r="G72" s="302"/>
      <c r="H72" s="302"/>
      <c r="I72" s="302"/>
      <c r="J72" s="302"/>
      <c r="K72" s="302"/>
      <c r="L72" s="302"/>
      <c r="M72" s="302"/>
      <c r="N72" s="302"/>
      <c r="O72" s="283"/>
      <c r="P72" s="283"/>
      <c r="Q72" s="283"/>
      <c r="S72" s="723"/>
      <c r="T72" s="722"/>
    </row>
    <row r="73" spans="1:20" s="293" customFormat="1" ht="15.75">
      <c r="A73" s="283"/>
      <c r="B73" s="298"/>
      <c r="C73" s="298"/>
      <c r="D73" s="298"/>
      <c r="E73" s="298"/>
      <c r="F73" s="298"/>
      <c r="G73" s="298"/>
      <c r="H73" s="298"/>
      <c r="I73" s="298"/>
      <c r="J73" s="298"/>
      <c r="K73" s="298"/>
      <c r="L73" s="311"/>
      <c r="M73" s="298"/>
      <c r="N73" s="311"/>
      <c r="O73" s="283"/>
      <c r="P73" s="283"/>
      <c r="Q73" s="283"/>
      <c r="S73" s="723"/>
      <c r="T73" s="722"/>
    </row>
    <row r="74" spans="1:20" ht="15.75">
      <c r="B74" s="298"/>
      <c r="C74" s="298"/>
      <c r="D74" s="298"/>
      <c r="E74" s="298"/>
      <c r="F74" s="298"/>
      <c r="G74" s="298"/>
      <c r="H74" s="298"/>
      <c r="I74" s="298"/>
      <c r="J74" s="298"/>
      <c r="K74" s="298"/>
      <c r="L74" s="311"/>
      <c r="M74" s="298"/>
      <c r="N74" s="311"/>
    </row>
    <row r="75" spans="1:20" ht="15.75">
      <c r="B75" s="299"/>
      <c r="C75" s="299"/>
      <c r="D75" s="298"/>
      <c r="E75" s="298"/>
      <c r="F75" s="298"/>
      <c r="G75" s="298"/>
      <c r="H75" s="298"/>
      <c r="I75" s="298"/>
      <c r="J75" s="298"/>
      <c r="K75" s="298"/>
      <c r="L75" s="311"/>
      <c r="M75" s="298"/>
      <c r="N75" s="311"/>
    </row>
    <row r="76" spans="1:20" ht="15.75">
      <c r="B76" s="298"/>
      <c r="C76" s="298"/>
      <c r="D76" s="298"/>
      <c r="E76" s="298"/>
      <c r="F76" s="298"/>
      <c r="G76" s="298"/>
      <c r="H76" s="298"/>
      <c r="I76" s="298"/>
      <c r="J76" s="298"/>
      <c r="K76" s="298"/>
      <c r="L76" s="311"/>
      <c r="M76" s="298"/>
      <c r="N76" s="311"/>
    </row>
    <row r="77" spans="1:20" ht="15.75">
      <c r="B77" s="298"/>
      <c r="C77" s="298"/>
      <c r="D77" s="298"/>
      <c r="E77" s="298"/>
      <c r="F77" s="298"/>
      <c r="G77" s="298"/>
      <c r="H77" s="298"/>
      <c r="I77" s="298"/>
      <c r="J77" s="298"/>
      <c r="K77" s="298"/>
      <c r="L77" s="311"/>
      <c r="M77" s="298"/>
      <c r="N77" s="311"/>
    </row>
    <row r="78" spans="1:20" ht="15.75">
      <c r="B78" s="298"/>
      <c r="C78" s="298"/>
      <c r="D78" s="298"/>
      <c r="E78" s="298"/>
      <c r="F78" s="298"/>
      <c r="G78" s="298"/>
      <c r="H78" s="298"/>
      <c r="I78" s="298"/>
      <c r="J78" s="298"/>
      <c r="K78" s="298"/>
      <c r="L78" s="311"/>
      <c r="M78" s="298"/>
      <c r="N78" s="311"/>
    </row>
    <row r="79" spans="1:20" ht="15.75">
      <c r="B79" s="298"/>
      <c r="C79" s="298"/>
      <c r="D79" s="298"/>
      <c r="E79" s="298"/>
      <c r="F79" s="298"/>
      <c r="G79" s="298"/>
      <c r="H79" s="298"/>
      <c r="I79" s="298"/>
      <c r="J79" s="298"/>
      <c r="K79" s="298"/>
      <c r="L79" s="311"/>
      <c r="M79" s="298"/>
      <c r="N79" s="311"/>
    </row>
    <row r="80" spans="1:20"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row r="122" spans="2:14" ht="15.75">
      <c r="B122" s="298"/>
      <c r="C122" s="298"/>
      <c r="D122" s="298"/>
      <c r="E122" s="298"/>
      <c r="F122" s="298"/>
      <c r="G122" s="298"/>
      <c r="H122" s="298"/>
      <c r="I122" s="298"/>
      <c r="J122" s="298"/>
      <c r="K122" s="298"/>
      <c r="L122" s="311"/>
      <c r="M122" s="298"/>
      <c r="N122" s="311"/>
    </row>
    <row r="123" spans="2:14" ht="15.75">
      <c r="B123" s="298"/>
      <c r="C123" s="298"/>
      <c r="D123" s="298"/>
      <c r="E123" s="298"/>
      <c r="F123" s="298"/>
      <c r="G123" s="298"/>
      <c r="H123" s="298"/>
      <c r="I123" s="298"/>
      <c r="J123" s="298"/>
      <c r="K123" s="298"/>
      <c r="L123" s="311"/>
      <c r="M123" s="298"/>
      <c r="N123" s="311"/>
    </row>
    <row r="124" spans="2:14" ht="15.75">
      <c r="B124" s="298"/>
      <c r="C124" s="298"/>
      <c r="D124" s="298"/>
      <c r="E124" s="298"/>
      <c r="F124" s="298"/>
      <c r="G124" s="298"/>
      <c r="H124" s="298"/>
      <c r="I124" s="298"/>
      <c r="J124" s="298"/>
      <c r="K124" s="298"/>
      <c r="L124" s="311"/>
      <c r="M124" s="298"/>
      <c r="N124" s="311"/>
    </row>
    <row r="125" spans="2:14" ht="15.75">
      <c r="B125" s="298"/>
      <c r="C125" s="298"/>
      <c r="D125" s="298"/>
      <c r="E125" s="298"/>
      <c r="F125" s="298"/>
      <c r="G125" s="298"/>
      <c r="H125" s="298"/>
      <c r="I125" s="298"/>
      <c r="J125" s="298"/>
      <c r="K125" s="298"/>
      <c r="L125" s="311"/>
      <c r="M125" s="298"/>
      <c r="N125" s="311"/>
    </row>
    <row r="126" spans="2:14" ht="15.75">
      <c r="B126" s="298"/>
      <c r="C126" s="298"/>
      <c r="D126" s="298"/>
      <c r="E126" s="298"/>
      <c r="F126" s="298"/>
      <c r="G126" s="298"/>
      <c r="H126" s="298"/>
      <c r="I126" s="298"/>
      <c r="J126" s="298"/>
      <c r="K126" s="298"/>
      <c r="L126" s="311"/>
      <c r="M126" s="298"/>
      <c r="N126" s="311"/>
    </row>
  </sheetData>
  <mergeCells count="3">
    <mergeCell ref="B1:N1"/>
    <mergeCell ref="B3:N3"/>
    <mergeCell ref="B4:N4"/>
  </mergeCells>
  <printOptions horizontalCentered="1"/>
  <pageMargins left="0.5" right="0.5" top="0.5" bottom="0.5" header="0.5" footer="0.5"/>
  <pageSetup scale="74"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8" tint="0.39997558519241921"/>
  </sheetPr>
  <dimension ref="A1:AC125"/>
  <sheetViews>
    <sheetView showGridLines="0" showRuler="0" topLeftCell="B3" zoomScaleNormal="100" zoomScaleSheetLayoutView="130" workbookViewId="0">
      <selection activeCell="B68" sqref="A68:XFD74"/>
    </sheetView>
  </sheetViews>
  <sheetFormatPr defaultColWidth="6.85546875" defaultRowHeight="12.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17.28515625" style="510" hidden="1" customWidth="1"/>
    <col min="9" max="9" width="3" style="510" hidden="1" customWidth="1"/>
    <col min="10" max="10" width="19.5703125" style="510" hidden="1" customWidth="1"/>
    <col min="11" max="11" width="1.85546875" style="510" hidden="1" customWidth="1"/>
    <col min="12" max="12" width="15.7109375" style="511" customWidth="1"/>
    <col min="13" max="13" width="3" style="510" hidden="1" customWidth="1"/>
    <col min="14" max="14" width="15.7109375" style="1118" customWidth="1"/>
    <col min="15" max="15" width="29.5703125" style="283" bestFit="1" customWidth="1"/>
    <col min="16" max="16" width="10.42578125" style="283" bestFit="1" customWidth="1"/>
    <col min="17" max="17" width="7.7109375" style="283" customWidth="1"/>
    <col min="18" max="18" width="6.85546875" style="283"/>
    <col min="19" max="19" width="13.7109375" style="283" bestFit="1" customWidth="1"/>
    <col min="20" max="16384" width="6.85546875" style="283"/>
  </cols>
  <sheetData>
    <row r="1" spans="1:29" ht="23.45" hidden="1" customHeight="1">
      <c r="B1" s="1706" t="s">
        <v>374</v>
      </c>
      <c r="C1" s="1706"/>
      <c r="D1" s="1706"/>
      <c r="E1" s="1706"/>
      <c r="F1" s="1706"/>
      <c r="G1" s="1706"/>
      <c r="H1" s="1706"/>
      <c r="I1" s="1706"/>
      <c r="J1" s="1706"/>
      <c r="K1" s="1706"/>
      <c r="L1" s="1706"/>
      <c r="M1" s="1706"/>
      <c r="N1" s="1710"/>
    </row>
    <row r="2" spans="1:29" ht="18.75" hidden="1">
      <c r="B2" s="284"/>
      <c r="C2" s="493"/>
      <c r="D2" s="493"/>
      <c r="E2" s="493"/>
      <c r="F2" s="493"/>
      <c r="G2" s="493"/>
      <c r="H2" s="493"/>
      <c r="I2" s="493"/>
      <c r="J2" s="493"/>
      <c r="K2" s="493"/>
      <c r="L2" s="493"/>
      <c r="M2" s="493"/>
      <c r="N2" s="1117"/>
    </row>
    <row r="3" spans="1:29" ht="35.450000000000003" customHeight="1">
      <c r="B3" s="1704" t="s">
        <v>853</v>
      </c>
      <c r="C3" s="1704"/>
      <c r="D3" s="1704"/>
      <c r="E3" s="1704"/>
      <c r="F3" s="1704"/>
      <c r="G3" s="1704"/>
      <c r="H3" s="1704"/>
      <c r="I3" s="1704"/>
      <c r="J3" s="1704"/>
      <c r="K3" s="1704"/>
      <c r="L3" s="1704"/>
      <c r="M3" s="1704"/>
      <c r="N3" s="1704"/>
      <c r="Q3" s="1709" t="s">
        <v>58</v>
      </c>
      <c r="R3" s="1709"/>
      <c r="S3" s="1709"/>
      <c r="T3" s="1709"/>
      <c r="U3" s="1709"/>
      <c r="V3" s="1709"/>
      <c r="W3" s="1709"/>
      <c r="X3" s="1709"/>
      <c r="Y3" s="1709"/>
      <c r="Z3" s="1709"/>
      <c r="AA3" s="1709"/>
      <c r="AB3" s="1709"/>
      <c r="AC3" s="1709"/>
    </row>
    <row r="4" spans="1:29" ht="32.25" customHeight="1" thickBot="1">
      <c r="B4" s="1711"/>
      <c r="C4" s="1711"/>
      <c r="D4" s="1711"/>
      <c r="E4" s="1711"/>
      <c r="F4" s="1711"/>
      <c r="G4" s="1711"/>
      <c r="H4" s="1711"/>
      <c r="I4" s="1711"/>
      <c r="J4" s="1711"/>
      <c r="K4" s="1711"/>
      <c r="L4" s="1711"/>
      <c r="M4" s="1711"/>
      <c r="N4" s="1711"/>
    </row>
    <row r="5" spans="1:29" s="1125" customFormat="1" ht="52.9" customHeight="1" thickBot="1">
      <c r="B5" s="1126"/>
      <c r="C5" s="1127" t="s">
        <v>978</v>
      </c>
      <c r="D5" s="1127"/>
      <c r="E5" s="1128" t="s">
        <v>982</v>
      </c>
      <c r="F5" s="1127"/>
      <c r="G5" s="1128" t="s">
        <v>980</v>
      </c>
      <c r="H5" s="1128" t="s">
        <v>407</v>
      </c>
      <c r="I5" s="1127"/>
      <c r="J5" s="1128" t="s">
        <v>593</v>
      </c>
      <c r="K5" s="1127"/>
      <c r="L5" s="1141" t="s">
        <v>989</v>
      </c>
      <c r="M5" s="1127"/>
      <c r="N5" s="1129" t="s">
        <v>985</v>
      </c>
    </row>
    <row r="6" spans="1:29">
      <c r="B6" s="288"/>
      <c r="C6" s="495"/>
      <c r="D6" s="495"/>
      <c r="E6" s="496"/>
      <c r="F6" s="496"/>
      <c r="G6" s="495"/>
      <c r="H6" s="495"/>
      <c r="I6" s="496"/>
      <c r="J6" s="495"/>
      <c r="K6" s="496"/>
      <c r="L6" s="497"/>
      <c r="M6" s="496"/>
    </row>
    <row r="7" spans="1:29" ht="15.75">
      <c r="B7" s="299" t="s">
        <v>2</v>
      </c>
      <c r="C7" s="498"/>
      <c r="D7" s="498"/>
      <c r="E7" s="499"/>
      <c r="F7" s="499"/>
      <c r="G7" s="499"/>
      <c r="H7" s="500"/>
      <c r="I7" s="499"/>
      <c r="J7" s="500"/>
      <c r="K7" s="499"/>
      <c r="L7" s="501"/>
      <c r="M7" s="499"/>
      <c r="N7" s="1119"/>
    </row>
    <row r="8" spans="1:29" ht="15.75">
      <c r="A8" s="321" t="s">
        <v>336</v>
      </c>
      <c r="B8" s="298" t="s">
        <v>6</v>
      </c>
      <c r="C8" s="1268">
        <v>17319434.84</v>
      </c>
      <c r="D8" s="1243"/>
      <c r="E8" s="1268">
        <v>18543600</v>
      </c>
      <c r="F8" s="1268"/>
      <c r="G8" s="1268">
        <v>17507951</v>
      </c>
      <c r="H8" s="1268">
        <v>11682837</v>
      </c>
      <c r="I8" s="1268"/>
      <c r="J8" s="1268">
        <v>16039800</v>
      </c>
      <c r="K8" s="1268"/>
      <c r="L8" s="1268">
        <v>17101447</v>
      </c>
      <c r="M8" s="1268"/>
      <c r="N8" s="1268">
        <v>-1442153</v>
      </c>
      <c r="O8" s="336" t="s">
        <v>801</v>
      </c>
      <c r="P8" s="333">
        <v>269000</v>
      </c>
      <c r="Q8" s="966">
        <v>1.4999999999999999E-2</v>
      </c>
    </row>
    <row r="9" spans="1:29" ht="15.75">
      <c r="A9" s="321" t="s">
        <v>338</v>
      </c>
      <c r="B9" s="305" t="s">
        <v>8</v>
      </c>
      <c r="C9" s="514">
        <v>981645.92</v>
      </c>
      <c r="D9" s="514"/>
      <c r="E9" s="514">
        <v>60000</v>
      </c>
      <c r="F9" s="514"/>
      <c r="G9" s="514">
        <v>323479</v>
      </c>
      <c r="H9" s="515">
        <v>11682837</v>
      </c>
      <c r="I9" s="514"/>
      <c r="J9" s="515">
        <v>251113</v>
      </c>
      <c r="K9" s="514"/>
      <c r="L9" s="514">
        <v>251113</v>
      </c>
      <c r="M9" s="514"/>
      <c r="N9" s="527">
        <v>191113</v>
      </c>
      <c r="O9" s="336" t="s">
        <v>14</v>
      </c>
      <c r="P9" s="333">
        <v>17912232</v>
      </c>
      <c r="Q9" s="966">
        <v>0.98199999999999998</v>
      </c>
    </row>
    <row r="10" spans="1:29" ht="15.75">
      <c r="B10" s="298" t="s">
        <v>319</v>
      </c>
      <c r="C10" s="514">
        <v>953833.12999999698</v>
      </c>
      <c r="D10" s="514"/>
      <c r="E10" s="514">
        <v>1275038.7600000016</v>
      </c>
      <c r="F10" s="515"/>
      <c r="G10" s="518">
        <v>0</v>
      </c>
      <c r="H10" s="515">
        <v>0</v>
      </c>
      <c r="I10" s="515"/>
      <c r="J10" s="515">
        <v>2266280</v>
      </c>
      <c r="K10" s="515"/>
      <c r="L10" s="514">
        <v>878672</v>
      </c>
      <c r="M10" s="515"/>
      <c r="N10" s="528">
        <v>-396366.76000000164</v>
      </c>
      <c r="O10" s="336" t="s">
        <v>15</v>
      </c>
      <c r="P10" s="333">
        <v>50000</v>
      </c>
      <c r="Q10" s="966">
        <v>3.0000000000000001E-3</v>
      </c>
      <c r="S10" s="724"/>
      <c r="T10" s="293"/>
      <c r="U10" s="293"/>
      <c r="V10" s="293"/>
      <c r="W10" s="293"/>
      <c r="X10" s="293"/>
    </row>
    <row r="11" spans="1:29" s="625" customFormat="1" ht="15.75">
      <c r="B11" s="622" t="s">
        <v>9</v>
      </c>
      <c r="C11" s="523">
        <v>19254913.889999997</v>
      </c>
      <c r="D11" s="523"/>
      <c r="E11" s="523">
        <v>19878638.760000002</v>
      </c>
      <c r="F11" s="523"/>
      <c r="G11" s="523">
        <v>17831430</v>
      </c>
      <c r="H11" s="523">
        <v>23365674</v>
      </c>
      <c r="I11" s="523"/>
      <c r="J11" s="523">
        <v>18557193</v>
      </c>
      <c r="K11" s="523"/>
      <c r="L11" s="523">
        <v>18231232</v>
      </c>
      <c r="M11" s="523"/>
      <c r="N11" s="1026">
        <v>-1647406.7600000016</v>
      </c>
      <c r="O11" s="346" t="s">
        <v>23</v>
      </c>
      <c r="P11" s="341">
        <v>0</v>
      </c>
      <c r="Q11" s="966">
        <v>0</v>
      </c>
    </row>
    <row r="12" spans="1:29" s="293" customFormat="1" ht="16.5" thickBot="1">
      <c r="B12" s="310"/>
      <c r="C12" s="524"/>
      <c r="D12" s="524"/>
      <c r="E12" s="515"/>
      <c r="F12" s="515"/>
      <c r="G12" s="515"/>
      <c r="H12" s="515"/>
      <c r="I12" s="515"/>
      <c r="J12" s="515"/>
      <c r="K12" s="515"/>
      <c r="L12" s="515"/>
      <c r="M12" s="515"/>
      <c r="N12" s="528"/>
      <c r="O12" s="350" t="s">
        <v>25</v>
      </c>
      <c r="P12" s="340">
        <v>18231232</v>
      </c>
      <c r="Q12" s="668">
        <v>1</v>
      </c>
    </row>
    <row r="13" spans="1:29" s="293" customFormat="1" ht="16.5" thickTop="1">
      <c r="B13" s="313" t="s">
        <v>320</v>
      </c>
      <c r="C13" s="623"/>
      <c r="D13" s="623"/>
      <c r="E13" s="515"/>
      <c r="F13" s="515"/>
      <c r="G13" s="515"/>
      <c r="H13" s="515"/>
      <c r="I13" s="515"/>
      <c r="J13" s="515"/>
      <c r="K13" s="515"/>
      <c r="L13" s="515"/>
      <c r="M13" s="515"/>
      <c r="N13" s="528"/>
      <c r="O13" s="346"/>
      <c r="P13" s="341"/>
      <c r="Q13" s="608"/>
      <c r="R13" s="344"/>
    </row>
    <row r="14" spans="1:29" s="293" customFormat="1" ht="15.75">
      <c r="B14" s="311" t="s">
        <v>327</v>
      </c>
      <c r="C14" s="1035">
        <v>-437912</v>
      </c>
      <c r="D14" s="514"/>
      <c r="E14" s="1035">
        <v>-1712950.7600000016</v>
      </c>
      <c r="F14" s="515"/>
      <c r="G14" s="1035">
        <v>-437912</v>
      </c>
      <c r="H14" s="515">
        <v>-437912</v>
      </c>
      <c r="I14" s="515"/>
      <c r="J14" s="515">
        <v>-2704192</v>
      </c>
      <c r="K14" s="515"/>
      <c r="L14" s="1035">
        <v>-328449</v>
      </c>
      <c r="M14" s="515"/>
      <c r="N14" s="528">
        <v>1384501.7600000016</v>
      </c>
      <c r="O14" s="341" t="s">
        <v>6</v>
      </c>
      <c r="P14" s="341">
        <v>17101447</v>
      </c>
      <c r="Q14" s="966">
        <v>0.93799999999999994</v>
      </c>
      <c r="R14" s="344"/>
      <c r="S14" s="724"/>
    </row>
    <row r="15" spans="1:29" s="293" customFormat="1" ht="15.75">
      <c r="B15" s="622" t="s">
        <v>20</v>
      </c>
      <c r="C15" s="1030">
        <v>-437912</v>
      </c>
      <c r="D15" s="523"/>
      <c r="E15" s="1030">
        <v>-1712950.7600000016</v>
      </c>
      <c r="F15" s="523"/>
      <c r="G15" s="1030">
        <v>-437912</v>
      </c>
      <c r="H15" s="523">
        <v>-437912</v>
      </c>
      <c r="I15" s="523"/>
      <c r="J15" s="523">
        <v>-2704192</v>
      </c>
      <c r="K15" s="523"/>
      <c r="L15" s="1030">
        <v>-328449</v>
      </c>
      <c r="M15" s="523"/>
      <c r="N15" s="1026">
        <v>1384501.7600000016</v>
      </c>
      <c r="O15" s="341" t="s">
        <v>8</v>
      </c>
      <c r="P15" s="341">
        <v>251113</v>
      </c>
      <c r="Q15" s="966">
        <v>1.4E-2</v>
      </c>
      <c r="R15" s="344"/>
    </row>
    <row r="16" spans="1:29" s="293" customFormat="1" ht="16.149999999999999" customHeight="1">
      <c r="B16" s="1465"/>
      <c r="C16" s="1466"/>
      <c r="D16" s="1467"/>
      <c r="E16" s="1466"/>
      <c r="F16" s="1467"/>
      <c r="G16" s="1466"/>
      <c r="H16" s="1467"/>
      <c r="I16" s="1467"/>
      <c r="J16" s="1467"/>
      <c r="K16" s="1467"/>
      <c r="L16" s="1466"/>
      <c r="M16" s="1467"/>
      <c r="N16" s="1468"/>
      <c r="O16" s="341" t="s">
        <v>319</v>
      </c>
      <c r="P16" s="341">
        <v>878672</v>
      </c>
      <c r="Q16" s="966">
        <v>4.8000000000000001E-2</v>
      </c>
      <c r="R16" s="344"/>
    </row>
    <row r="17" spans="1:19" s="293" customFormat="1" ht="15.75">
      <c r="B17" s="1419" t="s">
        <v>984</v>
      </c>
      <c r="C17" s="1026">
        <v>0</v>
      </c>
      <c r="D17" s="1467"/>
      <c r="E17" s="1026">
        <v>2104890</v>
      </c>
      <c r="F17" s="1467"/>
      <c r="G17" s="1522">
        <v>0</v>
      </c>
      <c r="H17" s="1467"/>
      <c r="I17" s="1467"/>
      <c r="J17" s="1467"/>
      <c r="K17" s="1467"/>
      <c r="L17" s="1026">
        <v>328449</v>
      </c>
      <c r="M17" s="1467"/>
      <c r="N17" s="1026">
        <v>-1776441</v>
      </c>
      <c r="O17" s="341" t="s">
        <v>19</v>
      </c>
      <c r="P17" s="341">
        <v>-328449</v>
      </c>
      <c r="Q17" s="966">
        <v>-1.7999999999999999E-2</v>
      </c>
    </row>
    <row r="18" spans="1:19" s="293" customFormat="1" ht="16.149999999999999" customHeight="1">
      <c r="B18" s="1465"/>
      <c r="C18" s="1466"/>
      <c r="D18" s="1467"/>
      <c r="E18" s="1466"/>
      <c r="F18" s="1467"/>
      <c r="G18" s="1466"/>
      <c r="H18" s="1467"/>
      <c r="I18" s="1467"/>
      <c r="J18" s="1467"/>
      <c r="K18" s="1467"/>
      <c r="L18" s="1466"/>
      <c r="M18" s="1467"/>
      <c r="N18" s="1468"/>
      <c r="O18" s="293" t="s">
        <v>984</v>
      </c>
      <c r="P18" s="653">
        <v>328449</v>
      </c>
      <c r="Q18" s="966">
        <v>1.7999999999999999E-2</v>
      </c>
    </row>
    <row r="19" spans="1:19" s="293" customFormat="1" ht="16.5" thickBot="1">
      <c r="B19" s="616" t="s">
        <v>21</v>
      </c>
      <c r="C19" s="617">
        <v>18817001.889999997</v>
      </c>
      <c r="D19" s="617"/>
      <c r="E19" s="617">
        <v>20270578</v>
      </c>
      <c r="F19" s="617"/>
      <c r="G19" s="617">
        <v>17393518</v>
      </c>
      <c r="H19" s="617">
        <v>22927762</v>
      </c>
      <c r="I19" s="617"/>
      <c r="J19" s="617">
        <v>15853001</v>
      </c>
      <c r="K19" s="617"/>
      <c r="L19" s="617">
        <v>18231232</v>
      </c>
      <c r="M19" s="617"/>
      <c r="N19" s="1028">
        <v>-2039346</v>
      </c>
      <c r="O19" s="340" t="s">
        <v>21</v>
      </c>
      <c r="P19" s="340">
        <v>18231232</v>
      </c>
      <c r="Q19" s="668">
        <v>1</v>
      </c>
    </row>
    <row r="20" spans="1:19" s="293" customFormat="1" ht="16.5" thickTop="1">
      <c r="B20" s="316"/>
      <c r="C20" s="619"/>
      <c r="D20" s="619"/>
      <c r="E20" s="515"/>
      <c r="F20" s="515"/>
      <c r="G20" s="515"/>
      <c r="H20" s="515"/>
      <c r="I20" s="515"/>
      <c r="J20" s="515"/>
      <c r="K20" s="515"/>
      <c r="L20" s="515"/>
      <c r="M20" s="515"/>
      <c r="N20" s="528"/>
    </row>
    <row r="21" spans="1:19" s="293" customFormat="1" ht="16.5" thickBot="1">
      <c r="B21" s="349" t="s">
        <v>10</v>
      </c>
      <c r="C21" s="620"/>
      <c r="D21" s="620"/>
      <c r="E21" s="514"/>
      <c r="F21" s="514"/>
      <c r="G21" s="515"/>
      <c r="H21" s="515"/>
      <c r="I21" s="514"/>
      <c r="J21" s="515"/>
      <c r="K21" s="514"/>
      <c r="L21" s="514"/>
      <c r="M21" s="514"/>
      <c r="N21" s="527"/>
    </row>
    <row r="22" spans="1:19" s="293" customFormat="1" ht="16.5" thickBot="1">
      <c r="A22" s="1529" t="s">
        <v>342</v>
      </c>
      <c r="B22" s="316" t="s">
        <v>801</v>
      </c>
      <c r="C22" s="1239">
        <v>195043.06</v>
      </c>
      <c r="D22" s="1239"/>
      <c r="E22" s="1239">
        <v>143768</v>
      </c>
      <c r="F22" s="1239"/>
      <c r="G22" s="1239">
        <v>164089</v>
      </c>
      <c r="H22" s="528">
        <v>11682837</v>
      </c>
      <c r="I22" s="1239"/>
      <c r="J22" s="528">
        <v>269000</v>
      </c>
      <c r="K22" s="1239"/>
      <c r="L22" s="1239">
        <v>269000</v>
      </c>
      <c r="M22" s="1239"/>
      <c r="N22" s="1239">
        <v>125232</v>
      </c>
      <c r="O22" s="341"/>
      <c r="P22" s="342"/>
      <c r="Q22" s="343"/>
      <c r="R22" s="344"/>
      <c r="S22" s="344"/>
    </row>
    <row r="23" spans="1:19" s="293" customFormat="1" ht="16.5" thickBot="1">
      <c r="A23" s="1529" t="s">
        <v>344</v>
      </c>
      <c r="B23" s="316" t="s">
        <v>14</v>
      </c>
      <c r="C23" s="1239">
        <v>19059870.829999998</v>
      </c>
      <c r="D23" s="1239"/>
      <c r="E23" s="1239">
        <v>19734870.760000002</v>
      </c>
      <c r="F23" s="1239"/>
      <c r="G23" s="1239">
        <v>16679206</v>
      </c>
      <c r="H23" s="528">
        <v>11682837</v>
      </c>
      <c r="I23" s="1239"/>
      <c r="J23" s="528">
        <v>17912232</v>
      </c>
      <c r="K23" s="1239"/>
      <c r="L23" s="1239">
        <v>17912232</v>
      </c>
      <c r="M23" s="1239"/>
      <c r="N23" s="1239">
        <v>-1822638.7600000016</v>
      </c>
      <c r="O23" s="341"/>
      <c r="P23" s="342"/>
      <c r="Q23" s="343"/>
      <c r="R23" s="344"/>
      <c r="S23" s="344"/>
    </row>
    <row r="24" spans="1:19" s="293" customFormat="1" ht="16.5" thickBot="1">
      <c r="A24" s="1519" t="s">
        <v>350</v>
      </c>
      <c r="B24" s="316" t="s">
        <v>15</v>
      </c>
      <c r="C24" s="1239">
        <v>0</v>
      </c>
      <c r="D24" s="1239"/>
      <c r="E24" s="1239">
        <v>0</v>
      </c>
      <c r="F24" s="1239"/>
      <c r="G24" s="1239">
        <v>0</v>
      </c>
      <c r="H24" s="528">
        <v>11682838</v>
      </c>
      <c r="I24" s="1239"/>
      <c r="J24" s="528">
        <v>50000</v>
      </c>
      <c r="K24" s="1239"/>
      <c r="L24" s="1239">
        <v>50000</v>
      </c>
      <c r="M24" s="1239"/>
      <c r="N24" s="1239">
        <v>50000</v>
      </c>
      <c r="O24" s="341"/>
      <c r="P24" s="342"/>
      <c r="Q24" s="343"/>
      <c r="R24" s="344"/>
      <c r="S24" s="344"/>
    </row>
    <row r="25" spans="1:19" s="293" customFormat="1" ht="15.75">
      <c r="B25" s="622" t="s">
        <v>22</v>
      </c>
      <c r="C25" s="523">
        <v>19254913.889999997</v>
      </c>
      <c r="D25" s="523">
        <v>0</v>
      </c>
      <c r="E25" s="523">
        <v>19878638.760000002</v>
      </c>
      <c r="F25" s="523">
        <v>0</v>
      </c>
      <c r="G25" s="523">
        <v>16843295</v>
      </c>
      <c r="H25" s="523">
        <v>35048512</v>
      </c>
      <c r="I25" s="523">
        <v>0</v>
      </c>
      <c r="J25" s="523">
        <v>18231232</v>
      </c>
      <c r="K25" s="523">
        <v>0</v>
      </c>
      <c r="L25" s="523">
        <v>18231232</v>
      </c>
      <c r="M25" s="523">
        <v>0</v>
      </c>
      <c r="N25" s="1026">
        <v>-1647406.7600000016</v>
      </c>
      <c r="O25" s="344"/>
      <c r="P25" s="538"/>
      <c r="Q25" s="344"/>
      <c r="R25" s="344"/>
      <c r="S25" s="344"/>
    </row>
    <row r="26" spans="1:19" s="293" customFormat="1" ht="16.149999999999999" customHeight="1">
      <c r="B26" s="311"/>
      <c r="C26" s="525"/>
      <c r="D26" s="525"/>
      <c r="E26" s="515"/>
      <c r="F26" s="515"/>
      <c r="G26" s="515"/>
      <c r="H26" s="515"/>
      <c r="I26" s="515"/>
      <c r="J26" s="515"/>
      <c r="K26" s="515"/>
      <c r="L26" s="515"/>
      <c r="M26" s="515"/>
      <c r="N26" s="528"/>
      <c r="O26" s="344"/>
      <c r="P26" s="538"/>
      <c r="Q26" s="344"/>
      <c r="R26" s="344"/>
      <c r="S26" s="724"/>
    </row>
    <row r="27" spans="1:19" s="625" customFormat="1" ht="15.75">
      <c r="B27" s="313" t="s">
        <v>321</v>
      </c>
      <c r="C27" s="623"/>
      <c r="D27" s="623"/>
      <c r="E27" s="525"/>
      <c r="F27" s="525"/>
      <c r="G27" s="525"/>
      <c r="H27" s="525"/>
      <c r="I27" s="525"/>
      <c r="J27" s="525"/>
      <c r="K27" s="525"/>
      <c r="L27" s="525"/>
      <c r="M27" s="525"/>
      <c r="N27" s="527"/>
      <c r="O27" s="344"/>
      <c r="P27" s="344"/>
      <c r="Q27" s="344"/>
    </row>
    <row r="28" spans="1:19" s="293" customFormat="1" ht="15.75" hidden="1">
      <c r="B28" s="316" t="s">
        <v>322</v>
      </c>
      <c r="C28" s="528">
        <v>0</v>
      </c>
      <c r="D28" s="522"/>
      <c r="E28" s="522">
        <v>0</v>
      </c>
      <c r="F28" s="522"/>
      <c r="G28" s="522">
        <v>0</v>
      </c>
      <c r="H28" s="522">
        <v>0</v>
      </c>
      <c r="I28" s="522"/>
      <c r="J28" s="522">
        <v>0</v>
      </c>
      <c r="K28" s="522"/>
      <c r="L28" s="522">
        <v>0</v>
      </c>
      <c r="M28" s="522"/>
      <c r="N28" s="528">
        <v>0</v>
      </c>
      <c r="O28" s="625"/>
      <c r="P28" s="625"/>
      <c r="Q28" s="625"/>
    </row>
    <row r="29" spans="1:19" s="293" customFormat="1" ht="15.75">
      <c r="B29" s="316" t="s">
        <v>31</v>
      </c>
      <c r="C29" s="1036">
        <v>-437912</v>
      </c>
      <c r="D29" s="515"/>
      <c r="E29" s="1036">
        <v>391939.23999999836</v>
      </c>
      <c r="F29" s="526"/>
      <c r="G29" s="1029">
        <v>550223</v>
      </c>
      <c r="H29" s="515">
        <v>1018973</v>
      </c>
      <c r="I29" s="515"/>
      <c r="J29" s="515">
        <v>2979515</v>
      </c>
      <c r="K29" s="515"/>
      <c r="L29" s="1289">
        <v>0</v>
      </c>
      <c r="M29" s="515"/>
      <c r="N29" s="528">
        <v>-391939.23999999836</v>
      </c>
    </row>
    <row r="30" spans="1:19" s="293" customFormat="1" ht="15.75">
      <c r="B30" s="1246" t="s">
        <v>323</v>
      </c>
      <c r="C30" s="1033">
        <v>-437912</v>
      </c>
      <c r="D30" s="523"/>
      <c r="E30" s="1031">
        <v>391939.23999999836</v>
      </c>
      <c r="F30" s="530"/>
      <c r="G30" s="779">
        <v>550223</v>
      </c>
      <c r="H30" s="523">
        <v>1018973</v>
      </c>
      <c r="I30" s="523"/>
      <c r="J30" s="523">
        <v>2979515</v>
      </c>
      <c r="K30" s="523"/>
      <c r="L30" s="1024">
        <v>0</v>
      </c>
      <c r="M30" s="523"/>
      <c r="N30" s="1026">
        <v>-391939.23999999836</v>
      </c>
    </row>
    <row r="31" spans="1:19" s="293" customFormat="1" ht="16.5" thickBot="1">
      <c r="B31" s="616" t="s">
        <v>25</v>
      </c>
      <c r="C31" s="1269">
        <v>18817001.889999997</v>
      </c>
      <c r="D31" s="627"/>
      <c r="E31" s="1267">
        <v>20270578</v>
      </c>
      <c r="F31" s="1269"/>
      <c r="G31" s="1267">
        <v>17393518</v>
      </c>
      <c r="H31" s="1267">
        <v>36067485</v>
      </c>
      <c r="I31" s="1269"/>
      <c r="J31" s="627">
        <v>21210747</v>
      </c>
      <c r="K31" s="627"/>
      <c r="L31" s="1269">
        <v>18231232</v>
      </c>
      <c r="M31" s="1267"/>
      <c r="N31" s="1269">
        <v>-2039346</v>
      </c>
    </row>
    <row r="32" spans="1:19" s="293" customFormat="1" ht="16.5" thickTop="1">
      <c r="B32" s="313"/>
      <c r="C32" s="524"/>
      <c r="D32" s="524"/>
      <c r="E32" s="529"/>
      <c r="F32" s="529"/>
      <c r="G32" s="529"/>
      <c r="H32" s="529"/>
      <c r="I32" s="529"/>
      <c r="J32" s="529"/>
      <c r="K32" s="529"/>
      <c r="L32" s="529"/>
      <c r="M32" s="529"/>
      <c r="N32" s="1120"/>
    </row>
    <row r="33" spans="2:20" s="293" customFormat="1" ht="15.75">
      <c r="B33" s="313"/>
      <c r="C33" s="524"/>
      <c r="D33" s="524"/>
      <c r="E33" s="529"/>
      <c r="F33" s="529"/>
      <c r="G33" s="529"/>
      <c r="H33" s="529"/>
      <c r="I33" s="529"/>
      <c r="J33" s="529"/>
      <c r="K33" s="529"/>
      <c r="L33" s="529"/>
      <c r="M33" s="529"/>
      <c r="N33" s="1120"/>
    </row>
    <row r="34" spans="2:20" s="293" customFormat="1" ht="15.75">
      <c r="B34" s="313"/>
      <c r="C34" s="524"/>
      <c r="D34" s="524"/>
      <c r="E34" s="529"/>
      <c r="F34" s="529"/>
      <c r="G34" s="529"/>
      <c r="H34" s="529"/>
      <c r="I34" s="529"/>
      <c r="J34" s="529"/>
      <c r="K34" s="529"/>
      <c r="L34" s="529"/>
      <c r="M34" s="529"/>
      <c r="N34" s="1120"/>
    </row>
    <row r="35" spans="2:20" s="293" customFormat="1" ht="15.75">
      <c r="B35" s="313"/>
      <c r="C35" s="524"/>
      <c r="D35" s="524"/>
      <c r="E35" s="529"/>
      <c r="F35" s="529"/>
      <c r="G35" s="529"/>
      <c r="H35" s="529"/>
      <c r="I35" s="529"/>
      <c r="J35" s="529"/>
      <c r="K35" s="529"/>
      <c r="L35" s="529"/>
      <c r="M35" s="529"/>
      <c r="N35" s="1120"/>
    </row>
    <row r="36" spans="2:20" s="293" customFormat="1" ht="15.75">
      <c r="B36" s="313"/>
      <c r="C36" s="524"/>
      <c r="D36" s="524"/>
      <c r="E36" s="529"/>
      <c r="F36" s="529"/>
      <c r="G36" s="529"/>
      <c r="H36" s="529"/>
      <c r="I36" s="529"/>
      <c r="J36" s="529"/>
      <c r="K36" s="529"/>
      <c r="L36" s="529"/>
      <c r="M36" s="529"/>
      <c r="N36" s="1120"/>
    </row>
    <row r="37" spans="2:20" s="293" customFormat="1" ht="15.75">
      <c r="B37" s="313"/>
      <c r="C37" s="524"/>
      <c r="D37" s="524"/>
      <c r="E37" s="529"/>
      <c r="F37" s="529"/>
      <c r="G37" s="529"/>
      <c r="H37" s="529"/>
      <c r="I37" s="529"/>
      <c r="J37" s="529"/>
      <c r="K37" s="529"/>
      <c r="L37" s="529"/>
      <c r="M37" s="529"/>
      <c r="N37" s="1120"/>
    </row>
    <row r="38" spans="2:20" s="293" customFormat="1" ht="15.75">
      <c r="B38" s="313"/>
      <c r="C38" s="524"/>
      <c r="D38" s="524"/>
      <c r="E38" s="529"/>
      <c r="F38" s="529"/>
      <c r="G38" s="529"/>
      <c r="H38" s="529"/>
      <c r="I38" s="529"/>
      <c r="J38" s="529"/>
      <c r="K38" s="529"/>
      <c r="L38" s="529"/>
      <c r="M38" s="529"/>
      <c r="N38" s="1120"/>
    </row>
    <row r="39" spans="2:20" s="293" customFormat="1" ht="15.75">
      <c r="B39" s="313"/>
      <c r="C39" s="524"/>
      <c r="D39" s="524"/>
      <c r="E39" s="529"/>
      <c r="F39" s="529"/>
      <c r="G39" s="529"/>
      <c r="H39" s="529"/>
      <c r="I39" s="529"/>
      <c r="J39" s="529"/>
      <c r="K39" s="529"/>
      <c r="L39" s="529"/>
      <c r="M39" s="529"/>
      <c r="N39" s="1120"/>
      <c r="P39" s="344"/>
      <c r="Q39" s="344"/>
      <c r="R39" s="344"/>
      <c r="S39" s="729"/>
      <c r="T39" s="344"/>
    </row>
    <row r="40" spans="2:20" s="293" customFormat="1" ht="15.75">
      <c r="B40" s="313"/>
      <c r="C40" s="502"/>
      <c r="D40" s="502"/>
      <c r="E40" s="506"/>
      <c r="F40" s="506"/>
      <c r="G40" s="506"/>
      <c r="H40" s="506"/>
      <c r="I40" s="506"/>
      <c r="J40" s="506"/>
      <c r="K40" s="506"/>
      <c r="L40" s="506"/>
      <c r="M40" s="506"/>
      <c r="N40" s="1121"/>
      <c r="P40" s="344"/>
      <c r="Q40" s="344"/>
      <c r="R40" s="344"/>
      <c r="S40" s="729"/>
      <c r="T40" s="344"/>
    </row>
    <row r="41" spans="2:20" s="293" customFormat="1" ht="15.75">
      <c r="B41" s="313"/>
      <c r="C41" s="502"/>
      <c r="D41" s="502"/>
      <c r="E41" s="506"/>
      <c r="F41" s="506"/>
      <c r="G41" s="506"/>
      <c r="H41" s="506"/>
      <c r="I41" s="506"/>
      <c r="J41" s="506"/>
      <c r="K41" s="506"/>
      <c r="L41" s="506"/>
      <c r="M41" s="506"/>
      <c r="N41" s="1121"/>
      <c r="P41" s="344"/>
      <c r="Q41" s="344"/>
      <c r="R41" s="344"/>
      <c r="S41" s="729"/>
      <c r="T41" s="344"/>
    </row>
    <row r="42" spans="2:20" s="293" customFormat="1" ht="15.75">
      <c r="B42" s="313"/>
      <c r="C42" s="502"/>
      <c r="D42" s="502"/>
      <c r="E42" s="506"/>
      <c r="F42" s="506"/>
      <c r="G42" s="506"/>
      <c r="H42" s="506"/>
      <c r="I42" s="506"/>
      <c r="J42" s="506"/>
      <c r="K42" s="506"/>
      <c r="L42" s="506"/>
      <c r="M42" s="506"/>
      <c r="N42" s="1121"/>
      <c r="P42" s="344"/>
      <c r="Q42" s="344"/>
      <c r="R42" s="729"/>
      <c r="S42" s="729"/>
      <c r="T42" s="344"/>
    </row>
    <row r="43" spans="2:20" s="293" customFormat="1" ht="15.75">
      <c r="B43" s="313"/>
      <c r="C43" s="502"/>
      <c r="D43" s="502"/>
      <c r="E43" s="506"/>
      <c r="F43" s="506"/>
      <c r="G43" s="506"/>
      <c r="H43" s="506"/>
      <c r="I43" s="506"/>
      <c r="J43" s="506"/>
      <c r="K43" s="506"/>
      <c r="L43" s="506"/>
      <c r="M43" s="506"/>
      <c r="N43" s="1121"/>
      <c r="P43" s="344"/>
      <c r="Q43" s="344"/>
      <c r="R43" s="729"/>
      <c r="S43" s="729"/>
      <c r="T43" s="344"/>
    </row>
    <row r="44" spans="2:20" s="293" customFormat="1" ht="15.75">
      <c r="B44" s="313"/>
      <c r="C44" s="502"/>
      <c r="D44" s="502"/>
      <c r="E44" s="506"/>
      <c r="F44" s="506"/>
      <c r="G44" s="506"/>
      <c r="H44" s="506"/>
      <c r="I44" s="506"/>
      <c r="J44" s="506"/>
      <c r="K44" s="506"/>
      <c r="L44" s="506"/>
      <c r="M44" s="506"/>
      <c r="N44" s="1121"/>
      <c r="P44" s="344"/>
      <c r="Q44" s="344"/>
      <c r="R44" s="729"/>
      <c r="S44" s="729"/>
      <c r="T44" s="344"/>
    </row>
    <row r="45" spans="2:20" s="293" customFormat="1" ht="15.75">
      <c r="B45" s="313"/>
      <c r="C45" s="502"/>
      <c r="D45" s="502"/>
      <c r="E45" s="506"/>
      <c r="F45" s="506"/>
      <c r="G45" s="506"/>
      <c r="H45" s="506"/>
      <c r="I45" s="506"/>
      <c r="J45" s="506"/>
      <c r="K45" s="506"/>
      <c r="L45" s="506"/>
      <c r="M45" s="506"/>
      <c r="N45" s="1121"/>
      <c r="P45" s="344"/>
      <c r="Q45" s="344"/>
      <c r="R45" s="729"/>
      <c r="S45" s="729"/>
      <c r="T45" s="344"/>
    </row>
    <row r="46" spans="2:20" s="293" customFormat="1" ht="15.75">
      <c r="B46" s="313"/>
      <c r="C46" s="502"/>
      <c r="D46" s="502"/>
      <c r="E46" s="506"/>
      <c r="F46" s="506"/>
      <c r="G46" s="506"/>
      <c r="H46" s="506"/>
      <c r="I46" s="506"/>
      <c r="J46" s="506"/>
      <c r="K46" s="506"/>
      <c r="L46" s="506"/>
      <c r="M46" s="506"/>
      <c r="N46" s="1121"/>
      <c r="P46" s="344"/>
      <c r="Q46" s="344"/>
      <c r="R46" s="729"/>
      <c r="S46" s="729"/>
      <c r="T46" s="344"/>
    </row>
    <row r="47" spans="2:20" s="293" customFormat="1" ht="15.75">
      <c r="B47" s="313"/>
      <c r="C47" s="502"/>
      <c r="D47" s="502"/>
      <c r="E47" s="506"/>
      <c r="F47" s="506"/>
      <c r="G47" s="506"/>
      <c r="H47" s="506"/>
      <c r="I47" s="506"/>
      <c r="J47" s="506"/>
      <c r="K47" s="506"/>
      <c r="L47" s="506"/>
      <c r="M47" s="506"/>
      <c r="N47" s="1121"/>
      <c r="P47" s="344"/>
      <c r="Q47" s="344"/>
      <c r="R47" s="344"/>
      <c r="S47" s="344"/>
      <c r="T47" s="344"/>
    </row>
    <row r="48" spans="2:20" s="293" customFormat="1" ht="15.75">
      <c r="B48" s="313"/>
      <c r="C48" s="502"/>
      <c r="D48" s="502"/>
      <c r="E48" s="506"/>
      <c r="F48" s="506"/>
      <c r="G48" s="506"/>
      <c r="H48" s="506"/>
      <c r="I48" s="506"/>
      <c r="J48" s="506"/>
      <c r="K48" s="506"/>
      <c r="L48" s="506"/>
      <c r="M48" s="506"/>
      <c r="N48" s="1121"/>
      <c r="P48" s="344"/>
      <c r="Q48" s="344"/>
      <c r="R48" s="344"/>
      <c r="S48" s="344"/>
      <c r="T48" s="344"/>
    </row>
    <row r="49" spans="2:20" s="293" customFormat="1" ht="15.75">
      <c r="B49" s="313"/>
      <c r="C49" s="502"/>
      <c r="D49" s="502"/>
      <c r="E49" s="506"/>
      <c r="F49" s="506"/>
      <c r="G49" s="506"/>
      <c r="H49" s="506"/>
      <c r="I49" s="506"/>
      <c r="J49" s="506"/>
      <c r="K49" s="506"/>
      <c r="L49" s="506"/>
      <c r="M49" s="506"/>
      <c r="N49" s="1121"/>
      <c r="P49" s="344"/>
      <c r="Q49" s="1760"/>
      <c r="R49" s="1760"/>
      <c r="S49" s="344"/>
      <c r="T49" s="344"/>
    </row>
    <row r="50" spans="2:20" s="293" customFormat="1" ht="15.75">
      <c r="B50" s="313"/>
      <c r="C50" s="502"/>
      <c r="D50" s="502"/>
      <c r="E50" s="506"/>
      <c r="F50" s="506"/>
      <c r="G50" s="506"/>
      <c r="H50" s="506"/>
      <c r="I50" s="506"/>
      <c r="J50" s="506"/>
      <c r="K50" s="506"/>
      <c r="L50" s="506"/>
      <c r="M50" s="506"/>
      <c r="N50" s="1121"/>
      <c r="P50" s="344"/>
      <c r="Q50" s="344"/>
      <c r="R50" s="344"/>
      <c r="S50" s="344"/>
      <c r="T50" s="344"/>
    </row>
    <row r="51" spans="2:20" s="293" customFormat="1" ht="15.75">
      <c r="B51" s="313"/>
      <c r="C51" s="502"/>
      <c r="D51" s="502"/>
      <c r="E51" s="506"/>
      <c r="F51" s="506"/>
      <c r="G51" s="506"/>
      <c r="H51" s="506"/>
      <c r="I51" s="506"/>
      <c r="J51" s="506"/>
      <c r="K51" s="506"/>
      <c r="L51" s="506"/>
      <c r="M51" s="506"/>
      <c r="N51" s="1121"/>
      <c r="P51" s="344"/>
      <c r="Q51" s="344"/>
      <c r="R51" s="344"/>
      <c r="S51" s="344"/>
      <c r="T51" s="344"/>
    </row>
    <row r="52" spans="2:20" s="293" customFormat="1" ht="15.75">
      <c r="B52" s="313"/>
      <c r="C52" s="502"/>
      <c r="D52" s="502"/>
      <c r="E52" s="506"/>
      <c r="F52" s="506"/>
      <c r="G52" s="506"/>
      <c r="H52" s="506"/>
      <c r="I52" s="506"/>
      <c r="J52" s="506"/>
      <c r="K52" s="506"/>
      <c r="L52" s="506"/>
      <c r="M52" s="506"/>
      <c r="N52" s="1121"/>
    </row>
    <row r="53" spans="2:20" s="293" customFormat="1" ht="15.75">
      <c r="B53" s="313"/>
      <c r="C53" s="502"/>
      <c r="D53" s="502"/>
      <c r="E53" s="506"/>
      <c r="F53" s="506"/>
      <c r="G53" s="506"/>
      <c r="H53" s="506"/>
      <c r="I53" s="506"/>
      <c r="J53" s="506"/>
      <c r="K53" s="506"/>
      <c r="L53" s="506"/>
      <c r="M53" s="506"/>
      <c r="N53" s="1121"/>
    </row>
    <row r="54" spans="2:20" s="293" customFormat="1" ht="15.75">
      <c r="B54" s="313"/>
      <c r="C54" s="502"/>
      <c r="D54" s="502"/>
      <c r="E54" s="506"/>
      <c r="F54" s="506"/>
      <c r="G54" s="506"/>
      <c r="H54" s="506"/>
      <c r="I54" s="506"/>
      <c r="J54" s="506"/>
      <c r="K54" s="506"/>
      <c r="L54" s="506"/>
      <c r="M54" s="506"/>
      <c r="N54" s="1121"/>
    </row>
    <row r="55" spans="2:20" s="293" customFormat="1" ht="15.75">
      <c r="B55" s="313"/>
      <c r="C55" s="502"/>
      <c r="D55" s="502"/>
      <c r="E55" s="506"/>
      <c r="F55" s="506"/>
      <c r="G55" s="506"/>
      <c r="H55" s="506"/>
      <c r="I55" s="506"/>
      <c r="J55" s="506"/>
      <c r="K55" s="506"/>
      <c r="L55" s="506"/>
      <c r="M55" s="506"/>
      <c r="N55" s="1121"/>
    </row>
    <row r="56" spans="2:20" s="293" customFormat="1" ht="15.75">
      <c r="B56" s="313"/>
      <c r="C56" s="502"/>
      <c r="D56" s="502"/>
      <c r="E56" s="506"/>
      <c r="F56" s="506"/>
      <c r="G56" s="506"/>
      <c r="H56" s="506"/>
      <c r="I56" s="506"/>
      <c r="J56" s="506"/>
      <c r="K56" s="506"/>
      <c r="L56" s="506"/>
      <c r="M56" s="506"/>
      <c r="N56" s="1121"/>
    </row>
    <row r="57" spans="2:20" s="293" customFormat="1" ht="15.75">
      <c r="B57" s="313"/>
      <c r="C57" s="502"/>
      <c r="D57" s="502"/>
      <c r="E57" s="506"/>
      <c r="F57" s="506"/>
      <c r="G57" s="506"/>
      <c r="H57" s="506"/>
      <c r="I57" s="506"/>
      <c r="J57" s="506"/>
      <c r="K57" s="506"/>
      <c r="L57" s="506"/>
      <c r="M57" s="506"/>
      <c r="N57" s="1121"/>
    </row>
    <row r="58" spans="2:20" s="293" customFormat="1" ht="15.75">
      <c r="B58" s="313"/>
      <c r="C58" s="502"/>
      <c r="D58" s="502"/>
      <c r="E58" s="506"/>
      <c r="F58" s="506"/>
      <c r="G58" s="506"/>
      <c r="H58" s="506"/>
      <c r="I58" s="506"/>
      <c r="J58" s="506"/>
      <c r="K58" s="506"/>
      <c r="L58" s="506"/>
      <c r="M58" s="506"/>
      <c r="N58" s="1121"/>
    </row>
    <row r="59" spans="2:20" s="293" customFormat="1" ht="15.75">
      <c r="B59" s="313"/>
      <c r="C59" s="502"/>
      <c r="D59" s="502"/>
      <c r="E59" s="506"/>
      <c r="F59" s="506"/>
      <c r="G59" s="506"/>
      <c r="H59" s="506"/>
      <c r="I59" s="506"/>
      <c r="J59" s="506"/>
      <c r="K59" s="506"/>
      <c r="L59" s="506"/>
      <c r="M59" s="506"/>
      <c r="N59" s="1121"/>
    </row>
    <row r="60" spans="2:20" s="344" customFormat="1" ht="15.75">
      <c r="B60" s="313"/>
      <c r="C60" s="502"/>
      <c r="D60" s="502"/>
      <c r="E60" s="506"/>
      <c r="F60" s="506"/>
      <c r="G60" s="506"/>
      <c r="H60" s="506"/>
      <c r="I60" s="506"/>
      <c r="J60" s="506"/>
      <c r="K60" s="506"/>
      <c r="L60" s="506"/>
      <c r="M60" s="506"/>
      <c r="N60" s="1121"/>
      <c r="O60" s="293"/>
      <c r="P60" s="293"/>
      <c r="Q60" s="293"/>
    </row>
    <row r="61" spans="2:20" s="293" customFormat="1" ht="15.75">
      <c r="B61" s="313"/>
      <c r="C61" s="502"/>
      <c r="D61" s="502"/>
      <c r="E61" s="506"/>
      <c r="F61" s="506"/>
      <c r="G61" s="506"/>
      <c r="H61" s="506"/>
      <c r="I61" s="506"/>
      <c r="J61" s="506"/>
      <c r="K61" s="506"/>
      <c r="L61" s="506"/>
      <c r="M61" s="506"/>
      <c r="N61" s="1121"/>
    </row>
    <row r="62" spans="2:20" s="293" customFormat="1" ht="15.75">
      <c r="B62" s="313"/>
      <c r="C62" s="502"/>
      <c r="D62" s="502"/>
      <c r="E62" s="506"/>
      <c r="F62" s="506"/>
      <c r="G62" s="506"/>
      <c r="H62" s="506"/>
      <c r="I62" s="506"/>
      <c r="J62" s="506"/>
      <c r="K62" s="506"/>
      <c r="L62" s="506"/>
      <c r="M62" s="506"/>
      <c r="N62" s="1121"/>
      <c r="O62" s="344"/>
      <c r="P62" s="344"/>
      <c r="Q62" s="344"/>
    </row>
    <row r="63" spans="2:20" s="293" customFormat="1" ht="15.75">
      <c r="B63" s="313"/>
      <c r="C63" s="502"/>
      <c r="D63" s="502"/>
      <c r="E63" s="506"/>
      <c r="F63" s="506"/>
      <c r="G63" s="506"/>
      <c r="H63" s="506"/>
      <c r="I63" s="506"/>
      <c r="J63" s="506"/>
      <c r="K63" s="506"/>
      <c r="L63" s="506"/>
      <c r="M63" s="506"/>
      <c r="N63" s="1121"/>
    </row>
    <row r="64" spans="2:20" s="293" customFormat="1" ht="15.75">
      <c r="B64" s="313"/>
      <c r="C64" s="502"/>
      <c r="D64" s="502"/>
      <c r="E64" s="506"/>
      <c r="F64" s="506"/>
      <c r="G64" s="506"/>
      <c r="H64" s="506"/>
      <c r="I64" s="506"/>
      <c r="J64" s="506"/>
      <c r="K64" s="506"/>
      <c r="L64" s="506"/>
      <c r="M64" s="506"/>
      <c r="N64" s="1121"/>
    </row>
    <row r="65" spans="2:17" s="293" customFormat="1" ht="15.75">
      <c r="B65" s="313"/>
      <c r="C65" s="502"/>
      <c r="D65" s="502"/>
      <c r="E65" s="506"/>
      <c r="F65" s="506"/>
      <c r="G65" s="506"/>
      <c r="H65" s="506"/>
      <c r="I65" s="506"/>
      <c r="J65" s="506"/>
      <c r="K65" s="506"/>
      <c r="L65" s="506"/>
      <c r="M65" s="506"/>
      <c r="N65" s="1121"/>
    </row>
    <row r="66" spans="2:17" ht="15.75">
      <c r="B66" s="313"/>
      <c r="C66" s="502"/>
      <c r="D66" s="502"/>
      <c r="E66" s="506"/>
      <c r="F66" s="506"/>
      <c r="G66" s="506"/>
      <c r="H66" s="506"/>
      <c r="I66" s="506"/>
      <c r="J66" s="506"/>
      <c r="K66" s="506"/>
      <c r="L66" s="506"/>
      <c r="M66" s="506"/>
      <c r="N66" s="1121"/>
      <c r="O66" s="293"/>
      <c r="P66" s="293"/>
      <c r="Q66" s="293"/>
    </row>
    <row r="67" spans="2:17" ht="15.75">
      <c r="B67" s="313"/>
      <c r="C67" s="502"/>
      <c r="D67" s="502"/>
      <c r="E67" s="506"/>
      <c r="F67" s="506"/>
      <c r="G67" s="506"/>
      <c r="H67" s="506"/>
      <c r="I67" s="506"/>
      <c r="J67" s="506"/>
      <c r="K67" s="506"/>
      <c r="L67" s="506"/>
      <c r="M67" s="506"/>
      <c r="N67" s="1121"/>
    </row>
    <row r="68" spans="2:17" ht="15.75">
      <c r="B68" s="313"/>
      <c r="C68" s="502"/>
      <c r="D68" s="502"/>
      <c r="E68" s="506"/>
      <c r="F68" s="506"/>
      <c r="G68" s="506"/>
      <c r="H68" s="506"/>
      <c r="I68" s="506"/>
      <c r="J68" s="506"/>
      <c r="K68" s="506"/>
      <c r="L68" s="506"/>
      <c r="M68" s="506"/>
      <c r="N68" s="1121"/>
    </row>
    <row r="69" spans="2:17" ht="15.75">
      <c r="B69" s="313"/>
      <c r="C69" s="507"/>
      <c r="D69" s="507"/>
      <c r="E69" s="507"/>
      <c r="F69" s="507"/>
      <c r="G69" s="507"/>
      <c r="H69" s="507"/>
      <c r="I69" s="507"/>
      <c r="J69" s="507"/>
      <c r="K69" s="507"/>
      <c r="L69" s="507"/>
      <c r="M69" s="507"/>
      <c r="N69" s="1122"/>
    </row>
    <row r="70" spans="2:17" ht="15.75">
      <c r="B70" s="313"/>
      <c r="C70" s="508"/>
      <c r="D70" s="508"/>
      <c r="E70" s="508"/>
      <c r="F70" s="508"/>
      <c r="G70" s="508"/>
      <c r="H70" s="508"/>
      <c r="I70" s="508"/>
      <c r="J70" s="508"/>
      <c r="K70" s="508"/>
      <c r="L70" s="508"/>
      <c r="M70" s="508"/>
      <c r="N70" s="1122"/>
    </row>
    <row r="71" spans="2:17" ht="15.75">
      <c r="B71" s="298"/>
      <c r="C71" s="977"/>
      <c r="D71" s="977"/>
      <c r="E71" s="977"/>
      <c r="F71" s="977"/>
      <c r="G71" s="977"/>
      <c r="H71" s="977"/>
      <c r="I71" s="977"/>
      <c r="J71" s="977"/>
      <c r="K71" s="977"/>
      <c r="L71" s="977"/>
      <c r="M71" s="977"/>
      <c r="N71" s="1119"/>
    </row>
    <row r="72" spans="2:17" ht="15.75">
      <c r="B72" s="298"/>
      <c r="C72" s="504"/>
      <c r="D72" s="504"/>
      <c r="E72" s="504"/>
      <c r="F72" s="504"/>
      <c r="G72" s="504"/>
      <c r="H72" s="504"/>
      <c r="I72" s="504"/>
      <c r="J72" s="504"/>
      <c r="K72" s="504"/>
      <c r="L72" s="505"/>
      <c r="M72" s="504"/>
      <c r="N72" s="1119"/>
    </row>
    <row r="73" spans="2:17" ht="15.75">
      <c r="B73" s="298"/>
      <c r="C73" s="504"/>
      <c r="D73" s="504"/>
      <c r="E73" s="504"/>
      <c r="F73" s="504"/>
      <c r="G73" s="504"/>
      <c r="H73" s="504"/>
      <c r="I73" s="504"/>
      <c r="J73" s="504"/>
      <c r="K73" s="504"/>
      <c r="L73" s="505"/>
      <c r="M73" s="504"/>
      <c r="N73" s="1119"/>
    </row>
    <row r="74" spans="2:17" ht="15.75">
      <c r="B74" s="299"/>
      <c r="C74" s="498"/>
      <c r="D74" s="498"/>
      <c r="E74" s="504"/>
      <c r="F74" s="504"/>
      <c r="G74" s="504"/>
      <c r="H74" s="504"/>
      <c r="I74" s="504"/>
      <c r="J74" s="504"/>
      <c r="K74" s="504"/>
      <c r="L74" s="505"/>
      <c r="M74" s="504"/>
      <c r="N74" s="1119"/>
    </row>
    <row r="75" spans="2:17" ht="15.75">
      <c r="B75" s="298"/>
      <c r="C75" s="504"/>
      <c r="D75" s="504"/>
      <c r="E75" s="504"/>
      <c r="F75" s="504"/>
      <c r="G75" s="504"/>
      <c r="H75" s="504"/>
      <c r="I75" s="504"/>
      <c r="J75" s="504"/>
      <c r="K75" s="504"/>
      <c r="L75" s="505"/>
      <c r="M75" s="504"/>
      <c r="N75" s="1119"/>
    </row>
    <row r="76" spans="2:17" ht="15.75">
      <c r="B76" s="298"/>
      <c r="C76" s="504"/>
      <c r="D76" s="504"/>
      <c r="E76" s="504"/>
      <c r="F76" s="504"/>
      <c r="G76" s="504"/>
      <c r="H76" s="504"/>
      <c r="I76" s="504"/>
      <c r="J76" s="504"/>
      <c r="K76" s="504"/>
      <c r="L76" s="505"/>
      <c r="M76" s="504"/>
      <c r="N76" s="1119"/>
    </row>
    <row r="77" spans="2:17" ht="15.75">
      <c r="B77" s="298"/>
      <c r="C77" s="504"/>
      <c r="D77" s="504"/>
      <c r="E77" s="504"/>
      <c r="F77" s="504"/>
      <c r="G77" s="504"/>
      <c r="H77" s="504"/>
      <c r="I77" s="504"/>
      <c r="J77" s="504"/>
      <c r="K77" s="504"/>
      <c r="L77" s="505"/>
      <c r="M77" s="504"/>
      <c r="N77" s="1119"/>
    </row>
    <row r="78" spans="2:17" ht="15.75">
      <c r="B78" s="298"/>
      <c r="C78" s="504"/>
      <c r="D78" s="504"/>
      <c r="E78" s="504"/>
      <c r="F78" s="504"/>
      <c r="G78" s="504"/>
      <c r="H78" s="504"/>
      <c r="I78" s="504"/>
      <c r="J78" s="504"/>
      <c r="K78" s="504"/>
      <c r="L78" s="505"/>
      <c r="M78" s="504"/>
      <c r="N78" s="1119"/>
    </row>
    <row r="79" spans="2:17" ht="15.75">
      <c r="B79" s="298"/>
      <c r="C79" s="504"/>
      <c r="D79" s="504"/>
      <c r="E79" s="504"/>
      <c r="F79" s="504"/>
      <c r="G79" s="504"/>
      <c r="H79" s="504"/>
      <c r="I79" s="504"/>
      <c r="J79" s="504"/>
      <c r="K79" s="504"/>
      <c r="L79" s="505"/>
      <c r="M79" s="504"/>
      <c r="N79" s="1119"/>
    </row>
    <row r="80" spans="2:17" ht="15.75">
      <c r="B80" s="298"/>
      <c r="C80" s="504"/>
      <c r="D80" s="504"/>
      <c r="E80" s="504"/>
      <c r="F80" s="504"/>
      <c r="G80" s="504"/>
      <c r="H80" s="504"/>
      <c r="I80" s="504"/>
      <c r="J80" s="504"/>
      <c r="K80" s="504"/>
      <c r="L80" s="505"/>
      <c r="M80" s="504"/>
      <c r="N80" s="1119"/>
    </row>
    <row r="81" spans="2:14" ht="15.75">
      <c r="B81" s="298"/>
      <c r="C81" s="504"/>
      <c r="D81" s="504"/>
      <c r="E81" s="504"/>
      <c r="F81" s="504"/>
      <c r="G81" s="504"/>
      <c r="H81" s="504"/>
      <c r="I81" s="504"/>
      <c r="J81" s="504"/>
      <c r="K81" s="504"/>
      <c r="L81" s="505"/>
      <c r="M81" s="504"/>
      <c r="N81" s="1119"/>
    </row>
    <row r="82" spans="2:14" ht="15.75">
      <c r="B82" s="298"/>
      <c r="C82" s="504"/>
      <c r="D82" s="504"/>
      <c r="E82" s="504"/>
      <c r="F82" s="504"/>
      <c r="G82" s="504"/>
      <c r="H82" s="504"/>
      <c r="I82" s="504"/>
      <c r="J82" s="504"/>
      <c r="K82" s="504"/>
      <c r="L82" s="505"/>
      <c r="M82" s="504"/>
      <c r="N82" s="1119"/>
    </row>
    <row r="83" spans="2:14" ht="15.75">
      <c r="B83" s="298"/>
      <c r="C83" s="504"/>
      <c r="D83" s="504"/>
      <c r="E83" s="504"/>
      <c r="F83" s="504"/>
      <c r="G83" s="504"/>
      <c r="H83" s="504"/>
      <c r="I83" s="504"/>
      <c r="J83" s="504"/>
      <c r="K83" s="504"/>
      <c r="L83" s="505"/>
      <c r="M83" s="504"/>
      <c r="N83" s="1119"/>
    </row>
    <row r="84" spans="2:14" ht="15.75">
      <c r="B84" s="298"/>
      <c r="C84" s="504"/>
      <c r="D84" s="504"/>
      <c r="E84" s="504"/>
      <c r="F84" s="504"/>
      <c r="G84" s="504"/>
      <c r="H84" s="504"/>
      <c r="I84" s="504"/>
      <c r="J84" s="504"/>
      <c r="K84" s="504"/>
      <c r="L84" s="505"/>
      <c r="M84" s="504"/>
      <c r="N84" s="1119"/>
    </row>
    <row r="85" spans="2:14" ht="15.75">
      <c r="B85" s="298"/>
      <c r="C85" s="504"/>
      <c r="D85" s="504"/>
      <c r="E85" s="504"/>
      <c r="F85" s="504"/>
      <c r="G85" s="504"/>
      <c r="H85" s="504"/>
      <c r="I85" s="504"/>
      <c r="J85" s="504"/>
      <c r="K85" s="504"/>
      <c r="L85" s="505"/>
      <c r="M85" s="504"/>
      <c r="N85" s="1119"/>
    </row>
    <row r="86" spans="2:14" ht="15.75">
      <c r="B86" s="298"/>
      <c r="C86" s="504"/>
      <c r="D86" s="504"/>
      <c r="E86" s="504"/>
      <c r="F86" s="504"/>
      <c r="G86" s="504"/>
      <c r="H86" s="504"/>
      <c r="I86" s="504"/>
      <c r="J86" s="504"/>
      <c r="K86" s="504"/>
      <c r="L86" s="505"/>
      <c r="M86" s="504"/>
      <c r="N86" s="1119"/>
    </row>
    <row r="87" spans="2:14" ht="15.75">
      <c r="B87" s="298"/>
      <c r="C87" s="504"/>
      <c r="D87" s="504"/>
      <c r="E87" s="504"/>
      <c r="F87" s="504"/>
      <c r="G87" s="504"/>
      <c r="H87" s="504"/>
      <c r="I87" s="504"/>
      <c r="J87" s="504"/>
      <c r="K87" s="504"/>
      <c r="L87" s="505"/>
      <c r="M87" s="504"/>
      <c r="N87" s="1119"/>
    </row>
    <row r="88" spans="2:14" ht="15.75">
      <c r="B88" s="298"/>
      <c r="C88" s="504"/>
      <c r="D88" s="504"/>
      <c r="E88" s="504"/>
      <c r="F88" s="504"/>
      <c r="G88" s="504"/>
      <c r="H88" s="504"/>
      <c r="I88" s="504"/>
      <c r="J88" s="504"/>
      <c r="K88" s="504"/>
      <c r="L88" s="505"/>
      <c r="M88" s="504"/>
      <c r="N88" s="1119"/>
    </row>
    <row r="89" spans="2:14" ht="15.75">
      <c r="B89" s="298"/>
      <c r="C89" s="504"/>
      <c r="D89" s="504"/>
      <c r="E89" s="504"/>
      <c r="F89" s="504"/>
      <c r="G89" s="504"/>
      <c r="H89" s="504"/>
      <c r="I89" s="504"/>
      <c r="J89" s="504"/>
      <c r="K89" s="504"/>
      <c r="L89" s="505"/>
      <c r="M89" s="504"/>
      <c r="N89" s="1119"/>
    </row>
    <row r="90" spans="2:14" ht="15.75">
      <c r="B90" s="298"/>
      <c r="C90" s="504"/>
      <c r="D90" s="504"/>
      <c r="E90" s="504"/>
      <c r="F90" s="504"/>
      <c r="G90" s="504"/>
      <c r="H90" s="504"/>
      <c r="I90" s="504"/>
      <c r="J90" s="504"/>
      <c r="K90" s="504"/>
      <c r="L90" s="505"/>
      <c r="M90" s="504"/>
      <c r="N90" s="1119"/>
    </row>
    <row r="91" spans="2:14" ht="15.75">
      <c r="B91" s="298"/>
      <c r="C91" s="504"/>
      <c r="D91" s="504"/>
      <c r="E91" s="504"/>
      <c r="F91" s="504"/>
      <c r="G91" s="504"/>
      <c r="H91" s="504"/>
      <c r="I91" s="504"/>
      <c r="J91" s="504"/>
      <c r="K91" s="504"/>
      <c r="L91" s="505"/>
      <c r="M91" s="504"/>
      <c r="N91" s="1119"/>
    </row>
    <row r="92" spans="2:14" ht="15.75">
      <c r="B92" s="298"/>
      <c r="C92" s="504"/>
      <c r="D92" s="504"/>
      <c r="E92" s="504"/>
      <c r="F92" s="504"/>
      <c r="G92" s="504"/>
      <c r="H92" s="504"/>
      <c r="I92" s="504"/>
      <c r="J92" s="504"/>
      <c r="K92" s="504"/>
      <c r="L92" s="505"/>
      <c r="M92" s="504"/>
      <c r="N92" s="1119"/>
    </row>
    <row r="93" spans="2:14" ht="15.75">
      <c r="B93" s="298"/>
      <c r="C93" s="504"/>
      <c r="D93" s="504"/>
      <c r="E93" s="504"/>
      <c r="F93" s="504"/>
      <c r="G93" s="504"/>
      <c r="H93" s="504"/>
      <c r="I93" s="504"/>
      <c r="J93" s="504"/>
      <c r="K93" s="504"/>
      <c r="L93" s="505"/>
      <c r="M93" s="504"/>
      <c r="N93" s="1119"/>
    </row>
    <row r="94" spans="2:14" ht="15.75">
      <c r="B94" s="298"/>
      <c r="C94" s="504"/>
      <c r="D94" s="504"/>
      <c r="E94" s="504"/>
      <c r="F94" s="504"/>
      <c r="G94" s="504"/>
      <c r="H94" s="504"/>
      <c r="I94" s="504"/>
      <c r="J94" s="504"/>
      <c r="K94" s="504"/>
      <c r="L94" s="505"/>
      <c r="M94" s="504"/>
      <c r="N94" s="1119"/>
    </row>
    <row r="95" spans="2:14" ht="15.75">
      <c r="B95" s="298"/>
      <c r="C95" s="504"/>
      <c r="D95" s="504"/>
      <c r="E95" s="504"/>
      <c r="F95" s="504"/>
      <c r="G95" s="504"/>
      <c r="H95" s="504"/>
      <c r="I95" s="504"/>
      <c r="J95" s="504"/>
      <c r="K95" s="504"/>
      <c r="L95" s="505"/>
      <c r="M95" s="504"/>
      <c r="N95" s="1119"/>
    </row>
    <row r="96" spans="2:14" ht="15.75">
      <c r="B96" s="298"/>
      <c r="C96" s="504"/>
      <c r="D96" s="504"/>
      <c r="E96" s="504"/>
      <c r="F96" s="504"/>
      <c r="G96" s="504"/>
      <c r="H96" s="504"/>
      <c r="I96" s="504"/>
      <c r="J96" s="504"/>
      <c r="K96" s="504"/>
      <c r="L96" s="505"/>
      <c r="M96" s="504"/>
      <c r="N96" s="1119"/>
    </row>
    <row r="97" spans="2:14" ht="15.75">
      <c r="B97" s="298"/>
      <c r="C97" s="504"/>
      <c r="D97" s="504"/>
      <c r="E97" s="504"/>
      <c r="F97" s="504"/>
      <c r="G97" s="504"/>
      <c r="H97" s="504"/>
      <c r="I97" s="504"/>
      <c r="J97" s="504"/>
      <c r="K97" s="504"/>
      <c r="L97" s="505"/>
      <c r="M97" s="504"/>
      <c r="N97" s="1119"/>
    </row>
    <row r="98" spans="2:14" ht="15.75">
      <c r="B98" s="298"/>
      <c r="C98" s="504"/>
      <c r="D98" s="504"/>
      <c r="E98" s="504"/>
      <c r="F98" s="504"/>
      <c r="G98" s="504"/>
      <c r="H98" s="504"/>
      <c r="I98" s="504"/>
      <c r="J98" s="504"/>
      <c r="K98" s="504"/>
      <c r="L98" s="505"/>
      <c r="M98" s="504"/>
      <c r="N98" s="1119"/>
    </row>
    <row r="99" spans="2:14" ht="15.75">
      <c r="B99" s="298"/>
      <c r="C99" s="504"/>
      <c r="D99" s="504"/>
      <c r="E99" s="504"/>
      <c r="F99" s="504"/>
      <c r="G99" s="504"/>
      <c r="H99" s="504"/>
      <c r="I99" s="504"/>
      <c r="J99" s="504"/>
      <c r="K99" s="504"/>
      <c r="L99" s="505"/>
      <c r="M99" s="504"/>
      <c r="N99" s="1119"/>
    </row>
    <row r="100" spans="2:14" ht="15.75">
      <c r="B100" s="298"/>
      <c r="C100" s="504"/>
      <c r="D100" s="504"/>
      <c r="E100" s="504"/>
      <c r="F100" s="504"/>
      <c r="G100" s="504"/>
      <c r="H100" s="504"/>
      <c r="I100" s="504"/>
      <c r="J100" s="504"/>
      <c r="K100" s="504"/>
      <c r="L100" s="505"/>
      <c r="M100" s="504"/>
      <c r="N100" s="1119"/>
    </row>
    <row r="101" spans="2:14" ht="15.75">
      <c r="B101" s="298"/>
      <c r="C101" s="504"/>
      <c r="D101" s="504"/>
      <c r="E101" s="504"/>
      <c r="F101" s="504"/>
      <c r="G101" s="504"/>
      <c r="H101" s="504"/>
      <c r="I101" s="504"/>
      <c r="J101" s="504"/>
      <c r="K101" s="504"/>
      <c r="L101" s="505"/>
      <c r="M101" s="504"/>
      <c r="N101" s="1119"/>
    </row>
    <row r="102" spans="2:14" ht="15.75">
      <c r="B102" s="298"/>
      <c r="C102" s="504"/>
      <c r="D102" s="504"/>
      <c r="E102" s="504"/>
      <c r="F102" s="504"/>
      <c r="G102" s="504"/>
      <c r="H102" s="504"/>
      <c r="I102" s="504"/>
      <c r="J102" s="504"/>
      <c r="K102" s="504"/>
      <c r="L102" s="505"/>
      <c r="M102" s="504"/>
      <c r="N102" s="1119"/>
    </row>
    <row r="103" spans="2:14" ht="15.75">
      <c r="B103" s="298"/>
      <c r="C103" s="504"/>
      <c r="D103" s="504"/>
      <c r="E103" s="504"/>
      <c r="F103" s="504"/>
      <c r="G103" s="504"/>
      <c r="H103" s="504"/>
      <c r="I103" s="504"/>
      <c r="J103" s="504"/>
      <c r="K103" s="504"/>
      <c r="L103" s="505"/>
      <c r="M103" s="504"/>
      <c r="N103" s="1119"/>
    </row>
    <row r="104" spans="2:14" ht="15.75">
      <c r="B104" s="298"/>
      <c r="C104" s="504"/>
      <c r="D104" s="504"/>
      <c r="E104" s="504"/>
      <c r="F104" s="504"/>
      <c r="G104" s="504"/>
      <c r="H104" s="504"/>
      <c r="I104" s="504"/>
      <c r="J104" s="504"/>
      <c r="K104" s="504"/>
      <c r="L104" s="505"/>
      <c r="M104" s="504"/>
      <c r="N104" s="1119"/>
    </row>
    <row r="105" spans="2:14" ht="15.75">
      <c r="B105" s="298"/>
      <c r="C105" s="504"/>
      <c r="D105" s="504"/>
      <c r="E105" s="504"/>
      <c r="F105" s="504"/>
      <c r="G105" s="504"/>
      <c r="H105" s="504"/>
      <c r="I105" s="504"/>
      <c r="J105" s="504"/>
      <c r="K105" s="504"/>
      <c r="L105" s="505"/>
      <c r="M105" s="504"/>
      <c r="N105" s="1119"/>
    </row>
    <row r="106" spans="2:14" ht="15.75">
      <c r="B106" s="298"/>
      <c r="C106" s="504"/>
      <c r="D106" s="504"/>
      <c r="E106" s="504"/>
      <c r="F106" s="504"/>
      <c r="G106" s="504"/>
      <c r="H106" s="504"/>
      <c r="I106" s="504"/>
      <c r="J106" s="504"/>
      <c r="K106" s="504"/>
      <c r="L106" s="505"/>
      <c r="M106" s="504"/>
      <c r="N106" s="1119"/>
    </row>
    <row r="107" spans="2:14" ht="15.75">
      <c r="B107" s="298"/>
      <c r="C107" s="504"/>
      <c r="D107" s="504"/>
      <c r="E107" s="504"/>
      <c r="F107" s="504"/>
      <c r="G107" s="504"/>
      <c r="H107" s="504"/>
      <c r="I107" s="504"/>
      <c r="J107" s="504"/>
      <c r="K107" s="504"/>
      <c r="L107" s="505"/>
      <c r="M107" s="504"/>
      <c r="N107" s="1119"/>
    </row>
    <row r="108" spans="2:14" ht="15.75">
      <c r="B108" s="298"/>
      <c r="C108" s="504"/>
      <c r="D108" s="504"/>
      <c r="E108" s="504"/>
      <c r="F108" s="504"/>
      <c r="G108" s="504"/>
      <c r="H108" s="504"/>
      <c r="I108" s="504"/>
      <c r="J108" s="504"/>
      <c r="K108" s="504"/>
      <c r="L108" s="505"/>
      <c r="M108" s="504"/>
      <c r="N108" s="1119"/>
    </row>
    <row r="109" spans="2:14" ht="15.75">
      <c r="B109" s="298"/>
      <c r="C109" s="504"/>
      <c r="D109" s="504"/>
      <c r="E109" s="504"/>
      <c r="F109" s="504"/>
      <c r="G109" s="504"/>
      <c r="H109" s="504"/>
      <c r="I109" s="504"/>
      <c r="J109" s="504"/>
      <c r="K109" s="504"/>
      <c r="L109" s="505"/>
      <c r="M109" s="504"/>
      <c r="N109" s="1119"/>
    </row>
    <row r="110" spans="2:14" ht="15.75">
      <c r="B110" s="298"/>
      <c r="C110" s="504"/>
      <c r="D110" s="504"/>
      <c r="E110" s="504"/>
      <c r="F110" s="504"/>
      <c r="G110" s="504"/>
      <c r="H110" s="504"/>
      <c r="I110" s="504"/>
      <c r="J110" s="504"/>
      <c r="K110" s="504"/>
      <c r="L110" s="505"/>
      <c r="M110" s="504"/>
      <c r="N110" s="1119"/>
    </row>
    <row r="111" spans="2:14" ht="15.75">
      <c r="B111" s="298"/>
      <c r="C111" s="504"/>
      <c r="D111" s="504"/>
      <c r="E111" s="504"/>
      <c r="F111" s="504"/>
      <c r="G111" s="504"/>
      <c r="H111" s="504"/>
      <c r="I111" s="504"/>
      <c r="J111" s="504"/>
      <c r="K111" s="504"/>
      <c r="L111" s="505"/>
      <c r="M111" s="504"/>
      <c r="N111" s="1119"/>
    </row>
    <row r="112" spans="2:14" ht="15.75">
      <c r="B112" s="298"/>
      <c r="C112" s="504"/>
      <c r="D112" s="504"/>
      <c r="E112" s="504"/>
      <c r="F112" s="504"/>
      <c r="G112" s="504"/>
      <c r="H112" s="504"/>
      <c r="I112" s="504"/>
      <c r="J112" s="504"/>
      <c r="K112" s="504"/>
      <c r="L112" s="505"/>
      <c r="M112" s="504"/>
      <c r="N112" s="1119"/>
    </row>
    <row r="113" spans="2:14" ht="15.75">
      <c r="B113" s="298"/>
      <c r="C113" s="504"/>
      <c r="D113" s="504"/>
      <c r="E113" s="504"/>
      <c r="F113" s="504"/>
      <c r="G113" s="504"/>
      <c r="H113" s="504"/>
      <c r="I113" s="504"/>
      <c r="J113" s="504"/>
      <c r="K113" s="504"/>
      <c r="L113" s="505"/>
      <c r="M113" s="504"/>
      <c r="N113" s="1119"/>
    </row>
    <row r="114" spans="2:14" ht="15.75">
      <c r="B114" s="298"/>
      <c r="C114" s="504"/>
      <c r="D114" s="504"/>
      <c r="E114" s="504"/>
      <c r="F114" s="504"/>
      <c r="G114" s="504"/>
      <c r="H114" s="504"/>
      <c r="I114" s="504"/>
      <c r="J114" s="504"/>
      <c r="K114" s="504"/>
      <c r="L114" s="505"/>
      <c r="M114" s="504"/>
      <c r="N114" s="1119"/>
    </row>
    <row r="115" spans="2:14" ht="15.75">
      <c r="B115" s="298"/>
      <c r="C115" s="504"/>
      <c r="D115" s="504"/>
      <c r="E115" s="504"/>
      <c r="F115" s="504"/>
      <c r="G115" s="504"/>
      <c r="H115" s="504"/>
      <c r="I115" s="504"/>
      <c r="J115" s="504"/>
      <c r="K115" s="504"/>
      <c r="L115" s="505"/>
      <c r="M115" s="504"/>
      <c r="N115" s="1119"/>
    </row>
    <row r="116" spans="2:14" ht="15.75">
      <c r="B116" s="298"/>
      <c r="C116" s="504"/>
      <c r="D116" s="504"/>
      <c r="E116" s="504"/>
      <c r="F116" s="504"/>
      <c r="G116" s="504"/>
      <c r="H116" s="504"/>
      <c r="I116" s="504"/>
      <c r="J116" s="504"/>
      <c r="K116" s="504"/>
      <c r="L116" s="505"/>
      <c r="M116" s="504"/>
      <c r="N116" s="1119"/>
    </row>
    <row r="117" spans="2:14" ht="15.75">
      <c r="B117" s="298"/>
      <c r="C117" s="504"/>
      <c r="D117" s="504"/>
      <c r="E117" s="504"/>
      <c r="F117" s="504"/>
      <c r="G117" s="504"/>
      <c r="H117" s="504"/>
      <c r="I117" s="504"/>
      <c r="J117" s="504"/>
      <c r="K117" s="504"/>
      <c r="L117" s="505"/>
      <c r="M117" s="504"/>
      <c r="N117" s="1119"/>
    </row>
    <row r="118" spans="2:14" ht="15.75">
      <c r="B118" s="298"/>
      <c r="C118" s="504"/>
      <c r="D118" s="504"/>
      <c r="E118" s="504"/>
      <c r="F118" s="504"/>
      <c r="G118" s="504"/>
      <c r="H118" s="504"/>
      <c r="I118" s="504"/>
      <c r="J118" s="504"/>
      <c r="K118" s="504"/>
      <c r="L118" s="505"/>
      <c r="M118" s="504"/>
      <c r="N118" s="1119"/>
    </row>
    <row r="119" spans="2:14" ht="15.75">
      <c r="B119" s="298"/>
      <c r="C119" s="504"/>
      <c r="D119" s="504"/>
      <c r="E119" s="504"/>
      <c r="F119" s="504"/>
      <c r="G119" s="504"/>
      <c r="H119" s="504"/>
      <c r="I119" s="504"/>
      <c r="J119" s="504"/>
      <c r="K119" s="504"/>
      <c r="L119" s="505"/>
      <c r="M119" s="504"/>
      <c r="N119" s="1119"/>
    </row>
    <row r="120" spans="2:14" ht="15.75">
      <c r="B120" s="298"/>
      <c r="C120" s="504"/>
      <c r="D120" s="504"/>
      <c r="E120" s="504"/>
      <c r="F120" s="504"/>
      <c r="G120" s="504"/>
      <c r="H120" s="504"/>
      <c r="I120" s="504"/>
      <c r="J120" s="504"/>
      <c r="K120" s="504"/>
      <c r="L120" s="505"/>
      <c r="M120" s="504"/>
      <c r="N120" s="1119"/>
    </row>
    <row r="121" spans="2:14" ht="15.75">
      <c r="B121" s="298"/>
      <c r="C121" s="504"/>
      <c r="D121" s="504"/>
      <c r="E121" s="504"/>
      <c r="F121" s="504"/>
      <c r="G121" s="504"/>
      <c r="H121" s="504"/>
      <c r="I121" s="504"/>
      <c r="J121" s="504"/>
      <c r="K121" s="504"/>
      <c r="L121" s="505"/>
      <c r="M121" s="504"/>
      <c r="N121" s="1119"/>
    </row>
    <row r="122" spans="2:14" ht="15.75">
      <c r="B122" s="298"/>
      <c r="C122" s="504"/>
      <c r="D122" s="504"/>
      <c r="E122" s="504"/>
      <c r="F122" s="504"/>
      <c r="G122" s="504"/>
      <c r="H122" s="504"/>
      <c r="I122" s="504"/>
      <c r="J122" s="504"/>
      <c r="K122" s="504"/>
      <c r="L122" s="505"/>
      <c r="M122" s="504"/>
      <c r="N122" s="1119"/>
    </row>
    <row r="123" spans="2:14" ht="15.75">
      <c r="B123" s="298"/>
      <c r="C123" s="504"/>
      <c r="D123" s="504"/>
      <c r="E123" s="504"/>
      <c r="F123" s="504"/>
      <c r="G123" s="504"/>
      <c r="H123" s="504"/>
      <c r="I123" s="504"/>
      <c r="J123" s="504"/>
      <c r="K123" s="504"/>
      <c r="L123" s="505"/>
      <c r="M123" s="504"/>
      <c r="N123" s="1119"/>
    </row>
    <row r="124" spans="2:14" ht="15.75">
      <c r="B124" s="298"/>
      <c r="C124" s="504"/>
      <c r="D124" s="504"/>
      <c r="E124" s="504"/>
      <c r="F124" s="504"/>
      <c r="G124" s="504"/>
      <c r="H124" s="504"/>
      <c r="I124" s="504"/>
      <c r="J124" s="504"/>
      <c r="K124" s="504"/>
      <c r="L124" s="505"/>
      <c r="M124" s="504"/>
      <c r="N124" s="1119"/>
    </row>
    <row r="125" spans="2:14" ht="15.75">
      <c r="B125" s="298"/>
      <c r="C125" s="504"/>
      <c r="D125" s="504"/>
      <c r="E125" s="504"/>
      <c r="F125" s="504"/>
      <c r="G125" s="504"/>
      <c r="H125" s="504"/>
      <c r="I125" s="504"/>
      <c r="J125" s="504"/>
      <c r="K125" s="504"/>
      <c r="L125" s="505"/>
      <c r="M125" s="504"/>
      <c r="N125" s="1119"/>
    </row>
  </sheetData>
  <mergeCells count="4">
    <mergeCell ref="B1:N1"/>
    <mergeCell ref="B4:N4"/>
    <mergeCell ref="B3:N3"/>
    <mergeCell ref="Q3:AC3"/>
  </mergeCells>
  <printOptions horizontalCentered="1"/>
  <pageMargins left="0.5" right="0.5" top="0.5" bottom="0.5" header="0.5" footer="0.5"/>
  <pageSetup scale="74"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AC121"/>
  <sheetViews>
    <sheetView showGridLines="0" showRuler="0" topLeftCell="B3" zoomScaleNormal="100" zoomScaleSheetLayoutView="130" workbookViewId="0">
      <selection activeCell="B63" sqref="A63:XFD70"/>
    </sheetView>
  </sheetViews>
  <sheetFormatPr defaultColWidth="6.85546875" defaultRowHeight="12.75"/>
  <cols>
    <col min="1" max="1" width="17.42578125" style="283" hidden="1" customWidth="1"/>
    <col min="2" max="2" width="36.5703125" style="283" customWidth="1"/>
    <col min="3" max="3" width="15.7109375" style="283" customWidth="1"/>
    <col min="4" max="4" width="18.7109375" style="283" hidden="1" customWidth="1"/>
    <col min="5" max="5" width="3" style="283" hidden="1" customWidth="1"/>
    <col min="6" max="6" width="15.7109375" style="283" customWidth="1"/>
    <col min="7" max="7" width="17.28515625" style="283" hidden="1" customWidth="1"/>
    <col min="8" max="8" width="3" style="283" hidden="1" customWidth="1"/>
    <col min="9" max="9" width="15.7109375" style="283" customWidth="1"/>
    <col min="10" max="10" width="20.5703125" style="283" hidden="1" customWidth="1"/>
    <col min="11" max="11" width="3" style="283" hidden="1" customWidth="1"/>
    <col min="12" max="12" width="15.7109375" style="293" customWidth="1"/>
    <col min="13" max="13" width="3" style="283" hidden="1" customWidth="1"/>
    <col min="14" max="14" width="15.7109375" style="293" customWidth="1"/>
    <col min="15" max="15" width="21.140625" style="283" bestFit="1" customWidth="1"/>
    <col min="16" max="16" width="10.42578125" style="283" bestFit="1" customWidth="1"/>
    <col min="17" max="17" width="7.5703125" style="283" bestFit="1" customWidth="1"/>
    <col min="18" max="18" width="6.85546875" style="283"/>
    <col min="19" max="19" width="11" style="722" bestFit="1" customWidth="1"/>
    <col min="20" max="22" width="6.85546875" style="283"/>
    <col min="23" max="23" width="11.5703125" style="283" bestFit="1" customWidth="1"/>
    <col min="24" max="16384" width="6.85546875" style="283"/>
  </cols>
  <sheetData>
    <row r="1" spans="1:29" ht="23.45" hidden="1" customHeight="1">
      <c r="B1" s="1706" t="s">
        <v>402</v>
      </c>
      <c r="C1" s="1706"/>
      <c r="D1" s="1706"/>
      <c r="E1" s="1706"/>
      <c r="F1" s="1706"/>
      <c r="G1" s="1706"/>
      <c r="H1" s="1706"/>
      <c r="I1" s="1706"/>
      <c r="J1" s="1706"/>
      <c r="K1" s="1706"/>
      <c r="L1" s="1706"/>
      <c r="M1" s="1706"/>
      <c r="N1" s="1710"/>
    </row>
    <row r="2" spans="1:29" ht="18.75" hidden="1">
      <c r="B2" s="284"/>
      <c r="C2" s="285"/>
      <c r="D2" s="285"/>
      <c r="E2" s="285"/>
      <c r="F2" s="285"/>
      <c r="G2" s="285"/>
      <c r="H2" s="285"/>
      <c r="I2" s="285"/>
      <c r="J2" s="285"/>
      <c r="K2" s="285"/>
      <c r="L2" s="285"/>
      <c r="M2" s="285"/>
      <c r="N2" s="285"/>
    </row>
    <row r="3" spans="1:29" ht="35.450000000000003" customHeight="1">
      <c r="B3" s="1713" t="s">
        <v>1005</v>
      </c>
      <c r="C3" s="1713"/>
      <c r="D3" s="1713"/>
      <c r="E3" s="1713"/>
      <c r="F3" s="1713"/>
      <c r="G3" s="1713"/>
      <c r="H3" s="1713"/>
      <c r="I3" s="1713"/>
      <c r="J3" s="1713"/>
      <c r="K3" s="1713"/>
      <c r="L3" s="1713"/>
      <c r="M3" s="1713"/>
      <c r="N3" s="1713"/>
      <c r="Q3" s="1709"/>
      <c r="R3" s="1709"/>
      <c r="S3" s="1709"/>
      <c r="T3" s="1709"/>
      <c r="U3" s="1709"/>
      <c r="V3" s="1709"/>
      <c r="W3" s="1709"/>
      <c r="X3" s="1709"/>
      <c r="Y3" s="1709"/>
      <c r="Z3" s="1709"/>
      <c r="AA3" s="1709"/>
      <c r="AB3" s="1709"/>
      <c r="AC3" s="1709"/>
    </row>
    <row r="4" spans="1:29" ht="32.25" customHeight="1" thickBot="1">
      <c r="B4" s="1711"/>
      <c r="C4" s="1711"/>
      <c r="D4" s="1711"/>
      <c r="E4" s="1711"/>
      <c r="F4" s="1711"/>
      <c r="G4" s="1711"/>
      <c r="H4" s="1711"/>
      <c r="I4" s="1711"/>
      <c r="J4" s="1711"/>
      <c r="K4" s="1711"/>
      <c r="L4" s="1711"/>
      <c r="M4" s="1711"/>
      <c r="N4" s="1711"/>
    </row>
    <row r="5" spans="1:29" s="1125" customFormat="1" ht="52.9" customHeight="1" thickBot="1">
      <c r="B5" s="1126"/>
      <c r="C5" s="1127" t="s">
        <v>981</v>
      </c>
      <c r="D5" s="1136" t="s">
        <v>314</v>
      </c>
      <c r="E5" s="1136"/>
      <c r="F5" s="1128" t="s">
        <v>982</v>
      </c>
      <c r="G5" s="1137" t="s">
        <v>407</v>
      </c>
      <c r="H5" s="1136"/>
      <c r="I5" s="1128" t="s">
        <v>980</v>
      </c>
      <c r="J5" s="1138" t="s">
        <v>1</v>
      </c>
      <c r="K5" s="1136"/>
      <c r="L5" s="1141" t="s">
        <v>989</v>
      </c>
      <c r="M5" s="1136"/>
      <c r="N5" s="1129" t="s">
        <v>985</v>
      </c>
      <c r="S5" s="1131"/>
      <c r="T5" s="1139"/>
    </row>
    <row r="6" spans="1:29">
      <c r="B6" s="288"/>
      <c r="C6" s="288"/>
      <c r="D6" s="289"/>
      <c r="E6" s="289"/>
      <c r="F6" s="288"/>
      <c r="G6" s="288"/>
      <c r="H6" s="289"/>
      <c r="I6" s="288"/>
      <c r="J6" s="290"/>
      <c r="K6" s="289"/>
      <c r="L6" s="291"/>
      <c r="M6" s="289"/>
      <c r="N6" s="291"/>
    </row>
    <row r="7" spans="1:29" ht="15.75">
      <c r="B7" s="299" t="s">
        <v>2</v>
      </c>
      <c r="C7" s="299"/>
      <c r="D7" s="1223"/>
      <c r="E7" s="1223"/>
      <c r="F7" s="1223"/>
      <c r="G7" s="301"/>
      <c r="H7" s="1223"/>
      <c r="I7" s="301"/>
      <c r="J7" s="1223"/>
      <c r="K7" s="1223"/>
      <c r="L7" s="302"/>
      <c r="M7" s="1223"/>
      <c r="N7" s="302"/>
    </row>
    <row r="8" spans="1:29" ht="21">
      <c r="A8" s="321" t="s">
        <v>367</v>
      </c>
      <c r="B8" s="298" t="s">
        <v>568</v>
      </c>
      <c r="C8" s="1268">
        <v>293419</v>
      </c>
      <c r="D8" s="1243" t="e">
        <v>#N/A</v>
      </c>
      <c r="E8" s="1243"/>
      <c r="F8" s="1268">
        <v>0</v>
      </c>
      <c r="G8" s="1268">
        <v>0</v>
      </c>
      <c r="H8" s="1268"/>
      <c r="I8" s="1268">
        <v>614198</v>
      </c>
      <c r="J8" s="1268">
        <v>614198</v>
      </c>
      <c r="K8" s="1268"/>
      <c r="L8" s="1268">
        <v>776453</v>
      </c>
      <c r="M8" s="1268"/>
      <c r="N8" s="1268">
        <v>776453</v>
      </c>
      <c r="O8" s="336" t="s">
        <v>11</v>
      </c>
      <c r="P8" s="333">
        <v>78746</v>
      </c>
      <c r="Q8" s="966">
        <v>9.9000000000000005E-2</v>
      </c>
      <c r="S8" s="723"/>
      <c r="T8" s="293"/>
      <c r="U8" s="293"/>
      <c r="V8" s="293"/>
      <c r="W8" s="293"/>
      <c r="X8" s="293"/>
    </row>
    <row r="9" spans="1:29" ht="15.75">
      <c r="A9" s="321" t="s">
        <v>338</v>
      </c>
      <c r="B9" s="305" t="s">
        <v>8</v>
      </c>
      <c r="C9" s="1240">
        <v>128908</v>
      </c>
      <c r="D9" s="1224" t="e">
        <v>#N/A</v>
      </c>
      <c r="E9" s="1224"/>
      <c r="F9" s="1241">
        <v>0</v>
      </c>
      <c r="G9" s="304">
        <v>1</v>
      </c>
      <c r="H9" s="1224"/>
      <c r="I9" s="1241">
        <v>66701</v>
      </c>
      <c r="J9" s="1242">
        <v>66701</v>
      </c>
      <c r="K9" s="1240"/>
      <c r="L9" s="1240">
        <v>22500</v>
      </c>
      <c r="M9" s="1224"/>
      <c r="N9" s="1160">
        <v>22500</v>
      </c>
      <c r="O9" s="336" t="s">
        <v>12</v>
      </c>
      <c r="P9" s="333">
        <v>0</v>
      </c>
      <c r="Q9" s="966">
        <v>0</v>
      </c>
      <c r="S9" s="723"/>
      <c r="T9" s="293"/>
      <c r="U9" s="293"/>
      <c r="V9" s="293"/>
      <c r="W9" s="293"/>
      <c r="X9" s="293"/>
    </row>
    <row r="10" spans="1:29" ht="15.75">
      <c r="A10" s="331"/>
      <c r="B10" s="305" t="s">
        <v>319</v>
      </c>
      <c r="C10" s="1240">
        <v>0</v>
      </c>
      <c r="D10" s="1240"/>
      <c r="E10" s="1240"/>
      <c r="F10" s="1240">
        <v>0</v>
      </c>
      <c r="G10" s="1241"/>
      <c r="H10" s="1240"/>
      <c r="I10" s="1241">
        <v>0</v>
      </c>
      <c r="J10" s="1242">
        <v>0</v>
      </c>
      <c r="K10" s="1240"/>
      <c r="L10" s="1240">
        <v>0</v>
      </c>
      <c r="M10" s="1224"/>
      <c r="N10" s="517">
        <v>0</v>
      </c>
      <c r="O10" s="336"/>
      <c r="P10" s="333"/>
      <c r="Q10" s="966"/>
      <c r="S10" s="723"/>
      <c r="T10" s="293"/>
      <c r="U10" s="293"/>
      <c r="V10" s="293"/>
      <c r="W10" s="293"/>
      <c r="X10" s="293"/>
    </row>
    <row r="11" spans="1:29" ht="15.75" hidden="1">
      <c r="B11" s="298" t="s">
        <v>319</v>
      </c>
      <c r="C11" s="517">
        <v>0</v>
      </c>
      <c r="D11" s="1243">
        <v>0</v>
      </c>
      <c r="E11" s="1243"/>
      <c r="F11" s="517">
        <v>0</v>
      </c>
      <c r="G11" s="1241">
        <v>0</v>
      </c>
      <c r="H11" s="1243"/>
      <c r="I11" s="1224">
        <v>0</v>
      </c>
      <c r="J11" s="1242"/>
      <c r="K11" s="1243"/>
      <c r="L11" s="1224">
        <v>0</v>
      </c>
      <c r="M11" s="306"/>
      <c r="N11" s="1156">
        <v>0</v>
      </c>
      <c r="S11" s="723"/>
      <c r="T11" s="293"/>
      <c r="U11" s="293"/>
      <c r="V11" s="293"/>
      <c r="W11" s="293"/>
      <c r="X11" s="293"/>
    </row>
    <row r="12" spans="1:29" s="625" customFormat="1" ht="15.75">
      <c r="B12" s="1246" t="s">
        <v>9</v>
      </c>
      <c r="C12" s="1251">
        <v>422327</v>
      </c>
      <c r="D12" s="1225" t="e">
        <v>#N/A</v>
      </c>
      <c r="E12" s="1225"/>
      <c r="F12" s="1244">
        <v>0</v>
      </c>
      <c r="G12" s="1225">
        <v>1</v>
      </c>
      <c r="H12" s="1225"/>
      <c r="I12" s="1225">
        <v>680899</v>
      </c>
      <c r="J12" s="1225">
        <v>680899</v>
      </c>
      <c r="K12" s="1225"/>
      <c r="L12" s="1225">
        <v>798953</v>
      </c>
      <c r="M12" s="1225"/>
      <c r="N12" s="1162">
        <v>798953</v>
      </c>
      <c r="O12" s="336" t="s">
        <v>801</v>
      </c>
      <c r="P12" s="333">
        <v>0</v>
      </c>
      <c r="Q12" s="966">
        <v>0</v>
      </c>
      <c r="S12" s="724"/>
    </row>
    <row r="13" spans="1:29" s="293" customFormat="1" ht="15.75">
      <c r="B13" s="310"/>
      <c r="C13" s="310"/>
      <c r="D13" s="304"/>
      <c r="E13" s="304"/>
      <c r="F13" s="304"/>
      <c r="G13" s="304"/>
      <c r="H13" s="304"/>
      <c r="I13" s="304"/>
      <c r="J13" s="304"/>
      <c r="K13" s="304"/>
      <c r="L13" s="304"/>
      <c r="M13" s="304"/>
      <c r="N13" s="1154"/>
      <c r="O13" s="346" t="s">
        <v>14</v>
      </c>
      <c r="P13" s="341">
        <v>0</v>
      </c>
      <c r="Q13" s="966">
        <v>0</v>
      </c>
      <c r="S13" s="723"/>
    </row>
    <row r="14" spans="1:29" s="293" customFormat="1" ht="15.75">
      <c r="B14" s="313" t="s">
        <v>320</v>
      </c>
      <c r="C14" s="313"/>
      <c r="D14" s="306"/>
      <c r="E14" s="306"/>
      <c r="F14" s="304"/>
      <c r="G14" s="304"/>
      <c r="H14" s="306"/>
      <c r="I14" s="304"/>
      <c r="J14" s="304"/>
      <c r="K14" s="306"/>
      <c r="L14" s="306"/>
      <c r="M14" s="306"/>
      <c r="N14" s="1155"/>
      <c r="O14" s="346" t="s">
        <v>85</v>
      </c>
      <c r="P14" s="341">
        <v>720207</v>
      </c>
      <c r="Q14" s="966">
        <v>0.90100000000000002</v>
      </c>
      <c r="S14" s="723"/>
    </row>
    <row r="15" spans="1:29" s="293" customFormat="1" ht="15.75">
      <c r="B15" s="311" t="s">
        <v>327</v>
      </c>
      <c r="C15" s="517">
        <v>0</v>
      </c>
      <c r="D15" s="1243">
        <v>0</v>
      </c>
      <c r="E15" s="1243"/>
      <c r="F15" s="1240">
        <v>0</v>
      </c>
      <c r="G15" s="1241">
        <v>0</v>
      </c>
      <c r="H15" s="1243"/>
      <c r="I15" s="517">
        <v>0</v>
      </c>
      <c r="J15" s="1242">
        <v>0</v>
      </c>
      <c r="K15" s="1243"/>
      <c r="L15" s="517">
        <v>0</v>
      </c>
      <c r="M15" s="306"/>
      <c r="N15" s="517">
        <v>0</v>
      </c>
      <c r="S15" s="723"/>
    </row>
    <row r="16" spans="1:29" s="293" customFormat="1" ht="15.75">
      <c r="B16" s="1246" t="s">
        <v>20</v>
      </c>
      <c r="C16" s="1251">
        <v>0</v>
      </c>
      <c r="D16" s="1251">
        <v>0</v>
      </c>
      <c r="E16" s="1251"/>
      <c r="F16" s="546">
        <v>0</v>
      </c>
      <c r="G16" s="1244">
        <v>0</v>
      </c>
      <c r="H16" s="1251"/>
      <c r="I16" s="546">
        <v>0</v>
      </c>
      <c r="J16" s="1063">
        <v>0</v>
      </c>
      <c r="K16" s="1251"/>
      <c r="L16" s="1251">
        <v>0</v>
      </c>
      <c r="M16" s="1225"/>
      <c r="N16" s="1251">
        <v>0</v>
      </c>
      <c r="O16" s="346" t="s">
        <v>323</v>
      </c>
      <c r="P16" s="341">
        <v>0</v>
      </c>
      <c r="Q16" s="966">
        <v>0</v>
      </c>
      <c r="S16" s="723"/>
    </row>
    <row r="17" spans="1:23" s="293" customFormat="1" ht="16.5" thickBot="1">
      <c r="B17" s="616" t="s">
        <v>21</v>
      </c>
      <c r="C17" s="747">
        <v>422327</v>
      </c>
      <c r="D17" s="1247" t="e">
        <v>#N/A</v>
      </c>
      <c r="E17" s="1247"/>
      <c r="F17" s="1248">
        <v>0</v>
      </c>
      <c r="G17" s="1247">
        <v>1</v>
      </c>
      <c r="H17" s="1247"/>
      <c r="I17" s="1247">
        <v>680899</v>
      </c>
      <c r="J17" s="648">
        <v>680899</v>
      </c>
      <c r="K17" s="1247"/>
      <c r="L17" s="1247">
        <v>798953</v>
      </c>
      <c r="M17" s="1247"/>
      <c r="N17" s="1163">
        <v>798953</v>
      </c>
      <c r="O17" s="350" t="s">
        <v>25</v>
      </c>
      <c r="P17" s="340">
        <v>798953</v>
      </c>
      <c r="Q17" s="967">
        <v>1</v>
      </c>
      <c r="S17" s="723"/>
    </row>
    <row r="18" spans="1:23" s="293" customFormat="1" ht="23.25" thickTop="1">
      <c r="B18" s="316"/>
      <c r="C18" s="316"/>
      <c r="D18" s="304"/>
      <c r="E18" s="304"/>
      <c r="F18" s="304"/>
      <c r="G18" s="304"/>
      <c r="H18" s="304"/>
      <c r="I18" s="304"/>
      <c r="J18" s="304"/>
      <c r="K18" s="304"/>
      <c r="L18" s="304"/>
      <c r="M18" s="304"/>
      <c r="N18" s="1154"/>
      <c r="O18" s="1170" t="s">
        <v>986</v>
      </c>
      <c r="P18" s="341">
        <v>776453</v>
      </c>
      <c r="Q18" s="608">
        <v>0.97199999999999998</v>
      </c>
      <c r="S18" s="723"/>
    </row>
    <row r="19" spans="1:23" s="293" customFormat="1" ht="15.75">
      <c r="B19" s="349" t="s">
        <v>10</v>
      </c>
      <c r="C19" s="349"/>
      <c r="D19" s="302"/>
      <c r="E19" s="302"/>
      <c r="F19" s="304"/>
      <c r="G19" s="304"/>
      <c r="H19" s="302"/>
      <c r="I19" s="304"/>
      <c r="J19" s="302"/>
      <c r="K19" s="302"/>
      <c r="L19" s="302"/>
      <c r="M19" s="302"/>
      <c r="N19" s="1159"/>
      <c r="O19" s="341" t="s">
        <v>8</v>
      </c>
      <c r="P19" s="341">
        <v>22500</v>
      </c>
      <c r="Q19" s="608">
        <v>2.8000000000000001E-2</v>
      </c>
      <c r="S19" s="723"/>
    </row>
    <row r="20" spans="1:23" s="293" customFormat="1" ht="15.75">
      <c r="A20" s="621" t="s">
        <v>340</v>
      </c>
      <c r="B20" s="316" t="s">
        <v>11</v>
      </c>
      <c r="C20" s="1240">
        <v>20332</v>
      </c>
      <c r="D20" s="1224" t="e">
        <v>#N/A</v>
      </c>
      <c r="E20" s="1224"/>
      <c r="F20" s="1241">
        <v>0</v>
      </c>
      <c r="G20" s="304">
        <v>1</v>
      </c>
      <c r="H20" s="1224"/>
      <c r="I20" s="1241">
        <v>5793</v>
      </c>
      <c r="J20" s="1242">
        <v>5793</v>
      </c>
      <c r="K20" s="1240"/>
      <c r="L20" s="1240">
        <v>78746</v>
      </c>
      <c r="M20" s="1224"/>
      <c r="N20" s="1160">
        <v>78746</v>
      </c>
      <c r="O20" s="341" t="s">
        <v>319</v>
      </c>
      <c r="P20" s="341">
        <v>0</v>
      </c>
      <c r="Q20" s="608">
        <v>0</v>
      </c>
      <c r="S20" s="723"/>
      <c r="W20" s="723"/>
    </row>
    <row r="21" spans="1:23" s="293" customFormat="1" ht="15.75">
      <c r="A21" s="621" t="s">
        <v>341</v>
      </c>
      <c r="B21" s="316" t="s">
        <v>12</v>
      </c>
      <c r="C21" s="1240">
        <v>3063</v>
      </c>
      <c r="D21" s="1224" t="e">
        <v>#N/A</v>
      </c>
      <c r="E21" s="1224"/>
      <c r="F21" s="1241">
        <v>0</v>
      </c>
      <c r="G21" s="304">
        <v>1</v>
      </c>
      <c r="H21" s="1224"/>
      <c r="I21" s="1241">
        <v>1461</v>
      </c>
      <c r="J21" s="1242">
        <v>1461</v>
      </c>
      <c r="K21" s="1240"/>
      <c r="L21" s="1240">
        <v>0</v>
      </c>
      <c r="M21" s="1224"/>
      <c r="N21" s="517">
        <v>0</v>
      </c>
      <c r="O21" s="341" t="s">
        <v>20</v>
      </c>
      <c r="P21" s="341">
        <v>0</v>
      </c>
      <c r="Q21" s="608">
        <v>0</v>
      </c>
      <c r="S21" s="723"/>
      <c r="W21" s="723"/>
    </row>
    <row r="22" spans="1:23" s="293" customFormat="1" ht="21">
      <c r="A22" s="621" t="s">
        <v>342</v>
      </c>
      <c r="B22" s="316" t="s">
        <v>801</v>
      </c>
      <c r="C22" s="1240">
        <v>3384</v>
      </c>
      <c r="D22" s="1224" t="e">
        <v>#N/A</v>
      </c>
      <c r="E22" s="1224"/>
      <c r="F22" s="1241">
        <v>0</v>
      </c>
      <c r="G22" s="304">
        <v>1</v>
      </c>
      <c r="H22" s="1224"/>
      <c r="I22" s="1241">
        <v>4156</v>
      </c>
      <c r="J22" s="1242">
        <v>4156</v>
      </c>
      <c r="K22" s="1240"/>
      <c r="L22" s="1240">
        <v>0</v>
      </c>
      <c r="M22" s="1224"/>
      <c r="N22" s="517">
        <v>0</v>
      </c>
      <c r="O22" s="344" t="s">
        <v>21</v>
      </c>
      <c r="P22" s="538">
        <v>798953</v>
      </c>
      <c r="Q22" s="654">
        <v>1</v>
      </c>
      <c r="S22" s="723"/>
      <c r="W22" s="723"/>
    </row>
    <row r="23" spans="1:23" s="293" customFormat="1" ht="15.75">
      <c r="A23" s="621" t="s">
        <v>343</v>
      </c>
      <c r="B23" s="316" t="s">
        <v>14</v>
      </c>
      <c r="C23" s="1240">
        <v>200</v>
      </c>
      <c r="D23" s="1224" t="e">
        <v>#N/A</v>
      </c>
      <c r="E23" s="1224"/>
      <c r="F23" s="1241">
        <v>0</v>
      </c>
      <c r="G23" s="304">
        <v>1</v>
      </c>
      <c r="H23" s="1224"/>
      <c r="I23" s="1241">
        <v>0</v>
      </c>
      <c r="J23" s="1242">
        <v>0</v>
      </c>
      <c r="K23" s="1240"/>
      <c r="L23" s="1240">
        <v>0</v>
      </c>
      <c r="M23" s="1224"/>
      <c r="N23" s="517">
        <v>0</v>
      </c>
      <c r="O23" s="344"/>
      <c r="P23" s="538"/>
      <c r="Q23" s="654"/>
      <c r="S23" s="723"/>
      <c r="W23" s="723"/>
    </row>
    <row r="24" spans="1:23" s="293" customFormat="1" ht="16.5" thickBot="1">
      <c r="A24" s="621" t="s">
        <v>382</v>
      </c>
      <c r="B24" s="316" t="s">
        <v>85</v>
      </c>
      <c r="C24" s="1240">
        <v>395348</v>
      </c>
      <c r="D24" s="1224" t="e">
        <v>#N/A</v>
      </c>
      <c r="E24" s="1224"/>
      <c r="F24" s="1241">
        <v>0</v>
      </c>
      <c r="G24" s="304">
        <v>1</v>
      </c>
      <c r="H24" s="1224"/>
      <c r="I24" s="1241">
        <v>669489</v>
      </c>
      <c r="J24" s="1242">
        <v>669489</v>
      </c>
      <c r="K24" s="1240"/>
      <c r="L24" s="1240">
        <v>720207</v>
      </c>
      <c r="M24" s="1224"/>
      <c r="N24" s="1160">
        <v>720207</v>
      </c>
      <c r="O24" s="344"/>
      <c r="P24" s="1277"/>
      <c r="Q24" s="344"/>
      <c r="R24" s="344"/>
      <c r="S24" s="729"/>
      <c r="W24" s="723"/>
    </row>
    <row r="25" spans="1:23" s="293" customFormat="1" ht="16.5" thickBot="1">
      <c r="A25" s="1496" t="s">
        <v>987</v>
      </c>
      <c r="B25" s="1246" t="s">
        <v>22</v>
      </c>
      <c r="C25" s="1251">
        <v>422327</v>
      </c>
      <c r="D25" s="1244" t="e">
        <v>#N/A</v>
      </c>
      <c r="E25" s="1244"/>
      <c r="F25" s="1251">
        <v>0</v>
      </c>
      <c r="G25" s="1244">
        <v>5</v>
      </c>
      <c r="H25" s="1244"/>
      <c r="I25" s="1251">
        <v>680899</v>
      </c>
      <c r="J25" s="1244">
        <v>680899</v>
      </c>
      <c r="K25" s="1244"/>
      <c r="L25" s="1251">
        <v>798953</v>
      </c>
      <c r="M25" s="1225"/>
      <c r="N25" s="1153">
        <v>798953</v>
      </c>
      <c r="O25" s="344"/>
      <c r="P25" s="344"/>
      <c r="Q25" s="344"/>
      <c r="R25" s="344"/>
      <c r="S25" s="729"/>
      <c r="W25" s="723"/>
    </row>
    <row r="26" spans="1:23" s="293" customFormat="1" ht="15.75">
      <c r="B26" s="311"/>
      <c r="C26" s="554"/>
      <c r="D26" s="1241"/>
      <c r="E26" s="1241"/>
      <c r="F26" s="1241"/>
      <c r="G26" s="1241"/>
      <c r="H26" s="1241"/>
      <c r="I26" s="1241"/>
      <c r="J26" s="1241"/>
      <c r="K26" s="1241"/>
      <c r="L26" s="1241"/>
      <c r="M26" s="304"/>
      <c r="N26" s="1154"/>
      <c r="R26" s="344"/>
      <c r="S26" s="729"/>
    </row>
    <row r="27" spans="1:23" s="293" customFormat="1" ht="15.75">
      <c r="B27" s="313" t="s">
        <v>321</v>
      </c>
      <c r="C27" s="556"/>
      <c r="D27" s="554"/>
      <c r="E27" s="554"/>
      <c r="F27" s="554"/>
      <c r="G27" s="554"/>
      <c r="H27" s="554"/>
      <c r="I27" s="554"/>
      <c r="J27" s="554"/>
      <c r="K27" s="554"/>
      <c r="L27" s="554"/>
      <c r="M27" s="311"/>
      <c r="N27" s="600"/>
      <c r="S27" s="723"/>
    </row>
    <row r="28" spans="1:23" s="293" customFormat="1" ht="15.75">
      <c r="B28" s="624" t="s">
        <v>322</v>
      </c>
      <c r="C28" s="517">
        <v>0</v>
      </c>
      <c r="D28" s="517">
        <v>0</v>
      </c>
      <c r="E28" s="517"/>
      <c r="F28" s="517">
        <v>0</v>
      </c>
      <c r="G28" s="517">
        <v>0</v>
      </c>
      <c r="H28" s="517"/>
      <c r="I28" s="517">
        <v>0</v>
      </c>
      <c r="J28" s="517">
        <v>0</v>
      </c>
      <c r="K28" s="517"/>
      <c r="L28" s="517">
        <v>0</v>
      </c>
      <c r="M28" s="304"/>
      <c r="N28" s="517">
        <v>0</v>
      </c>
      <c r="O28" s="625"/>
      <c r="P28" s="625"/>
      <c r="Q28" s="625"/>
      <c r="S28" s="723"/>
    </row>
    <row r="29" spans="1:23" s="625" customFormat="1" ht="15.75">
      <c r="B29" s="626" t="s">
        <v>323</v>
      </c>
      <c r="C29" s="1251">
        <v>0</v>
      </c>
      <c r="D29" s="1251">
        <v>0</v>
      </c>
      <c r="E29" s="1251"/>
      <c r="F29" s="1251">
        <v>0</v>
      </c>
      <c r="G29" s="1251">
        <v>0</v>
      </c>
      <c r="H29" s="1251"/>
      <c r="I29" s="1251">
        <v>0</v>
      </c>
      <c r="J29" s="1251">
        <v>0</v>
      </c>
      <c r="K29" s="1251"/>
      <c r="L29" s="1251">
        <v>0</v>
      </c>
      <c r="M29" s="1225"/>
      <c r="N29" s="1251">
        <v>0</v>
      </c>
      <c r="O29" s="293"/>
      <c r="P29" s="293"/>
      <c r="Q29" s="293"/>
      <c r="S29" s="723"/>
    </row>
    <row r="30" spans="1:23" s="293" customFormat="1" ht="16.5" thickBot="1">
      <c r="B30" s="616" t="s">
        <v>25</v>
      </c>
      <c r="C30" s="1267">
        <v>422327</v>
      </c>
      <c r="D30" s="627" t="e">
        <v>#N/A</v>
      </c>
      <c r="E30" s="1267"/>
      <c r="F30" s="1517">
        <v>0</v>
      </c>
      <c r="G30" s="1267">
        <v>5</v>
      </c>
      <c r="H30" s="1267"/>
      <c r="I30" s="1267">
        <v>680899</v>
      </c>
      <c r="J30" s="627">
        <v>-680899</v>
      </c>
      <c r="K30" s="627"/>
      <c r="L30" s="1267">
        <v>798953</v>
      </c>
      <c r="M30" s="1267"/>
      <c r="N30" s="1267">
        <v>798953</v>
      </c>
      <c r="S30" s="723"/>
    </row>
    <row r="31" spans="1:23" s="293" customFormat="1" ht="16.5" thickTop="1">
      <c r="B31" s="313"/>
      <c r="C31" s="310"/>
      <c r="D31" s="332"/>
      <c r="E31" s="332"/>
      <c r="F31" s="332"/>
      <c r="G31" s="332"/>
      <c r="H31" s="332"/>
      <c r="I31" s="332"/>
      <c r="J31" s="310"/>
      <c r="K31" s="332"/>
      <c r="L31" s="332"/>
      <c r="M31" s="332"/>
      <c r="N31" s="332"/>
      <c r="S31" s="723"/>
    </row>
    <row r="32" spans="1:23" s="293" customFormat="1" ht="15.75">
      <c r="B32" s="313"/>
      <c r="C32" s="310"/>
      <c r="D32" s="332"/>
      <c r="E32" s="332"/>
      <c r="F32" s="332"/>
      <c r="G32" s="332"/>
      <c r="H32" s="332"/>
      <c r="I32" s="332"/>
      <c r="J32" s="310"/>
      <c r="K32" s="332"/>
      <c r="L32" s="332"/>
      <c r="M32" s="332"/>
      <c r="N32" s="332"/>
      <c r="S32" s="723"/>
    </row>
    <row r="33" spans="2:19" s="293" customFormat="1" ht="15.75">
      <c r="B33" s="313"/>
      <c r="C33" s="310"/>
      <c r="D33" s="332"/>
      <c r="E33" s="332"/>
      <c r="F33" s="332"/>
      <c r="G33" s="332"/>
      <c r="H33" s="332"/>
      <c r="I33" s="332"/>
      <c r="J33" s="310"/>
      <c r="K33" s="332"/>
      <c r="L33" s="332"/>
      <c r="M33" s="332"/>
      <c r="N33" s="332"/>
      <c r="S33" s="723"/>
    </row>
    <row r="34" spans="2:19" s="293" customFormat="1" ht="15.75">
      <c r="B34" s="313"/>
      <c r="C34" s="310"/>
      <c r="D34" s="332"/>
      <c r="E34" s="332"/>
      <c r="F34" s="332"/>
      <c r="G34" s="332"/>
      <c r="H34" s="332"/>
      <c r="I34" s="332"/>
      <c r="J34" s="310"/>
      <c r="K34" s="332"/>
      <c r="L34" s="332"/>
      <c r="M34" s="332"/>
      <c r="N34" s="332"/>
      <c r="S34" s="723"/>
    </row>
    <row r="35" spans="2:19" s="293" customFormat="1" ht="15.75">
      <c r="B35" s="313"/>
      <c r="C35" s="310"/>
      <c r="D35" s="332"/>
      <c r="E35" s="332"/>
      <c r="F35" s="332"/>
      <c r="G35" s="332"/>
      <c r="H35" s="332"/>
      <c r="I35" s="332"/>
      <c r="J35" s="310"/>
      <c r="K35" s="332"/>
      <c r="L35" s="332"/>
      <c r="M35" s="332"/>
      <c r="N35" s="332"/>
      <c r="S35" s="723"/>
    </row>
    <row r="36" spans="2:19" s="293" customFormat="1" ht="15.75">
      <c r="B36" s="313"/>
      <c r="C36" s="310"/>
      <c r="D36" s="332"/>
      <c r="E36" s="332"/>
      <c r="F36" s="332"/>
      <c r="G36" s="332"/>
      <c r="H36" s="332"/>
      <c r="I36" s="332"/>
      <c r="J36" s="310"/>
      <c r="K36" s="332"/>
      <c r="L36" s="332"/>
      <c r="M36" s="332"/>
      <c r="N36" s="332"/>
      <c r="S36" s="723"/>
    </row>
    <row r="37" spans="2:19" s="293" customFormat="1" ht="15.75">
      <c r="B37" s="313"/>
      <c r="C37" s="310"/>
      <c r="D37" s="332"/>
      <c r="E37" s="332"/>
      <c r="F37" s="332"/>
      <c r="G37" s="332"/>
      <c r="H37" s="332"/>
      <c r="I37" s="332"/>
      <c r="J37" s="310"/>
      <c r="K37" s="332"/>
      <c r="L37" s="332"/>
      <c r="M37" s="332"/>
      <c r="N37" s="332"/>
      <c r="S37" s="723"/>
    </row>
    <row r="38" spans="2:19" s="293" customFormat="1" ht="15.75">
      <c r="B38" s="313"/>
      <c r="C38" s="310"/>
      <c r="D38" s="332"/>
      <c r="E38" s="332"/>
      <c r="F38" s="332"/>
      <c r="G38" s="332"/>
      <c r="H38" s="332"/>
      <c r="I38" s="332"/>
      <c r="J38" s="310"/>
      <c r="K38" s="332"/>
      <c r="L38" s="332"/>
      <c r="M38" s="332"/>
      <c r="N38" s="332"/>
      <c r="S38" s="723"/>
    </row>
    <row r="39" spans="2:19" s="293" customFormat="1" ht="15.75">
      <c r="B39" s="313"/>
      <c r="C39" s="310"/>
      <c r="D39" s="332"/>
      <c r="E39" s="332"/>
      <c r="F39" s="332"/>
      <c r="G39" s="332"/>
      <c r="H39" s="332"/>
      <c r="I39" s="332"/>
      <c r="J39" s="310"/>
      <c r="K39" s="332"/>
      <c r="L39" s="332"/>
      <c r="M39" s="332"/>
      <c r="N39" s="332"/>
      <c r="S39" s="723"/>
    </row>
    <row r="40" spans="2:19" s="293" customFormat="1" ht="15.75">
      <c r="B40" s="313"/>
      <c r="C40" s="310"/>
      <c r="D40" s="332"/>
      <c r="E40" s="332"/>
      <c r="F40" s="332"/>
      <c r="G40" s="332"/>
      <c r="H40" s="332"/>
      <c r="I40" s="332"/>
      <c r="J40" s="310"/>
      <c r="K40" s="332"/>
      <c r="L40" s="332"/>
      <c r="M40" s="332"/>
      <c r="N40" s="332"/>
      <c r="S40" s="723"/>
    </row>
    <row r="41" spans="2:19" s="293" customFormat="1" ht="15.75">
      <c r="B41" s="313"/>
      <c r="C41" s="310"/>
      <c r="D41" s="332"/>
      <c r="E41" s="332"/>
      <c r="F41" s="332"/>
      <c r="G41" s="332"/>
      <c r="H41" s="332"/>
      <c r="I41" s="332"/>
      <c r="J41" s="310"/>
      <c r="K41" s="332"/>
      <c r="L41" s="332"/>
      <c r="M41" s="332"/>
      <c r="N41" s="332"/>
      <c r="S41" s="723"/>
    </row>
    <row r="42" spans="2:19" s="293" customFormat="1" ht="15.75">
      <c r="B42" s="313"/>
      <c r="C42" s="310"/>
      <c r="D42" s="332"/>
      <c r="E42" s="332"/>
      <c r="F42" s="332"/>
      <c r="G42" s="332"/>
      <c r="H42" s="332"/>
      <c r="I42" s="332"/>
      <c r="J42" s="310"/>
      <c r="K42" s="332"/>
      <c r="L42" s="332"/>
      <c r="M42" s="332"/>
      <c r="N42" s="332"/>
      <c r="P42" s="344"/>
      <c r="Q42" s="344"/>
      <c r="R42" s="344"/>
      <c r="S42" s="729"/>
    </row>
    <row r="43" spans="2:19" s="293" customFormat="1" ht="15.75">
      <c r="B43" s="313"/>
      <c r="C43" s="310"/>
      <c r="D43" s="332"/>
      <c r="E43" s="332"/>
      <c r="F43" s="332"/>
      <c r="G43" s="332"/>
      <c r="H43" s="332"/>
      <c r="I43" s="332"/>
      <c r="J43" s="310"/>
      <c r="K43" s="332"/>
      <c r="L43" s="332"/>
      <c r="M43" s="332"/>
      <c r="N43" s="332"/>
      <c r="P43" s="344"/>
      <c r="Q43" s="729"/>
      <c r="R43" s="344"/>
      <c r="S43" s="729"/>
    </row>
    <row r="44" spans="2:19" s="293" customFormat="1" ht="15.75">
      <c r="B44" s="313"/>
      <c r="C44" s="310"/>
      <c r="D44" s="332"/>
      <c r="E44" s="332"/>
      <c r="F44" s="332"/>
      <c r="G44" s="332"/>
      <c r="H44" s="332"/>
      <c r="I44" s="332"/>
      <c r="J44" s="310"/>
      <c r="K44" s="332"/>
      <c r="L44" s="332"/>
      <c r="M44" s="332"/>
      <c r="N44" s="332"/>
      <c r="P44" s="344"/>
      <c r="Q44" s="729"/>
      <c r="R44" s="344"/>
      <c r="S44" s="729"/>
    </row>
    <row r="45" spans="2:19" s="293" customFormat="1" ht="15.75">
      <c r="B45" s="313"/>
      <c r="C45" s="310"/>
      <c r="D45" s="332"/>
      <c r="E45" s="332"/>
      <c r="F45" s="332"/>
      <c r="G45" s="332"/>
      <c r="H45" s="332"/>
      <c r="I45" s="332"/>
      <c r="J45" s="310"/>
      <c r="K45" s="332"/>
      <c r="L45" s="332"/>
      <c r="M45" s="332"/>
      <c r="N45" s="332"/>
      <c r="P45" s="344"/>
      <c r="Q45" s="729"/>
      <c r="R45" s="344"/>
      <c r="S45" s="729"/>
    </row>
    <row r="46" spans="2:19" s="293" customFormat="1" ht="15.75">
      <c r="B46" s="313"/>
      <c r="C46" s="310"/>
      <c r="D46" s="332"/>
      <c r="E46" s="332"/>
      <c r="F46" s="332"/>
      <c r="G46" s="332"/>
      <c r="H46" s="332"/>
      <c r="I46" s="332"/>
      <c r="J46" s="310"/>
      <c r="K46" s="332"/>
      <c r="L46" s="332"/>
      <c r="M46" s="332"/>
      <c r="N46" s="332"/>
      <c r="P46" s="344"/>
      <c r="Q46" s="729"/>
      <c r="R46" s="344"/>
      <c r="S46" s="729"/>
    </row>
    <row r="47" spans="2:19" s="293" customFormat="1" ht="15.75">
      <c r="B47" s="313"/>
      <c r="C47" s="310"/>
      <c r="D47" s="332"/>
      <c r="E47" s="332"/>
      <c r="F47" s="332"/>
      <c r="G47" s="332"/>
      <c r="H47" s="332"/>
      <c r="I47" s="332"/>
      <c r="J47" s="310"/>
      <c r="K47" s="332"/>
      <c r="L47" s="332"/>
      <c r="M47" s="332"/>
      <c r="N47" s="332"/>
      <c r="P47" s="344"/>
      <c r="Q47" s="729"/>
      <c r="R47" s="729"/>
      <c r="S47" s="729"/>
    </row>
    <row r="48" spans="2:19" s="293" customFormat="1" ht="15.75">
      <c r="B48" s="313"/>
      <c r="C48" s="310"/>
      <c r="D48" s="332"/>
      <c r="E48" s="332"/>
      <c r="F48" s="332"/>
      <c r="G48" s="332"/>
      <c r="H48" s="332"/>
      <c r="I48" s="332"/>
      <c r="J48" s="310"/>
      <c r="K48" s="332"/>
      <c r="L48" s="332"/>
      <c r="M48" s="332"/>
      <c r="N48" s="332"/>
      <c r="P48" s="344"/>
      <c r="Q48" s="729"/>
      <c r="R48" s="729"/>
      <c r="S48" s="729"/>
    </row>
    <row r="49" spans="2:19" s="293" customFormat="1" ht="15.75">
      <c r="B49" s="313"/>
      <c r="C49" s="310"/>
      <c r="D49" s="332"/>
      <c r="E49" s="332"/>
      <c r="F49" s="332"/>
      <c r="G49" s="332"/>
      <c r="H49" s="332"/>
      <c r="I49" s="332"/>
      <c r="J49" s="310"/>
      <c r="K49" s="332"/>
      <c r="L49" s="332"/>
      <c r="M49" s="332"/>
      <c r="N49" s="332"/>
      <c r="P49" s="344"/>
      <c r="Q49" s="729"/>
      <c r="R49" s="729"/>
      <c r="S49" s="729"/>
    </row>
    <row r="50" spans="2:19" s="293" customFormat="1" ht="15.75">
      <c r="B50" s="313"/>
      <c r="C50" s="310"/>
      <c r="D50" s="332"/>
      <c r="E50" s="332"/>
      <c r="F50" s="332"/>
      <c r="G50" s="332"/>
      <c r="H50" s="332"/>
      <c r="I50" s="332"/>
      <c r="J50" s="310"/>
      <c r="K50" s="332"/>
      <c r="L50" s="332"/>
      <c r="M50" s="332"/>
      <c r="N50" s="332"/>
      <c r="P50" s="344"/>
      <c r="Q50" s="729"/>
      <c r="R50" s="729"/>
      <c r="S50" s="729"/>
    </row>
    <row r="51" spans="2:19" s="293" customFormat="1" ht="15.75">
      <c r="B51" s="313"/>
      <c r="C51" s="310"/>
      <c r="D51" s="332"/>
      <c r="E51" s="332"/>
      <c r="F51" s="332"/>
      <c r="G51" s="332"/>
      <c r="H51" s="332"/>
      <c r="I51" s="332"/>
      <c r="J51" s="310"/>
      <c r="K51" s="332"/>
      <c r="L51" s="332"/>
      <c r="M51" s="332"/>
      <c r="N51" s="332"/>
      <c r="P51" s="344"/>
      <c r="Q51" s="729"/>
      <c r="R51" s="729"/>
      <c r="S51" s="729"/>
    </row>
    <row r="52" spans="2:19" s="293" customFormat="1" ht="15.75">
      <c r="B52" s="313"/>
      <c r="C52" s="310"/>
      <c r="D52" s="332"/>
      <c r="E52" s="332"/>
      <c r="F52" s="332"/>
      <c r="G52" s="332"/>
      <c r="H52" s="332"/>
      <c r="I52" s="332"/>
      <c r="J52" s="310"/>
      <c r="K52" s="332"/>
      <c r="L52" s="332"/>
      <c r="M52" s="332"/>
      <c r="N52" s="332"/>
      <c r="P52" s="344"/>
      <c r="Q52" s="344"/>
      <c r="R52" s="1767"/>
      <c r="S52" s="729"/>
    </row>
    <row r="53" spans="2:19" s="293" customFormat="1" ht="15.75">
      <c r="B53" s="313"/>
      <c r="C53" s="310"/>
      <c r="D53" s="332"/>
      <c r="E53" s="332"/>
      <c r="F53" s="332"/>
      <c r="G53" s="332"/>
      <c r="H53" s="332"/>
      <c r="I53" s="332"/>
      <c r="J53" s="310"/>
      <c r="K53" s="332"/>
      <c r="L53" s="332"/>
      <c r="M53" s="332"/>
      <c r="N53" s="332"/>
      <c r="S53" s="723"/>
    </row>
    <row r="54" spans="2:19" s="293" customFormat="1" ht="15.75">
      <c r="B54" s="313"/>
      <c r="C54" s="310"/>
      <c r="D54" s="332"/>
      <c r="E54" s="332"/>
      <c r="F54" s="332"/>
      <c r="G54" s="332"/>
      <c r="H54" s="332"/>
      <c r="I54" s="332"/>
      <c r="J54" s="310"/>
      <c r="K54" s="332"/>
      <c r="L54" s="332"/>
      <c r="M54" s="332"/>
      <c r="N54" s="332"/>
      <c r="S54" s="723"/>
    </row>
    <row r="55" spans="2:19" s="293" customFormat="1" ht="15.75">
      <c r="B55" s="313"/>
      <c r="C55" s="310"/>
      <c r="D55" s="332"/>
      <c r="E55" s="332"/>
      <c r="F55" s="332"/>
      <c r="G55" s="332"/>
      <c r="H55" s="332"/>
      <c r="I55" s="332"/>
      <c r="J55" s="310"/>
      <c r="K55" s="332"/>
      <c r="L55" s="332"/>
      <c r="M55" s="332"/>
      <c r="N55" s="332"/>
      <c r="O55" s="344"/>
      <c r="P55" s="344"/>
      <c r="Q55" s="344"/>
      <c r="S55" s="723"/>
    </row>
    <row r="56" spans="2:19" s="344" customFormat="1" ht="15.75">
      <c r="B56" s="313"/>
      <c r="C56" s="310"/>
      <c r="D56" s="332"/>
      <c r="E56" s="332"/>
      <c r="F56" s="332"/>
      <c r="G56" s="332"/>
      <c r="H56" s="332"/>
      <c r="I56" s="332"/>
      <c r="J56" s="310"/>
      <c r="K56" s="332"/>
      <c r="L56" s="332"/>
      <c r="M56" s="332"/>
      <c r="N56" s="332"/>
      <c r="O56" s="293"/>
      <c r="P56" s="293"/>
      <c r="Q56" s="293"/>
      <c r="S56" s="729"/>
    </row>
    <row r="57" spans="2:19" s="293" customFormat="1" ht="15.75">
      <c r="B57" s="313"/>
      <c r="C57" s="310"/>
      <c r="D57" s="332"/>
      <c r="E57" s="332"/>
      <c r="F57" s="332"/>
      <c r="G57" s="332"/>
      <c r="H57" s="332"/>
      <c r="I57" s="332"/>
      <c r="J57" s="310"/>
      <c r="K57" s="332"/>
      <c r="L57" s="332"/>
      <c r="M57" s="332"/>
      <c r="N57" s="332"/>
      <c r="S57" s="723"/>
    </row>
    <row r="58" spans="2:19" s="293" customFormat="1" ht="15.75">
      <c r="B58" s="313"/>
      <c r="C58" s="310"/>
      <c r="D58" s="332"/>
      <c r="E58" s="332"/>
      <c r="F58" s="332"/>
      <c r="G58" s="332"/>
      <c r="H58" s="332"/>
      <c r="I58" s="332"/>
      <c r="J58" s="310"/>
      <c r="K58" s="332"/>
      <c r="L58" s="332"/>
      <c r="M58" s="332"/>
      <c r="N58" s="332"/>
      <c r="S58" s="723"/>
    </row>
    <row r="59" spans="2:19" s="293" customFormat="1" ht="15.75">
      <c r="B59" s="313"/>
      <c r="C59" s="310"/>
      <c r="D59" s="332"/>
      <c r="E59" s="332"/>
      <c r="F59" s="332"/>
      <c r="G59" s="332"/>
      <c r="H59" s="332"/>
      <c r="I59" s="332"/>
      <c r="J59" s="310"/>
      <c r="K59" s="332"/>
      <c r="L59" s="332"/>
      <c r="M59" s="332"/>
      <c r="N59" s="332"/>
      <c r="S59" s="723"/>
    </row>
    <row r="60" spans="2:19" s="293" customFormat="1" ht="15.75">
      <c r="B60" s="313"/>
      <c r="C60" s="310"/>
      <c r="D60" s="332"/>
      <c r="E60" s="332"/>
      <c r="F60" s="332"/>
      <c r="G60" s="332"/>
      <c r="H60" s="332"/>
      <c r="I60" s="332"/>
      <c r="J60" s="310"/>
      <c r="K60" s="332"/>
      <c r="L60" s="332"/>
      <c r="M60" s="332"/>
      <c r="N60" s="332"/>
      <c r="S60" s="723"/>
    </row>
    <row r="61" spans="2:19" s="293" customFormat="1" ht="15.75">
      <c r="B61" s="313"/>
      <c r="C61" s="310"/>
      <c r="D61" s="332"/>
      <c r="E61" s="332"/>
      <c r="F61" s="332"/>
      <c r="G61" s="332"/>
      <c r="H61" s="332"/>
      <c r="I61" s="332"/>
      <c r="J61" s="310"/>
      <c r="K61" s="332"/>
      <c r="L61" s="332"/>
      <c r="M61" s="332"/>
      <c r="N61" s="332"/>
      <c r="S61" s="723"/>
    </row>
    <row r="62" spans="2:19" s="293" customFormat="1" ht="15.75">
      <c r="B62" s="313"/>
      <c r="C62" s="310"/>
      <c r="D62" s="332"/>
      <c r="E62" s="332"/>
      <c r="F62" s="332"/>
      <c r="G62" s="332"/>
      <c r="H62" s="332"/>
      <c r="I62" s="332"/>
      <c r="J62" s="310"/>
      <c r="K62" s="332"/>
      <c r="L62" s="332"/>
      <c r="M62" s="332"/>
      <c r="N62" s="332"/>
      <c r="S62" s="723"/>
    </row>
    <row r="63" spans="2:19" s="293" customFormat="1" ht="15.75">
      <c r="B63" s="313"/>
      <c r="C63" s="310"/>
      <c r="D63" s="332"/>
      <c r="E63" s="332"/>
      <c r="F63" s="332"/>
      <c r="G63" s="332"/>
      <c r="H63" s="332"/>
      <c r="I63" s="332"/>
      <c r="J63" s="310"/>
      <c r="K63" s="332"/>
      <c r="L63" s="332"/>
      <c r="M63" s="332"/>
      <c r="N63" s="332"/>
      <c r="S63" s="723"/>
    </row>
    <row r="64" spans="2:19" s="293" customFormat="1" ht="15.75">
      <c r="B64" s="313"/>
      <c r="C64" s="310"/>
      <c r="D64" s="332"/>
      <c r="E64" s="332"/>
      <c r="F64" s="332"/>
      <c r="G64" s="332"/>
      <c r="H64" s="332"/>
      <c r="I64" s="332"/>
      <c r="J64" s="310"/>
      <c r="K64" s="332"/>
      <c r="L64" s="332"/>
      <c r="M64" s="332"/>
      <c r="N64" s="332"/>
      <c r="O64" s="283"/>
      <c r="P64" s="283"/>
      <c r="Q64" s="283"/>
      <c r="S64" s="723"/>
    </row>
    <row r="65" spans="2:24" ht="15.75">
      <c r="B65" s="313"/>
      <c r="C65" s="314"/>
      <c r="D65" s="314"/>
      <c r="E65" s="314"/>
      <c r="F65" s="314"/>
      <c r="G65" s="314"/>
      <c r="H65" s="314"/>
      <c r="I65" s="314"/>
      <c r="J65" s="315"/>
      <c r="K65" s="314"/>
      <c r="L65" s="314"/>
      <c r="M65" s="314"/>
      <c r="N65" s="314"/>
      <c r="S65" s="723"/>
      <c r="T65" s="293"/>
      <c r="U65" s="293"/>
      <c r="V65" s="293"/>
      <c r="W65" s="293"/>
      <c r="X65" s="293"/>
    </row>
    <row r="66" spans="2:24" ht="15.75">
      <c r="B66" s="313"/>
      <c r="C66" s="313"/>
      <c r="D66" s="305"/>
      <c r="E66" s="305"/>
      <c r="F66" s="310"/>
      <c r="G66" s="310"/>
      <c r="H66" s="305"/>
      <c r="I66" s="310"/>
      <c r="J66" s="298"/>
      <c r="K66" s="305"/>
      <c r="L66" s="316"/>
      <c r="M66" s="305"/>
      <c r="N66" s="316"/>
      <c r="S66" s="723"/>
      <c r="T66" s="293"/>
      <c r="U66" s="293"/>
      <c r="V66" s="293"/>
      <c r="W66" s="293"/>
      <c r="X66" s="293"/>
    </row>
    <row r="67" spans="2:24" ht="15.75">
      <c r="B67" s="298"/>
      <c r="C67" s="302"/>
      <c r="D67" s="302"/>
      <c r="E67" s="302"/>
      <c r="F67" s="302"/>
      <c r="G67" s="302"/>
      <c r="H67" s="302"/>
      <c r="I67" s="302"/>
      <c r="J67" s="302"/>
      <c r="K67" s="302"/>
      <c r="L67" s="302"/>
      <c r="M67" s="302"/>
      <c r="N67" s="302"/>
      <c r="S67" s="723"/>
      <c r="T67" s="293"/>
      <c r="U67" s="293"/>
      <c r="V67" s="293"/>
      <c r="W67" s="293"/>
      <c r="X67" s="293"/>
    </row>
    <row r="68" spans="2:24" ht="15.75">
      <c r="B68" s="298"/>
      <c r="C68" s="298"/>
      <c r="D68" s="298"/>
      <c r="E68" s="298"/>
      <c r="F68" s="298"/>
      <c r="G68" s="298"/>
      <c r="H68" s="298"/>
      <c r="I68" s="298"/>
      <c r="J68" s="298"/>
      <c r="K68" s="298"/>
      <c r="L68" s="311"/>
      <c r="M68" s="298"/>
      <c r="N68" s="311"/>
      <c r="S68" s="723"/>
      <c r="T68" s="293"/>
      <c r="U68" s="293"/>
      <c r="V68" s="293"/>
      <c r="W68" s="293"/>
      <c r="X68" s="293"/>
    </row>
    <row r="69" spans="2:24" ht="15.75">
      <c r="B69" s="298"/>
      <c r="C69" s="298"/>
      <c r="D69" s="298"/>
      <c r="E69" s="298"/>
      <c r="F69" s="298"/>
      <c r="G69" s="298"/>
      <c r="H69" s="298"/>
      <c r="I69" s="298"/>
      <c r="J69" s="298"/>
      <c r="K69" s="298"/>
      <c r="L69" s="311"/>
      <c r="M69" s="298"/>
      <c r="N69" s="311"/>
      <c r="S69" s="723"/>
      <c r="T69" s="293"/>
      <c r="U69" s="293"/>
      <c r="V69" s="293"/>
      <c r="W69" s="293"/>
      <c r="X69" s="293"/>
    </row>
    <row r="70" spans="2:24" ht="15.75">
      <c r="B70" s="299"/>
      <c r="C70" s="299"/>
      <c r="D70" s="298"/>
      <c r="E70" s="298"/>
      <c r="F70" s="298"/>
      <c r="G70" s="298"/>
      <c r="H70" s="298"/>
      <c r="I70" s="298"/>
      <c r="J70" s="298"/>
      <c r="K70" s="298"/>
      <c r="L70" s="311"/>
      <c r="M70" s="298"/>
      <c r="N70" s="311"/>
      <c r="S70" s="723"/>
      <c r="T70" s="293"/>
      <c r="U70" s="293"/>
      <c r="V70" s="293"/>
      <c r="W70" s="293"/>
      <c r="X70" s="293"/>
    </row>
    <row r="71" spans="2:24" ht="15.75">
      <c r="B71" s="298"/>
      <c r="C71" s="298"/>
      <c r="D71" s="298"/>
      <c r="E71" s="298"/>
      <c r="F71" s="298"/>
      <c r="G71" s="298"/>
      <c r="H71" s="298"/>
      <c r="I71" s="298"/>
      <c r="J71" s="298"/>
      <c r="K71" s="298"/>
      <c r="L71" s="311"/>
      <c r="M71" s="298"/>
      <c r="N71" s="311"/>
      <c r="S71" s="723"/>
      <c r="T71" s="293"/>
      <c r="U71" s="293"/>
      <c r="V71" s="293"/>
      <c r="W71" s="293"/>
      <c r="X71" s="293"/>
    </row>
    <row r="72" spans="2:24" ht="15.75">
      <c r="B72" s="298"/>
      <c r="C72" s="298"/>
      <c r="D72" s="298"/>
      <c r="E72" s="298"/>
      <c r="F72" s="298"/>
      <c r="G72" s="298"/>
      <c r="H72" s="298"/>
      <c r="I72" s="298"/>
      <c r="J72" s="298"/>
      <c r="K72" s="298"/>
      <c r="L72" s="311"/>
      <c r="M72" s="298"/>
      <c r="N72" s="311"/>
      <c r="S72" s="723"/>
      <c r="T72" s="293"/>
      <c r="U72" s="293"/>
      <c r="V72" s="293"/>
      <c r="W72" s="293"/>
      <c r="X72" s="293"/>
    </row>
    <row r="73" spans="2:24" ht="15.75">
      <c r="B73" s="298"/>
      <c r="C73" s="298"/>
      <c r="D73" s="298"/>
      <c r="E73" s="298"/>
      <c r="F73" s="298"/>
      <c r="G73" s="298"/>
      <c r="H73" s="298"/>
      <c r="I73" s="298"/>
      <c r="J73" s="298"/>
      <c r="K73" s="298"/>
      <c r="L73" s="311"/>
      <c r="M73" s="298"/>
      <c r="N73" s="311"/>
      <c r="S73" s="723"/>
      <c r="T73" s="293"/>
      <c r="U73" s="293"/>
      <c r="V73" s="293"/>
      <c r="W73" s="293"/>
      <c r="X73" s="293"/>
    </row>
    <row r="74" spans="2:24" ht="15.75">
      <c r="B74" s="298"/>
      <c r="C74" s="298"/>
      <c r="D74" s="298"/>
      <c r="E74" s="298"/>
      <c r="F74" s="298"/>
      <c r="G74" s="298"/>
      <c r="H74" s="298"/>
      <c r="I74" s="298"/>
      <c r="J74" s="298"/>
      <c r="K74" s="298"/>
      <c r="L74" s="311"/>
      <c r="M74" s="298"/>
      <c r="N74" s="311"/>
      <c r="S74" s="723"/>
      <c r="T74" s="293"/>
      <c r="U74" s="293"/>
      <c r="V74" s="293"/>
      <c r="W74" s="293"/>
      <c r="X74" s="293"/>
    </row>
    <row r="75" spans="2:24" ht="15.75">
      <c r="B75" s="298"/>
      <c r="C75" s="298"/>
      <c r="D75" s="298"/>
      <c r="E75" s="298"/>
      <c r="F75" s="298"/>
      <c r="G75" s="298"/>
      <c r="H75" s="298"/>
      <c r="I75" s="298"/>
      <c r="J75" s="298"/>
      <c r="K75" s="298"/>
      <c r="L75" s="311"/>
      <c r="M75" s="298"/>
      <c r="N75" s="311"/>
      <c r="S75" s="723"/>
      <c r="T75" s="293"/>
      <c r="U75" s="293"/>
      <c r="V75" s="293"/>
      <c r="W75" s="293"/>
      <c r="X75" s="293"/>
    </row>
    <row r="76" spans="2:24" ht="15.75">
      <c r="B76" s="298"/>
      <c r="C76" s="298"/>
      <c r="D76" s="298"/>
      <c r="E76" s="298"/>
      <c r="F76" s="298"/>
      <c r="G76" s="298"/>
      <c r="H76" s="298"/>
      <c r="I76" s="298"/>
      <c r="J76" s="298"/>
      <c r="K76" s="298"/>
      <c r="L76" s="311"/>
      <c r="M76" s="298"/>
      <c r="N76" s="311"/>
      <c r="S76" s="723"/>
      <c r="T76" s="293"/>
      <c r="U76" s="293"/>
      <c r="V76" s="293"/>
      <c r="W76" s="293"/>
      <c r="X76" s="293"/>
    </row>
    <row r="77" spans="2:24" ht="15.75">
      <c r="B77" s="298"/>
      <c r="C77" s="298"/>
      <c r="D77" s="298"/>
      <c r="E77" s="298"/>
      <c r="F77" s="298"/>
      <c r="G77" s="298"/>
      <c r="H77" s="298"/>
      <c r="I77" s="298"/>
      <c r="J77" s="298"/>
      <c r="K77" s="298"/>
      <c r="L77" s="311"/>
      <c r="M77" s="298"/>
      <c r="N77" s="311"/>
      <c r="S77" s="723"/>
      <c r="T77" s="293"/>
      <c r="U77" s="293"/>
      <c r="V77" s="293"/>
      <c r="W77" s="293"/>
      <c r="X77" s="293"/>
    </row>
    <row r="78" spans="2:24" ht="15.75">
      <c r="B78" s="298"/>
      <c r="C78" s="298"/>
      <c r="D78" s="298"/>
      <c r="E78" s="298"/>
      <c r="F78" s="298"/>
      <c r="G78" s="298"/>
      <c r="H78" s="298"/>
      <c r="I78" s="298"/>
      <c r="J78" s="298"/>
      <c r="K78" s="298"/>
      <c r="L78" s="311"/>
      <c r="M78" s="298"/>
      <c r="N78" s="311"/>
      <c r="S78" s="723"/>
      <c r="T78" s="293"/>
      <c r="U78" s="293"/>
      <c r="V78" s="293"/>
      <c r="W78" s="293"/>
      <c r="X78" s="293"/>
    </row>
    <row r="79" spans="2:24" ht="15.75">
      <c r="B79" s="298"/>
      <c r="C79" s="298"/>
      <c r="D79" s="298"/>
      <c r="E79" s="298"/>
      <c r="F79" s="298"/>
      <c r="G79" s="298"/>
      <c r="H79" s="298"/>
      <c r="I79" s="298"/>
      <c r="J79" s="298"/>
      <c r="K79" s="298"/>
      <c r="L79" s="311"/>
      <c r="M79" s="298"/>
      <c r="N79" s="311"/>
      <c r="S79" s="723"/>
      <c r="T79" s="293"/>
      <c r="U79" s="293"/>
      <c r="V79" s="293"/>
      <c r="W79" s="293"/>
      <c r="X79" s="293"/>
    </row>
    <row r="80" spans="2:24" ht="15.75">
      <c r="B80" s="298"/>
      <c r="C80" s="298"/>
      <c r="D80" s="298"/>
      <c r="E80" s="298"/>
      <c r="F80" s="298"/>
      <c r="G80" s="298"/>
      <c r="H80" s="298"/>
      <c r="I80" s="298"/>
      <c r="J80" s="298"/>
      <c r="K80" s="298"/>
      <c r="L80" s="311"/>
      <c r="M80" s="298"/>
      <c r="N80" s="311"/>
      <c r="S80" s="723"/>
      <c r="T80" s="293"/>
      <c r="U80" s="293"/>
      <c r="V80" s="293"/>
      <c r="W80" s="293"/>
      <c r="X80" s="293"/>
    </row>
    <row r="81" spans="2:24" ht="15.75">
      <c r="B81" s="298"/>
      <c r="C81" s="298"/>
      <c r="D81" s="298"/>
      <c r="E81" s="298"/>
      <c r="F81" s="298"/>
      <c r="G81" s="298"/>
      <c r="H81" s="298"/>
      <c r="I81" s="298"/>
      <c r="J81" s="298"/>
      <c r="K81" s="298"/>
      <c r="L81" s="311"/>
      <c r="M81" s="298"/>
      <c r="N81" s="311"/>
      <c r="S81" s="723"/>
      <c r="T81" s="293"/>
      <c r="U81" s="293"/>
      <c r="V81" s="293"/>
      <c r="W81" s="293"/>
      <c r="X81" s="293"/>
    </row>
    <row r="82" spans="2:24" ht="15.75">
      <c r="B82" s="298"/>
      <c r="C82" s="298"/>
      <c r="D82" s="298"/>
      <c r="E82" s="298"/>
      <c r="F82" s="298"/>
      <c r="G82" s="298"/>
      <c r="H82" s="298"/>
      <c r="I82" s="298"/>
      <c r="J82" s="298"/>
      <c r="K82" s="298"/>
      <c r="L82" s="311"/>
      <c r="M82" s="298"/>
      <c r="N82" s="311"/>
      <c r="S82" s="723"/>
      <c r="T82" s="293"/>
      <c r="U82" s="293"/>
      <c r="V82" s="293"/>
      <c r="W82" s="293"/>
      <c r="X82" s="293"/>
    </row>
    <row r="83" spans="2:24" ht="15.75">
      <c r="B83" s="298"/>
      <c r="C83" s="298"/>
      <c r="D83" s="298"/>
      <c r="E83" s="298"/>
      <c r="F83" s="298"/>
      <c r="G83" s="298"/>
      <c r="H83" s="298"/>
      <c r="I83" s="298"/>
      <c r="J83" s="298"/>
      <c r="K83" s="298"/>
      <c r="L83" s="311"/>
      <c r="M83" s="298"/>
      <c r="N83" s="311"/>
      <c r="S83" s="723"/>
      <c r="T83" s="293"/>
      <c r="U83" s="293"/>
      <c r="V83" s="293"/>
      <c r="W83" s="293"/>
      <c r="X83" s="293"/>
    </row>
    <row r="84" spans="2:24" ht="15.75">
      <c r="B84" s="298"/>
      <c r="C84" s="298"/>
      <c r="D84" s="298"/>
      <c r="E84" s="298"/>
      <c r="F84" s="298"/>
      <c r="G84" s="298"/>
      <c r="H84" s="298"/>
      <c r="I84" s="298"/>
      <c r="J84" s="298"/>
      <c r="K84" s="298"/>
      <c r="L84" s="311"/>
      <c r="M84" s="298"/>
      <c r="N84" s="311"/>
      <c r="S84" s="723"/>
      <c r="T84" s="293"/>
      <c r="U84" s="293"/>
      <c r="V84" s="293"/>
      <c r="W84" s="293"/>
      <c r="X84" s="293"/>
    </row>
    <row r="85" spans="2:24" ht="15.75">
      <c r="B85" s="298"/>
      <c r="C85" s="298"/>
      <c r="D85" s="298"/>
      <c r="E85" s="298"/>
      <c r="F85" s="298"/>
      <c r="G85" s="298"/>
      <c r="H85" s="298"/>
      <c r="I85" s="298"/>
      <c r="J85" s="298"/>
      <c r="K85" s="298"/>
      <c r="L85" s="311"/>
      <c r="M85" s="298"/>
      <c r="N85" s="311"/>
      <c r="S85" s="723"/>
      <c r="T85" s="293"/>
      <c r="U85" s="293"/>
      <c r="V85" s="293"/>
      <c r="W85" s="293"/>
      <c r="X85" s="293"/>
    </row>
    <row r="86" spans="2:24" ht="15.75">
      <c r="B86" s="298"/>
      <c r="C86" s="298"/>
      <c r="D86" s="298"/>
      <c r="E86" s="298"/>
      <c r="F86" s="298"/>
      <c r="G86" s="298"/>
      <c r="H86" s="298"/>
      <c r="I86" s="298"/>
      <c r="J86" s="298"/>
      <c r="K86" s="298"/>
      <c r="L86" s="311"/>
      <c r="M86" s="298"/>
      <c r="N86" s="311"/>
      <c r="S86" s="723"/>
      <c r="T86" s="293"/>
      <c r="U86" s="293"/>
      <c r="V86" s="293"/>
      <c r="W86" s="293"/>
      <c r="X86" s="293"/>
    </row>
    <row r="87" spans="2:24" ht="15.75">
      <c r="B87" s="298"/>
      <c r="C87" s="298"/>
      <c r="D87" s="298"/>
      <c r="E87" s="298"/>
      <c r="F87" s="298"/>
      <c r="G87" s="298"/>
      <c r="H87" s="298"/>
      <c r="I87" s="298"/>
      <c r="J87" s="298"/>
      <c r="K87" s="298"/>
      <c r="L87" s="311"/>
      <c r="M87" s="298"/>
      <c r="N87" s="311"/>
      <c r="S87" s="723"/>
      <c r="T87" s="293"/>
      <c r="U87" s="293"/>
      <c r="V87" s="293"/>
      <c r="W87" s="293"/>
      <c r="X87" s="293"/>
    </row>
    <row r="88" spans="2:24" ht="15.75">
      <c r="B88" s="298"/>
      <c r="C88" s="298"/>
      <c r="D88" s="298"/>
      <c r="E88" s="298"/>
      <c r="F88" s="298"/>
      <c r="G88" s="298"/>
      <c r="H88" s="298"/>
      <c r="I88" s="298"/>
      <c r="J88" s="298"/>
      <c r="K88" s="298"/>
      <c r="L88" s="311"/>
      <c r="M88" s="298"/>
      <c r="N88" s="311"/>
      <c r="S88" s="723"/>
      <c r="T88" s="293"/>
      <c r="U88" s="293"/>
      <c r="V88" s="293"/>
      <c r="W88" s="293"/>
      <c r="X88" s="293"/>
    </row>
    <row r="89" spans="2:24" ht="15.75">
      <c r="B89" s="298"/>
      <c r="C89" s="298"/>
      <c r="D89" s="298"/>
      <c r="E89" s="298"/>
      <c r="F89" s="298"/>
      <c r="G89" s="298"/>
      <c r="H89" s="298"/>
      <c r="I89" s="298"/>
      <c r="J89" s="298"/>
      <c r="K89" s="298"/>
      <c r="L89" s="311"/>
      <c r="M89" s="298"/>
      <c r="N89" s="311"/>
      <c r="S89" s="723"/>
      <c r="T89" s="293"/>
      <c r="U89" s="293"/>
      <c r="V89" s="293"/>
      <c r="W89" s="293"/>
      <c r="X89" s="293"/>
    </row>
    <row r="90" spans="2:24" ht="15.75">
      <c r="B90" s="298"/>
      <c r="C90" s="298"/>
      <c r="D90" s="298"/>
      <c r="E90" s="298"/>
      <c r="F90" s="298"/>
      <c r="G90" s="298"/>
      <c r="H90" s="298"/>
      <c r="I90" s="298"/>
      <c r="J90" s="298"/>
      <c r="K90" s="298"/>
      <c r="L90" s="311"/>
      <c r="M90" s="298"/>
      <c r="N90" s="311"/>
      <c r="S90" s="723"/>
      <c r="T90" s="293"/>
      <c r="U90" s="293"/>
      <c r="V90" s="293"/>
      <c r="W90" s="293"/>
      <c r="X90" s="293"/>
    </row>
    <row r="91" spans="2:24" ht="15.75">
      <c r="B91" s="298"/>
      <c r="C91" s="298"/>
      <c r="D91" s="298"/>
      <c r="E91" s="298"/>
      <c r="F91" s="298"/>
      <c r="G91" s="298"/>
      <c r="H91" s="298"/>
      <c r="I91" s="298"/>
      <c r="J91" s="298"/>
      <c r="K91" s="298"/>
      <c r="L91" s="311"/>
      <c r="M91" s="298"/>
      <c r="N91" s="311"/>
      <c r="S91" s="723"/>
      <c r="T91" s="293"/>
      <c r="U91" s="293"/>
      <c r="V91" s="293"/>
      <c r="W91" s="293"/>
      <c r="X91" s="293"/>
    </row>
    <row r="92" spans="2:24" ht="15.75">
      <c r="B92" s="298"/>
      <c r="C92" s="298"/>
      <c r="D92" s="298"/>
      <c r="E92" s="298"/>
      <c r="F92" s="298"/>
      <c r="G92" s="298"/>
      <c r="H92" s="298"/>
      <c r="I92" s="298"/>
      <c r="J92" s="298"/>
      <c r="K92" s="298"/>
      <c r="L92" s="311"/>
      <c r="M92" s="298"/>
      <c r="N92" s="311"/>
      <c r="S92" s="723"/>
      <c r="T92" s="293"/>
      <c r="U92" s="293"/>
      <c r="V92" s="293"/>
      <c r="W92" s="293"/>
      <c r="X92" s="293"/>
    </row>
    <row r="93" spans="2:24" ht="15.75">
      <c r="B93" s="298"/>
      <c r="C93" s="298"/>
      <c r="D93" s="298"/>
      <c r="E93" s="298"/>
      <c r="F93" s="298"/>
      <c r="G93" s="298"/>
      <c r="H93" s="298"/>
      <c r="I93" s="298"/>
      <c r="J93" s="298"/>
      <c r="K93" s="298"/>
      <c r="L93" s="311"/>
      <c r="M93" s="298"/>
      <c r="N93" s="311"/>
      <c r="S93" s="723"/>
      <c r="T93" s="293"/>
      <c r="U93" s="293"/>
      <c r="V93" s="293"/>
      <c r="W93" s="293"/>
      <c r="X93" s="293"/>
    </row>
    <row r="94" spans="2:24" ht="15.75">
      <c r="B94" s="298"/>
      <c r="C94" s="298"/>
      <c r="D94" s="298"/>
      <c r="E94" s="298"/>
      <c r="F94" s="298"/>
      <c r="G94" s="298"/>
      <c r="H94" s="298"/>
      <c r="I94" s="298"/>
      <c r="J94" s="298"/>
      <c r="K94" s="298"/>
      <c r="L94" s="311"/>
      <c r="M94" s="298"/>
      <c r="N94" s="311"/>
      <c r="S94" s="723"/>
      <c r="T94" s="293"/>
      <c r="U94" s="293"/>
      <c r="V94" s="293"/>
      <c r="W94" s="293"/>
      <c r="X94" s="293"/>
    </row>
    <row r="95" spans="2:24" ht="15.75">
      <c r="B95" s="298"/>
      <c r="C95" s="298"/>
      <c r="D95" s="298"/>
      <c r="E95" s="298"/>
      <c r="F95" s="298"/>
      <c r="G95" s="298"/>
      <c r="H95" s="298"/>
      <c r="I95" s="298"/>
      <c r="J95" s="298"/>
      <c r="K95" s="298"/>
      <c r="L95" s="311"/>
      <c r="M95" s="298"/>
      <c r="N95" s="311"/>
    </row>
    <row r="96" spans="2:2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row r="118" spans="2:14" ht="15.75">
      <c r="B118" s="298"/>
      <c r="C118" s="298"/>
      <c r="D118" s="298"/>
      <c r="E118" s="298"/>
      <c r="F118" s="298"/>
      <c r="G118" s="298"/>
      <c r="H118" s="298"/>
      <c r="I118" s="298"/>
      <c r="J118" s="298"/>
      <c r="K118" s="298"/>
      <c r="L118" s="311"/>
      <c r="M118" s="298"/>
      <c r="N118" s="311"/>
    </row>
    <row r="119" spans="2:14" ht="15.75">
      <c r="B119" s="298"/>
      <c r="C119" s="298"/>
      <c r="D119" s="298"/>
      <c r="E119" s="298"/>
      <c r="F119" s="298"/>
      <c r="G119" s="298"/>
      <c r="H119" s="298"/>
      <c r="I119" s="298"/>
      <c r="J119" s="298"/>
      <c r="K119" s="298"/>
      <c r="L119" s="311"/>
      <c r="M119" s="298"/>
      <c r="N119" s="311"/>
    </row>
    <row r="120" spans="2:14" ht="15.75">
      <c r="B120" s="298"/>
      <c r="C120" s="298"/>
      <c r="D120" s="298"/>
      <c r="E120" s="298"/>
      <c r="F120" s="298"/>
      <c r="G120" s="298"/>
      <c r="H120" s="298"/>
      <c r="I120" s="298"/>
      <c r="J120" s="298"/>
      <c r="K120" s="298"/>
      <c r="L120" s="311"/>
      <c r="M120" s="298"/>
      <c r="N120" s="311"/>
    </row>
    <row r="121" spans="2:14" ht="15.75">
      <c r="B121" s="298"/>
      <c r="C121" s="298"/>
      <c r="D121" s="298"/>
      <c r="E121" s="298"/>
      <c r="F121" s="298"/>
      <c r="G121" s="298"/>
      <c r="H121" s="298"/>
      <c r="I121" s="298"/>
      <c r="J121" s="298"/>
      <c r="K121" s="298"/>
      <c r="L121" s="311"/>
      <c r="M121" s="298"/>
      <c r="N121" s="311"/>
    </row>
  </sheetData>
  <mergeCells count="4">
    <mergeCell ref="B1:N1"/>
    <mergeCell ref="B3:N3"/>
    <mergeCell ref="Q3:AC3"/>
    <mergeCell ref="B4:N4"/>
  </mergeCells>
  <printOptions horizontalCentered="1"/>
  <pageMargins left="0.5" right="0.5" top="0.5" bottom="0.5" header="0.5" footer="0.5"/>
  <pageSetup scale="74"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8" tint="0.39997558519241921"/>
  </sheetPr>
  <dimension ref="A1:AE125"/>
  <sheetViews>
    <sheetView showGridLines="0" showRuler="0" topLeftCell="B3" zoomScaleNormal="100" zoomScaleSheetLayoutView="130" workbookViewId="0">
      <selection activeCell="B68" sqref="A68:XFD76"/>
    </sheetView>
  </sheetViews>
  <sheetFormatPr defaultColWidth="6.85546875" defaultRowHeight="15.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19.7109375" style="510" hidden="1" customWidth="1"/>
    <col min="9" max="9" width="3" style="510" hidden="1" customWidth="1"/>
    <col min="10" max="10" width="17.28515625" style="510" hidden="1" customWidth="1"/>
    <col min="11" max="11" width="19.7109375" style="510" hidden="1" customWidth="1"/>
    <col min="12" max="12" width="15.7109375" style="511" customWidth="1"/>
    <col min="13" max="13" width="3" style="510" hidden="1" customWidth="1"/>
    <col min="14" max="14" width="15.7109375" style="1115" customWidth="1"/>
    <col min="15" max="15" width="23.28515625" style="283" customWidth="1"/>
    <col min="16" max="16" width="10.28515625" style="283" bestFit="1" customWidth="1"/>
    <col min="17" max="17" width="9.5703125" style="283" bestFit="1" customWidth="1"/>
    <col min="18" max="18" width="6.85546875" style="283"/>
    <col min="19" max="19" width="19.42578125" style="895" bestFit="1" customWidth="1"/>
    <col min="20" max="16384" width="6.85546875" style="283"/>
  </cols>
  <sheetData>
    <row r="1" spans="1:31" ht="23.45" hidden="1" customHeight="1">
      <c r="B1" s="1706" t="s">
        <v>370</v>
      </c>
      <c r="C1" s="1706"/>
      <c r="D1" s="1706"/>
      <c r="E1" s="1706"/>
      <c r="F1" s="1706"/>
      <c r="G1" s="1706"/>
      <c r="H1" s="1706"/>
      <c r="I1" s="1706"/>
      <c r="J1" s="1706"/>
      <c r="K1" s="1706"/>
      <c r="L1" s="1706"/>
      <c r="M1" s="1706"/>
      <c r="N1" s="1710"/>
    </row>
    <row r="2" spans="1:31" ht="18.75" hidden="1">
      <c r="B2" s="284"/>
      <c r="C2" s="493"/>
      <c r="D2" s="493"/>
      <c r="E2" s="493"/>
      <c r="F2" s="493"/>
      <c r="G2" s="493"/>
      <c r="H2" s="493"/>
      <c r="I2" s="493"/>
      <c r="J2" s="493"/>
      <c r="K2" s="493"/>
      <c r="L2" s="493"/>
      <c r="M2" s="493"/>
      <c r="N2" s="1022"/>
    </row>
    <row r="3" spans="1:31" ht="35.450000000000003" customHeight="1">
      <c r="B3" s="1704" t="s">
        <v>851</v>
      </c>
      <c r="C3" s="1704"/>
      <c r="D3" s="1704"/>
      <c r="E3" s="1704"/>
      <c r="F3" s="1704"/>
      <c r="G3" s="1704"/>
      <c r="H3" s="1704"/>
      <c r="I3" s="1704"/>
      <c r="J3" s="1704"/>
      <c r="K3" s="1704"/>
      <c r="L3" s="1704"/>
      <c r="M3" s="1704"/>
      <c r="N3" s="1704"/>
      <c r="S3" s="1709"/>
      <c r="T3" s="1709"/>
      <c r="U3" s="1709"/>
      <c r="V3" s="1709"/>
      <c r="W3" s="1709"/>
      <c r="X3" s="1709"/>
      <c r="Y3" s="1709"/>
      <c r="Z3" s="1709"/>
      <c r="AA3" s="1709"/>
      <c r="AB3" s="1709"/>
      <c r="AC3" s="1709"/>
      <c r="AD3" s="1709"/>
      <c r="AE3" s="1709"/>
    </row>
    <row r="4" spans="1:31" ht="32.25" customHeight="1" thickBot="1">
      <c r="B4" s="1711"/>
      <c r="C4" s="1711"/>
      <c r="D4" s="1711"/>
      <c r="E4" s="1711"/>
      <c r="F4" s="1711"/>
      <c r="G4" s="1711"/>
      <c r="H4" s="1711"/>
      <c r="I4" s="1711"/>
      <c r="J4" s="1711"/>
      <c r="K4" s="1711"/>
      <c r="L4" s="1711"/>
      <c r="M4" s="1711"/>
      <c r="N4" s="1711"/>
    </row>
    <row r="5" spans="1:31" s="1132" customFormat="1" ht="52.9" customHeight="1" thickBot="1">
      <c r="B5" s="1126"/>
      <c r="C5" s="1127" t="s">
        <v>981</v>
      </c>
      <c r="D5" s="1127"/>
      <c r="E5" s="1128" t="s">
        <v>982</v>
      </c>
      <c r="F5" s="1127"/>
      <c r="G5" s="1128" t="s">
        <v>980</v>
      </c>
      <c r="H5" s="1128" t="s">
        <v>407</v>
      </c>
      <c r="I5" s="1127"/>
      <c r="J5" s="1128" t="s">
        <v>593</v>
      </c>
      <c r="K5" s="1127"/>
      <c r="L5" s="1141" t="s">
        <v>989</v>
      </c>
      <c r="M5" s="1127"/>
      <c r="N5" s="1129" t="s">
        <v>985</v>
      </c>
      <c r="S5" s="1133"/>
    </row>
    <row r="6" spans="1:31">
      <c r="B6" s="288"/>
      <c r="C6" s="495"/>
      <c r="D6" s="495"/>
      <c r="E6" s="496"/>
      <c r="F6" s="496"/>
      <c r="G6" s="495"/>
      <c r="H6" s="495"/>
      <c r="I6" s="495"/>
      <c r="J6" s="495"/>
      <c r="K6" s="495"/>
      <c r="L6" s="497"/>
      <c r="M6" s="495"/>
    </row>
    <row r="7" spans="1:31" ht="16.5" thickBot="1">
      <c r="B7" s="299" t="s">
        <v>2</v>
      </c>
      <c r="C7" s="498"/>
      <c r="D7" s="498"/>
      <c r="E7" s="499"/>
      <c r="F7" s="499"/>
      <c r="G7" s="499"/>
      <c r="H7" s="499"/>
      <c r="I7" s="498"/>
      <c r="J7" s="500"/>
      <c r="K7" s="500"/>
      <c r="L7" s="501"/>
      <c r="M7" s="498"/>
      <c r="N7" s="981"/>
    </row>
    <row r="8" spans="1:31" ht="16.5" thickBot="1">
      <c r="A8" s="1461" t="s">
        <v>367</v>
      </c>
      <c r="B8" s="298" t="s">
        <v>568</v>
      </c>
      <c r="C8" s="1268">
        <v>33032</v>
      </c>
      <c r="D8" s="1243"/>
      <c r="E8" s="1268">
        <v>0</v>
      </c>
      <c r="F8" s="1268"/>
      <c r="G8" s="1268">
        <v>0</v>
      </c>
      <c r="H8" s="1268"/>
      <c r="I8" s="1268"/>
      <c r="J8" s="1268">
        <v>3709538</v>
      </c>
      <c r="K8" s="1268" t="e">
        <v>#N/A</v>
      </c>
      <c r="L8" s="1268">
        <v>0</v>
      </c>
      <c r="M8" s="1268"/>
      <c r="N8" s="1268">
        <v>0</v>
      </c>
      <c r="O8" s="283" t="s">
        <v>11</v>
      </c>
      <c r="P8" s="333">
        <v>1304655</v>
      </c>
      <c r="Q8" s="966">
        <v>6.5000000000000002E-2</v>
      </c>
    </row>
    <row r="9" spans="1:31">
      <c r="A9" s="321" t="s">
        <v>336</v>
      </c>
      <c r="B9" s="298" t="s">
        <v>6</v>
      </c>
      <c r="C9" s="1239">
        <v>5465977.3600000003</v>
      </c>
      <c r="D9" s="514"/>
      <c r="E9" s="514">
        <v>5886528</v>
      </c>
      <c r="F9" s="514"/>
      <c r="G9" s="547">
        <v>6109000</v>
      </c>
      <c r="H9" s="514"/>
      <c r="I9" s="514"/>
      <c r="J9" s="515">
        <v>3709538</v>
      </c>
      <c r="K9" s="515">
        <v>21301291</v>
      </c>
      <c r="L9" s="514">
        <v>6416943</v>
      </c>
      <c r="M9" s="514"/>
      <c r="N9" s="1239">
        <v>530415</v>
      </c>
      <c r="O9" s="283" t="s">
        <v>12</v>
      </c>
      <c r="P9" s="333">
        <v>809202</v>
      </c>
      <c r="Q9" s="966">
        <v>0.04</v>
      </c>
    </row>
    <row r="10" spans="1:31" ht="16.5" thickBot="1">
      <c r="A10" s="321" t="s">
        <v>338</v>
      </c>
      <c r="B10" s="305" t="s">
        <v>8</v>
      </c>
      <c r="C10" s="1239">
        <v>-6148.09</v>
      </c>
      <c r="D10" s="514"/>
      <c r="E10" s="514">
        <v>62410</v>
      </c>
      <c r="F10" s="514"/>
      <c r="G10" s="547">
        <v>190956</v>
      </c>
      <c r="H10" s="514"/>
      <c r="I10" s="514"/>
      <c r="J10" s="515">
        <v>3709539</v>
      </c>
      <c r="K10" s="515">
        <v>170400</v>
      </c>
      <c r="L10" s="514">
        <v>170400</v>
      </c>
      <c r="M10" s="514"/>
      <c r="N10" s="1239">
        <v>107990</v>
      </c>
      <c r="O10" s="283" t="s">
        <v>801</v>
      </c>
      <c r="P10" s="333">
        <v>1026580</v>
      </c>
      <c r="Q10" s="966">
        <v>5.0999999999999997E-2</v>
      </c>
    </row>
    <row r="11" spans="1:31" s="625" customFormat="1" ht="16.5" thickBot="1">
      <c r="A11" s="1095" t="s">
        <v>349</v>
      </c>
      <c r="B11" s="305" t="s">
        <v>28</v>
      </c>
      <c r="C11" s="1239">
        <v>1330469.3899999999</v>
      </c>
      <c r="D11" s="514"/>
      <c r="E11" s="514">
        <v>998000</v>
      </c>
      <c r="F11" s="514"/>
      <c r="G11" s="1239">
        <v>998000</v>
      </c>
      <c r="H11" s="1239"/>
      <c r="I11" s="1239"/>
      <c r="J11" s="1239">
        <v>3709540</v>
      </c>
      <c r="K11" s="1239">
        <v>1352273</v>
      </c>
      <c r="L11" s="1239">
        <v>1352273</v>
      </c>
      <c r="M11" s="514"/>
      <c r="N11" s="1239">
        <v>354273</v>
      </c>
      <c r="O11" s="283" t="s">
        <v>14</v>
      </c>
      <c r="P11" s="341">
        <v>2536109.16</v>
      </c>
      <c r="Q11" s="966">
        <v>0.126</v>
      </c>
      <c r="S11" s="879"/>
      <c r="T11" s="293"/>
    </row>
    <row r="12" spans="1:31" s="293" customFormat="1" ht="16.149999999999999" customHeight="1">
      <c r="A12" s="283"/>
      <c r="B12" s="298" t="s">
        <v>319</v>
      </c>
      <c r="C12" s="527">
        <v>0</v>
      </c>
      <c r="D12" s="514"/>
      <c r="E12" s="515">
        <v>1825215</v>
      </c>
      <c r="F12" s="515"/>
      <c r="G12" s="515">
        <v>814830</v>
      </c>
      <c r="H12" s="1239"/>
      <c r="I12" s="1239"/>
      <c r="J12" s="1239">
        <v>814830</v>
      </c>
      <c r="K12" s="1239">
        <v>0</v>
      </c>
      <c r="L12" s="1239">
        <v>0</v>
      </c>
      <c r="M12" s="514"/>
      <c r="N12" s="527">
        <v>-1825215</v>
      </c>
      <c r="O12" s="1474" t="s">
        <v>960</v>
      </c>
      <c r="P12" s="341">
        <v>127000</v>
      </c>
      <c r="Q12" s="966">
        <v>6.0000000000000001E-3</v>
      </c>
      <c r="S12" s="879"/>
    </row>
    <row r="13" spans="1:31" s="293" customFormat="1">
      <c r="A13" s="625"/>
      <c r="B13" s="622" t="s">
        <v>9</v>
      </c>
      <c r="C13" s="1026">
        <v>6823330</v>
      </c>
      <c r="D13" s="523"/>
      <c r="E13" s="523">
        <v>8772153</v>
      </c>
      <c r="F13" s="523"/>
      <c r="G13" s="523">
        <v>8112786</v>
      </c>
      <c r="H13" s="523"/>
      <c r="I13" s="523"/>
      <c r="J13" s="523">
        <v>15652985</v>
      </c>
      <c r="K13" s="523" t="e">
        <v>#N/A</v>
      </c>
      <c r="L13" s="523">
        <v>7939616</v>
      </c>
      <c r="M13" s="523"/>
      <c r="N13" s="1026">
        <v>-832537</v>
      </c>
      <c r="O13" s="293" t="s">
        <v>38</v>
      </c>
      <c r="P13" s="341">
        <v>226340</v>
      </c>
      <c r="Q13" s="966">
        <v>1.0999999999999999E-2</v>
      </c>
      <c r="S13" s="879"/>
    </row>
    <row r="14" spans="1:31" s="293" customFormat="1">
      <c r="B14" s="310"/>
      <c r="C14" s="779"/>
      <c r="D14" s="524"/>
      <c r="E14" s="515"/>
      <c r="F14" s="515"/>
      <c r="G14" s="515"/>
      <c r="H14" s="515"/>
      <c r="I14" s="524"/>
      <c r="J14" s="515"/>
      <c r="K14" s="515"/>
      <c r="L14" s="515"/>
      <c r="M14" s="524"/>
      <c r="N14" s="522"/>
      <c r="O14" s="293" t="s">
        <v>23</v>
      </c>
      <c r="P14" s="341">
        <v>14122948.690958904</v>
      </c>
      <c r="Q14" s="966">
        <v>0.70099999999999996</v>
      </c>
      <c r="S14" s="879"/>
    </row>
    <row r="15" spans="1:31" s="293" customFormat="1" ht="16.5" thickBot="1">
      <c r="B15" s="313" t="s">
        <v>320</v>
      </c>
      <c r="C15" s="779"/>
      <c r="D15" s="623"/>
      <c r="E15" s="515"/>
      <c r="F15" s="515"/>
      <c r="G15" s="515"/>
      <c r="H15" s="515"/>
      <c r="I15" s="623"/>
      <c r="J15" s="515"/>
      <c r="K15" s="515"/>
      <c r="L15" s="515"/>
      <c r="M15" s="623"/>
      <c r="N15" s="522"/>
      <c r="O15" s="293" t="s">
        <v>25</v>
      </c>
      <c r="P15" s="340">
        <v>20152834.850958906</v>
      </c>
      <c r="Q15" s="668">
        <v>1</v>
      </c>
      <c r="S15" s="879"/>
    </row>
    <row r="16" spans="1:31" s="293" customFormat="1" ht="16.5" thickTop="1">
      <c r="B16" s="311" t="s">
        <v>327</v>
      </c>
      <c r="C16" s="527">
        <v>12025485.310000002</v>
      </c>
      <c r="D16" s="514"/>
      <c r="E16" s="515">
        <v>11202834</v>
      </c>
      <c r="F16" s="515"/>
      <c r="G16" s="515">
        <v>12213219</v>
      </c>
      <c r="H16" s="515"/>
      <c r="I16" s="514"/>
      <c r="J16" s="515">
        <v>12213219</v>
      </c>
      <c r="K16" s="515">
        <v>11262226.85219178</v>
      </c>
      <c r="L16" s="515">
        <v>12213219</v>
      </c>
      <c r="M16" s="514"/>
      <c r="N16" s="528">
        <v>1010385</v>
      </c>
      <c r="S16" s="879"/>
    </row>
    <row r="17" spans="1:20" s="293" customFormat="1">
      <c r="B17" s="622" t="s">
        <v>20</v>
      </c>
      <c r="C17" s="1026">
        <v>12025485.310000002</v>
      </c>
      <c r="D17" s="523"/>
      <c r="E17" s="523">
        <v>11202834</v>
      </c>
      <c r="F17" s="523"/>
      <c r="G17" s="523">
        <v>12213219</v>
      </c>
      <c r="H17" s="523"/>
      <c r="I17" s="523"/>
      <c r="J17" s="523">
        <v>12213219</v>
      </c>
      <c r="K17" s="523">
        <v>11262226.85219178</v>
      </c>
      <c r="L17" s="523">
        <v>12213219</v>
      </c>
      <c r="M17" s="523"/>
      <c r="N17" s="1026">
        <v>1010385</v>
      </c>
      <c r="S17" s="879"/>
    </row>
    <row r="18" spans="1:20" s="293" customFormat="1" ht="16.5" thickBot="1">
      <c r="B18" s="616" t="s">
        <v>21</v>
      </c>
      <c r="C18" s="1028">
        <v>18848815.310000002</v>
      </c>
      <c r="D18" s="617"/>
      <c r="E18" s="617">
        <v>19974987</v>
      </c>
      <c r="F18" s="617"/>
      <c r="G18" s="617">
        <v>20326005</v>
      </c>
      <c r="H18" s="617"/>
      <c r="I18" s="617"/>
      <c r="J18" s="617">
        <v>27866204</v>
      </c>
      <c r="K18" s="617" t="e">
        <v>#N/A</v>
      </c>
      <c r="L18" s="617">
        <v>20152835</v>
      </c>
      <c r="M18" s="617"/>
      <c r="N18" s="1028">
        <v>177848</v>
      </c>
      <c r="O18" s="293" t="s">
        <v>6</v>
      </c>
      <c r="P18" s="341">
        <v>6416943</v>
      </c>
      <c r="Q18" s="608">
        <v>0.31900000000000001</v>
      </c>
      <c r="S18" s="879"/>
    </row>
    <row r="19" spans="1:20" s="293" customFormat="1" ht="16.5" thickTop="1">
      <c r="B19" s="316"/>
      <c r="C19" s="528"/>
      <c r="D19" s="619"/>
      <c r="E19" s="515"/>
      <c r="F19" s="515"/>
      <c r="G19" s="515"/>
      <c r="H19" s="515"/>
      <c r="I19" s="619"/>
      <c r="J19" s="515"/>
      <c r="K19" s="515"/>
      <c r="L19" s="515"/>
      <c r="M19" s="619"/>
      <c r="N19" s="522"/>
      <c r="O19" s="293" t="s">
        <v>8</v>
      </c>
      <c r="P19" s="341">
        <v>170400</v>
      </c>
      <c r="Q19" s="608">
        <v>8.0000000000000002E-3</v>
      </c>
      <c r="S19" s="879"/>
    </row>
    <row r="20" spans="1:20" s="293" customFormat="1">
      <c r="B20" s="349" t="s">
        <v>10</v>
      </c>
      <c r="C20" s="1027"/>
      <c r="D20" s="620"/>
      <c r="E20" s="514"/>
      <c r="F20" s="514"/>
      <c r="G20" s="515"/>
      <c r="H20" s="515"/>
      <c r="I20" s="620"/>
      <c r="J20" s="515"/>
      <c r="K20" s="515"/>
      <c r="L20" s="514"/>
      <c r="M20" s="620"/>
      <c r="N20" s="518"/>
      <c r="O20" s="293" t="s">
        <v>28</v>
      </c>
      <c r="P20" s="341">
        <v>1352273</v>
      </c>
      <c r="Q20" s="608">
        <v>6.7000000000000004E-2</v>
      </c>
      <c r="S20" s="879"/>
    </row>
    <row r="21" spans="1:20" s="293" customFormat="1">
      <c r="A21" s="621" t="s">
        <v>340</v>
      </c>
      <c r="B21" s="316" t="s">
        <v>11</v>
      </c>
      <c r="C21" s="1239">
        <v>1390377.91</v>
      </c>
      <c r="D21" s="514"/>
      <c r="E21" s="514">
        <v>1740898</v>
      </c>
      <c r="F21" s="514"/>
      <c r="G21" s="547">
        <v>1566094.91</v>
      </c>
      <c r="H21" s="514"/>
      <c r="I21" s="514"/>
      <c r="J21" s="515">
        <v>3709538</v>
      </c>
      <c r="K21" s="515">
        <v>1304655</v>
      </c>
      <c r="L21" s="514">
        <v>1304655</v>
      </c>
      <c r="M21" s="514"/>
      <c r="N21" s="1239">
        <v>-436243</v>
      </c>
      <c r="O21" s="293" t="s">
        <v>319</v>
      </c>
      <c r="P21" s="341">
        <v>0</v>
      </c>
      <c r="Q21" s="608">
        <v>0</v>
      </c>
      <c r="S21" s="879"/>
    </row>
    <row r="22" spans="1:20" s="293" customFormat="1">
      <c r="A22" s="621" t="s">
        <v>341</v>
      </c>
      <c r="B22" s="316" t="s">
        <v>12</v>
      </c>
      <c r="C22" s="1239">
        <v>537287.49</v>
      </c>
      <c r="D22" s="514"/>
      <c r="E22" s="514">
        <v>734408</v>
      </c>
      <c r="F22" s="514"/>
      <c r="G22" s="547">
        <v>693011.18</v>
      </c>
      <c r="H22" s="514"/>
      <c r="I22" s="514"/>
      <c r="J22" s="515">
        <v>3709538</v>
      </c>
      <c r="K22" s="515">
        <v>809202</v>
      </c>
      <c r="L22" s="514">
        <v>809202</v>
      </c>
      <c r="M22" s="514"/>
      <c r="N22" s="1239">
        <v>74794</v>
      </c>
      <c r="O22" s="293" t="s">
        <v>19</v>
      </c>
      <c r="P22" s="341">
        <v>12213219</v>
      </c>
      <c r="Q22" s="608">
        <v>0.60599999999999998</v>
      </c>
      <c r="S22" s="879"/>
    </row>
    <row r="23" spans="1:20" s="293" customFormat="1" ht="21">
      <c r="A23" s="621" t="s">
        <v>342</v>
      </c>
      <c r="B23" s="316" t="s">
        <v>801</v>
      </c>
      <c r="C23" s="1239">
        <v>647150.62</v>
      </c>
      <c r="D23" s="514"/>
      <c r="E23" s="514">
        <v>1226870.78</v>
      </c>
      <c r="F23" s="514"/>
      <c r="G23" s="547">
        <v>880466</v>
      </c>
      <c r="H23" s="514"/>
      <c r="I23" s="514"/>
      <c r="J23" s="515">
        <v>3709538</v>
      </c>
      <c r="K23" s="515">
        <v>1026580</v>
      </c>
      <c r="L23" s="514">
        <v>1026580</v>
      </c>
      <c r="M23" s="514"/>
      <c r="N23" s="1239">
        <v>-200290.78000000003</v>
      </c>
      <c r="O23" s="538" t="s">
        <v>21</v>
      </c>
      <c r="P23" s="654">
        <v>20152835</v>
      </c>
      <c r="Q23" s="1537">
        <v>1</v>
      </c>
      <c r="S23" s="879"/>
    </row>
    <row r="24" spans="1:20" s="293" customFormat="1">
      <c r="A24" s="621" t="s">
        <v>343</v>
      </c>
      <c r="B24" s="316" t="s">
        <v>14</v>
      </c>
      <c r="C24" s="1239">
        <v>2147222.29</v>
      </c>
      <c r="D24" s="514"/>
      <c r="E24" s="514">
        <v>1800730</v>
      </c>
      <c r="F24" s="514"/>
      <c r="G24" s="547">
        <v>1703968</v>
      </c>
      <c r="H24" s="514"/>
      <c r="I24" s="514"/>
      <c r="J24" s="515">
        <v>3709538</v>
      </c>
      <c r="K24" s="515">
        <v>2399249.16</v>
      </c>
      <c r="L24" s="514">
        <v>2536109.16</v>
      </c>
      <c r="M24" s="514"/>
      <c r="N24" s="1239">
        <v>735379.16000000015</v>
      </c>
      <c r="S24" s="879"/>
    </row>
    <row r="25" spans="1:20" s="293" customFormat="1">
      <c r="A25" s="621" t="s">
        <v>350</v>
      </c>
      <c r="B25" s="316" t="s">
        <v>15</v>
      </c>
      <c r="C25" s="1239">
        <v>823416</v>
      </c>
      <c r="D25" s="514"/>
      <c r="E25" s="514">
        <v>726068</v>
      </c>
      <c r="F25" s="514"/>
      <c r="G25" s="547">
        <v>726068</v>
      </c>
      <c r="H25" s="514"/>
      <c r="I25" s="514"/>
      <c r="J25" s="515">
        <v>3709538</v>
      </c>
      <c r="K25" s="515">
        <v>127000</v>
      </c>
      <c r="L25" s="514">
        <v>127000</v>
      </c>
      <c r="M25" s="514"/>
      <c r="N25" s="1239">
        <v>-599068</v>
      </c>
      <c r="S25" s="879"/>
    </row>
    <row r="26" spans="1:20" s="293" customFormat="1">
      <c r="A26" s="621"/>
      <c r="B26" s="316" t="s">
        <v>1001</v>
      </c>
      <c r="C26" s="518">
        <v>0</v>
      </c>
      <c r="D26" s="514"/>
      <c r="E26" s="1239">
        <v>2373000</v>
      </c>
      <c r="F26" s="1239"/>
      <c r="G26" s="1239">
        <v>2373000</v>
      </c>
      <c r="H26" s="1239"/>
      <c r="I26" s="1239"/>
      <c r="J26" s="528">
        <v>3709538</v>
      </c>
      <c r="K26" s="528">
        <v>226340</v>
      </c>
      <c r="L26" s="1239">
        <v>0</v>
      </c>
      <c r="M26" s="514"/>
      <c r="N26" s="1239">
        <v>-2373000</v>
      </c>
      <c r="S26" s="879"/>
    </row>
    <row r="27" spans="1:20" s="293" customFormat="1" ht="16.5" thickBot="1">
      <c r="A27" s="621" t="s">
        <v>346</v>
      </c>
      <c r="B27" s="316" t="s">
        <v>999</v>
      </c>
      <c r="C27" s="1239">
        <v>275312</v>
      </c>
      <c r="D27" s="514"/>
      <c r="E27" s="514">
        <v>170178</v>
      </c>
      <c r="F27" s="514"/>
      <c r="G27" s="547">
        <v>170178</v>
      </c>
      <c r="H27" s="514"/>
      <c r="I27" s="514"/>
      <c r="J27" s="515"/>
      <c r="K27" s="515"/>
      <c r="L27" s="514">
        <v>226340</v>
      </c>
      <c r="M27" s="514"/>
      <c r="N27" s="1239">
        <v>56162</v>
      </c>
      <c r="S27" s="879"/>
    </row>
    <row r="28" spans="1:20" s="293" customFormat="1" ht="16.5" thickBot="1">
      <c r="A28" s="1496" t="s">
        <v>344</v>
      </c>
      <c r="B28" s="622" t="s">
        <v>22</v>
      </c>
      <c r="C28" s="1026">
        <v>5820766.3100000005</v>
      </c>
      <c r="D28" s="523"/>
      <c r="E28" s="523">
        <v>8772152.7800000012</v>
      </c>
      <c r="F28" s="523"/>
      <c r="G28" s="523">
        <v>8112786.0899999999</v>
      </c>
      <c r="H28" s="523"/>
      <c r="I28" s="523"/>
      <c r="J28" s="523">
        <v>22257228</v>
      </c>
      <c r="K28" s="523">
        <v>5893026.1600000001</v>
      </c>
      <c r="L28" s="523">
        <v>6029886.1600000001</v>
      </c>
      <c r="M28" s="523"/>
      <c r="N28" s="1026">
        <v>-2742266.620000001</v>
      </c>
      <c r="S28" s="879"/>
    </row>
    <row r="29" spans="1:20" s="293" customFormat="1">
      <c r="B29" s="311"/>
      <c r="C29" s="527"/>
      <c r="D29" s="525"/>
      <c r="E29" s="515"/>
      <c r="F29" s="515"/>
      <c r="G29" s="515"/>
      <c r="H29" s="515"/>
      <c r="I29" s="525"/>
      <c r="J29" s="515"/>
      <c r="K29" s="515"/>
      <c r="L29" s="515"/>
      <c r="M29" s="525"/>
      <c r="N29" s="522"/>
      <c r="S29" s="1302"/>
    </row>
    <row r="30" spans="1:20" s="293" customFormat="1">
      <c r="B30" s="313" t="s">
        <v>321</v>
      </c>
      <c r="C30" s="779"/>
      <c r="D30" s="623"/>
      <c r="E30" s="525"/>
      <c r="F30" s="525"/>
      <c r="G30" s="525"/>
      <c r="H30" s="525"/>
      <c r="I30" s="623"/>
      <c r="J30" s="525"/>
      <c r="K30" s="525"/>
      <c r="L30" s="525"/>
      <c r="M30" s="623"/>
      <c r="N30" s="518"/>
      <c r="O30" s="661"/>
      <c r="P30" s="344"/>
      <c r="Q30" s="344"/>
      <c r="R30" s="344"/>
      <c r="S30" s="542"/>
      <c r="T30" s="344"/>
    </row>
    <row r="31" spans="1:20" s="625" customFormat="1">
      <c r="A31" s="293"/>
      <c r="B31" s="316" t="s">
        <v>322</v>
      </c>
      <c r="C31" s="528">
        <v>1765822.1478082193</v>
      </c>
      <c r="D31" s="522"/>
      <c r="E31" s="528">
        <v>1195091.7947945206</v>
      </c>
      <c r="F31" s="522"/>
      <c r="G31" s="528">
        <v>1113800.0110958903</v>
      </c>
      <c r="H31" s="522"/>
      <c r="I31" s="522"/>
      <c r="J31" s="522">
        <v>1113800.0110958903</v>
      </c>
      <c r="K31" s="522">
        <v>0</v>
      </c>
      <c r="L31" s="528">
        <v>1015641.6909589041</v>
      </c>
      <c r="M31" s="515"/>
      <c r="N31" s="527">
        <v>-179450.10383561649</v>
      </c>
      <c r="O31" s="1794"/>
      <c r="P31" s="661"/>
      <c r="Q31" s="661"/>
      <c r="R31" s="661"/>
      <c r="S31" s="542"/>
      <c r="T31" s="661"/>
    </row>
    <row r="32" spans="1:20" s="293" customFormat="1">
      <c r="B32" s="316" t="s">
        <v>31</v>
      </c>
      <c r="C32" s="526">
        <v>11262226.85219178</v>
      </c>
      <c r="D32" s="526"/>
      <c r="E32" s="526">
        <v>10007742.425205478</v>
      </c>
      <c r="F32" s="526"/>
      <c r="G32" s="1029">
        <v>11099418.898904109</v>
      </c>
      <c r="H32" s="526"/>
      <c r="I32" s="526"/>
      <c r="J32" s="526">
        <v>11695674</v>
      </c>
      <c r="K32" s="526">
        <v>11894915.34</v>
      </c>
      <c r="L32" s="526">
        <v>13107307</v>
      </c>
      <c r="M32" s="526"/>
      <c r="N32" s="1029">
        <v>3099564.5747945216</v>
      </c>
      <c r="O32" s="1786"/>
      <c r="P32" s="344"/>
      <c r="Q32" s="344"/>
      <c r="R32" s="344"/>
      <c r="S32" s="542"/>
      <c r="T32" s="344"/>
    </row>
    <row r="33" spans="1:20" s="293" customFormat="1">
      <c r="A33" s="625"/>
      <c r="B33" s="1246" t="s">
        <v>323</v>
      </c>
      <c r="C33" s="1027">
        <v>13028049</v>
      </c>
      <c r="D33" s="516"/>
      <c r="E33" s="530">
        <v>11202834.219999999</v>
      </c>
      <c r="F33" s="530"/>
      <c r="G33" s="1116">
        <v>12213218.91</v>
      </c>
      <c r="H33" s="524"/>
      <c r="I33" s="516"/>
      <c r="J33" s="530">
        <v>12809474.011095891</v>
      </c>
      <c r="K33" s="530">
        <v>11894915.34</v>
      </c>
      <c r="L33" s="530">
        <v>14122948.690958904</v>
      </c>
      <c r="M33" s="516"/>
      <c r="N33" s="1116">
        <v>2920115</v>
      </c>
      <c r="O33" s="729"/>
      <c r="P33" s="344"/>
      <c r="Q33" s="344"/>
      <c r="R33" s="344"/>
      <c r="S33" s="542"/>
      <c r="T33" s="344"/>
    </row>
    <row r="34" spans="1:20" s="293" customFormat="1" ht="16.5" thickBot="1">
      <c r="B34" s="616" t="s">
        <v>25</v>
      </c>
      <c r="C34" s="1269">
        <v>18848815.310000002</v>
      </c>
      <c r="D34" s="627"/>
      <c r="E34" s="1267">
        <v>19974987</v>
      </c>
      <c r="F34" s="1269"/>
      <c r="G34" s="1267">
        <v>20326005</v>
      </c>
      <c r="H34" s="1267"/>
      <c r="I34" s="1269"/>
      <c r="J34" s="627">
        <v>35066702.011095889</v>
      </c>
      <c r="K34" s="627">
        <v>17787941.5</v>
      </c>
      <c r="L34" s="1269">
        <v>20152834.850958906</v>
      </c>
      <c r="M34" s="1267"/>
      <c r="N34" s="1269">
        <v>177847.85095890611</v>
      </c>
      <c r="O34" s="729"/>
      <c r="P34" s="344"/>
      <c r="Q34" s="344"/>
      <c r="R34" s="344"/>
      <c r="S34" s="542"/>
      <c r="T34" s="344"/>
    </row>
    <row r="35" spans="1:20" s="293" customFormat="1" ht="16.5" thickTop="1">
      <c r="B35" s="313"/>
      <c r="C35" s="524"/>
      <c r="D35" s="524"/>
      <c r="E35" s="529"/>
      <c r="F35" s="529"/>
      <c r="G35" s="529"/>
      <c r="H35" s="529"/>
      <c r="I35" s="524"/>
      <c r="J35" s="529"/>
      <c r="K35" s="529"/>
      <c r="L35" s="529"/>
      <c r="M35" s="524"/>
      <c r="N35" s="893"/>
      <c r="O35" s="344"/>
      <c r="P35" s="344"/>
      <c r="Q35" s="344"/>
      <c r="R35" s="344"/>
      <c r="S35" s="542"/>
      <c r="T35" s="344"/>
    </row>
    <row r="36" spans="1:20" s="293" customFormat="1">
      <c r="B36" s="313"/>
      <c r="C36" s="524"/>
      <c r="D36" s="524"/>
      <c r="E36" s="529"/>
      <c r="F36" s="529"/>
      <c r="G36" s="529"/>
      <c r="H36" s="529"/>
      <c r="I36" s="524"/>
      <c r="J36" s="529"/>
      <c r="K36" s="529"/>
      <c r="L36" s="529"/>
      <c r="M36" s="524"/>
      <c r="N36" s="893"/>
      <c r="O36" s="1759"/>
      <c r="P36" s="344"/>
      <c r="Q36" s="344"/>
      <c r="R36" s="344"/>
      <c r="S36" s="542"/>
      <c r="T36" s="344"/>
    </row>
    <row r="37" spans="1:20" s="293" customFormat="1">
      <c r="B37" s="313"/>
      <c r="C37" s="524"/>
      <c r="D37" s="524"/>
      <c r="E37" s="529"/>
      <c r="F37" s="529"/>
      <c r="G37" s="529"/>
      <c r="H37" s="529"/>
      <c r="I37" s="524"/>
      <c r="J37" s="529"/>
      <c r="K37" s="529"/>
      <c r="L37" s="529"/>
      <c r="M37" s="524"/>
      <c r="N37" s="893"/>
      <c r="O37" s="344"/>
      <c r="P37" s="344"/>
      <c r="Q37" s="344"/>
      <c r="R37" s="344"/>
      <c r="S37" s="542"/>
      <c r="T37" s="344"/>
    </row>
    <row r="38" spans="1:20" s="293" customFormat="1">
      <c r="B38" s="313"/>
      <c r="C38" s="524"/>
      <c r="D38" s="524"/>
      <c r="E38" s="529"/>
      <c r="F38" s="529"/>
      <c r="G38" s="529"/>
      <c r="H38" s="529"/>
      <c r="I38" s="524"/>
      <c r="J38" s="529"/>
      <c r="K38" s="529"/>
      <c r="L38" s="529"/>
      <c r="M38" s="524"/>
      <c r="N38" s="893"/>
      <c r="O38" s="344"/>
      <c r="P38" s="344"/>
      <c r="Q38" s="344"/>
      <c r="R38" s="344"/>
      <c r="S38" s="542"/>
      <c r="T38" s="344"/>
    </row>
    <row r="39" spans="1:20" s="293" customFormat="1">
      <c r="B39" s="313"/>
      <c r="C39" s="502"/>
      <c r="D39" s="502"/>
      <c r="E39" s="506"/>
      <c r="F39" s="506"/>
      <c r="G39" s="506"/>
      <c r="H39" s="506"/>
      <c r="I39" s="502"/>
      <c r="J39" s="506"/>
      <c r="K39" s="506"/>
      <c r="L39" s="506"/>
      <c r="M39" s="502"/>
      <c r="N39" s="1080"/>
      <c r="O39" s="344"/>
      <c r="P39" s="344"/>
      <c r="Q39" s="344"/>
      <c r="R39" s="344"/>
      <c r="S39" s="729"/>
      <c r="T39" s="344"/>
    </row>
    <row r="40" spans="1:20" s="293" customFormat="1">
      <c r="B40" s="313"/>
      <c r="C40" s="502"/>
      <c r="D40" s="502"/>
      <c r="E40" s="506"/>
      <c r="F40" s="506"/>
      <c r="G40" s="506"/>
      <c r="H40" s="506"/>
      <c r="I40" s="502"/>
      <c r="J40" s="506"/>
      <c r="K40" s="506"/>
      <c r="L40" s="506"/>
      <c r="M40" s="502"/>
      <c r="N40" s="1080"/>
      <c r="O40" s="344"/>
      <c r="P40" s="344"/>
      <c r="Q40" s="344"/>
      <c r="R40" s="344"/>
      <c r="S40" s="729"/>
      <c r="T40" s="344"/>
    </row>
    <row r="41" spans="1:20" s="293" customFormat="1">
      <c r="B41" s="313"/>
      <c r="C41" s="502"/>
      <c r="D41" s="502"/>
      <c r="E41" s="506"/>
      <c r="F41" s="506"/>
      <c r="G41" s="506"/>
      <c r="H41" s="506"/>
      <c r="I41" s="502"/>
      <c r="J41" s="506"/>
      <c r="K41" s="506"/>
      <c r="L41" s="506"/>
      <c r="M41" s="502"/>
      <c r="N41" s="1080"/>
      <c r="O41" s="344"/>
      <c r="P41" s="344"/>
      <c r="Q41" s="344"/>
      <c r="R41" s="344"/>
      <c r="S41" s="729"/>
      <c r="T41" s="344"/>
    </row>
    <row r="42" spans="1:20" s="293" customFormat="1">
      <c r="B42" s="313"/>
      <c r="C42" s="502"/>
      <c r="D42" s="502"/>
      <c r="E42" s="506"/>
      <c r="F42" s="506"/>
      <c r="G42" s="506"/>
      <c r="H42" s="506"/>
      <c r="I42" s="502"/>
      <c r="J42" s="506"/>
      <c r="K42" s="506"/>
      <c r="L42" s="506"/>
      <c r="M42" s="502"/>
      <c r="N42" s="1080"/>
      <c r="O42" s="344"/>
      <c r="P42" s="344"/>
      <c r="Q42" s="344"/>
      <c r="R42" s="729"/>
      <c r="S42" s="729"/>
      <c r="T42" s="344"/>
    </row>
    <row r="43" spans="1:20" s="293" customFormat="1">
      <c r="B43" s="313"/>
      <c r="C43" s="502"/>
      <c r="D43" s="502"/>
      <c r="E43" s="506"/>
      <c r="F43" s="506"/>
      <c r="G43" s="506"/>
      <c r="H43" s="506"/>
      <c r="I43" s="502"/>
      <c r="J43" s="506"/>
      <c r="K43" s="506"/>
      <c r="L43" s="506"/>
      <c r="M43" s="502"/>
      <c r="N43" s="1080"/>
      <c r="O43" s="344"/>
      <c r="P43" s="344"/>
      <c r="Q43" s="344"/>
      <c r="R43" s="729"/>
      <c r="S43" s="729"/>
      <c r="T43" s="344"/>
    </row>
    <row r="44" spans="1:20" s="293" customFormat="1">
      <c r="B44" s="313"/>
      <c r="C44" s="502"/>
      <c r="D44" s="502"/>
      <c r="E44" s="506"/>
      <c r="F44" s="506"/>
      <c r="G44" s="506"/>
      <c r="H44" s="506"/>
      <c r="I44" s="502"/>
      <c r="J44" s="506"/>
      <c r="K44" s="506"/>
      <c r="L44" s="506"/>
      <c r="M44" s="502"/>
      <c r="N44" s="1080"/>
      <c r="O44" s="344"/>
      <c r="P44" s="344"/>
      <c r="Q44" s="344"/>
      <c r="R44" s="729"/>
      <c r="S44" s="729"/>
      <c r="T44" s="344"/>
    </row>
    <row r="45" spans="1:20" s="293" customFormat="1">
      <c r="B45" s="313"/>
      <c r="C45" s="502"/>
      <c r="D45" s="502"/>
      <c r="E45" s="506"/>
      <c r="F45" s="506"/>
      <c r="G45" s="506"/>
      <c r="H45" s="506"/>
      <c r="I45" s="502"/>
      <c r="J45" s="506"/>
      <c r="K45" s="506"/>
      <c r="L45" s="506"/>
      <c r="M45" s="502"/>
      <c r="N45" s="1080"/>
      <c r="O45" s="344"/>
      <c r="P45" s="344"/>
      <c r="Q45" s="344"/>
      <c r="R45" s="729"/>
      <c r="S45" s="729"/>
      <c r="T45" s="344"/>
    </row>
    <row r="46" spans="1:20" s="293" customFormat="1">
      <c r="B46" s="313"/>
      <c r="C46" s="502"/>
      <c r="D46" s="502"/>
      <c r="E46" s="506"/>
      <c r="F46" s="506"/>
      <c r="G46" s="506"/>
      <c r="H46" s="506"/>
      <c r="I46" s="502"/>
      <c r="J46" s="506"/>
      <c r="K46" s="506"/>
      <c r="L46" s="506"/>
      <c r="M46" s="502"/>
      <c r="N46" s="1080"/>
      <c r="O46" s="344"/>
      <c r="P46" s="344"/>
      <c r="Q46" s="344"/>
      <c r="R46" s="729"/>
      <c r="S46" s="729"/>
      <c r="T46" s="344"/>
    </row>
    <row r="47" spans="1:20" s="293" customFormat="1">
      <c r="B47" s="313"/>
      <c r="C47" s="502"/>
      <c r="D47" s="502"/>
      <c r="E47" s="506"/>
      <c r="F47" s="506"/>
      <c r="G47" s="506"/>
      <c r="H47" s="506"/>
      <c r="I47" s="502"/>
      <c r="J47" s="506"/>
      <c r="K47" s="506"/>
      <c r="L47" s="506"/>
      <c r="M47" s="502"/>
      <c r="N47" s="1080"/>
      <c r="O47" s="344"/>
      <c r="P47" s="344"/>
      <c r="Q47" s="344"/>
      <c r="R47" s="729"/>
      <c r="S47" s="344"/>
      <c r="T47" s="344"/>
    </row>
    <row r="48" spans="1:20" s="293" customFormat="1">
      <c r="B48" s="313"/>
      <c r="C48" s="502"/>
      <c r="D48" s="502"/>
      <c r="E48" s="506"/>
      <c r="F48" s="506"/>
      <c r="G48" s="506"/>
      <c r="H48" s="506"/>
      <c r="I48" s="502"/>
      <c r="J48" s="506"/>
      <c r="K48" s="506"/>
      <c r="L48" s="506"/>
      <c r="M48" s="502"/>
      <c r="N48" s="1080"/>
      <c r="O48" s="344"/>
      <c r="P48" s="344"/>
      <c r="Q48" s="344"/>
      <c r="R48" s="729"/>
      <c r="S48" s="344"/>
      <c r="T48" s="344"/>
    </row>
    <row r="49" spans="1:20" s="293" customFormat="1">
      <c r="B49" s="313"/>
      <c r="C49" s="502"/>
      <c r="D49" s="502"/>
      <c r="E49" s="506"/>
      <c r="F49" s="506"/>
      <c r="G49" s="506"/>
      <c r="H49" s="506"/>
      <c r="I49" s="502"/>
      <c r="J49" s="506"/>
      <c r="K49" s="506"/>
      <c r="L49" s="506"/>
      <c r="M49" s="502"/>
      <c r="N49" s="1080"/>
      <c r="O49" s="344"/>
      <c r="P49" s="344"/>
      <c r="Q49" s="729"/>
      <c r="R49" s="1757"/>
      <c r="S49" s="344"/>
      <c r="T49" s="344"/>
    </row>
    <row r="50" spans="1:20" s="293" customFormat="1">
      <c r="B50" s="313"/>
      <c r="C50" s="502"/>
      <c r="D50" s="502"/>
      <c r="E50" s="506"/>
      <c r="F50" s="506"/>
      <c r="G50" s="506"/>
      <c r="H50" s="506"/>
      <c r="I50" s="502"/>
      <c r="J50" s="506"/>
      <c r="K50" s="506"/>
      <c r="L50" s="506"/>
      <c r="M50" s="502"/>
      <c r="N50" s="1080"/>
      <c r="Q50" s="723"/>
      <c r="S50" s="879"/>
    </row>
    <row r="51" spans="1:20" s="293" customFormat="1">
      <c r="B51" s="313"/>
      <c r="C51" s="502"/>
      <c r="D51" s="502"/>
      <c r="E51" s="506"/>
      <c r="F51" s="506"/>
      <c r="G51" s="506"/>
      <c r="H51" s="506"/>
      <c r="I51" s="502"/>
      <c r="J51" s="506"/>
      <c r="K51" s="506"/>
      <c r="L51" s="506"/>
      <c r="M51" s="502"/>
      <c r="N51" s="1080"/>
      <c r="S51" s="879"/>
    </row>
    <row r="52" spans="1:20" s="293" customFormat="1">
      <c r="B52" s="313"/>
      <c r="C52" s="502"/>
      <c r="D52" s="502"/>
      <c r="E52" s="506"/>
      <c r="F52" s="506"/>
      <c r="G52" s="506"/>
      <c r="H52" s="506"/>
      <c r="I52" s="502"/>
      <c r="J52" s="506"/>
      <c r="K52" s="506"/>
      <c r="L52" s="506"/>
      <c r="M52" s="502"/>
      <c r="N52" s="1080"/>
      <c r="S52" s="879"/>
    </row>
    <row r="53" spans="1:20" s="293" customFormat="1">
      <c r="B53" s="313"/>
      <c r="C53" s="502"/>
      <c r="D53" s="502"/>
      <c r="E53" s="506"/>
      <c r="F53" s="506"/>
      <c r="G53" s="506"/>
      <c r="H53" s="506"/>
      <c r="I53" s="502"/>
      <c r="J53" s="506"/>
      <c r="K53" s="506"/>
      <c r="L53" s="506"/>
      <c r="M53" s="502"/>
      <c r="N53" s="1080"/>
      <c r="S53" s="879"/>
    </row>
    <row r="54" spans="1:20" s="293" customFormat="1">
      <c r="B54" s="313"/>
      <c r="C54" s="502"/>
      <c r="D54" s="502"/>
      <c r="E54" s="506"/>
      <c r="F54" s="506"/>
      <c r="G54" s="506"/>
      <c r="H54" s="506"/>
      <c r="I54" s="502"/>
      <c r="J54" s="506"/>
      <c r="K54" s="506"/>
      <c r="L54" s="506"/>
      <c r="M54" s="502"/>
      <c r="N54" s="1080"/>
      <c r="S54" s="879"/>
    </row>
    <row r="55" spans="1:20" s="293" customFormat="1">
      <c r="B55" s="313"/>
      <c r="C55" s="502"/>
      <c r="D55" s="502"/>
      <c r="E55" s="506"/>
      <c r="F55" s="506"/>
      <c r="G55" s="506"/>
      <c r="H55" s="506"/>
      <c r="I55" s="502"/>
      <c r="J55" s="506"/>
      <c r="K55" s="506"/>
      <c r="L55" s="506"/>
      <c r="M55" s="502"/>
      <c r="N55" s="1080"/>
      <c r="S55" s="879"/>
    </row>
    <row r="56" spans="1:20" s="293" customFormat="1">
      <c r="B56" s="313"/>
      <c r="C56" s="502"/>
      <c r="D56" s="502"/>
      <c r="E56" s="506"/>
      <c r="F56" s="506"/>
      <c r="G56" s="506"/>
      <c r="H56" s="506"/>
      <c r="I56" s="502"/>
      <c r="J56" s="506"/>
      <c r="K56" s="506"/>
      <c r="L56" s="506"/>
      <c r="M56" s="502"/>
      <c r="N56" s="1080"/>
      <c r="S56" s="879"/>
    </row>
    <row r="57" spans="1:20" s="293" customFormat="1">
      <c r="B57" s="313"/>
      <c r="C57" s="502"/>
      <c r="D57" s="502"/>
      <c r="E57" s="506"/>
      <c r="F57" s="506"/>
      <c r="G57" s="506"/>
      <c r="H57" s="506"/>
      <c r="I57" s="502"/>
      <c r="J57" s="506"/>
      <c r="K57" s="506"/>
      <c r="L57" s="506"/>
      <c r="M57" s="502"/>
      <c r="N57" s="1080"/>
      <c r="S57" s="879"/>
    </row>
    <row r="58" spans="1:20" s="344" customFormat="1">
      <c r="A58" s="293"/>
      <c r="B58" s="313"/>
      <c r="C58" s="502"/>
      <c r="D58" s="502"/>
      <c r="E58" s="506"/>
      <c r="F58" s="506"/>
      <c r="G58" s="506"/>
      <c r="H58" s="506"/>
      <c r="I58" s="502"/>
      <c r="J58" s="506"/>
      <c r="K58" s="506"/>
      <c r="L58" s="506"/>
      <c r="M58" s="502"/>
      <c r="N58" s="1080"/>
      <c r="S58" s="542"/>
    </row>
    <row r="59" spans="1:20" s="293" customFormat="1">
      <c r="B59" s="313"/>
      <c r="C59" s="502"/>
      <c r="D59" s="502"/>
      <c r="E59" s="506"/>
      <c r="F59" s="506"/>
      <c r="G59" s="506"/>
      <c r="H59" s="506"/>
      <c r="I59" s="502"/>
      <c r="J59" s="506"/>
      <c r="K59" s="506"/>
      <c r="L59" s="506"/>
      <c r="M59" s="502"/>
      <c r="N59" s="1080"/>
      <c r="S59" s="879"/>
    </row>
    <row r="60" spans="1:20" s="293" customFormat="1">
      <c r="A60" s="344"/>
      <c r="B60" s="313"/>
      <c r="C60" s="502"/>
      <c r="D60" s="502"/>
      <c r="E60" s="506"/>
      <c r="F60" s="506"/>
      <c r="G60" s="506"/>
      <c r="H60" s="506"/>
      <c r="I60" s="502"/>
      <c r="J60" s="506"/>
      <c r="K60" s="506"/>
      <c r="L60" s="506"/>
      <c r="M60" s="502"/>
      <c r="N60" s="1080"/>
      <c r="S60" s="879"/>
    </row>
    <row r="61" spans="1:20" s="293" customFormat="1">
      <c r="B61" s="313"/>
      <c r="C61" s="502"/>
      <c r="D61" s="502"/>
      <c r="E61" s="506"/>
      <c r="F61" s="506"/>
      <c r="G61" s="506"/>
      <c r="H61" s="506"/>
      <c r="I61" s="502"/>
      <c r="J61" s="506"/>
      <c r="K61" s="506"/>
      <c r="L61" s="506"/>
      <c r="M61" s="502"/>
      <c r="N61" s="1080"/>
      <c r="S61" s="879"/>
    </row>
    <row r="62" spans="1:20" s="293" customFormat="1">
      <c r="B62" s="313"/>
      <c r="C62" s="502"/>
      <c r="D62" s="502"/>
      <c r="E62" s="506"/>
      <c r="F62" s="506"/>
      <c r="G62" s="506"/>
      <c r="H62" s="506"/>
      <c r="I62" s="502"/>
      <c r="J62" s="506"/>
      <c r="K62" s="506"/>
      <c r="L62" s="506"/>
      <c r="M62" s="502"/>
      <c r="N62" s="1080"/>
      <c r="S62" s="879"/>
    </row>
    <row r="63" spans="1:20" s="293" customFormat="1">
      <c r="B63" s="313"/>
      <c r="C63" s="502"/>
      <c r="D63" s="502"/>
      <c r="E63" s="506"/>
      <c r="F63" s="506"/>
      <c r="G63" s="506"/>
      <c r="H63" s="506"/>
      <c r="I63" s="502"/>
      <c r="J63" s="506"/>
      <c r="K63" s="506"/>
      <c r="L63" s="506"/>
      <c r="M63" s="502"/>
      <c r="N63" s="1080"/>
      <c r="S63" s="879"/>
    </row>
    <row r="64" spans="1:20" s="293" customFormat="1">
      <c r="B64" s="313"/>
      <c r="C64" s="502"/>
      <c r="D64" s="502"/>
      <c r="E64" s="506"/>
      <c r="F64" s="506"/>
      <c r="G64" s="506"/>
      <c r="H64" s="506"/>
      <c r="I64" s="502"/>
      <c r="J64" s="506"/>
      <c r="K64" s="506"/>
      <c r="L64" s="506"/>
      <c r="M64" s="502"/>
      <c r="N64" s="1080"/>
      <c r="S64" s="879"/>
    </row>
    <row r="65" spans="1:19" s="293" customFormat="1">
      <c r="B65" s="313"/>
      <c r="C65" s="502"/>
      <c r="D65" s="502"/>
      <c r="E65" s="506"/>
      <c r="F65" s="506"/>
      <c r="G65" s="506"/>
      <c r="H65" s="506"/>
      <c r="I65" s="502"/>
      <c r="J65" s="506"/>
      <c r="K65" s="506"/>
      <c r="L65" s="506"/>
      <c r="M65" s="502"/>
      <c r="N65" s="1080"/>
      <c r="S65" s="879"/>
    </row>
    <row r="66" spans="1:19" s="293" customFormat="1">
      <c r="B66" s="313"/>
      <c r="C66" s="502"/>
      <c r="D66" s="502"/>
      <c r="E66" s="506"/>
      <c r="F66" s="506"/>
      <c r="G66" s="506"/>
      <c r="H66" s="506"/>
      <c r="I66" s="502"/>
      <c r="J66" s="506"/>
      <c r="K66" s="506"/>
      <c r="L66" s="506"/>
      <c r="M66" s="502"/>
      <c r="N66" s="1080"/>
      <c r="S66" s="879"/>
    </row>
    <row r="67" spans="1:19">
      <c r="A67" s="293"/>
      <c r="B67" s="313"/>
      <c r="C67" s="502"/>
      <c r="D67" s="502"/>
      <c r="E67" s="506"/>
      <c r="F67" s="506"/>
      <c r="G67" s="506"/>
      <c r="H67" s="506"/>
      <c r="I67" s="502"/>
      <c r="J67" s="506"/>
      <c r="K67" s="506"/>
      <c r="L67" s="506"/>
      <c r="M67" s="502"/>
      <c r="N67" s="1080"/>
    </row>
    <row r="68" spans="1:19">
      <c r="A68" s="293"/>
      <c r="B68" s="313"/>
      <c r="C68" s="502"/>
      <c r="D68" s="502"/>
      <c r="E68" s="506"/>
      <c r="F68" s="506"/>
      <c r="G68" s="506"/>
      <c r="H68" s="506"/>
      <c r="I68" s="502"/>
      <c r="J68" s="506"/>
      <c r="K68" s="506"/>
      <c r="L68" s="506"/>
      <c r="M68" s="502"/>
      <c r="N68" s="1080"/>
    </row>
    <row r="69" spans="1:19">
      <c r="B69" s="313"/>
      <c r="C69" s="978"/>
      <c r="D69" s="978"/>
      <c r="E69" s="978"/>
      <c r="F69" s="978"/>
      <c r="G69" s="978"/>
      <c r="H69" s="978"/>
      <c r="I69" s="978"/>
      <c r="J69" s="978"/>
      <c r="K69" s="978"/>
      <c r="L69" s="978"/>
      <c r="M69" s="978"/>
      <c r="N69" s="978"/>
    </row>
    <row r="70" spans="1:19">
      <c r="B70" s="313"/>
      <c r="C70" s="978"/>
      <c r="D70" s="978"/>
      <c r="E70" s="979"/>
      <c r="F70" s="979"/>
      <c r="G70" s="978"/>
      <c r="H70" s="978"/>
      <c r="I70" s="978"/>
      <c r="J70" s="978"/>
      <c r="K70" s="978"/>
      <c r="L70" s="980"/>
      <c r="M70" s="978"/>
      <c r="N70" s="980"/>
    </row>
    <row r="71" spans="1:19" s="293" customFormat="1">
      <c r="A71" s="283"/>
      <c r="B71" s="298"/>
      <c r="C71" s="981"/>
      <c r="D71" s="981"/>
      <c r="E71" s="981"/>
      <c r="F71" s="981"/>
      <c r="G71" s="981"/>
      <c r="H71" s="981"/>
      <c r="I71" s="981"/>
      <c r="J71" s="981"/>
      <c r="K71" s="981"/>
      <c r="L71" s="981"/>
      <c r="M71" s="981"/>
      <c r="N71" s="981"/>
      <c r="S71" s="879"/>
    </row>
    <row r="72" spans="1:19">
      <c r="B72" s="298"/>
      <c r="C72" s="504"/>
      <c r="D72" s="504"/>
      <c r="E72" s="504"/>
      <c r="F72" s="504"/>
      <c r="G72" s="504"/>
      <c r="H72" s="504"/>
      <c r="I72" s="504"/>
      <c r="J72" s="504"/>
      <c r="K72" s="504"/>
      <c r="L72" s="505"/>
      <c r="M72" s="504"/>
      <c r="N72" s="981"/>
    </row>
    <row r="73" spans="1:19">
      <c r="A73" s="621"/>
      <c r="B73" s="316"/>
      <c r="C73" s="514"/>
      <c r="D73" s="514"/>
      <c r="E73" s="514"/>
      <c r="F73" s="514"/>
      <c r="G73" s="514"/>
      <c r="H73" s="514"/>
      <c r="I73" s="514"/>
      <c r="J73" s="515"/>
      <c r="K73" s="515"/>
      <c r="L73" s="514"/>
      <c r="M73" s="514"/>
      <c r="N73" s="518"/>
    </row>
    <row r="74" spans="1:19">
      <c r="B74" s="299"/>
      <c r="C74" s="498"/>
      <c r="D74" s="498"/>
      <c r="E74" s="504"/>
      <c r="F74" s="504"/>
      <c r="G74" s="504"/>
      <c r="H74" s="504"/>
      <c r="I74" s="498"/>
      <c r="J74" s="504"/>
      <c r="K74" s="504"/>
      <c r="L74" s="505"/>
      <c r="M74" s="498"/>
      <c r="N74" s="981"/>
    </row>
    <row r="75" spans="1:19">
      <c r="B75" s="298"/>
      <c r="C75" s="504"/>
      <c r="D75" s="504"/>
      <c r="E75" s="504"/>
      <c r="F75" s="504"/>
      <c r="G75" s="504"/>
      <c r="H75" s="504"/>
      <c r="I75" s="504"/>
      <c r="J75" s="504"/>
      <c r="K75" s="504"/>
      <c r="L75" s="505"/>
      <c r="M75" s="504"/>
      <c r="N75" s="981"/>
    </row>
    <row r="76" spans="1:19">
      <c r="B76" s="298"/>
      <c r="C76" s="504"/>
      <c r="D76" s="504"/>
      <c r="E76" s="504"/>
      <c r="F76" s="504"/>
      <c r="G76" s="504"/>
      <c r="H76" s="504"/>
      <c r="I76" s="504"/>
      <c r="J76" s="504"/>
      <c r="K76" s="504"/>
      <c r="L76" s="505"/>
      <c r="M76" s="504"/>
      <c r="N76" s="981"/>
    </row>
    <row r="77" spans="1:19">
      <c r="B77" s="298"/>
      <c r="C77" s="504"/>
      <c r="D77" s="504"/>
      <c r="E77" s="504"/>
      <c r="F77" s="504"/>
      <c r="G77" s="504"/>
      <c r="H77" s="504"/>
      <c r="I77" s="504"/>
      <c r="J77" s="504"/>
      <c r="K77" s="504"/>
      <c r="L77" s="505"/>
      <c r="M77" s="504"/>
      <c r="N77" s="981"/>
    </row>
    <row r="78" spans="1:19">
      <c r="B78" s="298"/>
      <c r="C78" s="504"/>
      <c r="D78" s="504"/>
      <c r="E78" s="504"/>
      <c r="F78" s="504"/>
      <c r="G78" s="504"/>
      <c r="H78" s="504"/>
      <c r="I78" s="504"/>
      <c r="J78" s="504"/>
      <c r="K78" s="504"/>
      <c r="L78" s="505"/>
      <c r="M78" s="504"/>
      <c r="N78" s="981"/>
    </row>
    <row r="79" spans="1:19">
      <c r="B79" s="298"/>
      <c r="C79" s="504"/>
      <c r="D79" s="504"/>
      <c r="E79" s="504"/>
      <c r="F79" s="504"/>
      <c r="G79" s="504"/>
      <c r="H79" s="504"/>
      <c r="I79" s="504"/>
      <c r="J79" s="504"/>
      <c r="K79" s="504"/>
      <c r="L79" s="505"/>
      <c r="M79" s="504"/>
      <c r="N79" s="981"/>
    </row>
    <row r="80" spans="1:19">
      <c r="B80" s="298"/>
      <c r="C80" s="504"/>
      <c r="D80" s="504"/>
      <c r="E80" s="504"/>
      <c r="F80" s="504"/>
      <c r="G80" s="504"/>
      <c r="H80" s="504"/>
      <c r="I80" s="504"/>
      <c r="J80" s="504"/>
      <c r="K80" s="504"/>
      <c r="L80" s="505"/>
      <c r="M80" s="504"/>
      <c r="N80" s="981"/>
    </row>
    <row r="81" spans="2:14">
      <c r="B81" s="298"/>
      <c r="C81" s="504"/>
      <c r="D81" s="504"/>
      <c r="E81" s="504"/>
      <c r="F81" s="504"/>
      <c r="G81" s="504"/>
      <c r="H81" s="504"/>
      <c r="I81" s="504"/>
      <c r="J81" s="504"/>
      <c r="K81" s="504"/>
      <c r="L81" s="505"/>
      <c r="M81" s="504"/>
      <c r="N81" s="981"/>
    </row>
    <row r="82" spans="2:14">
      <c r="B82" s="298"/>
      <c r="C82" s="504"/>
      <c r="D82" s="504"/>
      <c r="E82" s="504"/>
      <c r="F82" s="504"/>
      <c r="G82" s="504"/>
      <c r="H82" s="504"/>
      <c r="I82" s="504"/>
      <c r="J82" s="504"/>
      <c r="K82" s="504"/>
      <c r="L82" s="505"/>
      <c r="M82" s="504"/>
      <c r="N82" s="981"/>
    </row>
    <row r="83" spans="2:14">
      <c r="B83" s="298"/>
      <c r="C83" s="504"/>
      <c r="D83" s="504"/>
      <c r="E83" s="504"/>
      <c r="F83" s="504"/>
      <c r="G83" s="504"/>
      <c r="H83" s="504"/>
      <c r="I83" s="504"/>
      <c r="J83" s="504"/>
      <c r="K83" s="504"/>
      <c r="L83" s="505"/>
      <c r="M83" s="504"/>
      <c r="N83" s="981"/>
    </row>
    <row r="84" spans="2:14">
      <c r="B84" s="298"/>
      <c r="C84" s="504"/>
      <c r="D84" s="504"/>
      <c r="E84" s="504"/>
      <c r="F84" s="504"/>
      <c r="G84" s="504"/>
      <c r="H84" s="504"/>
      <c r="I84" s="504"/>
      <c r="J84" s="504"/>
      <c r="K84" s="504"/>
      <c r="L84" s="505"/>
      <c r="M84" s="504"/>
      <c r="N84" s="981"/>
    </row>
    <row r="85" spans="2:14">
      <c r="B85" s="298"/>
      <c r="C85" s="504"/>
      <c r="D85" s="504"/>
      <c r="E85" s="504"/>
      <c r="F85" s="504"/>
      <c r="G85" s="504"/>
      <c r="H85" s="504"/>
      <c r="I85" s="504"/>
      <c r="J85" s="504"/>
      <c r="K85" s="504"/>
      <c r="L85" s="505"/>
      <c r="M85" s="504"/>
      <c r="N85" s="981"/>
    </row>
    <row r="86" spans="2:14">
      <c r="B86" s="298"/>
      <c r="C86" s="504"/>
      <c r="D86" s="504"/>
      <c r="E86" s="504"/>
      <c r="F86" s="504"/>
      <c r="G86" s="504"/>
      <c r="H86" s="504"/>
      <c r="I86" s="504"/>
      <c r="J86" s="504"/>
      <c r="K86" s="504"/>
      <c r="L86" s="505"/>
      <c r="M86" s="504"/>
      <c r="N86" s="981"/>
    </row>
    <row r="87" spans="2:14">
      <c r="B87" s="298"/>
      <c r="C87" s="504"/>
      <c r="D87" s="504"/>
      <c r="E87" s="504"/>
      <c r="F87" s="504"/>
      <c r="G87" s="504"/>
      <c r="H87" s="504"/>
      <c r="I87" s="504"/>
      <c r="J87" s="504"/>
      <c r="K87" s="504"/>
      <c r="L87" s="505"/>
      <c r="M87" s="504"/>
      <c r="N87" s="981"/>
    </row>
    <row r="88" spans="2:14">
      <c r="B88" s="298"/>
      <c r="C88" s="504"/>
      <c r="D88" s="504"/>
      <c r="E88" s="504"/>
      <c r="F88" s="504"/>
      <c r="G88" s="504"/>
      <c r="H88" s="504"/>
      <c r="I88" s="504"/>
      <c r="J88" s="504"/>
      <c r="K88" s="504"/>
      <c r="L88" s="505"/>
      <c r="M88" s="504"/>
      <c r="N88" s="981"/>
    </row>
    <row r="89" spans="2:14">
      <c r="B89" s="298"/>
      <c r="C89" s="504"/>
      <c r="D89" s="504"/>
      <c r="E89" s="504"/>
      <c r="F89" s="504"/>
      <c r="G89" s="504"/>
      <c r="H89" s="504"/>
      <c r="I89" s="504"/>
      <c r="J89" s="504"/>
      <c r="K89" s="504"/>
      <c r="L89" s="505"/>
      <c r="M89" s="504"/>
      <c r="N89" s="981"/>
    </row>
    <row r="90" spans="2:14">
      <c r="B90" s="298"/>
      <c r="C90" s="504"/>
      <c r="D90" s="504"/>
      <c r="E90" s="504"/>
      <c r="F90" s="504"/>
      <c r="G90" s="504"/>
      <c r="H90" s="504"/>
      <c r="I90" s="504"/>
      <c r="J90" s="504"/>
      <c r="K90" s="504"/>
      <c r="L90" s="505"/>
      <c r="M90" s="504"/>
      <c r="N90" s="981"/>
    </row>
    <row r="91" spans="2:14">
      <c r="B91" s="298"/>
      <c r="C91" s="504"/>
      <c r="D91" s="504"/>
      <c r="E91" s="504"/>
      <c r="F91" s="504"/>
      <c r="G91" s="504"/>
      <c r="H91" s="504"/>
      <c r="I91" s="504"/>
      <c r="J91" s="504"/>
      <c r="K91" s="504"/>
      <c r="L91" s="505"/>
      <c r="M91" s="504"/>
      <c r="N91" s="981"/>
    </row>
    <row r="92" spans="2:14">
      <c r="B92" s="298"/>
      <c r="C92" s="504"/>
      <c r="D92" s="504"/>
      <c r="E92" s="504"/>
      <c r="F92" s="504"/>
      <c r="G92" s="504"/>
      <c r="H92" s="504"/>
      <c r="I92" s="504"/>
      <c r="J92" s="504"/>
      <c r="K92" s="504"/>
      <c r="L92" s="505"/>
      <c r="M92" s="504"/>
      <c r="N92" s="981"/>
    </row>
    <row r="93" spans="2:14">
      <c r="B93" s="298"/>
      <c r="C93" s="504"/>
      <c r="D93" s="504"/>
      <c r="E93" s="504"/>
      <c r="F93" s="504"/>
      <c r="G93" s="504"/>
      <c r="H93" s="504"/>
      <c r="I93" s="504"/>
      <c r="J93" s="504"/>
      <c r="K93" s="504"/>
      <c r="L93" s="505"/>
      <c r="M93" s="504"/>
      <c r="N93" s="981"/>
    </row>
    <row r="94" spans="2:14">
      <c r="B94" s="298"/>
      <c r="C94" s="504"/>
      <c r="D94" s="504"/>
      <c r="E94" s="504"/>
      <c r="F94" s="504"/>
      <c r="G94" s="504"/>
      <c r="H94" s="504"/>
      <c r="I94" s="504"/>
      <c r="J94" s="504"/>
      <c r="K94" s="504"/>
      <c r="L94" s="505"/>
      <c r="M94" s="504"/>
      <c r="N94" s="981"/>
    </row>
    <row r="95" spans="2:14">
      <c r="B95" s="298"/>
      <c r="C95" s="504"/>
      <c r="D95" s="504"/>
      <c r="E95" s="504"/>
      <c r="F95" s="504"/>
      <c r="G95" s="504"/>
      <c r="H95" s="504"/>
      <c r="I95" s="504"/>
      <c r="J95" s="504"/>
      <c r="K95" s="504"/>
      <c r="L95" s="505"/>
      <c r="M95" s="504"/>
      <c r="N95" s="981"/>
    </row>
    <row r="96" spans="2:14">
      <c r="B96" s="298"/>
      <c r="C96" s="504"/>
      <c r="D96" s="504"/>
      <c r="E96" s="504"/>
      <c r="F96" s="504"/>
      <c r="G96" s="504"/>
      <c r="H96" s="504"/>
      <c r="I96" s="504"/>
      <c r="J96" s="504"/>
      <c r="K96" s="504"/>
      <c r="L96" s="505"/>
      <c r="M96" s="504"/>
      <c r="N96" s="981"/>
    </row>
    <row r="97" spans="2:14">
      <c r="B97" s="298"/>
      <c r="C97" s="504"/>
      <c r="D97" s="504"/>
      <c r="E97" s="504"/>
      <c r="F97" s="504"/>
      <c r="G97" s="504"/>
      <c r="H97" s="504"/>
      <c r="I97" s="504"/>
      <c r="J97" s="504"/>
      <c r="K97" s="504"/>
      <c r="L97" s="505"/>
      <c r="M97" s="504"/>
      <c r="N97" s="981"/>
    </row>
    <row r="98" spans="2:14">
      <c r="B98" s="298"/>
      <c r="C98" s="504"/>
      <c r="D98" s="504"/>
      <c r="E98" s="504"/>
      <c r="F98" s="504"/>
      <c r="G98" s="504"/>
      <c r="H98" s="504"/>
      <c r="I98" s="504"/>
      <c r="J98" s="504"/>
      <c r="K98" s="504"/>
      <c r="L98" s="505"/>
      <c r="M98" s="504"/>
      <c r="N98" s="981"/>
    </row>
    <row r="99" spans="2:14">
      <c r="B99" s="298"/>
      <c r="C99" s="504"/>
      <c r="D99" s="504"/>
      <c r="E99" s="504"/>
      <c r="F99" s="504"/>
      <c r="G99" s="504"/>
      <c r="H99" s="504"/>
      <c r="I99" s="504"/>
      <c r="J99" s="504"/>
      <c r="K99" s="504"/>
      <c r="L99" s="505"/>
      <c r="M99" s="504"/>
      <c r="N99" s="981"/>
    </row>
    <row r="100" spans="2:14">
      <c r="B100" s="298"/>
      <c r="C100" s="504"/>
      <c r="D100" s="504"/>
      <c r="E100" s="504"/>
      <c r="F100" s="504"/>
      <c r="G100" s="504"/>
      <c r="H100" s="504"/>
      <c r="I100" s="504"/>
      <c r="J100" s="504"/>
      <c r="K100" s="504"/>
      <c r="L100" s="505"/>
      <c r="M100" s="504"/>
      <c r="N100" s="981"/>
    </row>
    <row r="101" spans="2:14">
      <c r="B101" s="298"/>
      <c r="C101" s="504"/>
      <c r="D101" s="504"/>
      <c r="E101" s="504"/>
      <c r="F101" s="504"/>
      <c r="G101" s="504"/>
      <c r="H101" s="504"/>
      <c r="I101" s="504"/>
      <c r="J101" s="504"/>
      <c r="K101" s="504"/>
      <c r="L101" s="505"/>
      <c r="M101" s="504"/>
      <c r="N101" s="981"/>
    </row>
    <row r="102" spans="2:14">
      <c r="B102" s="298"/>
      <c r="C102" s="504"/>
      <c r="D102" s="504"/>
      <c r="E102" s="504"/>
      <c r="F102" s="504"/>
      <c r="G102" s="504"/>
      <c r="H102" s="504"/>
      <c r="I102" s="504"/>
      <c r="J102" s="504"/>
      <c r="K102" s="504"/>
      <c r="L102" s="505"/>
      <c r="M102" s="504"/>
      <c r="N102" s="981"/>
    </row>
    <row r="103" spans="2:14">
      <c r="B103" s="298"/>
      <c r="C103" s="504"/>
      <c r="D103" s="504"/>
      <c r="E103" s="504"/>
      <c r="F103" s="504"/>
      <c r="G103" s="504"/>
      <c r="H103" s="504"/>
      <c r="I103" s="504"/>
      <c r="J103" s="504"/>
      <c r="K103" s="504"/>
      <c r="L103" s="505"/>
      <c r="M103" s="504"/>
      <c r="N103" s="981"/>
    </row>
    <row r="104" spans="2:14">
      <c r="B104" s="298"/>
      <c r="C104" s="504"/>
      <c r="D104" s="504"/>
      <c r="E104" s="504"/>
      <c r="F104" s="504"/>
      <c r="G104" s="504"/>
      <c r="H104" s="504"/>
      <c r="I104" s="504"/>
      <c r="J104" s="504"/>
      <c r="K104" s="504"/>
      <c r="L104" s="505"/>
      <c r="M104" s="504"/>
      <c r="N104" s="981"/>
    </row>
    <row r="105" spans="2:14">
      <c r="B105" s="298"/>
      <c r="C105" s="504"/>
      <c r="D105" s="504"/>
      <c r="E105" s="504"/>
      <c r="F105" s="504"/>
      <c r="G105" s="504"/>
      <c r="H105" s="504"/>
      <c r="I105" s="504"/>
      <c r="J105" s="504"/>
      <c r="K105" s="504"/>
      <c r="L105" s="505"/>
      <c r="M105" s="504"/>
      <c r="N105" s="981"/>
    </row>
    <row r="106" spans="2:14">
      <c r="B106" s="298"/>
      <c r="C106" s="504"/>
      <c r="D106" s="504"/>
      <c r="E106" s="504"/>
      <c r="F106" s="504"/>
      <c r="G106" s="504"/>
      <c r="H106" s="504"/>
      <c r="I106" s="504"/>
      <c r="J106" s="504"/>
      <c r="K106" s="504"/>
      <c r="L106" s="505"/>
      <c r="M106" s="504"/>
      <c r="N106" s="981"/>
    </row>
    <row r="107" spans="2:14">
      <c r="B107" s="298"/>
      <c r="C107" s="504"/>
      <c r="D107" s="504"/>
      <c r="E107" s="504"/>
      <c r="F107" s="504"/>
      <c r="G107" s="504"/>
      <c r="H107" s="504"/>
      <c r="I107" s="504"/>
      <c r="J107" s="504"/>
      <c r="K107" s="504"/>
      <c r="L107" s="505"/>
      <c r="M107" s="504"/>
      <c r="N107" s="981"/>
    </row>
    <row r="108" spans="2:14">
      <c r="B108" s="298"/>
      <c r="C108" s="504"/>
      <c r="D108" s="504"/>
      <c r="E108" s="504"/>
      <c r="F108" s="504"/>
      <c r="G108" s="504"/>
      <c r="H108" s="504"/>
      <c r="I108" s="504"/>
      <c r="J108" s="504"/>
      <c r="K108" s="504"/>
      <c r="L108" s="505"/>
      <c r="M108" s="504"/>
      <c r="N108" s="981"/>
    </row>
    <row r="109" spans="2:14">
      <c r="B109" s="298"/>
      <c r="C109" s="504"/>
      <c r="D109" s="504"/>
      <c r="E109" s="504"/>
      <c r="F109" s="504"/>
      <c r="G109" s="504"/>
      <c r="H109" s="504"/>
      <c r="I109" s="504"/>
      <c r="J109" s="504"/>
      <c r="K109" s="504"/>
      <c r="L109" s="505"/>
      <c r="M109" s="504"/>
      <c r="N109" s="981"/>
    </row>
    <row r="110" spans="2:14">
      <c r="B110" s="298"/>
      <c r="C110" s="504"/>
      <c r="D110" s="504"/>
      <c r="E110" s="504"/>
      <c r="F110" s="504"/>
      <c r="G110" s="504"/>
      <c r="H110" s="504"/>
      <c r="I110" s="504"/>
      <c r="J110" s="504"/>
      <c r="K110" s="504"/>
      <c r="L110" s="505"/>
      <c r="M110" s="504"/>
      <c r="N110" s="981"/>
    </row>
    <row r="111" spans="2:14">
      <c r="B111" s="298"/>
      <c r="C111" s="504"/>
      <c r="D111" s="504"/>
      <c r="E111" s="504"/>
      <c r="F111" s="504"/>
      <c r="G111" s="504"/>
      <c r="H111" s="504"/>
      <c r="I111" s="504"/>
      <c r="J111" s="504"/>
      <c r="K111" s="504"/>
      <c r="L111" s="505"/>
      <c r="M111" s="504"/>
      <c r="N111" s="981"/>
    </row>
    <row r="112" spans="2:14">
      <c r="B112" s="298"/>
      <c r="C112" s="504"/>
      <c r="D112" s="504"/>
      <c r="E112" s="504"/>
      <c r="F112" s="504"/>
      <c r="G112" s="504"/>
      <c r="H112" s="504"/>
      <c r="I112" s="504"/>
      <c r="J112" s="504"/>
      <c r="K112" s="504"/>
      <c r="L112" s="505"/>
      <c r="M112" s="504"/>
      <c r="N112" s="981"/>
    </row>
    <row r="113" spans="2:14">
      <c r="B113" s="298"/>
      <c r="C113" s="504"/>
      <c r="D113" s="504"/>
      <c r="E113" s="504"/>
      <c r="F113" s="504"/>
      <c r="G113" s="504"/>
      <c r="H113" s="504"/>
      <c r="I113" s="504"/>
      <c r="J113" s="504"/>
      <c r="K113" s="504"/>
      <c r="L113" s="505"/>
      <c r="M113" s="504"/>
      <c r="N113" s="981"/>
    </row>
    <row r="114" spans="2:14">
      <c r="B114" s="298"/>
      <c r="C114" s="504"/>
      <c r="D114" s="504"/>
      <c r="E114" s="504"/>
      <c r="F114" s="504"/>
      <c r="G114" s="504"/>
      <c r="H114" s="504"/>
      <c r="I114" s="504"/>
      <c r="J114" s="504"/>
      <c r="K114" s="504"/>
      <c r="L114" s="505"/>
      <c r="M114" s="504"/>
      <c r="N114" s="981"/>
    </row>
    <row r="115" spans="2:14">
      <c r="B115" s="298"/>
      <c r="C115" s="504"/>
      <c r="D115" s="504"/>
      <c r="E115" s="504"/>
      <c r="F115" s="504"/>
      <c r="G115" s="504"/>
      <c r="H115" s="504"/>
      <c r="I115" s="504"/>
      <c r="J115" s="504"/>
      <c r="K115" s="504"/>
      <c r="L115" s="505"/>
      <c r="M115" s="504"/>
      <c r="N115" s="981"/>
    </row>
    <row r="116" spans="2:14">
      <c r="B116" s="298"/>
      <c r="C116" s="504"/>
      <c r="D116" s="504"/>
      <c r="E116" s="504"/>
      <c r="F116" s="504"/>
      <c r="G116" s="504"/>
      <c r="H116" s="504"/>
      <c r="I116" s="504"/>
      <c r="J116" s="504"/>
      <c r="K116" s="504"/>
      <c r="L116" s="505"/>
      <c r="M116" s="504"/>
      <c r="N116" s="981"/>
    </row>
    <row r="117" spans="2:14">
      <c r="B117" s="298"/>
      <c r="C117" s="504"/>
      <c r="D117" s="504"/>
      <c r="E117" s="504"/>
      <c r="F117" s="504"/>
      <c r="G117" s="504"/>
      <c r="H117" s="504"/>
      <c r="I117" s="504"/>
      <c r="J117" s="504"/>
      <c r="K117" s="504"/>
      <c r="L117" s="505"/>
      <c r="M117" s="504"/>
      <c r="N117" s="981"/>
    </row>
    <row r="118" spans="2:14">
      <c r="B118" s="298"/>
      <c r="C118" s="504"/>
      <c r="D118" s="504"/>
      <c r="E118" s="504"/>
      <c r="F118" s="504"/>
      <c r="G118" s="504"/>
      <c r="H118" s="504"/>
      <c r="I118" s="504"/>
      <c r="J118" s="504"/>
      <c r="K118" s="504"/>
      <c r="L118" s="505"/>
      <c r="M118" s="504"/>
      <c r="N118" s="981"/>
    </row>
    <row r="119" spans="2:14">
      <c r="B119" s="298"/>
      <c r="C119" s="504"/>
      <c r="D119" s="504"/>
      <c r="E119" s="504"/>
      <c r="F119" s="504"/>
      <c r="G119" s="504"/>
      <c r="H119" s="504"/>
      <c r="I119" s="504"/>
      <c r="J119" s="504"/>
      <c r="K119" s="504"/>
      <c r="L119" s="505"/>
      <c r="M119" s="504"/>
      <c r="N119" s="981"/>
    </row>
    <row r="120" spans="2:14">
      <c r="B120" s="298"/>
      <c r="C120" s="504"/>
      <c r="D120" s="504"/>
      <c r="E120" s="504"/>
      <c r="F120" s="504"/>
      <c r="G120" s="504"/>
      <c r="H120" s="504"/>
      <c r="I120" s="504"/>
      <c r="J120" s="504"/>
      <c r="K120" s="504"/>
      <c r="L120" s="505"/>
      <c r="M120" s="504"/>
      <c r="N120" s="981"/>
    </row>
    <row r="121" spans="2:14">
      <c r="B121" s="298"/>
      <c r="C121" s="504"/>
      <c r="D121" s="504"/>
      <c r="E121" s="504"/>
      <c r="F121" s="504"/>
      <c r="G121" s="504"/>
      <c r="H121" s="504"/>
      <c r="I121" s="504"/>
      <c r="J121" s="504"/>
      <c r="K121" s="504"/>
      <c r="L121" s="505"/>
      <c r="M121" s="504"/>
      <c r="N121" s="981"/>
    </row>
    <row r="122" spans="2:14">
      <c r="B122" s="298"/>
      <c r="C122" s="504"/>
      <c r="D122" s="504"/>
      <c r="E122" s="504"/>
      <c r="F122" s="504"/>
      <c r="G122" s="504"/>
      <c r="H122" s="504"/>
      <c r="I122" s="504"/>
      <c r="J122" s="504"/>
      <c r="K122" s="504"/>
      <c r="L122" s="505"/>
      <c r="M122" s="504"/>
      <c r="N122" s="981"/>
    </row>
    <row r="123" spans="2:14">
      <c r="B123" s="298"/>
      <c r="C123" s="504"/>
      <c r="D123" s="504"/>
      <c r="E123" s="504"/>
      <c r="F123" s="504"/>
      <c r="G123" s="504"/>
      <c r="H123" s="504"/>
      <c r="I123" s="504"/>
      <c r="J123" s="504"/>
      <c r="K123" s="504"/>
      <c r="L123" s="505"/>
      <c r="M123" s="504"/>
      <c r="N123" s="981"/>
    </row>
    <row r="124" spans="2:14">
      <c r="B124" s="298"/>
      <c r="C124" s="504"/>
      <c r="D124" s="504"/>
      <c r="E124" s="504"/>
      <c r="F124" s="504"/>
      <c r="G124" s="504"/>
      <c r="H124" s="504"/>
      <c r="I124" s="504"/>
      <c r="J124" s="504"/>
      <c r="K124" s="504"/>
      <c r="L124" s="505"/>
      <c r="M124" s="504"/>
      <c r="N124" s="981"/>
    </row>
    <row r="125" spans="2:14">
      <c r="B125" s="298"/>
      <c r="C125" s="504"/>
      <c r="D125" s="504"/>
      <c r="E125" s="504"/>
      <c r="F125" s="504"/>
      <c r="G125" s="504"/>
      <c r="H125" s="504"/>
      <c r="I125" s="504"/>
      <c r="J125" s="504"/>
      <c r="K125" s="504"/>
      <c r="L125" s="505"/>
      <c r="M125" s="504"/>
      <c r="N125" s="981"/>
    </row>
  </sheetData>
  <mergeCells count="4">
    <mergeCell ref="B1:N1"/>
    <mergeCell ref="B4:N4"/>
    <mergeCell ref="B3:N3"/>
    <mergeCell ref="S3:AE3"/>
  </mergeCells>
  <printOptions horizontalCentered="1"/>
  <pageMargins left="0.5" right="0.5" top="0.5" bottom="0.5" header="0.5" footer="0.5"/>
  <pageSetup scale="74"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8" tint="0.39997558519241921"/>
  </sheetPr>
  <dimension ref="A1:W117"/>
  <sheetViews>
    <sheetView showGridLines="0" showRuler="0" topLeftCell="B3" zoomScaleNormal="100" zoomScaleSheetLayoutView="130" workbookViewId="0">
      <selection activeCell="B59" sqref="A59:XFD68"/>
    </sheetView>
  </sheetViews>
  <sheetFormatPr defaultColWidth="6.85546875" defaultRowHeight="12.75"/>
  <cols>
    <col min="1" max="1" width="17.42578125" style="283" hidden="1" customWidth="1"/>
    <col min="2" max="2" width="37.42578125" style="283" customWidth="1"/>
    <col min="3" max="3" width="15.7109375" style="283" customWidth="1"/>
    <col min="4" max="4" width="18.7109375" style="283" hidden="1" customWidth="1"/>
    <col min="5" max="5" width="1.85546875" style="283" hidden="1" customWidth="1"/>
    <col min="6" max="6" width="15.7109375" style="283" customWidth="1"/>
    <col min="7" max="7" width="17.28515625" style="283" hidden="1" customWidth="1"/>
    <col min="8" max="8" width="1.85546875" style="283" hidden="1" customWidth="1"/>
    <col min="9" max="9" width="15.7109375" style="283" customWidth="1"/>
    <col min="10" max="10" width="20.5703125" style="283" hidden="1" customWidth="1"/>
    <col min="11" max="11" width="1.85546875" style="283" hidden="1" customWidth="1"/>
    <col min="12" max="12" width="15.7109375" style="293" customWidth="1"/>
    <col min="13" max="13" width="1.85546875" style="283" hidden="1" customWidth="1"/>
    <col min="14" max="14" width="15.7109375" style="293" customWidth="1"/>
    <col min="15" max="15" width="21.140625" style="283" bestFit="1" customWidth="1"/>
    <col min="16" max="16" width="7.140625" style="283" bestFit="1" customWidth="1"/>
    <col min="17" max="18" width="7.5703125" style="283" bestFit="1" customWidth="1"/>
    <col min="19" max="19" width="13.7109375" style="722" bestFit="1" customWidth="1"/>
    <col min="20" max="16384" width="6.85546875" style="283"/>
  </cols>
  <sheetData>
    <row r="1" spans="1:23" ht="23.45" hidden="1" customHeight="1">
      <c r="B1" s="1706" t="s">
        <v>403</v>
      </c>
      <c r="C1" s="1706"/>
      <c r="D1" s="1706"/>
      <c r="E1" s="1706"/>
      <c r="F1" s="1706"/>
      <c r="G1" s="1706"/>
      <c r="H1" s="1706"/>
      <c r="I1" s="1706"/>
      <c r="J1" s="1706"/>
      <c r="K1" s="1706"/>
      <c r="L1" s="1706"/>
      <c r="M1" s="1706"/>
      <c r="N1" s="1710"/>
    </row>
    <row r="2" spans="1:23" ht="18.75" hidden="1">
      <c r="B2" s="284"/>
      <c r="C2" s="285"/>
      <c r="D2" s="285"/>
      <c r="E2" s="285"/>
      <c r="F2" s="285"/>
      <c r="G2" s="285"/>
      <c r="H2" s="285"/>
      <c r="I2" s="285"/>
      <c r="J2" s="285"/>
      <c r="K2" s="285"/>
      <c r="L2" s="285"/>
      <c r="M2" s="285"/>
      <c r="N2" s="285"/>
    </row>
    <row r="3" spans="1:23" ht="35.450000000000003" customHeight="1">
      <c r="B3" s="1708" t="s">
        <v>856</v>
      </c>
      <c r="C3" s="1708"/>
      <c r="D3" s="1708"/>
      <c r="E3" s="1708"/>
      <c r="F3" s="1708"/>
      <c r="G3" s="1708"/>
      <c r="H3" s="1708"/>
      <c r="I3" s="1708"/>
      <c r="J3" s="1708"/>
      <c r="K3" s="1708"/>
      <c r="L3" s="1708"/>
      <c r="M3" s="1708"/>
      <c r="N3" s="1708"/>
    </row>
    <row r="4" spans="1:23" ht="32.25" customHeight="1" thickBot="1">
      <c r="B4" s="286"/>
      <c r="C4" s="286"/>
      <c r="D4" s="287"/>
      <c r="E4" s="287"/>
      <c r="F4" s="287"/>
      <c r="G4" s="287" t="s">
        <v>64</v>
      </c>
      <c r="H4" s="287"/>
      <c r="I4" s="287"/>
      <c r="J4" s="287" t="s">
        <v>86</v>
      </c>
      <c r="K4" s="287"/>
      <c r="L4" s="287"/>
      <c r="M4" s="287"/>
      <c r="N4" s="287"/>
    </row>
    <row r="5" spans="1:23" s="1125" customFormat="1" ht="52.9" customHeight="1" thickBot="1">
      <c r="B5" s="1140"/>
      <c r="C5" s="1141" t="s">
        <v>981</v>
      </c>
      <c r="D5" s="1166" t="s">
        <v>314</v>
      </c>
      <c r="E5" s="1166"/>
      <c r="F5" s="1142" t="s">
        <v>982</v>
      </c>
      <c r="G5" s="1167" t="s">
        <v>407</v>
      </c>
      <c r="H5" s="1166"/>
      <c r="I5" s="1142" t="s">
        <v>980</v>
      </c>
      <c r="J5" s="1168" t="s">
        <v>1</v>
      </c>
      <c r="K5" s="1166"/>
      <c r="L5" s="1141" t="s">
        <v>989</v>
      </c>
      <c r="M5" s="1166"/>
      <c r="N5" s="1142" t="s">
        <v>985</v>
      </c>
      <c r="S5" s="1131"/>
      <c r="T5" s="1139"/>
    </row>
    <row r="6" spans="1:23">
      <c r="B6" s="288"/>
      <c r="C6" s="288"/>
      <c r="D6" s="289"/>
      <c r="E6" s="289"/>
      <c r="F6" s="288"/>
      <c r="G6" s="288"/>
      <c r="H6" s="289"/>
      <c r="I6" s="288"/>
      <c r="J6" s="290"/>
      <c r="K6" s="289"/>
      <c r="L6" s="291"/>
      <c r="M6" s="289"/>
      <c r="N6" s="291"/>
    </row>
    <row r="7" spans="1:23" ht="15.75">
      <c r="B7" s="299" t="s">
        <v>2</v>
      </c>
      <c r="C7" s="299"/>
      <c r="D7" s="300"/>
      <c r="E7" s="300"/>
      <c r="F7" s="300"/>
      <c r="G7" s="301"/>
      <c r="H7" s="300"/>
      <c r="I7" s="301"/>
      <c r="J7" s="300"/>
      <c r="K7" s="300"/>
      <c r="L7" s="302"/>
      <c r="M7" s="300"/>
      <c r="N7" s="302"/>
    </row>
    <row r="8" spans="1:23" ht="15.75">
      <c r="A8" s="321" t="s">
        <v>366</v>
      </c>
      <c r="B8" s="298" t="s">
        <v>3</v>
      </c>
      <c r="C8" s="1268">
        <v>70658.039999999994</v>
      </c>
      <c r="D8" s="1243" t="e">
        <v>#N/A</v>
      </c>
      <c r="E8" s="1268"/>
      <c r="F8" s="1268">
        <v>74177</v>
      </c>
      <c r="G8" s="1268">
        <v>66361</v>
      </c>
      <c r="H8" s="1268"/>
      <c r="I8" s="1268">
        <v>72299.17</v>
      </c>
      <c r="J8" s="1268">
        <v>-1877.8300000000017</v>
      </c>
      <c r="K8" s="1268"/>
      <c r="L8" s="1268">
        <v>80098.3</v>
      </c>
      <c r="M8" s="1268"/>
      <c r="N8" s="1268">
        <v>5921.3000000000029</v>
      </c>
      <c r="O8" s="336" t="s">
        <v>801</v>
      </c>
      <c r="P8" s="333">
        <v>79508.3</v>
      </c>
      <c r="Q8" s="966">
        <v>0.442</v>
      </c>
    </row>
    <row r="9" spans="1:23" ht="15.75">
      <c r="A9" s="321" t="s">
        <v>338</v>
      </c>
      <c r="B9" s="305" t="s">
        <v>8</v>
      </c>
      <c r="C9" s="303">
        <v>230.36</v>
      </c>
      <c r="D9" s="303" t="e">
        <v>#N/A</v>
      </c>
      <c r="E9" s="303"/>
      <c r="F9" s="303">
        <v>210</v>
      </c>
      <c r="G9" s="304">
        <v>66361</v>
      </c>
      <c r="H9" s="303"/>
      <c r="I9" s="304">
        <v>15515</v>
      </c>
      <c r="J9" s="300">
        <v>15305</v>
      </c>
      <c r="K9" s="303"/>
      <c r="L9" s="304">
        <v>210</v>
      </c>
      <c r="M9" s="303"/>
      <c r="N9" s="532">
        <v>0</v>
      </c>
      <c r="O9" s="336" t="s">
        <v>14</v>
      </c>
      <c r="P9" s="333">
        <v>800</v>
      </c>
      <c r="Q9" s="966">
        <v>4.0000000000000001E-3</v>
      </c>
    </row>
    <row r="10" spans="1:23" ht="15.75">
      <c r="B10" s="298" t="s">
        <v>319</v>
      </c>
      <c r="C10" s="306">
        <v>5641.9600000000073</v>
      </c>
      <c r="D10" s="306">
        <v>8640</v>
      </c>
      <c r="E10" s="306"/>
      <c r="F10" s="306">
        <v>613</v>
      </c>
      <c r="G10" s="304">
        <v>613</v>
      </c>
      <c r="H10" s="306"/>
      <c r="I10" s="532">
        <v>0</v>
      </c>
      <c r="J10" s="300"/>
      <c r="K10" s="306"/>
      <c r="L10" s="532">
        <v>0</v>
      </c>
      <c r="M10" s="306"/>
      <c r="N10" s="1160">
        <v>-613</v>
      </c>
      <c r="O10" s="336" t="s">
        <v>23</v>
      </c>
      <c r="P10" s="333">
        <v>99940.169999999969</v>
      </c>
      <c r="Q10" s="966">
        <v>0.55400000000000005</v>
      </c>
      <c r="S10" s="724"/>
      <c r="T10" s="293"/>
      <c r="U10" s="293"/>
      <c r="V10" s="293"/>
      <c r="W10" s="293"/>
    </row>
    <row r="11" spans="1:23" s="625" customFormat="1" ht="16.5" thickBot="1">
      <c r="B11" s="622" t="s">
        <v>9</v>
      </c>
      <c r="C11" s="308">
        <v>76530.36</v>
      </c>
      <c r="D11" s="308" t="e">
        <v>#N/A</v>
      </c>
      <c r="E11" s="308"/>
      <c r="F11" s="308">
        <v>75000</v>
      </c>
      <c r="G11" s="308">
        <v>133335</v>
      </c>
      <c r="H11" s="308"/>
      <c r="I11" s="308">
        <v>87814.17</v>
      </c>
      <c r="J11" s="308">
        <v>13427.169999999998</v>
      </c>
      <c r="K11" s="308"/>
      <c r="L11" s="308">
        <v>80308.3</v>
      </c>
      <c r="M11" s="308"/>
      <c r="N11" s="1026">
        <v>5308.3000000000029</v>
      </c>
      <c r="O11" s="350" t="s">
        <v>25</v>
      </c>
      <c r="P11" s="340">
        <v>180248.46999999997</v>
      </c>
      <c r="Q11" s="668">
        <v>1</v>
      </c>
      <c r="S11" s="724"/>
    </row>
    <row r="12" spans="1:23" s="293" customFormat="1" ht="16.5" thickTop="1">
      <c r="B12" s="310"/>
      <c r="C12" s="310"/>
      <c r="D12" s="304"/>
      <c r="E12" s="304"/>
      <c r="F12" s="304"/>
      <c r="G12" s="304"/>
      <c r="H12" s="304"/>
      <c r="I12" s="304"/>
      <c r="J12" s="304"/>
      <c r="K12" s="304"/>
      <c r="L12" s="304"/>
      <c r="M12" s="304"/>
      <c r="N12" s="1154"/>
      <c r="O12" s="346"/>
      <c r="P12" s="341"/>
      <c r="Q12" s="348"/>
      <c r="R12" s="344"/>
      <c r="S12" s="723"/>
    </row>
    <row r="13" spans="1:23" s="293" customFormat="1" ht="15.75">
      <c r="B13" s="313" t="s">
        <v>320</v>
      </c>
      <c r="C13" s="313"/>
      <c r="D13" s="306"/>
      <c r="E13" s="306"/>
      <c r="F13" s="304"/>
      <c r="G13" s="304"/>
      <c r="H13" s="306"/>
      <c r="I13" s="304"/>
      <c r="J13" s="304"/>
      <c r="K13" s="306"/>
      <c r="L13" s="306"/>
      <c r="M13" s="306"/>
      <c r="N13" s="1155"/>
      <c r="O13" s="346"/>
      <c r="P13" s="341"/>
      <c r="Q13" s="348"/>
      <c r="R13" s="344"/>
      <c r="S13" s="723"/>
    </row>
    <row r="14" spans="1:23" s="293" customFormat="1" ht="15.75">
      <c r="B14" s="311" t="s">
        <v>327</v>
      </c>
      <c r="C14" s="303">
        <v>87125.999999999985</v>
      </c>
      <c r="D14" s="306">
        <v>24717</v>
      </c>
      <c r="E14" s="306"/>
      <c r="F14" s="306">
        <v>86513</v>
      </c>
      <c r="G14" s="304">
        <v>86513</v>
      </c>
      <c r="H14" s="306"/>
      <c r="I14" s="304">
        <v>87126</v>
      </c>
      <c r="J14" s="302">
        <v>613</v>
      </c>
      <c r="K14" s="306"/>
      <c r="L14" s="306">
        <v>99940.169999999984</v>
      </c>
      <c r="M14" s="306"/>
      <c r="N14" s="1155">
        <v>13427.169999999984</v>
      </c>
      <c r="O14" s="341" t="s">
        <v>3</v>
      </c>
      <c r="P14" s="341">
        <v>80098.3</v>
      </c>
      <c r="Q14" s="608">
        <v>0.44500000000000001</v>
      </c>
      <c r="R14" s="344"/>
      <c r="S14" s="723"/>
    </row>
    <row r="15" spans="1:23" s="293" customFormat="1" ht="15.75">
      <c r="B15" s="622" t="s">
        <v>20</v>
      </c>
      <c r="C15" s="534">
        <v>87125.999999999985</v>
      </c>
      <c r="D15" s="308">
        <v>24717</v>
      </c>
      <c r="E15" s="308"/>
      <c r="F15" s="308">
        <v>86513</v>
      </c>
      <c r="G15" s="308">
        <v>86513</v>
      </c>
      <c r="H15" s="308"/>
      <c r="I15" s="308">
        <v>87126</v>
      </c>
      <c r="J15" s="1064">
        <v>613</v>
      </c>
      <c r="K15" s="308"/>
      <c r="L15" s="308">
        <v>99940.169999999984</v>
      </c>
      <c r="M15" s="308"/>
      <c r="N15" s="1153">
        <v>13427.169999999984</v>
      </c>
      <c r="O15" s="341" t="s">
        <v>8</v>
      </c>
      <c r="P15" s="341">
        <v>210</v>
      </c>
      <c r="Q15" s="608">
        <v>1E-3</v>
      </c>
      <c r="R15" s="344"/>
      <c r="S15" s="723"/>
    </row>
    <row r="16" spans="1:23" s="293" customFormat="1" ht="16.5" thickBot="1">
      <c r="B16" s="616" t="s">
        <v>21</v>
      </c>
      <c r="C16" s="647">
        <v>163656.35999999999</v>
      </c>
      <c r="D16" s="647" t="e">
        <v>#N/A</v>
      </c>
      <c r="E16" s="647"/>
      <c r="F16" s="647">
        <v>161513</v>
      </c>
      <c r="G16" s="647">
        <v>219848</v>
      </c>
      <c r="H16" s="647"/>
      <c r="I16" s="647">
        <v>174940.16999999998</v>
      </c>
      <c r="J16" s="648">
        <v>13427.169999999984</v>
      </c>
      <c r="K16" s="647"/>
      <c r="L16" s="647">
        <v>180248.46999999997</v>
      </c>
      <c r="M16" s="647"/>
      <c r="N16" s="1158">
        <v>18735.469999999972</v>
      </c>
      <c r="O16" s="341" t="s">
        <v>319</v>
      </c>
      <c r="P16" s="341">
        <v>0</v>
      </c>
      <c r="Q16" s="608">
        <v>0</v>
      </c>
      <c r="S16" s="723"/>
    </row>
    <row r="17" spans="1:23" s="293" customFormat="1" ht="16.5" thickTop="1">
      <c r="B17" s="316"/>
      <c r="C17" s="316"/>
      <c r="D17" s="304"/>
      <c r="E17" s="304"/>
      <c r="F17" s="304"/>
      <c r="G17" s="304"/>
      <c r="H17" s="304"/>
      <c r="I17" s="304"/>
      <c r="J17" s="304"/>
      <c r="K17" s="304"/>
      <c r="L17" s="304"/>
      <c r="M17" s="304"/>
      <c r="N17" s="1154"/>
      <c r="O17" s="341" t="s">
        <v>19</v>
      </c>
      <c r="P17" s="341">
        <v>99940.169999999984</v>
      </c>
      <c r="Q17" s="608">
        <v>0.55400000000000005</v>
      </c>
      <c r="S17" s="723"/>
    </row>
    <row r="18" spans="1:23" s="293" customFormat="1" ht="16.5" thickBot="1">
      <c r="B18" s="349" t="s">
        <v>10</v>
      </c>
      <c r="C18" s="349"/>
      <c r="D18" s="302"/>
      <c r="E18" s="302"/>
      <c r="F18" s="304"/>
      <c r="G18" s="304"/>
      <c r="H18" s="302"/>
      <c r="I18" s="304"/>
      <c r="J18" s="302"/>
      <c r="K18" s="302"/>
      <c r="L18" s="302"/>
      <c r="M18" s="302"/>
      <c r="N18" s="1159"/>
      <c r="O18" s="340" t="s">
        <v>21</v>
      </c>
      <c r="P18" s="340">
        <v>180248.46999999997</v>
      </c>
      <c r="Q18" s="668">
        <v>1</v>
      </c>
      <c r="S18" s="723"/>
    </row>
    <row r="19" spans="1:23" ht="21.75" thickTop="1">
      <c r="A19" s="321" t="s">
        <v>342</v>
      </c>
      <c r="B19" s="305" t="s">
        <v>801</v>
      </c>
      <c r="C19" s="1240">
        <v>76530.36</v>
      </c>
      <c r="D19" s="1240" t="e">
        <v>#N/A</v>
      </c>
      <c r="E19" s="1240"/>
      <c r="F19" s="1240">
        <v>75000</v>
      </c>
      <c r="G19" s="1241">
        <v>66361</v>
      </c>
      <c r="H19" s="1240"/>
      <c r="I19" s="1241">
        <v>75000</v>
      </c>
      <c r="J19" s="1242">
        <v>0</v>
      </c>
      <c r="K19" s="1240"/>
      <c r="L19" s="1241">
        <v>79508.3</v>
      </c>
      <c r="M19" s="1240"/>
      <c r="N19" s="1243">
        <v>4508.3000000000029</v>
      </c>
      <c r="O19" s="336"/>
      <c r="P19" s="333"/>
      <c r="Q19" s="966"/>
      <c r="S19" s="723"/>
      <c r="T19" s="293"/>
      <c r="U19" s="293"/>
      <c r="V19" s="293"/>
      <c r="W19" s="293"/>
    </row>
    <row r="20" spans="1:23" ht="15.75">
      <c r="A20" s="321" t="s">
        <v>343</v>
      </c>
      <c r="B20" s="305" t="s">
        <v>14</v>
      </c>
      <c r="C20" s="1240">
        <v>0</v>
      </c>
      <c r="D20" s="1240" t="e">
        <v>#N/A</v>
      </c>
      <c r="E20" s="1240"/>
      <c r="F20" s="1240">
        <v>0</v>
      </c>
      <c r="G20" s="1241">
        <v>66362</v>
      </c>
      <c r="H20" s="1240"/>
      <c r="I20" s="1241">
        <v>0</v>
      </c>
      <c r="J20" s="1242">
        <v>0</v>
      </c>
      <c r="K20" s="1240"/>
      <c r="L20" s="1241">
        <v>800</v>
      </c>
      <c r="M20" s="1240"/>
      <c r="N20" s="1243">
        <v>800</v>
      </c>
      <c r="O20" s="336"/>
      <c r="P20" s="333"/>
      <c r="Q20" s="966"/>
      <c r="S20" s="723"/>
      <c r="T20" s="293"/>
      <c r="U20" s="293"/>
      <c r="V20" s="293"/>
      <c r="W20" s="293"/>
    </row>
    <row r="21" spans="1:23" s="293" customFormat="1" ht="15.75">
      <c r="B21" s="622" t="s">
        <v>22</v>
      </c>
      <c r="C21" s="308">
        <v>76530.36</v>
      </c>
      <c r="D21" s="308" t="e">
        <v>#N/A</v>
      </c>
      <c r="E21" s="308"/>
      <c r="F21" s="1225">
        <v>75000</v>
      </c>
      <c r="G21" s="308">
        <v>66361</v>
      </c>
      <c r="H21" s="308"/>
      <c r="I21" s="1225">
        <v>75000</v>
      </c>
      <c r="J21" s="308">
        <v>0</v>
      </c>
      <c r="K21" s="308"/>
      <c r="L21" s="1225">
        <v>80308.3</v>
      </c>
      <c r="M21" s="308"/>
      <c r="N21" s="1225">
        <v>5308.3000000000029</v>
      </c>
      <c r="S21" s="723"/>
    </row>
    <row r="22" spans="1:23" s="293" customFormat="1" ht="15.75">
      <c r="B22" s="311"/>
      <c r="C22" s="311"/>
      <c r="D22" s="304"/>
      <c r="E22" s="304"/>
      <c r="F22" s="304"/>
      <c r="G22" s="304"/>
      <c r="H22" s="304"/>
      <c r="I22" s="304"/>
      <c r="J22" s="304"/>
      <c r="K22" s="304"/>
      <c r="L22" s="304"/>
      <c r="M22" s="304"/>
      <c r="N22" s="1154"/>
      <c r="S22" s="723"/>
    </row>
    <row r="23" spans="1:23" s="293" customFormat="1" ht="15.75">
      <c r="B23" s="313" t="s">
        <v>321</v>
      </c>
      <c r="C23" s="542"/>
      <c r="D23" s="540"/>
      <c r="E23" s="540"/>
      <c r="F23" s="540"/>
      <c r="G23" s="540"/>
      <c r="H23" s="540"/>
      <c r="I23" s="540"/>
      <c r="J23" s="540"/>
      <c r="K23" s="540"/>
      <c r="L23" s="540"/>
      <c r="M23" s="540"/>
      <c r="N23" s="1164"/>
      <c r="O23" s="344"/>
      <c r="P23" s="538"/>
      <c r="Q23" s="654"/>
      <c r="S23" s="723"/>
    </row>
    <row r="24" spans="1:23" s="293" customFormat="1" ht="15.75">
      <c r="B24" s="316" t="s">
        <v>31</v>
      </c>
      <c r="C24" s="304">
        <v>87126</v>
      </c>
      <c r="D24" s="304">
        <v>24716.799999999999</v>
      </c>
      <c r="E24" s="304"/>
      <c r="F24" s="304">
        <v>86513</v>
      </c>
      <c r="G24" s="304">
        <v>108239</v>
      </c>
      <c r="H24" s="304"/>
      <c r="I24" s="304">
        <v>99940.169999999984</v>
      </c>
      <c r="J24" s="302"/>
      <c r="K24" s="304"/>
      <c r="L24" s="304">
        <v>99940.169999999969</v>
      </c>
      <c r="M24" s="304"/>
      <c r="N24" s="1154">
        <v>13427.169999999969</v>
      </c>
      <c r="S24" s="724"/>
    </row>
    <row r="25" spans="1:23" s="625" customFormat="1" ht="15.75">
      <c r="B25" s="1246" t="s">
        <v>323</v>
      </c>
      <c r="C25" s="1225">
        <v>87126</v>
      </c>
      <c r="D25" s="308">
        <v>24716.799999999999</v>
      </c>
      <c r="E25" s="308"/>
      <c r="F25" s="308">
        <v>86513</v>
      </c>
      <c r="G25" s="308">
        <v>108239</v>
      </c>
      <c r="H25" s="308"/>
      <c r="I25" s="308">
        <v>99940.169999999984</v>
      </c>
      <c r="J25" s="308" t="e">
        <v>#REF!</v>
      </c>
      <c r="K25" s="308"/>
      <c r="L25" s="308">
        <v>99940.169999999969</v>
      </c>
      <c r="M25" s="308"/>
      <c r="N25" s="1153">
        <v>13427.169999999969</v>
      </c>
      <c r="S25" s="724"/>
    </row>
    <row r="26" spans="1:23" s="293" customFormat="1" ht="16.5" thickBot="1">
      <c r="B26" s="616" t="s">
        <v>25</v>
      </c>
      <c r="C26" s="1269">
        <v>163656.35999999999</v>
      </c>
      <c r="D26" s="627" t="e">
        <v>#N/A</v>
      </c>
      <c r="E26" s="1267"/>
      <c r="F26" s="1269">
        <v>161513</v>
      </c>
      <c r="G26" s="1267">
        <v>174600</v>
      </c>
      <c r="H26" s="1267"/>
      <c r="I26" s="1269">
        <v>174940.16999999998</v>
      </c>
      <c r="J26" s="627">
        <v>-13427.169999999984</v>
      </c>
      <c r="K26" s="627"/>
      <c r="L26" s="1269">
        <v>180248.46999999997</v>
      </c>
      <c r="M26" s="1267"/>
      <c r="N26" s="1269">
        <v>18735.469999999972</v>
      </c>
      <c r="S26" s="723"/>
    </row>
    <row r="27" spans="1:23" s="293" customFormat="1" ht="16.5" thickTop="1">
      <c r="B27" s="313"/>
      <c r="C27" s="310"/>
      <c r="D27" s="332"/>
      <c r="E27" s="332"/>
      <c r="F27" s="332"/>
      <c r="G27" s="332"/>
      <c r="H27" s="332"/>
      <c r="I27" s="332"/>
      <c r="J27" s="310"/>
      <c r="K27" s="332"/>
      <c r="L27" s="332"/>
      <c r="M27" s="332"/>
      <c r="N27" s="332"/>
      <c r="S27" s="723"/>
    </row>
    <row r="28" spans="1:23" s="293" customFormat="1" ht="15.75">
      <c r="B28" s="313"/>
      <c r="C28" s="310"/>
      <c r="D28" s="332"/>
      <c r="E28" s="332"/>
      <c r="F28" s="332"/>
      <c r="G28" s="332"/>
      <c r="H28" s="332"/>
      <c r="I28" s="332"/>
      <c r="J28" s="310"/>
      <c r="K28" s="332"/>
      <c r="L28" s="332"/>
      <c r="M28" s="332"/>
      <c r="N28" s="332"/>
      <c r="S28" s="723"/>
    </row>
    <row r="29" spans="1:23" s="293" customFormat="1" ht="15.75">
      <c r="B29" s="313"/>
      <c r="C29" s="310"/>
      <c r="D29" s="332"/>
      <c r="E29" s="332"/>
      <c r="F29" s="332"/>
      <c r="G29" s="332"/>
      <c r="H29" s="332"/>
      <c r="I29" s="332"/>
      <c r="J29" s="310"/>
      <c r="K29" s="332"/>
      <c r="L29" s="332"/>
      <c r="M29" s="332"/>
      <c r="N29" s="332"/>
      <c r="S29" s="723"/>
    </row>
    <row r="30" spans="1:23" s="293" customFormat="1" ht="15.75">
      <c r="B30" s="313"/>
      <c r="C30" s="310"/>
      <c r="D30" s="332"/>
      <c r="E30" s="332"/>
      <c r="F30" s="332"/>
      <c r="G30" s="332"/>
      <c r="H30" s="332"/>
      <c r="I30" s="332"/>
      <c r="J30" s="310"/>
      <c r="K30" s="332"/>
      <c r="L30" s="332"/>
      <c r="M30" s="332"/>
      <c r="N30" s="332"/>
      <c r="S30" s="723"/>
    </row>
    <row r="31" spans="1:23" s="293" customFormat="1" ht="15.75">
      <c r="B31" s="313"/>
      <c r="C31" s="310"/>
      <c r="D31" s="332"/>
      <c r="E31" s="332"/>
      <c r="F31" s="332"/>
      <c r="G31" s="332"/>
      <c r="H31" s="332"/>
      <c r="I31" s="332"/>
      <c r="J31" s="310"/>
      <c r="K31" s="332"/>
      <c r="L31" s="332"/>
      <c r="M31" s="332"/>
      <c r="N31" s="332"/>
      <c r="S31" s="723"/>
    </row>
    <row r="32" spans="1:23" s="293" customFormat="1" ht="15.75">
      <c r="B32" s="313"/>
      <c r="C32" s="310"/>
      <c r="D32" s="332"/>
      <c r="E32" s="332"/>
      <c r="F32" s="332"/>
      <c r="G32" s="332"/>
      <c r="H32" s="332"/>
      <c r="I32" s="332"/>
      <c r="J32" s="310"/>
      <c r="K32" s="332"/>
      <c r="L32" s="332"/>
      <c r="M32" s="332"/>
      <c r="N32" s="332"/>
      <c r="S32" s="723"/>
    </row>
    <row r="33" spans="2:19" s="293" customFormat="1" ht="15.75">
      <c r="B33" s="313"/>
      <c r="C33" s="310"/>
      <c r="D33" s="332"/>
      <c r="E33" s="332"/>
      <c r="F33" s="332"/>
      <c r="G33" s="332"/>
      <c r="H33" s="332"/>
      <c r="I33" s="332"/>
      <c r="J33" s="310"/>
      <c r="K33" s="332"/>
      <c r="L33" s="332"/>
      <c r="M33" s="332"/>
      <c r="N33" s="332"/>
      <c r="S33" s="723"/>
    </row>
    <row r="34" spans="2:19" s="293" customFormat="1" ht="15.75">
      <c r="B34" s="313"/>
      <c r="C34" s="310"/>
      <c r="D34" s="332"/>
      <c r="E34" s="332"/>
      <c r="F34" s="332"/>
      <c r="G34" s="332"/>
      <c r="H34" s="332"/>
      <c r="I34" s="332"/>
      <c r="J34" s="310"/>
      <c r="K34" s="332"/>
      <c r="L34" s="332"/>
      <c r="M34" s="332"/>
      <c r="N34" s="332"/>
      <c r="S34" s="723"/>
    </row>
    <row r="35" spans="2:19" s="293" customFormat="1" ht="15.75">
      <c r="B35" s="313"/>
      <c r="C35" s="310"/>
      <c r="D35" s="332"/>
      <c r="E35" s="332"/>
      <c r="F35" s="332"/>
      <c r="G35" s="332"/>
      <c r="H35" s="332"/>
      <c r="I35" s="332"/>
      <c r="J35" s="310"/>
      <c r="K35" s="332"/>
      <c r="L35" s="332"/>
      <c r="M35" s="332"/>
      <c r="N35" s="332"/>
      <c r="S35" s="723"/>
    </row>
    <row r="36" spans="2:19" s="293" customFormat="1" ht="15.75">
      <c r="B36" s="313"/>
      <c r="C36" s="310"/>
      <c r="D36" s="332"/>
      <c r="E36" s="332"/>
      <c r="F36" s="332"/>
      <c r="G36" s="332"/>
      <c r="H36" s="332"/>
      <c r="I36" s="332"/>
      <c r="J36" s="310"/>
      <c r="K36" s="332"/>
      <c r="L36" s="332"/>
      <c r="M36" s="332"/>
      <c r="N36" s="332"/>
      <c r="Q36" s="723"/>
      <c r="S36" s="723"/>
    </row>
    <row r="37" spans="2:19" s="293" customFormat="1" ht="15.75">
      <c r="B37" s="313"/>
      <c r="C37" s="310"/>
      <c r="D37" s="332"/>
      <c r="E37" s="332"/>
      <c r="F37" s="332"/>
      <c r="G37" s="332"/>
      <c r="H37" s="332"/>
      <c r="I37" s="332"/>
      <c r="J37" s="310"/>
      <c r="K37" s="332"/>
      <c r="L37" s="332"/>
      <c r="M37" s="332"/>
      <c r="N37" s="332"/>
      <c r="Q37" s="729"/>
      <c r="R37" s="344"/>
      <c r="S37" s="723"/>
    </row>
    <row r="38" spans="2:19" s="293" customFormat="1" ht="15.75">
      <c r="B38" s="313"/>
      <c r="C38" s="310"/>
      <c r="D38" s="332"/>
      <c r="E38" s="332"/>
      <c r="F38" s="332"/>
      <c r="G38" s="332"/>
      <c r="H38" s="332"/>
      <c r="I38" s="332"/>
      <c r="J38" s="310"/>
      <c r="K38" s="332"/>
      <c r="L38" s="332"/>
      <c r="M38" s="332"/>
      <c r="N38" s="332"/>
      <c r="Q38" s="729"/>
      <c r="R38" s="344"/>
      <c r="S38" s="723"/>
    </row>
    <row r="39" spans="2:19" s="293" customFormat="1" ht="15.75">
      <c r="B39" s="313"/>
      <c r="C39" s="310"/>
      <c r="D39" s="332"/>
      <c r="E39" s="332"/>
      <c r="F39" s="332"/>
      <c r="G39" s="332"/>
      <c r="H39" s="332"/>
      <c r="I39" s="332"/>
      <c r="J39" s="310"/>
      <c r="K39" s="332"/>
      <c r="L39" s="332"/>
      <c r="M39" s="332"/>
      <c r="N39" s="332"/>
      <c r="Q39" s="729"/>
      <c r="R39" s="729"/>
      <c r="S39" s="723"/>
    </row>
    <row r="40" spans="2:19" s="293" customFormat="1" ht="15.75">
      <c r="B40" s="313"/>
      <c r="C40" s="310"/>
      <c r="D40" s="332"/>
      <c r="E40" s="332"/>
      <c r="F40" s="332"/>
      <c r="G40" s="332"/>
      <c r="H40" s="332"/>
      <c r="I40" s="332"/>
      <c r="J40" s="310"/>
      <c r="K40" s="332"/>
      <c r="L40" s="332"/>
      <c r="M40" s="332"/>
      <c r="N40" s="332"/>
      <c r="Q40" s="729"/>
      <c r="R40" s="729"/>
      <c r="S40" s="723"/>
    </row>
    <row r="41" spans="2:19" s="293" customFormat="1" ht="15.75">
      <c r="B41" s="313"/>
      <c r="C41" s="310"/>
      <c r="D41" s="332"/>
      <c r="E41" s="332"/>
      <c r="F41" s="332"/>
      <c r="G41" s="332"/>
      <c r="H41" s="332"/>
      <c r="I41" s="332"/>
      <c r="J41" s="310"/>
      <c r="K41" s="332"/>
      <c r="L41" s="332"/>
      <c r="M41" s="332"/>
      <c r="N41" s="332"/>
      <c r="Q41" s="729"/>
      <c r="R41" s="729"/>
      <c r="S41" s="723"/>
    </row>
    <row r="42" spans="2:19" s="293" customFormat="1" ht="15.75">
      <c r="B42" s="313"/>
      <c r="C42" s="310"/>
      <c r="D42" s="332"/>
      <c r="E42" s="332"/>
      <c r="F42" s="332"/>
      <c r="G42" s="332"/>
      <c r="H42" s="332"/>
      <c r="I42" s="332"/>
      <c r="J42" s="310"/>
      <c r="K42" s="332"/>
      <c r="L42" s="332"/>
      <c r="M42" s="332"/>
      <c r="N42" s="332"/>
      <c r="Q42" s="729"/>
      <c r="R42" s="729"/>
      <c r="S42" s="723"/>
    </row>
    <row r="43" spans="2:19" s="293" customFormat="1" ht="15.75">
      <c r="B43" s="313"/>
      <c r="C43" s="310"/>
      <c r="D43" s="332"/>
      <c r="E43" s="332"/>
      <c r="F43" s="332"/>
      <c r="G43" s="332"/>
      <c r="H43" s="332"/>
      <c r="I43" s="332"/>
      <c r="J43" s="310"/>
      <c r="K43" s="332"/>
      <c r="L43" s="332"/>
      <c r="M43" s="332"/>
      <c r="N43" s="332"/>
      <c r="Q43" s="729"/>
      <c r="R43" s="729"/>
      <c r="S43" s="723"/>
    </row>
    <row r="44" spans="2:19" s="293" customFormat="1" ht="15.75">
      <c r="B44" s="313"/>
      <c r="C44" s="310"/>
      <c r="D44" s="332"/>
      <c r="E44" s="332"/>
      <c r="F44" s="332"/>
      <c r="G44" s="332"/>
      <c r="H44" s="332"/>
      <c r="I44" s="332"/>
      <c r="J44" s="310"/>
      <c r="K44" s="332"/>
      <c r="L44" s="332"/>
      <c r="M44" s="332"/>
      <c r="N44" s="332"/>
      <c r="Q44" s="344"/>
      <c r="R44" s="1767"/>
      <c r="S44" s="723"/>
    </row>
    <row r="45" spans="2:19" s="293" customFormat="1" ht="15.75">
      <c r="B45" s="313"/>
      <c r="C45" s="310"/>
      <c r="D45" s="332"/>
      <c r="E45" s="332"/>
      <c r="F45" s="332"/>
      <c r="G45" s="332"/>
      <c r="H45" s="332"/>
      <c r="I45" s="332"/>
      <c r="J45" s="310"/>
      <c r="K45" s="332"/>
      <c r="L45" s="332"/>
      <c r="M45" s="332"/>
      <c r="N45" s="332"/>
      <c r="Q45" s="729"/>
      <c r="R45" s="729"/>
      <c r="S45" s="723"/>
    </row>
    <row r="46" spans="2:19" s="293" customFormat="1" ht="15.75">
      <c r="B46" s="313"/>
      <c r="C46" s="310"/>
      <c r="D46" s="332"/>
      <c r="E46" s="332"/>
      <c r="F46" s="332"/>
      <c r="G46" s="332"/>
      <c r="H46" s="332"/>
      <c r="I46" s="332"/>
      <c r="J46" s="310"/>
      <c r="K46" s="332"/>
      <c r="L46" s="332"/>
      <c r="M46" s="332"/>
      <c r="N46" s="332"/>
      <c r="Q46" s="344"/>
      <c r="R46" s="344"/>
      <c r="S46" s="723"/>
    </row>
    <row r="47" spans="2:19" s="293" customFormat="1" ht="15.75">
      <c r="B47" s="313"/>
      <c r="C47" s="310"/>
      <c r="D47" s="332"/>
      <c r="E47" s="332"/>
      <c r="F47" s="332"/>
      <c r="G47" s="332"/>
      <c r="H47" s="332"/>
      <c r="I47" s="332"/>
      <c r="J47" s="310"/>
      <c r="K47" s="332"/>
      <c r="L47" s="332"/>
      <c r="M47" s="332"/>
      <c r="N47" s="332"/>
      <c r="S47" s="723"/>
    </row>
    <row r="48" spans="2:19" s="293" customFormat="1" ht="15.75">
      <c r="B48" s="313"/>
      <c r="C48" s="310"/>
      <c r="D48" s="332"/>
      <c r="E48" s="332"/>
      <c r="F48" s="332"/>
      <c r="G48" s="332"/>
      <c r="H48" s="332"/>
      <c r="I48" s="332"/>
      <c r="J48" s="310"/>
      <c r="K48" s="332"/>
      <c r="L48" s="332"/>
      <c r="M48" s="332"/>
      <c r="N48" s="332"/>
      <c r="S48" s="723"/>
    </row>
    <row r="49" spans="2:19" s="293" customFormat="1" ht="15.75">
      <c r="B49" s="313"/>
      <c r="C49" s="310"/>
      <c r="D49" s="332"/>
      <c r="E49" s="332"/>
      <c r="F49" s="332"/>
      <c r="G49" s="332"/>
      <c r="H49" s="332"/>
      <c r="I49" s="332"/>
      <c r="J49" s="310"/>
      <c r="K49" s="332"/>
      <c r="L49" s="332"/>
      <c r="M49" s="332"/>
      <c r="N49" s="332"/>
      <c r="S49" s="723"/>
    </row>
    <row r="50" spans="2:19" s="293" customFormat="1" ht="15.75">
      <c r="B50" s="313"/>
      <c r="C50" s="310"/>
      <c r="D50" s="332"/>
      <c r="E50" s="332"/>
      <c r="F50" s="332"/>
      <c r="G50" s="332"/>
      <c r="H50" s="332"/>
      <c r="I50" s="332"/>
      <c r="J50" s="310"/>
      <c r="K50" s="332"/>
      <c r="L50" s="332"/>
      <c r="M50" s="332"/>
      <c r="N50" s="332"/>
      <c r="S50" s="723"/>
    </row>
    <row r="51" spans="2:19" s="293" customFormat="1" ht="15.75">
      <c r="B51" s="313"/>
      <c r="C51" s="310"/>
      <c r="D51" s="332"/>
      <c r="E51" s="332"/>
      <c r="F51" s="332"/>
      <c r="G51" s="332"/>
      <c r="H51" s="332"/>
      <c r="I51" s="332"/>
      <c r="J51" s="310"/>
      <c r="K51" s="332"/>
      <c r="L51" s="332"/>
      <c r="M51" s="332"/>
      <c r="N51" s="332"/>
      <c r="S51" s="723"/>
    </row>
    <row r="52" spans="2:19" s="293" customFormat="1" ht="15.75">
      <c r="B52" s="313"/>
      <c r="C52" s="310"/>
      <c r="D52" s="332"/>
      <c r="E52" s="332"/>
      <c r="F52" s="332"/>
      <c r="G52" s="332"/>
      <c r="H52" s="332"/>
      <c r="I52" s="332"/>
      <c r="J52" s="310"/>
      <c r="K52" s="332"/>
      <c r="L52" s="332"/>
      <c r="M52" s="332"/>
      <c r="N52" s="332"/>
      <c r="S52" s="723"/>
    </row>
    <row r="53" spans="2:19" s="293" customFormat="1" ht="15.75">
      <c r="B53" s="313"/>
      <c r="C53" s="310"/>
      <c r="D53" s="332"/>
      <c r="E53" s="332"/>
      <c r="F53" s="332"/>
      <c r="G53" s="332"/>
      <c r="H53" s="332"/>
      <c r="I53" s="332"/>
      <c r="J53" s="310"/>
      <c r="K53" s="332"/>
      <c r="L53" s="332"/>
      <c r="M53" s="332"/>
      <c r="N53" s="332"/>
      <c r="S53" s="723"/>
    </row>
    <row r="54" spans="2:19" s="293" customFormat="1" ht="15.75">
      <c r="B54" s="313"/>
      <c r="C54" s="310"/>
      <c r="D54" s="332"/>
      <c r="E54" s="332"/>
      <c r="F54" s="332"/>
      <c r="G54" s="332"/>
      <c r="H54" s="332"/>
      <c r="I54" s="332"/>
      <c r="J54" s="310"/>
      <c r="K54" s="332"/>
      <c r="L54" s="332"/>
      <c r="M54" s="332"/>
      <c r="N54" s="332"/>
      <c r="S54" s="723"/>
    </row>
    <row r="55" spans="2:19" s="293" customFormat="1" ht="15.75">
      <c r="B55" s="313"/>
      <c r="C55" s="310"/>
      <c r="D55" s="332"/>
      <c r="E55" s="332"/>
      <c r="F55" s="332"/>
      <c r="G55" s="332"/>
      <c r="H55" s="332"/>
      <c r="I55" s="332"/>
      <c r="J55" s="310"/>
      <c r="K55" s="332"/>
      <c r="L55" s="332"/>
      <c r="M55" s="332"/>
      <c r="N55" s="332"/>
      <c r="S55" s="723"/>
    </row>
    <row r="56" spans="2:19" s="293" customFormat="1" ht="15.75">
      <c r="B56" s="313"/>
      <c r="C56" s="310"/>
      <c r="D56" s="332"/>
      <c r="E56" s="332"/>
      <c r="F56" s="332"/>
      <c r="G56" s="332"/>
      <c r="H56" s="332"/>
      <c r="I56" s="332"/>
      <c r="J56" s="310"/>
      <c r="K56" s="332"/>
      <c r="L56" s="332"/>
      <c r="M56" s="332"/>
      <c r="N56" s="332"/>
      <c r="S56" s="723"/>
    </row>
    <row r="57" spans="2:19" s="293" customFormat="1" ht="15.75">
      <c r="B57" s="313"/>
      <c r="C57" s="310"/>
      <c r="D57" s="332"/>
      <c r="E57" s="332"/>
      <c r="F57" s="332"/>
      <c r="G57" s="332"/>
      <c r="H57" s="332"/>
      <c r="I57" s="332"/>
      <c r="J57" s="310"/>
      <c r="K57" s="332"/>
      <c r="L57" s="332"/>
      <c r="M57" s="332"/>
      <c r="N57" s="332"/>
      <c r="S57" s="723"/>
    </row>
    <row r="58" spans="2:19" s="293" customFormat="1" ht="15.75">
      <c r="B58" s="313"/>
      <c r="C58" s="310"/>
      <c r="D58" s="332"/>
      <c r="E58" s="332"/>
      <c r="F58" s="332"/>
      <c r="G58" s="332"/>
      <c r="H58" s="332"/>
      <c r="I58" s="332"/>
      <c r="J58" s="310"/>
      <c r="K58" s="332"/>
      <c r="L58" s="332"/>
      <c r="M58" s="332"/>
      <c r="N58" s="332"/>
      <c r="S58" s="723"/>
    </row>
    <row r="59" spans="2:19" s="293" customFormat="1" ht="15.75">
      <c r="B59" s="313"/>
      <c r="C59" s="310"/>
      <c r="D59" s="332"/>
      <c r="E59" s="332"/>
      <c r="F59" s="332"/>
      <c r="G59" s="332"/>
      <c r="H59" s="332"/>
      <c r="I59" s="332"/>
      <c r="J59" s="310"/>
      <c r="K59" s="332"/>
      <c r="L59" s="332"/>
      <c r="M59" s="332"/>
      <c r="N59" s="332"/>
      <c r="S59" s="723"/>
    </row>
    <row r="60" spans="2:19" s="293" customFormat="1" ht="15.75">
      <c r="B60" s="313"/>
      <c r="C60" s="310"/>
      <c r="D60" s="332"/>
      <c r="E60" s="332"/>
      <c r="F60" s="332"/>
      <c r="G60" s="332"/>
      <c r="H60" s="332"/>
      <c r="I60" s="332"/>
      <c r="J60" s="310"/>
      <c r="K60" s="332"/>
      <c r="L60" s="332"/>
      <c r="M60" s="332"/>
      <c r="N60" s="332"/>
      <c r="S60" s="723"/>
    </row>
    <row r="61" spans="2:19" s="293" customFormat="1" ht="15.75">
      <c r="B61" s="313"/>
      <c r="C61" s="314"/>
      <c r="D61" s="314"/>
      <c r="E61" s="314"/>
      <c r="F61" s="314"/>
      <c r="G61" s="314"/>
      <c r="H61" s="314"/>
      <c r="I61" s="314"/>
      <c r="J61" s="314"/>
      <c r="K61" s="314"/>
      <c r="L61" s="314"/>
      <c r="M61" s="314"/>
      <c r="N61" s="314"/>
      <c r="S61" s="723"/>
    </row>
    <row r="62" spans="2:19" s="293" customFormat="1" ht="15.75">
      <c r="B62" s="313"/>
      <c r="C62" s="313"/>
      <c r="D62" s="316"/>
      <c r="E62" s="316"/>
      <c r="F62" s="310"/>
      <c r="G62" s="310"/>
      <c r="H62" s="316"/>
      <c r="I62" s="310"/>
      <c r="J62" s="311"/>
      <c r="K62" s="316"/>
      <c r="L62" s="316"/>
      <c r="M62" s="316"/>
      <c r="N62" s="316"/>
      <c r="S62" s="723"/>
    </row>
    <row r="63" spans="2:19" ht="15.75">
      <c r="B63" s="298"/>
      <c r="C63" s="302"/>
      <c r="D63" s="302"/>
      <c r="E63" s="302"/>
      <c r="F63" s="902"/>
      <c r="G63" s="902"/>
      <c r="H63" s="902"/>
      <c r="I63" s="902"/>
      <c r="J63" s="902"/>
      <c r="K63" s="902"/>
      <c r="L63" s="902"/>
      <c r="M63" s="902"/>
      <c r="N63" s="902"/>
    </row>
    <row r="64" spans="2:19" ht="15.75">
      <c r="B64" s="298"/>
      <c r="C64" s="298"/>
      <c r="D64" s="298"/>
      <c r="E64" s="298"/>
      <c r="F64" s="298"/>
      <c r="G64" s="298"/>
      <c r="H64" s="298"/>
      <c r="I64" s="298"/>
      <c r="J64" s="298"/>
      <c r="K64" s="298"/>
      <c r="L64" s="311"/>
      <c r="M64" s="298"/>
      <c r="N64" s="311"/>
    </row>
    <row r="65" spans="2:14" ht="15.75">
      <c r="B65" s="298"/>
      <c r="C65" s="298"/>
      <c r="D65" s="298"/>
      <c r="E65" s="298"/>
      <c r="F65" s="298"/>
      <c r="G65" s="298"/>
      <c r="H65" s="298"/>
      <c r="I65" s="298"/>
      <c r="J65" s="298"/>
      <c r="K65" s="298"/>
      <c r="L65" s="311"/>
      <c r="M65" s="298"/>
      <c r="N65" s="311"/>
    </row>
    <row r="66" spans="2:14" ht="15.75">
      <c r="B66" s="299"/>
      <c r="C66" s="299"/>
      <c r="D66" s="298"/>
      <c r="E66" s="298"/>
      <c r="F66" s="298"/>
      <c r="G66" s="298"/>
      <c r="H66" s="298"/>
      <c r="I66" s="298"/>
      <c r="J66" s="298"/>
      <c r="K66" s="298"/>
      <c r="L66" s="311"/>
      <c r="M66" s="298"/>
      <c r="N66" s="311"/>
    </row>
    <row r="67" spans="2:14" ht="15.75">
      <c r="B67" s="298"/>
      <c r="C67" s="298"/>
      <c r="D67" s="298"/>
      <c r="E67" s="298"/>
      <c r="F67" s="298"/>
      <c r="G67" s="298"/>
      <c r="H67" s="298"/>
      <c r="I67" s="298"/>
      <c r="J67" s="298"/>
      <c r="K67" s="298"/>
      <c r="L67" s="311"/>
      <c r="M67" s="298"/>
      <c r="N67" s="311"/>
    </row>
    <row r="68" spans="2:14" ht="15.75">
      <c r="B68" s="298"/>
      <c r="C68" s="298"/>
      <c r="D68" s="298"/>
      <c r="E68" s="298"/>
      <c r="F68" s="298"/>
      <c r="G68" s="298"/>
      <c r="H68" s="298"/>
      <c r="I68" s="298"/>
      <c r="J68" s="298"/>
      <c r="K68" s="298"/>
      <c r="L68" s="311"/>
      <c r="M68" s="298"/>
      <c r="N68" s="311"/>
    </row>
    <row r="69" spans="2:14" ht="15.75">
      <c r="B69" s="298"/>
      <c r="C69" s="298"/>
      <c r="D69" s="298"/>
      <c r="E69" s="298"/>
      <c r="F69" s="298"/>
      <c r="G69" s="298"/>
      <c r="H69" s="298"/>
      <c r="I69" s="298"/>
      <c r="J69" s="298"/>
      <c r="K69" s="298"/>
      <c r="L69" s="311"/>
      <c r="M69" s="298"/>
      <c r="N69" s="311"/>
    </row>
    <row r="70" spans="2:14" ht="15.75">
      <c r="B70" s="298"/>
      <c r="C70" s="298"/>
      <c r="D70" s="298"/>
      <c r="E70" s="298"/>
      <c r="F70" s="298"/>
      <c r="G70" s="298"/>
      <c r="H70" s="298"/>
      <c r="I70" s="298"/>
      <c r="J70" s="298"/>
      <c r="K70" s="298"/>
      <c r="L70" s="311"/>
      <c r="M70" s="298"/>
      <c r="N70" s="311"/>
    </row>
    <row r="71" spans="2:14" ht="15.75">
      <c r="B71" s="298"/>
      <c r="C71" s="298"/>
      <c r="D71" s="298"/>
      <c r="E71" s="298"/>
      <c r="F71" s="298"/>
      <c r="G71" s="298"/>
      <c r="H71" s="298"/>
      <c r="I71" s="298"/>
      <c r="J71" s="298"/>
      <c r="K71" s="298"/>
      <c r="L71" s="311"/>
      <c r="M71" s="298"/>
      <c r="N71" s="311"/>
    </row>
    <row r="72" spans="2:14" ht="15.75">
      <c r="B72" s="298"/>
      <c r="C72" s="298"/>
      <c r="D72" s="298"/>
      <c r="E72" s="298"/>
      <c r="F72" s="298"/>
      <c r="G72" s="298"/>
      <c r="H72" s="298"/>
      <c r="I72" s="298"/>
      <c r="J72" s="298"/>
      <c r="K72" s="298"/>
      <c r="L72" s="311"/>
      <c r="M72" s="298"/>
      <c r="N72" s="311"/>
    </row>
    <row r="73" spans="2:14" ht="15.75">
      <c r="B73" s="298"/>
      <c r="C73" s="298"/>
      <c r="D73" s="298"/>
      <c r="E73" s="298"/>
      <c r="F73" s="298"/>
      <c r="G73" s="298"/>
      <c r="H73" s="298"/>
      <c r="I73" s="298"/>
      <c r="J73" s="298"/>
      <c r="K73" s="298"/>
      <c r="L73" s="311"/>
      <c r="M73" s="298"/>
      <c r="N73" s="311"/>
    </row>
    <row r="74" spans="2:14" ht="15.75">
      <c r="B74" s="298"/>
      <c r="C74" s="298"/>
      <c r="D74" s="298"/>
      <c r="E74" s="298"/>
      <c r="F74" s="298"/>
      <c r="G74" s="298"/>
      <c r="H74" s="298"/>
      <c r="I74" s="298"/>
      <c r="J74" s="298"/>
      <c r="K74" s="298"/>
      <c r="L74" s="311"/>
      <c r="M74" s="298"/>
      <c r="N74" s="311"/>
    </row>
    <row r="75" spans="2:14" ht="15.75">
      <c r="B75" s="298"/>
      <c r="C75" s="298"/>
      <c r="D75" s="298"/>
      <c r="E75" s="298"/>
      <c r="F75" s="298"/>
      <c r="G75" s="298"/>
      <c r="H75" s="298"/>
      <c r="I75" s="298"/>
      <c r="J75" s="298"/>
      <c r="K75" s="298"/>
      <c r="L75" s="311"/>
      <c r="M75" s="298"/>
      <c r="N75" s="311"/>
    </row>
    <row r="76" spans="2:14" ht="15.75">
      <c r="B76" s="298"/>
      <c r="C76" s="298"/>
      <c r="D76" s="298"/>
      <c r="E76" s="298"/>
      <c r="F76" s="298"/>
      <c r="G76" s="298"/>
      <c r="H76" s="298"/>
      <c r="I76" s="298"/>
      <c r="J76" s="298"/>
      <c r="K76" s="298"/>
      <c r="L76" s="311"/>
      <c r="M76" s="298"/>
      <c r="N76" s="311"/>
    </row>
    <row r="77" spans="2:14" ht="15.75">
      <c r="B77" s="298"/>
      <c r="C77" s="298"/>
      <c r="D77" s="298"/>
      <c r="E77" s="298"/>
      <c r="F77" s="298"/>
      <c r="G77" s="298"/>
      <c r="H77" s="298"/>
      <c r="I77" s="298"/>
      <c r="J77" s="298"/>
      <c r="K77" s="298"/>
      <c r="L77" s="311"/>
      <c r="M77" s="298"/>
      <c r="N77" s="311"/>
    </row>
    <row r="78" spans="2:14" ht="15.75">
      <c r="B78" s="298"/>
      <c r="C78" s="298"/>
      <c r="D78" s="298"/>
      <c r="E78" s="298"/>
      <c r="F78" s="298"/>
      <c r="G78" s="298"/>
      <c r="H78" s="298"/>
      <c r="I78" s="298"/>
      <c r="J78" s="298"/>
      <c r="K78" s="298"/>
      <c r="L78" s="311"/>
      <c r="M78" s="298"/>
      <c r="N78" s="311"/>
    </row>
    <row r="79" spans="2:14" ht="15.75">
      <c r="B79" s="298"/>
      <c r="C79" s="298"/>
      <c r="D79" s="298"/>
      <c r="E79" s="298"/>
      <c r="F79" s="298"/>
      <c r="G79" s="298"/>
      <c r="H79" s="298"/>
      <c r="I79" s="298"/>
      <c r="J79" s="298"/>
      <c r="K79" s="298"/>
      <c r="L79" s="311"/>
      <c r="M79" s="298"/>
      <c r="N79" s="311"/>
    </row>
    <row r="80" spans="2:14" ht="15.75">
      <c r="B80" s="298"/>
      <c r="C80" s="298"/>
      <c r="D80" s="298"/>
      <c r="E80" s="298"/>
      <c r="F80" s="298"/>
      <c r="G80" s="298"/>
      <c r="H80" s="298"/>
      <c r="I80" s="298"/>
      <c r="J80" s="298"/>
      <c r="K80" s="298"/>
      <c r="L80" s="311"/>
      <c r="M80" s="298"/>
      <c r="N80" s="311"/>
    </row>
    <row r="81" spans="2:14" ht="15.75">
      <c r="B81" s="298"/>
      <c r="C81" s="298"/>
      <c r="D81" s="298"/>
      <c r="E81" s="298"/>
      <c r="F81" s="298"/>
      <c r="G81" s="298"/>
      <c r="H81" s="298"/>
      <c r="I81" s="298"/>
      <c r="J81" s="298"/>
      <c r="K81" s="298"/>
      <c r="L81" s="311"/>
      <c r="M81" s="298"/>
      <c r="N81" s="311"/>
    </row>
    <row r="82" spans="2:14" ht="15.75">
      <c r="B82" s="298"/>
      <c r="C82" s="298"/>
      <c r="D82" s="298"/>
      <c r="E82" s="298"/>
      <c r="F82" s="298"/>
      <c r="G82" s="298"/>
      <c r="H82" s="298"/>
      <c r="I82" s="298"/>
      <c r="J82" s="298"/>
      <c r="K82" s="298"/>
      <c r="L82" s="311"/>
      <c r="M82" s="298"/>
      <c r="N82" s="311"/>
    </row>
    <row r="83" spans="2:14" ht="15.75">
      <c r="B83" s="298"/>
      <c r="C83" s="298"/>
      <c r="D83" s="298"/>
      <c r="E83" s="298"/>
      <c r="F83" s="298"/>
      <c r="G83" s="298"/>
      <c r="H83" s="298"/>
      <c r="I83" s="298"/>
      <c r="J83" s="298"/>
      <c r="K83" s="298"/>
      <c r="L83" s="311"/>
      <c r="M83" s="298"/>
      <c r="N83" s="311"/>
    </row>
    <row r="84" spans="2:14" ht="15.75">
      <c r="B84" s="298"/>
      <c r="C84" s="298"/>
      <c r="D84" s="298"/>
      <c r="E84" s="298"/>
      <c r="F84" s="298"/>
      <c r="G84" s="298"/>
      <c r="H84" s="298"/>
      <c r="I84" s="298"/>
      <c r="J84" s="298"/>
      <c r="K84" s="298"/>
      <c r="L84" s="311"/>
      <c r="M84" s="298"/>
      <c r="N84" s="311"/>
    </row>
    <row r="85" spans="2:14" ht="15.75">
      <c r="B85" s="298"/>
      <c r="C85" s="298"/>
      <c r="D85" s="298"/>
      <c r="E85" s="298"/>
      <c r="F85" s="298"/>
      <c r="G85" s="298"/>
      <c r="H85" s="298"/>
      <c r="I85" s="298"/>
      <c r="J85" s="298"/>
      <c r="K85" s="298"/>
      <c r="L85" s="311"/>
      <c r="M85" s="298"/>
      <c r="N85" s="311"/>
    </row>
    <row r="86" spans="2:14" ht="15.75">
      <c r="B86" s="298"/>
      <c r="C86" s="298"/>
      <c r="D86" s="298"/>
      <c r="E86" s="298"/>
      <c r="F86" s="298"/>
      <c r="G86" s="298"/>
      <c r="H86" s="298"/>
      <c r="I86" s="298"/>
      <c r="J86" s="298"/>
      <c r="K86" s="298"/>
      <c r="L86" s="311"/>
      <c r="M86" s="298"/>
      <c r="N86" s="311"/>
    </row>
    <row r="87" spans="2:14" ht="15.75">
      <c r="B87" s="298"/>
      <c r="C87" s="298"/>
      <c r="D87" s="298"/>
      <c r="E87" s="298"/>
      <c r="F87" s="298"/>
      <c r="G87" s="298"/>
      <c r="H87" s="298"/>
      <c r="I87" s="298"/>
      <c r="J87" s="298"/>
      <c r="K87" s="298"/>
      <c r="L87" s="311"/>
      <c r="M87" s="298"/>
      <c r="N87" s="311"/>
    </row>
    <row r="88" spans="2:14" ht="15.75">
      <c r="B88" s="298"/>
      <c r="C88" s="298"/>
      <c r="D88" s="298"/>
      <c r="E88" s="298"/>
      <c r="F88" s="298"/>
      <c r="G88" s="298"/>
      <c r="H88" s="298"/>
      <c r="I88" s="298"/>
      <c r="J88" s="298"/>
      <c r="K88" s="298"/>
      <c r="L88" s="311"/>
      <c r="M88" s="298"/>
      <c r="N88" s="311"/>
    </row>
    <row r="89" spans="2:14" ht="15.75">
      <c r="B89" s="298"/>
      <c r="C89" s="298"/>
      <c r="D89" s="298"/>
      <c r="E89" s="298"/>
      <c r="F89" s="298"/>
      <c r="G89" s="298"/>
      <c r="H89" s="298"/>
      <c r="I89" s="298"/>
      <c r="J89" s="298"/>
      <c r="K89" s="298"/>
      <c r="L89" s="311"/>
      <c r="M89" s="298"/>
      <c r="N89" s="311"/>
    </row>
    <row r="90" spans="2:14" ht="15.75">
      <c r="B90" s="298"/>
      <c r="C90" s="298"/>
      <c r="D90" s="298"/>
      <c r="E90" s="298"/>
      <c r="F90" s="298"/>
      <c r="G90" s="298"/>
      <c r="H90" s="298"/>
      <c r="I90" s="298"/>
      <c r="J90" s="298"/>
      <c r="K90" s="298"/>
      <c r="L90" s="311"/>
      <c r="M90" s="298"/>
      <c r="N90" s="311"/>
    </row>
    <row r="91" spans="2:14" ht="15.75">
      <c r="B91" s="298"/>
      <c r="C91" s="298"/>
      <c r="D91" s="298"/>
      <c r="E91" s="298"/>
      <c r="F91" s="298"/>
      <c r="G91" s="298"/>
      <c r="H91" s="298"/>
      <c r="I91" s="298"/>
      <c r="J91" s="298"/>
      <c r="K91" s="298"/>
      <c r="L91" s="311"/>
      <c r="M91" s="298"/>
      <c r="N91" s="311"/>
    </row>
    <row r="92" spans="2:14" ht="15.75">
      <c r="B92" s="298"/>
      <c r="C92" s="298"/>
      <c r="D92" s="298"/>
      <c r="E92" s="298"/>
      <c r="F92" s="298"/>
      <c r="G92" s="298"/>
      <c r="H92" s="298"/>
      <c r="I92" s="298"/>
      <c r="J92" s="298"/>
      <c r="K92" s="298"/>
      <c r="L92" s="311"/>
      <c r="M92" s="298"/>
      <c r="N92" s="311"/>
    </row>
    <row r="93" spans="2:14" ht="15.75">
      <c r="B93" s="298"/>
      <c r="C93" s="298"/>
      <c r="D93" s="298"/>
      <c r="E93" s="298"/>
      <c r="F93" s="298"/>
      <c r="G93" s="298"/>
      <c r="H93" s="298"/>
      <c r="I93" s="298"/>
      <c r="J93" s="298"/>
      <c r="K93" s="298"/>
      <c r="L93" s="311"/>
      <c r="M93" s="298"/>
      <c r="N93" s="311"/>
    </row>
    <row r="94" spans="2:14" ht="15.75">
      <c r="B94" s="298"/>
      <c r="C94" s="298"/>
      <c r="D94" s="298"/>
      <c r="E94" s="298"/>
      <c r="F94" s="298"/>
      <c r="G94" s="298"/>
      <c r="H94" s="298"/>
      <c r="I94" s="298"/>
      <c r="J94" s="298"/>
      <c r="K94" s="298"/>
      <c r="L94" s="311"/>
      <c r="M94" s="298"/>
      <c r="N94" s="311"/>
    </row>
    <row r="95" spans="2:14" ht="15.75">
      <c r="B95" s="298"/>
      <c r="C95" s="298"/>
      <c r="D95" s="298"/>
      <c r="E95" s="298"/>
      <c r="F95" s="298"/>
      <c r="G95" s="298"/>
      <c r="H95" s="298"/>
      <c r="I95" s="298"/>
      <c r="J95" s="298"/>
      <c r="K95" s="298"/>
      <c r="L95" s="311"/>
      <c r="M95" s="298"/>
      <c r="N95" s="311"/>
    </row>
    <row r="96" spans="2:14" ht="15.75">
      <c r="B96" s="298"/>
      <c r="C96" s="298"/>
      <c r="D96" s="298"/>
      <c r="E96" s="298"/>
      <c r="F96" s="298"/>
      <c r="G96" s="298"/>
      <c r="H96" s="298"/>
      <c r="I96" s="298"/>
      <c r="J96" s="298"/>
      <c r="K96" s="298"/>
      <c r="L96" s="311"/>
      <c r="M96" s="298"/>
      <c r="N96" s="311"/>
    </row>
    <row r="97" spans="2:14" ht="15.75">
      <c r="B97" s="298"/>
      <c r="C97" s="298"/>
      <c r="D97" s="298"/>
      <c r="E97" s="298"/>
      <c r="F97" s="298"/>
      <c r="G97" s="298"/>
      <c r="H97" s="298"/>
      <c r="I97" s="298"/>
      <c r="J97" s="298"/>
      <c r="K97" s="298"/>
      <c r="L97" s="311"/>
      <c r="M97" s="298"/>
      <c r="N97" s="311"/>
    </row>
    <row r="98" spans="2:14" ht="15.75">
      <c r="B98" s="298"/>
      <c r="C98" s="298"/>
      <c r="D98" s="298"/>
      <c r="E98" s="298"/>
      <c r="F98" s="298"/>
      <c r="G98" s="298"/>
      <c r="H98" s="298"/>
      <c r="I98" s="298"/>
      <c r="J98" s="298"/>
      <c r="K98" s="298"/>
      <c r="L98" s="311"/>
      <c r="M98" s="298"/>
      <c r="N98" s="311"/>
    </row>
    <row r="99" spans="2:14" ht="15.75">
      <c r="B99" s="298"/>
      <c r="C99" s="298"/>
      <c r="D99" s="298"/>
      <c r="E99" s="298"/>
      <c r="F99" s="298"/>
      <c r="G99" s="298"/>
      <c r="H99" s="298"/>
      <c r="I99" s="298"/>
      <c r="J99" s="298"/>
      <c r="K99" s="298"/>
      <c r="L99" s="311"/>
      <c r="M99" s="298"/>
      <c r="N99" s="311"/>
    </row>
    <row r="100" spans="2:14" ht="15.75">
      <c r="B100" s="298"/>
      <c r="C100" s="298"/>
      <c r="D100" s="298"/>
      <c r="E100" s="298"/>
      <c r="F100" s="298"/>
      <c r="G100" s="298"/>
      <c r="H100" s="298"/>
      <c r="I100" s="298"/>
      <c r="J100" s="298"/>
      <c r="K100" s="298"/>
      <c r="L100" s="311"/>
      <c r="M100" s="298"/>
      <c r="N100" s="311"/>
    </row>
    <row r="101" spans="2:14" ht="15.75">
      <c r="B101" s="298"/>
      <c r="C101" s="298"/>
      <c r="D101" s="298"/>
      <c r="E101" s="298"/>
      <c r="F101" s="298"/>
      <c r="G101" s="298"/>
      <c r="H101" s="298"/>
      <c r="I101" s="298"/>
      <c r="J101" s="298"/>
      <c r="K101" s="298"/>
      <c r="L101" s="311"/>
      <c r="M101" s="298"/>
      <c r="N101" s="311"/>
    </row>
    <row r="102" spans="2:14" ht="15.75">
      <c r="B102" s="298"/>
      <c r="C102" s="298"/>
      <c r="D102" s="298"/>
      <c r="E102" s="298"/>
      <c r="F102" s="298"/>
      <c r="G102" s="298"/>
      <c r="H102" s="298"/>
      <c r="I102" s="298"/>
      <c r="J102" s="298"/>
      <c r="K102" s="298"/>
      <c r="L102" s="311"/>
      <c r="M102" s="298"/>
      <c r="N102" s="311"/>
    </row>
    <row r="103" spans="2:14" ht="15.75">
      <c r="B103" s="298"/>
      <c r="C103" s="298"/>
      <c r="D103" s="298"/>
      <c r="E103" s="298"/>
      <c r="F103" s="298"/>
      <c r="G103" s="298"/>
      <c r="H103" s="298"/>
      <c r="I103" s="298"/>
      <c r="J103" s="298"/>
      <c r="K103" s="298"/>
      <c r="L103" s="311"/>
      <c r="M103" s="298"/>
      <c r="N103" s="311"/>
    </row>
    <row r="104" spans="2:14" ht="15.75">
      <c r="B104" s="298"/>
      <c r="C104" s="298"/>
      <c r="D104" s="298"/>
      <c r="E104" s="298"/>
      <c r="F104" s="298"/>
      <c r="G104" s="298"/>
      <c r="H104" s="298"/>
      <c r="I104" s="298"/>
      <c r="J104" s="298"/>
      <c r="K104" s="298"/>
      <c r="L104" s="311"/>
      <c r="M104" s="298"/>
      <c r="N104" s="311"/>
    </row>
    <row r="105" spans="2:14" ht="15.75">
      <c r="B105" s="298"/>
      <c r="C105" s="298"/>
      <c r="D105" s="298"/>
      <c r="E105" s="298"/>
      <c r="F105" s="298"/>
      <c r="G105" s="298"/>
      <c r="H105" s="298"/>
      <c r="I105" s="298"/>
      <c r="J105" s="298"/>
      <c r="K105" s="298"/>
      <c r="L105" s="311"/>
      <c r="M105" s="298"/>
      <c r="N105" s="311"/>
    </row>
    <row r="106" spans="2:14" ht="15.75">
      <c r="B106" s="298"/>
      <c r="C106" s="298"/>
      <c r="D106" s="298"/>
      <c r="E106" s="298"/>
      <c r="F106" s="298"/>
      <c r="G106" s="298"/>
      <c r="H106" s="298"/>
      <c r="I106" s="298"/>
      <c r="J106" s="298"/>
      <c r="K106" s="298"/>
      <c r="L106" s="311"/>
      <c r="M106" s="298"/>
      <c r="N106" s="311"/>
    </row>
    <row r="107" spans="2:14" ht="15.75">
      <c r="B107" s="298"/>
      <c r="C107" s="298"/>
      <c r="D107" s="298"/>
      <c r="E107" s="298"/>
      <c r="F107" s="298"/>
      <c r="G107" s="298"/>
      <c r="H107" s="298"/>
      <c r="I107" s="298"/>
      <c r="J107" s="298"/>
      <c r="K107" s="298"/>
      <c r="L107" s="311"/>
      <c r="M107" s="298"/>
      <c r="N107" s="311"/>
    </row>
    <row r="108" spans="2:14" ht="15.75">
      <c r="B108" s="298"/>
      <c r="C108" s="298"/>
      <c r="D108" s="298"/>
      <c r="E108" s="298"/>
      <c r="F108" s="298"/>
      <c r="G108" s="298"/>
      <c r="H108" s="298"/>
      <c r="I108" s="298"/>
      <c r="J108" s="298"/>
      <c r="K108" s="298"/>
      <c r="L108" s="311"/>
      <c r="M108" s="298"/>
      <c r="N108" s="311"/>
    </row>
    <row r="109" spans="2:14" ht="15.75">
      <c r="B109" s="298"/>
      <c r="C109" s="298"/>
      <c r="D109" s="298"/>
      <c r="E109" s="298"/>
      <c r="F109" s="298"/>
      <c r="G109" s="298"/>
      <c r="H109" s="298"/>
      <c r="I109" s="298"/>
      <c r="J109" s="298"/>
      <c r="K109" s="298"/>
      <c r="L109" s="311"/>
      <c r="M109" s="298"/>
      <c r="N109" s="311"/>
    </row>
    <row r="110" spans="2:14" ht="15.75">
      <c r="B110" s="298"/>
      <c r="C110" s="298"/>
      <c r="D110" s="298"/>
      <c r="E110" s="298"/>
      <c r="F110" s="298"/>
      <c r="G110" s="298"/>
      <c r="H110" s="298"/>
      <c r="I110" s="298"/>
      <c r="J110" s="298"/>
      <c r="K110" s="298"/>
      <c r="L110" s="311"/>
      <c r="M110" s="298"/>
      <c r="N110" s="311"/>
    </row>
    <row r="111" spans="2:14" ht="15.75">
      <c r="B111" s="298"/>
      <c r="C111" s="298"/>
      <c r="D111" s="298"/>
      <c r="E111" s="298"/>
      <c r="F111" s="298"/>
      <c r="G111" s="298"/>
      <c r="H111" s="298"/>
      <c r="I111" s="298"/>
      <c r="J111" s="298"/>
      <c r="K111" s="298"/>
      <c r="L111" s="311"/>
      <c r="M111" s="298"/>
      <c r="N111" s="311"/>
    </row>
    <row r="112" spans="2:14" ht="15.75">
      <c r="B112" s="298"/>
      <c r="C112" s="298"/>
      <c r="D112" s="298"/>
      <c r="E112" s="298"/>
      <c r="F112" s="298"/>
      <c r="G112" s="298"/>
      <c r="H112" s="298"/>
      <c r="I112" s="298"/>
      <c r="J112" s="298"/>
      <c r="K112" s="298"/>
      <c r="L112" s="311"/>
      <c r="M112" s="298"/>
      <c r="N112" s="311"/>
    </row>
    <row r="113" spans="2:14" ht="15.75">
      <c r="B113" s="298"/>
      <c r="C113" s="298"/>
      <c r="D113" s="298"/>
      <c r="E113" s="298"/>
      <c r="F113" s="298"/>
      <c r="G113" s="298"/>
      <c r="H113" s="298"/>
      <c r="I113" s="298"/>
      <c r="J113" s="298"/>
      <c r="K113" s="298"/>
      <c r="L113" s="311"/>
      <c r="M113" s="298"/>
      <c r="N113" s="311"/>
    </row>
    <row r="114" spans="2:14" ht="15.75">
      <c r="B114" s="298"/>
      <c r="C114" s="298"/>
      <c r="D114" s="298"/>
      <c r="E114" s="298"/>
      <c r="F114" s="298"/>
      <c r="G114" s="298"/>
      <c r="H114" s="298"/>
      <c r="I114" s="298"/>
      <c r="J114" s="298"/>
      <c r="K114" s="298"/>
      <c r="L114" s="311"/>
      <c r="M114" s="298"/>
      <c r="N114" s="311"/>
    </row>
    <row r="115" spans="2:14" ht="15.75">
      <c r="B115" s="298"/>
      <c r="C115" s="298"/>
      <c r="D115" s="298"/>
      <c r="E115" s="298"/>
      <c r="F115" s="298"/>
      <c r="G115" s="298"/>
      <c r="H115" s="298"/>
      <c r="I115" s="298"/>
      <c r="J115" s="298"/>
      <c r="K115" s="298"/>
      <c r="L115" s="311"/>
      <c r="M115" s="298"/>
      <c r="N115" s="311"/>
    </row>
    <row r="116" spans="2:14" ht="15.75">
      <c r="B116" s="298"/>
      <c r="C116" s="298"/>
      <c r="D116" s="298"/>
      <c r="E116" s="298"/>
      <c r="F116" s="298"/>
      <c r="G116" s="298"/>
      <c r="H116" s="298"/>
      <c r="I116" s="298"/>
      <c r="J116" s="298"/>
      <c r="K116" s="298"/>
      <c r="L116" s="311"/>
      <c r="M116" s="298"/>
      <c r="N116" s="311"/>
    </row>
    <row r="117" spans="2:14" ht="15.75">
      <c r="B117" s="298"/>
      <c r="C117" s="298"/>
      <c r="D117" s="298"/>
      <c r="E117" s="298"/>
      <c r="F117" s="298"/>
      <c r="G117" s="298"/>
      <c r="H117" s="298"/>
      <c r="I117" s="298"/>
      <c r="J117" s="298"/>
      <c r="K117" s="298"/>
      <c r="L117" s="311"/>
      <c r="M117" s="298"/>
      <c r="N117" s="311"/>
    </row>
  </sheetData>
  <mergeCells count="2">
    <mergeCell ref="B1:N1"/>
    <mergeCell ref="B3:N3"/>
  </mergeCells>
  <printOptions horizontalCentered="1"/>
  <pageMargins left="0.5" right="0.5" top="0.5" bottom="0.5" header="0.5" footer="0.5"/>
  <pageSetup scale="74"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8" tint="0.39997558519241921"/>
  </sheetPr>
  <dimension ref="A1:BJ126"/>
  <sheetViews>
    <sheetView showGridLines="0" showRuler="0" topLeftCell="B3" zoomScaleNormal="100" zoomScaleSheetLayoutView="130" workbookViewId="0">
      <selection activeCell="B69" sqref="A69:XFD78"/>
    </sheetView>
  </sheetViews>
  <sheetFormatPr defaultColWidth="6.85546875" defaultRowHeight="12.75"/>
  <cols>
    <col min="1" max="1" width="17.42578125" style="283" hidden="1" customWidth="1"/>
    <col min="2" max="2" width="36.5703125" style="283" customWidth="1"/>
    <col min="3" max="3" width="15.7109375" style="510" customWidth="1"/>
    <col min="4" max="4" width="18.7109375" style="510" hidden="1" customWidth="1"/>
    <col min="5" max="5" width="3" style="510" hidden="1" customWidth="1"/>
    <col min="6" max="6" width="15.7109375" style="510" customWidth="1"/>
    <col min="7" max="7" width="17.28515625" style="510" hidden="1" customWidth="1"/>
    <col min="8" max="8" width="3" style="510" hidden="1" customWidth="1"/>
    <col min="9" max="9" width="15.7109375" style="510" customWidth="1"/>
    <col min="10" max="10" width="20.5703125" style="510" hidden="1" customWidth="1"/>
    <col min="11" max="11" width="3" style="510" hidden="1" customWidth="1"/>
    <col min="12" max="12" width="15.7109375" style="511" customWidth="1"/>
    <col min="13" max="13" width="3" style="510" hidden="1" customWidth="1"/>
    <col min="14" max="14" width="15.7109375" style="1118" customWidth="1"/>
    <col min="15" max="15" width="21.140625" style="283" bestFit="1" customWidth="1"/>
    <col min="16" max="16" width="18.7109375" style="283" bestFit="1" customWidth="1"/>
    <col min="17" max="17" width="6.85546875" style="283"/>
    <col min="18" max="18" width="6.85546875" style="288"/>
    <col min="19" max="19" width="17.85546875" style="1280" bestFit="1" customWidth="1"/>
    <col min="20" max="20" width="6.85546875" style="288"/>
    <col min="21" max="22" width="13.5703125" style="1280" bestFit="1" customWidth="1"/>
    <col min="23" max="23" width="6.85546875" style="288"/>
    <col min="24" max="24" width="13.5703125" style="288" bestFit="1" customWidth="1"/>
    <col min="25" max="62" width="6.85546875" style="288"/>
    <col min="63" max="16384" width="6.85546875" style="283"/>
  </cols>
  <sheetData>
    <row r="1" spans="1:62" ht="23.45" hidden="1" customHeight="1">
      <c r="B1" s="1706" t="s">
        <v>567</v>
      </c>
      <c r="C1" s="1706"/>
      <c r="D1" s="1706"/>
      <c r="E1" s="1706"/>
      <c r="F1" s="1706"/>
      <c r="G1" s="1706"/>
      <c r="H1" s="1706"/>
      <c r="I1" s="1706"/>
      <c r="J1" s="1706"/>
      <c r="K1" s="1706"/>
      <c r="L1" s="1706"/>
      <c r="M1" s="1706"/>
      <c r="N1" s="1710"/>
    </row>
    <row r="2" spans="1:62" ht="18.75" hidden="1">
      <c r="B2" s="284"/>
      <c r="C2" s="493"/>
      <c r="D2" s="493"/>
      <c r="E2" s="493"/>
      <c r="F2" s="493"/>
      <c r="G2" s="493"/>
      <c r="H2" s="493"/>
      <c r="I2" s="493"/>
      <c r="J2" s="493"/>
      <c r="K2" s="493"/>
      <c r="L2" s="493"/>
      <c r="M2" s="493"/>
      <c r="N2" s="1117"/>
    </row>
    <row r="3" spans="1:62" ht="35.450000000000003" customHeight="1">
      <c r="B3" s="1704" t="s">
        <v>854</v>
      </c>
      <c r="C3" s="1704"/>
      <c r="D3" s="1704"/>
      <c r="E3" s="1704"/>
      <c r="F3" s="1704"/>
      <c r="G3" s="1704"/>
      <c r="H3" s="1704"/>
      <c r="I3" s="1704"/>
      <c r="J3" s="1704"/>
      <c r="K3" s="1704"/>
      <c r="L3" s="1704"/>
      <c r="M3" s="1704"/>
      <c r="N3" s="1704"/>
    </row>
    <row r="4" spans="1:62" ht="32.25" customHeight="1" thickBot="1">
      <c r="B4" s="1711"/>
      <c r="C4" s="1711"/>
      <c r="D4" s="1711"/>
      <c r="E4" s="1711"/>
      <c r="F4" s="1711"/>
      <c r="G4" s="1711"/>
      <c r="H4" s="1711"/>
      <c r="I4" s="1711"/>
      <c r="J4" s="1711"/>
      <c r="K4" s="1711"/>
      <c r="L4" s="1711"/>
      <c r="M4" s="1711"/>
      <c r="N4" s="1711"/>
    </row>
    <row r="5" spans="1:62" s="1125" customFormat="1" ht="52.9" customHeight="1" thickBot="1">
      <c r="B5" s="1135"/>
      <c r="C5" s="1127" t="s">
        <v>981</v>
      </c>
      <c r="D5" s="1136" t="s">
        <v>314</v>
      </c>
      <c r="E5" s="1136"/>
      <c r="F5" s="1128" t="s">
        <v>982</v>
      </c>
      <c r="G5" s="1137" t="s">
        <v>407</v>
      </c>
      <c r="H5" s="1136"/>
      <c r="I5" s="1128" t="s">
        <v>980</v>
      </c>
      <c r="J5" s="1138" t="s">
        <v>1</v>
      </c>
      <c r="K5" s="1136"/>
      <c r="L5" s="1141" t="s">
        <v>989</v>
      </c>
      <c r="M5" s="1136"/>
      <c r="N5" s="1129" t="s">
        <v>985</v>
      </c>
      <c r="R5" s="1130"/>
      <c r="S5" s="1272"/>
      <c r="T5" s="1130"/>
      <c r="U5" s="1272"/>
      <c r="V5" s="1272"/>
      <c r="W5" s="1130"/>
      <c r="X5" s="1130"/>
      <c r="Y5" s="1130"/>
      <c r="Z5" s="1130"/>
      <c r="AA5" s="1130"/>
      <c r="AB5" s="1130"/>
      <c r="AC5" s="1130"/>
      <c r="AD5" s="1130"/>
      <c r="AE5" s="1130"/>
      <c r="AF5" s="1130"/>
      <c r="AG5" s="1130"/>
      <c r="AH5" s="1130"/>
      <c r="AI5" s="1130"/>
      <c r="AJ5" s="1130"/>
      <c r="AK5" s="1130"/>
      <c r="AL5" s="1130"/>
      <c r="AM5" s="1130"/>
      <c r="AN5" s="1130"/>
      <c r="AO5" s="1130"/>
      <c r="AP5" s="1130"/>
      <c r="AQ5" s="1130"/>
      <c r="AR5" s="1130"/>
      <c r="AS5" s="1130"/>
      <c r="AT5" s="1130"/>
      <c r="AU5" s="1130"/>
      <c r="AV5" s="1130"/>
      <c r="AW5" s="1130"/>
      <c r="AX5" s="1130"/>
      <c r="AY5" s="1130"/>
      <c r="AZ5" s="1130"/>
      <c r="BA5" s="1130"/>
      <c r="BB5" s="1130"/>
      <c r="BC5" s="1130"/>
      <c r="BD5" s="1130"/>
      <c r="BE5" s="1130"/>
      <c r="BF5" s="1130"/>
      <c r="BG5" s="1130"/>
      <c r="BH5" s="1130"/>
      <c r="BI5" s="1130"/>
      <c r="BJ5" s="1130"/>
    </row>
    <row r="6" spans="1:62">
      <c r="B6" s="288"/>
      <c r="C6" s="495"/>
      <c r="D6" s="496"/>
      <c r="E6" s="496"/>
      <c r="F6" s="495"/>
      <c r="G6" s="495"/>
      <c r="H6" s="496"/>
      <c r="I6" s="495"/>
      <c r="J6" s="513"/>
      <c r="K6" s="496"/>
      <c r="L6" s="497"/>
      <c r="M6" s="496"/>
    </row>
    <row r="7" spans="1:62" ht="15.75">
      <c r="B7" s="1067" t="s">
        <v>2</v>
      </c>
      <c r="C7" s="498"/>
      <c r="D7" s="499"/>
      <c r="E7" s="499"/>
      <c r="F7" s="499"/>
      <c r="G7" s="500"/>
      <c r="H7" s="499"/>
      <c r="I7" s="500"/>
      <c r="J7" s="499"/>
      <c r="K7" s="499"/>
      <c r="L7" s="501"/>
      <c r="M7" s="499"/>
      <c r="N7" s="1119"/>
    </row>
    <row r="8" spans="1:62" ht="15.75">
      <c r="A8" s="321" t="s">
        <v>336</v>
      </c>
      <c r="B8" s="298" t="s">
        <v>6</v>
      </c>
      <c r="C8" s="1268">
        <v>17506203</v>
      </c>
      <c r="D8" s="1243" t="e">
        <v>#N/A</v>
      </c>
      <c r="E8" s="1268"/>
      <c r="F8" s="1268">
        <v>16846376</v>
      </c>
      <c r="G8" s="1268">
        <v>12823170</v>
      </c>
      <c r="H8" s="1268"/>
      <c r="I8" s="1268">
        <v>16846376</v>
      </c>
      <c r="J8" s="1268">
        <v>0</v>
      </c>
      <c r="K8" s="1268"/>
      <c r="L8" s="1268">
        <v>16379420</v>
      </c>
      <c r="M8" s="1268"/>
      <c r="N8" s="1268">
        <v>-466956</v>
      </c>
      <c r="O8" s="336" t="s">
        <v>11</v>
      </c>
      <c r="P8" s="333">
        <v>253567</v>
      </c>
      <c r="Q8" s="966">
        <v>0.01</v>
      </c>
      <c r="U8" s="1280" t="s">
        <v>58</v>
      </c>
    </row>
    <row r="9" spans="1:62" ht="15.75">
      <c r="A9" s="321" t="s">
        <v>338</v>
      </c>
      <c r="B9" s="305" t="s">
        <v>8</v>
      </c>
      <c r="C9" s="547">
        <v>-186744</v>
      </c>
      <c r="D9" s="514">
        <v>146900</v>
      </c>
      <c r="E9" s="514"/>
      <c r="F9" s="514">
        <v>146900</v>
      </c>
      <c r="G9" s="515">
        <v>12823170</v>
      </c>
      <c r="H9" s="514"/>
      <c r="I9" s="515">
        <v>96680</v>
      </c>
      <c r="J9" s="520">
        <v>-50220</v>
      </c>
      <c r="K9" s="514"/>
      <c r="L9" s="514">
        <v>114335</v>
      </c>
      <c r="M9" s="514"/>
      <c r="N9" s="527">
        <v>-32565</v>
      </c>
      <c r="O9" s="336" t="s">
        <v>12</v>
      </c>
      <c r="P9" s="333">
        <v>60738</v>
      </c>
      <c r="Q9" s="966">
        <v>2E-3</v>
      </c>
      <c r="U9" s="1280" t="s">
        <v>58</v>
      </c>
    </row>
    <row r="10" spans="1:62" ht="15.75">
      <c r="B10" s="298" t="s">
        <v>319</v>
      </c>
      <c r="C10" s="514">
        <v>8884318</v>
      </c>
      <c r="D10" s="515">
        <v>2406672</v>
      </c>
      <c r="E10" s="515"/>
      <c r="F10" s="514">
        <v>797539</v>
      </c>
      <c r="G10" s="515">
        <v>797539</v>
      </c>
      <c r="H10" s="515"/>
      <c r="I10" s="514">
        <v>3734136.1000000015</v>
      </c>
      <c r="J10" s="520"/>
      <c r="K10" s="515"/>
      <c r="L10" s="518">
        <v>0</v>
      </c>
      <c r="M10" s="515"/>
      <c r="N10" s="528">
        <v>-797539</v>
      </c>
      <c r="O10" s="336" t="s">
        <v>801</v>
      </c>
      <c r="P10" s="333">
        <v>10891786.01</v>
      </c>
      <c r="Q10" s="966">
        <v>0.436</v>
      </c>
      <c r="S10" s="1277"/>
      <c r="T10" s="344"/>
      <c r="U10" s="729"/>
      <c r="V10" s="729"/>
      <c r="W10" s="344"/>
      <c r="X10" s="344"/>
    </row>
    <row r="11" spans="1:62" s="625" customFormat="1" ht="15.75">
      <c r="B11" s="622" t="s">
        <v>9</v>
      </c>
      <c r="C11" s="523">
        <v>26203777</v>
      </c>
      <c r="D11" s="523" t="e">
        <v>#N/A</v>
      </c>
      <c r="E11" s="523"/>
      <c r="F11" s="523">
        <v>17790815</v>
      </c>
      <c r="G11" s="523">
        <v>26443879</v>
      </c>
      <c r="H11" s="523"/>
      <c r="I11" s="523">
        <v>20677192.100000001</v>
      </c>
      <c r="J11" s="523">
        <v>-50220</v>
      </c>
      <c r="K11" s="523"/>
      <c r="L11" s="523">
        <v>16493755</v>
      </c>
      <c r="M11" s="523"/>
      <c r="N11" s="1026">
        <v>-1297060</v>
      </c>
      <c r="O11" s="346" t="s">
        <v>14</v>
      </c>
      <c r="P11" s="341">
        <v>640546</v>
      </c>
      <c r="Q11" s="608">
        <v>2.5999999999999999E-2</v>
      </c>
      <c r="R11" s="661"/>
      <c r="S11" s="1277"/>
      <c r="T11" s="661"/>
      <c r="U11" s="1758"/>
      <c r="V11" s="1277"/>
      <c r="W11" s="661"/>
      <c r="X11" s="661"/>
      <c r="Y11" s="661"/>
      <c r="Z11" s="661"/>
      <c r="AA11" s="661"/>
      <c r="AB11" s="661"/>
      <c r="AC11" s="661"/>
      <c r="AD11" s="661"/>
      <c r="AE11" s="661"/>
      <c r="AF11" s="661"/>
      <c r="AG11" s="661"/>
      <c r="AH11" s="661"/>
      <c r="AI11" s="661"/>
      <c r="AJ11" s="661"/>
      <c r="AK11" s="661"/>
      <c r="AL11" s="661"/>
      <c r="AM11" s="661"/>
      <c r="AN11" s="661"/>
      <c r="AO11" s="661"/>
      <c r="AP11" s="661"/>
      <c r="AQ11" s="661"/>
      <c r="AR11" s="661"/>
      <c r="AS11" s="661"/>
      <c r="AT11" s="661"/>
      <c r="AU11" s="661"/>
      <c r="AV11" s="661"/>
      <c r="AW11" s="661"/>
      <c r="AX11" s="661"/>
      <c r="AY11" s="661"/>
      <c r="AZ11" s="661"/>
      <c r="BA11" s="661"/>
      <c r="BB11" s="661"/>
      <c r="BC11" s="661"/>
      <c r="BD11" s="661"/>
      <c r="BE11" s="661"/>
      <c r="BF11" s="661"/>
      <c r="BG11" s="661"/>
      <c r="BH11" s="661"/>
      <c r="BI11" s="661"/>
      <c r="BJ11" s="661"/>
    </row>
    <row r="12" spans="1:62" s="293" customFormat="1" ht="15.75">
      <c r="B12" s="310"/>
      <c r="C12" s="524"/>
      <c r="D12" s="515"/>
      <c r="E12" s="515"/>
      <c r="F12" s="515"/>
      <c r="G12" s="515"/>
      <c r="H12" s="515"/>
      <c r="I12" s="515"/>
      <c r="J12" s="515"/>
      <c r="K12" s="515"/>
      <c r="L12" s="515"/>
      <c r="M12" s="515"/>
      <c r="N12" s="528"/>
      <c r="O12" s="346" t="s">
        <v>15</v>
      </c>
      <c r="P12" s="341">
        <v>3439295</v>
      </c>
      <c r="Q12" s="608">
        <v>0.13800000000000001</v>
      </c>
      <c r="R12" s="344"/>
      <c r="S12" s="729"/>
      <c r="T12" s="344"/>
      <c r="U12" s="1757"/>
      <c r="V12" s="729"/>
      <c r="W12" s="344"/>
      <c r="X12" s="344"/>
      <c r="Y12" s="344"/>
      <c r="Z12" s="344"/>
      <c r="AA12" s="344"/>
      <c r="AB12" s="344"/>
      <c r="AC12" s="344"/>
      <c r="AD12" s="344"/>
      <c r="AE12" s="344"/>
      <c r="AF12" s="344"/>
      <c r="AG12" s="344"/>
      <c r="AH12" s="344"/>
      <c r="AI12" s="344"/>
      <c r="AJ12" s="344"/>
      <c r="AK12" s="344"/>
      <c r="AL12" s="344"/>
      <c r="AM12" s="344"/>
      <c r="AN12" s="344"/>
      <c r="AO12" s="344"/>
      <c r="AP12" s="344"/>
      <c r="AQ12" s="344"/>
      <c r="AR12" s="344"/>
      <c r="AS12" s="344"/>
      <c r="AT12" s="344"/>
      <c r="AU12" s="344"/>
      <c r="AV12" s="344"/>
      <c r="AW12" s="344"/>
      <c r="AX12" s="344"/>
      <c r="AY12" s="344"/>
      <c r="AZ12" s="344"/>
      <c r="BA12" s="344"/>
      <c r="BB12" s="344"/>
      <c r="BC12" s="344"/>
      <c r="BD12" s="344"/>
      <c r="BE12" s="344"/>
      <c r="BF12" s="344"/>
      <c r="BG12" s="344"/>
      <c r="BH12" s="344"/>
      <c r="BI12" s="344"/>
      <c r="BJ12" s="344"/>
    </row>
    <row r="13" spans="1:62" s="293" customFormat="1" ht="15.75">
      <c r="B13" s="1068" t="s">
        <v>320</v>
      </c>
      <c r="C13" s="623"/>
      <c r="D13" s="515"/>
      <c r="E13" s="515"/>
      <c r="F13" s="515"/>
      <c r="G13" s="515"/>
      <c r="H13" s="515"/>
      <c r="I13" s="515"/>
      <c r="J13" s="515"/>
      <c r="K13" s="515"/>
      <c r="L13" s="515"/>
      <c r="M13" s="515"/>
      <c r="N13" s="528"/>
      <c r="O13" s="346" t="s">
        <v>16</v>
      </c>
      <c r="P13" s="341">
        <v>0</v>
      </c>
      <c r="Q13" s="608">
        <v>0</v>
      </c>
      <c r="R13" s="344"/>
      <c r="S13" s="729"/>
      <c r="T13" s="344"/>
      <c r="U13" s="1757"/>
      <c r="V13" s="729"/>
      <c r="W13" s="344"/>
      <c r="X13" s="344"/>
      <c r="Y13" s="344"/>
      <c r="Z13" s="344"/>
      <c r="AA13" s="344"/>
      <c r="AB13" s="344"/>
      <c r="AC13" s="344"/>
      <c r="AD13" s="344"/>
      <c r="AE13" s="344"/>
      <c r="AF13" s="344"/>
      <c r="AG13" s="344"/>
      <c r="AH13" s="344"/>
      <c r="AI13" s="344"/>
      <c r="AJ13" s="344"/>
      <c r="AK13" s="344"/>
      <c r="AL13" s="344"/>
      <c r="AM13" s="344"/>
      <c r="AN13" s="344"/>
      <c r="AO13" s="344"/>
      <c r="AP13" s="344"/>
      <c r="AQ13" s="344"/>
      <c r="AR13" s="344"/>
      <c r="AS13" s="344"/>
      <c r="AT13" s="344"/>
      <c r="AU13" s="344"/>
      <c r="AV13" s="344"/>
      <c r="AW13" s="344"/>
      <c r="AX13" s="344"/>
      <c r="AY13" s="344"/>
      <c r="AZ13" s="344"/>
      <c r="BA13" s="344"/>
      <c r="BB13" s="344"/>
      <c r="BC13" s="344"/>
      <c r="BD13" s="344"/>
      <c r="BE13" s="344"/>
      <c r="BF13" s="344"/>
      <c r="BG13" s="344"/>
      <c r="BH13" s="344"/>
      <c r="BI13" s="344"/>
      <c r="BJ13" s="344"/>
    </row>
    <row r="14" spans="1:62" s="293" customFormat="1" ht="15.75">
      <c r="B14" s="311" t="s">
        <v>327</v>
      </c>
      <c r="C14" s="514">
        <v>12172880</v>
      </c>
      <c r="D14" s="515">
        <v>14194652</v>
      </c>
      <c r="E14" s="515"/>
      <c r="F14" s="515">
        <v>11375341</v>
      </c>
      <c r="G14" s="515">
        <v>11375341</v>
      </c>
      <c r="H14" s="515"/>
      <c r="I14" s="515">
        <v>8438743.8999999985</v>
      </c>
      <c r="J14" s="514">
        <v>-2936597.1000000015</v>
      </c>
      <c r="K14" s="515"/>
      <c r="L14" s="528">
        <v>8438743.8999999985</v>
      </c>
      <c r="M14" s="515"/>
      <c r="N14" s="528">
        <v>-2936597.1000000015</v>
      </c>
      <c r="O14" s="346" t="s">
        <v>38</v>
      </c>
      <c r="P14" s="341">
        <v>94460</v>
      </c>
      <c r="Q14" s="608">
        <v>4.0000000000000001E-3</v>
      </c>
      <c r="R14" s="344"/>
      <c r="S14" s="729"/>
      <c r="T14" s="344"/>
      <c r="U14" s="1757"/>
      <c r="V14" s="1757"/>
      <c r="W14" s="344"/>
      <c r="X14" s="344"/>
      <c r="Y14" s="344"/>
      <c r="Z14" s="344"/>
      <c r="AA14" s="344"/>
      <c r="AB14" s="344"/>
      <c r="AC14" s="344"/>
      <c r="AD14" s="344"/>
      <c r="AE14" s="344"/>
      <c r="AF14" s="344"/>
      <c r="AG14" s="344"/>
      <c r="AH14" s="344"/>
      <c r="AI14" s="344"/>
      <c r="AJ14" s="344"/>
      <c r="AK14" s="344"/>
      <c r="AL14" s="344"/>
      <c r="AM14" s="344"/>
      <c r="AN14" s="344"/>
      <c r="AO14" s="344"/>
      <c r="AP14" s="344"/>
      <c r="AQ14" s="344"/>
      <c r="AR14" s="344"/>
      <c r="AS14" s="344"/>
      <c r="AT14" s="344"/>
      <c r="AU14" s="344"/>
      <c r="AV14" s="344"/>
      <c r="AW14" s="344"/>
      <c r="AX14" s="344"/>
      <c r="AY14" s="344"/>
      <c r="AZ14" s="344"/>
      <c r="BA14" s="344"/>
      <c r="BB14" s="344"/>
      <c r="BC14" s="344"/>
      <c r="BD14" s="344"/>
      <c r="BE14" s="344"/>
      <c r="BF14" s="344"/>
      <c r="BG14" s="344"/>
      <c r="BH14" s="344"/>
      <c r="BI14" s="344"/>
      <c r="BJ14" s="344"/>
    </row>
    <row r="15" spans="1:62" s="293" customFormat="1" ht="15.75">
      <c r="B15" s="622" t="s">
        <v>20</v>
      </c>
      <c r="C15" s="523">
        <v>12172880</v>
      </c>
      <c r="D15" s="523">
        <v>14194652</v>
      </c>
      <c r="E15" s="523"/>
      <c r="F15" s="523">
        <v>11375341</v>
      </c>
      <c r="G15" s="523">
        <v>11375341</v>
      </c>
      <c r="H15" s="523"/>
      <c r="I15" s="523">
        <v>8438743.8999999985</v>
      </c>
      <c r="J15" s="1060">
        <v>-2936597.1000000015</v>
      </c>
      <c r="K15" s="523"/>
      <c r="L15" s="523">
        <v>8438743.8999999985</v>
      </c>
      <c r="M15" s="523"/>
      <c r="N15" s="1026">
        <v>-2936597.1000000015</v>
      </c>
      <c r="O15" s="341" t="s">
        <v>23</v>
      </c>
      <c r="P15" s="341">
        <v>9552106.8899999987</v>
      </c>
      <c r="Q15" s="608">
        <v>0.38400000000000001</v>
      </c>
      <c r="R15" s="344"/>
      <c r="S15" s="729"/>
      <c r="T15" s="344"/>
      <c r="U15" s="538"/>
      <c r="V15" s="538"/>
      <c r="W15" s="344"/>
      <c r="X15" s="344"/>
      <c r="Y15" s="344"/>
      <c r="Z15" s="344"/>
      <c r="AA15" s="344"/>
      <c r="AB15" s="344"/>
      <c r="AC15" s="344"/>
      <c r="AD15" s="344"/>
      <c r="AE15" s="344"/>
      <c r="AF15" s="344"/>
      <c r="AG15" s="344"/>
      <c r="AH15" s="344"/>
      <c r="AI15" s="344"/>
      <c r="AJ15" s="344"/>
      <c r="AK15" s="344"/>
      <c r="AL15" s="344"/>
      <c r="AM15" s="344"/>
      <c r="AN15" s="344"/>
      <c r="AO15" s="344"/>
      <c r="AP15" s="344"/>
      <c r="AQ15" s="344"/>
      <c r="AR15" s="344"/>
      <c r="AS15" s="344"/>
      <c r="AT15" s="344"/>
      <c r="AU15" s="344"/>
      <c r="AV15" s="344"/>
      <c r="AW15" s="344"/>
      <c r="AX15" s="344"/>
      <c r="AY15" s="344"/>
      <c r="AZ15" s="344"/>
      <c r="BA15" s="344"/>
      <c r="BB15" s="344"/>
      <c r="BC15" s="344"/>
      <c r="BD15" s="344"/>
      <c r="BE15" s="344"/>
      <c r="BF15" s="344"/>
      <c r="BG15" s="344"/>
      <c r="BH15" s="344"/>
      <c r="BI15" s="344"/>
      <c r="BJ15" s="344"/>
    </row>
    <row r="16" spans="1:62" s="293" customFormat="1" ht="16.5" thickBot="1">
      <c r="B16" s="616" t="s">
        <v>21</v>
      </c>
      <c r="C16" s="617">
        <v>38376657</v>
      </c>
      <c r="D16" s="617" t="e">
        <v>#N/A</v>
      </c>
      <c r="E16" s="617"/>
      <c r="F16" s="617">
        <v>29166156</v>
      </c>
      <c r="G16" s="617">
        <v>37819220</v>
      </c>
      <c r="H16" s="617"/>
      <c r="I16" s="617">
        <v>29115936</v>
      </c>
      <c r="J16" s="618">
        <v>-50220</v>
      </c>
      <c r="K16" s="617"/>
      <c r="L16" s="617">
        <v>24932498.899999999</v>
      </c>
      <c r="M16" s="617"/>
      <c r="N16" s="1028">
        <v>-4233657.1000000015</v>
      </c>
      <c r="O16" s="340" t="s">
        <v>25</v>
      </c>
      <c r="P16" s="340">
        <v>24932498.899999999</v>
      </c>
      <c r="Q16" s="668">
        <v>1</v>
      </c>
      <c r="R16" s="344"/>
      <c r="S16" s="729"/>
      <c r="T16" s="344"/>
      <c r="U16" s="1757"/>
      <c r="V16" s="729"/>
      <c r="W16" s="344"/>
      <c r="X16" s="344"/>
      <c r="Y16" s="344"/>
      <c r="Z16" s="344"/>
      <c r="AA16" s="344"/>
      <c r="AB16" s="344"/>
      <c r="AC16" s="344"/>
      <c r="AD16" s="344"/>
      <c r="AE16" s="344"/>
      <c r="AF16" s="344"/>
      <c r="AG16" s="344"/>
      <c r="AH16" s="344"/>
      <c r="AI16" s="344"/>
      <c r="AJ16" s="344"/>
      <c r="AK16" s="344"/>
      <c r="AL16" s="344"/>
      <c r="AM16" s="344"/>
      <c r="AN16" s="344"/>
      <c r="AO16" s="344"/>
      <c r="AP16" s="344"/>
      <c r="AQ16" s="344"/>
      <c r="AR16" s="344"/>
      <c r="AS16" s="344"/>
      <c r="AT16" s="344"/>
      <c r="AU16" s="344"/>
      <c r="AV16" s="344"/>
      <c r="AW16" s="344"/>
      <c r="AX16" s="344"/>
      <c r="AY16" s="344"/>
      <c r="AZ16" s="344"/>
      <c r="BA16" s="344"/>
      <c r="BB16" s="344"/>
      <c r="BC16" s="344"/>
      <c r="BD16" s="344"/>
      <c r="BE16" s="344"/>
      <c r="BF16" s="344"/>
      <c r="BG16" s="344"/>
      <c r="BH16" s="344"/>
      <c r="BI16" s="344"/>
      <c r="BJ16" s="344"/>
    </row>
    <row r="17" spans="1:62" s="293" customFormat="1" ht="16.5" thickTop="1">
      <c r="B17" s="316"/>
      <c r="C17" s="619"/>
      <c r="D17" s="515"/>
      <c r="E17" s="515"/>
      <c r="F17" s="515"/>
      <c r="G17" s="515"/>
      <c r="H17" s="515"/>
      <c r="I17" s="515"/>
      <c r="J17" s="515"/>
      <c r="K17" s="515"/>
      <c r="L17" s="515"/>
      <c r="M17" s="515"/>
      <c r="N17" s="528"/>
      <c r="R17" s="344"/>
      <c r="S17" s="729"/>
      <c r="T17" s="344"/>
      <c r="U17" s="1757"/>
      <c r="V17" s="729"/>
      <c r="W17" s="344"/>
      <c r="X17" s="344"/>
      <c r="Y17" s="344"/>
      <c r="Z17" s="344"/>
      <c r="AA17" s="344"/>
      <c r="AB17" s="344"/>
      <c r="AC17" s="344"/>
      <c r="AD17" s="344"/>
      <c r="AE17" s="344"/>
      <c r="AF17" s="344"/>
      <c r="AG17" s="344"/>
      <c r="AH17" s="344"/>
      <c r="AI17" s="344"/>
      <c r="AJ17" s="344"/>
      <c r="AK17" s="344"/>
      <c r="AL17" s="344"/>
      <c r="AM17" s="344"/>
      <c r="AN17" s="344"/>
      <c r="AO17" s="344"/>
      <c r="AP17" s="344"/>
      <c r="AQ17" s="344"/>
      <c r="AR17" s="344"/>
      <c r="AS17" s="344"/>
      <c r="AT17" s="344"/>
      <c r="AU17" s="344"/>
      <c r="AV17" s="344"/>
      <c r="AW17" s="344"/>
      <c r="AX17" s="344"/>
      <c r="AY17" s="344"/>
      <c r="AZ17" s="344"/>
      <c r="BA17" s="344"/>
      <c r="BB17" s="344"/>
      <c r="BC17" s="344"/>
      <c r="BD17" s="344"/>
      <c r="BE17" s="344"/>
      <c r="BF17" s="344"/>
      <c r="BG17" s="344"/>
      <c r="BH17" s="344"/>
      <c r="BI17" s="344"/>
      <c r="BJ17" s="344"/>
    </row>
    <row r="18" spans="1:62" s="293" customFormat="1" ht="15.75">
      <c r="B18" s="1069" t="s">
        <v>10</v>
      </c>
      <c r="C18" s="620"/>
      <c r="D18" s="514"/>
      <c r="E18" s="514"/>
      <c r="F18" s="515"/>
      <c r="G18" s="515"/>
      <c r="H18" s="514"/>
      <c r="I18" s="515"/>
      <c r="J18" s="514"/>
      <c r="K18" s="514"/>
      <c r="L18" s="514"/>
      <c r="M18" s="514"/>
      <c r="N18" s="527"/>
      <c r="O18" s="341" t="s">
        <v>6</v>
      </c>
      <c r="P18" s="341">
        <v>16379420</v>
      </c>
      <c r="Q18" s="608">
        <v>0.65700000000000003</v>
      </c>
      <c r="R18" s="344"/>
      <c r="S18" s="729"/>
      <c r="T18" s="344"/>
      <c r="U18" s="1757"/>
      <c r="V18" s="729"/>
      <c r="W18" s="344"/>
      <c r="X18" s="344"/>
      <c r="Y18" s="344"/>
      <c r="Z18" s="344"/>
      <c r="AA18" s="344"/>
      <c r="AB18" s="344"/>
      <c r="AC18" s="344"/>
      <c r="AD18" s="344"/>
      <c r="AE18" s="344"/>
      <c r="AF18" s="344"/>
      <c r="AG18" s="344"/>
      <c r="AH18" s="344"/>
      <c r="AI18" s="344"/>
      <c r="AJ18" s="344"/>
      <c r="AK18" s="344"/>
      <c r="AL18" s="344"/>
      <c r="AM18" s="344"/>
      <c r="AN18" s="344"/>
      <c r="AO18" s="344"/>
      <c r="AP18" s="344"/>
      <c r="AQ18" s="344"/>
      <c r="AR18" s="344"/>
      <c r="AS18" s="344"/>
      <c r="AT18" s="344"/>
      <c r="AU18" s="344"/>
      <c r="AV18" s="344"/>
      <c r="AW18" s="344"/>
      <c r="AX18" s="344"/>
      <c r="AY18" s="344"/>
      <c r="AZ18" s="344"/>
      <c r="BA18" s="344"/>
      <c r="BB18" s="344"/>
      <c r="BC18" s="344"/>
      <c r="BD18" s="344"/>
      <c r="BE18" s="344"/>
      <c r="BF18" s="344"/>
      <c r="BG18" s="344"/>
      <c r="BH18" s="344"/>
      <c r="BI18" s="344"/>
      <c r="BJ18" s="344"/>
    </row>
    <row r="19" spans="1:62" s="293" customFormat="1" ht="15.75">
      <c r="A19" s="621" t="s">
        <v>340</v>
      </c>
      <c r="B19" s="316" t="s">
        <v>11</v>
      </c>
      <c r="C19" s="514">
        <v>251943</v>
      </c>
      <c r="D19" s="514">
        <v>183046</v>
      </c>
      <c r="E19" s="514"/>
      <c r="F19" s="514">
        <v>183046</v>
      </c>
      <c r="G19" s="515">
        <v>12823170</v>
      </c>
      <c r="H19" s="514"/>
      <c r="I19" s="515">
        <v>187151.16</v>
      </c>
      <c r="J19" s="520">
        <v>4105.1600000000035</v>
      </c>
      <c r="K19" s="514"/>
      <c r="L19" s="514">
        <v>253567</v>
      </c>
      <c r="M19" s="514"/>
      <c r="N19" s="527">
        <v>70521</v>
      </c>
      <c r="O19" s="341" t="s">
        <v>8</v>
      </c>
      <c r="P19" s="341">
        <v>114335</v>
      </c>
      <c r="Q19" s="608">
        <v>5.0000000000000001E-3</v>
      </c>
      <c r="R19" s="344"/>
      <c r="S19" s="729"/>
      <c r="T19" s="344"/>
      <c r="U19" s="344"/>
      <c r="V19" s="729"/>
      <c r="W19" s="344"/>
      <c r="X19" s="729"/>
      <c r="Y19" s="344"/>
      <c r="Z19" s="344"/>
      <c r="AA19" s="344"/>
      <c r="AB19" s="344"/>
      <c r="AC19" s="344"/>
      <c r="AD19" s="344"/>
      <c r="AE19" s="344"/>
      <c r="AF19" s="344"/>
      <c r="AG19" s="344"/>
      <c r="AH19" s="344"/>
      <c r="AI19" s="344"/>
      <c r="AJ19" s="344"/>
      <c r="AK19" s="344"/>
      <c r="AL19" s="344"/>
      <c r="AM19" s="344"/>
      <c r="AN19" s="344"/>
      <c r="AO19" s="344"/>
      <c r="AP19" s="344"/>
      <c r="AQ19" s="344"/>
      <c r="AR19" s="344"/>
      <c r="AS19" s="344"/>
      <c r="AT19" s="344"/>
      <c r="AU19" s="344"/>
      <c r="AV19" s="344"/>
      <c r="AW19" s="344"/>
      <c r="AX19" s="344"/>
      <c r="AY19" s="344"/>
      <c r="AZ19" s="344"/>
      <c r="BA19" s="344"/>
      <c r="BB19" s="344"/>
      <c r="BC19" s="344"/>
      <c r="BD19" s="344"/>
      <c r="BE19" s="344"/>
      <c r="BF19" s="344"/>
      <c r="BG19" s="344"/>
      <c r="BH19" s="344"/>
      <c r="BI19" s="344"/>
      <c r="BJ19" s="344"/>
    </row>
    <row r="20" spans="1:62" s="293" customFormat="1" ht="15.75">
      <c r="A20" s="621" t="s">
        <v>341</v>
      </c>
      <c r="B20" s="316" t="s">
        <v>12</v>
      </c>
      <c r="C20" s="514">
        <v>84801</v>
      </c>
      <c r="D20" s="514">
        <v>77920</v>
      </c>
      <c r="E20" s="514"/>
      <c r="F20" s="514">
        <v>77920</v>
      </c>
      <c r="G20" s="515">
        <v>12823170</v>
      </c>
      <c r="H20" s="514"/>
      <c r="I20" s="515">
        <v>71611.929999999993</v>
      </c>
      <c r="J20" s="520">
        <v>-6308.070000000007</v>
      </c>
      <c r="K20" s="514"/>
      <c r="L20" s="514">
        <v>60738</v>
      </c>
      <c r="M20" s="514"/>
      <c r="N20" s="527">
        <v>-17182</v>
      </c>
      <c r="O20" s="341" t="s">
        <v>319</v>
      </c>
      <c r="P20" s="341">
        <v>0</v>
      </c>
      <c r="Q20" s="608">
        <v>0</v>
      </c>
      <c r="R20" s="344"/>
      <c r="S20" s="729"/>
      <c r="T20" s="344"/>
      <c r="U20" s="1757"/>
      <c r="V20" s="729"/>
      <c r="W20" s="344"/>
      <c r="X20" s="729"/>
      <c r="Y20" s="344"/>
      <c r="Z20" s="344"/>
      <c r="AA20" s="344"/>
      <c r="AB20" s="344"/>
      <c r="AC20" s="344"/>
      <c r="AD20" s="344"/>
      <c r="AE20" s="344"/>
      <c r="AF20" s="344"/>
      <c r="AG20" s="344"/>
      <c r="AH20" s="344"/>
      <c r="AI20" s="344"/>
      <c r="AJ20" s="344"/>
      <c r="AK20" s="344"/>
      <c r="AL20" s="344"/>
      <c r="AM20" s="344"/>
      <c r="AN20" s="344"/>
      <c r="AO20" s="344"/>
      <c r="AP20" s="344"/>
      <c r="AQ20" s="344"/>
      <c r="AR20" s="344"/>
      <c r="AS20" s="344"/>
      <c r="AT20" s="344"/>
      <c r="AU20" s="344"/>
      <c r="AV20" s="344"/>
      <c r="AW20" s="344"/>
      <c r="AX20" s="344"/>
      <c r="AY20" s="344"/>
      <c r="AZ20" s="344"/>
      <c r="BA20" s="344"/>
      <c r="BB20" s="344"/>
      <c r="BC20" s="344"/>
      <c r="BD20" s="344"/>
      <c r="BE20" s="344"/>
      <c r="BF20" s="344"/>
      <c r="BG20" s="344"/>
      <c r="BH20" s="344"/>
      <c r="BI20" s="344"/>
      <c r="BJ20" s="344"/>
    </row>
    <row r="21" spans="1:62" s="293" customFormat="1" ht="21">
      <c r="A21" s="621" t="s">
        <v>342</v>
      </c>
      <c r="B21" s="316" t="s">
        <v>801</v>
      </c>
      <c r="C21" s="514">
        <v>10593613</v>
      </c>
      <c r="D21" s="514">
        <v>11251467.960000001</v>
      </c>
      <c r="E21" s="514"/>
      <c r="F21" s="514">
        <v>11251467.960000001</v>
      </c>
      <c r="G21" s="515">
        <v>12823170</v>
      </c>
      <c r="H21" s="514"/>
      <c r="I21" s="515">
        <v>11249053.01</v>
      </c>
      <c r="J21" s="520">
        <v>-2414.9500000011176</v>
      </c>
      <c r="K21" s="514"/>
      <c r="L21" s="514">
        <v>10891786.01</v>
      </c>
      <c r="M21" s="514"/>
      <c r="N21" s="1239">
        <v>-359681.95000000112</v>
      </c>
      <c r="O21" s="341" t="s">
        <v>19</v>
      </c>
      <c r="P21" s="341">
        <v>8438743.8999999985</v>
      </c>
      <c r="Q21" s="608">
        <v>0.33800000000000002</v>
      </c>
      <c r="R21" s="344"/>
      <c r="S21" s="729"/>
      <c r="T21" s="344"/>
      <c r="U21" s="1757"/>
      <c r="V21" s="729"/>
      <c r="W21" s="344"/>
      <c r="X21" s="729"/>
      <c r="Y21" s="344"/>
      <c r="Z21" s="344"/>
      <c r="AA21" s="344"/>
      <c r="AB21" s="344"/>
      <c r="AC21" s="344"/>
      <c r="AD21" s="344"/>
      <c r="AE21" s="344"/>
      <c r="AF21" s="344"/>
      <c r="AG21" s="344"/>
      <c r="AH21" s="344"/>
      <c r="AI21" s="344"/>
      <c r="AJ21" s="344"/>
      <c r="AK21" s="344"/>
      <c r="AL21" s="344"/>
      <c r="AM21" s="344"/>
      <c r="AN21" s="344"/>
      <c r="AO21" s="344"/>
      <c r="AP21" s="344"/>
      <c r="AQ21" s="344"/>
      <c r="AR21" s="344"/>
      <c r="AS21" s="344"/>
      <c r="AT21" s="344"/>
      <c r="AU21" s="344"/>
      <c r="AV21" s="344"/>
      <c r="AW21" s="344"/>
      <c r="AX21" s="344"/>
      <c r="AY21" s="344"/>
      <c r="AZ21" s="344"/>
      <c r="BA21" s="344"/>
      <c r="BB21" s="344"/>
      <c r="BC21" s="344"/>
      <c r="BD21" s="344"/>
      <c r="BE21" s="344"/>
      <c r="BF21" s="344"/>
      <c r="BG21" s="344"/>
      <c r="BH21" s="344"/>
      <c r="BI21" s="344"/>
      <c r="BJ21" s="344"/>
    </row>
    <row r="22" spans="1:62" s="293" customFormat="1" ht="15.75">
      <c r="A22" s="621" t="s">
        <v>343</v>
      </c>
      <c r="B22" s="316" t="s">
        <v>14</v>
      </c>
      <c r="C22" s="514">
        <v>1863974</v>
      </c>
      <c r="D22" s="514">
        <v>531372</v>
      </c>
      <c r="E22" s="514"/>
      <c r="F22" s="514">
        <v>531372</v>
      </c>
      <c r="G22" s="515">
        <v>12823170</v>
      </c>
      <c r="H22" s="514"/>
      <c r="I22" s="515">
        <v>527367</v>
      </c>
      <c r="J22" s="520">
        <v>-4005</v>
      </c>
      <c r="K22" s="514"/>
      <c r="L22" s="514">
        <v>640546</v>
      </c>
      <c r="M22" s="514"/>
      <c r="N22" s="1239">
        <v>109174</v>
      </c>
      <c r="O22" s="341" t="s">
        <v>21</v>
      </c>
      <c r="P22" s="341">
        <v>24932498.899999999</v>
      </c>
      <c r="Q22" s="608">
        <v>1</v>
      </c>
      <c r="R22" s="344"/>
      <c r="S22" s="729"/>
      <c r="T22" s="344"/>
      <c r="U22" s="1757"/>
      <c r="V22" s="729"/>
      <c r="W22" s="344"/>
      <c r="X22" s="729"/>
      <c r="Y22" s="344"/>
      <c r="Z22" s="344"/>
      <c r="AA22" s="344"/>
      <c r="AB22" s="344"/>
      <c r="AC22" s="344"/>
      <c r="AD22" s="344"/>
      <c r="AE22" s="344"/>
      <c r="AF22" s="344"/>
      <c r="AG22" s="344"/>
      <c r="AH22" s="344"/>
      <c r="AI22" s="344"/>
      <c r="AJ22" s="344"/>
      <c r="AK22" s="344"/>
      <c r="AL22" s="344"/>
      <c r="AM22" s="344"/>
      <c r="AN22" s="344"/>
      <c r="AO22" s="344"/>
      <c r="AP22" s="344"/>
      <c r="AQ22" s="344"/>
      <c r="AR22" s="344"/>
      <c r="AS22" s="344"/>
      <c r="AT22" s="344"/>
      <c r="AU22" s="344"/>
      <c r="AV22" s="344"/>
      <c r="AW22" s="344"/>
      <c r="AX22" s="344"/>
      <c r="AY22" s="344"/>
      <c r="AZ22" s="344"/>
      <c r="BA22" s="344"/>
      <c r="BB22" s="344"/>
      <c r="BC22" s="344"/>
      <c r="BD22" s="344"/>
      <c r="BE22" s="344"/>
      <c r="BF22" s="344"/>
      <c r="BG22" s="344"/>
      <c r="BH22" s="344"/>
      <c r="BI22" s="344"/>
      <c r="BJ22" s="344"/>
    </row>
    <row r="23" spans="1:62" s="293" customFormat="1" ht="15.75">
      <c r="A23" s="621" t="s">
        <v>350</v>
      </c>
      <c r="B23" s="316" t="s">
        <v>15</v>
      </c>
      <c r="C23" s="514">
        <v>1887022</v>
      </c>
      <c r="D23" s="514">
        <v>5715447.04</v>
      </c>
      <c r="E23" s="514"/>
      <c r="F23" s="514">
        <v>5715447.04</v>
      </c>
      <c r="G23" s="515">
        <v>12823170</v>
      </c>
      <c r="H23" s="514"/>
      <c r="I23" s="515">
        <v>8610447</v>
      </c>
      <c r="J23" s="520">
        <v>2894999.96</v>
      </c>
      <c r="K23" s="514"/>
      <c r="L23" s="514">
        <v>3439295</v>
      </c>
      <c r="M23" s="514"/>
      <c r="N23" s="1239">
        <v>-2276152.04</v>
      </c>
      <c r="O23" s="341" t="s">
        <v>58</v>
      </c>
      <c r="P23" s="341"/>
      <c r="Q23" s="608"/>
      <c r="R23" s="344"/>
      <c r="S23" s="729"/>
      <c r="T23" s="344"/>
      <c r="U23" s="1757"/>
      <c r="V23" s="729"/>
      <c r="W23" s="344"/>
      <c r="X23" s="729"/>
      <c r="Y23" s="344"/>
      <c r="Z23" s="344"/>
      <c r="AA23" s="344"/>
      <c r="AB23" s="344"/>
      <c r="AC23" s="344"/>
      <c r="AD23" s="344"/>
      <c r="AE23" s="344"/>
      <c r="AF23" s="344"/>
      <c r="AG23" s="344"/>
      <c r="AH23" s="344"/>
      <c r="AI23" s="344"/>
      <c r="AJ23" s="344"/>
      <c r="AK23" s="344"/>
      <c r="AL23" s="344"/>
      <c r="AM23" s="344"/>
      <c r="AN23" s="344"/>
      <c r="AO23" s="344"/>
      <c r="AP23" s="344"/>
      <c r="AQ23" s="344"/>
      <c r="AR23" s="344"/>
      <c r="AS23" s="344"/>
      <c r="AT23" s="344"/>
      <c r="AU23" s="344"/>
      <c r="AV23" s="344"/>
      <c r="AW23" s="344"/>
      <c r="AX23" s="344"/>
      <c r="AY23" s="344"/>
      <c r="AZ23" s="344"/>
      <c r="BA23" s="344"/>
      <c r="BB23" s="344"/>
      <c r="BC23" s="344"/>
      <c r="BD23" s="344"/>
      <c r="BE23" s="344"/>
      <c r="BF23" s="344"/>
      <c r="BG23" s="344"/>
      <c r="BH23" s="344"/>
      <c r="BI23" s="344"/>
      <c r="BJ23" s="344"/>
    </row>
    <row r="24" spans="1:62" s="293" customFormat="1" ht="15.75" hidden="1">
      <c r="A24" s="621" t="s">
        <v>351</v>
      </c>
      <c r="B24" s="316" t="s">
        <v>16</v>
      </c>
      <c r="C24" s="518">
        <v>0</v>
      </c>
      <c r="D24" s="514">
        <v>0</v>
      </c>
      <c r="E24" s="514"/>
      <c r="F24" s="518">
        <v>0</v>
      </c>
      <c r="G24" s="522">
        <v>12823170</v>
      </c>
      <c r="H24" s="518"/>
      <c r="I24" s="522">
        <v>0</v>
      </c>
      <c r="J24" s="1077">
        <v>0</v>
      </c>
      <c r="K24" s="518"/>
      <c r="L24" s="518">
        <v>0</v>
      </c>
      <c r="M24" s="514"/>
      <c r="N24" s="527">
        <v>0</v>
      </c>
      <c r="P24" s="653">
        <v>0</v>
      </c>
      <c r="R24" s="344"/>
      <c r="S24" s="729"/>
      <c r="T24" s="344"/>
      <c r="U24" s="1757"/>
      <c r="V24" s="729"/>
      <c r="W24" s="344"/>
      <c r="X24" s="729"/>
      <c r="Y24" s="344"/>
      <c r="Z24" s="344"/>
      <c r="AA24" s="344"/>
      <c r="AB24" s="344"/>
      <c r="AC24" s="344"/>
      <c r="AD24" s="344"/>
      <c r="AE24" s="344"/>
      <c r="AF24" s="344"/>
      <c r="AG24" s="344"/>
      <c r="AH24" s="344"/>
      <c r="AI24" s="344"/>
      <c r="AJ24" s="344"/>
      <c r="AK24" s="344"/>
      <c r="AL24" s="344"/>
      <c r="AM24" s="344"/>
      <c r="AN24" s="344"/>
      <c r="AO24" s="344"/>
      <c r="AP24" s="344"/>
      <c r="AQ24" s="344"/>
      <c r="AR24" s="344"/>
      <c r="AS24" s="344"/>
      <c r="AT24" s="344"/>
      <c r="AU24" s="344"/>
      <c r="AV24" s="344"/>
      <c r="AW24" s="344"/>
      <c r="AX24" s="344"/>
      <c r="AY24" s="344"/>
      <c r="AZ24" s="344"/>
      <c r="BA24" s="344"/>
      <c r="BB24" s="344"/>
      <c r="BC24" s="344"/>
      <c r="BD24" s="344"/>
      <c r="BE24" s="344"/>
      <c r="BF24" s="344"/>
      <c r="BG24" s="344"/>
      <c r="BH24" s="344"/>
      <c r="BI24" s="344"/>
      <c r="BJ24" s="344"/>
    </row>
    <row r="25" spans="1:62" s="293" customFormat="1" ht="15.75">
      <c r="A25" s="621"/>
      <c r="B25" s="316" t="s">
        <v>1001</v>
      </c>
      <c r="C25" s="518">
        <v>0</v>
      </c>
      <c r="D25" s="518"/>
      <c r="E25" s="518"/>
      <c r="F25" s="518">
        <v>0</v>
      </c>
      <c r="G25" s="522"/>
      <c r="H25" s="518"/>
      <c r="I25" s="522">
        <v>0</v>
      </c>
      <c r="J25" s="520"/>
      <c r="K25" s="514"/>
      <c r="L25" s="514">
        <v>75000</v>
      </c>
      <c r="M25" s="514"/>
      <c r="N25" s="1239">
        <v>75000</v>
      </c>
      <c r="O25" s="341"/>
      <c r="P25" s="341"/>
      <c r="Q25" s="608"/>
      <c r="R25" s="344"/>
      <c r="S25" s="729"/>
      <c r="T25" s="344"/>
      <c r="U25" s="1757"/>
      <c r="V25" s="729"/>
      <c r="W25" s="344"/>
      <c r="X25" s="729"/>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4"/>
      <c r="AZ25" s="344"/>
      <c r="BA25" s="344"/>
      <c r="BB25" s="344"/>
      <c r="BC25" s="344"/>
      <c r="BD25" s="344"/>
      <c r="BE25" s="344"/>
      <c r="BF25" s="344"/>
      <c r="BG25" s="344"/>
      <c r="BH25" s="344"/>
      <c r="BI25" s="344"/>
      <c r="BJ25" s="344"/>
    </row>
    <row r="26" spans="1:62" s="1480" customFormat="1" ht="15.6" customHeight="1">
      <c r="A26" s="1478"/>
      <c r="B26" s="1527" t="s">
        <v>1007</v>
      </c>
      <c r="C26" s="514">
        <v>11471363</v>
      </c>
      <c r="D26" s="514">
        <v>31562</v>
      </c>
      <c r="E26" s="514"/>
      <c r="F26" s="1239">
        <v>0</v>
      </c>
      <c r="G26" s="528">
        <v>12823170</v>
      </c>
      <c r="H26" s="1239"/>
      <c r="I26" s="528">
        <v>0</v>
      </c>
      <c r="J26" s="1254">
        <v>0</v>
      </c>
      <c r="K26" s="1523" t="s">
        <v>58</v>
      </c>
      <c r="L26" s="1239">
        <v>0</v>
      </c>
      <c r="M26" s="514"/>
      <c r="N26" s="1239">
        <v>0</v>
      </c>
      <c r="P26" s="1528"/>
      <c r="R26" s="1796"/>
      <c r="S26" s="1795"/>
      <c r="T26" s="1796"/>
      <c r="U26" s="1797"/>
      <c r="V26" s="1795"/>
      <c r="W26" s="1796"/>
      <c r="X26" s="1795"/>
      <c r="Y26" s="1796"/>
      <c r="Z26" s="1796"/>
      <c r="AA26" s="1796"/>
      <c r="AB26" s="1796"/>
      <c r="AC26" s="1796"/>
      <c r="AD26" s="1796"/>
      <c r="AE26" s="1796"/>
      <c r="AF26" s="1796"/>
      <c r="AG26" s="1796"/>
      <c r="AH26" s="1796"/>
      <c r="AI26" s="1796"/>
      <c r="AJ26" s="1796"/>
      <c r="AK26" s="1796"/>
      <c r="AL26" s="1796"/>
      <c r="AM26" s="1796"/>
      <c r="AN26" s="1796"/>
      <c r="AO26" s="1796"/>
      <c r="AP26" s="1796"/>
      <c r="AQ26" s="1796"/>
      <c r="AR26" s="1796"/>
      <c r="AS26" s="1796"/>
      <c r="AT26" s="1796"/>
      <c r="AU26" s="1796"/>
      <c r="AV26" s="1796"/>
      <c r="AW26" s="1796"/>
      <c r="AX26" s="1796"/>
      <c r="AY26" s="1796"/>
      <c r="AZ26" s="1796"/>
      <c r="BA26" s="1796"/>
      <c r="BB26" s="1796"/>
      <c r="BC26" s="1796"/>
      <c r="BD26" s="1796"/>
      <c r="BE26" s="1796"/>
      <c r="BF26" s="1796"/>
      <c r="BG26" s="1796"/>
      <c r="BH26" s="1796"/>
      <c r="BI26" s="1796"/>
      <c r="BJ26" s="1796"/>
    </row>
    <row r="27" spans="1:62" s="293" customFormat="1" ht="15.6" customHeight="1">
      <c r="A27" s="621" t="s">
        <v>346</v>
      </c>
      <c r="B27" s="316" t="s">
        <v>999</v>
      </c>
      <c r="C27" s="1239">
        <v>51061</v>
      </c>
      <c r="D27" s="514"/>
      <c r="E27" s="514"/>
      <c r="F27" s="1239">
        <v>31562</v>
      </c>
      <c r="G27" s="528"/>
      <c r="H27" s="1239"/>
      <c r="I27" s="528">
        <v>31562</v>
      </c>
      <c r="J27" s="1254"/>
      <c r="K27" s="1239"/>
      <c r="L27" s="1239">
        <v>19460</v>
      </c>
      <c r="M27" s="1273"/>
      <c r="N27" s="1239">
        <v>-12102</v>
      </c>
      <c r="O27" s="1759"/>
      <c r="P27" s="344"/>
      <c r="Q27" s="344"/>
      <c r="R27" s="344"/>
      <c r="S27" s="729"/>
      <c r="T27" s="344"/>
      <c r="U27" s="1757"/>
      <c r="V27" s="729"/>
      <c r="W27" s="344"/>
      <c r="X27" s="729"/>
      <c r="Y27" s="344"/>
      <c r="Z27" s="344"/>
      <c r="AA27" s="344"/>
      <c r="AB27" s="344"/>
      <c r="AC27" s="344"/>
      <c r="AD27" s="344"/>
      <c r="AE27" s="344"/>
      <c r="AF27" s="344"/>
      <c r="AG27" s="344"/>
      <c r="AH27" s="344"/>
      <c r="AI27" s="344"/>
      <c r="AJ27" s="344"/>
      <c r="AK27" s="344"/>
      <c r="AL27" s="344"/>
      <c r="AM27" s="344"/>
      <c r="AN27" s="344"/>
      <c r="AO27" s="344"/>
      <c r="AP27" s="344"/>
      <c r="AQ27" s="344"/>
      <c r="AR27" s="344"/>
      <c r="AS27" s="344"/>
      <c r="AT27" s="344"/>
      <c r="AU27" s="344"/>
      <c r="AV27" s="344"/>
      <c r="AW27" s="344"/>
      <c r="AX27" s="344"/>
      <c r="AY27" s="344"/>
      <c r="AZ27" s="344"/>
      <c r="BA27" s="344"/>
      <c r="BB27" s="344"/>
      <c r="BC27" s="344"/>
      <c r="BD27" s="344"/>
      <c r="BE27" s="344"/>
      <c r="BF27" s="344"/>
      <c r="BG27" s="344"/>
      <c r="BH27" s="344"/>
      <c r="BI27" s="344"/>
      <c r="BJ27" s="344"/>
    </row>
    <row r="28" spans="1:62" s="293" customFormat="1" ht="15.75">
      <c r="B28" s="622" t="s">
        <v>22</v>
      </c>
      <c r="C28" s="523">
        <v>26203777</v>
      </c>
      <c r="D28" s="523">
        <v>17790815</v>
      </c>
      <c r="E28" s="523"/>
      <c r="F28" s="523">
        <v>17790815</v>
      </c>
      <c r="G28" s="523">
        <v>89762190</v>
      </c>
      <c r="H28" s="523"/>
      <c r="I28" s="523">
        <v>20677192.100000001</v>
      </c>
      <c r="J28" s="523">
        <v>2886377.0999999987</v>
      </c>
      <c r="K28" s="523"/>
      <c r="L28" s="523">
        <v>15380392.01</v>
      </c>
      <c r="M28" s="523"/>
      <c r="N28" s="1026">
        <v>-2410422.9900000002</v>
      </c>
      <c r="O28" s="1799"/>
      <c r="P28" s="1799"/>
      <c r="Q28" s="344"/>
      <c r="R28" s="344"/>
      <c r="S28" s="729"/>
      <c r="T28" s="344"/>
      <c r="U28" s="1757"/>
      <c r="V28" s="1757"/>
      <c r="W28" s="344"/>
      <c r="X28" s="729"/>
      <c r="Y28" s="344"/>
      <c r="Z28" s="344"/>
      <c r="AA28" s="344"/>
      <c r="AB28" s="344"/>
      <c r="AC28" s="344"/>
      <c r="AD28" s="344"/>
      <c r="AE28" s="344"/>
      <c r="AF28" s="344"/>
      <c r="AG28" s="344"/>
      <c r="AH28" s="344"/>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F28" s="344"/>
      <c r="BG28" s="344"/>
      <c r="BH28" s="344"/>
      <c r="BI28" s="344"/>
      <c r="BJ28" s="344"/>
    </row>
    <row r="29" spans="1:62" s="293" customFormat="1" ht="15.75">
      <c r="B29" s="311"/>
      <c r="C29" s="525"/>
      <c r="D29" s="515"/>
      <c r="E29" s="515"/>
      <c r="F29" s="515"/>
      <c r="G29" s="515"/>
      <c r="H29" s="515"/>
      <c r="I29" s="515"/>
      <c r="J29" s="515"/>
      <c r="K29" s="515"/>
      <c r="L29" s="515"/>
      <c r="M29" s="515"/>
      <c r="N29" s="528"/>
      <c r="O29" s="344"/>
      <c r="P29" s="344"/>
      <c r="Q29" s="344"/>
      <c r="R29" s="344"/>
      <c r="S29" s="729"/>
      <c r="T29" s="344"/>
      <c r="U29" s="1757"/>
      <c r="V29" s="729"/>
      <c r="W29" s="344"/>
      <c r="X29" s="344"/>
      <c r="Y29" s="344"/>
      <c r="Z29" s="344"/>
      <c r="AA29" s="344"/>
      <c r="AB29" s="344"/>
      <c r="AC29" s="344"/>
      <c r="AD29" s="344"/>
      <c r="AE29" s="344"/>
      <c r="AF29" s="344"/>
      <c r="AG29" s="344"/>
      <c r="AH29" s="344"/>
      <c r="AI29" s="344"/>
      <c r="AJ29" s="344"/>
      <c r="AK29" s="344"/>
      <c r="AL29" s="344"/>
      <c r="AM29" s="344"/>
      <c r="AN29" s="344"/>
      <c r="AO29" s="344"/>
      <c r="AP29" s="344"/>
      <c r="AQ29" s="344"/>
      <c r="AR29" s="344"/>
      <c r="AS29" s="344"/>
      <c r="AT29" s="344"/>
      <c r="AU29" s="344"/>
      <c r="AV29" s="344"/>
      <c r="AW29" s="344"/>
      <c r="AX29" s="344"/>
      <c r="AY29" s="344"/>
      <c r="AZ29" s="344"/>
      <c r="BA29" s="344"/>
      <c r="BB29" s="344"/>
      <c r="BC29" s="344"/>
      <c r="BD29" s="344"/>
      <c r="BE29" s="344"/>
      <c r="BF29" s="344"/>
      <c r="BG29" s="344"/>
      <c r="BH29" s="344"/>
      <c r="BI29" s="344"/>
      <c r="BJ29" s="344"/>
    </row>
    <row r="30" spans="1:62" s="293" customFormat="1" ht="15.75">
      <c r="B30" s="1069" t="s">
        <v>321</v>
      </c>
      <c r="C30" s="623"/>
      <c r="D30" s="525"/>
      <c r="E30" s="525"/>
      <c r="F30" s="525"/>
      <c r="G30" s="525"/>
      <c r="H30" s="525"/>
      <c r="I30" s="525"/>
      <c r="J30" s="525"/>
      <c r="K30" s="525"/>
      <c r="L30" s="525"/>
      <c r="M30" s="525"/>
      <c r="N30" s="527"/>
      <c r="O30" s="344"/>
      <c r="P30" s="344"/>
      <c r="Q30" s="344"/>
      <c r="R30" s="344"/>
      <c r="S30" s="729"/>
      <c r="T30" s="344"/>
      <c r="U30" s="1757"/>
      <c r="V30" s="729"/>
      <c r="W30" s="344"/>
      <c r="X30" s="344"/>
      <c r="Y30" s="344"/>
      <c r="Z30" s="344"/>
      <c r="AA30" s="344"/>
      <c r="AB30" s="344"/>
      <c r="AC30" s="344"/>
      <c r="AD30" s="344"/>
      <c r="AE30" s="344"/>
      <c r="AF30" s="344"/>
      <c r="AG30" s="344"/>
      <c r="AH30" s="344"/>
      <c r="AI30" s="344"/>
      <c r="AJ30" s="344"/>
      <c r="AK30" s="344"/>
      <c r="AL30" s="344"/>
      <c r="AM30" s="344"/>
      <c r="AN30" s="344"/>
      <c r="AO30" s="344"/>
      <c r="AP30" s="344"/>
      <c r="AQ30" s="344"/>
      <c r="AR30" s="344"/>
      <c r="AS30" s="344"/>
      <c r="AT30" s="344"/>
      <c r="AU30" s="344"/>
      <c r="AV30" s="344"/>
      <c r="AW30" s="344"/>
      <c r="AX30" s="344"/>
      <c r="AY30" s="344"/>
      <c r="AZ30" s="344"/>
      <c r="BA30" s="344"/>
      <c r="BB30" s="344"/>
      <c r="BC30" s="344"/>
      <c r="BD30" s="344"/>
      <c r="BE30" s="344"/>
      <c r="BF30" s="344"/>
      <c r="BG30" s="344"/>
      <c r="BH30" s="344"/>
      <c r="BI30" s="344"/>
      <c r="BJ30" s="344"/>
    </row>
    <row r="31" spans="1:62" s="293" customFormat="1" ht="15.75">
      <c r="B31" s="316" t="s">
        <v>322</v>
      </c>
      <c r="C31" s="515">
        <v>7365783</v>
      </c>
      <c r="D31" s="515">
        <v>12676392</v>
      </c>
      <c r="E31" s="515"/>
      <c r="F31" s="515">
        <v>7389901</v>
      </c>
      <c r="G31" s="515">
        <v>7389901</v>
      </c>
      <c r="H31" s="515"/>
      <c r="I31" s="515">
        <v>5709901</v>
      </c>
      <c r="J31" s="514">
        <v>1680000</v>
      </c>
      <c r="K31" s="515"/>
      <c r="L31" s="515">
        <v>6915913</v>
      </c>
      <c r="M31" s="515"/>
      <c r="N31" s="528">
        <v>-473988</v>
      </c>
      <c r="O31" s="1756"/>
      <c r="P31" s="661"/>
      <c r="Q31" s="344"/>
      <c r="R31" s="344"/>
      <c r="S31" s="729"/>
      <c r="T31" s="344"/>
      <c r="U31" s="1757"/>
      <c r="V31" s="729"/>
      <c r="W31" s="344"/>
      <c r="X31" s="729"/>
      <c r="Y31" s="344"/>
      <c r="Z31" s="344"/>
      <c r="AA31" s="344"/>
      <c r="AB31" s="344"/>
      <c r="AC31" s="344"/>
      <c r="AD31" s="344"/>
      <c r="AE31" s="344"/>
      <c r="AF31" s="344"/>
      <c r="AG31" s="344"/>
      <c r="AH31" s="344"/>
      <c r="AI31" s="344"/>
      <c r="AJ31" s="344"/>
      <c r="AK31" s="344"/>
      <c r="AL31" s="344"/>
      <c r="AM31" s="344"/>
      <c r="AN31" s="344"/>
      <c r="AO31" s="344"/>
      <c r="AP31" s="344"/>
      <c r="AQ31" s="344"/>
      <c r="AR31" s="344"/>
      <c r="AS31" s="344"/>
      <c r="AT31" s="344"/>
      <c r="AU31" s="344"/>
      <c r="AV31" s="344"/>
      <c r="AW31" s="344"/>
      <c r="AX31" s="344"/>
      <c r="AY31" s="344"/>
      <c r="AZ31" s="344"/>
      <c r="BA31" s="344"/>
      <c r="BB31" s="344"/>
      <c r="BC31" s="344"/>
      <c r="BD31" s="344"/>
      <c r="BE31" s="344"/>
      <c r="BF31" s="344"/>
      <c r="BG31" s="344"/>
      <c r="BH31" s="344"/>
      <c r="BI31" s="344"/>
      <c r="BJ31" s="344"/>
    </row>
    <row r="32" spans="1:62" s="293" customFormat="1" ht="15.75">
      <c r="B32" s="316" t="s">
        <v>31</v>
      </c>
      <c r="C32" s="526">
        <v>4807097</v>
      </c>
      <c r="D32" s="515">
        <v>1518259.65</v>
      </c>
      <c r="E32" s="515"/>
      <c r="F32" s="528">
        <v>3985440</v>
      </c>
      <c r="G32" s="515">
        <v>11630635</v>
      </c>
      <c r="H32" s="515"/>
      <c r="I32" s="1035">
        <v>2728842.8999999985</v>
      </c>
      <c r="J32" s="547"/>
      <c r="K32" s="1035"/>
      <c r="L32" s="528">
        <v>2636193.8899999987</v>
      </c>
      <c r="M32" s="515"/>
      <c r="N32" s="528">
        <v>-1349246.1100000013</v>
      </c>
      <c r="O32" s="661"/>
      <c r="P32" s="1800"/>
      <c r="Q32" s="661"/>
      <c r="R32" s="344"/>
      <c r="S32" s="1277"/>
      <c r="T32" s="344"/>
      <c r="U32" s="1757"/>
      <c r="V32" s="729"/>
      <c r="W32" s="344"/>
      <c r="X32" s="729"/>
      <c r="Y32" s="344"/>
      <c r="Z32" s="344"/>
      <c r="AA32" s="344"/>
      <c r="AB32" s="344"/>
      <c r="AC32" s="344"/>
      <c r="AD32" s="344"/>
      <c r="AE32" s="344"/>
      <c r="AF32" s="344"/>
      <c r="AG32" s="344"/>
      <c r="AH32" s="344"/>
      <c r="AI32" s="344"/>
      <c r="AJ32" s="344"/>
      <c r="AK32" s="344"/>
      <c r="AL32" s="344"/>
      <c r="AM32" s="344"/>
      <c r="AN32" s="344"/>
      <c r="AO32" s="344"/>
      <c r="AP32" s="344"/>
      <c r="AQ32" s="344"/>
      <c r="AR32" s="344"/>
      <c r="AS32" s="344"/>
      <c r="AT32" s="344"/>
      <c r="AU32" s="344"/>
      <c r="AV32" s="344"/>
      <c r="AW32" s="344"/>
      <c r="AX32" s="344"/>
      <c r="AY32" s="344"/>
      <c r="AZ32" s="344"/>
      <c r="BA32" s="344"/>
      <c r="BB32" s="344"/>
      <c r="BC32" s="344"/>
      <c r="BD32" s="344"/>
      <c r="BE32" s="344"/>
      <c r="BF32" s="344"/>
      <c r="BG32" s="344"/>
      <c r="BH32" s="344"/>
      <c r="BI32" s="344"/>
      <c r="BJ32" s="344"/>
    </row>
    <row r="33" spans="2:62" s="625" customFormat="1" ht="15.75">
      <c r="B33" s="1246" t="s">
        <v>323</v>
      </c>
      <c r="C33" s="516">
        <v>12172880</v>
      </c>
      <c r="D33" s="523">
        <v>14194651.65</v>
      </c>
      <c r="E33" s="523"/>
      <c r="F33" s="523">
        <v>11375341</v>
      </c>
      <c r="G33" s="523">
        <v>19020536</v>
      </c>
      <c r="H33" s="523"/>
      <c r="I33" s="523">
        <v>8438743.8999999985</v>
      </c>
      <c r="J33" s="523">
        <v>1680000</v>
      </c>
      <c r="K33" s="523"/>
      <c r="L33" s="523">
        <v>9552106.8899999987</v>
      </c>
      <c r="M33" s="523"/>
      <c r="N33" s="1026">
        <v>-1823234.1100000013</v>
      </c>
      <c r="O33" s="344"/>
      <c r="P33" s="344"/>
      <c r="Q33" s="344"/>
      <c r="R33" s="661"/>
      <c r="S33" s="1277"/>
      <c r="T33" s="661"/>
      <c r="U33" s="1758"/>
      <c r="V33" s="1758"/>
      <c r="W33" s="661"/>
      <c r="X33" s="1798"/>
      <c r="Y33" s="661"/>
      <c r="Z33" s="661"/>
      <c r="AA33" s="661"/>
      <c r="AB33" s="661"/>
      <c r="AC33" s="661"/>
      <c r="AD33" s="661"/>
      <c r="AE33" s="661"/>
      <c r="AF33" s="661"/>
      <c r="AG33" s="661"/>
      <c r="AH33" s="661"/>
      <c r="AI33" s="661"/>
      <c r="AJ33" s="661"/>
      <c r="AK33" s="661"/>
      <c r="AL33" s="661"/>
      <c r="AM33" s="661"/>
      <c r="AN33" s="661"/>
      <c r="AO33" s="661"/>
      <c r="AP33" s="661"/>
      <c r="AQ33" s="661"/>
      <c r="AR33" s="661"/>
      <c r="AS33" s="661"/>
      <c r="AT33" s="661"/>
      <c r="AU33" s="661"/>
      <c r="AV33" s="661"/>
      <c r="AW33" s="661"/>
      <c r="AX33" s="661"/>
      <c r="AY33" s="661"/>
      <c r="AZ33" s="661"/>
      <c r="BA33" s="661"/>
      <c r="BB33" s="661"/>
      <c r="BC33" s="661"/>
      <c r="BD33" s="661"/>
      <c r="BE33" s="661"/>
      <c r="BF33" s="661"/>
      <c r="BG33" s="661"/>
      <c r="BH33" s="661"/>
      <c r="BI33" s="661"/>
      <c r="BJ33" s="661"/>
    </row>
    <row r="34" spans="2:62" s="293" customFormat="1" ht="16.5" thickBot="1">
      <c r="B34" s="616" t="s">
        <v>25</v>
      </c>
      <c r="C34" s="1269">
        <v>38376657</v>
      </c>
      <c r="D34" s="627">
        <v>31985466.649999999</v>
      </c>
      <c r="E34" s="1267"/>
      <c r="F34" s="1269">
        <v>29166156</v>
      </c>
      <c r="G34" s="1267">
        <v>108782726</v>
      </c>
      <c r="H34" s="1267"/>
      <c r="I34" s="1269">
        <v>29115936</v>
      </c>
      <c r="J34" s="627">
        <v>50220</v>
      </c>
      <c r="K34" s="627"/>
      <c r="L34" s="1269">
        <v>24932498.899999999</v>
      </c>
      <c r="M34" s="1267"/>
      <c r="N34" s="1269">
        <v>-4233657.1000000015</v>
      </c>
      <c r="O34" s="344"/>
      <c r="P34" s="1093"/>
      <c r="Q34" s="344"/>
      <c r="R34" s="344"/>
      <c r="S34" s="729"/>
      <c r="T34" s="344"/>
      <c r="U34" s="538"/>
      <c r="V34" s="1757"/>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344"/>
      <c r="AV34" s="344"/>
      <c r="AW34" s="344"/>
      <c r="AX34" s="344"/>
      <c r="AY34" s="344"/>
      <c r="AZ34" s="344"/>
      <c r="BA34" s="344"/>
      <c r="BB34" s="344"/>
      <c r="BC34" s="344"/>
      <c r="BD34" s="344"/>
      <c r="BE34" s="344"/>
      <c r="BF34" s="344"/>
      <c r="BG34" s="344"/>
      <c r="BH34" s="344"/>
      <c r="BI34" s="344"/>
      <c r="BJ34" s="344"/>
    </row>
    <row r="35" spans="2:62" s="293" customFormat="1" ht="18" thickTop="1">
      <c r="B35" s="1171" t="s">
        <v>1004</v>
      </c>
      <c r="C35" s="502"/>
      <c r="D35" s="506"/>
      <c r="E35" s="506"/>
      <c r="F35" s="506"/>
      <c r="G35" s="506"/>
      <c r="H35" s="506"/>
      <c r="I35" s="506"/>
      <c r="J35" s="502"/>
      <c r="K35" s="506"/>
      <c r="L35" s="506"/>
      <c r="M35" s="506"/>
      <c r="N35" s="1121"/>
      <c r="O35" s="344"/>
      <c r="P35" s="1801"/>
      <c r="Q35" s="344"/>
      <c r="R35" s="344"/>
      <c r="S35" s="729"/>
      <c r="T35" s="344"/>
      <c r="U35" s="729"/>
      <c r="V35" s="729"/>
      <c r="W35" s="344"/>
      <c r="X35" s="344"/>
      <c r="Y35" s="344"/>
      <c r="Z35" s="344"/>
      <c r="AA35" s="344"/>
      <c r="AB35" s="344"/>
      <c r="AC35" s="344"/>
      <c r="AD35" s="344"/>
      <c r="AE35" s="344"/>
      <c r="AF35" s="344"/>
      <c r="AG35" s="344"/>
      <c r="AH35" s="344"/>
      <c r="AI35" s="344"/>
      <c r="AJ35" s="344"/>
      <c r="AK35" s="344"/>
      <c r="AL35" s="344"/>
      <c r="AM35" s="344"/>
      <c r="AN35" s="344"/>
      <c r="AO35" s="344"/>
      <c r="AP35" s="344"/>
      <c r="AQ35" s="344"/>
      <c r="AR35" s="344"/>
      <c r="AS35" s="344"/>
      <c r="AT35" s="344"/>
      <c r="AU35" s="344"/>
      <c r="AV35" s="344"/>
      <c r="AW35" s="344"/>
      <c r="AX35" s="344"/>
      <c r="AY35" s="344"/>
      <c r="AZ35" s="344"/>
      <c r="BA35" s="344"/>
      <c r="BB35" s="344"/>
      <c r="BC35" s="344"/>
      <c r="BD35" s="344"/>
      <c r="BE35" s="344"/>
      <c r="BF35" s="344"/>
      <c r="BG35" s="344"/>
      <c r="BH35" s="344"/>
      <c r="BI35" s="344"/>
      <c r="BJ35" s="344"/>
    </row>
    <row r="36" spans="2:62" s="293" customFormat="1" ht="15.75">
      <c r="B36" s="313"/>
      <c r="C36" s="502"/>
      <c r="D36" s="506"/>
      <c r="E36" s="506"/>
      <c r="F36" s="506"/>
      <c r="G36" s="506"/>
      <c r="H36" s="506"/>
      <c r="I36" s="506"/>
      <c r="J36" s="502"/>
      <c r="K36" s="506"/>
      <c r="L36" s="506"/>
      <c r="M36" s="506"/>
      <c r="N36" s="1121"/>
      <c r="O36" s="344"/>
      <c r="P36" s="1757"/>
      <c r="Q36" s="344"/>
      <c r="R36" s="344"/>
      <c r="S36" s="729"/>
      <c r="T36" s="344"/>
      <c r="U36" s="729"/>
      <c r="V36" s="729"/>
      <c r="W36" s="344"/>
      <c r="X36" s="344"/>
      <c r="Y36" s="344"/>
      <c r="Z36" s="344"/>
      <c r="AA36" s="344"/>
      <c r="AB36" s="344"/>
      <c r="AC36" s="344"/>
      <c r="AD36" s="344"/>
      <c r="AE36" s="344"/>
      <c r="AF36" s="344"/>
      <c r="AG36" s="344"/>
      <c r="AH36" s="344"/>
      <c r="AI36" s="344"/>
      <c r="AJ36" s="344"/>
      <c r="AK36" s="344"/>
      <c r="AL36" s="344"/>
      <c r="AM36" s="344"/>
      <c r="AN36" s="344"/>
      <c r="AO36" s="344"/>
      <c r="AP36" s="344"/>
      <c r="AQ36" s="344"/>
      <c r="AR36" s="344"/>
      <c r="AS36" s="344"/>
      <c r="AT36" s="344"/>
      <c r="AU36" s="344"/>
      <c r="AV36" s="344"/>
      <c r="AW36" s="344"/>
      <c r="AX36" s="344"/>
      <c r="AY36" s="344"/>
      <c r="AZ36" s="344"/>
      <c r="BA36" s="344"/>
      <c r="BB36" s="344"/>
      <c r="BC36" s="344"/>
      <c r="BD36" s="344"/>
      <c r="BE36" s="344"/>
      <c r="BF36" s="344"/>
      <c r="BG36" s="344"/>
      <c r="BH36" s="344"/>
      <c r="BI36" s="344"/>
      <c r="BJ36" s="344"/>
    </row>
    <row r="37" spans="2:62" s="293" customFormat="1" ht="15.75">
      <c r="B37" s="313"/>
      <c r="C37" s="502"/>
      <c r="D37" s="506"/>
      <c r="E37" s="506"/>
      <c r="F37" s="506"/>
      <c r="G37" s="506"/>
      <c r="H37" s="506"/>
      <c r="I37" s="506"/>
      <c r="J37" s="502"/>
      <c r="K37" s="506"/>
      <c r="L37" s="506"/>
      <c r="M37" s="506"/>
      <c r="N37" s="1121"/>
      <c r="O37" s="344"/>
      <c r="P37" s="672"/>
      <c r="Q37" s="344"/>
      <c r="R37" s="344"/>
      <c r="S37" s="729"/>
      <c r="T37" s="344"/>
      <c r="U37" s="729"/>
      <c r="V37" s="729"/>
      <c r="W37" s="344"/>
      <c r="X37" s="344"/>
      <c r="Y37" s="344"/>
      <c r="Z37" s="344"/>
      <c r="AA37" s="344"/>
      <c r="AB37" s="344"/>
      <c r="AC37" s="344"/>
      <c r="AD37" s="344"/>
      <c r="AE37" s="344"/>
      <c r="AF37" s="344"/>
      <c r="AG37" s="344"/>
      <c r="AH37" s="344"/>
      <c r="AI37" s="344"/>
      <c r="AJ37" s="344"/>
      <c r="AK37" s="344"/>
      <c r="AL37" s="344"/>
      <c r="AM37" s="344"/>
      <c r="AN37" s="344"/>
      <c r="AO37" s="344"/>
      <c r="AP37" s="344"/>
      <c r="AQ37" s="344"/>
      <c r="AR37" s="344"/>
      <c r="AS37" s="344"/>
      <c r="AT37" s="344"/>
      <c r="AU37" s="344"/>
      <c r="AV37" s="344"/>
      <c r="AW37" s="344"/>
      <c r="AX37" s="344"/>
      <c r="AY37" s="344"/>
      <c r="AZ37" s="344"/>
      <c r="BA37" s="344"/>
      <c r="BB37" s="344"/>
      <c r="BC37" s="344"/>
      <c r="BD37" s="344"/>
      <c r="BE37" s="344"/>
      <c r="BF37" s="344"/>
      <c r="BG37" s="344"/>
      <c r="BH37" s="344"/>
      <c r="BI37" s="344"/>
      <c r="BJ37" s="344"/>
    </row>
    <row r="38" spans="2:62" s="293" customFormat="1" ht="15.75">
      <c r="B38" s="313"/>
      <c r="C38" s="502"/>
      <c r="D38" s="506"/>
      <c r="E38" s="506"/>
      <c r="F38" s="506"/>
      <c r="G38" s="506"/>
      <c r="H38" s="506"/>
      <c r="I38" s="506"/>
      <c r="J38" s="502"/>
      <c r="K38" s="506"/>
      <c r="L38" s="506"/>
      <c r="M38" s="506"/>
      <c r="N38" s="1121"/>
      <c r="O38" s="344"/>
      <c r="P38" s="538"/>
      <c r="Q38" s="344"/>
      <c r="R38" s="344"/>
      <c r="S38" s="729"/>
      <c r="T38" s="344"/>
      <c r="U38" s="729"/>
      <c r="V38" s="729"/>
      <c r="W38" s="344"/>
      <c r="X38" s="344"/>
      <c r="Y38" s="344"/>
      <c r="Z38" s="344"/>
      <c r="AA38" s="344"/>
      <c r="AB38" s="344"/>
      <c r="AC38" s="344"/>
      <c r="AD38" s="344"/>
      <c r="AE38" s="344"/>
      <c r="AF38" s="344"/>
      <c r="AG38" s="344"/>
      <c r="AH38" s="344"/>
      <c r="AI38" s="344"/>
      <c r="AJ38" s="344"/>
      <c r="AK38" s="344"/>
      <c r="AL38" s="344"/>
      <c r="AM38" s="344"/>
      <c r="AN38" s="344"/>
      <c r="AO38" s="344"/>
      <c r="AP38" s="344"/>
      <c r="AQ38" s="344"/>
      <c r="AR38" s="344"/>
      <c r="AS38" s="344"/>
      <c r="AT38" s="344"/>
      <c r="AU38" s="344"/>
      <c r="AV38" s="344"/>
      <c r="AW38" s="344"/>
      <c r="AX38" s="344"/>
      <c r="AY38" s="344"/>
      <c r="AZ38" s="344"/>
      <c r="BA38" s="344"/>
      <c r="BB38" s="344"/>
      <c r="BC38" s="344"/>
      <c r="BD38" s="344"/>
      <c r="BE38" s="344"/>
      <c r="BF38" s="344"/>
      <c r="BG38" s="344"/>
      <c r="BH38" s="344"/>
      <c r="BI38" s="344"/>
      <c r="BJ38" s="344"/>
    </row>
    <row r="39" spans="2:62" s="293" customFormat="1" ht="15.75">
      <c r="B39" s="313"/>
      <c r="C39" s="502"/>
      <c r="D39" s="506"/>
      <c r="E39" s="506"/>
      <c r="F39" s="506"/>
      <c r="G39" s="506"/>
      <c r="H39" s="506"/>
      <c r="I39" s="506"/>
      <c r="J39" s="502"/>
      <c r="K39" s="506"/>
      <c r="L39" s="506"/>
      <c r="M39" s="506"/>
      <c r="N39" s="1121"/>
      <c r="O39" s="344"/>
      <c r="P39" s="344"/>
      <c r="Q39" s="344"/>
      <c r="R39" s="344"/>
      <c r="S39" s="729"/>
      <c r="T39" s="344"/>
      <c r="U39" s="729"/>
      <c r="V39" s="729"/>
      <c r="W39" s="344"/>
      <c r="X39" s="344"/>
      <c r="Y39" s="344"/>
      <c r="Z39" s="344"/>
      <c r="AA39" s="344"/>
      <c r="AB39" s="344"/>
      <c r="AC39" s="344"/>
      <c r="AD39" s="344"/>
      <c r="AE39" s="344"/>
      <c r="AF39" s="344"/>
      <c r="AG39" s="344"/>
      <c r="AH39" s="344"/>
      <c r="AI39" s="344"/>
      <c r="AJ39" s="344"/>
      <c r="AK39" s="344"/>
      <c r="AL39" s="344"/>
      <c r="AM39" s="344"/>
      <c r="AN39" s="344"/>
      <c r="AO39" s="344"/>
      <c r="AP39" s="344"/>
      <c r="AQ39" s="344"/>
      <c r="AR39" s="344"/>
      <c r="AS39" s="344"/>
      <c r="AT39" s="344"/>
      <c r="AU39" s="344"/>
      <c r="AV39" s="344"/>
      <c r="AW39" s="344"/>
      <c r="AX39" s="344"/>
      <c r="AY39" s="344"/>
      <c r="AZ39" s="344"/>
      <c r="BA39" s="344"/>
      <c r="BB39" s="344"/>
      <c r="BC39" s="344"/>
      <c r="BD39" s="344"/>
      <c r="BE39" s="344"/>
      <c r="BF39" s="344"/>
      <c r="BG39" s="344"/>
      <c r="BH39" s="344"/>
      <c r="BI39" s="344"/>
      <c r="BJ39" s="344"/>
    </row>
    <row r="40" spans="2:62" s="293" customFormat="1" ht="15.75">
      <c r="B40" s="313"/>
      <c r="C40" s="502"/>
      <c r="D40" s="506"/>
      <c r="E40" s="506"/>
      <c r="F40" s="506"/>
      <c r="G40" s="506"/>
      <c r="H40" s="506"/>
      <c r="I40" s="506"/>
      <c r="J40" s="502"/>
      <c r="K40" s="506"/>
      <c r="L40" s="506"/>
      <c r="M40" s="506"/>
      <c r="N40" s="1121"/>
      <c r="O40" s="344"/>
      <c r="P40" s="344"/>
      <c r="Q40" s="344"/>
      <c r="R40" s="344"/>
      <c r="S40" s="729"/>
      <c r="T40" s="344"/>
      <c r="U40" s="729"/>
      <c r="V40" s="729"/>
      <c r="W40" s="344"/>
      <c r="X40" s="344"/>
      <c r="Y40" s="344"/>
      <c r="Z40" s="344"/>
      <c r="AA40" s="344"/>
      <c r="AB40" s="344"/>
      <c r="AC40" s="344"/>
      <c r="AD40" s="344"/>
      <c r="AE40" s="344"/>
      <c r="AF40" s="344"/>
      <c r="AG40" s="344"/>
      <c r="AH40" s="344"/>
      <c r="AI40" s="344"/>
      <c r="AJ40" s="344"/>
      <c r="AK40" s="344"/>
      <c r="AL40" s="344"/>
      <c r="AM40" s="344"/>
      <c r="AN40" s="344"/>
      <c r="AO40" s="344"/>
      <c r="AP40" s="344"/>
      <c r="AQ40" s="344"/>
      <c r="AR40" s="344"/>
      <c r="AS40" s="344"/>
      <c r="AT40" s="344"/>
      <c r="AU40" s="344"/>
      <c r="AV40" s="344"/>
      <c r="AW40" s="344"/>
      <c r="AX40" s="344"/>
      <c r="AY40" s="344"/>
      <c r="AZ40" s="344"/>
      <c r="BA40" s="344"/>
      <c r="BB40" s="344"/>
      <c r="BC40" s="344"/>
      <c r="BD40" s="344"/>
      <c r="BE40" s="344"/>
      <c r="BF40" s="344"/>
      <c r="BG40" s="344"/>
      <c r="BH40" s="344"/>
      <c r="BI40" s="344"/>
      <c r="BJ40" s="344"/>
    </row>
    <row r="41" spans="2:62" s="293" customFormat="1" ht="15.75">
      <c r="B41" s="313"/>
      <c r="C41" s="502"/>
      <c r="D41" s="506"/>
      <c r="E41" s="506"/>
      <c r="F41" s="506"/>
      <c r="G41" s="506"/>
      <c r="H41" s="506"/>
      <c r="I41" s="506"/>
      <c r="J41" s="502"/>
      <c r="K41" s="506"/>
      <c r="L41" s="506"/>
      <c r="M41" s="506"/>
      <c r="N41" s="1121"/>
      <c r="O41" s="344"/>
      <c r="P41" s="344"/>
      <c r="Q41" s="344"/>
      <c r="R41" s="344"/>
      <c r="S41" s="729"/>
      <c r="T41" s="344"/>
      <c r="U41" s="729"/>
      <c r="V41" s="729"/>
      <c r="W41" s="344"/>
      <c r="X41" s="344"/>
      <c r="Y41" s="344"/>
      <c r="Z41" s="344"/>
      <c r="AA41" s="344"/>
      <c r="AB41" s="344"/>
      <c r="AC41" s="344"/>
      <c r="AD41" s="344"/>
      <c r="AE41" s="344"/>
      <c r="AF41" s="344"/>
      <c r="AG41" s="344"/>
      <c r="AH41" s="344"/>
      <c r="AI41" s="344"/>
      <c r="AJ41" s="344"/>
      <c r="AK41" s="344"/>
      <c r="AL41" s="344"/>
      <c r="AM41" s="344"/>
      <c r="AN41" s="344"/>
      <c r="AO41" s="344"/>
      <c r="AP41" s="344"/>
      <c r="AQ41" s="344"/>
      <c r="AR41" s="344"/>
      <c r="AS41" s="344"/>
      <c r="AT41" s="344"/>
      <c r="AU41" s="344"/>
      <c r="AV41" s="344"/>
      <c r="AW41" s="344"/>
      <c r="AX41" s="344"/>
      <c r="AY41" s="344"/>
      <c r="AZ41" s="344"/>
      <c r="BA41" s="344"/>
      <c r="BB41" s="344"/>
      <c r="BC41" s="344"/>
      <c r="BD41" s="344"/>
      <c r="BE41" s="344"/>
      <c r="BF41" s="344"/>
      <c r="BG41" s="344"/>
      <c r="BH41" s="344"/>
      <c r="BI41" s="344"/>
      <c r="BJ41" s="344"/>
    </row>
    <row r="42" spans="2:62" s="293" customFormat="1" ht="15.75">
      <c r="B42" s="313"/>
      <c r="C42" s="502"/>
      <c r="D42" s="506"/>
      <c r="E42" s="506"/>
      <c r="F42" s="506"/>
      <c r="G42" s="506"/>
      <c r="H42" s="506"/>
      <c r="I42" s="506"/>
      <c r="J42" s="502"/>
      <c r="K42" s="506"/>
      <c r="L42" s="506"/>
      <c r="M42" s="506"/>
      <c r="N42" s="1121"/>
      <c r="O42" s="344"/>
      <c r="P42" s="344"/>
      <c r="Q42" s="344"/>
      <c r="R42" s="729"/>
      <c r="S42" s="729"/>
      <c r="T42" s="344"/>
      <c r="U42" s="729"/>
      <c r="V42" s="729"/>
      <c r="W42" s="344"/>
      <c r="X42" s="344"/>
      <c r="Y42" s="344"/>
      <c r="Z42" s="344"/>
      <c r="AA42" s="344"/>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c r="BA42" s="344"/>
      <c r="BB42" s="344"/>
      <c r="BC42" s="344"/>
      <c r="BD42" s="344"/>
      <c r="BE42" s="344"/>
      <c r="BF42" s="344"/>
      <c r="BG42" s="344"/>
      <c r="BH42" s="344"/>
      <c r="BI42" s="344"/>
      <c r="BJ42" s="344"/>
    </row>
    <row r="43" spans="2:62" s="293" customFormat="1" ht="15.75">
      <c r="B43" s="313"/>
      <c r="C43" s="502"/>
      <c r="D43" s="506"/>
      <c r="E43" s="506"/>
      <c r="F43" s="506"/>
      <c r="G43" s="506"/>
      <c r="H43" s="506"/>
      <c r="I43" s="506"/>
      <c r="J43" s="502"/>
      <c r="K43" s="506"/>
      <c r="L43" s="506"/>
      <c r="M43" s="506"/>
      <c r="N43" s="1121"/>
      <c r="O43" s="344"/>
      <c r="P43" s="344"/>
      <c r="Q43" s="344"/>
      <c r="R43" s="729"/>
      <c r="S43" s="729"/>
      <c r="T43" s="344"/>
      <c r="U43" s="729"/>
      <c r="V43" s="729"/>
      <c r="W43" s="344"/>
      <c r="X43" s="344"/>
      <c r="Y43" s="344"/>
      <c r="Z43" s="344"/>
      <c r="AA43" s="344"/>
      <c r="AB43" s="344"/>
      <c r="AC43" s="344"/>
      <c r="AD43" s="344"/>
      <c r="AE43" s="344"/>
      <c r="AF43" s="344"/>
      <c r="AG43" s="344"/>
      <c r="AH43" s="344"/>
      <c r="AI43" s="344"/>
      <c r="AJ43" s="344"/>
      <c r="AK43" s="344"/>
      <c r="AL43" s="344"/>
      <c r="AM43" s="344"/>
      <c r="AN43" s="344"/>
      <c r="AO43" s="344"/>
      <c r="AP43" s="344"/>
      <c r="AQ43" s="344"/>
      <c r="AR43" s="344"/>
      <c r="AS43" s="344"/>
      <c r="AT43" s="344"/>
      <c r="AU43" s="344"/>
      <c r="AV43" s="344"/>
      <c r="AW43" s="344"/>
      <c r="AX43" s="344"/>
      <c r="AY43" s="344"/>
      <c r="AZ43" s="344"/>
      <c r="BA43" s="344"/>
      <c r="BB43" s="344"/>
      <c r="BC43" s="344"/>
      <c r="BD43" s="344"/>
      <c r="BE43" s="344"/>
      <c r="BF43" s="344"/>
      <c r="BG43" s="344"/>
      <c r="BH43" s="344"/>
      <c r="BI43" s="344"/>
      <c r="BJ43" s="344"/>
    </row>
    <row r="44" spans="2:62" s="293" customFormat="1" ht="15.75">
      <c r="B44" s="313"/>
      <c r="C44" s="502"/>
      <c r="D44" s="506"/>
      <c r="E44" s="506"/>
      <c r="F44" s="506"/>
      <c r="G44" s="506"/>
      <c r="H44" s="506"/>
      <c r="I44" s="506"/>
      <c r="J44" s="502"/>
      <c r="K44" s="506"/>
      <c r="L44" s="506"/>
      <c r="M44" s="506"/>
      <c r="N44" s="1121"/>
      <c r="O44" s="344"/>
      <c r="P44" s="344"/>
      <c r="Q44" s="344"/>
      <c r="R44" s="729"/>
      <c r="S44" s="729"/>
      <c r="T44" s="344"/>
      <c r="U44" s="729"/>
      <c r="V44" s="729"/>
      <c r="W44" s="344"/>
      <c r="X44" s="344"/>
      <c r="Y44" s="344"/>
      <c r="Z44" s="344"/>
      <c r="AA44" s="344"/>
      <c r="AB44" s="344"/>
      <c r="AC44" s="344"/>
      <c r="AD44" s="344"/>
      <c r="AE44" s="344"/>
      <c r="AF44" s="344"/>
      <c r="AG44" s="344"/>
      <c r="AH44" s="344"/>
      <c r="AI44" s="344"/>
      <c r="AJ44" s="344"/>
      <c r="AK44" s="344"/>
      <c r="AL44" s="344"/>
      <c r="AM44" s="344"/>
      <c r="AN44" s="344"/>
      <c r="AO44" s="344"/>
      <c r="AP44" s="344"/>
      <c r="AQ44" s="344"/>
      <c r="AR44" s="344"/>
      <c r="AS44" s="344"/>
      <c r="AT44" s="344"/>
      <c r="AU44" s="344"/>
      <c r="AV44" s="344"/>
      <c r="AW44" s="344"/>
      <c r="AX44" s="344"/>
      <c r="AY44" s="344"/>
      <c r="AZ44" s="344"/>
      <c r="BA44" s="344"/>
      <c r="BB44" s="344"/>
      <c r="BC44" s="344"/>
      <c r="BD44" s="344"/>
      <c r="BE44" s="344"/>
      <c r="BF44" s="344"/>
      <c r="BG44" s="344"/>
      <c r="BH44" s="344"/>
      <c r="BI44" s="344"/>
      <c r="BJ44" s="344"/>
    </row>
    <row r="45" spans="2:62" s="293" customFormat="1" ht="15.75">
      <c r="B45" s="313"/>
      <c r="C45" s="502"/>
      <c r="D45" s="506"/>
      <c r="E45" s="506"/>
      <c r="F45" s="506"/>
      <c r="G45" s="506"/>
      <c r="H45" s="506"/>
      <c r="I45" s="506"/>
      <c r="J45" s="502"/>
      <c r="K45" s="506"/>
      <c r="L45" s="506"/>
      <c r="M45" s="506"/>
      <c r="N45" s="1121"/>
      <c r="O45" s="344"/>
      <c r="P45" s="344"/>
      <c r="Q45" s="344"/>
      <c r="R45" s="729"/>
      <c r="S45" s="729"/>
      <c r="T45" s="344"/>
      <c r="U45" s="729"/>
      <c r="V45" s="729"/>
      <c r="W45" s="344"/>
      <c r="X45" s="344"/>
      <c r="Y45" s="344"/>
      <c r="Z45" s="344"/>
      <c r="AA45" s="344"/>
      <c r="AB45" s="344"/>
      <c r="AC45" s="344"/>
      <c r="AD45" s="344"/>
      <c r="AE45" s="344"/>
      <c r="AF45" s="344"/>
      <c r="AG45" s="344"/>
      <c r="AH45" s="344"/>
      <c r="AI45" s="344"/>
      <c r="AJ45" s="344"/>
      <c r="AK45" s="344"/>
      <c r="AL45" s="344"/>
      <c r="AM45" s="344"/>
      <c r="AN45" s="344"/>
      <c r="AO45" s="344"/>
      <c r="AP45" s="344"/>
      <c r="AQ45" s="344"/>
      <c r="AR45" s="344"/>
      <c r="AS45" s="344"/>
      <c r="AT45" s="344"/>
      <c r="AU45" s="344"/>
      <c r="AV45" s="344"/>
      <c r="AW45" s="344"/>
      <c r="AX45" s="344"/>
      <c r="AY45" s="344"/>
      <c r="AZ45" s="344"/>
      <c r="BA45" s="344"/>
      <c r="BB45" s="344"/>
      <c r="BC45" s="344"/>
      <c r="BD45" s="344"/>
      <c r="BE45" s="344"/>
      <c r="BF45" s="344"/>
      <c r="BG45" s="344"/>
      <c r="BH45" s="344"/>
      <c r="BI45" s="344"/>
      <c r="BJ45" s="344"/>
    </row>
    <row r="46" spans="2:62" s="293" customFormat="1" ht="15.75">
      <c r="B46" s="313"/>
      <c r="C46" s="502"/>
      <c r="D46" s="506"/>
      <c r="E46" s="506"/>
      <c r="F46" s="506"/>
      <c r="G46" s="506"/>
      <c r="H46" s="506"/>
      <c r="I46" s="506"/>
      <c r="J46" s="502"/>
      <c r="K46" s="506"/>
      <c r="L46" s="506"/>
      <c r="M46" s="506"/>
      <c r="N46" s="1121"/>
      <c r="O46" s="344"/>
      <c r="P46" s="344"/>
      <c r="Q46" s="344"/>
      <c r="R46" s="729"/>
      <c r="S46" s="729"/>
      <c r="T46" s="344"/>
      <c r="U46" s="729"/>
      <c r="V46" s="729"/>
      <c r="W46" s="344"/>
      <c r="X46" s="344"/>
      <c r="Y46" s="344"/>
      <c r="Z46" s="344"/>
      <c r="AA46" s="344"/>
      <c r="AB46" s="344"/>
      <c r="AC46" s="344"/>
      <c r="AD46" s="344"/>
      <c r="AE46" s="344"/>
      <c r="AF46" s="344"/>
      <c r="AG46" s="344"/>
      <c r="AH46" s="344"/>
      <c r="AI46" s="344"/>
      <c r="AJ46" s="344"/>
      <c r="AK46" s="344"/>
      <c r="AL46" s="344"/>
      <c r="AM46" s="344"/>
      <c r="AN46" s="344"/>
      <c r="AO46" s="344"/>
      <c r="AP46" s="344"/>
      <c r="AQ46" s="344"/>
      <c r="AR46" s="344"/>
      <c r="AS46" s="344"/>
      <c r="AT46" s="344"/>
      <c r="AU46" s="344"/>
      <c r="AV46" s="344"/>
      <c r="AW46" s="344"/>
      <c r="AX46" s="344"/>
      <c r="AY46" s="344"/>
      <c r="AZ46" s="344"/>
      <c r="BA46" s="344"/>
      <c r="BB46" s="344"/>
      <c r="BC46" s="344"/>
      <c r="BD46" s="344"/>
      <c r="BE46" s="344"/>
      <c r="BF46" s="344"/>
      <c r="BG46" s="344"/>
      <c r="BH46" s="344"/>
      <c r="BI46" s="344"/>
      <c r="BJ46" s="344"/>
    </row>
    <row r="47" spans="2:62" s="293" customFormat="1" ht="15.75">
      <c r="B47" s="313"/>
      <c r="C47" s="502"/>
      <c r="D47" s="506"/>
      <c r="E47" s="506"/>
      <c r="F47" s="506"/>
      <c r="G47" s="506"/>
      <c r="H47" s="506"/>
      <c r="I47" s="506"/>
      <c r="J47" s="502"/>
      <c r="K47" s="506"/>
      <c r="L47" s="506"/>
      <c r="M47" s="506"/>
      <c r="N47" s="1121"/>
      <c r="O47" s="344"/>
      <c r="P47" s="344"/>
      <c r="Q47" s="344"/>
      <c r="R47" s="344"/>
      <c r="S47" s="729"/>
      <c r="T47" s="344"/>
      <c r="U47" s="729"/>
      <c r="V47" s="729"/>
      <c r="W47" s="344"/>
      <c r="X47" s="344"/>
      <c r="Y47" s="344"/>
      <c r="Z47" s="344"/>
      <c r="AA47" s="344"/>
      <c r="AB47" s="344"/>
      <c r="AC47" s="344"/>
      <c r="AD47" s="344"/>
      <c r="AE47" s="344"/>
      <c r="AF47" s="344"/>
      <c r="AG47" s="344"/>
      <c r="AH47" s="344"/>
      <c r="AI47" s="344"/>
      <c r="AJ47" s="344"/>
      <c r="AK47" s="344"/>
      <c r="AL47" s="344"/>
      <c r="AM47" s="344"/>
      <c r="AN47" s="344"/>
      <c r="AO47" s="344"/>
      <c r="AP47" s="344"/>
      <c r="AQ47" s="344"/>
      <c r="AR47" s="344"/>
      <c r="AS47" s="344"/>
      <c r="AT47" s="344"/>
      <c r="AU47" s="344"/>
      <c r="AV47" s="344"/>
      <c r="AW47" s="344"/>
      <c r="AX47" s="344"/>
      <c r="AY47" s="344"/>
      <c r="AZ47" s="344"/>
      <c r="BA47" s="344"/>
      <c r="BB47" s="344"/>
      <c r="BC47" s="344"/>
      <c r="BD47" s="344"/>
      <c r="BE47" s="344"/>
      <c r="BF47" s="344"/>
      <c r="BG47" s="344"/>
      <c r="BH47" s="344"/>
      <c r="BI47" s="344"/>
      <c r="BJ47" s="344"/>
    </row>
    <row r="48" spans="2:62" s="293" customFormat="1" ht="15.75">
      <c r="B48" s="313"/>
      <c r="C48" s="502"/>
      <c r="D48" s="506"/>
      <c r="E48" s="506"/>
      <c r="F48" s="506"/>
      <c r="G48" s="506"/>
      <c r="H48" s="506"/>
      <c r="I48" s="506"/>
      <c r="J48" s="502"/>
      <c r="K48" s="506"/>
      <c r="L48" s="506"/>
      <c r="M48" s="506"/>
      <c r="N48" s="1121"/>
      <c r="O48" s="344"/>
      <c r="P48" s="344"/>
      <c r="Q48" s="344"/>
      <c r="R48" s="344"/>
      <c r="S48" s="729"/>
      <c r="T48" s="344"/>
      <c r="U48" s="729"/>
      <c r="V48" s="729"/>
      <c r="W48" s="344"/>
      <c r="X48" s="344"/>
      <c r="Y48" s="344"/>
      <c r="Z48" s="344"/>
      <c r="AA48" s="344"/>
      <c r="AB48" s="344"/>
      <c r="AC48" s="344"/>
      <c r="AD48" s="344"/>
      <c r="AE48" s="344"/>
      <c r="AF48" s="344"/>
      <c r="AG48" s="344"/>
      <c r="AH48" s="344"/>
      <c r="AI48" s="344"/>
      <c r="AJ48" s="344"/>
      <c r="AK48" s="344"/>
      <c r="AL48" s="344"/>
      <c r="AM48" s="344"/>
      <c r="AN48" s="344"/>
      <c r="AO48" s="344"/>
      <c r="AP48" s="344"/>
      <c r="AQ48" s="344"/>
      <c r="AR48" s="344"/>
      <c r="AS48" s="344"/>
      <c r="AT48" s="344"/>
      <c r="AU48" s="344"/>
      <c r="AV48" s="344"/>
      <c r="AW48" s="344"/>
      <c r="AX48" s="344"/>
      <c r="AY48" s="344"/>
      <c r="AZ48" s="344"/>
      <c r="BA48" s="344"/>
      <c r="BB48" s="344"/>
      <c r="BC48" s="344"/>
      <c r="BD48" s="344"/>
      <c r="BE48" s="344"/>
      <c r="BF48" s="344"/>
      <c r="BG48" s="344"/>
      <c r="BH48" s="344"/>
      <c r="BI48" s="344"/>
      <c r="BJ48" s="344"/>
    </row>
    <row r="49" spans="1:62" s="293" customFormat="1" ht="15.75">
      <c r="B49" s="313"/>
      <c r="C49" s="502"/>
      <c r="D49" s="506"/>
      <c r="E49" s="506"/>
      <c r="F49" s="506"/>
      <c r="G49" s="506"/>
      <c r="H49" s="506"/>
      <c r="I49" s="506"/>
      <c r="J49" s="502"/>
      <c r="K49" s="506"/>
      <c r="L49" s="506"/>
      <c r="M49" s="506"/>
      <c r="N49" s="1121"/>
      <c r="O49" s="344"/>
      <c r="P49" s="344"/>
      <c r="Q49" s="1760"/>
      <c r="R49" s="1760"/>
      <c r="S49" s="729"/>
      <c r="T49" s="344"/>
      <c r="U49" s="729"/>
      <c r="V49" s="729"/>
      <c r="W49" s="344"/>
      <c r="X49" s="344"/>
      <c r="Y49" s="344"/>
      <c r="Z49" s="344"/>
      <c r="AA49" s="344"/>
      <c r="AB49" s="344"/>
      <c r="AC49" s="344"/>
      <c r="AD49" s="344"/>
      <c r="AE49" s="344"/>
      <c r="AF49" s="344"/>
      <c r="AG49" s="344"/>
      <c r="AH49" s="344"/>
      <c r="AI49" s="344"/>
      <c r="AJ49" s="344"/>
      <c r="AK49" s="344"/>
      <c r="AL49" s="344"/>
      <c r="AM49" s="344"/>
      <c r="AN49" s="344"/>
      <c r="AO49" s="344"/>
      <c r="AP49" s="344"/>
      <c r="AQ49" s="344"/>
      <c r="AR49" s="344"/>
      <c r="AS49" s="344"/>
      <c r="AT49" s="344"/>
      <c r="AU49" s="344"/>
      <c r="AV49" s="344"/>
      <c r="AW49" s="344"/>
      <c r="AX49" s="344"/>
      <c r="AY49" s="344"/>
      <c r="AZ49" s="344"/>
      <c r="BA49" s="344"/>
      <c r="BB49" s="344"/>
      <c r="BC49" s="344"/>
      <c r="BD49" s="344"/>
      <c r="BE49" s="344"/>
      <c r="BF49" s="344"/>
      <c r="BG49" s="344"/>
      <c r="BH49" s="344"/>
      <c r="BI49" s="344"/>
      <c r="BJ49" s="344"/>
    </row>
    <row r="50" spans="1:62" s="293" customFormat="1" ht="15.75">
      <c r="B50" s="313"/>
      <c r="C50" s="502"/>
      <c r="D50" s="506"/>
      <c r="E50" s="506"/>
      <c r="F50" s="506"/>
      <c r="G50" s="506"/>
      <c r="H50" s="506"/>
      <c r="I50" s="506"/>
      <c r="J50" s="502"/>
      <c r="K50" s="506"/>
      <c r="L50" s="506"/>
      <c r="M50" s="506"/>
      <c r="N50" s="1121"/>
      <c r="O50" s="344"/>
      <c r="P50" s="344"/>
      <c r="Q50" s="344"/>
      <c r="R50" s="344"/>
      <c r="S50" s="729"/>
      <c r="T50" s="344"/>
      <c r="U50" s="729"/>
      <c r="V50" s="729"/>
      <c r="W50" s="344"/>
      <c r="X50" s="344"/>
      <c r="Y50" s="344"/>
      <c r="Z50" s="344"/>
      <c r="AA50" s="344"/>
      <c r="AB50" s="344"/>
      <c r="AC50" s="344"/>
      <c r="AD50" s="344"/>
      <c r="AE50" s="344"/>
      <c r="AF50" s="344"/>
      <c r="AG50" s="344"/>
      <c r="AH50" s="344"/>
      <c r="AI50" s="344"/>
      <c r="AJ50" s="344"/>
      <c r="AK50" s="344"/>
      <c r="AL50" s="344"/>
      <c r="AM50" s="344"/>
      <c r="AN50" s="344"/>
      <c r="AO50" s="344"/>
      <c r="AP50" s="344"/>
      <c r="AQ50" s="344"/>
      <c r="AR50" s="344"/>
      <c r="AS50" s="344"/>
      <c r="AT50" s="344"/>
      <c r="AU50" s="344"/>
      <c r="AV50" s="344"/>
      <c r="AW50" s="344"/>
      <c r="AX50" s="344"/>
      <c r="AY50" s="344"/>
      <c r="AZ50" s="344"/>
      <c r="BA50" s="344"/>
      <c r="BB50" s="344"/>
      <c r="BC50" s="344"/>
      <c r="BD50" s="344"/>
      <c r="BE50" s="344"/>
      <c r="BF50" s="344"/>
      <c r="BG50" s="344"/>
      <c r="BH50" s="344"/>
      <c r="BI50" s="344"/>
      <c r="BJ50" s="344"/>
    </row>
    <row r="51" spans="1:62" s="293" customFormat="1" ht="15.75">
      <c r="B51" s="313"/>
      <c r="C51" s="502"/>
      <c r="D51" s="506"/>
      <c r="E51" s="506"/>
      <c r="F51" s="506"/>
      <c r="G51" s="506"/>
      <c r="H51" s="506"/>
      <c r="I51" s="506"/>
      <c r="J51" s="502"/>
      <c r="K51" s="506"/>
      <c r="L51" s="506"/>
      <c r="M51" s="506"/>
      <c r="N51" s="1121"/>
      <c r="O51" s="344"/>
      <c r="P51" s="344"/>
      <c r="Q51" s="344"/>
      <c r="R51" s="344"/>
      <c r="S51" s="729"/>
      <c r="T51" s="344"/>
      <c r="U51" s="729"/>
      <c r="V51" s="729"/>
      <c r="W51" s="344"/>
      <c r="X51" s="344"/>
      <c r="Y51" s="344"/>
      <c r="Z51" s="344"/>
      <c r="AA51" s="344"/>
      <c r="AB51" s="344"/>
      <c r="AC51" s="344"/>
      <c r="AD51" s="344"/>
      <c r="AE51" s="344"/>
      <c r="AF51" s="344"/>
      <c r="AG51" s="344"/>
      <c r="AH51" s="344"/>
      <c r="AI51" s="344"/>
      <c r="AJ51" s="344"/>
      <c r="AK51" s="344"/>
      <c r="AL51" s="344"/>
      <c r="AM51" s="344"/>
      <c r="AN51" s="344"/>
      <c r="AO51" s="344"/>
      <c r="AP51" s="344"/>
      <c r="AQ51" s="344"/>
      <c r="AR51" s="344"/>
      <c r="AS51" s="344"/>
      <c r="AT51" s="344"/>
      <c r="AU51" s="344"/>
      <c r="AV51" s="344"/>
      <c r="AW51" s="344"/>
      <c r="AX51" s="344"/>
      <c r="AY51" s="344"/>
      <c r="AZ51" s="344"/>
      <c r="BA51" s="344"/>
      <c r="BB51" s="344"/>
      <c r="BC51" s="344"/>
      <c r="BD51" s="344"/>
      <c r="BE51" s="344"/>
      <c r="BF51" s="344"/>
      <c r="BG51" s="344"/>
      <c r="BH51" s="344"/>
      <c r="BI51" s="344"/>
      <c r="BJ51" s="344"/>
    </row>
    <row r="52" spans="1:62" s="293" customFormat="1" ht="15.75">
      <c r="B52" s="313"/>
      <c r="C52" s="502"/>
      <c r="D52" s="506"/>
      <c r="E52" s="506"/>
      <c r="F52" s="506"/>
      <c r="G52" s="506"/>
      <c r="H52" s="506"/>
      <c r="I52" s="506"/>
      <c r="J52" s="502"/>
      <c r="K52" s="506"/>
      <c r="L52" s="506"/>
      <c r="M52" s="506"/>
      <c r="N52" s="1121"/>
      <c r="O52" s="344"/>
      <c r="P52" s="344"/>
      <c r="Q52" s="344"/>
      <c r="R52" s="344"/>
      <c r="S52" s="729"/>
      <c r="T52" s="344"/>
      <c r="U52" s="729"/>
      <c r="V52" s="729"/>
      <c r="W52" s="344"/>
      <c r="X52" s="344"/>
      <c r="Y52" s="344"/>
      <c r="Z52" s="344"/>
      <c r="AA52" s="344"/>
      <c r="AB52" s="344"/>
      <c r="AC52" s="344"/>
      <c r="AD52" s="344"/>
      <c r="AE52" s="344"/>
      <c r="AF52" s="344"/>
      <c r="AG52" s="344"/>
      <c r="AH52" s="344"/>
      <c r="AI52" s="344"/>
      <c r="AJ52" s="344"/>
      <c r="AK52" s="344"/>
      <c r="AL52" s="344"/>
      <c r="AM52" s="344"/>
      <c r="AN52" s="344"/>
      <c r="AO52" s="344"/>
      <c r="AP52" s="344"/>
      <c r="AQ52" s="344"/>
      <c r="AR52" s="344"/>
      <c r="AS52" s="344"/>
      <c r="AT52" s="344"/>
      <c r="AU52" s="344"/>
      <c r="AV52" s="344"/>
      <c r="AW52" s="344"/>
      <c r="AX52" s="344"/>
      <c r="AY52" s="344"/>
      <c r="AZ52" s="344"/>
      <c r="BA52" s="344"/>
      <c r="BB52" s="344"/>
      <c r="BC52" s="344"/>
      <c r="BD52" s="344"/>
      <c r="BE52" s="344"/>
      <c r="BF52" s="344"/>
      <c r="BG52" s="344"/>
      <c r="BH52" s="344"/>
      <c r="BI52" s="344"/>
      <c r="BJ52" s="344"/>
    </row>
    <row r="53" spans="1:62" s="293" customFormat="1" ht="15.75">
      <c r="B53" s="313"/>
      <c r="C53" s="502"/>
      <c r="D53" s="506"/>
      <c r="E53" s="506"/>
      <c r="F53" s="506"/>
      <c r="G53" s="506"/>
      <c r="H53" s="506"/>
      <c r="I53" s="506"/>
      <c r="J53" s="502"/>
      <c r="K53" s="506"/>
      <c r="L53" s="506"/>
      <c r="M53" s="506"/>
      <c r="N53" s="1121"/>
      <c r="R53" s="344"/>
      <c r="S53" s="729"/>
      <c r="T53" s="344"/>
      <c r="U53" s="729"/>
      <c r="V53" s="729"/>
      <c r="W53" s="344"/>
      <c r="X53" s="344"/>
      <c r="Y53" s="344"/>
      <c r="Z53" s="344"/>
      <c r="AA53" s="344"/>
      <c r="AB53" s="344"/>
      <c r="AC53" s="344"/>
      <c r="AD53" s="344"/>
      <c r="AE53" s="344"/>
      <c r="AF53" s="344"/>
      <c r="AG53" s="344"/>
      <c r="AH53" s="344"/>
      <c r="AI53" s="344"/>
      <c r="AJ53" s="344"/>
      <c r="AK53" s="344"/>
      <c r="AL53" s="344"/>
      <c r="AM53" s="344"/>
      <c r="AN53" s="344"/>
      <c r="AO53" s="344"/>
      <c r="AP53" s="344"/>
      <c r="AQ53" s="344"/>
      <c r="AR53" s="344"/>
      <c r="AS53" s="344"/>
      <c r="AT53" s="344"/>
      <c r="AU53" s="344"/>
      <c r="AV53" s="344"/>
      <c r="AW53" s="344"/>
      <c r="AX53" s="344"/>
      <c r="AY53" s="344"/>
      <c r="AZ53" s="344"/>
      <c r="BA53" s="344"/>
      <c r="BB53" s="344"/>
      <c r="BC53" s="344"/>
      <c r="BD53" s="344"/>
      <c r="BE53" s="344"/>
      <c r="BF53" s="344"/>
      <c r="BG53" s="344"/>
      <c r="BH53" s="344"/>
      <c r="BI53" s="344"/>
      <c r="BJ53" s="344"/>
    </row>
    <row r="54" spans="1:62" s="293" customFormat="1" ht="15.75">
      <c r="B54" s="313"/>
      <c r="C54" s="502"/>
      <c r="D54" s="506"/>
      <c r="E54" s="506"/>
      <c r="F54" s="506"/>
      <c r="G54" s="506"/>
      <c r="H54" s="506"/>
      <c r="I54" s="506"/>
      <c r="J54" s="502"/>
      <c r="K54" s="506"/>
      <c r="L54" s="506"/>
      <c r="M54" s="506"/>
      <c r="N54" s="1121"/>
      <c r="R54" s="344"/>
      <c r="S54" s="729"/>
      <c r="T54" s="344"/>
      <c r="U54" s="729"/>
      <c r="V54" s="729"/>
      <c r="W54" s="344"/>
      <c r="X54" s="344"/>
      <c r="Y54" s="344"/>
      <c r="Z54" s="344"/>
      <c r="AA54" s="344"/>
      <c r="AB54" s="344"/>
      <c r="AC54" s="344"/>
      <c r="AD54" s="344"/>
      <c r="AE54" s="344"/>
      <c r="AF54" s="344"/>
      <c r="AG54" s="344"/>
      <c r="AH54" s="344"/>
      <c r="AI54" s="344"/>
      <c r="AJ54" s="344"/>
      <c r="AK54" s="344"/>
      <c r="AL54" s="344"/>
      <c r="AM54" s="344"/>
      <c r="AN54" s="344"/>
      <c r="AO54" s="344"/>
      <c r="AP54" s="344"/>
      <c r="AQ54" s="344"/>
      <c r="AR54" s="344"/>
      <c r="AS54" s="344"/>
      <c r="AT54" s="344"/>
      <c r="AU54" s="344"/>
      <c r="AV54" s="344"/>
      <c r="AW54" s="344"/>
      <c r="AX54" s="344"/>
      <c r="AY54" s="344"/>
      <c r="AZ54" s="344"/>
      <c r="BA54" s="344"/>
      <c r="BB54" s="344"/>
      <c r="BC54" s="344"/>
      <c r="BD54" s="344"/>
      <c r="BE54" s="344"/>
      <c r="BF54" s="344"/>
      <c r="BG54" s="344"/>
      <c r="BH54" s="344"/>
      <c r="BI54" s="344"/>
      <c r="BJ54" s="344"/>
    </row>
    <row r="55" spans="1:62" s="293" customFormat="1" ht="15.75">
      <c r="B55" s="313"/>
      <c r="C55" s="502"/>
      <c r="D55" s="506"/>
      <c r="E55" s="506"/>
      <c r="F55" s="506"/>
      <c r="G55" s="506"/>
      <c r="H55" s="506"/>
      <c r="I55" s="506"/>
      <c r="J55" s="502"/>
      <c r="K55" s="506"/>
      <c r="L55" s="506"/>
      <c r="M55" s="506"/>
      <c r="N55" s="1121"/>
      <c r="R55" s="344"/>
      <c r="S55" s="729"/>
      <c r="T55" s="344"/>
      <c r="U55" s="729"/>
      <c r="V55" s="729"/>
      <c r="W55" s="344"/>
      <c r="X55" s="344"/>
      <c r="Y55" s="344"/>
      <c r="Z55" s="344"/>
      <c r="AA55" s="344"/>
      <c r="AB55" s="344"/>
      <c r="AC55" s="344"/>
      <c r="AD55" s="344"/>
      <c r="AE55" s="344"/>
      <c r="AF55" s="344"/>
      <c r="AG55" s="344"/>
      <c r="AH55" s="344"/>
      <c r="AI55" s="344"/>
      <c r="AJ55" s="344"/>
      <c r="AK55" s="344"/>
      <c r="AL55" s="344"/>
      <c r="AM55" s="344"/>
      <c r="AN55" s="344"/>
      <c r="AO55" s="344"/>
      <c r="AP55" s="344"/>
      <c r="AQ55" s="344"/>
      <c r="AR55" s="344"/>
      <c r="AS55" s="344"/>
      <c r="AT55" s="344"/>
      <c r="AU55" s="344"/>
      <c r="AV55" s="344"/>
      <c r="AW55" s="344"/>
      <c r="AX55" s="344"/>
      <c r="AY55" s="344"/>
      <c r="AZ55" s="344"/>
      <c r="BA55" s="344"/>
      <c r="BB55" s="344"/>
      <c r="BC55" s="344"/>
      <c r="BD55" s="344"/>
      <c r="BE55" s="344"/>
      <c r="BF55" s="344"/>
      <c r="BG55" s="344"/>
      <c r="BH55" s="344"/>
      <c r="BI55" s="344"/>
      <c r="BJ55" s="344"/>
    </row>
    <row r="56" spans="1:62" s="293" customFormat="1" ht="15.75">
      <c r="B56" s="313"/>
      <c r="C56" s="502"/>
      <c r="D56" s="506"/>
      <c r="E56" s="506"/>
      <c r="F56" s="506"/>
      <c r="G56" s="506"/>
      <c r="H56" s="506"/>
      <c r="I56" s="506"/>
      <c r="J56" s="502"/>
      <c r="K56" s="506"/>
      <c r="L56" s="506"/>
      <c r="M56" s="506"/>
      <c r="N56" s="1121"/>
      <c r="R56" s="344"/>
      <c r="S56" s="729"/>
      <c r="T56" s="344"/>
      <c r="U56" s="729"/>
      <c r="V56" s="729"/>
      <c r="W56" s="344"/>
      <c r="X56" s="344"/>
      <c r="Y56" s="344"/>
      <c r="Z56" s="344"/>
      <c r="AA56" s="344"/>
      <c r="AB56" s="344"/>
      <c r="AC56" s="344"/>
      <c r="AD56" s="344"/>
      <c r="AE56" s="344"/>
      <c r="AF56" s="344"/>
      <c r="AG56" s="344"/>
      <c r="AH56" s="344"/>
      <c r="AI56" s="344"/>
      <c r="AJ56" s="344"/>
      <c r="AK56" s="344"/>
      <c r="AL56" s="344"/>
      <c r="AM56" s="344"/>
      <c r="AN56" s="344"/>
      <c r="AO56" s="344"/>
      <c r="AP56" s="344"/>
      <c r="AQ56" s="344"/>
      <c r="AR56" s="344"/>
      <c r="AS56" s="344"/>
      <c r="AT56" s="344"/>
      <c r="AU56" s="344"/>
      <c r="AV56" s="344"/>
      <c r="AW56" s="344"/>
      <c r="AX56" s="344"/>
      <c r="AY56" s="344"/>
      <c r="AZ56" s="344"/>
      <c r="BA56" s="344"/>
      <c r="BB56" s="344"/>
      <c r="BC56" s="344"/>
      <c r="BD56" s="344"/>
      <c r="BE56" s="344"/>
      <c r="BF56" s="344"/>
      <c r="BG56" s="344"/>
      <c r="BH56" s="344"/>
      <c r="BI56" s="344"/>
      <c r="BJ56" s="344"/>
    </row>
    <row r="57" spans="1:62" s="293" customFormat="1" ht="15.75">
      <c r="B57" s="313"/>
      <c r="C57" s="502"/>
      <c r="D57" s="506"/>
      <c r="E57" s="506"/>
      <c r="F57" s="506"/>
      <c r="G57" s="506"/>
      <c r="H57" s="506"/>
      <c r="I57" s="506"/>
      <c r="J57" s="502"/>
      <c r="K57" s="506"/>
      <c r="L57" s="506"/>
      <c r="M57" s="506"/>
      <c r="N57" s="1121"/>
      <c r="R57" s="344"/>
      <c r="S57" s="729"/>
      <c r="T57" s="344"/>
      <c r="U57" s="729"/>
      <c r="V57" s="729"/>
      <c r="W57" s="344"/>
      <c r="X57" s="344"/>
      <c r="Y57" s="344"/>
      <c r="Z57" s="344"/>
      <c r="AA57" s="344"/>
      <c r="AB57" s="344"/>
      <c r="AC57" s="344"/>
      <c r="AD57" s="344"/>
      <c r="AE57" s="344"/>
      <c r="AF57" s="344"/>
      <c r="AG57" s="344"/>
      <c r="AH57" s="344"/>
      <c r="AI57" s="344"/>
      <c r="AJ57" s="344"/>
      <c r="AK57" s="344"/>
      <c r="AL57" s="344"/>
      <c r="AM57" s="344"/>
      <c r="AN57" s="344"/>
      <c r="AO57" s="344"/>
      <c r="AP57" s="344"/>
      <c r="AQ57" s="344"/>
      <c r="AR57" s="344"/>
      <c r="AS57" s="344"/>
      <c r="AT57" s="344"/>
      <c r="AU57" s="344"/>
      <c r="AV57" s="344"/>
      <c r="AW57" s="344"/>
      <c r="AX57" s="344"/>
      <c r="AY57" s="344"/>
      <c r="AZ57" s="344"/>
      <c r="BA57" s="344"/>
      <c r="BB57" s="344"/>
      <c r="BC57" s="344"/>
      <c r="BD57" s="344"/>
      <c r="BE57" s="344"/>
      <c r="BF57" s="344"/>
      <c r="BG57" s="344"/>
      <c r="BH57" s="344"/>
      <c r="BI57" s="344"/>
      <c r="BJ57" s="344"/>
    </row>
    <row r="58" spans="1:62" s="344" customFormat="1" ht="15.75">
      <c r="B58" s="313"/>
      <c r="C58" s="502"/>
      <c r="D58" s="506"/>
      <c r="E58" s="506"/>
      <c r="F58" s="506"/>
      <c r="G58" s="506"/>
      <c r="H58" s="506"/>
      <c r="I58" s="506"/>
      <c r="J58" s="502"/>
      <c r="K58" s="506"/>
      <c r="L58" s="506"/>
      <c r="M58" s="506"/>
      <c r="N58" s="1121"/>
      <c r="S58" s="729"/>
      <c r="U58" s="729"/>
      <c r="V58" s="729"/>
    </row>
    <row r="59" spans="1:62" s="1100" customFormat="1" ht="15.75">
      <c r="A59" s="344"/>
      <c r="B59" s="313"/>
      <c r="C59" s="502"/>
      <c r="D59" s="506"/>
      <c r="E59" s="506"/>
      <c r="F59" s="506"/>
      <c r="G59" s="506"/>
      <c r="H59" s="506"/>
      <c r="I59" s="506"/>
      <c r="J59" s="502"/>
      <c r="K59" s="506"/>
      <c r="L59" s="506"/>
      <c r="M59" s="506"/>
      <c r="N59" s="1121"/>
      <c r="O59" s="344"/>
      <c r="P59" s="344"/>
      <c r="Q59" s="344"/>
      <c r="R59" s="344"/>
      <c r="S59" s="729"/>
      <c r="T59" s="344"/>
      <c r="U59" s="729"/>
      <c r="V59" s="729"/>
      <c r="W59" s="344"/>
      <c r="X59" s="344"/>
      <c r="Y59" s="344"/>
      <c r="Z59" s="344"/>
      <c r="AA59" s="344"/>
      <c r="AB59" s="344"/>
      <c r="AC59" s="344"/>
      <c r="AD59" s="344"/>
      <c r="AE59" s="344"/>
      <c r="AF59" s="344"/>
      <c r="AG59" s="344"/>
      <c r="AH59" s="344"/>
      <c r="AI59" s="344"/>
      <c r="AJ59" s="344"/>
      <c r="AK59" s="344"/>
      <c r="AL59" s="344"/>
      <c r="AM59" s="344"/>
      <c r="AN59" s="344"/>
      <c r="AO59" s="344"/>
      <c r="AP59" s="344"/>
      <c r="AQ59" s="344"/>
      <c r="AR59" s="344"/>
      <c r="AS59" s="344"/>
      <c r="AT59" s="344"/>
      <c r="AU59" s="344"/>
      <c r="AV59" s="344"/>
      <c r="AW59" s="344"/>
      <c r="AX59" s="344"/>
      <c r="AY59" s="344"/>
      <c r="AZ59" s="344"/>
      <c r="BA59" s="344"/>
      <c r="BB59" s="344"/>
      <c r="BC59" s="344"/>
      <c r="BD59" s="344"/>
      <c r="BE59" s="344"/>
      <c r="BF59" s="344"/>
      <c r="BG59" s="344"/>
      <c r="BH59" s="344"/>
      <c r="BI59" s="344"/>
      <c r="BJ59" s="344"/>
    </row>
    <row r="60" spans="1:62" s="344" customFormat="1" ht="15.75">
      <c r="A60" s="293"/>
      <c r="B60" s="313"/>
      <c r="C60" s="502"/>
      <c r="D60" s="506"/>
      <c r="E60" s="506"/>
      <c r="F60" s="506"/>
      <c r="G60" s="506"/>
      <c r="H60" s="506"/>
      <c r="I60" s="506"/>
      <c r="J60" s="502"/>
      <c r="K60" s="506"/>
      <c r="L60" s="506"/>
      <c r="M60" s="506"/>
      <c r="N60" s="1121"/>
      <c r="O60" s="293"/>
      <c r="P60" s="293"/>
      <c r="Q60" s="293"/>
      <c r="S60" s="729"/>
      <c r="U60" s="729"/>
      <c r="V60" s="729"/>
    </row>
    <row r="61" spans="1:62" s="293" customFormat="1" ht="15.75">
      <c r="B61" s="313"/>
      <c r="C61" s="502"/>
      <c r="D61" s="506"/>
      <c r="E61" s="506"/>
      <c r="F61" s="506"/>
      <c r="G61" s="506"/>
      <c r="H61" s="506"/>
      <c r="I61" s="506"/>
      <c r="J61" s="502"/>
      <c r="K61" s="506"/>
      <c r="L61" s="506"/>
      <c r="M61" s="506"/>
      <c r="N61" s="1121"/>
      <c r="R61" s="344"/>
      <c r="S61" s="729"/>
      <c r="T61" s="344"/>
      <c r="U61" s="729"/>
      <c r="V61" s="729"/>
      <c r="W61" s="344"/>
      <c r="X61" s="344"/>
      <c r="Y61" s="344"/>
      <c r="Z61" s="344"/>
      <c r="AA61" s="344"/>
      <c r="AB61" s="344"/>
      <c r="AC61" s="344"/>
      <c r="AD61" s="344"/>
      <c r="AE61" s="344"/>
      <c r="AF61" s="344"/>
      <c r="AG61" s="344"/>
      <c r="AH61" s="344"/>
      <c r="AI61" s="344"/>
      <c r="AJ61" s="344"/>
      <c r="AK61" s="344"/>
      <c r="AL61" s="344"/>
      <c r="AM61" s="344"/>
      <c r="AN61" s="344"/>
      <c r="AO61" s="344"/>
      <c r="AP61" s="344"/>
      <c r="AQ61" s="344"/>
      <c r="AR61" s="344"/>
      <c r="AS61" s="344"/>
      <c r="AT61" s="344"/>
      <c r="AU61" s="344"/>
      <c r="AV61" s="344"/>
      <c r="AW61" s="344"/>
      <c r="AX61" s="344"/>
      <c r="AY61" s="344"/>
      <c r="AZ61" s="344"/>
      <c r="BA61" s="344"/>
      <c r="BB61" s="344"/>
      <c r="BC61" s="344"/>
      <c r="BD61" s="344"/>
      <c r="BE61" s="344"/>
      <c r="BF61" s="344"/>
      <c r="BG61" s="344"/>
      <c r="BH61" s="344"/>
      <c r="BI61" s="344"/>
      <c r="BJ61" s="344"/>
    </row>
    <row r="62" spans="1:62" s="293" customFormat="1" ht="15.75">
      <c r="B62" s="313"/>
      <c r="C62" s="502"/>
      <c r="D62" s="506"/>
      <c r="E62" s="506"/>
      <c r="F62" s="506"/>
      <c r="G62" s="506"/>
      <c r="H62" s="506"/>
      <c r="I62" s="506"/>
      <c r="J62" s="502"/>
      <c r="K62" s="506"/>
      <c r="L62" s="506"/>
      <c r="M62" s="506"/>
      <c r="N62" s="1121"/>
      <c r="R62" s="344"/>
      <c r="S62" s="729"/>
      <c r="T62" s="344"/>
      <c r="U62" s="729"/>
      <c r="V62" s="729"/>
      <c r="W62" s="344"/>
      <c r="X62" s="344"/>
      <c r="Y62" s="344"/>
      <c r="Z62" s="344"/>
      <c r="AA62" s="344"/>
      <c r="AB62" s="344"/>
      <c r="AC62" s="344"/>
      <c r="AD62" s="344"/>
      <c r="AE62" s="344"/>
      <c r="AF62" s="344"/>
      <c r="AG62" s="344"/>
      <c r="AH62" s="344"/>
      <c r="AI62" s="344"/>
      <c r="AJ62" s="344"/>
      <c r="AK62" s="344"/>
      <c r="AL62" s="344"/>
      <c r="AM62" s="344"/>
      <c r="AN62" s="344"/>
      <c r="AO62" s="344"/>
      <c r="AP62" s="344"/>
      <c r="AQ62" s="344"/>
      <c r="AR62" s="344"/>
      <c r="AS62" s="344"/>
      <c r="AT62" s="344"/>
      <c r="AU62" s="344"/>
      <c r="AV62" s="344"/>
      <c r="AW62" s="344"/>
      <c r="AX62" s="344"/>
      <c r="AY62" s="344"/>
      <c r="AZ62" s="344"/>
      <c r="BA62" s="344"/>
      <c r="BB62" s="344"/>
      <c r="BC62" s="344"/>
      <c r="BD62" s="344"/>
      <c r="BE62" s="344"/>
      <c r="BF62" s="344"/>
      <c r="BG62" s="344"/>
      <c r="BH62" s="344"/>
      <c r="BI62" s="344"/>
      <c r="BJ62" s="344"/>
    </row>
    <row r="63" spans="1:62" s="293" customFormat="1" ht="15.75">
      <c r="B63" s="313"/>
      <c r="C63" s="502"/>
      <c r="D63" s="506"/>
      <c r="E63" s="506"/>
      <c r="F63" s="506"/>
      <c r="G63" s="506"/>
      <c r="H63" s="506"/>
      <c r="I63" s="506"/>
      <c r="J63" s="502"/>
      <c r="K63" s="506"/>
      <c r="L63" s="506"/>
      <c r="M63" s="506"/>
      <c r="N63" s="1121"/>
      <c r="R63" s="344"/>
      <c r="S63" s="729"/>
      <c r="T63" s="344"/>
      <c r="U63" s="729"/>
      <c r="V63" s="729"/>
      <c r="W63" s="344"/>
      <c r="X63" s="344"/>
      <c r="Y63" s="344"/>
      <c r="Z63" s="344"/>
      <c r="AA63" s="344"/>
      <c r="AB63" s="344"/>
      <c r="AC63" s="344"/>
      <c r="AD63" s="344"/>
      <c r="AE63" s="344"/>
      <c r="AF63" s="344"/>
      <c r="AG63" s="344"/>
      <c r="AH63" s="344"/>
      <c r="AI63" s="344"/>
      <c r="AJ63" s="344"/>
      <c r="AK63" s="344"/>
      <c r="AL63" s="344"/>
      <c r="AM63" s="344"/>
      <c r="AN63" s="344"/>
      <c r="AO63" s="344"/>
      <c r="AP63" s="344"/>
      <c r="AQ63" s="344"/>
      <c r="AR63" s="344"/>
      <c r="AS63" s="344"/>
      <c r="AT63" s="344"/>
      <c r="AU63" s="344"/>
      <c r="AV63" s="344"/>
      <c r="AW63" s="344"/>
      <c r="AX63" s="344"/>
      <c r="AY63" s="344"/>
      <c r="AZ63" s="344"/>
      <c r="BA63" s="344"/>
      <c r="BB63" s="344"/>
      <c r="BC63" s="344"/>
      <c r="BD63" s="344"/>
      <c r="BE63" s="344"/>
      <c r="BF63" s="344"/>
      <c r="BG63" s="344"/>
      <c r="BH63" s="344"/>
      <c r="BI63" s="344"/>
      <c r="BJ63" s="344"/>
    </row>
    <row r="64" spans="1:62" s="293" customFormat="1" ht="15.75">
      <c r="B64" s="313"/>
      <c r="C64" s="502"/>
      <c r="D64" s="506"/>
      <c r="E64" s="506"/>
      <c r="F64" s="506"/>
      <c r="G64" s="506"/>
      <c r="H64" s="506"/>
      <c r="I64" s="506"/>
      <c r="J64" s="502"/>
      <c r="K64" s="506"/>
      <c r="L64" s="506"/>
      <c r="M64" s="506"/>
      <c r="N64" s="1121"/>
      <c r="R64" s="344"/>
      <c r="S64" s="729"/>
      <c r="T64" s="344"/>
      <c r="U64" s="729"/>
      <c r="V64" s="729"/>
      <c r="W64" s="344"/>
      <c r="X64" s="344"/>
      <c r="Y64" s="344"/>
      <c r="Z64" s="344"/>
      <c r="AA64" s="344"/>
      <c r="AB64" s="344"/>
      <c r="AC64" s="344"/>
      <c r="AD64" s="344"/>
      <c r="AE64" s="344"/>
      <c r="AF64" s="344"/>
      <c r="AG64" s="344"/>
      <c r="AH64" s="344"/>
      <c r="AI64" s="344"/>
      <c r="AJ64" s="344"/>
      <c r="AK64" s="344"/>
      <c r="AL64" s="344"/>
      <c r="AM64" s="344"/>
      <c r="AN64" s="344"/>
      <c r="AO64" s="344"/>
      <c r="AP64" s="344"/>
      <c r="AQ64" s="344"/>
      <c r="AR64" s="344"/>
      <c r="AS64" s="344"/>
      <c r="AT64" s="344"/>
      <c r="AU64" s="344"/>
      <c r="AV64" s="344"/>
      <c r="AW64" s="344"/>
      <c r="AX64" s="344"/>
      <c r="AY64" s="344"/>
      <c r="AZ64" s="344"/>
      <c r="BA64" s="344"/>
      <c r="BB64" s="344"/>
      <c r="BC64" s="344"/>
      <c r="BD64" s="344"/>
      <c r="BE64" s="344"/>
      <c r="BF64" s="344"/>
      <c r="BG64" s="344"/>
      <c r="BH64" s="344"/>
      <c r="BI64" s="344"/>
      <c r="BJ64" s="344"/>
    </row>
    <row r="65" spans="1:62" s="293" customFormat="1" ht="15.75">
      <c r="B65" s="313"/>
      <c r="C65" s="502"/>
      <c r="D65" s="506"/>
      <c r="E65" s="506"/>
      <c r="F65" s="506"/>
      <c r="G65" s="506"/>
      <c r="H65" s="506"/>
      <c r="I65" s="506"/>
      <c r="J65" s="502"/>
      <c r="K65" s="506"/>
      <c r="L65" s="506"/>
      <c r="M65" s="506"/>
      <c r="N65" s="1121"/>
      <c r="R65" s="344"/>
      <c r="S65" s="729"/>
      <c r="T65" s="344"/>
      <c r="U65" s="729"/>
      <c r="V65" s="729"/>
      <c r="W65" s="344"/>
      <c r="X65" s="344"/>
      <c r="Y65" s="344"/>
      <c r="Z65" s="344"/>
      <c r="AA65" s="344"/>
      <c r="AB65" s="344"/>
      <c r="AC65" s="344"/>
      <c r="AD65" s="344"/>
      <c r="AE65" s="344"/>
      <c r="AF65" s="344"/>
      <c r="AG65" s="344"/>
      <c r="AH65" s="344"/>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F65" s="344"/>
      <c r="BG65" s="344"/>
      <c r="BH65" s="344"/>
      <c r="BI65" s="344"/>
      <c r="BJ65" s="344"/>
    </row>
    <row r="66" spans="1:62" s="293" customFormat="1" ht="15.75">
      <c r="B66" s="313"/>
      <c r="C66" s="502"/>
      <c r="D66" s="506"/>
      <c r="E66" s="506"/>
      <c r="F66" s="506"/>
      <c r="G66" s="506"/>
      <c r="H66" s="506"/>
      <c r="I66" s="506"/>
      <c r="J66" s="502"/>
      <c r="K66" s="506"/>
      <c r="L66" s="506"/>
      <c r="M66" s="506"/>
      <c r="N66" s="1121"/>
      <c r="R66" s="344"/>
      <c r="S66" s="729"/>
      <c r="T66" s="344"/>
      <c r="U66" s="729"/>
      <c r="V66" s="729"/>
      <c r="W66" s="344"/>
      <c r="X66" s="344"/>
      <c r="Y66" s="344"/>
      <c r="Z66" s="344"/>
      <c r="AA66" s="344"/>
      <c r="AB66" s="344"/>
      <c r="AC66" s="344"/>
      <c r="AD66" s="344"/>
      <c r="AE66" s="344"/>
      <c r="AF66" s="344"/>
      <c r="AG66" s="344"/>
      <c r="AH66" s="344"/>
      <c r="AI66" s="344"/>
      <c r="AJ66" s="344"/>
      <c r="AK66" s="344"/>
      <c r="AL66" s="344"/>
      <c r="AM66" s="344"/>
      <c r="AN66" s="344"/>
      <c r="AO66" s="344"/>
      <c r="AP66" s="344"/>
      <c r="AQ66" s="344"/>
      <c r="AR66" s="344"/>
      <c r="AS66" s="344"/>
      <c r="AT66" s="344"/>
      <c r="AU66" s="344"/>
      <c r="AV66" s="344"/>
      <c r="AW66" s="344"/>
      <c r="AX66" s="344"/>
      <c r="AY66" s="344"/>
      <c r="AZ66" s="344"/>
      <c r="BA66" s="344"/>
      <c r="BB66" s="344"/>
      <c r="BC66" s="344"/>
      <c r="BD66" s="344"/>
      <c r="BE66" s="344"/>
      <c r="BF66" s="344"/>
      <c r="BG66" s="344"/>
      <c r="BH66" s="344"/>
      <c r="BI66" s="344"/>
      <c r="BJ66" s="344"/>
    </row>
    <row r="67" spans="1:62" s="293" customFormat="1" ht="15.75">
      <c r="B67" s="313"/>
      <c r="C67" s="502"/>
      <c r="D67" s="506"/>
      <c r="E67" s="506"/>
      <c r="F67" s="506"/>
      <c r="G67" s="506"/>
      <c r="H67" s="506"/>
      <c r="I67" s="506"/>
      <c r="J67" s="502"/>
      <c r="K67" s="506"/>
      <c r="L67" s="506"/>
      <c r="M67" s="506"/>
      <c r="N67" s="1121"/>
      <c r="R67" s="344"/>
      <c r="S67" s="729"/>
      <c r="T67" s="344"/>
      <c r="U67" s="729"/>
      <c r="V67" s="729"/>
      <c r="W67" s="344"/>
      <c r="X67" s="344"/>
      <c r="Y67" s="344"/>
      <c r="Z67" s="344"/>
      <c r="AA67" s="344"/>
      <c r="AB67" s="344"/>
      <c r="AC67" s="344"/>
      <c r="AD67" s="344"/>
      <c r="AE67" s="344"/>
      <c r="AF67" s="344"/>
      <c r="AG67" s="344"/>
      <c r="AH67" s="344"/>
      <c r="AI67" s="344"/>
      <c r="AJ67" s="344"/>
      <c r="AK67" s="344"/>
      <c r="AL67" s="344"/>
      <c r="AM67" s="344"/>
      <c r="AN67" s="344"/>
      <c r="AO67" s="344"/>
      <c r="AP67" s="344"/>
      <c r="AQ67" s="344"/>
      <c r="AR67" s="344"/>
      <c r="AS67" s="344"/>
      <c r="AT67" s="344"/>
      <c r="AU67" s="344"/>
      <c r="AV67" s="344"/>
      <c r="AW67" s="344"/>
      <c r="AX67" s="344"/>
      <c r="AY67" s="344"/>
      <c r="AZ67" s="344"/>
      <c r="BA67" s="344"/>
      <c r="BB67" s="344"/>
      <c r="BC67" s="344"/>
      <c r="BD67" s="344"/>
      <c r="BE67" s="344"/>
      <c r="BF67" s="344"/>
      <c r="BG67" s="344"/>
      <c r="BH67" s="344"/>
      <c r="BI67" s="344"/>
      <c r="BJ67" s="344"/>
    </row>
    <row r="68" spans="1:62" s="293" customFormat="1" ht="15.75">
      <c r="B68" s="313"/>
      <c r="C68" s="502"/>
      <c r="D68" s="506"/>
      <c r="E68" s="506"/>
      <c r="F68" s="506"/>
      <c r="G68" s="506"/>
      <c r="H68" s="506"/>
      <c r="I68" s="506"/>
      <c r="J68" s="502"/>
      <c r="K68" s="506"/>
      <c r="L68" s="506"/>
      <c r="M68" s="506"/>
      <c r="N68" s="1121"/>
      <c r="R68" s="344"/>
      <c r="S68" s="729"/>
      <c r="T68" s="344"/>
      <c r="U68" s="729"/>
      <c r="V68" s="729"/>
      <c r="W68" s="344"/>
      <c r="X68" s="344"/>
      <c r="Y68" s="344"/>
      <c r="Z68" s="344"/>
      <c r="AA68" s="344"/>
      <c r="AB68" s="344"/>
      <c r="AC68" s="344"/>
      <c r="AD68" s="344"/>
      <c r="AE68" s="344"/>
      <c r="AF68" s="344"/>
      <c r="AG68" s="344"/>
      <c r="AH68" s="344"/>
      <c r="AI68" s="344"/>
      <c r="AJ68" s="344"/>
      <c r="AK68" s="344"/>
      <c r="AL68" s="344"/>
      <c r="AM68" s="344"/>
      <c r="AN68" s="344"/>
      <c r="AO68" s="344"/>
      <c r="AP68" s="344"/>
      <c r="AQ68" s="344"/>
      <c r="AR68" s="344"/>
      <c r="AS68" s="344"/>
      <c r="AT68" s="344"/>
      <c r="AU68" s="344"/>
      <c r="AV68" s="344"/>
      <c r="AW68" s="344"/>
      <c r="AX68" s="344"/>
      <c r="AY68" s="344"/>
      <c r="AZ68" s="344"/>
      <c r="BA68" s="344"/>
      <c r="BB68" s="344"/>
      <c r="BC68" s="344"/>
      <c r="BD68" s="344"/>
      <c r="BE68" s="344"/>
      <c r="BF68" s="344"/>
      <c r="BG68" s="344"/>
      <c r="BH68" s="344"/>
      <c r="BI68" s="344"/>
      <c r="BJ68" s="344"/>
    </row>
    <row r="69" spans="1:62" s="293" customFormat="1" ht="15.75">
      <c r="B69" s="313"/>
      <c r="C69" s="978"/>
      <c r="D69" s="1080"/>
      <c r="E69" s="1080"/>
      <c r="F69" s="1080"/>
      <c r="G69" s="1080"/>
      <c r="H69" s="1080"/>
      <c r="I69" s="1080"/>
      <c r="J69" s="978"/>
      <c r="K69" s="1080"/>
      <c r="L69" s="1080"/>
      <c r="M69" s="1080"/>
      <c r="N69" s="1121"/>
      <c r="R69" s="344"/>
      <c r="S69" s="729"/>
      <c r="T69" s="344"/>
      <c r="U69" s="729"/>
      <c r="V69" s="729"/>
      <c r="W69" s="344"/>
      <c r="X69" s="344"/>
      <c r="Y69" s="344"/>
      <c r="Z69" s="344"/>
      <c r="AA69" s="344"/>
      <c r="AB69" s="344"/>
      <c r="AC69" s="344"/>
      <c r="AD69" s="344"/>
      <c r="AE69" s="344"/>
      <c r="AF69" s="344"/>
      <c r="AG69" s="344"/>
      <c r="AH69" s="344"/>
      <c r="AI69" s="344"/>
      <c r="AJ69" s="344"/>
      <c r="AK69" s="344"/>
      <c r="AL69" s="344"/>
      <c r="AM69" s="344"/>
      <c r="AN69" s="344"/>
      <c r="AO69" s="344"/>
      <c r="AP69" s="344"/>
      <c r="AQ69" s="344"/>
      <c r="AR69" s="344"/>
      <c r="AS69" s="344"/>
      <c r="AT69" s="344"/>
      <c r="AU69" s="344"/>
      <c r="AV69" s="344"/>
      <c r="AW69" s="344"/>
      <c r="AX69" s="344"/>
      <c r="AY69" s="344"/>
      <c r="AZ69" s="344"/>
      <c r="BA69" s="344"/>
      <c r="BB69" s="344"/>
      <c r="BC69" s="344"/>
      <c r="BD69" s="344"/>
      <c r="BE69" s="344"/>
      <c r="BF69" s="344"/>
      <c r="BG69" s="344"/>
      <c r="BH69" s="344"/>
      <c r="BI69" s="344"/>
      <c r="BJ69" s="344"/>
    </row>
    <row r="70" spans="1:62" s="293" customFormat="1" ht="15.75">
      <c r="B70" s="313"/>
      <c r="C70" s="1081"/>
      <c r="D70" s="981"/>
      <c r="E70" s="981"/>
      <c r="F70" s="1081"/>
      <c r="G70" s="981"/>
      <c r="H70" s="981"/>
      <c r="I70" s="1081"/>
      <c r="J70" s="981"/>
      <c r="K70" s="981"/>
      <c r="L70" s="1081"/>
      <c r="M70" s="978"/>
      <c r="N70" s="1122"/>
      <c r="R70" s="344"/>
      <c r="S70" s="729"/>
      <c r="T70" s="344"/>
      <c r="U70" s="729"/>
      <c r="V70" s="729"/>
      <c r="W70" s="344"/>
      <c r="X70" s="344"/>
      <c r="Y70" s="344"/>
      <c r="Z70" s="344"/>
      <c r="AA70" s="344"/>
      <c r="AB70" s="344"/>
      <c r="AC70" s="344"/>
      <c r="AD70" s="344"/>
      <c r="AE70" s="344"/>
      <c r="AF70" s="344"/>
      <c r="AG70" s="344"/>
      <c r="AH70" s="344"/>
      <c r="AI70" s="344"/>
      <c r="AJ70" s="344"/>
      <c r="AK70" s="344"/>
      <c r="AL70" s="344"/>
      <c r="AM70" s="344"/>
      <c r="AN70" s="344"/>
      <c r="AO70" s="344"/>
      <c r="AP70" s="344"/>
      <c r="AQ70" s="344"/>
      <c r="AR70" s="344"/>
      <c r="AS70" s="344"/>
      <c r="AT70" s="344"/>
      <c r="AU70" s="344"/>
      <c r="AV70" s="344"/>
      <c r="AW70" s="344"/>
      <c r="AX70" s="344"/>
      <c r="AY70" s="344"/>
      <c r="AZ70" s="344"/>
      <c r="BA70" s="344"/>
      <c r="BB70" s="344"/>
      <c r="BC70" s="344"/>
      <c r="BD70" s="344"/>
      <c r="BE70" s="344"/>
      <c r="BF70" s="344"/>
      <c r="BG70" s="344"/>
      <c r="BH70" s="344"/>
      <c r="BI70" s="344"/>
      <c r="BJ70" s="344"/>
    </row>
    <row r="71" spans="1:62" s="293" customFormat="1" ht="15.75">
      <c r="B71" s="313"/>
      <c r="C71" s="1082"/>
      <c r="D71" s="509"/>
      <c r="E71" s="509"/>
      <c r="F71" s="1082"/>
      <c r="G71" s="502"/>
      <c r="H71" s="509"/>
      <c r="I71" s="1082"/>
      <c r="J71" s="505"/>
      <c r="K71" s="509"/>
      <c r="L71" s="1082"/>
      <c r="M71" s="509"/>
      <c r="N71" s="1123"/>
      <c r="R71" s="344"/>
      <c r="S71" s="729"/>
      <c r="T71" s="344"/>
      <c r="U71" s="729"/>
      <c r="V71" s="729"/>
      <c r="W71" s="344"/>
      <c r="X71" s="344"/>
      <c r="Y71" s="344"/>
      <c r="Z71" s="344"/>
      <c r="AA71" s="344"/>
      <c r="AB71" s="344"/>
      <c r="AC71" s="344"/>
      <c r="AD71" s="344"/>
      <c r="AE71" s="344"/>
      <c r="AF71" s="344"/>
      <c r="AG71" s="344"/>
      <c r="AH71" s="344"/>
      <c r="AI71" s="344"/>
      <c r="AJ71" s="344"/>
      <c r="AK71" s="344"/>
      <c r="AL71" s="344"/>
      <c r="AM71" s="344"/>
      <c r="AN71" s="344"/>
      <c r="AO71" s="344"/>
      <c r="AP71" s="344"/>
      <c r="AQ71" s="344"/>
      <c r="AR71" s="344"/>
      <c r="AS71" s="344"/>
      <c r="AT71" s="344"/>
      <c r="AU71" s="344"/>
      <c r="AV71" s="344"/>
      <c r="AW71" s="344"/>
      <c r="AX71" s="344"/>
      <c r="AY71" s="344"/>
      <c r="AZ71" s="344"/>
      <c r="BA71" s="344"/>
      <c r="BB71" s="344"/>
      <c r="BC71" s="344"/>
      <c r="BD71" s="344"/>
      <c r="BE71" s="344"/>
      <c r="BF71" s="344"/>
      <c r="BG71" s="344"/>
      <c r="BH71" s="344"/>
      <c r="BI71" s="344"/>
      <c r="BJ71" s="344"/>
    </row>
    <row r="72" spans="1:62" s="293" customFormat="1" ht="15.75">
      <c r="B72" s="311"/>
      <c r="C72" s="1081"/>
      <c r="D72" s="981"/>
      <c r="E72" s="981"/>
      <c r="F72" s="1081"/>
      <c r="G72" s="981"/>
      <c r="H72" s="981"/>
      <c r="I72" s="1081"/>
      <c r="J72" s="981"/>
      <c r="K72" s="981"/>
      <c r="L72" s="981"/>
      <c r="M72" s="981"/>
      <c r="N72" s="1119"/>
      <c r="O72" s="283"/>
      <c r="P72" s="283"/>
      <c r="Q72" s="283"/>
      <c r="R72" s="344"/>
      <c r="S72" s="729"/>
      <c r="T72" s="344"/>
      <c r="U72" s="729"/>
      <c r="V72" s="729"/>
      <c r="W72" s="344"/>
      <c r="X72" s="344"/>
      <c r="Y72" s="344"/>
      <c r="Z72" s="344"/>
      <c r="AA72" s="344"/>
      <c r="AB72" s="344"/>
      <c r="AC72" s="344"/>
      <c r="AD72" s="344"/>
      <c r="AE72" s="344"/>
      <c r="AF72" s="344"/>
      <c r="AG72" s="344"/>
      <c r="AH72" s="344"/>
      <c r="AI72" s="344"/>
      <c r="AJ72" s="344"/>
      <c r="AK72" s="344"/>
      <c r="AL72" s="344"/>
      <c r="AM72" s="344"/>
      <c r="AN72" s="344"/>
      <c r="AO72" s="344"/>
      <c r="AP72" s="344"/>
      <c r="AQ72" s="344"/>
      <c r="AR72" s="344"/>
      <c r="AS72" s="344"/>
      <c r="AT72" s="344"/>
      <c r="AU72" s="344"/>
      <c r="AV72" s="344"/>
      <c r="AW72" s="344"/>
      <c r="AX72" s="344"/>
      <c r="AY72" s="344"/>
      <c r="AZ72" s="344"/>
      <c r="BA72" s="344"/>
      <c r="BB72" s="344"/>
      <c r="BC72" s="344"/>
      <c r="BD72" s="344"/>
      <c r="BE72" s="344"/>
      <c r="BF72" s="344"/>
      <c r="BG72" s="344"/>
      <c r="BH72" s="344"/>
      <c r="BI72" s="344"/>
      <c r="BJ72" s="344"/>
    </row>
    <row r="73" spans="1:62" ht="15.75">
      <c r="B73" s="298"/>
      <c r="C73" s="504"/>
      <c r="D73" s="504"/>
      <c r="E73" s="504"/>
      <c r="F73" s="504"/>
      <c r="G73" s="504"/>
      <c r="H73" s="504"/>
      <c r="I73" s="1081"/>
      <c r="J73" s="504"/>
      <c r="K73" s="504"/>
      <c r="L73" s="505"/>
      <c r="M73" s="504"/>
      <c r="N73" s="1119"/>
    </row>
    <row r="74" spans="1:62" s="293" customFormat="1" ht="15.75">
      <c r="A74" s="621"/>
      <c r="B74" s="316"/>
      <c r="C74" s="514"/>
      <c r="D74" s="514"/>
      <c r="E74" s="514"/>
      <c r="F74" s="514"/>
      <c r="G74" s="522"/>
      <c r="H74" s="518"/>
      <c r="I74" s="515"/>
      <c r="J74" s="518"/>
      <c r="K74" s="518"/>
      <c r="L74" s="514"/>
      <c r="M74" s="514"/>
      <c r="N74" s="527"/>
      <c r="R74" s="344"/>
      <c r="S74" s="729"/>
      <c r="T74" s="344"/>
      <c r="U74" s="729"/>
      <c r="V74" s="729"/>
      <c r="W74" s="344"/>
      <c r="X74" s="344"/>
      <c r="Y74" s="344"/>
      <c r="Z74" s="344"/>
      <c r="AA74" s="344"/>
      <c r="AB74" s="344"/>
      <c r="AC74" s="344"/>
      <c r="AD74" s="344"/>
      <c r="AE74" s="344"/>
      <c r="AF74" s="344"/>
      <c r="AG74" s="344"/>
      <c r="AH74" s="344"/>
      <c r="AI74" s="344"/>
      <c r="AJ74" s="344"/>
      <c r="AK74" s="344"/>
      <c r="AL74" s="344"/>
      <c r="AM74" s="344"/>
      <c r="AN74" s="344"/>
      <c r="AO74" s="344"/>
      <c r="AP74" s="344"/>
      <c r="AQ74" s="344"/>
      <c r="AR74" s="344"/>
      <c r="AS74" s="344"/>
      <c r="AT74" s="344"/>
      <c r="AU74" s="344"/>
      <c r="AV74" s="344"/>
      <c r="AW74" s="344"/>
      <c r="AX74" s="344"/>
      <c r="AY74" s="344"/>
      <c r="AZ74" s="344"/>
      <c r="BA74" s="344"/>
      <c r="BB74" s="344"/>
      <c r="BC74" s="344"/>
      <c r="BD74" s="344"/>
      <c r="BE74" s="344"/>
      <c r="BF74" s="344"/>
      <c r="BG74" s="344"/>
      <c r="BH74" s="344"/>
      <c r="BI74" s="344"/>
      <c r="BJ74" s="344"/>
    </row>
    <row r="75" spans="1:62" ht="15.75">
      <c r="B75" s="299"/>
      <c r="C75" s="498"/>
      <c r="D75" s="504"/>
      <c r="E75" s="504"/>
      <c r="F75" s="504"/>
      <c r="G75" s="504"/>
      <c r="H75" s="504"/>
      <c r="I75" s="504"/>
      <c r="J75" s="504"/>
      <c r="K75" s="504"/>
      <c r="L75" s="505"/>
      <c r="M75" s="504"/>
      <c r="N75" s="1119"/>
    </row>
    <row r="76" spans="1:62" ht="15.75">
      <c r="B76" s="298"/>
      <c r="C76" s="504"/>
      <c r="D76" s="504"/>
      <c r="E76" s="504"/>
      <c r="F76" s="504"/>
      <c r="G76" s="504"/>
      <c r="H76" s="504"/>
      <c r="I76" s="504"/>
      <c r="J76" s="504"/>
      <c r="K76" s="504"/>
      <c r="L76" s="505"/>
      <c r="M76" s="504"/>
      <c r="N76" s="1119"/>
    </row>
    <row r="77" spans="1:62" ht="15.75">
      <c r="B77" s="298"/>
      <c r="C77" s="504"/>
      <c r="D77" s="504"/>
      <c r="E77" s="504"/>
      <c r="F77" s="504"/>
      <c r="G77" s="504"/>
      <c r="H77" s="504"/>
      <c r="I77" s="504"/>
      <c r="J77" s="504"/>
      <c r="K77" s="504"/>
      <c r="L77" s="505"/>
      <c r="M77" s="504"/>
      <c r="N77" s="1119"/>
    </row>
    <row r="78" spans="1:62" ht="15.75">
      <c r="B78" s="298"/>
      <c r="C78" s="504"/>
      <c r="D78" s="504"/>
      <c r="E78" s="504"/>
      <c r="F78" s="504"/>
      <c r="G78" s="504"/>
      <c r="H78" s="504"/>
      <c r="I78" s="504"/>
      <c r="J78" s="504"/>
      <c r="K78" s="504"/>
      <c r="L78" s="505"/>
      <c r="M78" s="504"/>
      <c r="N78" s="1119"/>
    </row>
    <row r="79" spans="1:62" ht="15.75">
      <c r="B79" s="298"/>
      <c r="C79" s="504"/>
      <c r="D79" s="504"/>
      <c r="E79" s="504"/>
      <c r="F79" s="504"/>
      <c r="G79" s="504"/>
      <c r="H79" s="504"/>
      <c r="I79" s="504"/>
      <c r="J79" s="504"/>
      <c r="K79" s="504"/>
      <c r="L79" s="505"/>
      <c r="M79" s="504"/>
      <c r="N79" s="1119"/>
    </row>
    <row r="80" spans="1:62" ht="15.75">
      <c r="B80" s="298"/>
      <c r="C80" s="504"/>
      <c r="D80" s="504"/>
      <c r="E80" s="504"/>
      <c r="F80" s="504"/>
      <c r="G80" s="504"/>
      <c r="H80" s="504"/>
      <c r="I80" s="504"/>
      <c r="J80" s="504"/>
      <c r="K80" s="504"/>
      <c r="L80" s="505"/>
      <c r="M80" s="504"/>
      <c r="N80" s="1119"/>
    </row>
    <row r="81" spans="2:14" ht="15.75">
      <c r="B81" s="298"/>
      <c r="C81" s="504"/>
      <c r="D81" s="504"/>
      <c r="E81" s="504"/>
      <c r="F81" s="504"/>
      <c r="G81" s="504"/>
      <c r="H81" s="504"/>
      <c r="I81" s="504"/>
      <c r="J81" s="504"/>
      <c r="K81" s="504"/>
      <c r="L81" s="505"/>
      <c r="M81" s="504"/>
      <c r="N81" s="1119"/>
    </row>
    <row r="82" spans="2:14" ht="15.75">
      <c r="B82" s="298"/>
      <c r="C82" s="504"/>
      <c r="D82" s="504"/>
      <c r="E82" s="504"/>
      <c r="F82" s="504"/>
      <c r="G82" s="504"/>
      <c r="H82" s="504"/>
      <c r="I82" s="504"/>
      <c r="J82" s="504"/>
      <c r="K82" s="504"/>
      <c r="L82" s="505"/>
      <c r="M82" s="504"/>
      <c r="N82" s="1119"/>
    </row>
    <row r="83" spans="2:14" ht="15.75">
      <c r="B83" s="298"/>
      <c r="C83" s="504"/>
      <c r="D83" s="504"/>
      <c r="E83" s="504"/>
      <c r="F83" s="504"/>
      <c r="G83" s="504"/>
      <c r="H83" s="504"/>
      <c r="I83" s="504"/>
      <c r="J83" s="504"/>
      <c r="K83" s="504"/>
      <c r="L83" s="505"/>
      <c r="M83" s="504"/>
      <c r="N83" s="1119"/>
    </row>
    <row r="84" spans="2:14" ht="15.75">
      <c r="B84" s="298"/>
      <c r="C84" s="504"/>
      <c r="D84" s="504"/>
      <c r="E84" s="504"/>
      <c r="F84" s="504"/>
      <c r="G84" s="504"/>
      <c r="H84" s="504"/>
      <c r="I84" s="504"/>
      <c r="J84" s="504"/>
      <c r="K84" s="504"/>
      <c r="L84" s="505"/>
      <c r="M84" s="504"/>
      <c r="N84" s="1119"/>
    </row>
    <row r="85" spans="2:14" ht="15.75">
      <c r="B85" s="298"/>
      <c r="C85" s="504"/>
      <c r="D85" s="504"/>
      <c r="E85" s="504"/>
      <c r="F85" s="504"/>
      <c r="G85" s="504"/>
      <c r="H85" s="504"/>
      <c r="I85" s="504"/>
      <c r="J85" s="504"/>
      <c r="K85" s="504"/>
      <c r="L85" s="505"/>
      <c r="M85" s="504"/>
      <c r="N85" s="1119"/>
    </row>
    <row r="86" spans="2:14" ht="15.75">
      <c r="B86" s="298"/>
      <c r="C86" s="504"/>
      <c r="D86" s="504"/>
      <c r="E86" s="504"/>
      <c r="F86" s="504"/>
      <c r="G86" s="504"/>
      <c r="H86" s="504"/>
      <c r="I86" s="504"/>
      <c r="J86" s="504"/>
      <c r="K86" s="504"/>
      <c r="L86" s="505"/>
      <c r="M86" s="504"/>
      <c r="N86" s="1119"/>
    </row>
    <row r="87" spans="2:14" ht="15.75">
      <c r="B87" s="298"/>
      <c r="C87" s="504"/>
      <c r="D87" s="504"/>
      <c r="E87" s="504"/>
      <c r="F87" s="504"/>
      <c r="G87" s="504"/>
      <c r="H87" s="504"/>
      <c r="I87" s="504"/>
      <c r="J87" s="504"/>
      <c r="K87" s="504"/>
      <c r="L87" s="505"/>
      <c r="M87" s="504"/>
      <c r="N87" s="1119"/>
    </row>
    <row r="88" spans="2:14" ht="15.75">
      <c r="B88" s="298"/>
      <c r="C88" s="504"/>
      <c r="D88" s="504"/>
      <c r="E88" s="504"/>
      <c r="F88" s="504"/>
      <c r="G88" s="504"/>
      <c r="H88" s="504"/>
      <c r="I88" s="504"/>
      <c r="J88" s="504"/>
      <c r="K88" s="504"/>
      <c r="L88" s="505"/>
      <c r="M88" s="504"/>
      <c r="N88" s="1119"/>
    </row>
    <row r="89" spans="2:14" ht="15.75">
      <c r="B89" s="298"/>
      <c r="C89" s="504"/>
      <c r="D89" s="504"/>
      <c r="E89" s="504"/>
      <c r="F89" s="504"/>
      <c r="G89" s="504"/>
      <c r="H89" s="504"/>
      <c r="I89" s="504"/>
      <c r="J89" s="504"/>
      <c r="K89" s="504"/>
      <c r="L89" s="505"/>
      <c r="M89" s="504"/>
      <c r="N89" s="1119"/>
    </row>
    <row r="90" spans="2:14" ht="15.75">
      <c r="B90" s="298"/>
      <c r="C90" s="504"/>
      <c r="D90" s="504"/>
      <c r="E90" s="504"/>
      <c r="F90" s="504"/>
      <c r="G90" s="504"/>
      <c r="H90" s="504"/>
      <c r="I90" s="504"/>
      <c r="J90" s="504"/>
      <c r="K90" s="504"/>
      <c r="L90" s="505"/>
      <c r="M90" s="504"/>
      <c r="N90" s="1119"/>
    </row>
    <row r="91" spans="2:14" ht="15.75">
      <c r="B91" s="298"/>
      <c r="C91" s="504"/>
      <c r="D91" s="504"/>
      <c r="E91" s="504"/>
      <c r="F91" s="504"/>
      <c r="G91" s="504"/>
      <c r="H91" s="504"/>
      <c r="I91" s="504"/>
      <c r="J91" s="504"/>
      <c r="K91" s="504"/>
      <c r="L91" s="505"/>
      <c r="M91" s="504"/>
      <c r="N91" s="1119"/>
    </row>
    <row r="92" spans="2:14" ht="15.75">
      <c r="B92" s="298"/>
      <c r="C92" s="504"/>
      <c r="D92" s="504"/>
      <c r="E92" s="504"/>
      <c r="F92" s="504"/>
      <c r="G92" s="504"/>
      <c r="H92" s="504"/>
      <c r="I92" s="504"/>
      <c r="J92" s="504"/>
      <c r="K92" s="504"/>
      <c r="L92" s="505"/>
      <c r="M92" s="504"/>
      <c r="N92" s="1119"/>
    </row>
    <row r="93" spans="2:14" ht="15.75">
      <c r="B93" s="298"/>
      <c r="C93" s="504"/>
      <c r="D93" s="504"/>
      <c r="E93" s="504"/>
      <c r="F93" s="504"/>
      <c r="G93" s="504"/>
      <c r="H93" s="504"/>
      <c r="I93" s="504"/>
      <c r="J93" s="504"/>
      <c r="K93" s="504"/>
      <c r="L93" s="505"/>
      <c r="M93" s="504"/>
      <c r="N93" s="1119"/>
    </row>
    <row r="94" spans="2:14" ht="15.75">
      <c r="B94" s="298"/>
      <c r="C94" s="504"/>
      <c r="D94" s="504"/>
      <c r="E94" s="504"/>
      <c r="F94" s="504"/>
      <c r="G94" s="504"/>
      <c r="H94" s="504"/>
      <c r="I94" s="504"/>
      <c r="J94" s="504"/>
      <c r="K94" s="504"/>
      <c r="L94" s="505"/>
      <c r="M94" s="504"/>
      <c r="N94" s="1119"/>
    </row>
    <row r="95" spans="2:14" ht="15.75">
      <c r="B95" s="298"/>
      <c r="C95" s="504"/>
      <c r="D95" s="504"/>
      <c r="E95" s="504"/>
      <c r="F95" s="504"/>
      <c r="G95" s="504"/>
      <c r="H95" s="504"/>
      <c r="I95" s="504"/>
      <c r="J95" s="504"/>
      <c r="K95" s="504"/>
      <c r="L95" s="505"/>
      <c r="M95" s="504"/>
      <c r="N95" s="1119"/>
    </row>
    <row r="96" spans="2:14" ht="15.75">
      <c r="B96" s="298"/>
      <c r="C96" s="504"/>
      <c r="D96" s="504"/>
      <c r="E96" s="504"/>
      <c r="F96" s="504"/>
      <c r="G96" s="504"/>
      <c r="H96" s="504"/>
      <c r="I96" s="504"/>
      <c r="J96" s="504"/>
      <c r="K96" s="504"/>
      <c r="L96" s="505"/>
      <c r="M96" s="504"/>
      <c r="N96" s="1119"/>
    </row>
    <row r="97" spans="2:14" ht="15.75">
      <c r="B97" s="298"/>
      <c r="C97" s="504"/>
      <c r="D97" s="504"/>
      <c r="E97" s="504"/>
      <c r="F97" s="504"/>
      <c r="G97" s="504"/>
      <c r="H97" s="504"/>
      <c r="I97" s="504"/>
      <c r="J97" s="504"/>
      <c r="K97" s="504"/>
      <c r="L97" s="505"/>
      <c r="M97" s="504"/>
      <c r="N97" s="1119"/>
    </row>
    <row r="98" spans="2:14" ht="15.75">
      <c r="B98" s="298"/>
      <c r="C98" s="504"/>
      <c r="D98" s="504"/>
      <c r="E98" s="504"/>
      <c r="F98" s="504"/>
      <c r="G98" s="504"/>
      <c r="H98" s="504"/>
      <c r="I98" s="504"/>
      <c r="J98" s="504"/>
      <c r="K98" s="504"/>
      <c r="L98" s="505"/>
      <c r="M98" s="504"/>
      <c r="N98" s="1119"/>
    </row>
    <row r="99" spans="2:14" ht="15.75">
      <c r="B99" s="298"/>
      <c r="C99" s="504"/>
      <c r="D99" s="504"/>
      <c r="E99" s="504"/>
      <c r="F99" s="504"/>
      <c r="G99" s="504"/>
      <c r="H99" s="504"/>
      <c r="I99" s="504"/>
      <c r="J99" s="504"/>
      <c r="K99" s="504"/>
      <c r="L99" s="505"/>
      <c r="M99" s="504"/>
      <c r="N99" s="1119"/>
    </row>
    <row r="100" spans="2:14" ht="15.75">
      <c r="B100" s="298"/>
      <c r="C100" s="504"/>
      <c r="D100" s="504"/>
      <c r="E100" s="504"/>
      <c r="F100" s="504"/>
      <c r="G100" s="504"/>
      <c r="H100" s="504"/>
      <c r="I100" s="504"/>
      <c r="J100" s="504"/>
      <c r="K100" s="504"/>
      <c r="L100" s="505"/>
      <c r="M100" s="504"/>
      <c r="N100" s="1119"/>
    </row>
    <row r="101" spans="2:14" ht="15.75">
      <c r="B101" s="298"/>
      <c r="C101" s="504"/>
      <c r="D101" s="504"/>
      <c r="E101" s="504"/>
      <c r="F101" s="504"/>
      <c r="G101" s="504"/>
      <c r="H101" s="504"/>
      <c r="I101" s="504"/>
      <c r="J101" s="504"/>
      <c r="K101" s="504"/>
      <c r="L101" s="505"/>
      <c r="M101" s="504"/>
      <c r="N101" s="1119"/>
    </row>
    <row r="102" spans="2:14" ht="15.75">
      <c r="B102" s="298"/>
      <c r="C102" s="504"/>
      <c r="D102" s="504"/>
      <c r="E102" s="504"/>
      <c r="F102" s="504"/>
      <c r="G102" s="504"/>
      <c r="H102" s="504"/>
      <c r="I102" s="504"/>
      <c r="J102" s="504"/>
      <c r="K102" s="504"/>
      <c r="L102" s="505"/>
      <c r="M102" s="504"/>
      <c r="N102" s="1119"/>
    </row>
    <row r="103" spans="2:14" ht="15.75">
      <c r="B103" s="298"/>
      <c r="C103" s="504"/>
      <c r="D103" s="504"/>
      <c r="E103" s="504"/>
      <c r="F103" s="504"/>
      <c r="G103" s="504"/>
      <c r="H103" s="504"/>
      <c r="I103" s="504"/>
      <c r="J103" s="504"/>
      <c r="K103" s="504"/>
      <c r="L103" s="505"/>
      <c r="M103" s="504"/>
      <c r="N103" s="1119"/>
    </row>
    <row r="104" spans="2:14" ht="15.75">
      <c r="B104" s="298"/>
      <c r="C104" s="504"/>
      <c r="D104" s="504"/>
      <c r="E104" s="504"/>
      <c r="F104" s="504"/>
      <c r="G104" s="504"/>
      <c r="H104" s="504"/>
      <c r="I104" s="504"/>
      <c r="J104" s="504"/>
      <c r="K104" s="504"/>
      <c r="L104" s="505"/>
      <c r="M104" s="504"/>
      <c r="N104" s="1119"/>
    </row>
    <row r="105" spans="2:14" ht="15.75">
      <c r="B105" s="298"/>
      <c r="C105" s="504"/>
      <c r="D105" s="504"/>
      <c r="E105" s="504"/>
      <c r="F105" s="504"/>
      <c r="G105" s="504"/>
      <c r="H105" s="504"/>
      <c r="I105" s="504"/>
      <c r="J105" s="504"/>
      <c r="K105" s="504"/>
      <c r="L105" s="505"/>
      <c r="M105" s="504"/>
      <c r="N105" s="1119"/>
    </row>
    <row r="106" spans="2:14" ht="15.75">
      <c r="B106" s="298"/>
      <c r="C106" s="504"/>
      <c r="D106" s="504"/>
      <c r="E106" s="504"/>
      <c r="F106" s="504"/>
      <c r="G106" s="504"/>
      <c r="H106" s="504"/>
      <c r="I106" s="504"/>
      <c r="J106" s="504"/>
      <c r="K106" s="504"/>
      <c r="L106" s="505"/>
      <c r="M106" s="504"/>
      <c r="N106" s="1119"/>
    </row>
    <row r="107" spans="2:14" ht="15.75">
      <c r="B107" s="298"/>
      <c r="C107" s="504"/>
      <c r="D107" s="504"/>
      <c r="E107" s="504"/>
      <c r="F107" s="504"/>
      <c r="G107" s="504"/>
      <c r="H107" s="504"/>
      <c r="I107" s="504"/>
      <c r="J107" s="504"/>
      <c r="K107" s="504"/>
      <c r="L107" s="505"/>
      <c r="M107" s="504"/>
      <c r="N107" s="1119"/>
    </row>
    <row r="108" spans="2:14" ht="15.75">
      <c r="B108" s="298"/>
      <c r="C108" s="504"/>
      <c r="D108" s="504"/>
      <c r="E108" s="504"/>
      <c r="F108" s="504"/>
      <c r="G108" s="504"/>
      <c r="H108" s="504"/>
      <c r="I108" s="504"/>
      <c r="J108" s="504"/>
      <c r="K108" s="504"/>
      <c r="L108" s="505"/>
      <c r="M108" s="504"/>
      <c r="N108" s="1119"/>
    </row>
    <row r="109" spans="2:14" ht="15.75">
      <c r="B109" s="298"/>
      <c r="C109" s="504"/>
      <c r="D109" s="504"/>
      <c r="E109" s="504"/>
      <c r="F109" s="504"/>
      <c r="G109" s="504"/>
      <c r="H109" s="504"/>
      <c r="I109" s="504"/>
      <c r="J109" s="504"/>
      <c r="K109" s="504"/>
      <c r="L109" s="505"/>
      <c r="M109" s="504"/>
      <c r="N109" s="1119"/>
    </row>
    <row r="110" spans="2:14" ht="15.75">
      <c r="B110" s="298"/>
      <c r="C110" s="504"/>
      <c r="D110" s="504"/>
      <c r="E110" s="504"/>
      <c r="F110" s="504"/>
      <c r="G110" s="504"/>
      <c r="H110" s="504"/>
      <c r="I110" s="504"/>
      <c r="J110" s="504"/>
      <c r="K110" s="504"/>
      <c r="L110" s="505"/>
      <c r="M110" s="504"/>
      <c r="N110" s="1119"/>
    </row>
    <row r="111" spans="2:14" ht="15.75">
      <c r="B111" s="298"/>
      <c r="C111" s="504"/>
      <c r="D111" s="504"/>
      <c r="E111" s="504"/>
      <c r="F111" s="504"/>
      <c r="G111" s="504"/>
      <c r="H111" s="504"/>
      <c r="I111" s="504"/>
      <c r="J111" s="504"/>
      <c r="K111" s="504"/>
      <c r="L111" s="505"/>
      <c r="M111" s="504"/>
      <c r="N111" s="1119"/>
    </row>
    <row r="112" spans="2:14" ht="15.75">
      <c r="B112" s="298"/>
      <c r="C112" s="504"/>
      <c r="D112" s="504"/>
      <c r="E112" s="504"/>
      <c r="F112" s="504"/>
      <c r="G112" s="504"/>
      <c r="H112" s="504"/>
      <c r="I112" s="504"/>
      <c r="J112" s="504"/>
      <c r="K112" s="504"/>
      <c r="L112" s="505"/>
      <c r="M112" s="504"/>
      <c r="N112" s="1119"/>
    </row>
    <row r="113" spans="2:14" ht="15.75">
      <c r="B113" s="298"/>
      <c r="C113" s="504"/>
      <c r="D113" s="504"/>
      <c r="E113" s="504"/>
      <c r="F113" s="504"/>
      <c r="G113" s="504"/>
      <c r="H113" s="504"/>
      <c r="I113" s="504"/>
      <c r="J113" s="504"/>
      <c r="K113" s="504"/>
      <c r="L113" s="505"/>
      <c r="M113" s="504"/>
      <c r="N113" s="1119"/>
    </row>
    <row r="114" spans="2:14" ht="15.75">
      <c r="B114" s="298"/>
      <c r="C114" s="504"/>
      <c r="D114" s="504"/>
      <c r="E114" s="504"/>
      <c r="F114" s="504"/>
      <c r="G114" s="504"/>
      <c r="H114" s="504"/>
      <c r="I114" s="504"/>
      <c r="J114" s="504"/>
      <c r="K114" s="504"/>
      <c r="L114" s="505"/>
      <c r="M114" s="504"/>
      <c r="N114" s="1119"/>
    </row>
    <row r="115" spans="2:14" ht="15.75">
      <c r="B115" s="298"/>
      <c r="C115" s="504"/>
      <c r="D115" s="504"/>
      <c r="E115" s="504"/>
      <c r="F115" s="504"/>
      <c r="G115" s="504"/>
      <c r="H115" s="504"/>
      <c r="I115" s="504"/>
      <c r="J115" s="504"/>
      <c r="K115" s="504"/>
      <c r="L115" s="505"/>
      <c r="M115" s="504"/>
      <c r="N115" s="1119"/>
    </row>
    <row r="116" spans="2:14" ht="15.75">
      <c r="B116" s="298"/>
      <c r="C116" s="504"/>
      <c r="D116" s="504"/>
      <c r="E116" s="504"/>
      <c r="F116" s="504"/>
      <c r="G116" s="504"/>
      <c r="H116" s="504"/>
      <c r="I116" s="504"/>
      <c r="J116" s="504"/>
      <c r="K116" s="504"/>
      <c r="L116" s="505"/>
      <c r="M116" s="504"/>
      <c r="N116" s="1119"/>
    </row>
    <row r="117" spans="2:14" ht="15.75">
      <c r="B117" s="298"/>
      <c r="C117" s="504"/>
      <c r="D117" s="504"/>
      <c r="E117" s="504"/>
      <c r="F117" s="504"/>
      <c r="G117" s="504"/>
      <c r="H117" s="504"/>
      <c r="I117" s="504"/>
      <c r="J117" s="504"/>
      <c r="K117" s="504"/>
      <c r="L117" s="505"/>
      <c r="M117" s="504"/>
      <c r="N117" s="1119"/>
    </row>
    <row r="118" spans="2:14" ht="15.75">
      <c r="B118" s="298"/>
      <c r="C118" s="504"/>
      <c r="D118" s="504"/>
      <c r="E118" s="504"/>
      <c r="F118" s="504"/>
      <c r="G118" s="504"/>
      <c r="H118" s="504"/>
      <c r="I118" s="504"/>
      <c r="J118" s="504"/>
      <c r="K118" s="504"/>
      <c r="L118" s="505"/>
      <c r="M118" s="504"/>
      <c r="N118" s="1119"/>
    </row>
    <row r="119" spans="2:14" ht="15.75">
      <c r="B119" s="298"/>
      <c r="C119" s="504"/>
      <c r="D119" s="504"/>
      <c r="E119" s="504"/>
      <c r="F119" s="504"/>
      <c r="G119" s="504"/>
      <c r="H119" s="504"/>
      <c r="I119" s="504"/>
      <c r="J119" s="504"/>
      <c r="K119" s="504"/>
      <c r="L119" s="505"/>
      <c r="M119" s="504"/>
      <c r="N119" s="1119"/>
    </row>
    <row r="120" spans="2:14" ht="15.75">
      <c r="B120" s="298"/>
      <c r="C120" s="504"/>
      <c r="D120" s="504"/>
      <c r="E120" s="504"/>
      <c r="F120" s="504"/>
      <c r="G120" s="504"/>
      <c r="H120" s="504"/>
      <c r="I120" s="504"/>
      <c r="J120" s="504"/>
      <c r="K120" s="504"/>
      <c r="L120" s="505"/>
      <c r="M120" s="504"/>
      <c r="N120" s="1119"/>
    </row>
    <row r="121" spans="2:14" ht="15.75">
      <c r="B121" s="298"/>
      <c r="C121" s="504"/>
      <c r="D121" s="504"/>
      <c r="E121" s="504"/>
      <c r="F121" s="504"/>
      <c r="G121" s="504"/>
      <c r="H121" s="504"/>
      <c r="I121" s="504"/>
      <c r="J121" s="504"/>
      <c r="K121" s="504"/>
      <c r="L121" s="505"/>
      <c r="M121" s="504"/>
      <c r="N121" s="1119"/>
    </row>
    <row r="122" spans="2:14" ht="15.75">
      <c r="B122" s="298"/>
      <c r="C122" s="504"/>
      <c r="D122" s="504"/>
      <c r="E122" s="504"/>
      <c r="F122" s="504"/>
      <c r="G122" s="504"/>
      <c r="H122" s="504"/>
      <c r="I122" s="504"/>
      <c r="J122" s="504"/>
      <c r="K122" s="504"/>
      <c r="L122" s="505"/>
      <c r="M122" s="504"/>
      <c r="N122" s="1119"/>
    </row>
    <row r="123" spans="2:14" ht="15.75">
      <c r="B123" s="298"/>
      <c r="C123" s="504"/>
      <c r="D123" s="504"/>
      <c r="E123" s="504"/>
      <c r="F123" s="504"/>
      <c r="G123" s="504"/>
      <c r="H123" s="504"/>
      <c r="I123" s="504"/>
      <c r="J123" s="504"/>
      <c r="K123" s="504"/>
      <c r="L123" s="505"/>
      <c r="M123" s="504"/>
      <c r="N123" s="1119"/>
    </row>
    <row r="124" spans="2:14" ht="15.75">
      <c r="B124" s="298"/>
      <c r="C124" s="504"/>
      <c r="D124" s="504"/>
      <c r="E124" s="504"/>
      <c r="F124" s="504"/>
      <c r="G124" s="504"/>
      <c r="H124" s="504"/>
      <c r="I124" s="504"/>
      <c r="J124" s="504"/>
      <c r="K124" s="504"/>
      <c r="L124" s="505"/>
      <c r="M124" s="504"/>
      <c r="N124" s="1119"/>
    </row>
    <row r="125" spans="2:14" ht="15.75">
      <c r="B125" s="298"/>
      <c r="C125" s="504"/>
      <c r="D125" s="504"/>
      <c r="E125" s="504"/>
      <c r="F125" s="504"/>
      <c r="G125" s="504"/>
      <c r="H125" s="504"/>
      <c r="I125" s="504"/>
      <c r="J125" s="504"/>
      <c r="K125" s="504"/>
      <c r="L125" s="505"/>
      <c r="M125" s="504"/>
      <c r="N125" s="1119"/>
    </row>
    <row r="126" spans="2:14" ht="15.75">
      <c r="B126" s="298"/>
      <c r="C126" s="504"/>
      <c r="D126" s="504"/>
      <c r="E126" s="504"/>
      <c r="F126" s="504"/>
      <c r="G126" s="504"/>
      <c r="H126" s="504"/>
      <c r="I126" s="504"/>
      <c r="J126" s="504"/>
      <c r="K126" s="504"/>
      <c r="L126" s="505"/>
      <c r="M126" s="504"/>
      <c r="N126" s="1119"/>
    </row>
  </sheetData>
  <customSheetViews>
    <customSheetView guid="{C8E99144-FF29-42D8-8D33-2038AA9D760E}" scale="75" showPageBreaks="1" fitToPage="1" view="pageBreakPreview" showRuler="0">
      <pane xSplit="1" ySplit="4" topLeftCell="B8" activePane="bottomRight" state="frozen"/>
      <selection pane="bottomRight" activeCell="A19" sqref="A19"/>
      <pageMargins left="0.75" right="0.75" top="1" bottom="1" header="0.5" footer="0.5"/>
      <pageSetup scale="72" orientation="landscape" horizontalDpi="300" verticalDpi="300" r:id="rId1"/>
      <headerFooter alignWithMargins="0"/>
    </customSheetView>
    <customSheetView guid="{6F41311F-2270-450A-A26B-FA887A989CC9}" scale="75" showPageBreaks="1" fitToPage="1" printArea="1" hiddenColumns="1" showRuler="0">
      <selection activeCell="A5" sqref="A5"/>
      <pageMargins left="0.75" right="0.75" top="1" bottom="1" header="0.5" footer="0.5"/>
      <pageSetup scale="82" orientation="landscape" horizontalDpi="300" verticalDpi="300" r:id="rId2"/>
      <headerFooter alignWithMargins="0"/>
    </customSheetView>
    <customSheetView guid="{9F62FB59-F471-497B-8464-A1F026EE1693}" scale="75" showPageBreaks="1" fitToPage="1" view="pageBreakPreview" showRuler="0" topLeftCell="A2">
      <selection activeCell="A3" sqref="A3:J4"/>
      <pageMargins left="0.75" right="0.75" top="1" bottom="1" header="0.5" footer="0.5"/>
      <pageSetup scale="42" orientation="portrait" horizontalDpi="300" verticalDpi="300" r:id="rId3"/>
      <headerFooter alignWithMargins="0"/>
    </customSheetView>
    <customSheetView guid="{20D5FB18-2FAE-4D83-BF94-A00B522BD190}" scale="75" fitToPage="1" showRuler="0">
      <selection activeCell="F42" sqref="F42"/>
      <pageMargins left="0.75" right="0.75" top="1" bottom="1" header="0.5" footer="0.5"/>
      <pageSetup scale="61" orientation="portrait" horizontalDpi="300" verticalDpi="300" r:id="rId4"/>
      <headerFooter alignWithMargins="0"/>
    </customSheetView>
    <customSheetView guid="{9456C1E9-89BB-4E93-9AFD-5A49DBF97574}" scale="75" showPageBreaks="1" printArea="1" view="pageBreakPreview" showRuler="0">
      <selection activeCell="H41" sqref="H41"/>
      <rowBreaks count="1" manualBreakCount="1">
        <brk id="71" max="16383" man="1"/>
      </rowBreaks>
      <pageMargins left="0.75" right="0.75" top="1" bottom="1" header="0.5" footer="0.5"/>
      <pageSetup scale="61" orientation="portrait" horizontalDpi="300" verticalDpi="300" r:id="rId5"/>
      <headerFooter alignWithMargins="0"/>
    </customSheetView>
    <customSheetView guid="{7FD41845-6BD4-448F-810C-049EFA55EC1B}" scale="75" showPageBreaks="1" fitToPage="1" view="pageBreakPreview" showRuler="0">
      <pane xSplit="1" ySplit="4" topLeftCell="B8" activePane="bottomRight" state="frozen"/>
      <selection pane="bottomRight" activeCell="A19" sqref="A19"/>
      <pageMargins left="0.75" right="0.75" top="1" bottom="1" header="0.5" footer="0.5"/>
      <pageSetup scale="72" orientation="landscape" horizontalDpi="300" verticalDpi="300" r:id="rId6"/>
      <headerFooter alignWithMargins="0"/>
    </customSheetView>
    <customSheetView guid="{8B0AB125-4209-45BF-9ABD-74BE01FD7C48}" scale="75" showPageBreaks="1" fitToPage="1" view="pageBreakPreview" showRuler="0">
      <pane xSplit="1" ySplit="4" topLeftCell="B8" activePane="bottomRight" state="frozen"/>
      <selection pane="bottomRight" activeCell="A19" sqref="A19"/>
      <pageMargins left="0.75" right="0.75" top="1" bottom="1" header="0.5" footer="0.5"/>
      <pageSetup scale="72" orientation="landscape" horizontalDpi="300" verticalDpi="300" r:id="rId7"/>
      <headerFooter alignWithMargins="0"/>
    </customSheetView>
  </customSheetViews>
  <mergeCells count="4">
    <mergeCell ref="O28:P28"/>
    <mergeCell ref="B1:N1"/>
    <mergeCell ref="B4:N4"/>
    <mergeCell ref="B3:N3"/>
  </mergeCells>
  <phoneticPr fontId="0" type="noConversion"/>
  <printOptions horizontalCentered="1"/>
  <pageMargins left="0.5" right="0.5" top="0.5" bottom="0.5" header="0.5" footer="0.5"/>
  <pageSetup scale="74" orientation="portrait" r:id="rId8"/>
  <headerFooter alignWithMargins="0"/>
  <drawing r:id="rId9"/>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8" tint="0.39997558519241921"/>
  </sheetPr>
  <dimension ref="A1:X124"/>
  <sheetViews>
    <sheetView showGridLines="0" showRuler="0" topLeftCell="B3" zoomScaleNormal="100" zoomScaleSheetLayoutView="130" workbookViewId="0">
      <selection activeCell="B66" sqref="A66:XFD75"/>
    </sheetView>
  </sheetViews>
  <sheetFormatPr defaultColWidth="6.85546875" defaultRowHeight="12.75"/>
  <cols>
    <col min="1" max="1" width="17.42578125" style="283" hidden="1" customWidth="1"/>
    <col min="2" max="2" width="36.5703125" style="283" customWidth="1"/>
    <col min="3" max="3" width="15.7109375" style="510" customWidth="1"/>
    <col min="4" max="4" width="3" style="510" hidden="1" customWidth="1"/>
    <col min="5" max="5" width="15.7109375" style="510" customWidth="1"/>
    <col min="6" max="6" width="3" style="510" hidden="1" customWidth="1"/>
    <col min="7" max="7" width="15.7109375" style="510" customWidth="1"/>
    <col min="8" max="8" width="17.28515625" style="510" hidden="1" customWidth="1"/>
    <col min="9" max="9" width="3" style="510" hidden="1" customWidth="1"/>
    <col min="10" max="10" width="17.42578125" style="510" hidden="1" customWidth="1"/>
    <col min="11" max="11" width="1.85546875" style="510" hidden="1" customWidth="1"/>
    <col min="12" max="12" width="15.7109375" style="511" customWidth="1"/>
    <col min="13" max="13" width="3" style="510" hidden="1" customWidth="1"/>
    <col min="14" max="14" width="15.7109375" style="1115" customWidth="1"/>
    <col min="15" max="15" width="28.7109375" style="283" bestFit="1" customWidth="1"/>
    <col min="16" max="16" width="15.7109375" style="283" bestFit="1" customWidth="1"/>
    <col min="17" max="18" width="12.42578125" style="283" bestFit="1" customWidth="1"/>
    <col min="19" max="19" width="14.140625" style="722" bestFit="1" customWidth="1"/>
    <col min="20" max="22" width="6.85546875" style="283"/>
    <col min="23" max="23" width="14" style="283" bestFit="1" customWidth="1"/>
    <col min="24" max="24" width="16" style="283" bestFit="1" customWidth="1"/>
    <col min="25" max="16384" width="6.85546875" style="283"/>
  </cols>
  <sheetData>
    <row r="1" spans="1:24" ht="23.45" hidden="1" customHeight="1">
      <c r="B1" s="1706" t="s">
        <v>369</v>
      </c>
      <c r="C1" s="1706"/>
      <c r="D1" s="1706"/>
      <c r="E1" s="1706"/>
      <c r="F1" s="1706"/>
      <c r="G1" s="1706"/>
      <c r="H1" s="1706"/>
      <c r="I1" s="1706"/>
      <c r="J1" s="1706"/>
      <c r="K1" s="1706"/>
      <c r="L1" s="1706"/>
      <c r="M1" s="1706"/>
      <c r="N1" s="1706"/>
      <c r="O1" s="593" t="s">
        <v>1025</v>
      </c>
    </row>
    <row r="2" spans="1:24" ht="18.75" hidden="1">
      <c r="B2" s="284"/>
      <c r="C2" s="493"/>
      <c r="D2" s="493"/>
      <c r="E2" s="493"/>
      <c r="F2" s="493"/>
      <c r="G2" s="493"/>
      <c r="H2" s="493"/>
      <c r="I2" s="493"/>
      <c r="J2" s="493"/>
      <c r="K2" s="493"/>
      <c r="L2" s="493"/>
      <c r="M2" s="493"/>
      <c r="N2" s="1022"/>
    </row>
    <row r="3" spans="1:24" ht="35.450000000000003" customHeight="1">
      <c r="B3" s="1704" t="s">
        <v>847</v>
      </c>
      <c r="C3" s="1704"/>
      <c r="D3" s="1704"/>
      <c r="E3" s="1704"/>
      <c r="F3" s="1704"/>
      <c r="G3" s="1704"/>
      <c r="H3" s="1704"/>
      <c r="I3" s="1704"/>
      <c r="J3" s="1704"/>
      <c r="K3" s="1704"/>
      <c r="L3" s="1704"/>
      <c r="M3" s="1704"/>
      <c r="N3" s="1704"/>
      <c r="O3" s="717"/>
    </row>
    <row r="4" spans="1:24" ht="32.25" customHeight="1" thickBot="1">
      <c r="B4" s="1711"/>
      <c r="C4" s="1711"/>
      <c r="D4" s="1711"/>
      <c r="E4" s="1711"/>
      <c r="F4" s="1711"/>
      <c r="G4" s="1711"/>
      <c r="H4" s="1711"/>
      <c r="I4" s="1711"/>
      <c r="J4" s="1711"/>
      <c r="K4" s="1711"/>
      <c r="L4" s="1711"/>
      <c r="M4" s="1711"/>
      <c r="N4" s="1711"/>
    </row>
    <row r="5" spans="1:24" s="1125" customFormat="1" ht="52.9" customHeight="1" thickBot="1">
      <c r="B5" s="1126"/>
      <c r="C5" s="1127" t="s">
        <v>978</v>
      </c>
      <c r="D5" s="1127"/>
      <c r="E5" s="1128" t="s">
        <v>982</v>
      </c>
      <c r="F5" s="1127"/>
      <c r="G5" s="1128" t="s">
        <v>980</v>
      </c>
      <c r="H5" s="1128" t="s">
        <v>407</v>
      </c>
      <c r="I5" s="1127"/>
      <c r="J5" s="1128" t="s">
        <v>593</v>
      </c>
      <c r="K5" s="1127"/>
      <c r="L5" s="1141" t="s">
        <v>989</v>
      </c>
      <c r="M5" s="1127"/>
      <c r="N5" s="1129" t="s">
        <v>985</v>
      </c>
      <c r="R5" s="1130"/>
      <c r="S5" s="1131"/>
    </row>
    <row r="6" spans="1:24">
      <c r="B6" s="288"/>
      <c r="C6" s="495"/>
      <c r="D6" s="496"/>
      <c r="E6" s="496"/>
      <c r="F6" s="496"/>
      <c r="G6" s="495"/>
      <c r="H6" s="495"/>
      <c r="I6" s="496"/>
      <c r="J6" s="495"/>
      <c r="K6" s="496"/>
      <c r="L6" s="497"/>
      <c r="M6" s="496"/>
    </row>
    <row r="7" spans="1:24" ht="15.75">
      <c r="B7" s="299" t="s">
        <v>2</v>
      </c>
      <c r="C7" s="498"/>
      <c r="D7" s="499"/>
      <c r="E7" s="499"/>
      <c r="F7" s="499"/>
      <c r="G7" s="499"/>
      <c r="H7" s="500"/>
      <c r="I7" s="499"/>
      <c r="J7" s="500"/>
      <c r="K7" s="499"/>
      <c r="L7" s="501"/>
      <c r="M7" s="499"/>
      <c r="N7" s="981"/>
      <c r="O7" s="606" t="s">
        <v>11</v>
      </c>
      <c r="P7" s="333">
        <v>19337111</v>
      </c>
      <c r="Q7" s="966">
        <v>0.126</v>
      </c>
    </row>
    <row r="8" spans="1:24" ht="15.75">
      <c r="A8" s="321" t="s">
        <v>336</v>
      </c>
      <c r="B8" s="298" t="s">
        <v>6</v>
      </c>
      <c r="C8" s="1268">
        <v>92185956.859999999</v>
      </c>
      <c r="D8" s="1243"/>
      <c r="E8" s="1268">
        <v>95755752</v>
      </c>
      <c r="F8" s="1268"/>
      <c r="G8" s="1268">
        <v>95744356</v>
      </c>
      <c r="H8" s="1268">
        <v>60058983</v>
      </c>
      <c r="I8" s="1268"/>
      <c r="J8" s="1268">
        <v>20306491</v>
      </c>
      <c r="K8" s="1268"/>
      <c r="L8" s="1268">
        <v>101913700</v>
      </c>
      <c r="M8" s="1268"/>
      <c r="N8" s="1268">
        <v>6157948</v>
      </c>
      <c r="O8" s="606" t="s">
        <v>12</v>
      </c>
      <c r="P8" s="333">
        <v>8954723</v>
      </c>
      <c r="Q8" s="966">
        <v>5.8000000000000003E-2</v>
      </c>
    </row>
    <row r="9" spans="1:24" ht="15.75">
      <c r="A9" s="321" t="s">
        <v>338</v>
      </c>
      <c r="B9" s="305" t="s">
        <v>8</v>
      </c>
      <c r="C9" s="514">
        <v>2069004.28</v>
      </c>
      <c r="D9" s="514"/>
      <c r="E9" s="514">
        <v>4674162</v>
      </c>
      <c r="F9" s="514"/>
      <c r="G9" s="514">
        <v>5832836</v>
      </c>
      <c r="H9" s="515">
        <v>3387269</v>
      </c>
      <c r="I9" s="514"/>
      <c r="J9" s="515">
        <v>6454264</v>
      </c>
      <c r="K9" s="514"/>
      <c r="L9" s="514">
        <v>6454264</v>
      </c>
      <c r="M9" s="514"/>
      <c r="N9" s="527">
        <v>1780102</v>
      </c>
      <c r="O9" s="606" t="s">
        <v>801</v>
      </c>
      <c r="P9" s="333">
        <v>20420098</v>
      </c>
      <c r="Q9" s="966">
        <v>0.13300000000000001</v>
      </c>
    </row>
    <row r="10" spans="1:24" ht="15.75">
      <c r="A10" s="331" t="s">
        <v>349</v>
      </c>
      <c r="B10" s="305" t="s">
        <v>28</v>
      </c>
      <c r="C10" s="514">
        <v>6559103</v>
      </c>
      <c r="D10" s="514"/>
      <c r="E10" s="514">
        <v>813688</v>
      </c>
      <c r="F10" s="514"/>
      <c r="G10" s="527">
        <v>0</v>
      </c>
      <c r="H10" s="515">
        <v>26169288</v>
      </c>
      <c r="I10" s="514"/>
      <c r="J10" s="515">
        <v>26173037</v>
      </c>
      <c r="K10" s="514"/>
      <c r="L10" s="527">
        <v>0</v>
      </c>
      <c r="M10" s="514"/>
      <c r="N10" s="527">
        <v>-813688</v>
      </c>
      <c r="O10" s="606" t="s">
        <v>14</v>
      </c>
      <c r="P10" s="333">
        <v>30462763</v>
      </c>
      <c r="Q10" s="966">
        <v>0.19800000000000001</v>
      </c>
    </row>
    <row r="11" spans="1:24" s="293" customFormat="1" ht="15.75">
      <c r="B11" s="311" t="s">
        <v>319</v>
      </c>
      <c r="C11" s="515">
        <v>6379797.8600000013</v>
      </c>
      <c r="D11" s="515" t="s">
        <v>58</v>
      </c>
      <c r="E11" s="515">
        <v>5101129.6600000113</v>
      </c>
      <c r="F11" s="515"/>
      <c r="G11" s="1239">
        <v>0</v>
      </c>
      <c r="H11" s="515">
        <v>0</v>
      </c>
      <c r="I11" s="515"/>
      <c r="J11" s="515">
        <v>8160710</v>
      </c>
      <c r="K11" s="515"/>
      <c r="L11" s="528">
        <v>5820428.849999994</v>
      </c>
      <c r="M11" s="515"/>
      <c r="N11" s="528">
        <v>719299.18999998271</v>
      </c>
      <c r="O11" s="667" t="s">
        <v>15</v>
      </c>
      <c r="P11" s="333">
        <v>1298780</v>
      </c>
      <c r="Q11" s="966">
        <v>8.0000000000000002E-3</v>
      </c>
      <c r="S11" s="723"/>
    </row>
    <row r="12" spans="1:24" s="625" customFormat="1" ht="15.75">
      <c r="B12" s="622" t="s">
        <v>9</v>
      </c>
      <c r="C12" s="523">
        <v>107193862</v>
      </c>
      <c r="D12" s="523"/>
      <c r="E12" s="523">
        <v>106344731.66000001</v>
      </c>
      <c r="F12" s="523"/>
      <c r="G12" s="523">
        <v>101577192</v>
      </c>
      <c r="H12" s="523">
        <v>89615540</v>
      </c>
      <c r="I12" s="523"/>
      <c r="J12" s="523">
        <v>61094502</v>
      </c>
      <c r="K12" s="523"/>
      <c r="L12" s="523">
        <v>114188392.84999999</v>
      </c>
      <c r="M12" s="523"/>
      <c r="N12" s="1026">
        <v>7843661.1899999827</v>
      </c>
      <c r="O12" s="667" t="s">
        <v>1003</v>
      </c>
      <c r="P12" s="333">
        <v>31194236</v>
      </c>
      <c r="Q12" s="966">
        <v>0.20200000000000001</v>
      </c>
      <c r="S12" s="724"/>
      <c r="X12" s="724"/>
    </row>
    <row r="13" spans="1:24" s="293" customFormat="1" ht="22.5">
      <c r="B13" s="310"/>
      <c r="C13" s="524"/>
      <c r="D13" s="515"/>
      <c r="E13" s="515"/>
      <c r="F13" s="515"/>
      <c r="G13" s="515"/>
      <c r="H13" s="515"/>
      <c r="I13" s="515"/>
      <c r="J13" s="515"/>
      <c r="K13" s="515"/>
      <c r="L13" s="515"/>
      <c r="M13" s="515"/>
      <c r="N13" s="522"/>
      <c r="O13" s="1463" t="s">
        <v>958</v>
      </c>
      <c r="P13" s="333">
        <v>2520682</v>
      </c>
      <c r="Q13" s="966">
        <v>1.6E-2</v>
      </c>
      <c r="S13" s="723"/>
      <c r="X13" s="723"/>
    </row>
    <row r="14" spans="1:24" s="293" customFormat="1" ht="15.75">
      <c r="B14" s="313" t="s">
        <v>320</v>
      </c>
      <c r="C14" s="623"/>
      <c r="D14" s="515"/>
      <c r="E14" s="515"/>
      <c r="F14" s="515"/>
      <c r="G14" s="515"/>
      <c r="H14" s="515"/>
      <c r="I14" s="515"/>
      <c r="J14" s="515"/>
      <c r="K14" s="515"/>
      <c r="L14" s="515"/>
      <c r="M14" s="515"/>
      <c r="N14" s="522"/>
      <c r="O14" s="608" t="s">
        <v>23</v>
      </c>
      <c r="P14" s="341">
        <v>39877988.149999999</v>
      </c>
      <c r="Q14" s="966">
        <v>0.25900000000000001</v>
      </c>
      <c r="S14" s="723"/>
    </row>
    <row r="15" spans="1:24" s="293" customFormat="1" ht="16.5" thickBot="1">
      <c r="B15" s="311" t="s">
        <v>327</v>
      </c>
      <c r="C15" s="527">
        <v>44696880.106301367</v>
      </c>
      <c r="D15" s="515"/>
      <c r="E15" s="963">
        <v>39595750.446301356</v>
      </c>
      <c r="F15" s="515"/>
      <c r="G15" s="963">
        <v>44696880.106301367</v>
      </c>
      <c r="H15" s="515">
        <v>44696880.106301367</v>
      </c>
      <c r="I15" s="515"/>
      <c r="J15" s="515">
        <v>36536170.106301367</v>
      </c>
      <c r="K15" s="515"/>
      <c r="L15" s="528">
        <v>39877988.150000006</v>
      </c>
      <c r="M15" s="515"/>
      <c r="N15" s="528">
        <v>282237.70369865</v>
      </c>
      <c r="O15" s="668" t="s">
        <v>25</v>
      </c>
      <c r="P15" s="340">
        <v>154066381.15000001</v>
      </c>
      <c r="Q15" s="967">
        <v>1</v>
      </c>
      <c r="R15" s="344" t="s">
        <v>58</v>
      </c>
      <c r="S15" s="723"/>
      <c r="X15" s="723"/>
    </row>
    <row r="16" spans="1:24" s="293" customFormat="1" ht="16.5" thickTop="1">
      <c r="B16" s="622" t="s">
        <v>20</v>
      </c>
      <c r="C16" s="523">
        <v>44696880.106301367</v>
      </c>
      <c r="D16" s="523"/>
      <c r="E16" s="1026">
        <v>39595750.446301356</v>
      </c>
      <c r="F16" s="523"/>
      <c r="G16" s="1026">
        <v>44696880.106301367</v>
      </c>
      <c r="H16" s="523">
        <v>44696880.106301367</v>
      </c>
      <c r="I16" s="523"/>
      <c r="J16" s="523">
        <v>36536170.106301367</v>
      </c>
      <c r="K16" s="523"/>
      <c r="L16" s="1026">
        <v>39877988.150000006</v>
      </c>
      <c r="M16" s="523"/>
      <c r="N16" s="1026">
        <v>282237.70369865</v>
      </c>
      <c r="O16" s="646"/>
      <c r="S16" s="723"/>
      <c r="X16" s="765"/>
    </row>
    <row r="17" spans="1:24" s="293" customFormat="1" ht="16.5" thickBot="1">
      <c r="B17" s="616" t="s">
        <v>21</v>
      </c>
      <c r="C17" s="617">
        <v>151890742.10630137</v>
      </c>
      <c r="D17" s="617"/>
      <c r="E17" s="617">
        <v>145940482.10630137</v>
      </c>
      <c r="F17" s="617"/>
      <c r="G17" s="617">
        <v>146274072.10630137</v>
      </c>
      <c r="H17" s="617">
        <v>134312420.10630137</v>
      </c>
      <c r="I17" s="617"/>
      <c r="J17" s="618">
        <v>97630672.106301367</v>
      </c>
      <c r="K17" s="617"/>
      <c r="L17" s="617">
        <v>154066381</v>
      </c>
      <c r="M17" s="617"/>
      <c r="N17" s="1028">
        <v>8125898.8936986327</v>
      </c>
      <c r="O17" s="608" t="s">
        <v>6</v>
      </c>
      <c r="P17" s="341">
        <v>101913700</v>
      </c>
      <c r="Q17" s="966">
        <v>0.66200000000000003</v>
      </c>
      <c r="R17" s="293" t="s">
        <v>58</v>
      </c>
      <c r="S17" s="723"/>
      <c r="X17" s="910"/>
    </row>
    <row r="18" spans="1:24" s="293" customFormat="1" ht="16.5" thickTop="1">
      <c r="B18" s="316"/>
      <c r="C18" s="619"/>
      <c r="D18" s="515"/>
      <c r="E18" s="515"/>
      <c r="F18" s="515"/>
      <c r="G18" s="515"/>
      <c r="H18" s="515"/>
      <c r="I18" s="515"/>
      <c r="J18" s="515"/>
      <c r="K18" s="515"/>
      <c r="L18" s="515"/>
      <c r="M18" s="515"/>
      <c r="N18" s="522"/>
      <c r="O18" s="608" t="s">
        <v>8</v>
      </c>
      <c r="P18" s="341">
        <v>6454264</v>
      </c>
      <c r="Q18" s="966">
        <v>4.2000000000000003E-2</v>
      </c>
      <c r="S18" s="723"/>
    </row>
    <row r="19" spans="1:24" s="293" customFormat="1" ht="15.75">
      <c r="B19" s="349" t="s">
        <v>10</v>
      </c>
      <c r="C19" s="620"/>
      <c r="D19" s="514"/>
      <c r="E19" s="514"/>
      <c r="F19" s="514"/>
      <c r="G19" s="515"/>
      <c r="H19" s="515"/>
      <c r="I19" s="514"/>
      <c r="J19" s="515"/>
      <c r="K19" s="514"/>
      <c r="L19" s="514"/>
      <c r="M19" s="514"/>
      <c r="N19" s="518"/>
      <c r="O19" s="608" t="s">
        <v>28</v>
      </c>
      <c r="P19" s="341">
        <v>0</v>
      </c>
      <c r="Q19" s="966">
        <v>0</v>
      </c>
      <c r="S19" s="723"/>
    </row>
    <row r="20" spans="1:24" s="293" customFormat="1" ht="15.6" customHeight="1">
      <c r="A20" s="621" t="s">
        <v>340</v>
      </c>
      <c r="B20" s="316" t="s">
        <v>11</v>
      </c>
      <c r="C20" s="514">
        <v>16659010</v>
      </c>
      <c r="D20" s="514"/>
      <c r="E20" s="514">
        <v>18269336</v>
      </c>
      <c r="F20" s="514"/>
      <c r="G20" s="514">
        <v>17763316.34</v>
      </c>
      <c r="H20" s="515">
        <v>11612545</v>
      </c>
      <c r="I20" s="514"/>
      <c r="J20" s="515">
        <v>19337111</v>
      </c>
      <c r="K20" s="514"/>
      <c r="L20" s="514">
        <v>19337111</v>
      </c>
      <c r="M20" s="514"/>
      <c r="N20" s="527">
        <v>1067775</v>
      </c>
      <c r="O20" s="1490" t="s">
        <v>977</v>
      </c>
      <c r="P20" s="341">
        <v>5820428.849999994</v>
      </c>
      <c r="Q20" s="966">
        <v>3.6999999999999998E-2</v>
      </c>
      <c r="S20" s="723"/>
      <c r="W20" s="764"/>
    </row>
    <row r="21" spans="1:24" s="293" customFormat="1" ht="15.75">
      <c r="A21" s="621" t="s">
        <v>341</v>
      </c>
      <c r="B21" s="316" t="s">
        <v>12</v>
      </c>
      <c r="C21" s="514">
        <v>6843854</v>
      </c>
      <c r="D21" s="514"/>
      <c r="E21" s="514">
        <v>8048221.6600000001</v>
      </c>
      <c r="F21" s="514"/>
      <c r="G21" s="514">
        <v>7521304.8899999997</v>
      </c>
      <c r="H21" s="515">
        <v>6555520</v>
      </c>
      <c r="I21" s="514"/>
      <c r="J21" s="515">
        <v>8954723</v>
      </c>
      <c r="K21" s="514"/>
      <c r="L21" s="514">
        <v>8954723</v>
      </c>
      <c r="M21" s="514"/>
      <c r="N21" s="527">
        <v>906501.33999999985</v>
      </c>
      <c r="O21" s="608" t="s">
        <v>19</v>
      </c>
      <c r="P21" s="341">
        <v>39877988.150000006</v>
      </c>
      <c r="Q21" s="966">
        <v>0.25900000000000001</v>
      </c>
      <c r="S21" s="723"/>
      <c r="W21" s="764"/>
    </row>
    <row r="22" spans="1:24" s="293" customFormat="1" ht="15.75" customHeight="1" thickBot="1">
      <c r="A22" s="621" t="s">
        <v>342</v>
      </c>
      <c r="B22" s="316" t="s">
        <v>801</v>
      </c>
      <c r="C22" s="514">
        <v>13761724.68</v>
      </c>
      <c r="D22" s="514"/>
      <c r="E22" s="514">
        <v>16922629.649999999</v>
      </c>
      <c r="F22" s="514"/>
      <c r="G22" s="514">
        <v>12886021</v>
      </c>
      <c r="H22" s="515">
        <v>14527573</v>
      </c>
      <c r="I22" s="514"/>
      <c r="J22" s="515">
        <v>20420098.73</v>
      </c>
      <c r="K22" s="514"/>
      <c r="L22" s="514">
        <v>20420098</v>
      </c>
      <c r="M22" s="514"/>
      <c r="N22" s="527">
        <v>3497468.3500000015</v>
      </c>
      <c r="O22" s="668" t="s">
        <v>21</v>
      </c>
      <c r="P22" s="674">
        <v>154066381</v>
      </c>
      <c r="Q22" s="668">
        <v>1</v>
      </c>
      <c r="R22" s="293" t="s">
        <v>58</v>
      </c>
      <c r="S22" s="723"/>
      <c r="W22" s="764"/>
    </row>
    <row r="23" spans="1:24" s="293" customFormat="1" ht="16.5" thickTop="1">
      <c r="A23" s="621" t="s">
        <v>343</v>
      </c>
      <c r="B23" s="316" t="s">
        <v>14</v>
      </c>
      <c r="C23" s="514">
        <v>26110583.670000002</v>
      </c>
      <c r="D23" s="514"/>
      <c r="E23" s="514">
        <v>27626472.870000001</v>
      </c>
      <c r="F23" s="514"/>
      <c r="G23" s="514">
        <v>27159709</v>
      </c>
      <c r="H23" s="515">
        <v>16433975</v>
      </c>
      <c r="I23" s="514"/>
      <c r="J23" s="515">
        <v>30462762.850000001</v>
      </c>
      <c r="K23" s="514"/>
      <c r="L23" s="514">
        <v>30462762.850000001</v>
      </c>
      <c r="M23" s="514"/>
      <c r="N23" s="527">
        <v>2836289.9800000004</v>
      </c>
      <c r="O23" s="646"/>
      <c r="S23" s="723"/>
      <c r="W23" s="764"/>
    </row>
    <row r="24" spans="1:24" s="293" customFormat="1" ht="15.75">
      <c r="A24" s="621" t="s">
        <v>350</v>
      </c>
      <c r="B24" s="316" t="s">
        <v>15</v>
      </c>
      <c r="C24" s="514">
        <v>633604.88</v>
      </c>
      <c r="D24" s="514"/>
      <c r="E24" s="514">
        <v>2072156.48</v>
      </c>
      <c r="F24" s="514"/>
      <c r="G24" s="514">
        <v>1833389</v>
      </c>
      <c r="H24" s="515">
        <v>1505870</v>
      </c>
      <c r="I24" s="514"/>
      <c r="J24" s="515">
        <v>1298780</v>
      </c>
      <c r="K24" s="514"/>
      <c r="L24" s="514">
        <v>1298780</v>
      </c>
      <c r="M24" s="514"/>
      <c r="N24" s="527">
        <v>-773376.48</v>
      </c>
      <c r="O24" s="646"/>
      <c r="S24" s="723"/>
      <c r="W24" s="764"/>
      <c r="X24" s="724"/>
    </row>
    <row r="25" spans="1:24" s="293" customFormat="1" ht="16.5" thickBot="1">
      <c r="A25" s="621" t="s">
        <v>351</v>
      </c>
      <c r="B25" s="316" t="s">
        <v>1003</v>
      </c>
      <c r="C25" s="514">
        <v>30224338</v>
      </c>
      <c r="D25" s="514"/>
      <c r="E25" s="514">
        <v>31194363</v>
      </c>
      <c r="F25" s="514"/>
      <c r="G25" s="514">
        <v>31194363</v>
      </c>
      <c r="H25" s="515">
        <v>15705778</v>
      </c>
      <c r="I25" s="514"/>
      <c r="J25" s="515">
        <v>31194236</v>
      </c>
      <c r="K25" s="514"/>
      <c r="L25" s="514">
        <v>31194236</v>
      </c>
      <c r="M25" s="514"/>
      <c r="N25" s="527">
        <v>-127</v>
      </c>
      <c r="O25" s="723"/>
      <c r="P25" s="291"/>
      <c r="S25" s="723"/>
      <c r="W25" s="764"/>
    </row>
    <row r="26" spans="1:24" s="293" customFormat="1" ht="16.5" thickBot="1">
      <c r="A26" s="1519" t="s">
        <v>382</v>
      </c>
      <c r="B26" s="316" t="s">
        <v>85</v>
      </c>
      <c r="C26" s="518">
        <v>0</v>
      </c>
      <c r="D26" s="518"/>
      <c r="E26" s="518">
        <v>0</v>
      </c>
      <c r="F26" s="518"/>
      <c r="G26" s="1239">
        <v>6000</v>
      </c>
      <c r="H26" s="522">
        <v>15705779</v>
      </c>
      <c r="I26" s="518"/>
      <c r="J26" s="522">
        <v>0</v>
      </c>
      <c r="K26" s="518"/>
      <c r="L26" s="518">
        <v>0</v>
      </c>
      <c r="M26" s="518"/>
      <c r="N26" s="518">
        <v>0</v>
      </c>
      <c r="O26" s="723"/>
      <c r="P26" s="291"/>
      <c r="S26" s="723"/>
      <c r="W26" s="764"/>
    </row>
    <row r="27" spans="1:24" s="293" customFormat="1" ht="15.75">
      <c r="A27" s="621"/>
      <c r="B27" s="316" t="s">
        <v>1001</v>
      </c>
      <c r="C27" s="1239">
        <v>9382914</v>
      </c>
      <c r="D27" s="1239"/>
      <c r="E27" s="1239">
        <v>0</v>
      </c>
      <c r="F27" s="1239"/>
      <c r="G27" s="1239">
        <v>0</v>
      </c>
      <c r="H27" s="528">
        <v>24193892</v>
      </c>
      <c r="I27" s="1239"/>
      <c r="J27" s="528">
        <v>24443891</v>
      </c>
      <c r="K27" s="1239"/>
      <c r="L27" s="1239">
        <v>0</v>
      </c>
      <c r="M27" s="1239"/>
      <c r="N27" s="1239">
        <v>0</v>
      </c>
      <c r="O27" s="723"/>
      <c r="P27" s="291"/>
      <c r="S27" s="723"/>
      <c r="W27" s="764"/>
    </row>
    <row r="28" spans="1:24" s="293" customFormat="1" ht="15.75">
      <c r="A28" s="621" t="s">
        <v>346</v>
      </c>
      <c r="B28" s="316" t="s">
        <v>999</v>
      </c>
      <c r="C28" s="514">
        <v>3577832</v>
      </c>
      <c r="D28" s="514"/>
      <c r="E28" s="514">
        <v>2211552</v>
      </c>
      <c r="F28" s="514"/>
      <c r="G28" s="514">
        <v>2211552</v>
      </c>
      <c r="H28" s="515"/>
      <c r="I28" s="514"/>
      <c r="J28" s="515"/>
      <c r="K28" s="514"/>
      <c r="L28" s="514">
        <v>2520682</v>
      </c>
      <c r="M28" s="514"/>
      <c r="N28" s="1239">
        <v>309130</v>
      </c>
      <c r="O28" s="291"/>
      <c r="P28" s="291"/>
      <c r="S28" s="723"/>
      <c r="W28" s="764"/>
    </row>
    <row r="29" spans="1:24" s="293" customFormat="1" ht="15.75">
      <c r="B29" s="622" t="s">
        <v>22</v>
      </c>
      <c r="C29" s="523">
        <v>107193862</v>
      </c>
      <c r="D29" s="523"/>
      <c r="E29" s="523">
        <v>106344731.66000001</v>
      </c>
      <c r="F29" s="523"/>
      <c r="G29" s="523">
        <v>100575655.23</v>
      </c>
      <c r="H29" s="523">
        <v>106240932</v>
      </c>
      <c r="I29" s="523"/>
      <c r="J29" s="523">
        <v>136111602.58000001</v>
      </c>
      <c r="K29" s="523"/>
      <c r="L29" s="1026">
        <v>114188392.84999999</v>
      </c>
      <c r="M29" s="523"/>
      <c r="N29" s="1026">
        <v>7843661.1899999827</v>
      </c>
      <c r="O29" s="723"/>
      <c r="P29" s="291"/>
      <c r="R29" s="291"/>
      <c r="S29" s="723"/>
      <c r="W29" s="764"/>
    </row>
    <row r="30" spans="1:24" s="293" customFormat="1" ht="15.75">
      <c r="B30" s="311"/>
      <c r="C30" s="525"/>
      <c r="D30" s="515"/>
      <c r="E30" s="515"/>
      <c r="F30" s="515"/>
      <c r="G30" s="515"/>
      <c r="H30" s="515"/>
      <c r="I30" s="515"/>
      <c r="J30" s="515"/>
      <c r="K30" s="515"/>
      <c r="L30" s="963"/>
      <c r="M30" s="515"/>
      <c r="N30" s="522"/>
      <c r="O30" s="646"/>
      <c r="P30" s="291"/>
      <c r="S30" s="723"/>
    </row>
    <row r="31" spans="1:24" s="293" customFormat="1" ht="15.75">
      <c r="B31" s="313" t="s">
        <v>321</v>
      </c>
      <c r="C31" s="623"/>
      <c r="D31" s="525"/>
      <c r="E31" s="525"/>
      <c r="F31" s="525"/>
      <c r="G31" s="525"/>
      <c r="H31" s="525"/>
      <c r="I31" s="525"/>
      <c r="J31" s="525"/>
      <c r="K31" s="525"/>
      <c r="L31" s="1273"/>
      <c r="M31" s="525"/>
      <c r="N31" s="518"/>
      <c r="S31" s="723"/>
    </row>
    <row r="32" spans="1:24" s="293" customFormat="1" ht="15.75">
      <c r="B32" s="316" t="s">
        <v>322</v>
      </c>
      <c r="C32" s="515">
        <v>44696880.106301367</v>
      </c>
      <c r="D32" s="515"/>
      <c r="E32" s="528">
        <v>39595749.957808226</v>
      </c>
      <c r="F32" s="515"/>
      <c r="G32" s="528">
        <v>45469261</v>
      </c>
      <c r="H32" s="515">
        <v>45469261</v>
      </c>
      <c r="I32" s="515"/>
      <c r="J32" s="515">
        <v>28865086</v>
      </c>
      <c r="K32" s="515"/>
      <c r="L32" s="528">
        <v>39877988.149999999</v>
      </c>
      <c r="M32" s="515"/>
      <c r="N32" s="528">
        <v>282238</v>
      </c>
      <c r="O32" s="775"/>
      <c r="P32" s="775"/>
      <c r="Q32" s="775"/>
      <c r="R32" s="723"/>
      <c r="S32" s="723"/>
      <c r="W32" s="764"/>
    </row>
    <row r="33" spans="2:24" s="293" customFormat="1" ht="15.75">
      <c r="B33" s="316" t="s">
        <v>31</v>
      </c>
      <c r="C33" s="518">
        <v>0</v>
      </c>
      <c r="D33" s="518"/>
      <c r="E33" s="518">
        <v>0</v>
      </c>
      <c r="F33" s="528"/>
      <c r="G33" s="1029">
        <v>229156</v>
      </c>
      <c r="H33" s="515">
        <v>23337750</v>
      </c>
      <c r="I33" s="515"/>
      <c r="J33" s="515">
        <v>17640492.25</v>
      </c>
      <c r="K33" s="515"/>
      <c r="L33" s="1029">
        <v>0</v>
      </c>
      <c r="M33" s="515"/>
      <c r="N33" s="528">
        <v>0</v>
      </c>
      <c r="O33" s="1118"/>
      <c r="P33" s="775"/>
      <c r="Q33" s="775"/>
      <c r="S33" s="723"/>
      <c r="W33" s="764"/>
      <c r="X33" s="724"/>
    </row>
    <row r="34" spans="2:24" s="625" customFormat="1" ht="15.75">
      <c r="B34" s="1246" t="s">
        <v>323</v>
      </c>
      <c r="C34" s="523">
        <v>44696880.106301367</v>
      </c>
      <c r="D34" s="523"/>
      <c r="E34" s="1026">
        <v>39595749.957808226</v>
      </c>
      <c r="F34" s="523"/>
      <c r="G34" s="1026">
        <v>45698417</v>
      </c>
      <c r="H34" s="523">
        <v>68807011</v>
      </c>
      <c r="I34" s="523"/>
      <c r="J34" s="523">
        <v>46505578.25</v>
      </c>
      <c r="K34" s="523"/>
      <c r="L34" s="1026">
        <v>39877988.149999999</v>
      </c>
      <c r="M34" s="523"/>
      <c r="N34" s="1026">
        <v>282238</v>
      </c>
      <c r="O34" s="1802"/>
      <c r="P34" s="775"/>
      <c r="Q34" s="775"/>
      <c r="S34" s="724"/>
      <c r="X34" s="765"/>
    </row>
    <row r="35" spans="2:24" s="293" customFormat="1" ht="16.5" thickBot="1">
      <c r="B35" s="616" t="s">
        <v>25</v>
      </c>
      <c r="C35" s="1269">
        <v>151890742.10630137</v>
      </c>
      <c r="D35" s="627"/>
      <c r="E35" s="1267">
        <v>145940481.61780822</v>
      </c>
      <c r="F35" s="1269"/>
      <c r="G35" s="1267">
        <v>146274072.23000002</v>
      </c>
      <c r="H35" s="1267">
        <v>175047943</v>
      </c>
      <c r="I35" s="1269"/>
      <c r="J35" s="627">
        <v>182617180.83000001</v>
      </c>
      <c r="K35" s="627"/>
      <c r="L35" s="1267">
        <v>154066381</v>
      </c>
      <c r="M35" s="1267"/>
      <c r="N35" s="1269">
        <v>8125899.3821917772</v>
      </c>
      <c r="O35" s="1118"/>
      <c r="P35" s="775"/>
      <c r="Q35" s="775"/>
      <c r="S35" s="723"/>
      <c r="X35" s="764"/>
    </row>
    <row r="36" spans="2:24" s="293" customFormat="1" ht="30" customHeight="1" thickTop="1">
      <c r="B36" s="1715" t="s">
        <v>58</v>
      </c>
      <c r="C36" s="1715"/>
      <c r="D36" s="1715"/>
      <c r="E36" s="1715"/>
      <c r="F36" s="1715"/>
      <c r="G36" s="1715"/>
      <c r="H36" s="1715"/>
      <c r="I36" s="1715"/>
      <c r="J36" s="1715"/>
      <c r="K36" s="1715"/>
      <c r="L36" s="1715"/>
      <c r="M36" s="1715"/>
      <c r="N36" s="1715"/>
      <c r="Q36" s="625"/>
      <c r="S36" s="723"/>
    </row>
    <row r="37" spans="2:24" s="293" customFormat="1" ht="15.75">
      <c r="B37" s="313"/>
      <c r="C37" s="529"/>
      <c r="D37" s="529"/>
      <c r="E37" s="529"/>
      <c r="F37" s="529"/>
      <c r="G37" s="529" t="s">
        <v>58</v>
      </c>
      <c r="H37" s="529"/>
      <c r="I37" s="529"/>
      <c r="J37" s="529"/>
      <c r="K37" s="529"/>
      <c r="L37" s="529"/>
      <c r="M37" s="529"/>
      <c r="N37" s="893"/>
      <c r="O37" s="646"/>
      <c r="P37" s="653"/>
      <c r="Q37" s="625"/>
      <c r="S37" s="723"/>
    </row>
    <row r="38" spans="2:24" s="293" customFormat="1" ht="19.5" customHeight="1">
      <c r="B38" s="313"/>
      <c r="C38" s="529"/>
      <c r="D38" s="529"/>
      <c r="E38" s="529"/>
      <c r="F38" s="529"/>
      <c r="G38" s="529"/>
      <c r="H38" s="529"/>
      <c r="I38" s="529"/>
      <c r="J38" s="529"/>
      <c r="K38" s="529"/>
      <c r="L38" s="529"/>
      <c r="M38" s="529"/>
      <c r="N38" s="893"/>
      <c r="O38" s="723"/>
      <c r="Q38" s="625"/>
      <c r="S38" s="723"/>
    </row>
    <row r="39" spans="2:24" s="293" customFormat="1" ht="15.75">
      <c r="B39" s="313"/>
      <c r="C39" s="529"/>
      <c r="D39" s="529"/>
      <c r="E39" s="529"/>
      <c r="F39" s="529"/>
      <c r="G39" s="529"/>
      <c r="H39" s="529"/>
      <c r="I39" s="529"/>
      <c r="J39" s="529"/>
      <c r="K39" s="529"/>
      <c r="L39" s="529"/>
      <c r="M39" s="529"/>
      <c r="N39" s="893"/>
      <c r="O39" s="646"/>
      <c r="Q39" s="625"/>
      <c r="S39" s="723"/>
    </row>
    <row r="40" spans="2:24" s="293" customFormat="1" ht="15.75">
      <c r="B40" s="313"/>
      <c r="C40" s="506"/>
      <c r="D40" s="506"/>
      <c r="E40" s="506"/>
      <c r="F40" s="506"/>
      <c r="G40" s="506"/>
      <c r="H40" s="506"/>
      <c r="I40" s="506"/>
      <c r="J40" s="506"/>
      <c r="K40" s="506"/>
      <c r="L40" s="506"/>
      <c r="M40" s="506"/>
      <c r="N40" s="1080"/>
      <c r="O40" s="653"/>
      <c r="S40" s="723"/>
    </row>
    <row r="41" spans="2:24" s="293" customFormat="1" ht="15.75">
      <c r="B41" s="313"/>
      <c r="C41" s="506"/>
      <c r="D41" s="506"/>
      <c r="E41" s="506"/>
      <c r="F41" s="506"/>
      <c r="G41" s="506"/>
      <c r="H41" s="506"/>
      <c r="I41" s="506"/>
      <c r="J41" s="506"/>
      <c r="K41" s="506"/>
      <c r="L41" s="506"/>
      <c r="M41" s="506"/>
      <c r="N41" s="1080"/>
      <c r="O41" s="910"/>
      <c r="S41" s="723"/>
    </row>
    <row r="42" spans="2:24" s="293" customFormat="1" ht="15.75">
      <c r="B42" s="313"/>
      <c r="C42" s="506"/>
      <c r="D42" s="506"/>
      <c r="E42" s="506"/>
      <c r="F42" s="506"/>
      <c r="G42" s="506"/>
      <c r="H42" s="506"/>
      <c r="I42" s="506"/>
      <c r="J42" s="506"/>
      <c r="K42" s="506"/>
      <c r="L42" s="506"/>
      <c r="M42" s="506"/>
      <c r="N42" s="1080"/>
      <c r="O42" s="910"/>
      <c r="S42" s="723"/>
    </row>
    <row r="43" spans="2:24" s="293" customFormat="1" ht="15.75">
      <c r="B43" s="313"/>
      <c r="C43" s="506"/>
      <c r="D43" s="506"/>
      <c r="E43" s="506"/>
      <c r="F43" s="506"/>
      <c r="G43" s="506"/>
      <c r="H43" s="506"/>
      <c r="I43" s="506"/>
      <c r="J43" s="506"/>
      <c r="K43" s="506"/>
      <c r="L43" s="506"/>
      <c r="M43" s="506"/>
      <c r="N43" s="1080"/>
      <c r="O43" s="723"/>
      <c r="S43" s="723"/>
      <c r="T43" s="723"/>
    </row>
    <row r="44" spans="2:24" s="293" customFormat="1" ht="15.75">
      <c r="B44" s="313"/>
      <c r="C44" s="506"/>
      <c r="D44" s="506"/>
      <c r="E44" s="506"/>
      <c r="F44" s="506"/>
      <c r="G44" s="506"/>
      <c r="H44" s="506"/>
      <c r="I44" s="506"/>
      <c r="J44" s="506"/>
      <c r="K44" s="506"/>
      <c r="L44" s="506"/>
      <c r="M44" s="506"/>
      <c r="N44" s="1080"/>
      <c r="S44" s="723"/>
      <c r="T44" s="723"/>
    </row>
    <row r="45" spans="2:24" s="293" customFormat="1" ht="15.75">
      <c r="B45" s="313"/>
      <c r="C45" s="506"/>
      <c r="D45" s="506"/>
      <c r="E45" s="506"/>
      <c r="F45" s="506"/>
      <c r="G45" s="506"/>
      <c r="H45" s="506"/>
      <c r="I45" s="506"/>
      <c r="J45" s="506"/>
      <c r="K45" s="506"/>
      <c r="L45" s="506"/>
      <c r="M45" s="506"/>
      <c r="N45" s="1080"/>
      <c r="S45" s="723"/>
      <c r="T45" s="723"/>
    </row>
    <row r="46" spans="2:24" s="293" customFormat="1" ht="15.75">
      <c r="B46" s="313"/>
      <c r="C46" s="506"/>
      <c r="D46" s="506"/>
      <c r="E46" s="506"/>
      <c r="F46" s="506"/>
      <c r="G46" s="506"/>
      <c r="H46" s="506"/>
      <c r="I46" s="506"/>
      <c r="J46" s="506"/>
      <c r="K46" s="506"/>
      <c r="L46" s="506"/>
      <c r="M46" s="506"/>
      <c r="N46" s="1080"/>
      <c r="S46" s="723"/>
      <c r="T46" s="723"/>
    </row>
    <row r="47" spans="2:24" s="293" customFormat="1" ht="15.75">
      <c r="B47" s="313"/>
      <c r="C47" s="506"/>
      <c r="D47" s="506"/>
      <c r="E47" s="506"/>
      <c r="F47" s="506"/>
      <c r="G47" s="506"/>
      <c r="H47" s="506"/>
      <c r="I47" s="506"/>
      <c r="J47" s="506"/>
      <c r="K47" s="506"/>
      <c r="L47" s="506"/>
      <c r="M47" s="506"/>
      <c r="N47" s="1080"/>
      <c r="S47" s="723"/>
      <c r="T47" s="723"/>
    </row>
    <row r="48" spans="2:24" s="293" customFormat="1" ht="15.75">
      <c r="B48" s="313"/>
      <c r="C48" s="506"/>
      <c r="D48" s="506"/>
      <c r="E48" s="506"/>
      <c r="F48" s="506"/>
      <c r="G48" s="506"/>
      <c r="H48" s="506"/>
      <c r="I48" s="506"/>
      <c r="J48" s="506"/>
      <c r="K48" s="506"/>
      <c r="L48" s="506"/>
      <c r="M48" s="506"/>
      <c r="N48" s="1080"/>
      <c r="S48" s="723"/>
      <c r="T48" s="723"/>
    </row>
    <row r="49" spans="2:20" s="293" customFormat="1" ht="15.75">
      <c r="B49" s="313"/>
      <c r="C49" s="506"/>
      <c r="D49" s="506"/>
      <c r="E49" s="506"/>
      <c r="F49" s="506"/>
      <c r="G49" s="506"/>
      <c r="H49" s="506"/>
      <c r="I49" s="506"/>
      <c r="J49" s="506"/>
      <c r="K49" s="506"/>
      <c r="L49" s="506"/>
      <c r="M49" s="506"/>
      <c r="N49" s="1080"/>
      <c r="S49" s="723"/>
      <c r="T49" s="723"/>
    </row>
    <row r="50" spans="2:20" s="293" customFormat="1" ht="15.75">
      <c r="B50" s="313"/>
      <c r="C50" s="506"/>
      <c r="D50" s="506"/>
      <c r="E50" s="506"/>
      <c r="F50" s="506"/>
      <c r="G50" s="506"/>
      <c r="H50" s="506"/>
      <c r="I50" s="506"/>
      <c r="J50" s="506"/>
      <c r="K50" s="506"/>
      <c r="L50" s="506"/>
      <c r="M50" s="506"/>
      <c r="N50" s="1080"/>
      <c r="S50" s="723"/>
      <c r="T50" s="723"/>
    </row>
    <row r="51" spans="2:20" s="293" customFormat="1" ht="15.75">
      <c r="B51" s="313"/>
      <c r="C51" s="506"/>
      <c r="D51" s="506"/>
      <c r="E51" s="506"/>
      <c r="F51" s="506"/>
      <c r="G51" s="506"/>
      <c r="H51" s="506"/>
      <c r="I51" s="506"/>
      <c r="J51" s="506"/>
      <c r="K51" s="506"/>
      <c r="L51" s="506"/>
      <c r="M51" s="506"/>
      <c r="N51" s="1080"/>
      <c r="S51" s="723"/>
    </row>
    <row r="52" spans="2:20" s="293" customFormat="1" ht="15.75">
      <c r="B52" s="313"/>
      <c r="C52" s="506"/>
      <c r="D52" s="506"/>
      <c r="E52" s="506"/>
      <c r="F52" s="506"/>
      <c r="G52" s="506"/>
      <c r="H52" s="506"/>
      <c r="I52" s="506"/>
      <c r="J52" s="506"/>
      <c r="K52" s="506"/>
      <c r="L52" s="506"/>
      <c r="M52" s="506"/>
      <c r="N52" s="1080"/>
      <c r="S52" s="723"/>
    </row>
    <row r="53" spans="2:20" s="293" customFormat="1" ht="15.75">
      <c r="B53" s="313"/>
      <c r="C53" s="506"/>
      <c r="D53" s="506"/>
      <c r="E53" s="506"/>
      <c r="F53" s="506"/>
      <c r="G53" s="506"/>
      <c r="H53" s="506"/>
      <c r="I53" s="506"/>
      <c r="J53" s="506"/>
      <c r="K53" s="506"/>
      <c r="L53" s="506"/>
      <c r="M53" s="506"/>
      <c r="N53" s="1080"/>
      <c r="S53" s="723"/>
    </row>
    <row r="54" spans="2:20" s="293" customFormat="1" ht="15.75">
      <c r="B54" s="313"/>
      <c r="C54" s="506"/>
      <c r="D54" s="506"/>
      <c r="E54" s="506"/>
      <c r="F54" s="506"/>
      <c r="G54" s="506"/>
      <c r="H54" s="506"/>
      <c r="I54" s="506"/>
      <c r="J54" s="506"/>
      <c r="K54" s="506"/>
      <c r="L54" s="506"/>
      <c r="M54" s="506"/>
      <c r="N54" s="1080"/>
      <c r="R54" s="985"/>
      <c r="S54" s="723"/>
    </row>
    <row r="55" spans="2:20" s="293" customFormat="1" ht="15.75">
      <c r="B55" s="313"/>
      <c r="C55" s="506"/>
      <c r="D55" s="506"/>
      <c r="E55" s="506"/>
      <c r="F55" s="506"/>
      <c r="G55" s="506"/>
      <c r="H55" s="506"/>
      <c r="I55" s="506"/>
      <c r="J55" s="506"/>
      <c r="K55" s="506"/>
      <c r="L55" s="506"/>
      <c r="M55" s="506"/>
      <c r="N55" s="1080"/>
      <c r="S55" s="723"/>
    </row>
    <row r="56" spans="2:20" s="293" customFormat="1" ht="15.75">
      <c r="B56" s="313"/>
      <c r="C56" s="506"/>
      <c r="D56" s="506"/>
      <c r="E56" s="506"/>
      <c r="F56" s="506"/>
      <c r="G56" s="506"/>
      <c r="H56" s="506"/>
      <c r="I56" s="506"/>
      <c r="J56" s="506"/>
      <c r="K56" s="506"/>
      <c r="L56" s="506"/>
      <c r="M56" s="506"/>
      <c r="N56" s="1080"/>
      <c r="S56" s="723"/>
    </row>
    <row r="57" spans="2:20" s="293" customFormat="1" ht="15.75">
      <c r="B57" s="313"/>
      <c r="C57" s="506"/>
      <c r="D57" s="506"/>
      <c r="E57" s="506"/>
      <c r="F57" s="506"/>
      <c r="G57" s="506"/>
      <c r="H57" s="506"/>
      <c r="I57" s="506"/>
      <c r="J57" s="506"/>
      <c r="K57" s="506"/>
      <c r="L57" s="506"/>
      <c r="M57" s="506"/>
      <c r="N57" s="1080"/>
      <c r="S57" s="723"/>
    </row>
    <row r="58" spans="2:20" s="293" customFormat="1" ht="15.75">
      <c r="B58" s="313"/>
      <c r="C58" s="506"/>
      <c r="D58" s="506"/>
      <c r="E58" s="506"/>
      <c r="F58" s="506"/>
      <c r="G58" s="506"/>
      <c r="H58" s="506"/>
      <c r="I58" s="506"/>
      <c r="J58" s="506"/>
      <c r="K58" s="506"/>
      <c r="L58" s="506"/>
      <c r="M58" s="506"/>
      <c r="N58" s="1080"/>
      <c r="S58" s="723"/>
    </row>
    <row r="59" spans="2:20" s="293" customFormat="1" ht="15.75">
      <c r="B59" s="313"/>
      <c r="C59" s="506"/>
      <c r="D59" s="506"/>
      <c r="E59" s="506"/>
      <c r="F59" s="506"/>
      <c r="G59" s="506"/>
      <c r="H59" s="506"/>
      <c r="I59" s="506"/>
      <c r="J59" s="506"/>
      <c r="K59" s="506"/>
      <c r="L59" s="506"/>
      <c r="M59" s="506"/>
      <c r="N59" s="1080"/>
      <c r="S59" s="723"/>
    </row>
    <row r="60" spans="2:20" s="293" customFormat="1" ht="15.75">
      <c r="B60" s="313"/>
      <c r="C60" s="506"/>
      <c r="D60" s="506"/>
      <c r="E60" s="506"/>
      <c r="F60" s="506"/>
      <c r="G60" s="506"/>
      <c r="H60" s="506"/>
      <c r="I60" s="506"/>
      <c r="J60" s="506"/>
      <c r="K60" s="506"/>
      <c r="L60" s="506"/>
      <c r="M60" s="506"/>
      <c r="N60" s="1080"/>
      <c r="S60" s="723"/>
    </row>
    <row r="61" spans="2:20" s="293" customFormat="1" ht="15.75">
      <c r="B61" s="313"/>
      <c r="C61" s="506"/>
      <c r="D61" s="506"/>
      <c r="E61" s="506"/>
      <c r="F61" s="506"/>
      <c r="G61" s="506"/>
      <c r="H61" s="506"/>
      <c r="I61" s="506"/>
      <c r="J61" s="506"/>
      <c r="K61" s="506"/>
      <c r="L61" s="506"/>
      <c r="M61" s="506"/>
      <c r="N61" s="1080"/>
      <c r="S61" s="723"/>
    </row>
    <row r="62" spans="2:20" s="344" customFormat="1" ht="15.75">
      <c r="B62" s="313"/>
      <c r="C62" s="506"/>
      <c r="D62" s="506"/>
      <c r="E62" s="506"/>
      <c r="F62" s="506"/>
      <c r="G62" s="506"/>
      <c r="H62" s="506"/>
      <c r="I62" s="506"/>
      <c r="J62" s="506"/>
      <c r="K62" s="506"/>
      <c r="L62" s="506"/>
      <c r="M62" s="506"/>
      <c r="N62" s="1080"/>
      <c r="S62" s="729"/>
    </row>
    <row r="63" spans="2:20" s="293" customFormat="1" ht="15.75">
      <c r="B63" s="313"/>
      <c r="C63" s="506"/>
      <c r="D63" s="506"/>
      <c r="E63" s="506"/>
      <c r="F63" s="506"/>
      <c r="G63" s="506"/>
      <c r="H63" s="506"/>
      <c r="I63" s="506"/>
      <c r="J63" s="506"/>
      <c r="K63" s="506"/>
      <c r="L63" s="506"/>
      <c r="M63" s="506"/>
      <c r="N63" s="1080"/>
      <c r="S63" s="723"/>
    </row>
    <row r="64" spans="2:20" s="293" customFormat="1" ht="15.75">
      <c r="B64" s="313"/>
      <c r="C64" s="506"/>
      <c r="D64" s="506"/>
      <c r="E64" s="506"/>
      <c r="F64" s="506"/>
      <c r="G64" s="506"/>
      <c r="H64" s="506"/>
      <c r="I64" s="506"/>
      <c r="J64" s="506"/>
      <c r="K64" s="506"/>
      <c r="L64" s="506"/>
      <c r="M64" s="506"/>
      <c r="N64" s="1080"/>
      <c r="S64" s="723"/>
    </row>
    <row r="65" spans="1:19" s="293" customFormat="1" ht="15.75">
      <c r="B65" s="313"/>
      <c r="C65" s="506"/>
      <c r="D65" s="506"/>
      <c r="E65" s="506"/>
      <c r="F65" s="506"/>
      <c r="G65" s="506"/>
      <c r="H65" s="506"/>
      <c r="I65" s="506"/>
      <c r="J65" s="506"/>
      <c r="K65" s="506"/>
      <c r="L65" s="506"/>
      <c r="M65" s="506"/>
      <c r="N65" s="1080"/>
      <c r="S65" s="723"/>
    </row>
    <row r="66" spans="1:19" s="293" customFormat="1" ht="15.75">
      <c r="B66" s="313"/>
      <c r="C66" s="506"/>
      <c r="D66" s="506"/>
      <c r="E66" s="506"/>
      <c r="F66" s="506"/>
      <c r="G66" s="506"/>
      <c r="H66" s="506"/>
      <c r="I66" s="506"/>
      <c r="J66" s="506"/>
      <c r="K66" s="506"/>
      <c r="L66" s="506"/>
      <c r="M66" s="506"/>
      <c r="N66" s="1080"/>
      <c r="O66" s="283"/>
      <c r="P66" s="283"/>
      <c r="Q66" s="283"/>
      <c r="S66" s="723"/>
    </row>
    <row r="67" spans="1:19" ht="15.75">
      <c r="B67" s="313"/>
      <c r="C67" s="1078"/>
      <c r="D67" s="507"/>
      <c r="E67" s="507"/>
      <c r="F67" s="507"/>
      <c r="G67" s="507"/>
      <c r="H67" s="507"/>
      <c r="I67" s="507"/>
      <c r="J67" s="507"/>
      <c r="K67" s="507"/>
      <c r="L67" s="507"/>
      <c r="M67" s="507"/>
      <c r="N67" s="978"/>
    </row>
    <row r="68" spans="1:19" ht="15.75">
      <c r="B68" s="313"/>
      <c r="C68" s="978"/>
      <c r="D68" s="979"/>
      <c r="E68" s="979"/>
      <c r="F68" s="979"/>
      <c r="G68" s="978"/>
      <c r="H68" s="978"/>
      <c r="I68" s="979"/>
      <c r="J68" s="978"/>
      <c r="K68" s="979"/>
      <c r="L68" s="980"/>
      <c r="M68" s="979"/>
      <c r="N68" s="980"/>
    </row>
    <row r="69" spans="1:19" ht="15.75">
      <c r="B69" s="298"/>
      <c r="C69" s="1078"/>
      <c r="D69" s="507"/>
      <c r="E69" s="507"/>
      <c r="F69" s="507"/>
      <c r="G69" s="507"/>
      <c r="H69" s="507"/>
      <c r="I69" s="507"/>
      <c r="J69" s="507"/>
      <c r="K69" s="507"/>
      <c r="L69" s="507"/>
      <c r="M69" s="507"/>
      <c r="N69" s="978"/>
    </row>
    <row r="70" spans="1:19" ht="15.75">
      <c r="B70" s="298"/>
      <c r="C70" s="504"/>
      <c r="D70" s="504"/>
      <c r="E70" s="504"/>
      <c r="F70" s="504"/>
      <c r="G70" s="504"/>
      <c r="H70" s="504"/>
      <c r="I70" s="504"/>
      <c r="J70" s="504"/>
      <c r="K70" s="504"/>
      <c r="L70" s="505"/>
      <c r="M70" s="504"/>
      <c r="N70" s="981"/>
    </row>
    <row r="71" spans="1:19" ht="15.75">
      <c r="B71" s="298"/>
      <c r="C71" s="504"/>
      <c r="D71" s="504"/>
      <c r="E71" s="504"/>
      <c r="F71" s="504"/>
      <c r="G71" s="504"/>
      <c r="H71" s="504"/>
      <c r="I71" s="504"/>
      <c r="J71" s="504"/>
      <c r="K71" s="504"/>
      <c r="L71" s="505"/>
      <c r="M71" s="504"/>
      <c r="N71" s="981"/>
      <c r="O71" s="608"/>
      <c r="P71" s="342"/>
      <c r="Q71" s="343"/>
    </row>
    <row r="72" spans="1:19" s="293" customFormat="1" ht="15.75">
      <c r="A72" s="621"/>
      <c r="B72" s="316"/>
      <c r="C72" s="514"/>
      <c r="D72" s="514"/>
      <c r="E72" s="514"/>
      <c r="F72" s="514"/>
      <c r="G72" s="514"/>
      <c r="H72" s="515"/>
      <c r="I72" s="514"/>
      <c r="J72" s="515"/>
      <c r="K72" s="514"/>
      <c r="L72" s="514"/>
      <c r="M72" s="514"/>
      <c r="N72" s="518"/>
      <c r="O72" s="283"/>
      <c r="P72" s="283"/>
      <c r="Q72" s="283"/>
      <c r="R72" s="344"/>
      <c r="S72" s="723"/>
    </row>
    <row r="73" spans="1:19" ht="15.75">
      <c r="B73" s="298"/>
      <c r="C73" s="504"/>
      <c r="D73" s="504"/>
      <c r="E73" s="504"/>
      <c r="F73" s="504"/>
      <c r="G73" s="504"/>
      <c r="H73" s="504"/>
      <c r="I73" s="504"/>
      <c r="J73" s="504"/>
      <c r="K73" s="504"/>
      <c r="L73" s="505"/>
      <c r="M73" s="504"/>
      <c r="N73" s="981"/>
    </row>
    <row r="74" spans="1:19" ht="15.75">
      <c r="B74" s="298"/>
      <c r="C74" s="504"/>
      <c r="D74" s="504"/>
      <c r="E74" s="504"/>
      <c r="F74" s="504"/>
      <c r="G74" s="504"/>
      <c r="H74" s="504"/>
      <c r="I74" s="504"/>
      <c r="J74" s="504"/>
      <c r="K74" s="504"/>
      <c r="L74" s="505"/>
      <c r="M74" s="504"/>
      <c r="N74" s="981"/>
    </row>
    <row r="75" spans="1:19" ht="15.75">
      <c r="B75" s="298"/>
      <c r="C75" s="504"/>
      <c r="D75" s="504"/>
      <c r="E75" s="504"/>
      <c r="F75" s="504"/>
      <c r="G75" s="504"/>
      <c r="H75" s="504"/>
      <c r="I75" s="504"/>
      <c r="J75" s="504"/>
      <c r="K75" s="504"/>
      <c r="L75" s="505"/>
      <c r="M75" s="504"/>
      <c r="N75" s="981"/>
    </row>
    <row r="76" spans="1:19" ht="15.75">
      <c r="B76" s="298"/>
      <c r="C76" s="504"/>
      <c r="D76" s="504"/>
      <c r="E76" s="504"/>
      <c r="F76" s="504"/>
      <c r="G76" s="504"/>
      <c r="H76" s="504"/>
      <c r="I76" s="504"/>
      <c r="J76" s="504"/>
      <c r="K76" s="504"/>
      <c r="L76" s="505"/>
      <c r="M76" s="504"/>
      <c r="N76" s="981"/>
    </row>
    <row r="77" spans="1:19" ht="15.75">
      <c r="B77" s="298"/>
      <c r="C77" s="504"/>
      <c r="D77" s="504"/>
      <c r="E77" s="504"/>
      <c r="F77" s="504"/>
      <c r="G77" s="504"/>
      <c r="H77" s="504"/>
      <c r="I77" s="504"/>
      <c r="J77" s="504"/>
      <c r="K77" s="504"/>
      <c r="L77" s="505"/>
      <c r="M77" s="504"/>
      <c r="N77" s="981"/>
    </row>
    <row r="78" spans="1:19" ht="15.75">
      <c r="B78" s="298"/>
      <c r="C78" s="504"/>
      <c r="D78" s="504"/>
      <c r="E78" s="504"/>
      <c r="F78" s="504"/>
      <c r="G78" s="504"/>
      <c r="H78" s="504"/>
      <c r="I78" s="504"/>
      <c r="J78" s="504"/>
      <c r="K78" s="504"/>
      <c r="L78" s="505"/>
      <c r="M78" s="504"/>
      <c r="N78" s="981"/>
    </row>
    <row r="79" spans="1:19" ht="15.75">
      <c r="B79" s="298"/>
      <c r="C79" s="504"/>
      <c r="D79" s="504"/>
      <c r="E79" s="504"/>
      <c r="F79" s="504"/>
      <c r="G79" s="504"/>
      <c r="H79" s="504"/>
      <c r="I79" s="504"/>
      <c r="J79" s="504"/>
      <c r="K79" s="504"/>
      <c r="L79" s="505"/>
      <c r="M79" s="504"/>
      <c r="N79" s="981"/>
    </row>
    <row r="80" spans="1:19" ht="15.75">
      <c r="B80" s="298"/>
      <c r="C80" s="504"/>
      <c r="D80" s="504"/>
      <c r="E80" s="504"/>
      <c r="F80" s="504"/>
      <c r="G80" s="504"/>
      <c r="H80" s="504"/>
      <c r="I80" s="504"/>
      <c r="J80" s="504"/>
      <c r="K80" s="504"/>
      <c r="L80" s="505"/>
      <c r="M80" s="504"/>
      <c r="N80" s="981"/>
    </row>
    <row r="81" spans="2:14" ht="15.75">
      <c r="B81" s="298"/>
      <c r="C81" s="504"/>
      <c r="D81" s="504"/>
      <c r="E81" s="504"/>
      <c r="F81" s="504"/>
      <c r="G81" s="504"/>
      <c r="H81" s="504"/>
      <c r="I81" s="504"/>
      <c r="J81" s="504"/>
      <c r="K81" s="504"/>
      <c r="L81" s="505"/>
      <c r="M81" s="504"/>
      <c r="N81" s="981"/>
    </row>
    <row r="82" spans="2:14" ht="15.75">
      <c r="B82" s="298"/>
      <c r="C82" s="504"/>
      <c r="D82" s="504"/>
      <c r="E82" s="504"/>
      <c r="F82" s="504"/>
      <c r="G82" s="504"/>
      <c r="H82" s="504"/>
      <c r="I82" s="504"/>
      <c r="J82" s="504"/>
      <c r="K82" s="504"/>
      <c r="L82" s="505"/>
      <c r="M82" s="504"/>
      <c r="N82" s="981"/>
    </row>
    <row r="83" spans="2:14" ht="15.75">
      <c r="B83" s="298"/>
      <c r="C83" s="504"/>
      <c r="D83" s="504"/>
      <c r="E83" s="504"/>
      <c r="F83" s="504"/>
      <c r="G83" s="504"/>
      <c r="H83" s="504"/>
      <c r="I83" s="504"/>
      <c r="J83" s="504"/>
      <c r="K83" s="504"/>
      <c r="L83" s="505"/>
      <c r="M83" s="504"/>
      <c r="N83" s="981"/>
    </row>
    <row r="84" spans="2:14" ht="15.75">
      <c r="B84" s="298"/>
      <c r="C84" s="504"/>
      <c r="D84" s="504"/>
      <c r="E84" s="504"/>
      <c r="F84" s="504"/>
      <c r="G84" s="504"/>
      <c r="H84" s="504"/>
      <c r="I84" s="504"/>
      <c r="J84" s="504"/>
      <c r="K84" s="504"/>
      <c r="L84" s="505"/>
      <c r="M84" s="504"/>
      <c r="N84" s="981"/>
    </row>
    <row r="85" spans="2:14" ht="15.75">
      <c r="B85" s="298"/>
      <c r="C85" s="504"/>
      <c r="D85" s="504"/>
      <c r="E85" s="504"/>
      <c r="F85" s="504"/>
      <c r="G85" s="504"/>
      <c r="H85" s="504"/>
      <c r="I85" s="504"/>
      <c r="J85" s="504"/>
      <c r="K85" s="504"/>
      <c r="L85" s="505"/>
      <c r="M85" s="504"/>
      <c r="N85" s="981"/>
    </row>
    <row r="86" spans="2:14" ht="15.75">
      <c r="B86" s="298"/>
      <c r="C86" s="504"/>
      <c r="D86" s="504"/>
      <c r="E86" s="504"/>
      <c r="F86" s="504"/>
      <c r="G86" s="504"/>
      <c r="H86" s="504"/>
      <c r="I86" s="504"/>
      <c r="J86" s="504"/>
      <c r="K86" s="504"/>
      <c r="L86" s="505"/>
      <c r="M86" s="504"/>
      <c r="N86" s="981"/>
    </row>
    <row r="87" spans="2:14" ht="15.75">
      <c r="B87" s="298"/>
      <c r="C87" s="504"/>
      <c r="D87" s="504"/>
      <c r="E87" s="504"/>
      <c r="F87" s="504"/>
      <c r="G87" s="504"/>
      <c r="H87" s="504"/>
      <c r="I87" s="504"/>
      <c r="J87" s="504"/>
      <c r="K87" s="504"/>
      <c r="L87" s="505"/>
      <c r="M87" s="504"/>
      <c r="N87" s="981"/>
    </row>
    <row r="88" spans="2:14" ht="15.75">
      <c r="B88" s="298"/>
      <c r="C88" s="504"/>
      <c r="D88" s="504"/>
      <c r="E88" s="504"/>
      <c r="F88" s="504"/>
      <c r="G88" s="504"/>
      <c r="H88" s="504"/>
      <c r="I88" s="504"/>
      <c r="J88" s="504"/>
      <c r="K88" s="504"/>
      <c r="L88" s="505"/>
      <c r="M88" s="504"/>
      <c r="N88" s="981"/>
    </row>
    <row r="89" spans="2:14" ht="15.75">
      <c r="B89" s="298"/>
      <c r="C89" s="504"/>
      <c r="D89" s="504"/>
      <c r="E89" s="504"/>
      <c r="F89" s="504"/>
      <c r="G89" s="504"/>
      <c r="H89" s="504"/>
      <c r="I89" s="504"/>
      <c r="J89" s="504"/>
      <c r="K89" s="504"/>
      <c r="L89" s="505"/>
      <c r="M89" s="504"/>
      <c r="N89" s="981"/>
    </row>
    <row r="90" spans="2:14" ht="15.75">
      <c r="B90" s="298"/>
      <c r="C90" s="504"/>
      <c r="D90" s="504"/>
      <c r="E90" s="504"/>
      <c r="F90" s="504"/>
      <c r="G90" s="504"/>
      <c r="H90" s="504"/>
      <c r="I90" s="504"/>
      <c r="J90" s="504"/>
      <c r="K90" s="504"/>
      <c r="L90" s="505"/>
      <c r="M90" s="504"/>
      <c r="N90" s="981"/>
    </row>
    <row r="91" spans="2:14" ht="15.75">
      <c r="B91" s="298"/>
      <c r="C91" s="504"/>
      <c r="D91" s="504"/>
      <c r="E91" s="504"/>
      <c r="F91" s="504"/>
      <c r="G91" s="504"/>
      <c r="H91" s="504"/>
      <c r="I91" s="504"/>
      <c r="J91" s="504"/>
      <c r="K91" s="504"/>
      <c r="L91" s="505"/>
      <c r="M91" s="504"/>
      <c r="N91" s="981"/>
    </row>
    <row r="92" spans="2:14" ht="15.75">
      <c r="B92" s="298"/>
      <c r="C92" s="504"/>
      <c r="D92" s="504"/>
      <c r="E92" s="504"/>
      <c r="F92" s="504"/>
      <c r="G92" s="504"/>
      <c r="H92" s="504"/>
      <c r="I92" s="504"/>
      <c r="J92" s="504"/>
      <c r="K92" s="504"/>
      <c r="L92" s="505"/>
      <c r="M92" s="504"/>
      <c r="N92" s="981"/>
    </row>
    <row r="93" spans="2:14" ht="15.75">
      <c r="B93" s="298"/>
      <c r="C93" s="504"/>
      <c r="D93" s="504"/>
      <c r="E93" s="504"/>
      <c r="F93" s="504"/>
      <c r="G93" s="504"/>
      <c r="H93" s="504"/>
      <c r="I93" s="504"/>
      <c r="J93" s="504"/>
      <c r="K93" s="504"/>
      <c r="L93" s="505"/>
      <c r="M93" s="504"/>
      <c r="N93" s="981"/>
    </row>
    <row r="94" spans="2:14" ht="15.75">
      <c r="B94" s="298"/>
      <c r="C94" s="504"/>
      <c r="D94" s="504"/>
      <c r="E94" s="504"/>
      <c r="F94" s="504"/>
      <c r="G94" s="504"/>
      <c r="H94" s="504"/>
      <c r="I94" s="504"/>
      <c r="J94" s="504"/>
      <c r="K94" s="504"/>
      <c r="L94" s="505"/>
      <c r="M94" s="504"/>
      <c r="N94" s="981"/>
    </row>
    <row r="95" spans="2:14" ht="15.75">
      <c r="B95" s="298"/>
      <c r="C95" s="504"/>
      <c r="D95" s="504"/>
      <c r="E95" s="504"/>
      <c r="F95" s="504"/>
      <c r="G95" s="504"/>
      <c r="H95" s="504"/>
      <c r="I95" s="504"/>
      <c r="J95" s="504"/>
      <c r="K95" s="504"/>
      <c r="L95" s="505"/>
      <c r="M95" s="504"/>
      <c r="N95" s="981"/>
    </row>
    <row r="96" spans="2:14" ht="15.75">
      <c r="B96" s="298"/>
      <c r="C96" s="504"/>
      <c r="D96" s="504"/>
      <c r="E96" s="504"/>
      <c r="F96" s="504"/>
      <c r="G96" s="504"/>
      <c r="H96" s="504"/>
      <c r="I96" s="504"/>
      <c r="J96" s="504"/>
      <c r="K96" s="504"/>
      <c r="L96" s="505"/>
      <c r="M96" s="504"/>
      <c r="N96" s="981"/>
    </row>
    <row r="97" spans="2:14" ht="15.75">
      <c r="B97" s="298"/>
      <c r="C97" s="504"/>
      <c r="D97" s="504"/>
      <c r="E97" s="504"/>
      <c r="F97" s="504"/>
      <c r="G97" s="504"/>
      <c r="H97" s="504"/>
      <c r="I97" s="504"/>
      <c r="J97" s="504"/>
      <c r="K97" s="504"/>
      <c r="L97" s="505"/>
      <c r="M97" s="504"/>
      <c r="N97" s="981"/>
    </row>
    <row r="98" spans="2:14" ht="15.75">
      <c r="B98" s="298"/>
      <c r="C98" s="504"/>
      <c r="D98" s="504"/>
      <c r="E98" s="504"/>
      <c r="F98" s="504"/>
      <c r="G98" s="504"/>
      <c r="H98" s="504"/>
      <c r="I98" s="504"/>
      <c r="J98" s="504"/>
      <c r="K98" s="504"/>
      <c r="L98" s="505"/>
      <c r="M98" s="504"/>
      <c r="N98" s="981"/>
    </row>
    <row r="99" spans="2:14" ht="15.75">
      <c r="B99" s="298"/>
      <c r="C99" s="504"/>
      <c r="D99" s="504"/>
      <c r="E99" s="504"/>
      <c r="F99" s="504"/>
      <c r="G99" s="504"/>
      <c r="H99" s="504"/>
      <c r="I99" s="504"/>
      <c r="J99" s="504"/>
      <c r="K99" s="504"/>
      <c r="L99" s="505"/>
      <c r="M99" s="504"/>
      <c r="N99" s="981"/>
    </row>
    <row r="100" spans="2:14" ht="15.75">
      <c r="B100" s="298"/>
      <c r="C100" s="504"/>
      <c r="D100" s="504"/>
      <c r="E100" s="504"/>
      <c r="F100" s="504"/>
      <c r="G100" s="504"/>
      <c r="H100" s="504"/>
      <c r="I100" s="504"/>
      <c r="J100" s="504"/>
      <c r="K100" s="504"/>
      <c r="L100" s="505"/>
      <c r="M100" s="504"/>
      <c r="N100" s="981"/>
    </row>
    <row r="101" spans="2:14" ht="15.75">
      <c r="B101" s="298"/>
      <c r="C101" s="504"/>
      <c r="D101" s="504"/>
      <c r="E101" s="504"/>
      <c r="F101" s="504"/>
      <c r="G101" s="504"/>
      <c r="H101" s="504"/>
      <c r="I101" s="504"/>
      <c r="J101" s="504"/>
      <c r="K101" s="504"/>
      <c r="L101" s="505"/>
      <c r="M101" s="504"/>
      <c r="N101" s="981"/>
    </row>
    <row r="102" spans="2:14" ht="15.75">
      <c r="B102" s="298"/>
      <c r="C102" s="504"/>
      <c r="D102" s="504"/>
      <c r="E102" s="504"/>
      <c r="F102" s="504"/>
      <c r="G102" s="504"/>
      <c r="H102" s="504"/>
      <c r="I102" s="504"/>
      <c r="J102" s="504"/>
      <c r="K102" s="504"/>
      <c r="L102" s="505"/>
      <c r="M102" s="504"/>
      <c r="N102" s="981"/>
    </row>
    <row r="103" spans="2:14" ht="15.75">
      <c r="B103" s="298"/>
      <c r="C103" s="504"/>
      <c r="D103" s="504"/>
      <c r="E103" s="504"/>
      <c r="F103" s="504"/>
      <c r="G103" s="504"/>
      <c r="H103" s="504"/>
      <c r="I103" s="504"/>
      <c r="J103" s="504"/>
      <c r="K103" s="504"/>
      <c r="L103" s="505"/>
      <c r="M103" s="504"/>
      <c r="N103" s="981"/>
    </row>
    <row r="104" spans="2:14" ht="15.75">
      <c r="B104" s="298"/>
      <c r="C104" s="504"/>
      <c r="D104" s="504"/>
      <c r="E104" s="504"/>
      <c r="F104" s="504"/>
      <c r="G104" s="504"/>
      <c r="H104" s="504"/>
      <c r="I104" s="504"/>
      <c r="J104" s="504"/>
      <c r="K104" s="504"/>
      <c r="L104" s="505"/>
      <c r="M104" s="504"/>
      <c r="N104" s="981"/>
    </row>
    <row r="105" spans="2:14" ht="15.75">
      <c r="B105" s="298"/>
      <c r="C105" s="504"/>
      <c r="D105" s="504"/>
      <c r="E105" s="504"/>
      <c r="F105" s="504"/>
      <c r="G105" s="504"/>
      <c r="H105" s="504"/>
      <c r="I105" s="504"/>
      <c r="J105" s="504"/>
      <c r="K105" s="504"/>
      <c r="L105" s="505"/>
      <c r="M105" s="504"/>
      <c r="N105" s="981"/>
    </row>
    <row r="106" spans="2:14" ht="15.75">
      <c r="B106" s="298"/>
      <c r="C106" s="504"/>
      <c r="D106" s="504"/>
      <c r="E106" s="504"/>
      <c r="F106" s="504"/>
      <c r="G106" s="504"/>
      <c r="H106" s="504"/>
      <c r="I106" s="504"/>
      <c r="J106" s="504"/>
      <c r="K106" s="504"/>
      <c r="L106" s="505"/>
      <c r="M106" s="504"/>
      <c r="N106" s="981"/>
    </row>
    <row r="107" spans="2:14" ht="15.75">
      <c r="B107" s="298"/>
      <c r="C107" s="504"/>
      <c r="D107" s="504"/>
      <c r="E107" s="504"/>
      <c r="F107" s="504"/>
      <c r="G107" s="504"/>
      <c r="H107" s="504"/>
      <c r="I107" s="504"/>
      <c r="J107" s="504"/>
      <c r="K107" s="504"/>
      <c r="L107" s="505"/>
      <c r="M107" s="504"/>
      <c r="N107" s="981"/>
    </row>
    <row r="108" spans="2:14" ht="15.75">
      <c r="B108" s="298"/>
      <c r="C108" s="504"/>
      <c r="D108" s="504"/>
      <c r="E108" s="504"/>
      <c r="F108" s="504"/>
      <c r="G108" s="504"/>
      <c r="H108" s="504"/>
      <c r="I108" s="504"/>
      <c r="J108" s="504"/>
      <c r="K108" s="504"/>
      <c r="L108" s="505"/>
      <c r="M108" s="504"/>
      <c r="N108" s="981"/>
    </row>
    <row r="109" spans="2:14" ht="15.75">
      <c r="B109" s="298"/>
      <c r="C109" s="504"/>
      <c r="D109" s="504"/>
      <c r="E109" s="504"/>
      <c r="F109" s="504"/>
      <c r="G109" s="504"/>
      <c r="H109" s="504"/>
      <c r="I109" s="504"/>
      <c r="J109" s="504"/>
      <c r="K109" s="504"/>
      <c r="L109" s="505"/>
      <c r="M109" s="504"/>
      <c r="N109" s="981"/>
    </row>
    <row r="110" spans="2:14" ht="15.75">
      <c r="B110" s="298"/>
      <c r="C110" s="504"/>
      <c r="D110" s="504"/>
      <c r="E110" s="504"/>
      <c r="F110" s="504"/>
      <c r="G110" s="504"/>
      <c r="H110" s="504"/>
      <c r="I110" s="504"/>
      <c r="J110" s="504"/>
      <c r="K110" s="504"/>
      <c r="L110" s="505"/>
      <c r="M110" s="504"/>
      <c r="N110" s="981"/>
    </row>
    <row r="111" spans="2:14" ht="15.75">
      <c r="B111" s="298"/>
      <c r="C111" s="504"/>
      <c r="D111" s="504"/>
      <c r="E111" s="504"/>
      <c r="F111" s="504"/>
      <c r="G111" s="504"/>
      <c r="H111" s="504"/>
      <c r="I111" s="504"/>
      <c r="J111" s="504"/>
      <c r="K111" s="504"/>
      <c r="L111" s="505"/>
      <c r="M111" s="504"/>
      <c r="N111" s="981"/>
    </row>
    <row r="112" spans="2:14" ht="15.75">
      <c r="B112" s="298"/>
      <c r="C112" s="504"/>
      <c r="D112" s="504"/>
      <c r="E112" s="504"/>
      <c r="F112" s="504"/>
      <c r="G112" s="504"/>
      <c r="H112" s="504"/>
      <c r="I112" s="504"/>
      <c r="J112" s="504"/>
      <c r="K112" s="504"/>
      <c r="L112" s="505"/>
      <c r="M112" s="504"/>
      <c r="N112" s="981"/>
    </row>
    <row r="113" spans="2:14" ht="15.75">
      <c r="B113" s="298"/>
      <c r="C113" s="504"/>
      <c r="D113" s="504"/>
      <c r="E113" s="504"/>
      <c r="F113" s="504"/>
      <c r="G113" s="504"/>
      <c r="H113" s="504"/>
      <c r="I113" s="504"/>
      <c r="J113" s="504"/>
      <c r="K113" s="504"/>
      <c r="L113" s="505"/>
      <c r="M113" s="504"/>
      <c r="N113" s="981"/>
    </row>
    <row r="114" spans="2:14" ht="15.75">
      <c r="B114" s="298"/>
      <c r="C114" s="504"/>
      <c r="D114" s="504"/>
      <c r="E114" s="504"/>
      <c r="F114" s="504"/>
      <c r="G114" s="504"/>
      <c r="H114" s="504"/>
      <c r="I114" s="504"/>
      <c r="J114" s="504"/>
      <c r="K114" s="504"/>
      <c r="L114" s="505"/>
      <c r="M114" s="504"/>
      <c r="N114" s="981"/>
    </row>
    <row r="115" spans="2:14" ht="15.75">
      <c r="B115" s="298"/>
      <c r="C115" s="504"/>
      <c r="D115" s="504"/>
      <c r="E115" s="504"/>
      <c r="F115" s="504"/>
      <c r="G115" s="504"/>
      <c r="H115" s="504"/>
      <c r="I115" s="504"/>
      <c r="J115" s="504"/>
      <c r="K115" s="504"/>
      <c r="L115" s="505"/>
      <c r="M115" s="504"/>
      <c r="N115" s="981"/>
    </row>
    <row r="116" spans="2:14" ht="15.75">
      <c r="B116" s="298"/>
      <c r="C116" s="504"/>
      <c r="D116" s="504"/>
      <c r="E116" s="504"/>
      <c r="F116" s="504"/>
      <c r="G116" s="504"/>
      <c r="H116" s="504"/>
      <c r="I116" s="504"/>
      <c r="J116" s="504"/>
      <c r="K116" s="504"/>
      <c r="L116" s="505"/>
      <c r="M116" s="504"/>
      <c r="N116" s="981"/>
    </row>
    <row r="117" spans="2:14" ht="15.75">
      <c r="B117" s="298"/>
      <c r="C117" s="504"/>
      <c r="D117" s="504"/>
      <c r="E117" s="504"/>
      <c r="F117" s="504"/>
      <c r="G117" s="504"/>
      <c r="H117" s="504"/>
      <c r="I117" s="504"/>
      <c r="J117" s="504"/>
      <c r="K117" s="504"/>
      <c r="L117" s="505"/>
      <c r="M117" s="504"/>
      <c r="N117" s="981"/>
    </row>
    <row r="118" spans="2:14" ht="15.75">
      <c r="B118" s="298"/>
      <c r="C118" s="504"/>
      <c r="D118" s="504"/>
      <c r="E118" s="504"/>
      <c r="F118" s="504"/>
      <c r="G118" s="504"/>
      <c r="H118" s="504"/>
      <c r="I118" s="504"/>
      <c r="J118" s="504"/>
      <c r="K118" s="504"/>
      <c r="L118" s="505"/>
      <c r="M118" s="504"/>
      <c r="N118" s="981"/>
    </row>
    <row r="119" spans="2:14" ht="15.75">
      <c r="B119" s="298"/>
      <c r="C119" s="504"/>
      <c r="D119" s="504"/>
      <c r="E119" s="504"/>
      <c r="F119" s="504"/>
      <c r="G119" s="504"/>
      <c r="H119" s="504"/>
      <c r="I119" s="504"/>
      <c r="J119" s="504"/>
      <c r="K119" s="504"/>
      <c r="L119" s="505"/>
      <c r="M119" s="504"/>
      <c r="N119" s="981"/>
    </row>
    <row r="120" spans="2:14" ht="15.75">
      <c r="B120" s="298"/>
      <c r="C120" s="504"/>
      <c r="D120" s="504"/>
      <c r="E120" s="504"/>
      <c r="F120" s="504"/>
      <c r="G120" s="504"/>
      <c r="H120" s="504"/>
      <c r="I120" s="504"/>
      <c r="J120" s="504"/>
      <c r="K120" s="504"/>
      <c r="L120" s="505"/>
      <c r="M120" s="504"/>
      <c r="N120" s="981"/>
    </row>
    <row r="121" spans="2:14" ht="15.75">
      <c r="B121" s="298"/>
      <c r="C121" s="504"/>
      <c r="D121" s="504"/>
      <c r="E121" s="504"/>
      <c r="F121" s="504"/>
      <c r="G121" s="504"/>
      <c r="H121" s="504"/>
      <c r="I121" s="504"/>
      <c r="J121" s="504"/>
      <c r="K121" s="504"/>
      <c r="L121" s="505"/>
      <c r="M121" s="504"/>
      <c r="N121" s="981"/>
    </row>
    <row r="122" spans="2:14" ht="15.75">
      <c r="B122" s="298"/>
      <c r="C122" s="504"/>
      <c r="D122" s="504"/>
      <c r="E122" s="504"/>
      <c r="F122" s="504"/>
      <c r="G122" s="504"/>
      <c r="H122" s="504"/>
      <c r="I122" s="504"/>
      <c r="J122" s="504"/>
      <c r="K122" s="504"/>
      <c r="L122" s="505"/>
      <c r="M122" s="504"/>
      <c r="N122" s="981"/>
    </row>
    <row r="123" spans="2:14" ht="15.75">
      <c r="B123" s="298"/>
      <c r="C123" s="504"/>
      <c r="D123" s="504"/>
      <c r="E123" s="504"/>
      <c r="F123" s="504"/>
      <c r="G123" s="504"/>
      <c r="H123" s="504"/>
      <c r="I123" s="504"/>
      <c r="J123" s="504"/>
      <c r="K123" s="504"/>
      <c r="L123" s="505"/>
      <c r="M123" s="504"/>
      <c r="N123" s="981"/>
    </row>
    <row r="124" spans="2:14" ht="15.75">
      <c r="B124" s="298"/>
      <c r="C124" s="504"/>
      <c r="D124" s="504"/>
      <c r="E124" s="504"/>
      <c r="F124" s="504"/>
      <c r="G124" s="504"/>
      <c r="H124" s="504"/>
      <c r="I124" s="504"/>
      <c r="J124" s="504"/>
      <c r="K124" s="504"/>
      <c r="L124" s="505"/>
      <c r="M124" s="504"/>
      <c r="N124" s="981"/>
    </row>
  </sheetData>
  <mergeCells count="4">
    <mergeCell ref="B1:N1"/>
    <mergeCell ref="B4:N4"/>
    <mergeCell ref="B3:N3"/>
    <mergeCell ref="B36:N36"/>
  </mergeCells>
  <printOptions horizontalCentered="1"/>
  <pageMargins left="0.5" right="0.5" top="0.5" bottom="0.5" header="0.5" footer="0.5"/>
  <pageSetup scale="74"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8">
    <tabColor rgb="FFFFFF00"/>
  </sheetPr>
  <dimension ref="A1:W76"/>
  <sheetViews>
    <sheetView showGridLines="0" view="pageBreakPreview" topLeftCell="A2" zoomScaleNormal="100" zoomScaleSheetLayoutView="100" workbookViewId="0">
      <selection activeCell="A6" sqref="A6"/>
    </sheetView>
  </sheetViews>
  <sheetFormatPr defaultColWidth="9.140625" defaultRowHeight="12.75"/>
  <cols>
    <col min="1" max="1" width="29.7109375" style="365" bestFit="1" customWidth="1"/>
    <col min="2" max="2" width="1.85546875" style="365" customWidth="1"/>
    <col min="3" max="3" width="12.85546875" style="365" customWidth="1"/>
    <col min="4" max="4" width="0.85546875" style="365" customWidth="1"/>
    <col min="5" max="5" width="12.85546875" style="365" customWidth="1"/>
    <col min="6" max="6" width="0.85546875" style="365" customWidth="1"/>
    <col min="7" max="7" width="12.85546875" style="365" customWidth="1"/>
    <col min="8" max="8" width="0.85546875" style="365" customWidth="1"/>
    <col min="9" max="9" width="12.85546875" style="365" customWidth="1"/>
    <col min="10" max="10" width="0.85546875" style="365" customWidth="1"/>
    <col min="11" max="11" width="12.85546875" style="365" customWidth="1"/>
    <col min="12" max="12" width="9.140625" style="365"/>
    <col min="13" max="13" width="23" style="365" bestFit="1" customWidth="1"/>
    <col min="14" max="14" width="12" style="365" bestFit="1" customWidth="1"/>
    <col min="15" max="15" width="12.5703125" style="365" bestFit="1" customWidth="1"/>
    <col min="16" max="16" width="12.5703125" style="365" customWidth="1"/>
    <col min="17" max="17" width="12" style="365" bestFit="1" customWidth="1"/>
    <col min="18" max="19" width="12" style="365" customWidth="1"/>
    <col min="20" max="20" width="14" style="365" bestFit="1" customWidth="1"/>
    <col min="21" max="254" width="9.140625" style="365"/>
    <col min="255" max="255" width="32.7109375" style="365" bestFit="1" customWidth="1"/>
    <col min="256" max="256" width="1.85546875" style="365" customWidth="1"/>
    <col min="257" max="257" width="12.85546875" style="365" customWidth="1"/>
    <col min="258" max="258" width="0.85546875" style="365" customWidth="1"/>
    <col min="259" max="259" width="12.85546875" style="365" customWidth="1"/>
    <col min="260" max="260" width="0.85546875" style="365" customWidth="1"/>
    <col min="261" max="261" width="12.85546875" style="365" customWidth="1"/>
    <col min="262" max="262" width="0.85546875" style="365" customWidth="1"/>
    <col min="263" max="263" width="12.85546875" style="365" customWidth="1"/>
    <col min="264" max="264" width="0.85546875" style="365" customWidth="1"/>
    <col min="265" max="265" width="12.85546875" style="365" customWidth="1"/>
    <col min="266" max="266" width="0.85546875" style="365" customWidth="1"/>
    <col min="267" max="267" width="12.85546875" style="365" customWidth="1"/>
    <col min="268" max="268" width="9.140625" style="365"/>
    <col min="269" max="269" width="23" style="365" bestFit="1" customWidth="1"/>
    <col min="270" max="270" width="12" style="365" bestFit="1" customWidth="1"/>
    <col min="271" max="271" width="12.5703125" style="365" bestFit="1" customWidth="1"/>
    <col min="272" max="272" width="12.5703125" style="365" customWidth="1"/>
    <col min="273" max="273" width="12" style="365" bestFit="1" customWidth="1"/>
    <col min="274" max="275" width="12" style="365" customWidth="1"/>
    <col min="276" max="276" width="14" style="365" bestFit="1" customWidth="1"/>
    <col min="277" max="510" width="9.140625" style="365"/>
    <col min="511" max="511" width="32.7109375" style="365" bestFit="1" customWidth="1"/>
    <col min="512" max="512" width="1.85546875" style="365" customWidth="1"/>
    <col min="513" max="513" width="12.85546875" style="365" customWidth="1"/>
    <col min="514" max="514" width="0.85546875" style="365" customWidth="1"/>
    <col min="515" max="515" width="12.85546875" style="365" customWidth="1"/>
    <col min="516" max="516" width="0.85546875" style="365" customWidth="1"/>
    <col min="517" max="517" width="12.85546875" style="365" customWidth="1"/>
    <col min="518" max="518" width="0.85546875" style="365" customWidth="1"/>
    <col min="519" max="519" width="12.85546875" style="365" customWidth="1"/>
    <col min="520" max="520" width="0.85546875" style="365" customWidth="1"/>
    <col min="521" max="521" width="12.85546875" style="365" customWidth="1"/>
    <col min="522" max="522" width="0.85546875" style="365" customWidth="1"/>
    <col min="523" max="523" width="12.85546875" style="365" customWidth="1"/>
    <col min="524" max="524" width="9.140625" style="365"/>
    <col min="525" max="525" width="23" style="365" bestFit="1" customWidth="1"/>
    <col min="526" max="526" width="12" style="365" bestFit="1" customWidth="1"/>
    <col min="527" max="527" width="12.5703125" style="365" bestFit="1" customWidth="1"/>
    <col min="528" max="528" width="12.5703125" style="365" customWidth="1"/>
    <col min="529" max="529" width="12" style="365" bestFit="1" customWidth="1"/>
    <col min="530" max="531" width="12" style="365" customWidth="1"/>
    <col min="532" max="532" width="14" style="365" bestFit="1" customWidth="1"/>
    <col min="533" max="766" width="9.140625" style="365"/>
    <col min="767" max="767" width="32.7109375" style="365" bestFit="1" customWidth="1"/>
    <col min="768" max="768" width="1.85546875" style="365" customWidth="1"/>
    <col min="769" max="769" width="12.85546875" style="365" customWidth="1"/>
    <col min="770" max="770" width="0.85546875" style="365" customWidth="1"/>
    <col min="771" max="771" width="12.85546875" style="365" customWidth="1"/>
    <col min="772" max="772" width="0.85546875" style="365" customWidth="1"/>
    <col min="773" max="773" width="12.85546875" style="365" customWidth="1"/>
    <col min="774" max="774" width="0.85546875" style="365" customWidth="1"/>
    <col min="775" max="775" width="12.85546875" style="365" customWidth="1"/>
    <col min="776" max="776" width="0.85546875" style="365" customWidth="1"/>
    <col min="777" max="777" width="12.85546875" style="365" customWidth="1"/>
    <col min="778" max="778" width="0.85546875" style="365" customWidth="1"/>
    <col min="779" max="779" width="12.85546875" style="365" customWidth="1"/>
    <col min="780" max="780" width="9.140625" style="365"/>
    <col min="781" max="781" width="23" style="365" bestFit="1" customWidth="1"/>
    <col min="782" max="782" width="12" style="365" bestFit="1" customWidth="1"/>
    <col min="783" max="783" width="12.5703125" style="365" bestFit="1" customWidth="1"/>
    <col min="784" max="784" width="12.5703125" style="365" customWidth="1"/>
    <col min="785" max="785" width="12" style="365" bestFit="1" customWidth="1"/>
    <col min="786" max="787" width="12" style="365" customWidth="1"/>
    <col min="788" max="788" width="14" style="365" bestFit="1" customWidth="1"/>
    <col min="789" max="1022" width="9.140625" style="365"/>
    <col min="1023" max="1023" width="32.7109375" style="365" bestFit="1" customWidth="1"/>
    <col min="1024" max="1024" width="1.85546875" style="365" customWidth="1"/>
    <col min="1025" max="1025" width="12.85546875" style="365" customWidth="1"/>
    <col min="1026" max="1026" width="0.85546875" style="365" customWidth="1"/>
    <col min="1027" max="1027" width="12.85546875" style="365" customWidth="1"/>
    <col min="1028" max="1028" width="0.85546875" style="365" customWidth="1"/>
    <col min="1029" max="1029" width="12.85546875" style="365" customWidth="1"/>
    <col min="1030" max="1030" width="0.85546875" style="365" customWidth="1"/>
    <col min="1031" max="1031" width="12.85546875" style="365" customWidth="1"/>
    <col min="1032" max="1032" width="0.85546875" style="365" customWidth="1"/>
    <col min="1033" max="1033" width="12.85546875" style="365" customWidth="1"/>
    <col min="1034" max="1034" width="0.85546875" style="365" customWidth="1"/>
    <col min="1035" max="1035" width="12.85546875" style="365" customWidth="1"/>
    <col min="1036" max="1036" width="9.140625" style="365"/>
    <col min="1037" max="1037" width="23" style="365" bestFit="1" customWidth="1"/>
    <col min="1038" max="1038" width="12" style="365" bestFit="1" customWidth="1"/>
    <col min="1039" max="1039" width="12.5703125" style="365" bestFit="1" customWidth="1"/>
    <col min="1040" max="1040" width="12.5703125" style="365" customWidth="1"/>
    <col min="1041" max="1041" width="12" style="365" bestFit="1" customWidth="1"/>
    <col min="1042" max="1043" width="12" style="365" customWidth="1"/>
    <col min="1044" max="1044" width="14" style="365" bestFit="1" customWidth="1"/>
    <col min="1045" max="1278" width="9.140625" style="365"/>
    <col min="1279" max="1279" width="32.7109375" style="365" bestFit="1" customWidth="1"/>
    <col min="1280" max="1280" width="1.85546875" style="365" customWidth="1"/>
    <col min="1281" max="1281" width="12.85546875" style="365" customWidth="1"/>
    <col min="1282" max="1282" width="0.85546875" style="365" customWidth="1"/>
    <col min="1283" max="1283" width="12.85546875" style="365" customWidth="1"/>
    <col min="1284" max="1284" width="0.85546875" style="365" customWidth="1"/>
    <col min="1285" max="1285" width="12.85546875" style="365" customWidth="1"/>
    <col min="1286" max="1286" width="0.85546875" style="365" customWidth="1"/>
    <col min="1287" max="1287" width="12.85546875" style="365" customWidth="1"/>
    <col min="1288" max="1288" width="0.85546875" style="365" customWidth="1"/>
    <col min="1289" max="1289" width="12.85546875" style="365" customWidth="1"/>
    <col min="1290" max="1290" width="0.85546875" style="365" customWidth="1"/>
    <col min="1291" max="1291" width="12.85546875" style="365" customWidth="1"/>
    <col min="1292" max="1292" width="9.140625" style="365"/>
    <col min="1293" max="1293" width="23" style="365" bestFit="1" customWidth="1"/>
    <col min="1294" max="1294" width="12" style="365" bestFit="1" customWidth="1"/>
    <col min="1295" max="1295" width="12.5703125" style="365" bestFit="1" customWidth="1"/>
    <col min="1296" max="1296" width="12.5703125" style="365" customWidth="1"/>
    <col min="1297" max="1297" width="12" style="365" bestFit="1" customWidth="1"/>
    <col min="1298" max="1299" width="12" style="365" customWidth="1"/>
    <col min="1300" max="1300" width="14" style="365" bestFit="1" customWidth="1"/>
    <col min="1301" max="1534" width="9.140625" style="365"/>
    <col min="1535" max="1535" width="32.7109375" style="365" bestFit="1" customWidth="1"/>
    <col min="1536" max="1536" width="1.85546875" style="365" customWidth="1"/>
    <col min="1537" max="1537" width="12.85546875" style="365" customWidth="1"/>
    <col min="1538" max="1538" width="0.85546875" style="365" customWidth="1"/>
    <col min="1539" max="1539" width="12.85546875" style="365" customWidth="1"/>
    <col min="1540" max="1540" width="0.85546875" style="365" customWidth="1"/>
    <col min="1541" max="1541" width="12.85546875" style="365" customWidth="1"/>
    <col min="1542" max="1542" width="0.85546875" style="365" customWidth="1"/>
    <col min="1543" max="1543" width="12.85546875" style="365" customWidth="1"/>
    <col min="1544" max="1544" width="0.85546875" style="365" customWidth="1"/>
    <col min="1545" max="1545" width="12.85546875" style="365" customWidth="1"/>
    <col min="1546" max="1546" width="0.85546875" style="365" customWidth="1"/>
    <col min="1547" max="1547" width="12.85546875" style="365" customWidth="1"/>
    <col min="1548" max="1548" width="9.140625" style="365"/>
    <col min="1549" max="1549" width="23" style="365" bestFit="1" customWidth="1"/>
    <col min="1550" max="1550" width="12" style="365" bestFit="1" customWidth="1"/>
    <col min="1551" max="1551" width="12.5703125" style="365" bestFit="1" customWidth="1"/>
    <col min="1552" max="1552" width="12.5703125" style="365" customWidth="1"/>
    <col min="1553" max="1553" width="12" style="365" bestFit="1" customWidth="1"/>
    <col min="1554" max="1555" width="12" style="365" customWidth="1"/>
    <col min="1556" max="1556" width="14" style="365" bestFit="1" customWidth="1"/>
    <col min="1557" max="1790" width="9.140625" style="365"/>
    <col min="1791" max="1791" width="32.7109375" style="365" bestFit="1" customWidth="1"/>
    <col min="1792" max="1792" width="1.85546875" style="365" customWidth="1"/>
    <col min="1793" max="1793" width="12.85546875" style="365" customWidth="1"/>
    <col min="1794" max="1794" width="0.85546875" style="365" customWidth="1"/>
    <col min="1795" max="1795" width="12.85546875" style="365" customWidth="1"/>
    <col min="1796" max="1796" width="0.85546875" style="365" customWidth="1"/>
    <col min="1797" max="1797" width="12.85546875" style="365" customWidth="1"/>
    <col min="1798" max="1798" width="0.85546875" style="365" customWidth="1"/>
    <col min="1799" max="1799" width="12.85546875" style="365" customWidth="1"/>
    <col min="1800" max="1800" width="0.85546875" style="365" customWidth="1"/>
    <col min="1801" max="1801" width="12.85546875" style="365" customWidth="1"/>
    <col min="1802" max="1802" width="0.85546875" style="365" customWidth="1"/>
    <col min="1803" max="1803" width="12.85546875" style="365" customWidth="1"/>
    <col min="1804" max="1804" width="9.140625" style="365"/>
    <col min="1805" max="1805" width="23" style="365" bestFit="1" customWidth="1"/>
    <col min="1806" max="1806" width="12" style="365" bestFit="1" customWidth="1"/>
    <col min="1807" max="1807" width="12.5703125" style="365" bestFit="1" customWidth="1"/>
    <col min="1808" max="1808" width="12.5703125" style="365" customWidth="1"/>
    <col min="1809" max="1809" width="12" style="365" bestFit="1" customWidth="1"/>
    <col min="1810" max="1811" width="12" style="365" customWidth="1"/>
    <col min="1812" max="1812" width="14" style="365" bestFit="1" customWidth="1"/>
    <col min="1813" max="2046" width="9.140625" style="365"/>
    <col min="2047" max="2047" width="32.7109375" style="365" bestFit="1" customWidth="1"/>
    <col min="2048" max="2048" width="1.85546875" style="365" customWidth="1"/>
    <col min="2049" max="2049" width="12.85546875" style="365" customWidth="1"/>
    <col min="2050" max="2050" width="0.85546875" style="365" customWidth="1"/>
    <col min="2051" max="2051" width="12.85546875" style="365" customWidth="1"/>
    <col min="2052" max="2052" width="0.85546875" style="365" customWidth="1"/>
    <col min="2053" max="2053" width="12.85546875" style="365" customWidth="1"/>
    <col min="2054" max="2054" width="0.85546875" style="365" customWidth="1"/>
    <col min="2055" max="2055" width="12.85546875" style="365" customWidth="1"/>
    <col min="2056" max="2056" width="0.85546875" style="365" customWidth="1"/>
    <col min="2057" max="2057" width="12.85546875" style="365" customWidth="1"/>
    <col min="2058" max="2058" width="0.85546875" style="365" customWidth="1"/>
    <col min="2059" max="2059" width="12.85546875" style="365" customWidth="1"/>
    <col min="2060" max="2060" width="9.140625" style="365"/>
    <col min="2061" max="2061" width="23" style="365" bestFit="1" customWidth="1"/>
    <col min="2062" max="2062" width="12" style="365" bestFit="1" customWidth="1"/>
    <col min="2063" max="2063" width="12.5703125" style="365" bestFit="1" customWidth="1"/>
    <col min="2064" max="2064" width="12.5703125" style="365" customWidth="1"/>
    <col min="2065" max="2065" width="12" style="365" bestFit="1" customWidth="1"/>
    <col min="2066" max="2067" width="12" style="365" customWidth="1"/>
    <col min="2068" max="2068" width="14" style="365" bestFit="1" customWidth="1"/>
    <col min="2069" max="2302" width="9.140625" style="365"/>
    <col min="2303" max="2303" width="32.7109375" style="365" bestFit="1" customWidth="1"/>
    <col min="2304" max="2304" width="1.85546875" style="365" customWidth="1"/>
    <col min="2305" max="2305" width="12.85546875" style="365" customWidth="1"/>
    <col min="2306" max="2306" width="0.85546875" style="365" customWidth="1"/>
    <col min="2307" max="2307" width="12.85546875" style="365" customWidth="1"/>
    <col min="2308" max="2308" width="0.85546875" style="365" customWidth="1"/>
    <col min="2309" max="2309" width="12.85546875" style="365" customWidth="1"/>
    <col min="2310" max="2310" width="0.85546875" style="365" customWidth="1"/>
    <col min="2311" max="2311" width="12.85546875" style="365" customWidth="1"/>
    <col min="2312" max="2312" width="0.85546875" style="365" customWidth="1"/>
    <col min="2313" max="2313" width="12.85546875" style="365" customWidth="1"/>
    <col min="2314" max="2314" width="0.85546875" style="365" customWidth="1"/>
    <col min="2315" max="2315" width="12.85546875" style="365" customWidth="1"/>
    <col min="2316" max="2316" width="9.140625" style="365"/>
    <col min="2317" max="2317" width="23" style="365" bestFit="1" customWidth="1"/>
    <col min="2318" max="2318" width="12" style="365" bestFit="1" customWidth="1"/>
    <col min="2319" max="2319" width="12.5703125" style="365" bestFit="1" customWidth="1"/>
    <col min="2320" max="2320" width="12.5703125" style="365" customWidth="1"/>
    <col min="2321" max="2321" width="12" style="365" bestFit="1" customWidth="1"/>
    <col min="2322" max="2323" width="12" style="365" customWidth="1"/>
    <col min="2324" max="2324" width="14" style="365" bestFit="1" customWidth="1"/>
    <col min="2325" max="2558" width="9.140625" style="365"/>
    <col min="2559" max="2559" width="32.7109375" style="365" bestFit="1" customWidth="1"/>
    <col min="2560" max="2560" width="1.85546875" style="365" customWidth="1"/>
    <col min="2561" max="2561" width="12.85546875" style="365" customWidth="1"/>
    <col min="2562" max="2562" width="0.85546875" style="365" customWidth="1"/>
    <col min="2563" max="2563" width="12.85546875" style="365" customWidth="1"/>
    <col min="2564" max="2564" width="0.85546875" style="365" customWidth="1"/>
    <col min="2565" max="2565" width="12.85546875" style="365" customWidth="1"/>
    <col min="2566" max="2566" width="0.85546875" style="365" customWidth="1"/>
    <col min="2567" max="2567" width="12.85546875" style="365" customWidth="1"/>
    <col min="2568" max="2568" width="0.85546875" style="365" customWidth="1"/>
    <col min="2569" max="2569" width="12.85546875" style="365" customWidth="1"/>
    <col min="2570" max="2570" width="0.85546875" style="365" customWidth="1"/>
    <col min="2571" max="2571" width="12.85546875" style="365" customWidth="1"/>
    <col min="2572" max="2572" width="9.140625" style="365"/>
    <col min="2573" max="2573" width="23" style="365" bestFit="1" customWidth="1"/>
    <col min="2574" max="2574" width="12" style="365" bestFit="1" customWidth="1"/>
    <col min="2575" max="2575" width="12.5703125" style="365" bestFit="1" customWidth="1"/>
    <col min="2576" max="2576" width="12.5703125" style="365" customWidth="1"/>
    <col min="2577" max="2577" width="12" style="365" bestFit="1" customWidth="1"/>
    <col min="2578" max="2579" width="12" style="365" customWidth="1"/>
    <col min="2580" max="2580" width="14" style="365" bestFit="1" customWidth="1"/>
    <col min="2581" max="2814" width="9.140625" style="365"/>
    <col min="2815" max="2815" width="32.7109375" style="365" bestFit="1" customWidth="1"/>
    <col min="2816" max="2816" width="1.85546875" style="365" customWidth="1"/>
    <col min="2817" max="2817" width="12.85546875" style="365" customWidth="1"/>
    <col min="2818" max="2818" width="0.85546875" style="365" customWidth="1"/>
    <col min="2819" max="2819" width="12.85546875" style="365" customWidth="1"/>
    <col min="2820" max="2820" width="0.85546875" style="365" customWidth="1"/>
    <col min="2821" max="2821" width="12.85546875" style="365" customWidth="1"/>
    <col min="2822" max="2822" width="0.85546875" style="365" customWidth="1"/>
    <col min="2823" max="2823" width="12.85546875" style="365" customWidth="1"/>
    <col min="2824" max="2824" width="0.85546875" style="365" customWidth="1"/>
    <col min="2825" max="2825" width="12.85546875" style="365" customWidth="1"/>
    <col min="2826" max="2826" width="0.85546875" style="365" customWidth="1"/>
    <col min="2827" max="2827" width="12.85546875" style="365" customWidth="1"/>
    <col min="2828" max="2828" width="9.140625" style="365"/>
    <col min="2829" max="2829" width="23" style="365" bestFit="1" customWidth="1"/>
    <col min="2830" max="2830" width="12" style="365" bestFit="1" customWidth="1"/>
    <col min="2831" max="2831" width="12.5703125" style="365" bestFit="1" customWidth="1"/>
    <col min="2832" max="2832" width="12.5703125" style="365" customWidth="1"/>
    <col min="2833" max="2833" width="12" style="365" bestFit="1" customWidth="1"/>
    <col min="2834" max="2835" width="12" style="365" customWidth="1"/>
    <col min="2836" max="2836" width="14" style="365" bestFit="1" customWidth="1"/>
    <col min="2837" max="3070" width="9.140625" style="365"/>
    <col min="3071" max="3071" width="32.7109375" style="365" bestFit="1" customWidth="1"/>
    <col min="3072" max="3072" width="1.85546875" style="365" customWidth="1"/>
    <col min="3073" max="3073" width="12.85546875" style="365" customWidth="1"/>
    <col min="3074" max="3074" width="0.85546875" style="365" customWidth="1"/>
    <col min="3075" max="3075" width="12.85546875" style="365" customWidth="1"/>
    <col min="3076" max="3076" width="0.85546875" style="365" customWidth="1"/>
    <col min="3077" max="3077" width="12.85546875" style="365" customWidth="1"/>
    <col min="3078" max="3078" width="0.85546875" style="365" customWidth="1"/>
    <col min="3079" max="3079" width="12.85546875" style="365" customWidth="1"/>
    <col min="3080" max="3080" width="0.85546875" style="365" customWidth="1"/>
    <col min="3081" max="3081" width="12.85546875" style="365" customWidth="1"/>
    <col min="3082" max="3082" width="0.85546875" style="365" customWidth="1"/>
    <col min="3083" max="3083" width="12.85546875" style="365" customWidth="1"/>
    <col min="3084" max="3084" width="9.140625" style="365"/>
    <col min="3085" max="3085" width="23" style="365" bestFit="1" customWidth="1"/>
    <col min="3086" max="3086" width="12" style="365" bestFit="1" customWidth="1"/>
    <col min="3087" max="3087" width="12.5703125" style="365" bestFit="1" customWidth="1"/>
    <col min="3088" max="3088" width="12.5703125" style="365" customWidth="1"/>
    <col min="3089" max="3089" width="12" style="365" bestFit="1" customWidth="1"/>
    <col min="3090" max="3091" width="12" style="365" customWidth="1"/>
    <col min="3092" max="3092" width="14" style="365" bestFit="1" customWidth="1"/>
    <col min="3093" max="3326" width="9.140625" style="365"/>
    <col min="3327" max="3327" width="32.7109375" style="365" bestFit="1" customWidth="1"/>
    <col min="3328" max="3328" width="1.85546875" style="365" customWidth="1"/>
    <col min="3329" max="3329" width="12.85546875" style="365" customWidth="1"/>
    <col min="3330" max="3330" width="0.85546875" style="365" customWidth="1"/>
    <col min="3331" max="3331" width="12.85546875" style="365" customWidth="1"/>
    <col min="3332" max="3332" width="0.85546875" style="365" customWidth="1"/>
    <col min="3333" max="3333" width="12.85546875" style="365" customWidth="1"/>
    <col min="3334" max="3334" width="0.85546875" style="365" customWidth="1"/>
    <col min="3335" max="3335" width="12.85546875" style="365" customWidth="1"/>
    <col min="3336" max="3336" width="0.85546875" style="365" customWidth="1"/>
    <col min="3337" max="3337" width="12.85546875" style="365" customWidth="1"/>
    <col min="3338" max="3338" width="0.85546875" style="365" customWidth="1"/>
    <col min="3339" max="3339" width="12.85546875" style="365" customWidth="1"/>
    <col min="3340" max="3340" width="9.140625" style="365"/>
    <col min="3341" max="3341" width="23" style="365" bestFit="1" customWidth="1"/>
    <col min="3342" max="3342" width="12" style="365" bestFit="1" customWidth="1"/>
    <col min="3343" max="3343" width="12.5703125" style="365" bestFit="1" customWidth="1"/>
    <col min="3344" max="3344" width="12.5703125" style="365" customWidth="1"/>
    <col min="3345" max="3345" width="12" style="365" bestFit="1" customWidth="1"/>
    <col min="3346" max="3347" width="12" style="365" customWidth="1"/>
    <col min="3348" max="3348" width="14" style="365" bestFit="1" customWidth="1"/>
    <col min="3349" max="3582" width="9.140625" style="365"/>
    <col min="3583" max="3583" width="32.7109375" style="365" bestFit="1" customWidth="1"/>
    <col min="3584" max="3584" width="1.85546875" style="365" customWidth="1"/>
    <col min="3585" max="3585" width="12.85546875" style="365" customWidth="1"/>
    <col min="3586" max="3586" width="0.85546875" style="365" customWidth="1"/>
    <col min="3587" max="3587" width="12.85546875" style="365" customWidth="1"/>
    <col min="3588" max="3588" width="0.85546875" style="365" customWidth="1"/>
    <col min="3589" max="3589" width="12.85546875" style="365" customWidth="1"/>
    <col min="3590" max="3590" width="0.85546875" style="365" customWidth="1"/>
    <col min="3591" max="3591" width="12.85546875" style="365" customWidth="1"/>
    <col min="3592" max="3592" width="0.85546875" style="365" customWidth="1"/>
    <col min="3593" max="3593" width="12.85546875" style="365" customWidth="1"/>
    <col min="3594" max="3594" width="0.85546875" style="365" customWidth="1"/>
    <col min="3595" max="3595" width="12.85546875" style="365" customWidth="1"/>
    <col min="3596" max="3596" width="9.140625" style="365"/>
    <col min="3597" max="3597" width="23" style="365" bestFit="1" customWidth="1"/>
    <col min="3598" max="3598" width="12" style="365" bestFit="1" customWidth="1"/>
    <col min="3599" max="3599" width="12.5703125" style="365" bestFit="1" customWidth="1"/>
    <col min="3600" max="3600" width="12.5703125" style="365" customWidth="1"/>
    <col min="3601" max="3601" width="12" style="365" bestFit="1" customWidth="1"/>
    <col min="3602" max="3603" width="12" style="365" customWidth="1"/>
    <col min="3604" max="3604" width="14" style="365" bestFit="1" customWidth="1"/>
    <col min="3605" max="3838" width="9.140625" style="365"/>
    <col min="3839" max="3839" width="32.7109375" style="365" bestFit="1" customWidth="1"/>
    <col min="3840" max="3840" width="1.85546875" style="365" customWidth="1"/>
    <col min="3841" max="3841" width="12.85546875" style="365" customWidth="1"/>
    <col min="3842" max="3842" width="0.85546875" style="365" customWidth="1"/>
    <col min="3843" max="3843" width="12.85546875" style="365" customWidth="1"/>
    <col min="3844" max="3844" width="0.85546875" style="365" customWidth="1"/>
    <col min="3845" max="3845" width="12.85546875" style="365" customWidth="1"/>
    <col min="3846" max="3846" width="0.85546875" style="365" customWidth="1"/>
    <col min="3847" max="3847" width="12.85546875" style="365" customWidth="1"/>
    <col min="3848" max="3848" width="0.85546875" style="365" customWidth="1"/>
    <col min="3849" max="3849" width="12.85546875" style="365" customWidth="1"/>
    <col min="3850" max="3850" width="0.85546875" style="365" customWidth="1"/>
    <col min="3851" max="3851" width="12.85546875" style="365" customWidth="1"/>
    <col min="3852" max="3852" width="9.140625" style="365"/>
    <col min="3853" max="3853" width="23" style="365" bestFit="1" customWidth="1"/>
    <col min="3854" max="3854" width="12" style="365" bestFit="1" customWidth="1"/>
    <col min="3855" max="3855" width="12.5703125" style="365" bestFit="1" customWidth="1"/>
    <col min="3856" max="3856" width="12.5703125" style="365" customWidth="1"/>
    <col min="3857" max="3857" width="12" style="365" bestFit="1" customWidth="1"/>
    <col min="3858" max="3859" width="12" style="365" customWidth="1"/>
    <col min="3860" max="3860" width="14" style="365" bestFit="1" customWidth="1"/>
    <col min="3861" max="4094" width="9.140625" style="365"/>
    <col min="4095" max="4095" width="32.7109375" style="365" bestFit="1" customWidth="1"/>
    <col min="4096" max="4096" width="1.85546875" style="365" customWidth="1"/>
    <col min="4097" max="4097" width="12.85546875" style="365" customWidth="1"/>
    <col min="4098" max="4098" width="0.85546875" style="365" customWidth="1"/>
    <col min="4099" max="4099" width="12.85546875" style="365" customWidth="1"/>
    <col min="4100" max="4100" width="0.85546875" style="365" customWidth="1"/>
    <col min="4101" max="4101" width="12.85546875" style="365" customWidth="1"/>
    <col min="4102" max="4102" width="0.85546875" style="365" customWidth="1"/>
    <col min="4103" max="4103" width="12.85546875" style="365" customWidth="1"/>
    <col min="4104" max="4104" width="0.85546875" style="365" customWidth="1"/>
    <col min="4105" max="4105" width="12.85546875" style="365" customWidth="1"/>
    <col min="4106" max="4106" width="0.85546875" style="365" customWidth="1"/>
    <col min="4107" max="4107" width="12.85546875" style="365" customWidth="1"/>
    <col min="4108" max="4108" width="9.140625" style="365"/>
    <col min="4109" max="4109" width="23" style="365" bestFit="1" customWidth="1"/>
    <col min="4110" max="4110" width="12" style="365" bestFit="1" customWidth="1"/>
    <col min="4111" max="4111" width="12.5703125" style="365" bestFit="1" customWidth="1"/>
    <col min="4112" max="4112" width="12.5703125" style="365" customWidth="1"/>
    <col min="4113" max="4113" width="12" style="365" bestFit="1" customWidth="1"/>
    <col min="4114" max="4115" width="12" style="365" customWidth="1"/>
    <col min="4116" max="4116" width="14" style="365" bestFit="1" customWidth="1"/>
    <col min="4117" max="4350" width="9.140625" style="365"/>
    <col min="4351" max="4351" width="32.7109375" style="365" bestFit="1" customWidth="1"/>
    <col min="4352" max="4352" width="1.85546875" style="365" customWidth="1"/>
    <col min="4353" max="4353" width="12.85546875" style="365" customWidth="1"/>
    <col min="4354" max="4354" width="0.85546875" style="365" customWidth="1"/>
    <col min="4355" max="4355" width="12.85546875" style="365" customWidth="1"/>
    <col min="4356" max="4356" width="0.85546875" style="365" customWidth="1"/>
    <col min="4357" max="4357" width="12.85546875" style="365" customWidth="1"/>
    <col min="4358" max="4358" width="0.85546875" style="365" customWidth="1"/>
    <col min="4359" max="4359" width="12.85546875" style="365" customWidth="1"/>
    <col min="4360" max="4360" width="0.85546875" style="365" customWidth="1"/>
    <col min="4361" max="4361" width="12.85546875" style="365" customWidth="1"/>
    <col min="4362" max="4362" width="0.85546875" style="365" customWidth="1"/>
    <col min="4363" max="4363" width="12.85546875" style="365" customWidth="1"/>
    <col min="4364" max="4364" width="9.140625" style="365"/>
    <col min="4365" max="4365" width="23" style="365" bestFit="1" customWidth="1"/>
    <col min="4366" max="4366" width="12" style="365" bestFit="1" customWidth="1"/>
    <col min="4367" max="4367" width="12.5703125" style="365" bestFit="1" customWidth="1"/>
    <col min="4368" max="4368" width="12.5703125" style="365" customWidth="1"/>
    <col min="4369" max="4369" width="12" style="365" bestFit="1" customWidth="1"/>
    <col min="4370" max="4371" width="12" style="365" customWidth="1"/>
    <col min="4372" max="4372" width="14" style="365" bestFit="1" customWidth="1"/>
    <col min="4373" max="4606" width="9.140625" style="365"/>
    <col min="4607" max="4607" width="32.7109375" style="365" bestFit="1" customWidth="1"/>
    <col min="4608" max="4608" width="1.85546875" style="365" customWidth="1"/>
    <col min="4609" max="4609" width="12.85546875" style="365" customWidth="1"/>
    <col min="4610" max="4610" width="0.85546875" style="365" customWidth="1"/>
    <col min="4611" max="4611" width="12.85546875" style="365" customWidth="1"/>
    <col min="4612" max="4612" width="0.85546875" style="365" customWidth="1"/>
    <col min="4613" max="4613" width="12.85546875" style="365" customWidth="1"/>
    <col min="4614" max="4614" width="0.85546875" style="365" customWidth="1"/>
    <col min="4615" max="4615" width="12.85546875" style="365" customWidth="1"/>
    <col min="4616" max="4616" width="0.85546875" style="365" customWidth="1"/>
    <col min="4617" max="4617" width="12.85546875" style="365" customWidth="1"/>
    <col min="4618" max="4618" width="0.85546875" style="365" customWidth="1"/>
    <col min="4619" max="4619" width="12.85546875" style="365" customWidth="1"/>
    <col min="4620" max="4620" width="9.140625" style="365"/>
    <col min="4621" max="4621" width="23" style="365" bestFit="1" customWidth="1"/>
    <col min="4622" max="4622" width="12" style="365" bestFit="1" customWidth="1"/>
    <col min="4623" max="4623" width="12.5703125" style="365" bestFit="1" customWidth="1"/>
    <col min="4624" max="4624" width="12.5703125" style="365" customWidth="1"/>
    <col min="4625" max="4625" width="12" style="365" bestFit="1" customWidth="1"/>
    <col min="4626" max="4627" width="12" style="365" customWidth="1"/>
    <col min="4628" max="4628" width="14" style="365" bestFit="1" customWidth="1"/>
    <col min="4629" max="4862" width="9.140625" style="365"/>
    <col min="4863" max="4863" width="32.7109375" style="365" bestFit="1" customWidth="1"/>
    <col min="4864" max="4864" width="1.85546875" style="365" customWidth="1"/>
    <col min="4865" max="4865" width="12.85546875" style="365" customWidth="1"/>
    <col min="4866" max="4866" width="0.85546875" style="365" customWidth="1"/>
    <col min="4867" max="4867" width="12.85546875" style="365" customWidth="1"/>
    <col min="4868" max="4868" width="0.85546875" style="365" customWidth="1"/>
    <col min="4869" max="4869" width="12.85546875" style="365" customWidth="1"/>
    <col min="4870" max="4870" width="0.85546875" style="365" customWidth="1"/>
    <col min="4871" max="4871" width="12.85546875" style="365" customWidth="1"/>
    <col min="4872" max="4872" width="0.85546875" style="365" customWidth="1"/>
    <col min="4873" max="4873" width="12.85546875" style="365" customWidth="1"/>
    <col min="4874" max="4874" width="0.85546875" style="365" customWidth="1"/>
    <col min="4875" max="4875" width="12.85546875" style="365" customWidth="1"/>
    <col min="4876" max="4876" width="9.140625" style="365"/>
    <col min="4877" max="4877" width="23" style="365" bestFit="1" customWidth="1"/>
    <col min="4878" max="4878" width="12" style="365" bestFit="1" customWidth="1"/>
    <col min="4879" max="4879" width="12.5703125" style="365" bestFit="1" customWidth="1"/>
    <col min="4880" max="4880" width="12.5703125" style="365" customWidth="1"/>
    <col min="4881" max="4881" width="12" style="365" bestFit="1" customWidth="1"/>
    <col min="4882" max="4883" width="12" style="365" customWidth="1"/>
    <col min="4884" max="4884" width="14" style="365" bestFit="1" customWidth="1"/>
    <col min="4885" max="5118" width="9.140625" style="365"/>
    <col min="5119" max="5119" width="32.7109375" style="365" bestFit="1" customWidth="1"/>
    <col min="5120" max="5120" width="1.85546875" style="365" customWidth="1"/>
    <col min="5121" max="5121" width="12.85546875" style="365" customWidth="1"/>
    <col min="5122" max="5122" width="0.85546875" style="365" customWidth="1"/>
    <col min="5123" max="5123" width="12.85546875" style="365" customWidth="1"/>
    <col min="5124" max="5124" width="0.85546875" style="365" customWidth="1"/>
    <col min="5125" max="5125" width="12.85546875" style="365" customWidth="1"/>
    <col min="5126" max="5126" width="0.85546875" style="365" customWidth="1"/>
    <col min="5127" max="5127" width="12.85546875" style="365" customWidth="1"/>
    <col min="5128" max="5128" width="0.85546875" style="365" customWidth="1"/>
    <col min="5129" max="5129" width="12.85546875" style="365" customWidth="1"/>
    <col min="5130" max="5130" width="0.85546875" style="365" customWidth="1"/>
    <col min="5131" max="5131" width="12.85546875" style="365" customWidth="1"/>
    <col min="5132" max="5132" width="9.140625" style="365"/>
    <col min="5133" max="5133" width="23" style="365" bestFit="1" customWidth="1"/>
    <col min="5134" max="5134" width="12" style="365" bestFit="1" customWidth="1"/>
    <col min="5135" max="5135" width="12.5703125" style="365" bestFit="1" customWidth="1"/>
    <col min="5136" max="5136" width="12.5703125" style="365" customWidth="1"/>
    <col min="5137" max="5137" width="12" style="365" bestFit="1" customWidth="1"/>
    <col min="5138" max="5139" width="12" style="365" customWidth="1"/>
    <col min="5140" max="5140" width="14" style="365" bestFit="1" customWidth="1"/>
    <col min="5141" max="5374" width="9.140625" style="365"/>
    <col min="5375" max="5375" width="32.7109375" style="365" bestFit="1" customWidth="1"/>
    <col min="5376" max="5376" width="1.85546875" style="365" customWidth="1"/>
    <col min="5377" max="5377" width="12.85546875" style="365" customWidth="1"/>
    <col min="5378" max="5378" width="0.85546875" style="365" customWidth="1"/>
    <col min="5379" max="5379" width="12.85546875" style="365" customWidth="1"/>
    <col min="5380" max="5380" width="0.85546875" style="365" customWidth="1"/>
    <col min="5381" max="5381" width="12.85546875" style="365" customWidth="1"/>
    <col min="5382" max="5382" width="0.85546875" style="365" customWidth="1"/>
    <col min="5383" max="5383" width="12.85546875" style="365" customWidth="1"/>
    <col min="5384" max="5384" width="0.85546875" style="365" customWidth="1"/>
    <col min="5385" max="5385" width="12.85546875" style="365" customWidth="1"/>
    <col min="5386" max="5386" width="0.85546875" style="365" customWidth="1"/>
    <col min="5387" max="5387" width="12.85546875" style="365" customWidth="1"/>
    <col min="5388" max="5388" width="9.140625" style="365"/>
    <col min="5389" max="5389" width="23" style="365" bestFit="1" customWidth="1"/>
    <col min="5390" max="5390" width="12" style="365" bestFit="1" customWidth="1"/>
    <col min="5391" max="5391" width="12.5703125" style="365" bestFit="1" customWidth="1"/>
    <col min="5392" max="5392" width="12.5703125" style="365" customWidth="1"/>
    <col min="5393" max="5393" width="12" style="365" bestFit="1" customWidth="1"/>
    <col min="5394" max="5395" width="12" style="365" customWidth="1"/>
    <col min="5396" max="5396" width="14" style="365" bestFit="1" customWidth="1"/>
    <col min="5397" max="5630" width="9.140625" style="365"/>
    <col min="5631" max="5631" width="32.7109375" style="365" bestFit="1" customWidth="1"/>
    <col min="5632" max="5632" width="1.85546875" style="365" customWidth="1"/>
    <col min="5633" max="5633" width="12.85546875" style="365" customWidth="1"/>
    <col min="5634" max="5634" width="0.85546875" style="365" customWidth="1"/>
    <col min="5635" max="5635" width="12.85546875" style="365" customWidth="1"/>
    <col min="5636" max="5636" width="0.85546875" style="365" customWidth="1"/>
    <col min="5637" max="5637" width="12.85546875" style="365" customWidth="1"/>
    <col min="5638" max="5638" width="0.85546875" style="365" customWidth="1"/>
    <col min="5639" max="5639" width="12.85546875" style="365" customWidth="1"/>
    <col min="5640" max="5640" width="0.85546875" style="365" customWidth="1"/>
    <col min="5641" max="5641" width="12.85546875" style="365" customWidth="1"/>
    <col min="5642" max="5642" width="0.85546875" style="365" customWidth="1"/>
    <col min="5643" max="5643" width="12.85546875" style="365" customWidth="1"/>
    <col min="5644" max="5644" width="9.140625" style="365"/>
    <col min="5645" max="5645" width="23" style="365" bestFit="1" customWidth="1"/>
    <col min="5646" max="5646" width="12" style="365" bestFit="1" customWidth="1"/>
    <col min="5647" max="5647" width="12.5703125" style="365" bestFit="1" customWidth="1"/>
    <col min="5648" max="5648" width="12.5703125" style="365" customWidth="1"/>
    <col min="5649" max="5649" width="12" style="365" bestFit="1" customWidth="1"/>
    <col min="5650" max="5651" width="12" style="365" customWidth="1"/>
    <col min="5652" max="5652" width="14" style="365" bestFit="1" customWidth="1"/>
    <col min="5653" max="5886" width="9.140625" style="365"/>
    <col min="5887" max="5887" width="32.7109375" style="365" bestFit="1" customWidth="1"/>
    <col min="5888" max="5888" width="1.85546875" style="365" customWidth="1"/>
    <col min="5889" max="5889" width="12.85546875" style="365" customWidth="1"/>
    <col min="5890" max="5890" width="0.85546875" style="365" customWidth="1"/>
    <col min="5891" max="5891" width="12.85546875" style="365" customWidth="1"/>
    <col min="5892" max="5892" width="0.85546875" style="365" customWidth="1"/>
    <col min="5893" max="5893" width="12.85546875" style="365" customWidth="1"/>
    <col min="5894" max="5894" width="0.85546875" style="365" customWidth="1"/>
    <col min="5895" max="5895" width="12.85546875" style="365" customWidth="1"/>
    <col min="5896" max="5896" width="0.85546875" style="365" customWidth="1"/>
    <col min="5897" max="5897" width="12.85546875" style="365" customWidth="1"/>
    <col min="5898" max="5898" width="0.85546875" style="365" customWidth="1"/>
    <col min="5899" max="5899" width="12.85546875" style="365" customWidth="1"/>
    <col min="5900" max="5900" width="9.140625" style="365"/>
    <col min="5901" max="5901" width="23" style="365" bestFit="1" customWidth="1"/>
    <col min="5902" max="5902" width="12" style="365" bestFit="1" customWidth="1"/>
    <col min="5903" max="5903" width="12.5703125" style="365" bestFit="1" customWidth="1"/>
    <col min="5904" max="5904" width="12.5703125" style="365" customWidth="1"/>
    <col min="5905" max="5905" width="12" style="365" bestFit="1" customWidth="1"/>
    <col min="5906" max="5907" width="12" style="365" customWidth="1"/>
    <col min="5908" max="5908" width="14" style="365" bestFit="1" customWidth="1"/>
    <col min="5909" max="6142" width="9.140625" style="365"/>
    <col min="6143" max="6143" width="32.7109375" style="365" bestFit="1" customWidth="1"/>
    <col min="6144" max="6144" width="1.85546875" style="365" customWidth="1"/>
    <col min="6145" max="6145" width="12.85546875" style="365" customWidth="1"/>
    <col min="6146" max="6146" width="0.85546875" style="365" customWidth="1"/>
    <col min="6147" max="6147" width="12.85546875" style="365" customWidth="1"/>
    <col min="6148" max="6148" width="0.85546875" style="365" customWidth="1"/>
    <col min="6149" max="6149" width="12.85546875" style="365" customWidth="1"/>
    <col min="6150" max="6150" width="0.85546875" style="365" customWidth="1"/>
    <col min="6151" max="6151" width="12.85546875" style="365" customWidth="1"/>
    <col min="6152" max="6152" width="0.85546875" style="365" customWidth="1"/>
    <col min="6153" max="6153" width="12.85546875" style="365" customWidth="1"/>
    <col min="6154" max="6154" width="0.85546875" style="365" customWidth="1"/>
    <col min="6155" max="6155" width="12.85546875" style="365" customWidth="1"/>
    <col min="6156" max="6156" width="9.140625" style="365"/>
    <col min="6157" max="6157" width="23" style="365" bestFit="1" customWidth="1"/>
    <col min="6158" max="6158" width="12" style="365" bestFit="1" customWidth="1"/>
    <col min="6159" max="6159" width="12.5703125" style="365" bestFit="1" customWidth="1"/>
    <col min="6160" max="6160" width="12.5703125" style="365" customWidth="1"/>
    <col min="6161" max="6161" width="12" style="365" bestFit="1" customWidth="1"/>
    <col min="6162" max="6163" width="12" style="365" customWidth="1"/>
    <col min="6164" max="6164" width="14" style="365" bestFit="1" customWidth="1"/>
    <col min="6165" max="6398" width="9.140625" style="365"/>
    <col min="6399" max="6399" width="32.7109375" style="365" bestFit="1" customWidth="1"/>
    <col min="6400" max="6400" width="1.85546875" style="365" customWidth="1"/>
    <col min="6401" max="6401" width="12.85546875" style="365" customWidth="1"/>
    <col min="6402" max="6402" width="0.85546875" style="365" customWidth="1"/>
    <col min="6403" max="6403" width="12.85546875" style="365" customWidth="1"/>
    <col min="6404" max="6404" width="0.85546875" style="365" customWidth="1"/>
    <col min="6405" max="6405" width="12.85546875" style="365" customWidth="1"/>
    <col min="6406" max="6406" width="0.85546875" style="365" customWidth="1"/>
    <col min="6407" max="6407" width="12.85546875" style="365" customWidth="1"/>
    <col min="6408" max="6408" width="0.85546875" style="365" customWidth="1"/>
    <col min="6409" max="6409" width="12.85546875" style="365" customWidth="1"/>
    <col min="6410" max="6410" width="0.85546875" style="365" customWidth="1"/>
    <col min="6411" max="6411" width="12.85546875" style="365" customWidth="1"/>
    <col min="6412" max="6412" width="9.140625" style="365"/>
    <col min="6413" max="6413" width="23" style="365" bestFit="1" customWidth="1"/>
    <col min="6414" max="6414" width="12" style="365" bestFit="1" customWidth="1"/>
    <col min="6415" max="6415" width="12.5703125" style="365" bestFit="1" customWidth="1"/>
    <col min="6416" max="6416" width="12.5703125" style="365" customWidth="1"/>
    <col min="6417" max="6417" width="12" style="365" bestFit="1" customWidth="1"/>
    <col min="6418" max="6419" width="12" style="365" customWidth="1"/>
    <col min="6420" max="6420" width="14" style="365" bestFit="1" customWidth="1"/>
    <col min="6421" max="6654" width="9.140625" style="365"/>
    <col min="6655" max="6655" width="32.7109375" style="365" bestFit="1" customWidth="1"/>
    <col min="6656" max="6656" width="1.85546875" style="365" customWidth="1"/>
    <col min="6657" max="6657" width="12.85546875" style="365" customWidth="1"/>
    <col min="6658" max="6658" width="0.85546875" style="365" customWidth="1"/>
    <col min="6659" max="6659" width="12.85546875" style="365" customWidth="1"/>
    <col min="6660" max="6660" width="0.85546875" style="365" customWidth="1"/>
    <col min="6661" max="6661" width="12.85546875" style="365" customWidth="1"/>
    <col min="6662" max="6662" width="0.85546875" style="365" customWidth="1"/>
    <col min="6663" max="6663" width="12.85546875" style="365" customWidth="1"/>
    <col min="6664" max="6664" width="0.85546875" style="365" customWidth="1"/>
    <col min="6665" max="6665" width="12.85546875" style="365" customWidth="1"/>
    <col min="6666" max="6666" width="0.85546875" style="365" customWidth="1"/>
    <col min="6667" max="6667" width="12.85546875" style="365" customWidth="1"/>
    <col min="6668" max="6668" width="9.140625" style="365"/>
    <col min="6669" max="6669" width="23" style="365" bestFit="1" customWidth="1"/>
    <col min="6670" max="6670" width="12" style="365" bestFit="1" customWidth="1"/>
    <col min="6671" max="6671" width="12.5703125" style="365" bestFit="1" customWidth="1"/>
    <col min="6672" max="6672" width="12.5703125" style="365" customWidth="1"/>
    <col min="6673" max="6673" width="12" style="365" bestFit="1" customWidth="1"/>
    <col min="6674" max="6675" width="12" style="365" customWidth="1"/>
    <col min="6676" max="6676" width="14" style="365" bestFit="1" customWidth="1"/>
    <col min="6677" max="6910" width="9.140625" style="365"/>
    <col min="6911" max="6911" width="32.7109375" style="365" bestFit="1" customWidth="1"/>
    <col min="6912" max="6912" width="1.85546875" style="365" customWidth="1"/>
    <col min="6913" max="6913" width="12.85546875" style="365" customWidth="1"/>
    <col min="6914" max="6914" width="0.85546875" style="365" customWidth="1"/>
    <col min="6915" max="6915" width="12.85546875" style="365" customWidth="1"/>
    <col min="6916" max="6916" width="0.85546875" style="365" customWidth="1"/>
    <col min="6917" max="6917" width="12.85546875" style="365" customWidth="1"/>
    <col min="6918" max="6918" width="0.85546875" style="365" customWidth="1"/>
    <col min="6919" max="6919" width="12.85546875" style="365" customWidth="1"/>
    <col min="6920" max="6920" width="0.85546875" style="365" customWidth="1"/>
    <col min="6921" max="6921" width="12.85546875" style="365" customWidth="1"/>
    <col min="6922" max="6922" width="0.85546875" style="365" customWidth="1"/>
    <col min="6923" max="6923" width="12.85546875" style="365" customWidth="1"/>
    <col min="6924" max="6924" width="9.140625" style="365"/>
    <col min="6925" max="6925" width="23" style="365" bestFit="1" customWidth="1"/>
    <col min="6926" max="6926" width="12" style="365" bestFit="1" customWidth="1"/>
    <col min="6927" max="6927" width="12.5703125" style="365" bestFit="1" customWidth="1"/>
    <col min="6928" max="6928" width="12.5703125" style="365" customWidth="1"/>
    <col min="6929" max="6929" width="12" style="365" bestFit="1" customWidth="1"/>
    <col min="6930" max="6931" width="12" style="365" customWidth="1"/>
    <col min="6932" max="6932" width="14" style="365" bestFit="1" customWidth="1"/>
    <col min="6933" max="7166" width="9.140625" style="365"/>
    <col min="7167" max="7167" width="32.7109375" style="365" bestFit="1" customWidth="1"/>
    <col min="7168" max="7168" width="1.85546875" style="365" customWidth="1"/>
    <col min="7169" max="7169" width="12.85546875" style="365" customWidth="1"/>
    <col min="7170" max="7170" width="0.85546875" style="365" customWidth="1"/>
    <col min="7171" max="7171" width="12.85546875" style="365" customWidth="1"/>
    <col min="7172" max="7172" width="0.85546875" style="365" customWidth="1"/>
    <col min="7173" max="7173" width="12.85546875" style="365" customWidth="1"/>
    <col min="7174" max="7174" width="0.85546875" style="365" customWidth="1"/>
    <col min="7175" max="7175" width="12.85546875" style="365" customWidth="1"/>
    <col min="7176" max="7176" width="0.85546875" style="365" customWidth="1"/>
    <col min="7177" max="7177" width="12.85546875" style="365" customWidth="1"/>
    <col min="7178" max="7178" width="0.85546875" style="365" customWidth="1"/>
    <col min="7179" max="7179" width="12.85546875" style="365" customWidth="1"/>
    <col min="7180" max="7180" width="9.140625" style="365"/>
    <col min="7181" max="7181" width="23" style="365" bestFit="1" customWidth="1"/>
    <col min="7182" max="7182" width="12" style="365" bestFit="1" customWidth="1"/>
    <col min="7183" max="7183" width="12.5703125" style="365" bestFit="1" customWidth="1"/>
    <col min="7184" max="7184" width="12.5703125" style="365" customWidth="1"/>
    <col min="7185" max="7185" width="12" style="365" bestFit="1" customWidth="1"/>
    <col min="7186" max="7187" width="12" style="365" customWidth="1"/>
    <col min="7188" max="7188" width="14" style="365" bestFit="1" customWidth="1"/>
    <col min="7189" max="7422" width="9.140625" style="365"/>
    <col min="7423" max="7423" width="32.7109375" style="365" bestFit="1" customWidth="1"/>
    <col min="7424" max="7424" width="1.85546875" style="365" customWidth="1"/>
    <col min="7425" max="7425" width="12.85546875" style="365" customWidth="1"/>
    <col min="7426" max="7426" width="0.85546875" style="365" customWidth="1"/>
    <col min="7427" max="7427" width="12.85546875" style="365" customWidth="1"/>
    <col min="7428" max="7428" width="0.85546875" style="365" customWidth="1"/>
    <col min="7429" max="7429" width="12.85546875" style="365" customWidth="1"/>
    <col min="7430" max="7430" width="0.85546875" style="365" customWidth="1"/>
    <col min="7431" max="7431" width="12.85546875" style="365" customWidth="1"/>
    <col min="7432" max="7432" width="0.85546875" style="365" customWidth="1"/>
    <col min="7433" max="7433" width="12.85546875" style="365" customWidth="1"/>
    <col min="7434" max="7434" width="0.85546875" style="365" customWidth="1"/>
    <col min="7435" max="7435" width="12.85546875" style="365" customWidth="1"/>
    <col min="7436" max="7436" width="9.140625" style="365"/>
    <col min="7437" max="7437" width="23" style="365" bestFit="1" customWidth="1"/>
    <col min="7438" max="7438" width="12" style="365" bestFit="1" customWidth="1"/>
    <col min="7439" max="7439" width="12.5703125" style="365" bestFit="1" customWidth="1"/>
    <col min="7440" max="7440" width="12.5703125" style="365" customWidth="1"/>
    <col min="7441" max="7441" width="12" style="365" bestFit="1" customWidth="1"/>
    <col min="7442" max="7443" width="12" style="365" customWidth="1"/>
    <col min="7444" max="7444" width="14" style="365" bestFit="1" customWidth="1"/>
    <col min="7445" max="7678" width="9.140625" style="365"/>
    <col min="7679" max="7679" width="32.7109375" style="365" bestFit="1" customWidth="1"/>
    <col min="7680" max="7680" width="1.85546875" style="365" customWidth="1"/>
    <col min="7681" max="7681" width="12.85546875" style="365" customWidth="1"/>
    <col min="7682" max="7682" width="0.85546875" style="365" customWidth="1"/>
    <col min="7683" max="7683" width="12.85546875" style="365" customWidth="1"/>
    <col min="7684" max="7684" width="0.85546875" style="365" customWidth="1"/>
    <col min="7685" max="7685" width="12.85546875" style="365" customWidth="1"/>
    <col min="7686" max="7686" width="0.85546875" style="365" customWidth="1"/>
    <col min="7687" max="7687" width="12.85546875" style="365" customWidth="1"/>
    <col min="7688" max="7688" width="0.85546875" style="365" customWidth="1"/>
    <col min="7689" max="7689" width="12.85546875" style="365" customWidth="1"/>
    <col min="7690" max="7690" width="0.85546875" style="365" customWidth="1"/>
    <col min="7691" max="7691" width="12.85546875" style="365" customWidth="1"/>
    <col min="7692" max="7692" width="9.140625" style="365"/>
    <col min="7693" max="7693" width="23" style="365" bestFit="1" customWidth="1"/>
    <col min="7694" max="7694" width="12" style="365" bestFit="1" customWidth="1"/>
    <col min="7695" max="7695" width="12.5703125" style="365" bestFit="1" customWidth="1"/>
    <col min="7696" max="7696" width="12.5703125" style="365" customWidth="1"/>
    <col min="7697" max="7697" width="12" style="365" bestFit="1" customWidth="1"/>
    <col min="7698" max="7699" width="12" style="365" customWidth="1"/>
    <col min="7700" max="7700" width="14" style="365" bestFit="1" customWidth="1"/>
    <col min="7701" max="7934" width="9.140625" style="365"/>
    <col min="7935" max="7935" width="32.7109375" style="365" bestFit="1" customWidth="1"/>
    <col min="7936" max="7936" width="1.85546875" style="365" customWidth="1"/>
    <col min="7937" max="7937" width="12.85546875" style="365" customWidth="1"/>
    <col min="7938" max="7938" width="0.85546875" style="365" customWidth="1"/>
    <col min="7939" max="7939" width="12.85546875" style="365" customWidth="1"/>
    <col min="7940" max="7940" width="0.85546875" style="365" customWidth="1"/>
    <col min="7941" max="7941" width="12.85546875" style="365" customWidth="1"/>
    <col min="7942" max="7942" width="0.85546875" style="365" customWidth="1"/>
    <col min="7943" max="7943" width="12.85546875" style="365" customWidth="1"/>
    <col min="7944" max="7944" width="0.85546875" style="365" customWidth="1"/>
    <col min="7945" max="7945" width="12.85546875" style="365" customWidth="1"/>
    <col min="7946" max="7946" width="0.85546875" style="365" customWidth="1"/>
    <col min="7947" max="7947" width="12.85546875" style="365" customWidth="1"/>
    <col min="7948" max="7948" width="9.140625" style="365"/>
    <col min="7949" max="7949" width="23" style="365" bestFit="1" customWidth="1"/>
    <col min="7950" max="7950" width="12" style="365" bestFit="1" customWidth="1"/>
    <col min="7951" max="7951" width="12.5703125" style="365" bestFit="1" customWidth="1"/>
    <col min="7952" max="7952" width="12.5703125" style="365" customWidth="1"/>
    <col min="7953" max="7953" width="12" style="365" bestFit="1" customWidth="1"/>
    <col min="7954" max="7955" width="12" style="365" customWidth="1"/>
    <col min="7956" max="7956" width="14" style="365" bestFit="1" customWidth="1"/>
    <col min="7957" max="8190" width="9.140625" style="365"/>
    <col min="8191" max="8191" width="32.7109375" style="365" bestFit="1" customWidth="1"/>
    <col min="8192" max="8192" width="1.85546875" style="365" customWidth="1"/>
    <col min="8193" max="8193" width="12.85546875" style="365" customWidth="1"/>
    <col min="8194" max="8194" width="0.85546875" style="365" customWidth="1"/>
    <col min="8195" max="8195" width="12.85546875" style="365" customWidth="1"/>
    <col min="8196" max="8196" width="0.85546875" style="365" customWidth="1"/>
    <col min="8197" max="8197" width="12.85546875" style="365" customWidth="1"/>
    <col min="8198" max="8198" width="0.85546875" style="365" customWidth="1"/>
    <col min="8199" max="8199" width="12.85546875" style="365" customWidth="1"/>
    <col min="8200" max="8200" width="0.85546875" style="365" customWidth="1"/>
    <col min="8201" max="8201" width="12.85546875" style="365" customWidth="1"/>
    <col min="8202" max="8202" width="0.85546875" style="365" customWidth="1"/>
    <col min="8203" max="8203" width="12.85546875" style="365" customWidth="1"/>
    <col min="8204" max="8204" width="9.140625" style="365"/>
    <col min="8205" max="8205" width="23" style="365" bestFit="1" customWidth="1"/>
    <col min="8206" max="8206" width="12" style="365" bestFit="1" customWidth="1"/>
    <col min="8207" max="8207" width="12.5703125" style="365" bestFit="1" customWidth="1"/>
    <col min="8208" max="8208" width="12.5703125" style="365" customWidth="1"/>
    <col min="8209" max="8209" width="12" style="365" bestFit="1" customWidth="1"/>
    <col min="8210" max="8211" width="12" style="365" customWidth="1"/>
    <col min="8212" max="8212" width="14" style="365" bestFit="1" customWidth="1"/>
    <col min="8213" max="8446" width="9.140625" style="365"/>
    <col min="8447" max="8447" width="32.7109375" style="365" bestFit="1" customWidth="1"/>
    <col min="8448" max="8448" width="1.85546875" style="365" customWidth="1"/>
    <col min="8449" max="8449" width="12.85546875" style="365" customWidth="1"/>
    <col min="8450" max="8450" width="0.85546875" style="365" customWidth="1"/>
    <col min="8451" max="8451" width="12.85546875" style="365" customWidth="1"/>
    <col min="8452" max="8452" width="0.85546875" style="365" customWidth="1"/>
    <col min="8453" max="8453" width="12.85546875" style="365" customWidth="1"/>
    <col min="8454" max="8454" width="0.85546875" style="365" customWidth="1"/>
    <col min="8455" max="8455" width="12.85546875" style="365" customWidth="1"/>
    <col min="8456" max="8456" width="0.85546875" style="365" customWidth="1"/>
    <col min="8457" max="8457" width="12.85546875" style="365" customWidth="1"/>
    <col min="8458" max="8458" width="0.85546875" style="365" customWidth="1"/>
    <col min="8459" max="8459" width="12.85546875" style="365" customWidth="1"/>
    <col min="8460" max="8460" width="9.140625" style="365"/>
    <col min="8461" max="8461" width="23" style="365" bestFit="1" customWidth="1"/>
    <col min="8462" max="8462" width="12" style="365" bestFit="1" customWidth="1"/>
    <col min="8463" max="8463" width="12.5703125" style="365" bestFit="1" customWidth="1"/>
    <col min="8464" max="8464" width="12.5703125" style="365" customWidth="1"/>
    <col min="8465" max="8465" width="12" style="365" bestFit="1" customWidth="1"/>
    <col min="8466" max="8467" width="12" style="365" customWidth="1"/>
    <col min="8468" max="8468" width="14" style="365" bestFit="1" customWidth="1"/>
    <col min="8469" max="8702" width="9.140625" style="365"/>
    <col min="8703" max="8703" width="32.7109375" style="365" bestFit="1" customWidth="1"/>
    <col min="8704" max="8704" width="1.85546875" style="365" customWidth="1"/>
    <col min="8705" max="8705" width="12.85546875" style="365" customWidth="1"/>
    <col min="8706" max="8706" width="0.85546875" style="365" customWidth="1"/>
    <col min="8707" max="8707" width="12.85546875" style="365" customWidth="1"/>
    <col min="8708" max="8708" width="0.85546875" style="365" customWidth="1"/>
    <col min="8709" max="8709" width="12.85546875" style="365" customWidth="1"/>
    <col min="8710" max="8710" width="0.85546875" style="365" customWidth="1"/>
    <col min="8711" max="8711" width="12.85546875" style="365" customWidth="1"/>
    <col min="8712" max="8712" width="0.85546875" style="365" customWidth="1"/>
    <col min="8713" max="8713" width="12.85546875" style="365" customWidth="1"/>
    <col min="8714" max="8714" width="0.85546875" style="365" customWidth="1"/>
    <col min="8715" max="8715" width="12.85546875" style="365" customWidth="1"/>
    <col min="8716" max="8716" width="9.140625" style="365"/>
    <col min="8717" max="8717" width="23" style="365" bestFit="1" customWidth="1"/>
    <col min="8718" max="8718" width="12" style="365" bestFit="1" customWidth="1"/>
    <col min="8719" max="8719" width="12.5703125" style="365" bestFit="1" customWidth="1"/>
    <col min="8720" max="8720" width="12.5703125" style="365" customWidth="1"/>
    <col min="8721" max="8721" width="12" style="365" bestFit="1" customWidth="1"/>
    <col min="8722" max="8723" width="12" style="365" customWidth="1"/>
    <col min="8724" max="8724" width="14" style="365" bestFit="1" customWidth="1"/>
    <col min="8725" max="8958" width="9.140625" style="365"/>
    <col min="8959" max="8959" width="32.7109375" style="365" bestFit="1" customWidth="1"/>
    <col min="8960" max="8960" width="1.85546875" style="365" customWidth="1"/>
    <col min="8961" max="8961" width="12.85546875" style="365" customWidth="1"/>
    <col min="8962" max="8962" width="0.85546875" style="365" customWidth="1"/>
    <col min="8963" max="8963" width="12.85546875" style="365" customWidth="1"/>
    <col min="8964" max="8964" width="0.85546875" style="365" customWidth="1"/>
    <col min="8965" max="8965" width="12.85546875" style="365" customWidth="1"/>
    <col min="8966" max="8966" width="0.85546875" style="365" customWidth="1"/>
    <col min="8967" max="8967" width="12.85546875" style="365" customWidth="1"/>
    <col min="8968" max="8968" width="0.85546875" style="365" customWidth="1"/>
    <col min="8969" max="8969" width="12.85546875" style="365" customWidth="1"/>
    <col min="8970" max="8970" width="0.85546875" style="365" customWidth="1"/>
    <col min="8971" max="8971" width="12.85546875" style="365" customWidth="1"/>
    <col min="8972" max="8972" width="9.140625" style="365"/>
    <col min="8973" max="8973" width="23" style="365" bestFit="1" customWidth="1"/>
    <col min="8974" max="8974" width="12" style="365" bestFit="1" customWidth="1"/>
    <col min="8975" max="8975" width="12.5703125" style="365" bestFit="1" customWidth="1"/>
    <col min="8976" max="8976" width="12.5703125" style="365" customWidth="1"/>
    <col min="8977" max="8977" width="12" style="365" bestFit="1" customWidth="1"/>
    <col min="8978" max="8979" width="12" style="365" customWidth="1"/>
    <col min="8980" max="8980" width="14" style="365" bestFit="1" customWidth="1"/>
    <col min="8981" max="9214" width="9.140625" style="365"/>
    <col min="9215" max="9215" width="32.7109375" style="365" bestFit="1" customWidth="1"/>
    <col min="9216" max="9216" width="1.85546875" style="365" customWidth="1"/>
    <col min="9217" max="9217" width="12.85546875" style="365" customWidth="1"/>
    <col min="9218" max="9218" width="0.85546875" style="365" customWidth="1"/>
    <col min="9219" max="9219" width="12.85546875" style="365" customWidth="1"/>
    <col min="9220" max="9220" width="0.85546875" style="365" customWidth="1"/>
    <col min="9221" max="9221" width="12.85546875" style="365" customWidth="1"/>
    <col min="9222" max="9222" width="0.85546875" style="365" customWidth="1"/>
    <col min="9223" max="9223" width="12.85546875" style="365" customWidth="1"/>
    <col min="9224" max="9224" width="0.85546875" style="365" customWidth="1"/>
    <col min="9225" max="9225" width="12.85546875" style="365" customWidth="1"/>
    <col min="9226" max="9226" width="0.85546875" style="365" customWidth="1"/>
    <col min="9227" max="9227" width="12.85546875" style="365" customWidth="1"/>
    <col min="9228" max="9228" width="9.140625" style="365"/>
    <col min="9229" max="9229" width="23" style="365" bestFit="1" customWidth="1"/>
    <col min="9230" max="9230" width="12" style="365" bestFit="1" customWidth="1"/>
    <col min="9231" max="9231" width="12.5703125" style="365" bestFit="1" customWidth="1"/>
    <col min="9232" max="9232" width="12.5703125" style="365" customWidth="1"/>
    <col min="9233" max="9233" width="12" style="365" bestFit="1" customWidth="1"/>
    <col min="9234" max="9235" width="12" style="365" customWidth="1"/>
    <col min="9236" max="9236" width="14" style="365" bestFit="1" customWidth="1"/>
    <col min="9237" max="9470" width="9.140625" style="365"/>
    <col min="9471" max="9471" width="32.7109375" style="365" bestFit="1" customWidth="1"/>
    <col min="9472" max="9472" width="1.85546875" style="365" customWidth="1"/>
    <col min="9473" max="9473" width="12.85546875" style="365" customWidth="1"/>
    <col min="9474" max="9474" width="0.85546875" style="365" customWidth="1"/>
    <col min="9475" max="9475" width="12.85546875" style="365" customWidth="1"/>
    <col min="9476" max="9476" width="0.85546875" style="365" customWidth="1"/>
    <col min="9477" max="9477" width="12.85546875" style="365" customWidth="1"/>
    <col min="9478" max="9478" width="0.85546875" style="365" customWidth="1"/>
    <col min="9479" max="9479" width="12.85546875" style="365" customWidth="1"/>
    <col min="9480" max="9480" width="0.85546875" style="365" customWidth="1"/>
    <col min="9481" max="9481" width="12.85546875" style="365" customWidth="1"/>
    <col min="9482" max="9482" width="0.85546875" style="365" customWidth="1"/>
    <col min="9483" max="9483" width="12.85546875" style="365" customWidth="1"/>
    <col min="9484" max="9484" width="9.140625" style="365"/>
    <col min="9485" max="9485" width="23" style="365" bestFit="1" customWidth="1"/>
    <col min="9486" max="9486" width="12" style="365" bestFit="1" customWidth="1"/>
    <col min="9487" max="9487" width="12.5703125" style="365" bestFit="1" customWidth="1"/>
    <col min="9488" max="9488" width="12.5703125" style="365" customWidth="1"/>
    <col min="9489" max="9489" width="12" style="365" bestFit="1" customWidth="1"/>
    <col min="9490" max="9491" width="12" style="365" customWidth="1"/>
    <col min="9492" max="9492" width="14" style="365" bestFit="1" customWidth="1"/>
    <col min="9493" max="9726" width="9.140625" style="365"/>
    <col min="9727" max="9727" width="32.7109375" style="365" bestFit="1" customWidth="1"/>
    <col min="9728" max="9728" width="1.85546875" style="365" customWidth="1"/>
    <col min="9729" max="9729" width="12.85546875" style="365" customWidth="1"/>
    <col min="9730" max="9730" width="0.85546875" style="365" customWidth="1"/>
    <col min="9731" max="9731" width="12.85546875" style="365" customWidth="1"/>
    <col min="9732" max="9732" width="0.85546875" style="365" customWidth="1"/>
    <col min="9733" max="9733" width="12.85546875" style="365" customWidth="1"/>
    <col min="9734" max="9734" width="0.85546875" style="365" customWidth="1"/>
    <col min="9735" max="9735" width="12.85546875" style="365" customWidth="1"/>
    <col min="9736" max="9736" width="0.85546875" style="365" customWidth="1"/>
    <col min="9737" max="9737" width="12.85546875" style="365" customWidth="1"/>
    <col min="9738" max="9738" width="0.85546875" style="365" customWidth="1"/>
    <col min="9739" max="9739" width="12.85546875" style="365" customWidth="1"/>
    <col min="9740" max="9740" width="9.140625" style="365"/>
    <col min="9741" max="9741" width="23" style="365" bestFit="1" customWidth="1"/>
    <col min="9742" max="9742" width="12" style="365" bestFit="1" customWidth="1"/>
    <col min="9743" max="9743" width="12.5703125" style="365" bestFit="1" customWidth="1"/>
    <col min="9744" max="9744" width="12.5703125" style="365" customWidth="1"/>
    <col min="9745" max="9745" width="12" style="365" bestFit="1" customWidth="1"/>
    <col min="9746" max="9747" width="12" style="365" customWidth="1"/>
    <col min="9748" max="9748" width="14" style="365" bestFit="1" customWidth="1"/>
    <col min="9749" max="9982" width="9.140625" style="365"/>
    <col min="9983" max="9983" width="32.7109375" style="365" bestFit="1" customWidth="1"/>
    <col min="9984" max="9984" width="1.85546875" style="365" customWidth="1"/>
    <col min="9985" max="9985" width="12.85546875" style="365" customWidth="1"/>
    <col min="9986" max="9986" width="0.85546875" style="365" customWidth="1"/>
    <col min="9987" max="9987" width="12.85546875" style="365" customWidth="1"/>
    <col min="9988" max="9988" width="0.85546875" style="365" customWidth="1"/>
    <col min="9989" max="9989" width="12.85546875" style="365" customWidth="1"/>
    <col min="9990" max="9990" width="0.85546875" style="365" customWidth="1"/>
    <col min="9991" max="9991" width="12.85546875" style="365" customWidth="1"/>
    <col min="9992" max="9992" width="0.85546875" style="365" customWidth="1"/>
    <col min="9993" max="9993" width="12.85546875" style="365" customWidth="1"/>
    <col min="9994" max="9994" width="0.85546875" style="365" customWidth="1"/>
    <col min="9995" max="9995" width="12.85546875" style="365" customWidth="1"/>
    <col min="9996" max="9996" width="9.140625" style="365"/>
    <col min="9997" max="9997" width="23" style="365" bestFit="1" customWidth="1"/>
    <col min="9998" max="9998" width="12" style="365" bestFit="1" customWidth="1"/>
    <col min="9999" max="9999" width="12.5703125" style="365" bestFit="1" customWidth="1"/>
    <col min="10000" max="10000" width="12.5703125" style="365" customWidth="1"/>
    <col min="10001" max="10001" width="12" style="365" bestFit="1" customWidth="1"/>
    <col min="10002" max="10003" width="12" style="365" customWidth="1"/>
    <col min="10004" max="10004" width="14" style="365" bestFit="1" customWidth="1"/>
    <col min="10005" max="10238" width="9.140625" style="365"/>
    <col min="10239" max="10239" width="32.7109375" style="365" bestFit="1" customWidth="1"/>
    <col min="10240" max="10240" width="1.85546875" style="365" customWidth="1"/>
    <col min="10241" max="10241" width="12.85546875" style="365" customWidth="1"/>
    <col min="10242" max="10242" width="0.85546875" style="365" customWidth="1"/>
    <col min="10243" max="10243" width="12.85546875" style="365" customWidth="1"/>
    <col min="10244" max="10244" width="0.85546875" style="365" customWidth="1"/>
    <col min="10245" max="10245" width="12.85546875" style="365" customWidth="1"/>
    <col min="10246" max="10246" width="0.85546875" style="365" customWidth="1"/>
    <col min="10247" max="10247" width="12.85546875" style="365" customWidth="1"/>
    <col min="10248" max="10248" width="0.85546875" style="365" customWidth="1"/>
    <col min="10249" max="10249" width="12.85546875" style="365" customWidth="1"/>
    <col min="10250" max="10250" width="0.85546875" style="365" customWidth="1"/>
    <col min="10251" max="10251" width="12.85546875" style="365" customWidth="1"/>
    <col min="10252" max="10252" width="9.140625" style="365"/>
    <col min="10253" max="10253" width="23" style="365" bestFit="1" customWidth="1"/>
    <col min="10254" max="10254" width="12" style="365" bestFit="1" customWidth="1"/>
    <col min="10255" max="10255" width="12.5703125" style="365" bestFit="1" customWidth="1"/>
    <col min="10256" max="10256" width="12.5703125" style="365" customWidth="1"/>
    <col min="10257" max="10257" width="12" style="365" bestFit="1" customWidth="1"/>
    <col min="10258" max="10259" width="12" style="365" customWidth="1"/>
    <col min="10260" max="10260" width="14" style="365" bestFit="1" customWidth="1"/>
    <col min="10261" max="10494" width="9.140625" style="365"/>
    <col min="10495" max="10495" width="32.7109375" style="365" bestFit="1" customWidth="1"/>
    <col min="10496" max="10496" width="1.85546875" style="365" customWidth="1"/>
    <col min="10497" max="10497" width="12.85546875" style="365" customWidth="1"/>
    <col min="10498" max="10498" width="0.85546875" style="365" customWidth="1"/>
    <col min="10499" max="10499" width="12.85546875" style="365" customWidth="1"/>
    <col min="10500" max="10500" width="0.85546875" style="365" customWidth="1"/>
    <col min="10501" max="10501" width="12.85546875" style="365" customWidth="1"/>
    <col min="10502" max="10502" width="0.85546875" style="365" customWidth="1"/>
    <col min="10503" max="10503" width="12.85546875" style="365" customWidth="1"/>
    <col min="10504" max="10504" width="0.85546875" style="365" customWidth="1"/>
    <col min="10505" max="10505" width="12.85546875" style="365" customWidth="1"/>
    <col min="10506" max="10506" width="0.85546875" style="365" customWidth="1"/>
    <col min="10507" max="10507" width="12.85546875" style="365" customWidth="1"/>
    <col min="10508" max="10508" width="9.140625" style="365"/>
    <col min="10509" max="10509" width="23" style="365" bestFit="1" customWidth="1"/>
    <col min="10510" max="10510" width="12" style="365" bestFit="1" customWidth="1"/>
    <col min="10511" max="10511" width="12.5703125" style="365" bestFit="1" customWidth="1"/>
    <col min="10512" max="10512" width="12.5703125" style="365" customWidth="1"/>
    <col min="10513" max="10513" width="12" style="365" bestFit="1" customWidth="1"/>
    <col min="10514" max="10515" width="12" style="365" customWidth="1"/>
    <col min="10516" max="10516" width="14" style="365" bestFit="1" customWidth="1"/>
    <col min="10517" max="10750" width="9.140625" style="365"/>
    <col min="10751" max="10751" width="32.7109375" style="365" bestFit="1" customWidth="1"/>
    <col min="10752" max="10752" width="1.85546875" style="365" customWidth="1"/>
    <col min="10753" max="10753" width="12.85546875" style="365" customWidth="1"/>
    <col min="10754" max="10754" width="0.85546875" style="365" customWidth="1"/>
    <col min="10755" max="10755" width="12.85546875" style="365" customWidth="1"/>
    <col min="10756" max="10756" width="0.85546875" style="365" customWidth="1"/>
    <col min="10757" max="10757" width="12.85546875" style="365" customWidth="1"/>
    <col min="10758" max="10758" width="0.85546875" style="365" customWidth="1"/>
    <col min="10759" max="10759" width="12.85546875" style="365" customWidth="1"/>
    <col min="10760" max="10760" width="0.85546875" style="365" customWidth="1"/>
    <col min="10761" max="10761" width="12.85546875" style="365" customWidth="1"/>
    <col min="10762" max="10762" width="0.85546875" style="365" customWidth="1"/>
    <col min="10763" max="10763" width="12.85546875" style="365" customWidth="1"/>
    <col min="10764" max="10764" width="9.140625" style="365"/>
    <col min="10765" max="10765" width="23" style="365" bestFit="1" customWidth="1"/>
    <col min="10766" max="10766" width="12" style="365" bestFit="1" customWidth="1"/>
    <col min="10767" max="10767" width="12.5703125" style="365" bestFit="1" customWidth="1"/>
    <col min="10768" max="10768" width="12.5703125" style="365" customWidth="1"/>
    <col min="10769" max="10769" width="12" style="365" bestFit="1" customWidth="1"/>
    <col min="10770" max="10771" width="12" style="365" customWidth="1"/>
    <col min="10772" max="10772" width="14" style="365" bestFit="1" customWidth="1"/>
    <col min="10773" max="11006" width="9.140625" style="365"/>
    <col min="11007" max="11007" width="32.7109375" style="365" bestFit="1" customWidth="1"/>
    <col min="11008" max="11008" width="1.85546875" style="365" customWidth="1"/>
    <col min="11009" max="11009" width="12.85546875" style="365" customWidth="1"/>
    <col min="11010" max="11010" width="0.85546875" style="365" customWidth="1"/>
    <col min="11011" max="11011" width="12.85546875" style="365" customWidth="1"/>
    <col min="11012" max="11012" width="0.85546875" style="365" customWidth="1"/>
    <col min="11013" max="11013" width="12.85546875" style="365" customWidth="1"/>
    <col min="11014" max="11014" width="0.85546875" style="365" customWidth="1"/>
    <col min="11015" max="11015" width="12.85546875" style="365" customWidth="1"/>
    <col min="11016" max="11016" width="0.85546875" style="365" customWidth="1"/>
    <col min="11017" max="11017" width="12.85546875" style="365" customWidth="1"/>
    <col min="11018" max="11018" width="0.85546875" style="365" customWidth="1"/>
    <col min="11019" max="11019" width="12.85546875" style="365" customWidth="1"/>
    <col min="11020" max="11020" width="9.140625" style="365"/>
    <col min="11021" max="11021" width="23" style="365" bestFit="1" customWidth="1"/>
    <col min="11022" max="11022" width="12" style="365" bestFit="1" customWidth="1"/>
    <col min="11023" max="11023" width="12.5703125" style="365" bestFit="1" customWidth="1"/>
    <col min="11024" max="11024" width="12.5703125" style="365" customWidth="1"/>
    <col min="11025" max="11025" width="12" style="365" bestFit="1" customWidth="1"/>
    <col min="11026" max="11027" width="12" style="365" customWidth="1"/>
    <col min="11028" max="11028" width="14" style="365" bestFit="1" customWidth="1"/>
    <col min="11029" max="11262" width="9.140625" style="365"/>
    <col min="11263" max="11263" width="32.7109375" style="365" bestFit="1" customWidth="1"/>
    <col min="11264" max="11264" width="1.85546875" style="365" customWidth="1"/>
    <col min="11265" max="11265" width="12.85546875" style="365" customWidth="1"/>
    <col min="11266" max="11266" width="0.85546875" style="365" customWidth="1"/>
    <col min="11267" max="11267" width="12.85546875" style="365" customWidth="1"/>
    <col min="11268" max="11268" width="0.85546875" style="365" customWidth="1"/>
    <col min="11269" max="11269" width="12.85546875" style="365" customWidth="1"/>
    <col min="11270" max="11270" width="0.85546875" style="365" customWidth="1"/>
    <col min="11271" max="11271" width="12.85546875" style="365" customWidth="1"/>
    <col min="11272" max="11272" width="0.85546875" style="365" customWidth="1"/>
    <col min="11273" max="11273" width="12.85546875" style="365" customWidth="1"/>
    <col min="11274" max="11274" width="0.85546875" style="365" customWidth="1"/>
    <col min="11275" max="11275" width="12.85546875" style="365" customWidth="1"/>
    <col min="11276" max="11276" width="9.140625" style="365"/>
    <col min="11277" max="11277" width="23" style="365" bestFit="1" customWidth="1"/>
    <col min="11278" max="11278" width="12" style="365" bestFit="1" customWidth="1"/>
    <col min="11279" max="11279" width="12.5703125" style="365" bestFit="1" customWidth="1"/>
    <col min="11280" max="11280" width="12.5703125" style="365" customWidth="1"/>
    <col min="11281" max="11281" width="12" style="365" bestFit="1" customWidth="1"/>
    <col min="11282" max="11283" width="12" style="365" customWidth="1"/>
    <col min="11284" max="11284" width="14" style="365" bestFit="1" customWidth="1"/>
    <col min="11285" max="11518" width="9.140625" style="365"/>
    <col min="11519" max="11519" width="32.7109375" style="365" bestFit="1" customWidth="1"/>
    <col min="11520" max="11520" width="1.85546875" style="365" customWidth="1"/>
    <col min="11521" max="11521" width="12.85546875" style="365" customWidth="1"/>
    <col min="11522" max="11522" width="0.85546875" style="365" customWidth="1"/>
    <col min="11523" max="11523" width="12.85546875" style="365" customWidth="1"/>
    <col min="11524" max="11524" width="0.85546875" style="365" customWidth="1"/>
    <col min="11525" max="11525" width="12.85546875" style="365" customWidth="1"/>
    <col min="11526" max="11526" width="0.85546875" style="365" customWidth="1"/>
    <col min="11527" max="11527" width="12.85546875" style="365" customWidth="1"/>
    <col min="11528" max="11528" width="0.85546875" style="365" customWidth="1"/>
    <col min="11529" max="11529" width="12.85546875" style="365" customWidth="1"/>
    <col min="11530" max="11530" width="0.85546875" style="365" customWidth="1"/>
    <col min="11531" max="11531" width="12.85546875" style="365" customWidth="1"/>
    <col min="11532" max="11532" width="9.140625" style="365"/>
    <col min="11533" max="11533" width="23" style="365" bestFit="1" customWidth="1"/>
    <col min="11534" max="11534" width="12" style="365" bestFit="1" customWidth="1"/>
    <col min="11535" max="11535" width="12.5703125" style="365" bestFit="1" customWidth="1"/>
    <col min="11536" max="11536" width="12.5703125" style="365" customWidth="1"/>
    <col min="11537" max="11537" width="12" style="365" bestFit="1" customWidth="1"/>
    <col min="11538" max="11539" width="12" style="365" customWidth="1"/>
    <col min="11540" max="11540" width="14" style="365" bestFit="1" customWidth="1"/>
    <col min="11541" max="11774" width="9.140625" style="365"/>
    <col min="11775" max="11775" width="32.7109375" style="365" bestFit="1" customWidth="1"/>
    <col min="11776" max="11776" width="1.85546875" style="365" customWidth="1"/>
    <col min="11777" max="11777" width="12.85546875" style="365" customWidth="1"/>
    <col min="11778" max="11778" width="0.85546875" style="365" customWidth="1"/>
    <col min="11779" max="11779" width="12.85546875" style="365" customWidth="1"/>
    <col min="11780" max="11780" width="0.85546875" style="365" customWidth="1"/>
    <col min="11781" max="11781" width="12.85546875" style="365" customWidth="1"/>
    <col min="11782" max="11782" width="0.85546875" style="365" customWidth="1"/>
    <col min="11783" max="11783" width="12.85546875" style="365" customWidth="1"/>
    <col min="11784" max="11784" width="0.85546875" style="365" customWidth="1"/>
    <col min="11785" max="11785" width="12.85546875" style="365" customWidth="1"/>
    <col min="11786" max="11786" width="0.85546875" style="365" customWidth="1"/>
    <col min="11787" max="11787" width="12.85546875" style="365" customWidth="1"/>
    <col min="11788" max="11788" width="9.140625" style="365"/>
    <col min="11789" max="11789" width="23" style="365" bestFit="1" customWidth="1"/>
    <col min="11790" max="11790" width="12" style="365" bestFit="1" customWidth="1"/>
    <col min="11791" max="11791" width="12.5703125" style="365" bestFit="1" customWidth="1"/>
    <col min="11792" max="11792" width="12.5703125" style="365" customWidth="1"/>
    <col min="11793" max="11793" width="12" style="365" bestFit="1" customWidth="1"/>
    <col min="11794" max="11795" width="12" style="365" customWidth="1"/>
    <col min="11796" max="11796" width="14" style="365" bestFit="1" customWidth="1"/>
    <col min="11797" max="12030" width="9.140625" style="365"/>
    <col min="12031" max="12031" width="32.7109375" style="365" bestFit="1" customWidth="1"/>
    <col min="12032" max="12032" width="1.85546875" style="365" customWidth="1"/>
    <col min="12033" max="12033" width="12.85546875" style="365" customWidth="1"/>
    <col min="12034" max="12034" width="0.85546875" style="365" customWidth="1"/>
    <col min="12035" max="12035" width="12.85546875" style="365" customWidth="1"/>
    <col min="12036" max="12036" width="0.85546875" style="365" customWidth="1"/>
    <col min="12037" max="12037" width="12.85546875" style="365" customWidth="1"/>
    <col min="12038" max="12038" width="0.85546875" style="365" customWidth="1"/>
    <col min="12039" max="12039" width="12.85546875" style="365" customWidth="1"/>
    <col min="12040" max="12040" width="0.85546875" style="365" customWidth="1"/>
    <col min="12041" max="12041" width="12.85546875" style="365" customWidth="1"/>
    <col min="12042" max="12042" width="0.85546875" style="365" customWidth="1"/>
    <col min="12043" max="12043" width="12.85546875" style="365" customWidth="1"/>
    <col min="12044" max="12044" width="9.140625" style="365"/>
    <col min="12045" max="12045" width="23" style="365" bestFit="1" customWidth="1"/>
    <col min="12046" max="12046" width="12" style="365" bestFit="1" customWidth="1"/>
    <col min="12047" max="12047" width="12.5703125" style="365" bestFit="1" customWidth="1"/>
    <col min="12048" max="12048" width="12.5703125" style="365" customWidth="1"/>
    <col min="12049" max="12049" width="12" style="365" bestFit="1" customWidth="1"/>
    <col min="12050" max="12051" width="12" style="365" customWidth="1"/>
    <col min="12052" max="12052" width="14" style="365" bestFit="1" customWidth="1"/>
    <col min="12053" max="12286" width="9.140625" style="365"/>
    <col min="12287" max="12287" width="32.7109375" style="365" bestFit="1" customWidth="1"/>
    <col min="12288" max="12288" width="1.85546875" style="365" customWidth="1"/>
    <col min="12289" max="12289" width="12.85546875" style="365" customWidth="1"/>
    <col min="12290" max="12290" width="0.85546875" style="365" customWidth="1"/>
    <col min="12291" max="12291" width="12.85546875" style="365" customWidth="1"/>
    <col min="12292" max="12292" width="0.85546875" style="365" customWidth="1"/>
    <col min="12293" max="12293" width="12.85546875" style="365" customWidth="1"/>
    <col min="12294" max="12294" width="0.85546875" style="365" customWidth="1"/>
    <col min="12295" max="12295" width="12.85546875" style="365" customWidth="1"/>
    <col min="12296" max="12296" width="0.85546875" style="365" customWidth="1"/>
    <col min="12297" max="12297" width="12.85546875" style="365" customWidth="1"/>
    <col min="12298" max="12298" width="0.85546875" style="365" customWidth="1"/>
    <col min="12299" max="12299" width="12.85546875" style="365" customWidth="1"/>
    <col min="12300" max="12300" width="9.140625" style="365"/>
    <col min="12301" max="12301" width="23" style="365" bestFit="1" customWidth="1"/>
    <col min="12302" max="12302" width="12" style="365" bestFit="1" customWidth="1"/>
    <col min="12303" max="12303" width="12.5703125" style="365" bestFit="1" customWidth="1"/>
    <col min="12304" max="12304" width="12.5703125" style="365" customWidth="1"/>
    <col min="12305" max="12305" width="12" style="365" bestFit="1" customWidth="1"/>
    <col min="12306" max="12307" width="12" style="365" customWidth="1"/>
    <col min="12308" max="12308" width="14" style="365" bestFit="1" customWidth="1"/>
    <col min="12309" max="12542" width="9.140625" style="365"/>
    <col min="12543" max="12543" width="32.7109375" style="365" bestFit="1" customWidth="1"/>
    <col min="12544" max="12544" width="1.85546875" style="365" customWidth="1"/>
    <col min="12545" max="12545" width="12.85546875" style="365" customWidth="1"/>
    <col min="12546" max="12546" width="0.85546875" style="365" customWidth="1"/>
    <col min="12547" max="12547" width="12.85546875" style="365" customWidth="1"/>
    <col min="12548" max="12548" width="0.85546875" style="365" customWidth="1"/>
    <col min="12549" max="12549" width="12.85546875" style="365" customWidth="1"/>
    <col min="12550" max="12550" width="0.85546875" style="365" customWidth="1"/>
    <col min="12551" max="12551" width="12.85546875" style="365" customWidth="1"/>
    <col min="12552" max="12552" width="0.85546875" style="365" customWidth="1"/>
    <col min="12553" max="12553" width="12.85546875" style="365" customWidth="1"/>
    <col min="12554" max="12554" width="0.85546875" style="365" customWidth="1"/>
    <col min="12555" max="12555" width="12.85546875" style="365" customWidth="1"/>
    <col min="12556" max="12556" width="9.140625" style="365"/>
    <col min="12557" max="12557" width="23" style="365" bestFit="1" customWidth="1"/>
    <col min="12558" max="12558" width="12" style="365" bestFit="1" customWidth="1"/>
    <col min="12559" max="12559" width="12.5703125" style="365" bestFit="1" customWidth="1"/>
    <col min="12560" max="12560" width="12.5703125" style="365" customWidth="1"/>
    <col min="12561" max="12561" width="12" style="365" bestFit="1" customWidth="1"/>
    <col min="12562" max="12563" width="12" style="365" customWidth="1"/>
    <col min="12564" max="12564" width="14" style="365" bestFit="1" customWidth="1"/>
    <col min="12565" max="12798" width="9.140625" style="365"/>
    <col min="12799" max="12799" width="32.7109375" style="365" bestFit="1" customWidth="1"/>
    <col min="12800" max="12800" width="1.85546875" style="365" customWidth="1"/>
    <col min="12801" max="12801" width="12.85546875" style="365" customWidth="1"/>
    <col min="12802" max="12802" width="0.85546875" style="365" customWidth="1"/>
    <col min="12803" max="12803" width="12.85546875" style="365" customWidth="1"/>
    <col min="12804" max="12804" width="0.85546875" style="365" customWidth="1"/>
    <col min="12805" max="12805" width="12.85546875" style="365" customWidth="1"/>
    <col min="12806" max="12806" width="0.85546875" style="365" customWidth="1"/>
    <col min="12807" max="12807" width="12.85546875" style="365" customWidth="1"/>
    <col min="12808" max="12808" width="0.85546875" style="365" customWidth="1"/>
    <col min="12809" max="12809" width="12.85546875" style="365" customWidth="1"/>
    <col min="12810" max="12810" width="0.85546875" style="365" customWidth="1"/>
    <col min="12811" max="12811" width="12.85546875" style="365" customWidth="1"/>
    <col min="12812" max="12812" width="9.140625" style="365"/>
    <col min="12813" max="12813" width="23" style="365" bestFit="1" customWidth="1"/>
    <col min="12814" max="12814" width="12" style="365" bestFit="1" customWidth="1"/>
    <col min="12815" max="12815" width="12.5703125" style="365" bestFit="1" customWidth="1"/>
    <col min="12816" max="12816" width="12.5703125" style="365" customWidth="1"/>
    <col min="12817" max="12817" width="12" style="365" bestFit="1" customWidth="1"/>
    <col min="12818" max="12819" width="12" style="365" customWidth="1"/>
    <col min="12820" max="12820" width="14" style="365" bestFit="1" customWidth="1"/>
    <col min="12821" max="13054" width="9.140625" style="365"/>
    <col min="13055" max="13055" width="32.7109375" style="365" bestFit="1" customWidth="1"/>
    <col min="13056" max="13056" width="1.85546875" style="365" customWidth="1"/>
    <col min="13057" max="13057" width="12.85546875" style="365" customWidth="1"/>
    <col min="13058" max="13058" width="0.85546875" style="365" customWidth="1"/>
    <col min="13059" max="13059" width="12.85546875" style="365" customWidth="1"/>
    <col min="13060" max="13060" width="0.85546875" style="365" customWidth="1"/>
    <col min="13061" max="13061" width="12.85546875" style="365" customWidth="1"/>
    <col min="13062" max="13062" width="0.85546875" style="365" customWidth="1"/>
    <col min="13063" max="13063" width="12.85546875" style="365" customWidth="1"/>
    <col min="13064" max="13064" width="0.85546875" style="365" customWidth="1"/>
    <col min="13065" max="13065" width="12.85546875" style="365" customWidth="1"/>
    <col min="13066" max="13066" width="0.85546875" style="365" customWidth="1"/>
    <col min="13067" max="13067" width="12.85546875" style="365" customWidth="1"/>
    <col min="13068" max="13068" width="9.140625" style="365"/>
    <col min="13069" max="13069" width="23" style="365" bestFit="1" customWidth="1"/>
    <col min="13070" max="13070" width="12" style="365" bestFit="1" customWidth="1"/>
    <col min="13071" max="13071" width="12.5703125" style="365" bestFit="1" customWidth="1"/>
    <col min="13072" max="13072" width="12.5703125" style="365" customWidth="1"/>
    <col min="13073" max="13073" width="12" style="365" bestFit="1" customWidth="1"/>
    <col min="13074" max="13075" width="12" style="365" customWidth="1"/>
    <col min="13076" max="13076" width="14" style="365" bestFit="1" customWidth="1"/>
    <col min="13077" max="13310" width="9.140625" style="365"/>
    <col min="13311" max="13311" width="32.7109375" style="365" bestFit="1" customWidth="1"/>
    <col min="13312" max="13312" width="1.85546875" style="365" customWidth="1"/>
    <col min="13313" max="13313" width="12.85546875" style="365" customWidth="1"/>
    <col min="13314" max="13314" width="0.85546875" style="365" customWidth="1"/>
    <col min="13315" max="13315" width="12.85546875" style="365" customWidth="1"/>
    <col min="13316" max="13316" width="0.85546875" style="365" customWidth="1"/>
    <col min="13317" max="13317" width="12.85546875" style="365" customWidth="1"/>
    <col min="13318" max="13318" width="0.85546875" style="365" customWidth="1"/>
    <col min="13319" max="13319" width="12.85546875" style="365" customWidth="1"/>
    <col min="13320" max="13320" width="0.85546875" style="365" customWidth="1"/>
    <col min="13321" max="13321" width="12.85546875" style="365" customWidth="1"/>
    <col min="13322" max="13322" width="0.85546875" style="365" customWidth="1"/>
    <col min="13323" max="13323" width="12.85546875" style="365" customWidth="1"/>
    <col min="13324" max="13324" width="9.140625" style="365"/>
    <col min="13325" max="13325" width="23" style="365" bestFit="1" customWidth="1"/>
    <col min="13326" max="13326" width="12" style="365" bestFit="1" customWidth="1"/>
    <col min="13327" max="13327" width="12.5703125" style="365" bestFit="1" customWidth="1"/>
    <col min="13328" max="13328" width="12.5703125" style="365" customWidth="1"/>
    <col min="13329" max="13329" width="12" style="365" bestFit="1" customWidth="1"/>
    <col min="13330" max="13331" width="12" style="365" customWidth="1"/>
    <col min="13332" max="13332" width="14" style="365" bestFit="1" customWidth="1"/>
    <col min="13333" max="13566" width="9.140625" style="365"/>
    <col min="13567" max="13567" width="32.7109375" style="365" bestFit="1" customWidth="1"/>
    <col min="13568" max="13568" width="1.85546875" style="365" customWidth="1"/>
    <col min="13569" max="13569" width="12.85546875" style="365" customWidth="1"/>
    <col min="13570" max="13570" width="0.85546875" style="365" customWidth="1"/>
    <col min="13571" max="13571" width="12.85546875" style="365" customWidth="1"/>
    <col min="13572" max="13572" width="0.85546875" style="365" customWidth="1"/>
    <col min="13573" max="13573" width="12.85546875" style="365" customWidth="1"/>
    <col min="13574" max="13574" width="0.85546875" style="365" customWidth="1"/>
    <col min="13575" max="13575" width="12.85546875" style="365" customWidth="1"/>
    <col min="13576" max="13576" width="0.85546875" style="365" customWidth="1"/>
    <col min="13577" max="13577" width="12.85546875" style="365" customWidth="1"/>
    <col min="13578" max="13578" width="0.85546875" style="365" customWidth="1"/>
    <col min="13579" max="13579" width="12.85546875" style="365" customWidth="1"/>
    <col min="13580" max="13580" width="9.140625" style="365"/>
    <col min="13581" max="13581" width="23" style="365" bestFit="1" customWidth="1"/>
    <col min="13582" max="13582" width="12" style="365" bestFit="1" customWidth="1"/>
    <col min="13583" max="13583" width="12.5703125" style="365" bestFit="1" customWidth="1"/>
    <col min="13584" max="13584" width="12.5703125" style="365" customWidth="1"/>
    <col min="13585" max="13585" width="12" style="365" bestFit="1" customWidth="1"/>
    <col min="13586" max="13587" width="12" style="365" customWidth="1"/>
    <col min="13588" max="13588" width="14" style="365" bestFit="1" customWidth="1"/>
    <col min="13589" max="13822" width="9.140625" style="365"/>
    <col min="13823" max="13823" width="32.7109375" style="365" bestFit="1" customWidth="1"/>
    <col min="13824" max="13824" width="1.85546875" style="365" customWidth="1"/>
    <col min="13825" max="13825" width="12.85546875" style="365" customWidth="1"/>
    <col min="13826" max="13826" width="0.85546875" style="365" customWidth="1"/>
    <col min="13827" max="13827" width="12.85546875" style="365" customWidth="1"/>
    <col min="13828" max="13828" width="0.85546875" style="365" customWidth="1"/>
    <col min="13829" max="13829" width="12.85546875" style="365" customWidth="1"/>
    <col min="13830" max="13830" width="0.85546875" style="365" customWidth="1"/>
    <col min="13831" max="13831" width="12.85546875" style="365" customWidth="1"/>
    <col min="13832" max="13832" width="0.85546875" style="365" customWidth="1"/>
    <col min="13833" max="13833" width="12.85546875" style="365" customWidth="1"/>
    <col min="13834" max="13834" width="0.85546875" style="365" customWidth="1"/>
    <col min="13835" max="13835" width="12.85546875" style="365" customWidth="1"/>
    <col min="13836" max="13836" width="9.140625" style="365"/>
    <col min="13837" max="13837" width="23" style="365" bestFit="1" customWidth="1"/>
    <col min="13838" max="13838" width="12" style="365" bestFit="1" customWidth="1"/>
    <col min="13839" max="13839" width="12.5703125" style="365" bestFit="1" customWidth="1"/>
    <col min="13840" max="13840" width="12.5703125" style="365" customWidth="1"/>
    <col min="13841" max="13841" width="12" style="365" bestFit="1" customWidth="1"/>
    <col min="13842" max="13843" width="12" style="365" customWidth="1"/>
    <col min="13844" max="13844" width="14" style="365" bestFit="1" customWidth="1"/>
    <col min="13845" max="14078" width="9.140625" style="365"/>
    <col min="14079" max="14079" width="32.7109375" style="365" bestFit="1" customWidth="1"/>
    <col min="14080" max="14080" width="1.85546875" style="365" customWidth="1"/>
    <col min="14081" max="14081" width="12.85546875" style="365" customWidth="1"/>
    <col min="14082" max="14082" width="0.85546875" style="365" customWidth="1"/>
    <col min="14083" max="14083" width="12.85546875" style="365" customWidth="1"/>
    <col min="14084" max="14084" width="0.85546875" style="365" customWidth="1"/>
    <col min="14085" max="14085" width="12.85546875" style="365" customWidth="1"/>
    <col min="14086" max="14086" width="0.85546875" style="365" customWidth="1"/>
    <col min="14087" max="14087" width="12.85546875" style="365" customWidth="1"/>
    <col min="14088" max="14088" width="0.85546875" style="365" customWidth="1"/>
    <col min="14089" max="14089" width="12.85546875" style="365" customWidth="1"/>
    <col min="14090" max="14090" width="0.85546875" style="365" customWidth="1"/>
    <col min="14091" max="14091" width="12.85546875" style="365" customWidth="1"/>
    <col min="14092" max="14092" width="9.140625" style="365"/>
    <col min="14093" max="14093" width="23" style="365" bestFit="1" customWidth="1"/>
    <col min="14094" max="14094" width="12" style="365" bestFit="1" customWidth="1"/>
    <col min="14095" max="14095" width="12.5703125" style="365" bestFit="1" customWidth="1"/>
    <col min="14096" max="14096" width="12.5703125" style="365" customWidth="1"/>
    <col min="14097" max="14097" width="12" style="365" bestFit="1" customWidth="1"/>
    <col min="14098" max="14099" width="12" style="365" customWidth="1"/>
    <col min="14100" max="14100" width="14" style="365" bestFit="1" customWidth="1"/>
    <col min="14101" max="14334" width="9.140625" style="365"/>
    <col min="14335" max="14335" width="32.7109375" style="365" bestFit="1" customWidth="1"/>
    <col min="14336" max="14336" width="1.85546875" style="365" customWidth="1"/>
    <col min="14337" max="14337" width="12.85546875" style="365" customWidth="1"/>
    <col min="14338" max="14338" width="0.85546875" style="365" customWidth="1"/>
    <col min="14339" max="14339" width="12.85546875" style="365" customWidth="1"/>
    <col min="14340" max="14340" width="0.85546875" style="365" customWidth="1"/>
    <col min="14341" max="14341" width="12.85546875" style="365" customWidth="1"/>
    <col min="14342" max="14342" width="0.85546875" style="365" customWidth="1"/>
    <col min="14343" max="14343" width="12.85546875" style="365" customWidth="1"/>
    <col min="14344" max="14344" width="0.85546875" style="365" customWidth="1"/>
    <col min="14345" max="14345" width="12.85546875" style="365" customWidth="1"/>
    <col min="14346" max="14346" width="0.85546875" style="365" customWidth="1"/>
    <col min="14347" max="14347" width="12.85546875" style="365" customWidth="1"/>
    <col min="14348" max="14348" width="9.140625" style="365"/>
    <col min="14349" max="14349" width="23" style="365" bestFit="1" customWidth="1"/>
    <col min="14350" max="14350" width="12" style="365" bestFit="1" customWidth="1"/>
    <col min="14351" max="14351" width="12.5703125" style="365" bestFit="1" customWidth="1"/>
    <col min="14352" max="14352" width="12.5703125" style="365" customWidth="1"/>
    <col min="14353" max="14353" width="12" style="365" bestFit="1" customWidth="1"/>
    <col min="14354" max="14355" width="12" style="365" customWidth="1"/>
    <col min="14356" max="14356" width="14" style="365" bestFit="1" customWidth="1"/>
    <col min="14357" max="14590" width="9.140625" style="365"/>
    <col min="14591" max="14591" width="32.7109375" style="365" bestFit="1" customWidth="1"/>
    <col min="14592" max="14592" width="1.85546875" style="365" customWidth="1"/>
    <col min="14593" max="14593" width="12.85546875" style="365" customWidth="1"/>
    <col min="14594" max="14594" width="0.85546875" style="365" customWidth="1"/>
    <col min="14595" max="14595" width="12.85546875" style="365" customWidth="1"/>
    <col min="14596" max="14596" width="0.85546875" style="365" customWidth="1"/>
    <col min="14597" max="14597" width="12.85546875" style="365" customWidth="1"/>
    <col min="14598" max="14598" width="0.85546875" style="365" customWidth="1"/>
    <col min="14599" max="14599" width="12.85546875" style="365" customWidth="1"/>
    <col min="14600" max="14600" width="0.85546875" style="365" customWidth="1"/>
    <col min="14601" max="14601" width="12.85546875" style="365" customWidth="1"/>
    <col min="14602" max="14602" width="0.85546875" style="365" customWidth="1"/>
    <col min="14603" max="14603" width="12.85546875" style="365" customWidth="1"/>
    <col min="14604" max="14604" width="9.140625" style="365"/>
    <col min="14605" max="14605" width="23" style="365" bestFit="1" customWidth="1"/>
    <col min="14606" max="14606" width="12" style="365" bestFit="1" customWidth="1"/>
    <col min="14607" max="14607" width="12.5703125" style="365" bestFit="1" customWidth="1"/>
    <col min="14608" max="14608" width="12.5703125" style="365" customWidth="1"/>
    <col min="14609" max="14609" width="12" style="365" bestFit="1" customWidth="1"/>
    <col min="14610" max="14611" width="12" style="365" customWidth="1"/>
    <col min="14612" max="14612" width="14" style="365" bestFit="1" customWidth="1"/>
    <col min="14613" max="14846" width="9.140625" style="365"/>
    <col min="14847" max="14847" width="32.7109375" style="365" bestFit="1" customWidth="1"/>
    <col min="14848" max="14848" width="1.85546875" style="365" customWidth="1"/>
    <col min="14849" max="14849" width="12.85546875" style="365" customWidth="1"/>
    <col min="14850" max="14850" width="0.85546875" style="365" customWidth="1"/>
    <col min="14851" max="14851" width="12.85546875" style="365" customWidth="1"/>
    <col min="14852" max="14852" width="0.85546875" style="365" customWidth="1"/>
    <col min="14853" max="14853" width="12.85546875" style="365" customWidth="1"/>
    <col min="14854" max="14854" width="0.85546875" style="365" customWidth="1"/>
    <col min="14855" max="14855" width="12.85546875" style="365" customWidth="1"/>
    <col min="14856" max="14856" width="0.85546875" style="365" customWidth="1"/>
    <col min="14857" max="14857" width="12.85546875" style="365" customWidth="1"/>
    <col min="14858" max="14858" width="0.85546875" style="365" customWidth="1"/>
    <col min="14859" max="14859" width="12.85546875" style="365" customWidth="1"/>
    <col min="14860" max="14860" width="9.140625" style="365"/>
    <col min="14861" max="14861" width="23" style="365" bestFit="1" customWidth="1"/>
    <col min="14862" max="14862" width="12" style="365" bestFit="1" customWidth="1"/>
    <col min="14863" max="14863" width="12.5703125" style="365" bestFit="1" customWidth="1"/>
    <col min="14864" max="14864" width="12.5703125" style="365" customWidth="1"/>
    <col min="14865" max="14865" width="12" style="365" bestFit="1" customWidth="1"/>
    <col min="14866" max="14867" width="12" style="365" customWidth="1"/>
    <col min="14868" max="14868" width="14" style="365" bestFit="1" customWidth="1"/>
    <col min="14869" max="15102" width="9.140625" style="365"/>
    <col min="15103" max="15103" width="32.7109375" style="365" bestFit="1" customWidth="1"/>
    <col min="15104" max="15104" width="1.85546875" style="365" customWidth="1"/>
    <col min="15105" max="15105" width="12.85546875" style="365" customWidth="1"/>
    <col min="15106" max="15106" width="0.85546875" style="365" customWidth="1"/>
    <col min="15107" max="15107" width="12.85546875" style="365" customWidth="1"/>
    <col min="15108" max="15108" width="0.85546875" style="365" customWidth="1"/>
    <col min="15109" max="15109" width="12.85546875" style="365" customWidth="1"/>
    <col min="15110" max="15110" width="0.85546875" style="365" customWidth="1"/>
    <col min="15111" max="15111" width="12.85546875" style="365" customWidth="1"/>
    <col min="15112" max="15112" width="0.85546875" style="365" customWidth="1"/>
    <col min="15113" max="15113" width="12.85546875" style="365" customWidth="1"/>
    <col min="15114" max="15114" width="0.85546875" style="365" customWidth="1"/>
    <col min="15115" max="15115" width="12.85546875" style="365" customWidth="1"/>
    <col min="15116" max="15116" width="9.140625" style="365"/>
    <col min="15117" max="15117" width="23" style="365" bestFit="1" customWidth="1"/>
    <col min="15118" max="15118" width="12" style="365" bestFit="1" customWidth="1"/>
    <col min="15119" max="15119" width="12.5703125" style="365" bestFit="1" customWidth="1"/>
    <col min="15120" max="15120" width="12.5703125" style="365" customWidth="1"/>
    <col min="15121" max="15121" width="12" style="365" bestFit="1" customWidth="1"/>
    <col min="15122" max="15123" width="12" style="365" customWidth="1"/>
    <col min="15124" max="15124" width="14" style="365" bestFit="1" customWidth="1"/>
    <col min="15125" max="15358" width="9.140625" style="365"/>
    <col min="15359" max="15359" width="32.7109375" style="365" bestFit="1" customWidth="1"/>
    <col min="15360" max="15360" width="1.85546875" style="365" customWidth="1"/>
    <col min="15361" max="15361" width="12.85546875" style="365" customWidth="1"/>
    <col min="15362" max="15362" width="0.85546875" style="365" customWidth="1"/>
    <col min="15363" max="15363" width="12.85546875" style="365" customWidth="1"/>
    <col min="15364" max="15364" width="0.85546875" style="365" customWidth="1"/>
    <col min="15365" max="15365" width="12.85546875" style="365" customWidth="1"/>
    <col min="15366" max="15366" width="0.85546875" style="365" customWidth="1"/>
    <col min="15367" max="15367" width="12.85546875" style="365" customWidth="1"/>
    <col min="15368" max="15368" width="0.85546875" style="365" customWidth="1"/>
    <col min="15369" max="15369" width="12.85546875" style="365" customWidth="1"/>
    <col min="15370" max="15370" width="0.85546875" style="365" customWidth="1"/>
    <col min="15371" max="15371" width="12.85546875" style="365" customWidth="1"/>
    <col min="15372" max="15372" width="9.140625" style="365"/>
    <col min="15373" max="15373" width="23" style="365" bestFit="1" customWidth="1"/>
    <col min="15374" max="15374" width="12" style="365" bestFit="1" customWidth="1"/>
    <col min="15375" max="15375" width="12.5703125" style="365" bestFit="1" customWidth="1"/>
    <col min="15376" max="15376" width="12.5703125" style="365" customWidth="1"/>
    <col min="15377" max="15377" width="12" style="365" bestFit="1" customWidth="1"/>
    <col min="15378" max="15379" width="12" style="365" customWidth="1"/>
    <col min="15380" max="15380" width="14" style="365" bestFit="1" customWidth="1"/>
    <col min="15381" max="15614" width="9.140625" style="365"/>
    <col min="15615" max="15615" width="32.7109375" style="365" bestFit="1" customWidth="1"/>
    <col min="15616" max="15616" width="1.85546875" style="365" customWidth="1"/>
    <col min="15617" max="15617" width="12.85546875" style="365" customWidth="1"/>
    <col min="15618" max="15618" width="0.85546875" style="365" customWidth="1"/>
    <col min="15619" max="15619" width="12.85546875" style="365" customWidth="1"/>
    <col min="15620" max="15620" width="0.85546875" style="365" customWidth="1"/>
    <col min="15621" max="15621" width="12.85546875" style="365" customWidth="1"/>
    <col min="15622" max="15622" width="0.85546875" style="365" customWidth="1"/>
    <col min="15623" max="15623" width="12.85546875" style="365" customWidth="1"/>
    <col min="15624" max="15624" width="0.85546875" style="365" customWidth="1"/>
    <col min="15625" max="15625" width="12.85546875" style="365" customWidth="1"/>
    <col min="15626" max="15626" width="0.85546875" style="365" customWidth="1"/>
    <col min="15627" max="15627" width="12.85546875" style="365" customWidth="1"/>
    <col min="15628" max="15628" width="9.140625" style="365"/>
    <col min="15629" max="15629" width="23" style="365" bestFit="1" customWidth="1"/>
    <col min="15630" max="15630" width="12" style="365" bestFit="1" customWidth="1"/>
    <col min="15631" max="15631" width="12.5703125" style="365" bestFit="1" customWidth="1"/>
    <col min="15632" max="15632" width="12.5703125" style="365" customWidth="1"/>
    <col min="15633" max="15633" width="12" style="365" bestFit="1" customWidth="1"/>
    <col min="15634" max="15635" width="12" style="365" customWidth="1"/>
    <col min="15636" max="15636" width="14" style="365" bestFit="1" customWidth="1"/>
    <col min="15637" max="15870" width="9.140625" style="365"/>
    <col min="15871" max="15871" width="32.7109375" style="365" bestFit="1" customWidth="1"/>
    <col min="15872" max="15872" width="1.85546875" style="365" customWidth="1"/>
    <col min="15873" max="15873" width="12.85546875" style="365" customWidth="1"/>
    <col min="15874" max="15874" width="0.85546875" style="365" customWidth="1"/>
    <col min="15875" max="15875" width="12.85546875" style="365" customWidth="1"/>
    <col min="15876" max="15876" width="0.85546875" style="365" customWidth="1"/>
    <col min="15877" max="15877" width="12.85546875" style="365" customWidth="1"/>
    <col min="15878" max="15878" width="0.85546875" style="365" customWidth="1"/>
    <col min="15879" max="15879" width="12.85546875" style="365" customWidth="1"/>
    <col min="15880" max="15880" width="0.85546875" style="365" customWidth="1"/>
    <col min="15881" max="15881" width="12.85546875" style="365" customWidth="1"/>
    <col min="15882" max="15882" width="0.85546875" style="365" customWidth="1"/>
    <col min="15883" max="15883" width="12.85546875" style="365" customWidth="1"/>
    <col min="15884" max="15884" width="9.140625" style="365"/>
    <col min="15885" max="15885" width="23" style="365" bestFit="1" customWidth="1"/>
    <col min="15886" max="15886" width="12" style="365" bestFit="1" customWidth="1"/>
    <col min="15887" max="15887" width="12.5703125" style="365" bestFit="1" customWidth="1"/>
    <col min="15888" max="15888" width="12.5703125" style="365" customWidth="1"/>
    <col min="15889" max="15889" width="12" style="365" bestFit="1" customWidth="1"/>
    <col min="15890" max="15891" width="12" style="365" customWidth="1"/>
    <col min="15892" max="15892" width="14" style="365" bestFit="1" customWidth="1"/>
    <col min="15893" max="16126" width="9.140625" style="365"/>
    <col min="16127" max="16127" width="32.7109375" style="365" bestFit="1" customWidth="1"/>
    <col min="16128" max="16128" width="1.85546875" style="365" customWidth="1"/>
    <col min="16129" max="16129" width="12.85546875" style="365" customWidth="1"/>
    <col min="16130" max="16130" width="0.85546875" style="365" customWidth="1"/>
    <col min="16131" max="16131" width="12.85546875" style="365" customWidth="1"/>
    <col min="16132" max="16132" width="0.85546875" style="365" customWidth="1"/>
    <col min="16133" max="16133" width="12.85546875" style="365" customWidth="1"/>
    <col min="16134" max="16134" width="0.85546875" style="365" customWidth="1"/>
    <col min="16135" max="16135" width="12.85546875" style="365" customWidth="1"/>
    <col min="16136" max="16136" width="0.85546875" style="365" customWidth="1"/>
    <col min="16137" max="16137" width="12.85546875" style="365" customWidth="1"/>
    <col min="16138" max="16138" width="0.85546875" style="365" customWidth="1"/>
    <col min="16139" max="16139" width="12.85546875" style="365" customWidth="1"/>
    <col min="16140" max="16140" width="9.140625" style="365"/>
    <col min="16141" max="16141" width="23" style="365" bestFit="1" customWidth="1"/>
    <col min="16142" max="16142" width="12" style="365" bestFit="1" customWidth="1"/>
    <col min="16143" max="16143" width="12.5703125" style="365" bestFit="1" customWidth="1"/>
    <col min="16144" max="16144" width="12.5703125" style="365" customWidth="1"/>
    <col min="16145" max="16145" width="12" style="365" bestFit="1" customWidth="1"/>
    <col min="16146" max="16147" width="12" style="365" customWidth="1"/>
    <col min="16148" max="16148" width="14" style="365" bestFit="1" customWidth="1"/>
    <col min="16149" max="16384" width="9.140625" style="365"/>
  </cols>
  <sheetData>
    <row r="1" spans="1:20" s="417" customFormat="1" ht="44.25" hidden="1">
      <c r="A1" s="1716" t="s">
        <v>489</v>
      </c>
      <c r="B1" s="1716"/>
      <c r="C1" s="1716"/>
      <c r="D1" s="1716"/>
      <c r="E1" s="1716"/>
      <c r="F1" s="1716"/>
      <c r="G1" s="1716"/>
      <c r="H1" s="1716"/>
      <c r="I1" s="1716"/>
      <c r="J1" s="1716"/>
      <c r="K1" s="1716"/>
      <c r="L1" s="595" t="str">
        <f>PROPER(B1)</f>
        <v/>
      </c>
    </row>
    <row r="2" spans="1:20" s="417" customFormat="1" ht="41.25">
      <c r="A2" s="1718" t="s">
        <v>797</v>
      </c>
      <c r="B2" s="1718"/>
      <c r="C2" s="1718"/>
      <c r="D2" s="1718"/>
      <c r="E2" s="1718"/>
      <c r="F2" s="1718"/>
      <c r="G2" s="1718"/>
      <c r="H2" s="1718"/>
      <c r="I2" s="1718"/>
      <c r="J2" s="1718"/>
      <c r="K2" s="1718"/>
      <c r="L2" s="1258"/>
    </row>
    <row r="3" spans="1:20" s="417" customFormat="1" ht="41.25">
      <c r="A3" s="1257"/>
      <c r="B3" s="1257"/>
      <c r="C3" s="1257"/>
      <c r="D3" s="1257"/>
      <c r="E3" s="1257"/>
      <c r="F3" s="1257"/>
      <c r="G3" s="1257"/>
      <c r="H3" s="1257"/>
      <c r="I3" s="1257"/>
      <c r="J3" s="1257"/>
      <c r="K3" s="1257" t="s">
        <v>58</v>
      </c>
      <c r="L3" s="1258"/>
    </row>
    <row r="4" spans="1:20" ht="33" customHeight="1" thickBot="1">
      <c r="A4" s="418" t="s">
        <v>490</v>
      </c>
      <c r="C4" s="1127" t="s">
        <v>844</v>
      </c>
      <c r="D4" s="1127"/>
      <c r="E4" s="1128" t="s">
        <v>842</v>
      </c>
      <c r="F4" s="1127"/>
      <c r="G4" s="1128" t="s">
        <v>843</v>
      </c>
      <c r="H4" s="1128" t="s">
        <v>58</v>
      </c>
      <c r="I4" s="1127" t="s">
        <v>862</v>
      </c>
      <c r="J4" s="1128" t="s">
        <v>58</v>
      </c>
      <c r="K4" s="1129" t="s">
        <v>845</v>
      </c>
      <c r="L4" s="1127" t="s">
        <v>862</v>
      </c>
      <c r="M4" s="1127"/>
      <c r="N4" s="1129" t="s">
        <v>845</v>
      </c>
    </row>
    <row r="5" spans="1:20" s="420" customFormat="1" ht="5.25" customHeight="1">
      <c r="C5" s="421"/>
      <c r="D5" s="421"/>
      <c r="E5" s="422"/>
      <c r="F5" s="422"/>
      <c r="G5" s="421"/>
      <c r="H5" s="421"/>
      <c r="I5" s="421"/>
      <c r="J5" s="421"/>
      <c r="L5" s="365"/>
    </row>
    <row r="6" spans="1:20">
      <c r="A6" s="365" t="s">
        <v>493</v>
      </c>
      <c r="G6" s="389"/>
    </row>
    <row r="7" spans="1:20">
      <c r="A7" s="365" t="s">
        <v>494</v>
      </c>
      <c r="B7" s="365" t="s">
        <v>424</v>
      </c>
      <c r="C7" s="377">
        <v>0</v>
      </c>
      <c r="D7" s="377"/>
      <c r="E7" s="389">
        <v>0</v>
      </c>
      <c r="F7" s="389"/>
      <c r="G7" s="389">
        <v>0</v>
      </c>
      <c r="H7" s="389"/>
      <c r="I7" s="389">
        <v>0</v>
      </c>
      <c r="J7" s="389"/>
      <c r="K7" s="389">
        <v>0</v>
      </c>
      <c r="L7" s="609"/>
      <c r="T7" s="423"/>
    </row>
    <row r="8" spans="1:20">
      <c r="A8" s="365" t="s">
        <v>495</v>
      </c>
      <c r="C8" s="377">
        <v>0</v>
      </c>
      <c r="D8" s="377"/>
      <c r="E8" s="389">
        <v>0</v>
      </c>
      <c r="F8" s="389"/>
      <c r="G8" s="389">
        <v>0</v>
      </c>
      <c r="H8" s="389"/>
      <c r="I8" s="389">
        <v>0</v>
      </c>
      <c r="J8" s="389"/>
      <c r="K8" s="389">
        <v>0</v>
      </c>
      <c r="L8" s="438" t="s">
        <v>58</v>
      </c>
    </row>
    <row r="9" spans="1:20">
      <c r="A9" s="365" t="s">
        <v>496</v>
      </c>
      <c r="C9" s="377">
        <v>0</v>
      </c>
      <c r="D9" s="377"/>
      <c r="E9" s="389">
        <v>0</v>
      </c>
      <c r="F9" s="389"/>
      <c r="G9" s="389">
        <v>0</v>
      </c>
      <c r="H9" s="389"/>
      <c r="I9" s="389">
        <v>0</v>
      </c>
      <c r="J9" s="389"/>
      <c r="K9" s="389">
        <v>0</v>
      </c>
      <c r="L9" s="609"/>
    </row>
    <row r="10" spans="1:20" s="363" customFormat="1">
      <c r="A10" s="363" t="s">
        <v>497</v>
      </c>
      <c r="C10" s="389">
        <v>0</v>
      </c>
      <c r="D10" s="389"/>
      <c r="E10" s="389">
        <v>0</v>
      </c>
      <c r="F10" s="389"/>
      <c r="G10" s="389">
        <v>0</v>
      </c>
      <c r="H10" s="389"/>
      <c r="I10" s="389">
        <v>0</v>
      </c>
      <c r="J10" s="389"/>
      <c r="K10" s="389">
        <v>0</v>
      </c>
      <c r="L10" s="677"/>
    </row>
    <row r="11" spans="1:20" s="363" customFormat="1">
      <c r="A11" s="363" t="s">
        <v>498</v>
      </c>
      <c r="C11" s="389"/>
      <c r="D11" s="389"/>
      <c r="E11" s="389"/>
      <c r="F11" s="389"/>
      <c r="G11" s="389">
        <v>0</v>
      </c>
      <c r="H11" s="389"/>
      <c r="I11" s="389"/>
      <c r="J11" s="389"/>
      <c r="K11" s="389"/>
      <c r="L11" s="677"/>
      <c r="T11" s="376"/>
    </row>
    <row r="12" spans="1:20" s="363" customFormat="1">
      <c r="A12" s="363" t="s">
        <v>499</v>
      </c>
      <c r="C12" s="389" t="s">
        <v>58</v>
      </c>
      <c r="D12" s="389"/>
      <c r="E12" s="389" t="s">
        <v>58</v>
      </c>
      <c r="F12" s="389"/>
      <c r="G12" s="389"/>
      <c r="H12" s="389"/>
      <c r="I12" s="389" t="s">
        <v>58</v>
      </c>
      <c r="J12" s="389"/>
      <c r="K12" s="389" t="s">
        <v>58</v>
      </c>
      <c r="L12" s="677"/>
      <c r="T12" s="376" t="s">
        <v>58</v>
      </c>
    </row>
    <row r="13" spans="1:20" s="363" customFormat="1">
      <c r="A13" s="363" t="s">
        <v>500</v>
      </c>
      <c r="C13" s="389">
        <v>0</v>
      </c>
      <c r="D13" s="389"/>
      <c r="E13" s="389">
        <v>0</v>
      </c>
      <c r="F13" s="389"/>
      <c r="G13" s="389">
        <f>'Budget Balancing I&amp;O'!J30</f>
        <v>3545270.39</v>
      </c>
      <c r="H13" s="389"/>
      <c r="I13" s="389">
        <v>0</v>
      </c>
      <c r="J13" s="389"/>
      <c r="K13" s="389">
        <v>0</v>
      </c>
      <c r="L13" s="677"/>
      <c r="T13" s="376"/>
    </row>
    <row r="14" spans="1:20" s="363" customFormat="1">
      <c r="A14" s="363" t="s">
        <v>501</v>
      </c>
      <c r="C14" s="389">
        <v>0</v>
      </c>
      <c r="D14" s="389"/>
      <c r="E14" s="389">
        <v>0</v>
      </c>
      <c r="F14" s="389"/>
      <c r="G14" s="389">
        <f>'Budget Balancing I&amp;O'!J175</f>
        <v>427880.5</v>
      </c>
      <c r="H14" s="389"/>
      <c r="I14" s="389">
        <v>0</v>
      </c>
      <c r="J14" s="389"/>
      <c r="K14" s="389">
        <v>0</v>
      </c>
      <c r="L14" s="677"/>
      <c r="T14" s="376"/>
    </row>
    <row r="15" spans="1:20" s="363" customFormat="1">
      <c r="A15" s="363" t="s">
        <v>502</v>
      </c>
      <c r="C15" s="389"/>
      <c r="D15" s="389"/>
      <c r="E15" s="389"/>
      <c r="F15" s="389"/>
      <c r="G15" s="389">
        <v>0</v>
      </c>
      <c r="H15" s="389"/>
      <c r="I15" s="389"/>
      <c r="J15" s="389"/>
      <c r="K15" s="389"/>
      <c r="L15" s="677"/>
      <c r="T15" s="376"/>
    </row>
    <row r="16" spans="1:20" s="363" customFormat="1" hidden="1">
      <c r="A16" s="363" t="s">
        <v>503</v>
      </c>
      <c r="C16" s="389">
        <v>0</v>
      </c>
      <c r="D16" s="389"/>
      <c r="E16" s="389">
        <v>0</v>
      </c>
      <c r="F16" s="389"/>
      <c r="G16" s="389">
        <v>0</v>
      </c>
      <c r="H16" s="389"/>
      <c r="I16" s="389">
        <v>0</v>
      </c>
      <c r="J16" s="389"/>
      <c r="K16" s="389">
        <v>0</v>
      </c>
      <c r="L16" s="677"/>
    </row>
    <row r="17" spans="1:23" s="363" customFormat="1">
      <c r="A17" s="363" t="s">
        <v>504</v>
      </c>
      <c r="C17" s="389" t="s">
        <v>58</v>
      </c>
      <c r="D17" s="389"/>
      <c r="E17" s="389" t="s">
        <v>58</v>
      </c>
      <c r="F17" s="389"/>
      <c r="G17" s="389"/>
      <c r="H17" s="389"/>
      <c r="I17" s="389" t="s">
        <v>58</v>
      </c>
      <c r="J17" s="389"/>
      <c r="K17" s="389" t="s">
        <v>58</v>
      </c>
      <c r="L17" s="677"/>
      <c r="T17" s="376" t="s">
        <v>58</v>
      </c>
    </row>
    <row r="18" spans="1:23" s="363" customFormat="1">
      <c r="A18" s="363" t="s">
        <v>505</v>
      </c>
      <c r="C18" s="389">
        <v>0</v>
      </c>
      <c r="D18" s="389"/>
      <c r="E18" s="389">
        <v>0</v>
      </c>
      <c r="F18" s="389"/>
      <c r="G18" s="389" t="e">
        <f>#REF!+#REF!</f>
        <v>#REF!</v>
      </c>
      <c r="H18" s="389"/>
      <c r="I18" s="389">
        <v>0</v>
      </c>
      <c r="J18" s="389"/>
      <c r="K18" s="389">
        <v>0</v>
      </c>
      <c r="L18" s="677"/>
    </row>
    <row r="19" spans="1:23" s="363" customFormat="1" ht="14.25">
      <c r="A19" s="363" t="s">
        <v>506</v>
      </c>
      <c r="C19" s="389">
        <v>0</v>
      </c>
      <c r="D19" s="389"/>
      <c r="E19" s="389">
        <v>0</v>
      </c>
      <c r="F19" s="389"/>
      <c r="G19" s="389">
        <v>0</v>
      </c>
      <c r="H19" s="389"/>
      <c r="I19" s="389">
        <v>0</v>
      </c>
      <c r="J19" s="389"/>
      <c r="K19" s="389">
        <v>0</v>
      </c>
      <c r="L19" s="677"/>
      <c r="M19" s="678" t="s">
        <v>421</v>
      </c>
      <c r="P19" s="679">
        <v>21994</v>
      </c>
    </row>
    <row r="20" spans="1:23" s="363" customFormat="1" ht="14.25">
      <c r="A20" s="363" t="s">
        <v>500</v>
      </c>
      <c r="C20" s="389">
        <v>0</v>
      </c>
      <c r="D20" s="389"/>
      <c r="E20" s="389">
        <v>0</v>
      </c>
      <c r="F20" s="389"/>
      <c r="G20" s="389">
        <v>0</v>
      </c>
      <c r="H20" s="389"/>
      <c r="I20" s="389">
        <v>0</v>
      </c>
      <c r="J20" s="389"/>
      <c r="K20" s="389">
        <v>0</v>
      </c>
      <c r="L20" s="677"/>
      <c r="M20" s="678" t="s">
        <v>507</v>
      </c>
      <c r="P20" s="679">
        <v>17962</v>
      </c>
    </row>
    <row r="21" spans="1:23" s="363" customFormat="1" ht="14.25">
      <c r="A21" s="363" t="s">
        <v>508</v>
      </c>
      <c r="C21" s="389" t="s">
        <v>58</v>
      </c>
      <c r="D21" s="389"/>
      <c r="E21" s="389"/>
      <c r="F21" s="389"/>
      <c r="G21" s="389"/>
      <c r="H21" s="389"/>
      <c r="I21" s="389"/>
      <c r="J21" s="389"/>
      <c r="K21" s="389"/>
      <c r="L21" s="677"/>
      <c r="M21" s="678" t="s">
        <v>509</v>
      </c>
      <c r="P21" s="679">
        <v>398785</v>
      </c>
    </row>
    <row r="22" spans="1:23" s="363" customFormat="1" ht="14.25">
      <c r="A22" s="363" t="s">
        <v>510</v>
      </c>
      <c r="C22" s="389">
        <v>0</v>
      </c>
      <c r="D22" s="389"/>
      <c r="E22" s="389">
        <v>0</v>
      </c>
      <c r="F22" s="389"/>
      <c r="G22" s="389">
        <v>0</v>
      </c>
      <c r="H22" s="389"/>
      <c r="I22" s="389">
        <v>0</v>
      </c>
      <c r="J22" s="389"/>
      <c r="K22" s="389">
        <v>0</v>
      </c>
      <c r="L22" s="677"/>
      <c r="M22" s="678" t="s">
        <v>420</v>
      </c>
      <c r="P22" s="679">
        <v>83945</v>
      </c>
    </row>
    <row r="23" spans="1:23" s="363" customFormat="1" ht="14.25">
      <c r="A23" s="363" t="s">
        <v>511</v>
      </c>
      <c r="C23" s="389">
        <v>0</v>
      </c>
      <c r="D23" s="389"/>
      <c r="E23" s="389">
        <f>'Budget Balancing I&amp;O'!J109</f>
        <v>404903.6</v>
      </c>
      <c r="F23" s="389"/>
      <c r="G23" s="389">
        <v>0</v>
      </c>
      <c r="H23" s="389"/>
      <c r="I23" s="389">
        <v>0</v>
      </c>
      <c r="J23" s="389"/>
      <c r="K23" s="389">
        <v>0</v>
      </c>
      <c r="L23" s="677"/>
      <c r="M23" s="678" t="s">
        <v>417</v>
      </c>
      <c r="P23" s="679">
        <v>92742</v>
      </c>
    </row>
    <row r="24" spans="1:23" s="363" customFormat="1" ht="14.25">
      <c r="A24" s="363" t="s">
        <v>512</v>
      </c>
      <c r="C24" s="389">
        <f>I54</f>
        <v>0</v>
      </c>
      <c r="D24" s="389"/>
      <c r="E24" s="389">
        <v>0</v>
      </c>
      <c r="F24" s="389"/>
      <c r="G24" s="389">
        <v>0</v>
      </c>
      <c r="H24" s="389"/>
      <c r="I24" s="389">
        <v>0</v>
      </c>
      <c r="J24" s="389"/>
      <c r="K24" s="389">
        <v>0</v>
      </c>
      <c r="L24" s="677"/>
      <c r="M24" s="678" t="s">
        <v>513</v>
      </c>
      <c r="P24" s="679">
        <v>31892</v>
      </c>
    </row>
    <row r="25" spans="1:23" s="363" customFormat="1" ht="14.25">
      <c r="A25" s="363" t="s">
        <v>514</v>
      </c>
      <c r="C25" s="389">
        <v>0</v>
      </c>
      <c r="D25" s="389"/>
      <c r="E25" s="389">
        <v>0</v>
      </c>
      <c r="F25" s="389"/>
      <c r="G25" s="389">
        <v>0</v>
      </c>
      <c r="H25" s="389"/>
      <c r="I25" s="389">
        <v>0</v>
      </c>
      <c r="J25" s="389"/>
      <c r="K25" s="389">
        <v>0</v>
      </c>
      <c r="L25" s="677"/>
      <c r="M25" s="678" t="s">
        <v>515</v>
      </c>
      <c r="P25" s="679">
        <v>320161</v>
      </c>
    </row>
    <row r="26" spans="1:23" s="363" customFormat="1" ht="14.25">
      <c r="A26" s="363" t="s">
        <v>516</v>
      </c>
      <c r="C26" s="389">
        <f>I55</f>
        <v>0</v>
      </c>
      <c r="D26" s="389"/>
      <c r="E26" s="389">
        <v>0</v>
      </c>
      <c r="F26" s="389"/>
      <c r="G26" s="389">
        <v>0</v>
      </c>
      <c r="H26" s="389"/>
      <c r="I26" s="389">
        <v>0</v>
      </c>
      <c r="J26" s="389"/>
      <c r="K26" s="389">
        <v>0</v>
      </c>
      <c r="L26" s="677"/>
      <c r="M26" s="678" t="s">
        <v>517</v>
      </c>
      <c r="P26" s="679">
        <v>265397</v>
      </c>
    </row>
    <row r="27" spans="1:23" s="363" customFormat="1" ht="15" thickBot="1">
      <c r="A27" s="363" t="s">
        <v>518</v>
      </c>
      <c r="C27" s="389">
        <f>I56</f>
        <v>0</v>
      </c>
      <c r="D27" s="389"/>
      <c r="E27" s="389">
        <v>0</v>
      </c>
      <c r="F27" s="389"/>
      <c r="G27" s="389">
        <v>0</v>
      </c>
      <c r="H27" s="389"/>
      <c r="I27" s="389">
        <v>0</v>
      </c>
      <c r="J27" s="389"/>
      <c r="K27" s="389">
        <v>0</v>
      </c>
      <c r="L27" s="677"/>
      <c r="P27" s="680">
        <f>SUM(P19:P26)</f>
        <v>1232878</v>
      </c>
    </row>
    <row r="28" spans="1:23" s="363" customFormat="1" ht="13.5" thickTop="1">
      <c r="A28" s="363" t="s">
        <v>519</v>
      </c>
      <c r="C28" s="389">
        <f>I57</f>
        <v>0</v>
      </c>
      <c r="D28" s="389"/>
      <c r="E28" s="389">
        <v>0</v>
      </c>
      <c r="F28" s="389"/>
      <c r="G28" s="389">
        <v>0</v>
      </c>
      <c r="H28" s="389"/>
      <c r="I28" s="389">
        <v>0</v>
      </c>
      <c r="J28" s="389"/>
      <c r="K28" s="389">
        <v>0</v>
      </c>
      <c r="L28" s="677"/>
      <c r="T28" s="699"/>
      <c r="U28" s="699"/>
      <c r="V28" s="699"/>
      <c r="W28" s="699"/>
    </row>
    <row r="29" spans="1:23" s="363" customFormat="1">
      <c r="A29" s="363" t="s">
        <v>520</v>
      </c>
      <c r="C29" s="389">
        <v>0</v>
      </c>
      <c r="D29" s="389"/>
      <c r="E29" s="389">
        <v>2146622</v>
      </c>
      <c r="F29" s="389"/>
      <c r="G29" s="389">
        <v>0</v>
      </c>
      <c r="H29" s="389"/>
      <c r="I29" s="389">
        <v>0</v>
      </c>
      <c r="J29" s="389"/>
      <c r="K29" s="389">
        <v>0</v>
      </c>
      <c r="L29" s="677"/>
      <c r="T29" s="699"/>
      <c r="U29" s="699"/>
      <c r="V29" s="699"/>
      <c r="W29" s="699"/>
    </row>
    <row r="30" spans="1:23" s="363" customFormat="1" ht="11.25" customHeight="1">
      <c r="A30" s="363" t="s">
        <v>521</v>
      </c>
      <c r="C30" s="389">
        <v>0</v>
      </c>
      <c r="D30" s="389"/>
      <c r="E30" s="389">
        <v>1742782</v>
      </c>
      <c r="F30" s="389"/>
      <c r="G30" s="389">
        <v>0</v>
      </c>
      <c r="H30" s="389"/>
      <c r="I30" s="389">
        <v>0</v>
      </c>
      <c r="J30" s="389"/>
      <c r="K30" s="389">
        <v>0</v>
      </c>
      <c r="L30" s="677"/>
      <c r="T30" s="699"/>
      <c r="U30" s="699"/>
      <c r="V30" s="699"/>
      <c r="W30" s="699"/>
    </row>
    <row r="31" spans="1:23" s="363" customFormat="1" ht="12.75" customHeight="1">
      <c r="A31" s="363" t="s">
        <v>522</v>
      </c>
      <c r="C31" s="389"/>
      <c r="D31" s="389"/>
      <c r="E31" s="389"/>
      <c r="F31" s="389"/>
      <c r="G31" s="389"/>
      <c r="H31" s="389"/>
      <c r="I31" s="389"/>
      <c r="J31" s="389"/>
      <c r="K31" s="389"/>
      <c r="T31" s="699"/>
      <c r="U31" s="699"/>
      <c r="V31" s="699"/>
      <c r="W31" s="699"/>
    </row>
    <row r="32" spans="1:23" s="363" customFormat="1" ht="12.75" customHeight="1">
      <c r="A32" s="363" t="s">
        <v>523</v>
      </c>
      <c r="C32" s="389">
        <v>0</v>
      </c>
      <c r="D32" s="389"/>
      <c r="E32" s="389">
        <v>0</v>
      </c>
      <c r="F32" s="389"/>
      <c r="G32" s="389">
        <v>0</v>
      </c>
      <c r="H32" s="389"/>
      <c r="I32" s="389">
        <v>0</v>
      </c>
      <c r="J32" s="389"/>
      <c r="K32" s="389">
        <v>0</v>
      </c>
      <c r="T32" s="699"/>
      <c r="U32" s="699"/>
      <c r="V32" s="699"/>
      <c r="W32" s="699"/>
    </row>
    <row r="33" spans="1:23" s="363" customFormat="1" ht="12.75" hidden="1" customHeight="1">
      <c r="A33" s="363" t="s">
        <v>524</v>
      </c>
      <c r="C33" s="389">
        <v>0</v>
      </c>
      <c r="D33" s="389"/>
      <c r="E33" s="389">
        <v>0</v>
      </c>
      <c r="F33" s="389"/>
      <c r="G33" s="389">
        <v>0</v>
      </c>
      <c r="H33" s="389"/>
      <c r="I33" s="389">
        <v>0</v>
      </c>
      <c r="J33" s="389"/>
      <c r="K33" s="389">
        <v>0</v>
      </c>
      <c r="T33" s="699"/>
      <c r="U33" s="699"/>
      <c r="V33" s="699"/>
      <c r="W33" s="699"/>
    </row>
    <row r="34" spans="1:23" s="363" customFormat="1" hidden="1">
      <c r="A34" s="363" t="s">
        <v>525</v>
      </c>
      <c r="C34" s="389">
        <v>0</v>
      </c>
      <c r="D34" s="389"/>
      <c r="E34" s="424">
        <v>0</v>
      </c>
      <c r="F34" s="389"/>
      <c r="G34" s="424">
        <v>0</v>
      </c>
      <c r="H34" s="389"/>
      <c r="I34" s="424">
        <v>0</v>
      </c>
      <c r="J34" s="389"/>
      <c r="K34" s="424">
        <v>0</v>
      </c>
      <c r="T34" s="699"/>
      <c r="U34" s="699"/>
      <c r="V34" s="699"/>
      <c r="W34" s="699"/>
    </row>
    <row r="35" spans="1:23" s="363" customFormat="1" ht="13.5" hidden="1" thickBot="1">
      <c r="A35" s="706" t="s">
        <v>526</v>
      </c>
      <c r="B35" s="363" t="s">
        <v>424</v>
      </c>
      <c r="C35" s="427">
        <f>SUM(C7:C34)</f>
        <v>0</v>
      </c>
      <c r="E35" s="427">
        <f>SUM(E7:E34)</f>
        <v>4294307.5999999996</v>
      </c>
      <c r="G35" s="427" t="e">
        <f>SUM(G7:G34)</f>
        <v>#REF!</v>
      </c>
      <c r="I35" s="427">
        <f>SUM(I7:I34)</f>
        <v>0</v>
      </c>
      <c r="K35" s="427">
        <f>SUM(K7:K34)</f>
        <v>0</v>
      </c>
      <c r="N35" s="363" t="s">
        <v>527</v>
      </c>
      <c r="O35" s="363" t="s">
        <v>528</v>
      </c>
      <c r="P35" s="363" t="s">
        <v>529</v>
      </c>
      <c r="Q35" s="363" t="s">
        <v>528</v>
      </c>
      <c r="T35" s="699"/>
      <c r="U35" s="699"/>
      <c r="V35" s="699"/>
      <c r="W35" s="699"/>
    </row>
    <row r="36" spans="1:23" s="363" customFormat="1">
      <c r="E36" s="376"/>
      <c r="G36" s="376"/>
      <c r="K36" s="389"/>
      <c r="M36" s="707"/>
      <c r="N36" s="708" t="s">
        <v>530</v>
      </c>
      <c r="O36" s="708" t="s">
        <v>531</v>
      </c>
      <c r="P36" s="708"/>
      <c r="Q36" s="709" t="s">
        <v>532</v>
      </c>
      <c r="S36" s="386"/>
      <c r="T36" s="699"/>
      <c r="U36" s="699"/>
      <c r="V36" s="699"/>
      <c r="W36" s="699"/>
    </row>
    <row r="37" spans="1:23" s="363" customFormat="1" ht="13.5" customHeight="1">
      <c r="A37" s="710" t="s">
        <v>533</v>
      </c>
      <c r="E37" s="376"/>
      <c r="G37" s="376"/>
      <c r="K37" s="389"/>
      <c r="M37" s="711"/>
      <c r="N37" s="386"/>
      <c r="O37" s="386"/>
      <c r="P37" s="386"/>
      <c r="Q37" s="712"/>
      <c r="S37" s="386"/>
    </row>
    <row r="38" spans="1:23" ht="5.25" customHeight="1">
      <c r="E38" s="363"/>
      <c r="F38" s="363"/>
      <c r="G38" s="363"/>
      <c r="H38" s="363"/>
      <c r="I38" s="363"/>
      <c r="J38" s="363"/>
      <c r="K38" s="389"/>
      <c r="M38" s="429"/>
      <c r="N38" s="428"/>
      <c r="O38" s="428"/>
      <c r="P38" s="428"/>
      <c r="Q38" s="430"/>
      <c r="S38" s="428"/>
    </row>
    <row r="39" spans="1:23">
      <c r="A39" s="365" t="s">
        <v>492</v>
      </c>
      <c r="C39" s="423"/>
      <c r="E39" s="376"/>
      <c r="F39" s="363"/>
      <c r="G39" s="363"/>
      <c r="H39" s="363"/>
      <c r="I39" s="363"/>
      <c r="J39" s="363"/>
      <c r="K39" s="389"/>
      <c r="M39" s="429" t="s">
        <v>534</v>
      </c>
      <c r="N39" s="431">
        <v>5055457</v>
      </c>
      <c r="O39" s="432">
        <v>4178305</v>
      </c>
      <c r="P39" s="432">
        <v>4138538</v>
      </c>
      <c r="Q39" s="433">
        <v>3889404</v>
      </c>
      <c r="S39" s="434"/>
    </row>
    <row r="40" spans="1:23">
      <c r="A40" s="365" t="s">
        <v>535</v>
      </c>
      <c r="B40" s="365" t="s">
        <v>424</v>
      </c>
      <c r="C40" s="389">
        <f>G7</f>
        <v>0</v>
      </c>
      <c r="D40" s="377"/>
      <c r="E40" s="389">
        <v>0</v>
      </c>
      <c r="F40" s="389"/>
      <c r="G40" s="389">
        <v>0</v>
      </c>
      <c r="H40" s="389"/>
      <c r="I40" s="389">
        <v>0</v>
      </c>
      <c r="J40" s="363"/>
      <c r="K40" s="389">
        <v>0</v>
      </c>
      <c r="M40" s="429" t="s">
        <v>536</v>
      </c>
      <c r="N40" s="431">
        <v>597693</v>
      </c>
      <c r="O40" s="431">
        <v>597693</v>
      </c>
      <c r="P40" s="431">
        <f>O40</f>
        <v>597693</v>
      </c>
      <c r="Q40" s="435">
        <f>857498-200000</f>
        <v>657498</v>
      </c>
      <c r="S40" s="434"/>
    </row>
    <row r="41" spans="1:23">
      <c r="A41" s="365" t="s">
        <v>537</v>
      </c>
      <c r="C41" s="389">
        <f>G8</f>
        <v>0</v>
      </c>
      <c r="D41" s="377"/>
      <c r="E41" s="389">
        <v>0</v>
      </c>
      <c r="F41" s="389"/>
      <c r="G41" s="389">
        <v>0</v>
      </c>
      <c r="H41" s="389"/>
      <c r="I41" s="389">
        <v>0</v>
      </c>
      <c r="J41" s="363"/>
      <c r="K41" s="389">
        <v>0</v>
      </c>
      <c r="M41" s="429" t="s">
        <v>538</v>
      </c>
      <c r="N41" s="431">
        <f>2376679+1161991</f>
        <v>3538670</v>
      </c>
      <c r="O41" s="432">
        <v>5091817</v>
      </c>
      <c r="P41" s="432">
        <v>5091817</v>
      </c>
      <c r="Q41" s="433">
        <v>3801628.26</v>
      </c>
      <c r="S41" s="434"/>
    </row>
    <row r="42" spans="1:23">
      <c r="A42" s="365" t="s">
        <v>539</v>
      </c>
      <c r="C42" s="389">
        <f>G9</f>
        <v>0</v>
      </c>
      <c r="D42" s="377"/>
      <c r="E42" s="389">
        <v>0</v>
      </c>
      <c r="F42" s="389"/>
      <c r="G42" s="389">
        <v>0</v>
      </c>
      <c r="H42" s="389"/>
      <c r="I42" s="389">
        <v>0</v>
      </c>
      <c r="J42" s="363"/>
      <c r="K42" s="389">
        <v>0</v>
      </c>
      <c r="M42" s="429" t="s">
        <v>540</v>
      </c>
      <c r="N42" s="431">
        <v>2426696</v>
      </c>
      <c r="O42" s="432">
        <v>3167788</v>
      </c>
      <c r="P42" s="432">
        <v>3167788</v>
      </c>
      <c r="Q42" s="433">
        <v>2836054.3256999999</v>
      </c>
      <c r="S42" s="434"/>
    </row>
    <row r="43" spans="1:23">
      <c r="A43" s="365" t="s">
        <v>541</v>
      </c>
      <c r="C43" s="389">
        <f>G10</f>
        <v>0</v>
      </c>
      <c r="D43" s="377"/>
      <c r="E43" s="389"/>
      <c r="F43" s="389"/>
      <c r="G43" s="389"/>
      <c r="H43" s="389"/>
      <c r="I43" s="389"/>
      <c r="J43" s="363"/>
      <c r="K43" s="389"/>
      <c r="M43" s="429" t="s">
        <v>542</v>
      </c>
      <c r="N43" s="431">
        <v>0</v>
      </c>
      <c r="O43" s="428"/>
      <c r="P43" s="428"/>
      <c r="Q43" s="430"/>
      <c r="S43" s="428"/>
    </row>
    <row r="44" spans="1:23" ht="14.25" customHeight="1">
      <c r="A44" s="365" t="s">
        <v>498</v>
      </c>
      <c r="C44" s="389">
        <f>G11</f>
        <v>0</v>
      </c>
      <c r="D44" s="377"/>
      <c r="E44" s="389"/>
      <c r="F44" s="389"/>
      <c r="G44" s="389"/>
      <c r="H44" s="389"/>
      <c r="I44" s="389"/>
      <c r="J44" s="363"/>
      <c r="K44" s="389"/>
      <c r="M44" s="429" t="s">
        <v>543</v>
      </c>
      <c r="N44" s="431" t="s">
        <v>58</v>
      </c>
      <c r="O44" s="428"/>
      <c r="P44" s="428"/>
      <c r="Q44" s="430"/>
      <c r="S44" s="428"/>
      <c r="T44" s="423" t="s">
        <v>58</v>
      </c>
    </row>
    <row r="45" spans="1:23">
      <c r="A45" s="365" t="s">
        <v>544</v>
      </c>
      <c r="C45" s="389">
        <f>G13</f>
        <v>3545270.39</v>
      </c>
      <c r="D45" s="377"/>
      <c r="E45" s="389">
        <v>0</v>
      </c>
      <c r="F45" s="389"/>
      <c r="G45" s="389">
        <v>0</v>
      </c>
      <c r="H45" s="389"/>
      <c r="I45" s="389">
        <v>0</v>
      </c>
      <c r="J45" s="363"/>
      <c r="K45" s="389">
        <v>0</v>
      </c>
      <c r="M45" s="429" t="s">
        <v>545</v>
      </c>
      <c r="N45" s="431">
        <v>0</v>
      </c>
      <c r="O45" s="428"/>
      <c r="P45" s="428"/>
      <c r="Q45" s="430"/>
      <c r="S45" s="428"/>
      <c r="T45" s="423"/>
    </row>
    <row r="46" spans="1:23">
      <c r="A46" s="363" t="s">
        <v>546</v>
      </c>
      <c r="B46" s="363"/>
      <c r="C46" s="389">
        <v>0</v>
      </c>
      <c r="D46" s="389"/>
      <c r="E46" s="389" t="e">
        <f>G18</f>
        <v>#REF!</v>
      </c>
      <c r="F46" s="389"/>
      <c r="G46" s="389">
        <v>0</v>
      </c>
      <c r="H46" s="389"/>
      <c r="I46" s="389">
        <v>0</v>
      </c>
      <c r="J46" s="363"/>
      <c r="K46" s="389">
        <v>0</v>
      </c>
      <c r="M46" s="429" t="s">
        <v>509</v>
      </c>
      <c r="N46" s="431"/>
      <c r="O46" s="428"/>
      <c r="P46" s="431">
        <f>3665711</f>
        <v>3665711</v>
      </c>
      <c r="Q46" s="430"/>
      <c r="S46" s="428"/>
      <c r="T46" s="423" t="s">
        <v>58</v>
      </c>
    </row>
    <row r="47" spans="1:23" ht="13.5" thickBot="1">
      <c r="A47" s="365" t="s">
        <v>522</v>
      </c>
      <c r="C47" s="389" t="s">
        <v>58</v>
      </c>
      <c r="D47" s="377"/>
      <c r="E47" s="389" t="s">
        <v>58</v>
      </c>
      <c r="F47" s="389"/>
      <c r="G47" s="389" t="s">
        <v>58</v>
      </c>
      <c r="H47" s="389"/>
      <c r="I47" s="389" t="s">
        <v>58</v>
      </c>
      <c r="J47" s="363"/>
      <c r="K47" s="389" t="s">
        <v>58</v>
      </c>
      <c r="M47" s="429"/>
      <c r="N47" s="436">
        <f>SUM(N39:N46)</f>
        <v>11618516</v>
      </c>
      <c r="O47" s="426">
        <f>SUM(O39:O46)</f>
        <v>13035603</v>
      </c>
      <c r="P47" s="426">
        <f>SUM(P39:P46)</f>
        <v>16661547</v>
      </c>
      <c r="Q47" s="437">
        <f>SUM(Q39:Q46)</f>
        <v>11184584.5857</v>
      </c>
      <c r="S47" s="434"/>
      <c r="T47" s="438">
        <v>0</v>
      </c>
      <c r="U47" s="365" t="s">
        <v>417</v>
      </c>
    </row>
    <row r="48" spans="1:23" ht="13.5" thickTop="1">
      <c r="A48" s="365" t="s">
        <v>547</v>
      </c>
      <c r="C48" s="389">
        <f>Q40</f>
        <v>657498</v>
      </c>
      <c r="D48" s="377"/>
      <c r="E48" s="389">
        <v>0</v>
      </c>
      <c r="F48" s="389"/>
      <c r="G48" s="389">
        <v>0</v>
      </c>
      <c r="H48" s="389"/>
      <c r="I48" s="389">
        <v>0</v>
      </c>
      <c r="J48" s="363"/>
      <c r="K48" s="389">
        <v>0</v>
      </c>
      <c r="M48" s="439"/>
      <c r="N48" s="440"/>
      <c r="O48" s="440"/>
      <c r="P48" s="440"/>
      <c r="Q48" s="441"/>
      <c r="S48" s="428"/>
      <c r="T48" s="438">
        <v>1000000</v>
      </c>
      <c r="U48" s="365" t="s">
        <v>517</v>
      </c>
    </row>
    <row r="49" spans="1:21">
      <c r="A49" s="365" t="s">
        <v>548</v>
      </c>
      <c r="C49" s="389">
        <v>0</v>
      </c>
      <c r="D49" s="377"/>
      <c r="E49" s="389">
        <v>4833302.68</v>
      </c>
      <c r="F49" s="389"/>
      <c r="G49" s="389">
        <v>0</v>
      </c>
      <c r="H49" s="389"/>
      <c r="I49" s="389">
        <v>6043215</v>
      </c>
      <c r="J49" s="363"/>
      <c r="K49" s="389">
        <v>0</v>
      </c>
      <c r="T49" s="438">
        <v>1800000</v>
      </c>
      <c r="U49" s="365" t="s">
        <v>549</v>
      </c>
    </row>
    <row r="50" spans="1:21">
      <c r="A50" s="365" t="s">
        <v>550</v>
      </c>
      <c r="C50" s="389">
        <v>0</v>
      </c>
      <c r="D50" s="377"/>
      <c r="E50" s="389">
        <v>0</v>
      </c>
      <c r="F50" s="389" t="s">
        <v>551</v>
      </c>
      <c r="G50" s="389">
        <v>0</v>
      </c>
      <c r="H50" s="389"/>
      <c r="I50" s="389">
        <v>0</v>
      </c>
      <c r="J50" s="363"/>
      <c r="K50" s="389">
        <v>0</v>
      </c>
      <c r="T50" s="438">
        <v>540724</v>
      </c>
      <c r="U50" s="365" t="s">
        <v>420</v>
      </c>
    </row>
    <row r="51" spans="1:21">
      <c r="A51" s="365" t="s">
        <v>552</v>
      </c>
      <c r="C51" s="389">
        <f>E29+E30</f>
        <v>3889404</v>
      </c>
      <c r="D51" s="377"/>
      <c r="E51" s="389">
        <v>0</v>
      </c>
      <c r="F51" s="389"/>
      <c r="G51" s="389">
        <v>0</v>
      </c>
      <c r="H51" s="389"/>
      <c r="I51" s="389">
        <v>540724</v>
      </c>
      <c r="J51" s="363"/>
      <c r="K51" s="389">
        <v>0</v>
      </c>
      <c r="T51" s="438">
        <v>1598215</v>
      </c>
      <c r="U51" s="365" t="s">
        <v>421</v>
      </c>
    </row>
    <row r="52" spans="1:21">
      <c r="A52" s="365" t="s">
        <v>553</v>
      </c>
      <c r="C52" s="377">
        <v>0</v>
      </c>
      <c r="D52" s="377"/>
      <c r="E52" s="389">
        <v>0</v>
      </c>
      <c r="F52" s="389"/>
      <c r="G52" s="389">
        <v>0</v>
      </c>
      <c r="H52" s="389"/>
      <c r="I52" s="389">
        <v>0</v>
      </c>
      <c r="J52" s="363"/>
      <c r="K52" s="389">
        <v>0</v>
      </c>
      <c r="T52" s="438"/>
    </row>
    <row r="53" spans="1:21">
      <c r="A53" s="365" t="s">
        <v>554</v>
      </c>
      <c r="C53" s="377">
        <v>0</v>
      </c>
      <c r="D53" s="377"/>
      <c r="E53" s="389">
        <v>31250</v>
      </c>
      <c r="F53" s="389"/>
      <c r="G53" s="389">
        <v>0</v>
      </c>
      <c r="H53" s="389"/>
      <c r="I53" s="389">
        <v>0</v>
      </c>
      <c r="J53" s="363"/>
      <c r="K53" s="389">
        <v>0</v>
      </c>
      <c r="T53" s="438"/>
    </row>
    <row r="54" spans="1:21">
      <c r="A54" s="365" t="s">
        <v>555</v>
      </c>
      <c r="C54" s="377">
        <v>0</v>
      </c>
      <c r="D54" s="377"/>
      <c r="E54" s="389">
        <v>0</v>
      </c>
      <c r="F54" s="389"/>
      <c r="G54" s="389">
        <v>0</v>
      </c>
      <c r="H54" s="389"/>
      <c r="I54" s="389">
        <v>0</v>
      </c>
      <c r="J54" s="363"/>
      <c r="K54" s="389">
        <v>0</v>
      </c>
      <c r="T54" s="438"/>
    </row>
    <row r="55" spans="1:21">
      <c r="A55" s="365" t="s">
        <v>556</v>
      </c>
      <c r="C55" s="377">
        <v>0</v>
      </c>
      <c r="D55" s="377"/>
      <c r="E55" s="389">
        <v>0</v>
      </c>
      <c r="F55" s="389"/>
      <c r="G55" s="389">
        <v>0</v>
      </c>
      <c r="H55" s="389"/>
      <c r="I55" s="389">
        <v>0</v>
      </c>
      <c r="J55" s="363"/>
      <c r="K55" s="389">
        <v>0</v>
      </c>
      <c r="T55" s="438"/>
    </row>
    <row r="56" spans="1:21">
      <c r="A56" s="365" t="s">
        <v>557</v>
      </c>
      <c r="C56" s="377">
        <v>0</v>
      </c>
      <c r="D56" s="377"/>
      <c r="E56" s="389">
        <v>0</v>
      </c>
      <c r="F56" s="389"/>
      <c r="G56" s="389">
        <v>0</v>
      </c>
      <c r="H56" s="389"/>
      <c r="I56" s="389">
        <v>0</v>
      </c>
      <c r="J56" s="363"/>
      <c r="K56" s="389">
        <v>0</v>
      </c>
      <c r="T56" s="438">
        <v>1300000</v>
      </c>
      <c r="U56" s="365" t="s">
        <v>513</v>
      </c>
    </row>
    <row r="57" spans="1:21">
      <c r="A57" s="365" t="s">
        <v>558</v>
      </c>
      <c r="C57" s="377">
        <v>0</v>
      </c>
      <c r="D57" s="377"/>
      <c r="E57" s="389">
        <v>0</v>
      </c>
      <c r="F57" s="389"/>
      <c r="G57" s="389">
        <v>0</v>
      </c>
      <c r="H57" s="389"/>
      <c r="I57" s="389">
        <v>0</v>
      </c>
      <c r="J57" s="363"/>
      <c r="K57" s="389">
        <v>0</v>
      </c>
      <c r="T57" s="438"/>
    </row>
    <row r="58" spans="1:21" ht="26.25" customHeight="1">
      <c r="A58" s="365" t="s">
        <v>559</v>
      </c>
      <c r="C58" s="442">
        <v>0</v>
      </c>
      <c r="D58" s="377"/>
      <c r="E58" s="424">
        <v>0</v>
      </c>
      <c r="F58" s="389"/>
      <c r="G58" s="424">
        <v>0</v>
      </c>
      <c r="H58" s="389"/>
      <c r="I58" s="424">
        <v>0</v>
      </c>
      <c r="J58" s="363"/>
      <c r="K58" s="424">
        <v>0</v>
      </c>
      <c r="T58" s="438"/>
    </row>
    <row r="59" spans="1:21" ht="13.5" thickBot="1">
      <c r="A59" s="425" t="s">
        <v>560</v>
      </c>
      <c r="B59" s="365" t="s">
        <v>424</v>
      </c>
      <c r="C59" s="427">
        <f>SUM(C40:C58)</f>
        <v>8092172.3900000006</v>
      </c>
      <c r="D59" s="363"/>
      <c r="E59" s="427" t="e">
        <f>SUM(E40:E58)</f>
        <v>#REF!</v>
      </c>
      <c r="G59" s="426">
        <f>SUM(G40:G58)</f>
        <v>0</v>
      </c>
      <c r="I59" s="427">
        <f>SUM(I40:I58)</f>
        <v>6583939</v>
      </c>
      <c r="K59" s="426">
        <f>SUM(K40:K58)</f>
        <v>0</v>
      </c>
      <c r="L59" s="368"/>
      <c r="T59" s="443">
        <v>0</v>
      </c>
      <c r="U59" s="365" t="s">
        <v>561</v>
      </c>
    </row>
    <row r="60" spans="1:21" ht="14.25" thickTop="1" thickBot="1">
      <c r="A60" s="425"/>
      <c r="C60" s="444"/>
      <c r="D60" s="363"/>
      <c r="E60" s="444"/>
      <c r="G60" s="434"/>
      <c r="I60" s="444"/>
      <c r="K60" s="434"/>
      <c r="T60" s="445" t="e">
        <f>SUM(#REF!)</f>
        <v>#REF!</v>
      </c>
      <c r="U60" s="365" t="s">
        <v>562</v>
      </c>
    </row>
    <row r="61" spans="1:21" ht="24.75" customHeight="1" thickTop="1">
      <c r="A61" s="1717" t="s">
        <v>563</v>
      </c>
      <c r="B61" s="1717"/>
      <c r="C61" s="1717"/>
      <c r="D61" s="1717"/>
      <c r="E61" s="1717"/>
      <c r="F61" s="1717"/>
      <c r="G61" s="1717"/>
      <c r="H61" s="1717"/>
      <c r="I61" s="1717"/>
      <c r="J61" s="1717"/>
      <c r="K61" s="1717"/>
    </row>
    <row r="62" spans="1:21">
      <c r="C62" s="376"/>
    </row>
    <row r="64" spans="1:21">
      <c r="C64" s="365" t="s">
        <v>47</v>
      </c>
      <c r="E64" s="365" t="s">
        <v>47</v>
      </c>
      <c r="G64" s="365" t="s">
        <v>47</v>
      </c>
      <c r="I64" s="365" t="s">
        <v>47</v>
      </c>
      <c r="K64" s="365" t="s">
        <v>47</v>
      </c>
    </row>
    <row r="65" spans="1:3">
      <c r="C65" s="423"/>
    </row>
    <row r="66" spans="1:3">
      <c r="A66" s="365" t="s">
        <v>58</v>
      </c>
      <c r="C66" s="423">
        <f>3840756-C51</f>
        <v>-48648</v>
      </c>
    </row>
    <row r="67" spans="1:3">
      <c r="A67" s="365" t="s">
        <v>58</v>
      </c>
    </row>
    <row r="68" spans="1:3">
      <c r="A68" s="365" t="s">
        <v>58</v>
      </c>
    </row>
    <row r="70" spans="1:3" ht="14.25">
      <c r="C70" s="446" t="s">
        <v>58</v>
      </c>
    </row>
    <row r="71" spans="1:3" ht="14.25">
      <c r="C71" s="447" t="s">
        <v>58</v>
      </c>
    </row>
    <row r="72" spans="1:3" ht="14.25">
      <c r="C72" s="447" t="s">
        <v>58</v>
      </c>
    </row>
    <row r="73" spans="1:3" ht="14.25">
      <c r="C73" s="447" t="s">
        <v>58</v>
      </c>
    </row>
    <row r="74" spans="1:3" ht="14.25">
      <c r="C74" s="447" t="s">
        <v>58</v>
      </c>
    </row>
    <row r="75" spans="1:3" ht="14.25">
      <c r="C75" s="447" t="s">
        <v>58</v>
      </c>
    </row>
    <row r="76" spans="1:3" ht="14.25">
      <c r="C76" s="447" t="s">
        <v>58</v>
      </c>
    </row>
  </sheetData>
  <mergeCells count="3">
    <mergeCell ref="A1:K1"/>
    <mergeCell ref="A61:K61"/>
    <mergeCell ref="A2:K2"/>
  </mergeCells>
  <pageMargins left="0.7" right="0.7" top="0.75" bottom="0.75" header="0.3" footer="0.3"/>
  <pageSetup scale="73" orientation="portrait" r:id="rId1"/>
  <colBreaks count="1" manualBreakCount="1">
    <brk id="11" max="1048575" man="1"/>
  </colBreaks>
  <legacy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sheetPr>
  <dimension ref="A1:O214"/>
  <sheetViews>
    <sheetView workbookViewId="0">
      <pane xSplit="5" ySplit="4" topLeftCell="F136" activePane="bottomRight" state="frozen"/>
      <selection activeCell="U37" sqref="U37"/>
      <selection pane="topRight" activeCell="U37" sqref="U37"/>
      <selection pane="bottomLeft" activeCell="U37" sqref="U37"/>
      <selection pane="bottomRight" activeCell="G19" sqref="G19"/>
    </sheetView>
  </sheetViews>
  <sheetFormatPr defaultRowHeight="12.75"/>
  <cols>
    <col min="1" max="1" width="10.28515625" style="318" customWidth="1"/>
    <col min="2" max="2" width="3.5703125" style="318" customWidth="1"/>
    <col min="3" max="3" width="12.7109375" style="318" customWidth="1"/>
    <col min="4" max="4" width="12.85546875" style="318" customWidth="1"/>
    <col min="5" max="5" width="32.28515625" style="318" bestFit="1" customWidth="1"/>
    <col min="6" max="9" width="13.42578125" style="318" customWidth="1"/>
    <col min="10" max="10" width="33.140625" style="318" bestFit="1" customWidth="1"/>
    <col min="11" max="11" width="13.42578125" style="735" hidden="1" customWidth="1"/>
    <col min="12" max="12" width="33.140625" style="318" hidden="1" customWidth="1"/>
    <col min="14" max="14" width="35.5703125" style="318" bestFit="1" customWidth="1"/>
    <col min="15" max="15" width="33.140625" style="318" bestFit="1" customWidth="1"/>
  </cols>
  <sheetData>
    <row r="1" spans="1:15" ht="18">
      <c r="A1" s="317" t="s">
        <v>330</v>
      </c>
      <c r="J1" s="881"/>
      <c r="L1" s="881"/>
      <c r="N1" s="881"/>
      <c r="O1" s="881"/>
    </row>
    <row r="2" spans="1:15">
      <c r="B2" s="319"/>
      <c r="J2" s="881"/>
      <c r="L2" s="881"/>
      <c r="N2" s="881"/>
      <c r="O2" s="881"/>
    </row>
    <row r="3" spans="1:15">
      <c r="B3" s="319"/>
      <c r="J3" s="881"/>
      <c r="L3" s="881"/>
      <c r="N3" s="881"/>
      <c r="O3" s="881"/>
    </row>
    <row r="4" spans="1:15" ht="31.5">
      <c r="A4" s="1728" t="s">
        <v>331</v>
      </c>
      <c r="B4" s="1729"/>
      <c r="C4" s="1729"/>
      <c r="D4" s="1729"/>
      <c r="E4" s="1730"/>
      <c r="F4" s="320" t="s">
        <v>332</v>
      </c>
      <c r="G4" s="320" t="s">
        <v>333</v>
      </c>
      <c r="H4" s="320" t="s">
        <v>334</v>
      </c>
      <c r="I4" s="320" t="s">
        <v>608</v>
      </c>
      <c r="J4" s="882" t="s">
        <v>610</v>
      </c>
      <c r="K4" s="736" t="s">
        <v>609</v>
      </c>
      <c r="L4" s="882" t="s">
        <v>610</v>
      </c>
      <c r="N4" s="890"/>
      <c r="O4" s="882" t="s">
        <v>610</v>
      </c>
    </row>
    <row r="5" spans="1:15" ht="12.75" customHeight="1">
      <c r="A5" s="785" t="s">
        <v>365</v>
      </c>
      <c r="B5" s="785" t="s">
        <v>348</v>
      </c>
      <c r="C5" s="785" t="s">
        <v>349</v>
      </c>
      <c r="D5" s="785" t="s">
        <v>612</v>
      </c>
      <c r="E5" s="321" t="s">
        <v>613</v>
      </c>
      <c r="F5" s="322">
        <v>906837</v>
      </c>
      <c r="G5" s="323"/>
      <c r="H5" s="323"/>
      <c r="I5" s="322">
        <v>648254</v>
      </c>
      <c r="J5" s="884">
        <v>648254</v>
      </c>
      <c r="K5" s="737"/>
      <c r="L5" s="884">
        <v>648254</v>
      </c>
      <c r="N5" s="883" t="s">
        <v>613</v>
      </c>
      <c r="O5" s="884">
        <v>648254</v>
      </c>
    </row>
    <row r="6" spans="1:15">
      <c r="A6" s="786"/>
      <c r="B6" s="786"/>
      <c r="C6" s="786"/>
      <c r="D6" s="786"/>
      <c r="E6" s="321" t="s">
        <v>614</v>
      </c>
      <c r="F6" s="322">
        <v>398785</v>
      </c>
      <c r="G6" s="323"/>
      <c r="H6" s="322">
        <v>8996089</v>
      </c>
      <c r="I6" s="323"/>
      <c r="J6" s="885"/>
      <c r="K6" s="737"/>
      <c r="L6" s="885"/>
      <c r="N6" s="883" t="s">
        <v>614</v>
      </c>
      <c r="O6" s="885"/>
    </row>
    <row r="7" spans="1:15">
      <c r="A7" s="786"/>
      <c r="B7" s="786"/>
      <c r="C7" s="786"/>
      <c r="D7" s="786"/>
      <c r="E7" s="321" t="s">
        <v>615</v>
      </c>
      <c r="F7" s="322">
        <v>685718.6</v>
      </c>
      <c r="G7" s="323"/>
      <c r="H7" s="323"/>
      <c r="I7" s="323"/>
      <c r="J7" s="885"/>
      <c r="K7" s="737"/>
      <c r="L7" s="885"/>
      <c r="N7" s="883" t="s">
        <v>615</v>
      </c>
      <c r="O7" s="885"/>
    </row>
    <row r="8" spans="1:15">
      <c r="A8" s="786"/>
      <c r="B8" s="786"/>
      <c r="C8" s="786"/>
      <c r="D8" s="786"/>
      <c r="E8" s="321" t="s">
        <v>616</v>
      </c>
      <c r="F8" s="322">
        <v>92742.39</v>
      </c>
      <c r="G8" s="323"/>
      <c r="H8" s="323"/>
      <c r="I8" s="323"/>
      <c r="J8" s="885"/>
      <c r="K8" s="737"/>
      <c r="L8" s="885"/>
      <c r="N8" s="883" t="s">
        <v>616</v>
      </c>
      <c r="O8" s="885"/>
    </row>
    <row r="9" spans="1:15">
      <c r="A9" s="786"/>
      <c r="B9" s="786"/>
      <c r="C9" s="786"/>
      <c r="D9" s="786"/>
      <c r="E9" s="321" t="s">
        <v>617</v>
      </c>
      <c r="F9" s="322">
        <v>265397.48</v>
      </c>
      <c r="G9" s="323"/>
      <c r="H9" s="323"/>
      <c r="I9" s="323"/>
      <c r="J9" s="885"/>
      <c r="K9" s="737"/>
      <c r="L9" s="885"/>
      <c r="N9" s="883" t="s">
        <v>617</v>
      </c>
      <c r="O9" s="885"/>
    </row>
    <row r="10" spans="1:15" ht="21">
      <c r="A10" s="786"/>
      <c r="B10" s="786"/>
      <c r="C10" s="786"/>
      <c r="D10" s="786"/>
      <c r="E10" s="321" t="s">
        <v>618</v>
      </c>
      <c r="F10" s="322">
        <v>17961.98</v>
      </c>
      <c r="G10" s="323"/>
      <c r="H10" s="323"/>
      <c r="I10" s="323"/>
      <c r="J10" s="885"/>
      <c r="K10" s="737"/>
      <c r="L10" s="885"/>
      <c r="N10" s="883" t="s">
        <v>618</v>
      </c>
      <c r="O10" s="885"/>
    </row>
    <row r="11" spans="1:15">
      <c r="A11" s="786"/>
      <c r="B11" s="786"/>
      <c r="C11" s="786"/>
      <c r="D11" s="786"/>
      <c r="E11" s="321" t="s">
        <v>619</v>
      </c>
      <c r="F11" s="322">
        <v>83944.78</v>
      </c>
      <c r="G11" s="323"/>
      <c r="H11" s="323"/>
      <c r="I11" s="323"/>
      <c r="J11" s="885"/>
      <c r="K11" s="737"/>
      <c r="L11" s="885"/>
      <c r="N11" s="883" t="s">
        <v>619</v>
      </c>
      <c r="O11" s="885"/>
    </row>
    <row r="12" spans="1:15">
      <c r="A12" s="786"/>
      <c r="B12" s="786"/>
      <c r="C12" s="786"/>
      <c r="D12" s="786"/>
      <c r="E12" s="321" t="s">
        <v>620</v>
      </c>
      <c r="F12" s="322">
        <v>21994.27</v>
      </c>
      <c r="G12" s="323"/>
      <c r="H12" s="323"/>
      <c r="I12" s="323"/>
      <c r="J12" s="885"/>
      <c r="K12" s="737"/>
      <c r="L12" s="885"/>
      <c r="N12" s="883" t="s">
        <v>620</v>
      </c>
      <c r="O12" s="885"/>
    </row>
    <row r="13" spans="1:15">
      <c r="A13" s="786"/>
      <c r="B13" s="786"/>
      <c r="C13" s="786"/>
      <c r="D13" s="786"/>
      <c r="E13" s="321" t="s">
        <v>621</v>
      </c>
      <c r="F13" s="322">
        <v>31891.69</v>
      </c>
      <c r="G13" s="323"/>
      <c r="H13" s="323"/>
      <c r="I13" s="323"/>
      <c r="J13" s="885"/>
      <c r="K13" s="737"/>
      <c r="L13" s="885"/>
      <c r="N13" s="883" t="s">
        <v>621</v>
      </c>
      <c r="O13" s="885"/>
    </row>
    <row r="14" spans="1:15">
      <c r="A14" s="786"/>
      <c r="B14" s="786"/>
      <c r="C14" s="786"/>
      <c r="D14" s="786"/>
      <c r="E14" s="321" t="s">
        <v>622</v>
      </c>
      <c r="F14" s="322">
        <v>320161.40999999997</v>
      </c>
      <c r="G14" s="322">
        <v>4000000</v>
      </c>
      <c r="H14" s="322">
        <v>4000000</v>
      </c>
      <c r="I14" s="323"/>
      <c r="J14" s="885"/>
      <c r="K14" s="737"/>
      <c r="L14" s="885"/>
      <c r="N14" s="883" t="s">
        <v>622</v>
      </c>
      <c r="O14" s="885"/>
    </row>
    <row r="15" spans="1:15">
      <c r="A15" s="786"/>
      <c r="B15" s="786"/>
      <c r="C15" s="786"/>
      <c r="D15" s="786"/>
      <c r="E15" s="321" t="s">
        <v>623</v>
      </c>
      <c r="F15" s="323"/>
      <c r="G15" s="322">
        <v>31250</v>
      </c>
      <c r="H15" s="322">
        <v>31250</v>
      </c>
      <c r="I15" s="323"/>
      <c r="J15" s="885"/>
      <c r="K15" s="737"/>
      <c r="L15" s="885"/>
      <c r="N15" s="883" t="s">
        <v>623</v>
      </c>
      <c r="O15" s="885"/>
    </row>
    <row r="16" spans="1:15">
      <c r="A16" s="878"/>
      <c r="B16" s="878"/>
      <c r="C16" s="878"/>
      <c r="D16" s="878"/>
      <c r="E16" s="883" t="s">
        <v>766</v>
      </c>
      <c r="F16" s="562"/>
      <c r="G16" s="561"/>
      <c r="H16" s="561"/>
      <c r="I16" s="562"/>
      <c r="J16" s="884">
        <v>16144538</v>
      </c>
      <c r="K16" s="739"/>
      <c r="L16" s="884">
        <v>16144538</v>
      </c>
      <c r="N16" s="883" t="s">
        <v>766</v>
      </c>
      <c r="O16" s="884">
        <v>16144538</v>
      </c>
    </row>
    <row r="17" spans="1:15" ht="12.75" customHeight="1">
      <c r="A17" s="786"/>
      <c r="B17" s="786"/>
      <c r="C17" s="786"/>
      <c r="D17" s="787"/>
      <c r="E17" s="324" t="s">
        <v>612</v>
      </c>
      <c r="F17" s="325">
        <v>2825434.6</v>
      </c>
      <c r="G17" s="325">
        <v>4031250</v>
      </c>
      <c r="H17" s="325">
        <f>SUM(H5:H16)</f>
        <v>13027339</v>
      </c>
      <c r="I17" s="325">
        <v>648254</v>
      </c>
      <c r="J17" s="888">
        <v>16792792</v>
      </c>
      <c r="K17" s="738"/>
      <c r="L17" s="888">
        <v>16792792</v>
      </c>
      <c r="N17" s="887" t="s">
        <v>612</v>
      </c>
      <c r="O17" s="888">
        <v>16792792</v>
      </c>
    </row>
    <row r="18" spans="1:15" ht="13.15" customHeight="1">
      <c r="A18" s="786"/>
      <c r="B18" s="786"/>
      <c r="C18" s="787"/>
      <c r="D18" s="788" t="s">
        <v>349</v>
      </c>
      <c r="E18" s="789"/>
      <c r="F18" s="325">
        <v>2825434.6</v>
      </c>
      <c r="G18" s="325">
        <v>4031250</v>
      </c>
      <c r="H18" s="325">
        <v>5182204.75</v>
      </c>
      <c r="I18" s="325">
        <v>648254</v>
      </c>
      <c r="J18" s="888">
        <v>16792792</v>
      </c>
      <c r="K18" s="738"/>
      <c r="L18" s="888">
        <v>16792792</v>
      </c>
      <c r="N18" s="891"/>
      <c r="O18" s="888">
        <v>16792792</v>
      </c>
    </row>
    <row r="19" spans="1:15" ht="21">
      <c r="A19" s="786"/>
      <c r="B19" s="786"/>
      <c r="C19" s="785" t="s">
        <v>611</v>
      </c>
      <c r="D19" s="785" t="s">
        <v>624</v>
      </c>
      <c r="E19" s="321" t="s">
        <v>625</v>
      </c>
      <c r="F19" s="323"/>
      <c r="G19" s="322">
        <v>57151495.240000002</v>
      </c>
      <c r="H19" s="322">
        <v>57151495.240000002</v>
      </c>
      <c r="I19" s="322">
        <v>46320861.950000003</v>
      </c>
      <c r="J19" s="884">
        <v>48336845.450000003</v>
      </c>
      <c r="K19" s="737"/>
      <c r="L19" s="884">
        <v>48336845.450000003</v>
      </c>
      <c r="N19" s="883" t="s">
        <v>625</v>
      </c>
      <c r="O19" s="884">
        <v>48336845.450000003</v>
      </c>
    </row>
    <row r="20" spans="1:15">
      <c r="A20" s="786"/>
      <c r="B20" s="786"/>
      <c r="C20" s="786"/>
      <c r="D20" s="786"/>
      <c r="E20" s="321" t="s">
        <v>626</v>
      </c>
      <c r="F20" s="323"/>
      <c r="G20" s="323"/>
      <c r="H20" s="323"/>
      <c r="I20" s="322">
        <v>4815323.05</v>
      </c>
      <c r="J20" s="884">
        <v>2799335.22</v>
      </c>
      <c r="K20" s="737"/>
      <c r="L20" s="884">
        <v>2799335.22</v>
      </c>
      <c r="N20" s="883" t="s">
        <v>626</v>
      </c>
      <c r="O20" s="884">
        <v>2799335.22</v>
      </c>
    </row>
    <row r="21" spans="1:15" ht="13.15" customHeight="1">
      <c r="A21" s="786"/>
      <c r="B21" s="786"/>
      <c r="C21" s="786"/>
      <c r="D21" s="786"/>
      <c r="E21" s="321" t="s">
        <v>716</v>
      </c>
      <c r="F21" s="562"/>
      <c r="G21" s="562"/>
      <c r="H21" s="562"/>
      <c r="I21" s="561"/>
      <c r="J21" s="884">
        <v>3000000</v>
      </c>
      <c r="K21" s="739"/>
      <c r="L21" s="884">
        <v>3000000</v>
      </c>
      <c r="N21" s="883" t="s">
        <v>716</v>
      </c>
      <c r="O21" s="884">
        <v>3000000</v>
      </c>
    </row>
    <row r="22" spans="1:15">
      <c r="A22" s="786"/>
      <c r="B22" s="786"/>
      <c r="C22" s="786"/>
      <c r="D22" s="787"/>
      <c r="E22" s="324" t="s">
        <v>624</v>
      </c>
      <c r="F22" s="326"/>
      <c r="G22" s="325">
        <v>57151495.240000002</v>
      </c>
      <c r="H22" s="325">
        <v>57151495.240000002</v>
      </c>
      <c r="I22" s="325">
        <v>51136185</v>
      </c>
      <c r="J22" s="888">
        <v>54136180.670000002</v>
      </c>
      <c r="K22" s="738"/>
      <c r="L22" s="888">
        <v>54136180.670000002</v>
      </c>
      <c r="N22" s="887" t="s">
        <v>624</v>
      </c>
      <c r="O22" s="888">
        <v>54136180.670000002</v>
      </c>
    </row>
    <row r="23" spans="1:15" ht="13.15" customHeight="1">
      <c r="A23" s="786"/>
      <c r="B23" s="786"/>
      <c r="C23" s="787"/>
      <c r="D23" s="788" t="s">
        <v>611</v>
      </c>
      <c r="E23" s="789"/>
      <c r="F23" s="326"/>
      <c r="G23" s="325">
        <v>57151495.240000002</v>
      </c>
      <c r="H23" s="325">
        <v>57151495.240000002</v>
      </c>
      <c r="I23" s="325">
        <v>51136185</v>
      </c>
      <c r="J23" s="888">
        <v>54136180.670000002</v>
      </c>
      <c r="K23" s="738"/>
      <c r="L23" s="888">
        <v>54136180.670000002</v>
      </c>
      <c r="N23" s="891"/>
      <c r="O23" s="888">
        <v>54136180.670000002</v>
      </c>
    </row>
    <row r="24" spans="1:15">
      <c r="A24" s="786"/>
      <c r="B24" s="787"/>
      <c r="C24" s="788" t="s">
        <v>348</v>
      </c>
      <c r="D24" s="790"/>
      <c r="E24" s="789"/>
      <c r="F24" s="325">
        <v>2825434.6</v>
      </c>
      <c r="G24" s="325">
        <v>61182745.240000002</v>
      </c>
      <c r="H24" s="325">
        <v>62333699.990000002</v>
      </c>
      <c r="I24" s="325">
        <v>51784439</v>
      </c>
      <c r="J24" s="888">
        <v>70928972.670000002</v>
      </c>
      <c r="K24" s="738"/>
      <c r="L24" s="888">
        <v>70928972.670000002</v>
      </c>
      <c r="N24" s="891"/>
      <c r="O24" s="888">
        <v>70928972.670000002</v>
      </c>
    </row>
    <row r="25" spans="1:15" ht="21">
      <c r="A25" s="786"/>
      <c r="B25" s="785" t="s">
        <v>345</v>
      </c>
      <c r="C25" s="785" t="s">
        <v>346</v>
      </c>
      <c r="D25" s="785" t="s">
        <v>627</v>
      </c>
      <c r="E25" s="321" t="s">
        <v>628</v>
      </c>
      <c r="F25" s="322">
        <v>4138538</v>
      </c>
      <c r="G25" s="322">
        <v>3889404</v>
      </c>
      <c r="H25" s="322">
        <v>3889404</v>
      </c>
      <c r="I25" s="322">
        <v>3870002</v>
      </c>
      <c r="J25" s="884">
        <f>3870002+44954</f>
        <v>3914956</v>
      </c>
      <c r="K25" s="737"/>
      <c r="L25" s="884">
        <v>3870002</v>
      </c>
      <c r="N25" s="883" t="s">
        <v>628</v>
      </c>
      <c r="O25" s="884">
        <v>3870002</v>
      </c>
    </row>
    <row r="26" spans="1:15">
      <c r="A26" s="786"/>
      <c r="B26" s="786"/>
      <c r="C26" s="786"/>
      <c r="D26" s="786"/>
      <c r="E26" s="321" t="s">
        <v>629</v>
      </c>
      <c r="F26" s="322">
        <v>343687.45</v>
      </c>
      <c r="G26" s="322">
        <v>657498</v>
      </c>
      <c r="H26" s="322">
        <v>721639</v>
      </c>
      <c r="I26" s="322">
        <v>455656</v>
      </c>
      <c r="J26" s="884">
        <v>455656</v>
      </c>
      <c r="K26" s="737"/>
      <c r="L26" s="884">
        <v>455656</v>
      </c>
      <c r="N26" s="883" t="s">
        <v>629</v>
      </c>
      <c r="O26" s="884">
        <v>455656</v>
      </c>
    </row>
    <row r="27" spans="1:15" ht="21">
      <c r="A27" s="786"/>
      <c r="B27" s="786"/>
      <c r="C27" s="786"/>
      <c r="D27" s="786"/>
      <c r="E27" s="321" t="s">
        <v>630</v>
      </c>
      <c r="F27" s="322">
        <v>1341836.24</v>
      </c>
      <c r="G27" s="323"/>
      <c r="H27" s="323"/>
      <c r="I27" s="323"/>
      <c r="J27" s="885"/>
      <c r="K27" s="737"/>
      <c r="L27" s="885"/>
      <c r="N27" s="883" t="s">
        <v>630</v>
      </c>
      <c r="O27" s="885"/>
    </row>
    <row r="28" spans="1:15">
      <c r="A28" s="786"/>
      <c r="B28" s="786"/>
      <c r="C28" s="786"/>
      <c r="D28" s="786"/>
      <c r="E28" s="321" t="s">
        <v>631</v>
      </c>
      <c r="F28" s="322">
        <v>74726.78</v>
      </c>
      <c r="G28" s="323"/>
      <c r="H28" s="323"/>
      <c r="I28" s="323"/>
      <c r="J28" s="885"/>
      <c r="K28" s="737"/>
      <c r="L28" s="885"/>
      <c r="N28" s="883" t="s">
        <v>631</v>
      </c>
      <c r="O28" s="885"/>
    </row>
    <row r="29" spans="1:15">
      <c r="A29" s="786"/>
      <c r="B29" s="786"/>
      <c r="C29" s="786"/>
      <c r="D29" s="786"/>
      <c r="E29" s="321" t="s">
        <v>632</v>
      </c>
      <c r="F29" s="322">
        <v>5083901.83</v>
      </c>
      <c r="G29" s="322">
        <v>3801628</v>
      </c>
      <c r="H29" s="322">
        <v>0</v>
      </c>
      <c r="I29" s="323"/>
      <c r="J29" s="885"/>
      <c r="K29" s="737"/>
      <c r="L29" s="885"/>
      <c r="N29" s="883" t="s">
        <v>632</v>
      </c>
      <c r="O29" s="885"/>
    </row>
    <row r="30" spans="1:15">
      <c r="A30" s="786"/>
      <c r="B30" s="786"/>
      <c r="C30" s="786"/>
      <c r="D30" s="786"/>
      <c r="E30" s="321" t="s">
        <v>633</v>
      </c>
      <c r="F30" s="322">
        <v>3167048.31</v>
      </c>
      <c r="G30" s="322">
        <v>2836054</v>
      </c>
      <c r="H30" s="322">
        <f>2836054+171000</f>
        <v>3007054</v>
      </c>
      <c r="I30" s="322">
        <v>3818908</v>
      </c>
      <c r="J30" s="884">
        <v>3545270.39</v>
      </c>
      <c r="K30" s="737"/>
      <c r="L30" s="884">
        <v>3545270.39</v>
      </c>
      <c r="N30" s="883" t="s">
        <v>633</v>
      </c>
      <c r="O30" s="884">
        <v>3545270.39</v>
      </c>
    </row>
    <row r="31" spans="1:15" ht="13.15" customHeight="1">
      <c r="A31" s="786"/>
      <c r="B31" s="786"/>
      <c r="C31" s="786"/>
      <c r="D31" s="786"/>
      <c r="E31" s="321" t="s">
        <v>634</v>
      </c>
      <c r="F31" s="322">
        <v>1557263</v>
      </c>
      <c r="G31" s="323"/>
      <c r="H31" s="322">
        <v>226112</v>
      </c>
      <c r="I31" s="322">
        <v>2073200</v>
      </c>
      <c r="J31" s="884">
        <f>1044000-160000</f>
        <v>884000</v>
      </c>
      <c r="K31" s="737">
        <v>-1029200</v>
      </c>
      <c r="L31" s="884">
        <v>1044000</v>
      </c>
      <c r="N31" s="883" t="s">
        <v>634</v>
      </c>
      <c r="O31" s="884">
        <v>1044000</v>
      </c>
    </row>
    <row r="32" spans="1:15">
      <c r="A32" s="878"/>
      <c r="B32" s="878"/>
      <c r="C32" s="878"/>
      <c r="D32" s="878"/>
      <c r="E32" s="883" t="s">
        <v>767</v>
      </c>
      <c r="F32" s="561"/>
      <c r="G32" s="562"/>
      <c r="H32" s="561"/>
      <c r="I32" s="561"/>
      <c r="J32" s="884">
        <v>19494241.440000001</v>
      </c>
      <c r="K32" s="739"/>
      <c r="L32" s="884">
        <v>19494241.440000001</v>
      </c>
      <c r="N32" s="883" t="s">
        <v>767</v>
      </c>
      <c r="O32" s="884">
        <v>19494241.440000001</v>
      </c>
    </row>
    <row r="33" spans="1:15">
      <c r="A33" s="1058"/>
      <c r="B33" s="1058"/>
      <c r="C33" s="1058"/>
      <c r="D33" s="1058"/>
      <c r="E33" s="896" t="s">
        <v>810</v>
      </c>
      <c r="F33" s="561"/>
      <c r="G33" s="562"/>
      <c r="H33" s="561">
        <v>67429</v>
      </c>
      <c r="I33" s="561"/>
      <c r="J33" s="880"/>
      <c r="K33" s="739"/>
      <c r="L33" s="880"/>
      <c r="N33" s="896"/>
      <c r="O33" s="880"/>
    </row>
    <row r="34" spans="1:15" ht="12.75" customHeight="1">
      <c r="A34" s="786"/>
      <c r="B34" s="786"/>
      <c r="C34" s="786"/>
      <c r="D34" s="787"/>
      <c r="E34" s="324" t="s">
        <v>627</v>
      </c>
      <c r="F34" s="325">
        <v>15707001.609999999</v>
      </c>
      <c r="G34" s="325">
        <v>11184584</v>
      </c>
      <c r="H34" s="325">
        <f>SUM(H25:H33)</f>
        <v>7911638</v>
      </c>
      <c r="I34" s="325">
        <v>10217766</v>
      </c>
      <c r="J34" s="888">
        <f>SUM(J25:J32)</f>
        <v>28294123.830000002</v>
      </c>
      <c r="K34" s="738">
        <v>-1029200</v>
      </c>
      <c r="L34" s="888">
        <v>28409169.829999998</v>
      </c>
      <c r="N34" s="887" t="s">
        <v>627</v>
      </c>
      <c r="O34" s="888">
        <v>28409169.829999998</v>
      </c>
    </row>
    <row r="35" spans="1:15" ht="12.75" customHeight="1">
      <c r="A35" s="786"/>
      <c r="B35" s="786"/>
      <c r="C35" s="786"/>
      <c r="D35" s="785" t="s">
        <v>635</v>
      </c>
      <c r="E35" s="321" t="s">
        <v>636</v>
      </c>
      <c r="F35" s="323"/>
      <c r="G35" s="322">
        <v>50244657.399999999</v>
      </c>
      <c r="H35" s="322">
        <v>50090986</v>
      </c>
      <c r="I35" s="322">
        <v>46320862.280000001</v>
      </c>
      <c r="J35" s="884">
        <v>47336843.450000003</v>
      </c>
      <c r="K35" s="737"/>
      <c r="L35" s="884">
        <v>47336843.450000003</v>
      </c>
      <c r="N35" s="883" t="s">
        <v>636</v>
      </c>
      <c r="O35" s="884">
        <v>47336843.450000003</v>
      </c>
    </row>
    <row r="36" spans="1:15">
      <c r="A36" s="786"/>
      <c r="B36" s="786"/>
      <c r="C36" s="786"/>
      <c r="D36" s="786"/>
      <c r="E36" s="321" t="s">
        <v>637</v>
      </c>
      <c r="F36" s="323"/>
      <c r="G36" s="322">
        <v>1000000</v>
      </c>
      <c r="H36" s="322">
        <v>1000000</v>
      </c>
      <c r="I36" s="322">
        <v>1000000</v>
      </c>
      <c r="J36" s="884">
        <v>4000000</v>
      </c>
      <c r="K36" s="737"/>
      <c r="L36" s="884">
        <v>4000000</v>
      </c>
      <c r="N36" s="883" t="s">
        <v>637</v>
      </c>
      <c r="O36" s="884">
        <v>4000000</v>
      </c>
    </row>
    <row r="37" spans="1:15">
      <c r="A37" s="878"/>
      <c r="B37" s="878"/>
      <c r="C37" s="878"/>
      <c r="D37" s="878"/>
      <c r="E37" s="321" t="s">
        <v>768</v>
      </c>
      <c r="F37" s="323"/>
      <c r="G37" s="322"/>
      <c r="H37" s="322"/>
      <c r="I37" s="322"/>
      <c r="J37" s="884">
        <v>16144538</v>
      </c>
      <c r="K37" s="737"/>
      <c r="L37" s="884"/>
      <c r="N37" s="883"/>
      <c r="O37" s="884"/>
    </row>
    <row r="38" spans="1:15">
      <c r="A38" s="786"/>
      <c r="B38" s="786"/>
      <c r="C38" s="786"/>
      <c r="D38" s="786"/>
      <c r="E38" s="321" t="s">
        <v>638</v>
      </c>
      <c r="F38" s="323"/>
      <c r="G38" s="322">
        <v>75000</v>
      </c>
      <c r="H38" s="322">
        <v>75000</v>
      </c>
      <c r="I38" s="323"/>
      <c r="J38" s="885"/>
      <c r="K38" s="737"/>
      <c r="L38" s="885"/>
      <c r="N38" s="883" t="s">
        <v>638</v>
      </c>
      <c r="O38" s="885"/>
    </row>
    <row r="39" spans="1:15" ht="13.15" customHeight="1">
      <c r="A39" s="786"/>
      <c r="B39" s="786"/>
      <c r="C39" s="786"/>
      <c r="D39" s="787"/>
      <c r="E39" s="324" t="s">
        <v>635</v>
      </c>
      <c r="F39" s="326"/>
      <c r="G39" s="325">
        <v>51319657.399999999</v>
      </c>
      <c r="H39" s="325">
        <f>SUM(H35:H38)</f>
        <v>51165986</v>
      </c>
      <c r="I39" s="325">
        <v>47320862.280000001</v>
      </c>
      <c r="J39" s="888">
        <v>51336843.450000003</v>
      </c>
      <c r="K39" s="738"/>
      <c r="L39" s="888">
        <v>51336843.450000003</v>
      </c>
      <c r="N39" s="887" t="s">
        <v>635</v>
      </c>
      <c r="O39" s="888">
        <v>51336843.450000003</v>
      </c>
    </row>
    <row r="40" spans="1:15" ht="21">
      <c r="A40" s="786"/>
      <c r="B40" s="786"/>
      <c r="C40" s="787"/>
      <c r="D40" s="788" t="s">
        <v>346</v>
      </c>
      <c r="E40" s="789"/>
      <c r="F40" s="325">
        <v>15707001.609999999</v>
      </c>
      <c r="G40" s="325">
        <v>62504241.399999999</v>
      </c>
      <c r="H40" s="325">
        <f>H34+H39</f>
        <v>59077624</v>
      </c>
      <c r="I40" s="325">
        <v>57538628.280000001</v>
      </c>
      <c r="J40" s="888">
        <v>79746013.280000001</v>
      </c>
      <c r="K40" s="738">
        <v>-1029200</v>
      </c>
      <c r="L40" s="888">
        <v>79746013.280000001</v>
      </c>
      <c r="N40" s="891"/>
      <c r="O40" s="888">
        <v>79746013.280000001</v>
      </c>
    </row>
    <row r="41" spans="1:15">
      <c r="A41" s="786"/>
      <c r="B41" s="787"/>
      <c r="C41" s="788" t="s">
        <v>345</v>
      </c>
      <c r="D41" s="790"/>
      <c r="E41" s="789"/>
      <c r="F41" s="325">
        <v>15707001.609999999</v>
      </c>
      <c r="G41" s="325">
        <v>62504241.399999999</v>
      </c>
      <c r="H41" s="325">
        <v>62502640.840000004</v>
      </c>
      <c r="I41" s="325">
        <v>57538628.280000001</v>
      </c>
      <c r="J41" s="888">
        <v>79746013.280000001</v>
      </c>
      <c r="K41" s="738">
        <v>-1029200</v>
      </c>
      <c r="L41" s="888">
        <v>79746013.280000001</v>
      </c>
      <c r="N41" s="891"/>
      <c r="O41" s="888">
        <v>79746013.280000001</v>
      </c>
    </row>
    <row r="42" spans="1:15" ht="84">
      <c r="A42" s="787"/>
      <c r="B42" s="788" t="s">
        <v>365</v>
      </c>
      <c r="C42" s="790"/>
      <c r="D42" s="790"/>
      <c r="E42" s="789"/>
      <c r="F42" s="325">
        <v>18532436.210000001</v>
      </c>
      <c r="G42" s="325">
        <v>123686986.64</v>
      </c>
      <c r="H42" s="325">
        <v>124836340.83</v>
      </c>
      <c r="I42" s="325">
        <v>109323067.28</v>
      </c>
      <c r="J42" s="888">
        <v>150674985.94999999</v>
      </c>
      <c r="K42" s="738">
        <v>-1029200</v>
      </c>
      <c r="L42" s="888">
        <v>150674985.94999999</v>
      </c>
      <c r="N42" s="891"/>
      <c r="O42" s="888">
        <v>150674985.94999999</v>
      </c>
    </row>
    <row r="43" spans="1:15" ht="12.75" customHeight="1">
      <c r="A43" s="1719" t="s">
        <v>335</v>
      </c>
      <c r="B43" s="1719" t="s">
        <v>345</v>
      </c>
      <c r="C43" s="1719" t="s">
        <v>346</v>
      </c>
      <c r="D43" s="1719" t="s">
        <v>627</v>
      </c>
      <c r="E43" s="321" t="s">
        <v>639</v>
      </c>
      <c r="F43" s="322">
        <v>92742.39</v>
      </c>
      <c r="G43" s="323"/>
      <c r="H43" s="323"/>
      <c r="I43" s="323"/>
      <c r="J43" s="885"/>
      <c r="K43" s="737"/>
      <c r="L43" s="885"/>
      <c r="N43" s="883" t="s">
        <v>639</v>
      </c>
      <c r="O43" s="885"/>
    </row>
    <row r="44" spans="1:15">
      <c r="A44" s="1720"/>
      <c r="B44" s="1720"/>
      <c r="C44" s="1720"/>
      <c r="D44" s="1720"/>
      <c r="E44" s="321" t="s">
        <v>629</v>
      </c>
      <c r="F44" s="322">
        <v>15000</v>
      </c>
      <c r="G44" s="323"/>
      <c r="H44" s="323"/>
      <c r="I44" s="323"/>
      <c r="J44" s="885"/>
      <c r="K44" s="737"/>
      <c r="L44" s="885"/>
      <c r="N44" s="883" t="s">
        <v>629</v>
      </c>
      <c r="O44" s="885"/>
    </row>
    <row r="45" spans="1:15">
      <c r="A45" s="1720"/>
      <c r="B45" s="1720"/>
      <c r="C45" s="1720"/>
      <c r="D45" s="1720"/>
      <c r="E45" s="321" t="s">
        <v>640</v>
      </c>
      <c r="F45" s="322">
        <v>-55409.88</v>
      </c>
      <c r="G45" s="323"/>
      <c r="H45" s="323"/>
      <c r="I45" s="323"/>
      <c r="J45" s="885"/>
      <c r="K45" s="737"/>
      <c r="L45" s="885"/>
      <c r="N45" s="883" t="s">
        <v>640</v>
      </c>
      <c r="O45" s="885"/>
    </row>
    <row r="46" spans="1:15">
      <c r="A46" s="1720"/>
      <c r="B46" s="1720"/>
      <c r="C46" s="1720"/>
      <c r="D46" s="1720"/>
      <c r="E46" s="883" t="s">
        <v>767</v>
      </c>
      <c r="F46" s="561"/>
      <c r="G46" s="562"/>
      <c r="H46" s="562"/>
      <c r="I46" s="562"/>
      <c r="J46" s="884">
        <v>467895.92</v>
      </c>
      <c r="K46" s="739"/>
      <c r="L46" s="884">
        <v>467895.92</v>
      </c>
      <c r="N46" s="883" t="s">
        <v>767</v>
      </c>
      <c r="O46" s="884">
        <v>467895.92</v>
      </c>
    </row>
    <row r="47" spans="1:15">
      <c r="A47" s="1720"/>
      <c r="B47" s="1720"/>
      <c r="C47" s="1720"/>
      <c r="D47" s="1721"/>
      <c r="E47" s="324" t="s">
        <v>627</v>
      </c>
      <c r="F47" s="325">
        <v>52332.51</v>
      </c>
      <c r="G47" s="326"/>
      <c r="H47" s="326"/>
      <c r="I47" s="326"/>
      <c r="J47" s="888">
        <v>467895.92</v>
      </c>
      <c r="K47" s="738"/>
      <c r="L47" s="888">
        <v>467895.92</v>
      </c>
      <c r="N47" s="887" t="s">
        <v>627</v>
      </c>
      <c r="O47" s="888">
        <v>467895.92</v>
      </c>
    </row>
    <row r="48" spans="1:15">
      <c r="A48" s="1720"/>
      <c r="B48" s="1720"/>
      <c r="C48" s="1720"/>
      <c r="D48" s="1719" t="s">
        <v>635</v>
      </c>
      <c r="E48" s="321" t="s">
        <v>636</v>
      </c>
      <c r="F48" s="323"/>
      <c r="G48" s="322">
        <v>2182112.7799999998</v>
      </c>
      <c r="H48" s="322">
        <v>2182112.7799999998</v>
      </c>
      <c r="I48" s="323"/>
      <c r="J48" s="885"/>
      <c r="K48" s="737"/>
      <c r="L48" s="885"/>
      <c r="N48" s="883" t="s">
        <v>636</v>
      </c>
      <c r="O48" s="885"/>
    </row>
    <row r="49" spans="1:15" ht="12.75" customHeight="1">
      <c r="A49" s="1720"/>
      <c r="B49" s="1720"/>
      <c r="C49" s="1720"/>
      <c r="D49" s="1720"/>
      <c r="E49" s="321" t="s">
        <v>641</v>
      </c>
      <c r="F49" s="323"/>
      <c r="G49" s="322">
        <v>2465398</v>
      </c>
      <c r="H49" s="322">
        <v>2465398</v>
      </c>
      <c r="I49" s="322">
        <v>2257749.25</v>
      </c>
      <c r="J49" s="322">
        <f>2257749.25-270866.19</f>
        <v>1986883.06</v>
      </c>
      <c r="K49" s="737"/>
      <c r="L49" s="884">
        <v>2187729.02</v>
      </c>
      <c r="N49" s="883" t="s">
        <v>641</v>
      </c>
      <c r="O49" s="884">
        <v>2187729.02</v>
      </c>
    </row>
    <row r="50" spans="1:15" ht="12.75" customHeight="1">
      <c r="A50" s="1720"/>
      <c r="B50" s="1720"/>
      <c r="C50" s="1720"/>
      <c r="D50" s="1721"/>
      <c r="E50" s="324" t="s">
        <v>635</v>
      </c>
      <c r="F50" s="326"/>
      <c r="G50" s="325">
        <v>4647510.78</v>
      </c>
      <c r="H50" s="325">
        <v>4647510.78</v>
      </c>
      <c r="I50" s="325">
        <v>2257749.25</v>
      </c>
      <c r="J50" s="888">
        <v>2187729.02</v>
      </c>
      <c r="K50" s="738"/>
      <c r="L50" s="888">
        <v>2187729.02</v>
      </c>
      <c r="N50" s="887" t="s">
        <v>635</v>
      </c>
      <c r="O50" s="888">
        <v>2187729.02</v>
      </c>
    </row>
    <row r="51" spans="1:15">
      <c r="A51" s="1720"/>
      <c r="B51" s="1720"/>
      <c r="C51" s="1721"/>
      <c r="D51" s="1725" t="s">
        <v>346</v>
      </c>
      <c r="E51" s="1726"/>
      <c r="F51" s="325">
        <v>52332.51</v>
      </c>
      <c r="G51" s="325">
        <v>4647510.78</v>
      </c>
      <c r="H51" s="325">
        <v>4647510.78</v>
      </c>
      <c r="I51" s="325">
        <v>2257749.25</v>
      </c>
      <c r="J51" s="888">
        <v>2655624.94</v>
      </c>
      <c r="K51" s="738"/>
      <c r="L51" s="888">
        <v>2655624.94</v>
      </c>
      <c r="N51" s="891"/>
      <c r="O51" s="888">
        <v>2655624.94</v>
      </c>
    </row>
    <row r="52" spans="1:15">
      <c r="A52" s="1720"/>
      <c r="B52" s="1721"/>
      <c r="C52" s="1725" t="s">
        <v>345</v>
      </c>
      <c r="D52" s="1727"/>
      <c r="E52" s="1726"/>
      <c r="F52" s="325">
        <v>52332.51</v>
      </c>
      <c r="G52" s="325">
        <v>4647510.78</v>
      </c>
      <c r="H52" s="325">
        <v>4647510.78</v>
      </c>
      <c r="I52" s="325">
        <v>2257749.25</v>
      </c>
      <c r="J52" s="888">
        <v>2655624.94</v>
      </c>
      <c r="K52" s="738"/>
      <c r="L52" s="888">
        <v>2655624.94</v>
      </c>
      <c r="N52" s="891"/>
      <c r="O52" s="888">
        <v>2655624.94</v>
      </c>
    </row>
    <row r="53" spans="1:15" ht="12.75" customHeight="1">
      <c r="A53" s="1720"/>
      <c r="B53" s="1719" t="s">
        <v>348</v>
      </c>
      <c r="C53" s="1719" t="s">
        <v>611</v>
      </c>
      <c r="D53" s="1719" t="s">
        <v>624</v>
      </c>
      <c r="E53" s="321" t="s">
        <v>625</v>
      </c>
      <c r="F53" s="323"/>
      <c r="G53" s="322">
        <v>1751669.39</v>
      </c>
      <c r="H53" s="322">
        <v>1751669.39</v>
      </c>
      <c r="I53" s="323"/>
      <c r="J53" s="885"/>
      <c r="K53" s="737"/>
      <c r="L53" s="885"/>
      <c r="N53" s="883" t="s">
        <v>625</v>
      </c>
      <c r="O53" s="885"/>
    </row>
    <row r="54" spans="1:15">
      <c r="A54" s="1720"/>
      <c r="B54" s="1720"/>
      <c r="C54" s="1720"/>
      <c r="D54" s="1720"/>
      <c r="E54" s="321" t="s">
        <v>642</v>
      </c>
      <c r="F54" s="323"/>
      <c r="G54" s="322">
        <v>2465398</v>
      </c>
      <c r="H54" s="322">
        <v>2465398</v>
      </c>
      <c r="I54" s="322">
        <v>2257749</v>
      </c>
      <c r="J54" s="884">
        <v>2187729.02</v>
      </c>
      <c r="K54" s="737"/>
      <c r="L54" s="884">
        <v>2187729.02</v>
      </c>
      <c r="N54" s="883" t="s">
        <v>642</v>
      </c>
      <c r="O54" s="884">
        <v>2187729.02</v>
      </c>
    </row>
    <row r="55" spans="1:15">
      <c r="A55" s="1720"/>
      <c r="B55" s="1720"/>
      <c r="C55" s="1720"/>
      <c r="D55" s="1720"/>
      <c r="E55" s="321" t="s">
        <v>626</v>
      </c>
      <c r="F55" s="323"/>
      <c r="G55" s="323"/>
      <c r="H55" s="323"/>
      <c r="I55" s="322">
        <v>1183748</v>
      </c>
      <c r="J55" s="884">
        <v>1253767.82</v>
      </c>
      <c r="K55" s="737"/>
      <c r="L55" s="884">
        <v>1253767.82</v>
      </c>
      <c r="N55" s="883" t="s">
        <v>626</v>
      </c>
      <c r="O55" s="884">
        <v>1253767.82</v>
      </c>
    </row>
    <row r="56" spans="1:15">
      <c r="A56" s="1720"/>
      <c r="B56" s="1720"/>
      <c r="C56" s="1720"/>
      <c r="D56" s="1721"/>
      <c r="E56" s="324" t="s">
        <v>624</v>
      </c>
      <c r="F56" s="326"/>
      <c r="G56" s="325">
        <v>4217067.3899999997</v>
      </c>
      <c r="H56" s="325">
        <v>4217067.3899999997</v>
      </c>
      <c r="I56" s="325">
        <v>3441497</v>
      </c>
      <c r="J56" s="888">
        <v>3441496.84</v>
      </c>
      <c r="K56" s="738"/>
      <c r="L56" s="888">
        <v>3441496.84</v>
      </c>
      <c r="N56" s="887" t="s">
        <v>624</v>
      </c>
      <c r="O56" s="888">
        <v>3441496.84</v>
      </c>
    </row>
    <row r="57" spans="1:15">
      <c r="A57" s="1720"/>
      <c r="B57" s="1720"/>
      <c r="C57" s="1721"/>
      <c r="D57" s="1725" t="s">
        <v>611</v>
      </c>
      <c r="E57" s="1726"/>
      <c r="F57" s="326"/>
      <c r="G57" s="325">
        <v>4217067.3899999997</v>
      </c>
      <c r="H57" s="325">
        <v>4217067.3899999997</v>
      </c>
      <c r="I57" s="325">
        <v>3441497</v>
      </c>
      <c r="J57" s="888">
        <v>3441496.84</v>
      </c>
      <c r="K57" s="738"/>
      <c r="L57" s="888">
        <v>3441496.84</v>
      </c>
      <c r="N57" s="891"/>
      <c r="O57" s="888">
        <v>3441496.84</v>
      </c>
    </row>
    <row r="58" spans="1:15">
      <c r="A58" s="1720"/>
      <c r="B58" s="1721"/>
      <c r="C58" s="1725" t="s">
        <v>348</v>
      </c>
      <c r="D58" s="1727"/>
      <c r="E58" s="1726"/>
      <c r="F58" s="326"/>
      <c r="G58" s="325">
        <v>4217067.3899999997</v>
      </c>
      <c r="H58" s="325">
        <v>4217067.3899999997</v>
      </c>
      <c r="I58" s="325">
        <v>3441497</v>
      </c>
      <c r="J58" s="888">
        <v>3441496.84</v>
      </c>
      <c r="K58" s="738"/>
      <c r="L58" s="888">
        <v>3441496.84</v>
      </c>
      <c r="N58" s="891"/>
      <c r="O58" s="888">
        <v>3441496.84</v>
      </c>
    </row>
    <row r="59" spans="1:15">
      <c r="A59" s="1721"/>
      <c r="B59" s="1725" t="s">
        <v>335</v>
      </c>
      <c r="C59" s="1727"/>
      <c r="D59" s="1727"/>
      <c r="E59" s="1726"/>
      <c r="F59" s="325">
        <v>52332.51</v>
      </c>
      <c r="G59" s="325">
        <v>8864578.1699999999</v>
      </c>
      <c r="H59" s="325">
        <v>8864578.1699999999</v>
      </c>
      <c r="I59" s="325">
        <v>5699246.25</v>
      </c>
      <c r="J59" s="888">
        <v>6097121.7800000003</v>
      </c>
      <c r="K59" s="738"/>
      <c r="L59" s="888">
        <v>6097121.7800000003</v>
      </c>
      <c r="N59" s="891"/>
      <c r="O59" s="888">
        <v>6097121.7800000003</v>
      </c>
    </row>
    <row r="60" spans="1:15">
      <c r="A60" s="1719" t="s">
        <v>347</v>
      </c>
      <c r="B60" s="1719" t="s">
        <v>348</v>
      </c>
      <c r="C60" s="1719" t="s">
        <v>349</v>
      </c>
      <c r="D60" s="1719" t="s">
        <v>612</v>
      </c>
      <c r="E60" s="321" t="s">
        <v>643</v>
      </c>
      <c r="F60" s="322">
        <v>574069.25</v>
      </c>
      <c r="G60" s="323"/>
      <c r="H60" s="322">
        <v>2725385.92</v>
      </c>
      <c r="I60" s="323"/>
      <c r="J60" s="885"/>
      <c r="K60" s="737"/>
      <c r="L60" s="885"/>
      <c r="N60" s="883" t="s">
        <v>643</v>
      </c>
      <c r="O60" s="885"/>
    </row>
    <row r="61" spans="1:15">
      <c r="A61" s="1720"/>
      <c r="B61" s="1720"/>
      <c r="C61" s="1720"/>
      <c r="D61" s="1720"/>
      <c r="E61" s="321" t="s">
        <v>644</v>
      </c>
      <c r="F61" s="322">
        <v>31063384.190000001</v>
      </c>
      <c r="G61" s="323"/>
      <c r="H61" s="323"/>
      <c r="I61" s="322">
        <v>31114097</v>
      </c>
      <c r="J61" s="884">
        <v>31114097</v>
      </c>
      <c r="K61" s="737"/>
      <c r="L61" s="884">
        <v>31114097</v>
      </c>
      <c r="N61" s="883" t="s">
        <v>644</v>
      </c>
      <c r="O61" s="884">
        <v>31114097</v>
      </c>
    </row>
    <row r="62" spans="1:15">
      <c r="A62" s="1720"/>
      <c r="B62" s="1720"/>
      <c r="C62" s="1720"/>
      <c r="D62" s="1721"/>
      <c r="E62" s="324" t="s">
        <v>612</v>
      </c>
      <c r="F62" s="325">
        <v>31637453.440000001</v>
      </c>
      <c r="G62" s="326"/>
      <c r="H62" s="325">
        <v>2725385.92</v>
      </c>
      <c r="I62" s="325">
        <v>31114097</v>
      </c>
      <c r="J62" s="888">
        <v>31114097</v>
      </c>
      <c r="K62" s="738"/>
      <c r="L62" s="888">
        <v>31114097</v>
      </c>
      <c r="N62" s="887" t="s">
        <v>612</v>
      </c>
      <c r="O62" s="888">
        <v>31114097</v>
      </c>
    </row>
    <row r="63" spans="1:15">
      <c r="A63" s="1720"/>
      <c r="B63" s="1720"/>
      <c r="C63" s="1721"/>
      <c r="D63" s="1725" t="s">
        <v>349</v>
      </c>
      <c r="E63" s="1726"/>
      <c r="F63" s="325">
        <v>31637453.440000001</v>
      </c>
      <c r="G63" s="326"/>
      <c r="H63" s="325">
        <v>2725385.92</v>
      </c>
      <c r="I63" s="325">
        <v>31114097</v>
      </c>
      <c r="J63" s="888">
        <v>31114097</v>
      </c>
      <c r="K63" s="738"/>
      <c r="L63" s="888">
        <v>31114097</v>
      </c>
      <c r="N63" s="891"/>
      <c r="O63" s="888">
        <v>31114097</v>
      </c>
    </row>
    <row r="64" spans="1:15">
      <c r="A64" s="1720"/>
      <c r="B64" s="1720"/>
      <c r="C64" s="1719" t="s">
        <v>611</v>
      </c>
      <c r="D64" s="1719" t="s">
        <v>645</v>
      </c>
      <c r="E64" s="321" t="s">
        <v>646</v>
      </c>
      <c r="F64" s="323"/>
      <c r="G64" s="322">
        <v>23343721</v>
      </c>
      <c r="H64" s="322">
        <v>23343721</v>
      </c>
      <c r="I64" s="323"/>
      <c r="J64" s="885"/>
      <c r="K64" s="737"/>
      <c r="L64" s="885"/>
      <c r="N64" s="883" t="s">
        <v>646</v>
      </c>
      <c r="O64" s="885"/>
    </row>
    <row r="65" spans="1:15">
      <c r="A65" s="1720"/>
      <c r="B65" s="1720"/>
      <c r="C65" s="1720"/>
      <c r="D65" s="1720"/>
      <c r="E65" s="321" t="s">
        <v>647</v>
      </c>
      <c r="F65" s="323"/>
      <c r="G65" s="322">
        <v>3000000</v>
      </c>
      <c r="H65" s="322">
        <v>3000000</v>
      </c>
      <c r="I65" s="323"/>
      <c r="J65" s="885"/>
      <c r="K65" s="737"/>
      <c r="L65" s="885"/>
      <c r="N65" s="883" t="s">
        <v>647</v>
      </c>
      <c r="O65" s="885"/>
    </row>
    <row r="66" spans="1:15">
      <c r="A66" s="1720"/>
      <c r="B66" s="1720"/>
      <c r="C66" s="1720"/>
      <c r="D66" s="1720"/>
      <c r="E66" s="321" t="s">
        <v>648</v>
      </c>
      <c r="F66" s="323"/>
      <c r="G66" s="322">
        <v>2500000</v>
      </c>
      <c r="H66" s="322">
        <v>2500000</v>
      </c>
      <c r="I66" s="323"/>
      <c r="J66" s="885"/>
      <c r="K66" s="737"/>
      <c r="L66" s="885"/>
      <c r="N66" s="883" t="s">
        <v>648</v>
      </c>
      <c r="O66" s="885"/>
    </row>
    <row r="67" spans="1:15">
      <c r="A67" s="1720"/>
      <c r="B67" s="1720"/>
      <c r="C67" s="1720"/>
      <c r="D67" s="1721"/>
      <c r="E67" s="324" t="s">
        <v>645</v>
      </c>
      <c r="F67" s="326"/>
      <c r="G67" s="325">
        <v>28843721</v>
      </c>
      <c r="H67" s="325">
        <v>28843721</v>
      </c>
      <c r="I67" s="326"/>
      <c r="J67" s="889"/>
      <c r="K67" s="738"/>
      <c r="L67" s="889"/>
      <c r="N67" s="887" t="s">
        <v>645</v>
      </c>
      <c r="O67" s="889"/>
    </row>
    <row r="68" spans="1:15">
      <c r="A68" s="1720"/>
      <c r="B68" s="1720"/>
      <c r="C68" s="1720"/>
      <c r="D68" s="1719" t="s">
        <v>624</v>
      </c>
      <c r="E68" s="321" t="s">
        <v>625</v>
      </c>
      <c r="F68" s="323"/>
      <c r="G68" s="322">
        <v>21195048</v>
      </c>
      <c r="H68" s="322">
        <v>21195048</v>
      </c>
      <c r="I68" s="322">
        <v>46505578</v>
      </c>
      <c r="J68" s="884">
        <v>46505577.5</v>
      </c>
      <c r="K68" s="737"/>
      <c r="L68" s="884">
        <v>46505577.5</v>
      </c>
      <c r="N68" s="883" t="s">
        <v>625</v>
      </c>
      <c r="O68" s="884">
        <v>46505577.5</v>
      </c>
    </row>
    <row r="69" spans="1:15" ht="12.75" customHeight="1">
      <c r="A69" s="1720"/>
      <c r="B69" s="1720"/>
      <c r="C69" s="1720"/>
      <c r="D69" s="1721"/>
      <c r="E69" s="324" t="s">
        <v>624</v>
      </c>
      <c r="F69" s="326"/>
      <c r="G69" s="325">
        <v>21195048</v>
      </c>
      <c r="H69" s="325">
        <v>21195048</v>
      </c>
      <c r="I69" s="325">
        <v>46505578</v>
      </c>
      <c r="J69" s="888">
        <v>46505577.5</v>
      </c>
      <c r="K69" s="738"/>
      <c r="L69" s="888">
        <v>46505577.5</v>
      </c>
      <c r="N69" s="887" t="s">
        <v>624</v>
      </c>
      <c r="O69" s="888">
        <v>46505577.5</v>
      </c>
    </row>
    <row r="70" spans="1:15" ht="12.75" customHeight="1">
      <c r="A70" s="1720"/>
      <c r="B70" s="1720"/>
      <c r="C70" s="1721"/>
      <c r="D70" s="1725" t="s">
        <v>611</v>
      </c>
      <c r="E70" s="1726"/>
      <c r="F70" s="326"/>
      <c r="G70" s="325">
        <v>50038769</v>
      </c>
      <c r="H70" s="325">
        <v>50038769</v>
      </c>
      <c r="I70" s="325">
        <v>46505578</v>
      </c>
      <c r="J70" s="888">
        <v>46505577.5</v>
      </c>
      <c r="K70" s="738"/>
      <c r="L70" s="888">
        <v>46505577.5</v>
      </c>
      <c r="N70" s="891"/>
      <c r="O70" s="888">
        <v>46505577.5</v>
      </c>
    </row>
    <row r="71" spans="1:15">
      <c r="A71" s="1720"/>
      <c r="B71" s="1721"/>
      <c r="C71" s="1725" t="s">
        <v>348</v>
      </c>
      <c r="D71" s="1727"/>
      <c r="E71" s="1726"/>
      <c r="F71" s="325">
        <v>31637453.440000001</v>
      </c>
      <c r="G71" s="325">
        <v>50038769</v>
      </c>
      <c r="H71" s="325">
        <v>52764154.920000002</v>
      </c>
      <c r="I71" s="325">
        <v>77619675</v>
      </c>
      <c r="J71" s="888">
        <v>77619674.5</v>
      </c>
      <c r="K71" s="738"/>
      <c r="L71" s="888">
        <v>77619674.5</v>
      </c>
      <c r="N71" s="891"/>
      <c r="O71" s="888">
        <v>77619674.5</v>
      </c>
    </row>
    <row r="72" spans="1:15">
      <c r="A72" s="1720"/>
      <c r="B72" s="1719" t="s">
        <v>345</v>
      </c>
      <c r="C72" s="1719" t="s">
        <v>346</v>
      </c>
      <c r="D72" s="1719" t="s">
        <v>627</v>
      </c>
      <c r="E72" s="321" t="s">
        <v>639</v>
      </c>
      <c r="F72" s="322">
        <v>265397.48</v>
      </c>
      <c r="G72" s="323"/>
      <c r="H72" s="323"/>
      <c r="I72" s="323"/>
      <c r="J72" s="885"/>
      <c r="K72" s="737"/>
      <c r="L72" s="885"/>
      <c r="N72" s="883" t="s">
        <v>639</v>
      </c>
      <c r="O72" s="885"/>
    </row>
    <row r="73" spans="1:15">
      <c r="A73" s="1720"/>
      <c r="B73" s="1720"/>
      <c r="C73" s="1720"/>
      <c r="D73" s="1720"/>
      <c r="E73" s="321" t="s">
        <v>649</v>
      </c>
      <c r="F73" s="322">
        <v>3275520</v>
      </c>
      <c r="G73" s="322">
        <v>1000000</v>
      </c>
      <c r="H73" s="322">
        <v>1000000</v>
      </c>
      <c r="I73" s="323"/>
      <c r="J73" s="885"/>
      <c r="K73" s="737"/>
      <c r="L73" s="885"/>
      <c r="N73" s="883" t="s">
        <v>649</v>
      </c>
      <c r="O73" s="885"/>
    </row>
    <row r="74" spans="1:15">
      <c r="A74" s="1720"/>
      <c r="B74" s="1720"/>
      <c r="C74" s="1720"/>
      <c r="D74" s="1720"/>
      <c r="E74" s="321" t="s">
        <v>650</v>
      </c>
      <c r="F74" s="322">
        <v>31063384.190000001</v>
      </c>
      <c r="G74" s="323"/>
      <c r="H74" s="323"/>
      <c r="I74" s="323"/>
      <c r="J74" s="885"/>
      <c r="K74" s="737"/>
      <c r="L74" s="885"/>
      <c r="N74" s="883" t="s">
        <v>650</v>
      </c>
      <c r="O74" s="885"/>
    </row>
    <row r="75" spans="1:15">
      <c r="A75" s="1720"/>
      <c r="B75" s="1720"/>
      <c r="C75" s="1720"/>
      <c r="D75" s="1720"/>
      <c r="E75" s="321" t="s">
        <v>640</v>
      </c>
      <c r="F75" s="323"/>
      <c r="G75" s="323"/>
      <c r="H75" s="323"/>
      <c r="I75" s="322">
        <v>8580000</v>
      </c>
      <c r="J75" s="907">
        <v>8580000</v>
      </c>
      <c r="K75" s="737"/>
      <c r="L75" s="884">
        <v>8580000</v>
      </c>
      <c r="N75" s="883" t="s">
        <v>640</v>
      </c>
      <c r="O75" s="884">
        <v>8580000</v>
      </c>
    </row>
    <row r="76" spans="1:15">
      <c r="A76" s="1720"/>
      <c r="B76" s="1720"/>
      <c r="C76" s="1720"/>
      <c r="D76" s="1720"/>
      <c r="E76" s="883" t="s">
        <v>767</v>
      </c>
      <c r="F76" s="562"/>
      <c r="G76" s="562"/>
      <c r="H76" s="562"/>
      <c r="I76" s="561"/>
      <c r="J76" s="906">
        <v>2469071.9</v>
      </c>
      <c r="K76" s="739"/>
      <c r="L76" s="884">
        <v>2469071.9</v>
      </c>
      <c r="N76" s="883" t="s">
        <v>767</v>
      </c>
      <c r="O76" s="884">
        <v>2469071.9</v>
      </c>
    </row>
    <row r="77" spans="1:15">
      <c r="A77" s="1720"/>
      <c r="B77" s="1720"/>
      <c r="C77" s="1720"/>
      <c r="D77" s="1721"/>
      <c r="E77" s="324" t="s">
        <v>627</v>
      </c>
      <c r="F77" s="325">
        <v>34604301.670000002</v>
      </c>
      <c r="G77" s="325">
        <v>1000000</v>
      </c>
      <c r="H77" s="325">
        <v>1000000</v>
      </c>
      <c r="I77" s="325">
        <v>8580000</v>
      </c>
      <c r="J77" s="888">
        <v>11049071.9</v>
      </c>
      <c r="K77" s="738"/>
      <c r="L77" s="888">
        <v>11049071.9</v>
      </c>
      <c r="N77" s="887" t="s">
        <v>627</v>
      </c>
      <c r="O77" s="888">
        <v>11049071.9</v>
      </c>
    </row>
    <row r="78" spans="1:15">
      <c r="A78" s="1720"/>
      <c r="B78" s="1720"/>
      <c r="C78" s="1720"/>
      <c r="D78" s="1719" t="s">
        <v>635</v>
      </c>
      <c r="E78" s="321" t="s">
        <v>636</v>
      </c>
      <c r="F78" s="323"/>
      <c r="G78" s="322">
        <v>19969966.84</v>
      </c>
      <c r="H78" s="322">
        <v>19343263.84</v>
      </c>
      <c r="I78" s="322">
        <v>36012341.920000002</v>
      </c>
      <c r="J78" s="884">
        <v>36604691.420000002</v>
      </c>
      <c r="K78" s="737"/>
      <c r="L78" s="884">
        <v>36604691.420000002</v>
      </c>
      <c r="N78" s="883" t="s">
        <v>636</v>
      </c>
      <c r="O78" s="884">
        <v>36604691.420000002</v>
      </c>
    </row>
    <row r="79" spans="1:15" ht="12.75" customHeight="1">
      <c r="A79" s="1720"/>
      <c r="B79" s="1720"/>
      <c r="C79" s="1720"/>
      <c r="D79" s="1720"/>
      <c r="E79" s="321" t="s">
        <v>651</v>
      </c>
      <c r="F79" s="323"/>
      <c r="G79" s="322">
        <v>23365086</v>
      </c>
      <c r="H79" s="322">
        <v>23365086</v>
      </c>
      <c r="I79" s="322">
        <v>23388873</v>
      </c>
      <c r="J79" s="908">
        <v>23388873</v>
      </c>
      <c r="K79" s="737"/>
      <c r="L79" s="884">
        <v>23388873</v>
      </c>
      <c r="N79" s="883" t="s">
        <v>651</v>
      </c>
      <c r="O79" s="884">
        <v>23388873</v>
      </c>
    </row>
    <row r="80" spans="1:15">
      <c r="A80" s="1720"/>
      <c r="B80" s="1720"/>
      <c r="C80" s="1720"/>
      <c r="D80" s="1720"/>
      <c r="E80" s="321" t="s">
        <v>652</v>
      </c>
      <c r="F80" s="323"/>
      <c r="G80" s="322">
        <v>3000000</v>
      </c>
      <c r="H80" s="322">
        <v>1329291</v>
      </c>
      <c r="I80" s="322">
        <v>3000000</v>
      </c>
      <c r="J80" s="908">
        <v>3000000</v>
      </c>
      <c r="K80" s="737"/>
      <c r="L80" s="884">
        <v>3000000</v>
      </c>
      <c r="N80" s="883" t="s">
        <v>652</v>
      </c>
      <c r="O80" s="884">
        <v>3000000</v>
      </c>
    </row>
    <row r="81" spans="1:15">
      <c r="A81" s="1720"/>
      <c r="B81" s="1720"/>
      <c r="C81" s="1720"/>
      <c r="D81" s="1720"/>
      <c r="E81" s="321" t="s">
        <v>653</v>
      </c>
      <c r="F81" s="323"/>
      <c r="G81" s="322">
        <v>2500000</v>
      </c>
      <c r="H81" s="322">
        <v>2500000</v>
      </c>
      <c r="I81" s="322">
        <v>2500000</v>
      </c>
      <c r="J81" s="908">
        <v>2500000</v>
      </c>
      <c r="K81" s="737"/>
      <c r="L81" s="884">
        <v>2500000</v>
      </c>
      <c r="N81" s="883" t="s">
        <v>653</v>
      </c>
      <c r="O81" s="884">
        <v>2500000</v>
      </c>
    </row>
    <row r="82" spans="1:15">
      <c r="A82" s="1720"/>
      <c r="B82" s="1720"/>
      <c r="C82" s="1720"/>
      <c r="D82" s="1721"/>
      <c r="E82" s="324" t="s">
        <v>635</v>
      </c>
      <c r="F82" s="326"/>
      <c r="G82" s="325">
        <v>48835052.840000004</v>
      </c>
      <c r="H82" s="325">
        <v>46537640.840000004</v>
      </c>
      <c r="I82" s="325">
        <v>64901214.920000002</v>
      </c>
      <c r="J82" s="888">
        <v>65493564.420000002</v>
      </c>
      <c r="K82" s="738"/>
      <c r="L82" s="888">
        <v>65493564.420000002</v>
      </c>
      <c r="N82" s="887" t="s">
        <v>635</v>
      </c>
      <c r="O82" s="888">
        <v>65493564.420000002</v>
      </c>
    </row>
    <row r="83" spans="1:15">
      <c r="A83" s="1720"/>
      <c r="B83" s="1720"/>
      <c r="C83" s="1721"/>
      <c r="D83" s="1725" t="s">
        <v>346</v>
      </c>
      <c r="E83" s="1726"/>
      <c r="F83" s="325">
        <v>34604301.670000002</v>
      </c>
      <c r="G83" s="325">
        <v>49835052.840000004</v>
      </c>
      <c r="H83" s="325">
        <v>47537640.840000004</v>
      </c>
      <c r="I83" s="325">
        <v>73481214.920000002</v>
      </c>
      <c r="J83" s="888">
        <v>76542636.319999993</v>
      </c>
      <c r="K83" s="738"/>
      <c r="L83" s="888">
        <v>76542636.319999993</v>
      </c>
      <c r="N83" s="891"/>
      <c r="O83" s="888">
        <v>76542636.319999993</v>
      </c>
    </row>
    <row r="84" spans="1:15" ht="12.75" customHeight="1">
      <c r="A84" s="1720"/>
      <c r="B84" s="1721"/>
      <c r="C84" s="1725" t="s">
        <v>345</v>
      </c>
      <c r="D84" s="1727"/>
      <c r="E84" s="1726"/>
      <c r="F84" s="325">
        <v>34604301.670000002</v>
      </c>
      <c r="G84" s="325">
        <v>49835052.840000004</v>
      </c>
      <c r="H84" s="325">
        <v>47537640.840000004</v>
      </c>
      <c r="I84" s="325">
        <v>73481214.920000002</v>
      </c>
      <c r="J84" s="888">
        <v>76542636.319999993</v>
      </c>
      <c r="K84" s="738"/>
      <c r="L84" s="888">
        <v>76542636.319999993</v>
      </c>
      <c r="N84" s="891"/>
      <c r="O84" s="888">
        <v>76542636.319999993</v>
      </c>
    </row>
    <row r="85" spans="1:15" ht="12.75" customHeight="1">
      <c r="A85" s="1721"/>
      <c r="B85" s="1725" t="s">
        <v>347</v>
      </c>
      <c r="C85" s="1727"/>
      <c r="D85" s="1727"/>
      <c r="E85" s="1726"/>
      <c r="F85" s="325">
        <v>66241755.109999999</v>
      </c>
      <c r="G85" s="325">
        <v>99873821.840000004</v>
      </c>
      <c r="H85" s="325">
        <v>100301795.76000001</v>
      </c>
      <c r="I85" s="325">
        <v>151100889.91999999</v>
      </c>
      <c r="J85" s="888">
        <v>154162310.81999999</v>
      </c>
      <c r="K85" s="738"/>
      <c r="L85" s="888">
        <v>154162310.81999999</v>
      </c>
      <c r="N85" s="891"/>
      <c r="O85" s="888">
        <v>154162310.81999999</v>
      </c>
    </row>
    <row r="86" spans="1:15">
      <c r="A86" s="1719" t="s">
        <v>352</v>
      </c>
      <c r="B86" s="1719" t="s">
        <v>345</v>
      </c>
      <c r="C86" s="1719" t="s">
        <v>346</v>
      </c>
      <c r="D86" s="1719" t="s">
        <v>627</v>
      </c>
      <c r="E86" s="321" t="s">
        <v>639</v>
      </c>
      <c r="F86" s="322">
        <v>17961.98</v>
      </c>
      <c r="G86" s="323"/>
      <c r="H86" s="323"/>
      <c r="I86" s="323"/>
      <c r="J86" s="885"/>
      <c r="K86" s="737"/>
      <c r="L86" s="885"/>
      <c r="N86" s="883" t="s">
        <v>639</v>
      </c>
      <c r="O86" s="885"/>
    </row>
    <row r="87" spans="1:15">
      <c r="A87" s="1720"/>
      <c r="B87" s="1720"/>
      <c r="C87" s="1720"/>
      <c r="D87" s="1720"/>
      <c r="E87" s="321" t="s">
        <v>640</v>
      </c>
      <c r="F87" s="322">
        <v>1528318.2</v>
      </c>
      <c r="G87" s="322">
        <v>1800000</v>
      </c>
      <c r="H87" s="322">
        <v>1615991.28</v>
      </c>
      <c r="I87" s="322">
        <v>3714506</v>
      </c>
      <c r="J87" s="907">
        <v>3714506</v>
      </c>
      <c r="K87" s="737"/>
      <c r="L87" s="884">
        <v>3714506</v>
      </c>
      <c r="N87" s="883" t="s">
        <v>640</v>
      </c>
      <c r="O87" s="884">
        <v>3714506</v>
      </c>
    </row>
    <row r="88" spans="1:15">
      <c r="A88" s="1720"/>
      <c r="B88" s="1720"/>
      <c r="C88" s="1720"/>
      <c r="D88" s="1720"/>
      <c r="E88" s="321" t="s">
        <v>629</v>
      </c>
      <c r="F88" s="323"/>
      <c r="G88" s="323"/>
      <c r="H88" s="322">
        <v>4972</v>
      </c>
      <c r="I88" s="323"/>
      <c r="J88" s="885"/>
      <c r="K88" s="737"/>
      <c r="L88" s="885"/>
      <c r="N88" s="883" t="s">
        <v>629</v>
      </c>
      <c r="O88" s="885"/>
    </row>
    <row r="89" spans="1:15">
      <c r="A89" s="1720"/>
      <c r="B89" s="1720"/>
      <c r="C89" s="1720"/>
      <c r="D89" s="1720"/>
      <c r="E89" s="883" t="s">
        <v>767</v>
      </c>
      <c r="F89" s="562"/>
      <c r="G89" s="562"/>
      <c r="H89" s="561"/>
      <c r="I89" s="562"/>
      <c r="J89" s="906">
        <v>194529.95</v>
      </c>
      <c r="K89" s="739"/>
      <c r="L89" s="884">
        <v>194529.95</v>
      </c>
      <c r="N89" s="883" t="s">
        <v>767</v>
      </c>
      <c r="O89" s="884">
        <v>194529.95</v>
      </c>
    </row>
    <row r="90" spans="1:15">
      <c r="A90" s="1720"/>
      <c r="B90" s="1720"/>
      <c r="C90" s="1720"/>
      <c r="D90" s="1721"/>
      <c r="E90" s="324" t="s">
        <v>627</v>
      </c>
      <c r="F90" s="325">
        <v>1546280.18</v>
      </c>
      <c r="G90" s="325">
        <v>1800000</v>
      </c>
      <c r="H90" s="325">
        <v>1620963.28</v>
      </c>
      <c r="I90" s="325">
        <v>3714506</v>
      </c>
      <c r="J90" s="888">
        <v>3909035.95</v>
      </c>
      <c r="K90" s="738"/>
      <c r="L90" s="888">
        <v>3909035.95</v>
      </c>
      <c r="N90" s="887" t="s">
        <v>627</v>
      </c>
      <c r="O90" s="888">
        <v>3909035.95</v>
      </c>
    </row>
    <row r="91" spans="1:15">
      <c r="A91" s="1720"/>
      <c r="B91" s="1720"/>
      <c r="C91" s="1720"/>
      <c r="D91" s="1719" t="s">
        <v>635</v>
      </c>
      <c r="E91" s="321" t="s">
        <v>636</v>
      </c>
      <c r="F91" s="323"/>
      <c r="G91" s="322">
        <v>162723.32</v>
      </c>
      <c r="H91" s="322">
        <v>162723.32</v>
      </c>
      <c r="I91" s="322">
        <v>287187.88</v>
      </c>
      <c r="J91" s="884">
        <v>254461.88</v>
      </c>
      <c r="K91" s="737"/>
      <c r="L91" s="884">
        <v>254461.88</v>
      </c>
      <c r="N91" s="883" t="s">
        <v>636</v>
      </c>
      <c r="O91" s="884">
        <v>254461.88</v>
      </c>
    </row>
    <row r="92" spans="1:15">
      <c r="A92" s="1720"/>
      <c r="B92" s="1720"/>
      <c r="C92" s="1720"/>
      <c r="D92" s="1720"/>
      <c r="E92" s="321" t="s">
        <v>651</v>
      </c>
      <c r="F92" s="323"/>
      <c r="G92" s="322">
        <v>645466</v>
      </c>
      <c r="H92" s="322">
        <v>645466</v>
      </c>
      <c r="I92" s="322">
        <v>568124</v>
      </c>
      <c r="J92" s="908">
        <v>568124</v>
      </c>
      <c r="K92" s="737"/>
      <c r="L92" s="884">
        <v>568124</v>
      </c>
      <c r="N92" s="883" t="s">
        <v>651</v>
      </c>
      <c r="O92" s="884">
        <v>568124</v>
      </c>
    </row>
    <row r="93" spans="1:15">
      <c r="A93" s="1720"/>
      <c r="B93" s="1720"/>
      <c r="C93" s="1720"/>
      <c r="D93" s="1720"/>
      <c r="E93" s="321" t="s">
        <v>652</v>
      </c>
      <c r="F93" s="323"/>
      <c r="G93" s="322">
        <v>7549058</v>
      </c>
      <c r="H93" s="322">
        <v>4386052.72</v>
      </c>
      <c r="I93" s="322">
        <v>8633555</v>
      </c>
      <c r="J93" s="908">
        <v>8633555</v>
      </c>
      <c r="K93" s="737"/>
      <c r="L93" s="884">
        <v>8633555</v>
      </c>
      <c r="N93" s="883" t="s">
        <v>652</v>
      </c>
      <c r="O93" s="884">
        <v>8633555</v>
      </c>
    </row>
    <row r="94" spans="1:15" ht="12.75" customHeight="1">
      <c r="A94" s="1720"/>
      <c r="B94" s="1720"/>
      <c r="C94" s="1720"/>
      <c r="D94" s="1721"/>
      <c r="E94" s="324" t="s">
        <v>635</v>
      </c>
      <c r="F94" s="326"/>
      <c r="G94" s="325">
        <v>8357247.3200000003</v>
      </c>
      <c r="H94" s="325">
        <v>5194242.04</v>
      </c>
      <c r="I94" s="325">
        <v>9488866.8800000008</v>
      </c>
      <c r="J94" s="888">
        <v>9456140.8800000008</v>
      </c>
      <c r="K94" s="738"/>
      <c r="L94" s="888">
        <v>9456140.8800000008</v>
      </c>
      <c r="N94" s="887" t="s">
        <v>635</v>
      </c>
      <c r="O94" s="888">
        <v>9456140.8800000008</v>
      </c>
    </row>
    <row r="95" spans="1:15">
      <c r="A95" s="1720"/>
      <c r="B95" s="1720"/>
      <c r="C95" s="1721"/>
      <c r="D95" s="1725" t="s">
        <v>346</v>
      </c>
      <c r="E95" s="1726"/>
      <c r="F95" s="325">
        <v>1546280.18</v>
      </c>
      <c r="G95" s="325">
        <v>10157247.32</v>
      </c>
      <c r="H95" s="325">
        <v>6815205.3200000003</v>
      </c>
      <c r="I95" s="325">
        <v>13203372.880000001</v>
      </c>
      <c r="J95" s="888">
        <v>13365176.83</v>
      </c>
      <c r="K95" s="738"/>
      <c r="L95" s="888">
        <v>13365176.83</v>
      </c>
      <c r="N95" s="891"/>
      <c r="O95" s="888">
        <v>13365176.83</v>
      </c>
    </row>
    <row r="96" spans="1:15">
      <c r="A96" s="1720"/>
      <c r="B96" s="1721"/>
      <c r="C96" s="1725" t="s">
        <v>345</v>
      </c>
      <c r="D96" s="1727"/>
      <c r="E96" s="1726"/>
      <c r="F96" s="325">
        <v>1546280.18</v>
      </c>
      <c r="G96" s="325">
        <v>10157247.32</v>
      </c>
      <c r="H96" s="325">
        <v>6815205.3200000003</v>
      </c>
      <c r="I96" s="325">
        <v>13203372.880000001</v>
      </c>
      <c r="J96" s="888">
        <v>13365176.83</v>
      </c>
      <c r="K96" s="738"/>
      <c r="L96" s="888">
        <v>13365176.83</v>
      </c>
      <c r="N96" s="891"/>
      <c r="O96" s="888">
        <v>13365176.83</v>
      </c>
    </row>
    <row r="97" spans="1:15">
      <c r="A97" s="1720"/>
      <c r="B97" s="1719" t="s">
        <v>348</v>
      </c>
      <c r="C97" s="1719" t="s">
        <v>611</v>
      </c>
      <c r="D97" s="1719" t="s">
        <v>645</v>
      </c>
      <c r="E97" s="321" t="s">
        <v>646</v>
      </c>
      <c r="F97" s="323"/>
      <c r="G97" s="322">
        <v>645164</v>
      </c>
      <c r="H97" s="322">
        <v>645164</v>
      </c>
      <c r="I97" s="322">
        <v>567746</v>
      </c>
      <c r="J97" s="884">
        <v>567746</v>
      </c>
      <c r="K97" s="737"/>
      <c r="L97" s="884">
        <v>567746</v>
      </c>
      <c r="N97" s="883" t="s">
        <v>646</v>
      </c>
      <c r="O97" s="884">
        <v>567746</v>
      </c>
    </row>
    <row r="98" spans="1:15">
      <c r="A98" s="1720"/>
      <c r="B98" s="1720"/>
      <c r="C98" s="1720"/>
      <c r="D98" s="1720"/>
      <c r="E98" s="321" t="s">
        <v>647</v>
      </c>
      <c r="F98" s="323"/>
      <c r="G98" s="322">
        <v>5681844</v>
      </c>
      <c r="H98" s="322">
        <v>5681844</v>
      </c>
      <c r="I98" s="322">
        <v>7827310</v>
      </c>
      <c r="J98" s="884">
        <v>7827310</v>
      </c>
      <c r="K98" s="737"/>
      <c r="L98" s="884">
        <v>7827310</v>
      </c>
      <c r="N98" s="883" t="s">
        <v>647</v>
      </c>
      <c r="O98" s="884">
        <v>7827310</v>
      </c>
    </row>
    <row r="99" spans="1:15">
      <c r="A99" s="1720"/>
      <c r="B99" s="1720"/>
      <c r="C99" s="1720"/>
      <c r="D99" s="1721"/>
      <c r="E99" s="324" t="s">
        <v>645</v>
      </c>
      <c r="F99" s="326"/>
      <c r="G99" s="325">
        <v>6327008</v>
      </c>
      <c r="H99" s="325">
        <v>6327008</v>
      </c>
      <c r="I99" s="325">
        <v>8395056</v>
      </c>
      <c r="J99" s="888">
        <v>8395056</v>
      </c>
      <c r="K99" s="738"/>
      <c r="L99" s="888">
        <v>8395056</v>
      </c>
      <c r="N99" s="887" t="s">
        <v>645</v>
      </c>
      <c r="O99" s="888">
        <v>8395056</v>
      </c>
    </row>
    <row r="100" spans="1:15" ht="12.75" customHeight="1">
      <c r="A100" s="1720"/>
      <c r="B100" s="1720"/>
      <c r="C100" s="1720"/>
      <c r="D100" s="1719" t="s">
        <v>624</v>
      </c>
      <c r="E100" s="321" t="s">
        <v>625</v>
      </c>
      <c r="F100" s="323"/>
      <c r="G100" s="322">
        <v>157438</v>
      </c>
      <c r="H100" s="322">
        <v>157438</v>
      </c>
      <c r="I100" s="322">
        <v>275902</v>
      </c>
      <c r="J100" s="884">
        <v>275902</v>
      </c>
      <c r="K100" s="737"/>
      <c r="L100" s="884">
        <v>275902</v>
      </c>
      <c r="N100" s="883" t="s">
        <v>625</v>
      </c>
      <c r="O100" s="884">
        <v>275902</v>
      </c>
    </row>
    <row r="101" spans="1:15" ht="12.75" customHeight="1">
      <c r="A101" s="1720"/>
      <c r="B101" s="1720"/>
      <c r="C101" s="1720"/>
      <c r="D101" s="1721"/>
      <c r="E101" s="324" t="s">
        <v>624</v>
      </c>
      <c r="F101" s="326"/>
      <c r="G101" s="325">
        <v>157438</v>
      </c>
      <c r="H101" s="325">
        <v>157438</v>
      </c>
      <c r="I101" s="325">
        <v>275902</v>
      </c>
      <c r="J101" s="888">
        <v>275902</v>
      </c>
      <c r="K101" s="738"/>
      <c r="L101" s="888">
        <v>275902</v>
      </c>
      <c r="N101" s="887" t="s">
        <v>624</v>
      </c>
      <c r="O101" s="888">
        <v>275902</v>
      </c>
    </row>
    <row r="102" spans="1:15">
      <c r="A102" s="1720"/>
      <c r="B102" s="1720"/>
      <c r="C102" s="1721"/>
      <c r="D102" s="1725" t="s">
        <v>611</v>
      </c>
      <c r="E102" s="1726"/>
      <c r="F102" s="326"/>
      <c r="G102" s="325">
        <v>6484446</v>
      </c>
      <c r="H102" s="325">
        <v>6484446</v>
      </c>
      <c r="I102" s="325">
        <v>8670958</v>
      </c>
      <c r="J102" s="888">
        <v>8670958</v>
      </c>
      <c r="K102" s="738"/>
      <c r="L102" s="888">
        <v>8670958</v>
      </c>
      <c r="N102" s="891"/>
      <c r="O102" s="888">
        <v>8670958</v>
      </c>
    </row>
    <row r="103" spans="1:15">
      <c r="A103" s="1720"/>
      <c r="B103" s="1721"/>
      <c r="C103" s="1725" t="s">
        <v>348</v>
      </c>
      <c r="D103" s="1727"/>
      <c r="E103" s="1726"/>
      <c r="F103" s="326"/>
      <c r="G103" s="325">
        <v>6484446</v>
      </c>
      <c r="H103" s="325">
        <v>6484446</v>
      </c>
      <c r="I103" s="325">
        <v>8670958</v>
      </c>
      <c r="J103" s="888">
        <v>8670958</v>
      </c>
      <c r="K103" s="738"/>
      <c r="L103" s="888">
        <v>8670958</v>
      </c>
      <c r="N103" s="891"/>
      <c r="O103" s="888">
        <v>8670958</v>
      </c>
    </row>
    <row r="104" spans="1:15">
      <c r="A104" s="1721"/>
      <c r="B104" s="1725" t="s">
        <v>352</v>
      </c>
      <c r="C104" s="1727"/>
      <c r="D104" s="1727"/>
      <c r="E104" s="1726"/>
      <c r="F104" s="325">
        <v>1546280.18</v>
      </c>
      <c r="G104" s="325">
        <v>16641693.32</v>
      </c>
      <c r="H104" s="325">
        <v>13299651.32</v>
      </c>
      <c r="I104" s="325">
        <v>21874330.879999999</v>
      </c>
      <c r="J104" s="888">
        <v>22036134.829999998</v>
      </c>
      <c r="K104" s="738"/>
      <c r="L104" s="888">
        <v>22036134.829999998</v>
      </c>
      <c r="N104" s="891"/>
      <c r="O104" s="888">
        <v>22036134.829999998</v>
      </c>
    </row>
    <row r="105" spans="1:15">
      <c r="A105" s="1719" t="s">
        <v>353</v>
      </c>
      <c r="B105" s="1719" t="s">
        <v>345</v>
      </c>
      <c r="C105" s="1719" t="s">
        <v>346</v>
      </c>
      <c r="D105" s="1719" t="s">
        <v>627</v>
      </c>
      <c r="E105" s="321" t="s">
        <v>639</v>
      </c>
      <c r="F105" s="322">
        <v>83944.78</v>
      </c>
      <c r="G105" s="323"/>
      <c r="H105" s="323"/>
      <c r="I105" s="323"/>
      <c r="J105" s="885"/>
      <c r="K105" s="737"/>
      <c r="L105" s="885"/>
      <c r="N105" s="883" t="s">
        <v>639</v>
      </c>
      <c r="O105" s="885"/>
    </row>
    <row r="106" spans="1:15" ht="12.75" customHeight="1">
      <c r="A106" s="1720"/>
      <c r="B106" s="1720"/>
      <c r="C106" s="1720"/>
      <c r="D106" s="1720"/>
      <c r="E106" s="321" t="s">
        <v>628</v>
      </c>
      <c r="F106" s="322">
        <v>538968.56000000006</v>
      </c>
      <c r="G106" s="322">
        <v>540724</v>
      </c>
      <c r="H106" s="322">
        <v>540724</v>
      </c>
      <c r="I106" s="323"/>
      <c r="J106" s="885"/>
      <c r="K106" s="737"/>
      <c r="L106" s="885"/>
      <c r="N106" s="883" t="s">
        <v>628</v>
      </c>
      <c r="O106" s="885"/>
    </row>
    <row r="107" spans="1:15" ht="12.75" customHeight="1">
      <c r="A107" s="1720"/>
      <c r="B107" s="1720"/>
      <c r="C107" s="1720"/>
      <c r="D107" s="1720"/>
      <c r="E107" s="321" t="s">
        <v>777</v>
      </c>
      <c r="F107" s="322"/>
      <c r="G107" s="322"/>
      <c r="H107" s="322"/>
      <c r="I107" s="323"/>
      <c r="J107" s="897">
        <v>0</v>
      </c>
      <c r="K107" s="737"/>
      <c r="L107" s="898"/>
      <c r="N107" s="896"/>
      <c r="O107" s="898"/>
    </row>
    <row r="108" spans="1:15">
      <c r="A108" s="1720"/>
      <c r="B108" s="1720"/>
      <c r="C108" s="1720"/>
      <c r="D108" s="1720"/>
      <c r="E108" s="321" t="s">
        <v>640</v>
      </c>
      <c r="F108" s="322">
        <v>1927050</v>
      </c>
      <c r="G108" s="322">
        <v>345000</v>
      </c>
      <c r="H108" s="322">
        <v>345000</v>
      </c>
      <c r="I108" s="323"/>
      <c r="J108" s="885"/>
      <c r="K108" s="737"/>
      <c r="L108" s="885"/>
      <c r="N108" s="883" t="s">
        <v>640</v>
      </c>
      <c r="O108" s="885"/>
    </row>
    <row r="109" spans="1:15">
      <c r="A109" s="1720"/>
      <c r="B109" s="1720"/>
      <c r="C109" s="1720"/>
      <c r="D109" s="1720"/>
      <c r="E109" s="883" t="s">
        <v>767</v>
      </c>
      <c r="F109" s="561"/>
      <c r="G109" s="561"/>
      <c r="H109" s="561"/>
      <c r="I109" s="562"/>
      <c r="J109" s="884">
        <v>404903.6</v>
      </c>
      <c r="K109" s="739"/>
      <c r="L109" s="884">
        <v>404903.6</v>
      </c>
      <c r="N109" s="883" t="s">
        <v>767</v>
      </c>
      <c r="O109" s="884">
        <v>404903.6</v>
      </c>
    </row>
    <row r="110" spans="1:15">
      <c r="A110" s="1720"/>
      <c r="B110" s="1720"/>
      <c r="C110" s="1720"/>
      <c r="D110" s="1721"/>
      <c r="E110" s="324" t="s">
        <v>627</v>
      </c>
      <c r="F110" s="325">
        <v>2549963.34</v>
      </c>
      <c r="G110" s="325">
        <v>885724</v>
      </c>
      <c r="H110" s="325">
        <v>885724</v>
      </c>
      <c r="I110" s="326"/>
      <c r="J110" s="888">
        <v>404903.6</v>
      </c>
      <c r="K110" s="738"/>
      <c r="L110" s="888">
        <v>404903.6</v>
      </c>
      <c r="N110" s="887" t="s">
        <v>627</v>
      </c>
      <c r="O110" s="888">
        <v>404903.6</v>
      </c>
    </row>
    <row r="111" spans="1:15">
      <c r="A111" s="1720"/>
      <c r="B111" s="1720"/>
      <c r="C111" s="1720"/>
      <c r="D111" s="1719" t="s">
        <v>635</v>
      </c>
      <c r="E111" s="321" t="s">
        <v>636</v>
      </c>
      <c r="F111" s="323"/>
      <c r="G111" s="322">
        <v>3502405.7</v>
      </c>
      <c r="H111" s="322">
        <v>3502405.7</v>
      </c>
      <c r="I111" s="322">
        <v>6949346.0800000001</v>
      </c>
      <c r="J111" s="884">
        <v>6983618.6699999999</v>
      </c>
      <c r="K111" s="737"/>
      <c r="L111" s="884">
        <v>6983618.6699999999</v>
      </c>
      <c r="N111" s="883" t="s">
        <v>636</v>
      </c>
      <c r="O111" s="884">
        <v>6983618.6699999999</v>
      </c>
    </row>
    <row r="112" spans="1:15" ht="12.75" customHeight="1">
      <c r="A112" s="1720"/>
      <c r="B112" s="1720"/>
      <c r="C112" s="1720"/>
      <c r="D112" s="1720"/>
      <c r="E112" s="321" t="s">
        <v>652</v>
      </c>
      <c r="F112" s="323"/>
      <c r="G112" s="322">
        <v>1700000</v>
      </c>
      <c r="H112" s="322">
        <v>1700000</v>
      </c>
      <c r="I112" s="322">
        <v>1900000</v>
      </c>
      <c r="J112" s="884">
        <v>1900000</v>
      </c>
      <c r="K112" s="737"/>
      <c r="L112" s="884">
        <v>1900000</v>
      </c>
      <c r="N112" s="883" t="s">
        <v>652</v>
      </c>
      <c r="O112" s="884">
        <v>1900000</v>
      </c>
    </row>
    <row r="113" spans="1:15" ht="12.75" customHeight="1">
      <c r="A113" s="1720"/>
      <c r="B113" s="1720"/>
      <c r="C113" s="1720"/>
      <c r="D113" s="1720"/>
      <c r="E113" s="321" t="s">
        <v>653</v>
      </c>
      <c r="F113" s="323"/>
      <c r="G113" s="322">
        <v>1293217</v>
      </c>
      <c r="H113" s="322">
        <v>1293217</v>
      </c>
      <c r="I113" s="322">
        <v>1293217</v>
      </c>
      <c r="J113" s="884">
        <v>1293217</v>
      </c>
      <c r="K113" s="737"/>
      <c r="L113" s="884">
        <v>1293217</v>
      </c>
      <c r="N113" s="883" t="s">
        <v>653</v>
      </c>
      <c r="O113" s="884">
        <v>1293217</v>
      </c>
    </row>
    <row r="114" spans="1:15">
      <c r="A114" s="1720"/>
      <c r="B114" s="1720"/>
      <c r="C114" s="1720"/>
      <c r="D114" s="1721"/>
      <c r="E114" s="324" t="s">
        <v>635</v>
      </c>
      <c r="F114" s="326"/>
      <c r="G114" s="325">
        <v>6495622.7000000002</v>
      </c>
      <c r="H114" s="325">
        <v>6495622.7000000002</v>
      </c>
      <c r="I114" s="325">
        <v>10142563.08</v>
      </c>
      <c r="J114" s="888">
        <v>10176835.67</v>
      </c>
      <c r="K114" s="738"/>
      <c r="L114" s="888">
        <v>10176835.67</v>
      </c>
      <c r="N114" s="887" t="s">
        <v>635</v>
      </c>
      <c r="O114" s="888">
        <v>10176835.67</v>
      </c>
    </row>
    <row r="115" spans="1:15">
      <c r="A115" s="1720"/>
      <c r="B115" s="1720"/>
      <c r="C115" s="1721"/>
      <c r="D115" s="1725" t="s">
        <v>346</v>
      </c>
      <c r="E115" s="1726"/>
      <c r="F115" s="325">
        <v>2549963.34</v>
      </c>
      <c r="G115" s="325">
        <v>7381346.7000000002</v>
      </c>
      <c r="H115" s="325">
        <v>7381346.7000000002</v>
      </c>
      <c r="I115" s="325">
        <v>10142563.08</v>
      </c>
      <c r="J115" s="888">
        <v>10581739.27</v>
      </c>
      <c r="K115" s="738"/>
      <c r="L115" s="888">
        <v>10581739.27</v>
      </c>
      <c r="N115" s="891"/>
      <c r="O115" s="888">
        <v>10581739.27</v>
      </c>
    </row>
    <row r="116" spans="1:15">
      <c r="A116" s="1720"/>
      <c r="B116" s="1721"/>
      <c r="C116" s="1725" t="s">
        <v>345</v>
      </c>
      <c r="D116" s="1727"/>
      <c r="E116" s="1726"/>
      <c r="F116" s="325">
        <v>2549963.34</v>
      </c>
      <c r="G116" s="325">
        <v>7381346.7000000002</v>
      </c>
      <c r="H116" s="325">
        <v>7381346.7000000002</v>
      </c>
      <c r="I116" s="325">
        <v>10142563.08</v>
      </c>
      <c r="J116" s="888">
        <v>10581739.27</v>
      </c>
      <c r="K116" s="738"/>
      <c r="L116" s="888">
        <v>10581739.27</v>
      </c>
      <c r="N116" s="891"/>
      <c r="O116" s="888">
        <v>10581739.27</v>
      </c>
    </row>
    <row r="117" spans="1:15">
      <c r="A117" s="1720"/>
      <c r="B117" s="1719" t="s">
        <v>348</v>
      </c>
      <c r="C117" s="1719" t="s">
        <v>611</v>
      </c>
      <c r="D117" s="1719" t="s">
        <v>645</v>
      </c>
      <c r="E117" s="321" t="s">
        <v>647</v>
      </c>
      <c r="F117" s="323"/>
      <c r="G117" s="322">
        <v>1500000</v>
      </c>
      <c r="H117" s="322">
        <v>1500000</v>
      </c>
      <c r="I117" s="323"/>
      <c r="J117" s="885"/>
      <c r="K117" s="737"/>
      <c r="L117" s="885"/>
      <c r="N117" s="883" t="s">
        <v>647</v>
      </c>
      <c r="O117" s="885"/>
    </row>
    <row r="118" spans="1:15" ht="12.75" customHeight="1">
      <c r="A118" s="1720"/>
      <c r="B118" s="1720"/>
      <c r="C118" s="1720"/>
      <c r="D118" s="1720"/>
      <c r="E118" s="321" t="s">
        <v>648</v>
      </c>
      <c r="F118" s="323"/>
      <c r="G118" s="322">
        <v>1293217</v>
      </c>
      <c r="H118" s="322">
        <v>1293217</v>
      </c>
      <c r="I118" s="322">
        <v>2993217</v>
      </c>
      <c r="J118" s="884">
        <v>2993217</v>
      </c>
      <c r="K118" s="737"/>
      <c r="L118" s="884">
        <v>2993217</v>
      </c>
      <c r="N118" s="883" t="s">
        <v>648</v>
      </c>
      <c r="O118" s="884">
        <v>2993217</v>
      </c>
    </row>
    <row r="119" spans="1:15">
      <c r="A119" s="1720"/>
      <c r="B119" s="1720"/>
      <c r="C119" s="1720"/>
      <c r="D119" s="1721"/>
      <c r="E119" s="324" t="s">
        <v>645</v>
      </c>
      <c r="F119" s="326"/>
      <c r="G119" s="325">
        <v>2793217</v>
      </c>
      <c r="H119" s="325">
        <v>2793217</v>
      </c>
      <c r="I119" s="325">
        <v>2993217</v>
      </c>
      <c r="J119" s="888">
        <v>2993217</v>
      </c>
      <c r="K119" s="738"/>
      <c r="L119" s="888">
        <v>2993217</v>
      </c>
      <c r="N119" s="887" t="s">
        <v>645</v>
      </c>
      <c r="O119" s="888">
        <v>2993217</v>
      </c>
    </row>
    <row r="120" spans="1:15">
      <c r="A120" s="1720"/>
      <c r="B120" s="1720"/>
      <c r="C120" s="1720"/>
      <c r="D120" s="1719" t="s">
        <v>624</v>
      </c>
      <c r="E120" s="321" t="s">
        <v>625</v>
      </c>
      <c r="F120" s="323"/>
      <c r="G120" s="322">
        <v>4296647</v>
      </c>
      <c r="H120" s="322">
        <v>4296647</v>
      </c>
      <c r="I120" s="322">
        <v>7149346</v>
      </c>
      <c r="J120" s="884">
        <v>7183618.6699999999</v>
      </c>
      <c r="K120" s="737"/>
      <c r="L120" s="884">
        <v>7183618.6699999999</v>
      </c>
      <c r="N120" s="883" t="s">
        <v>625</v>
      </c>
      <c r="O120" s="884">
        <v>7183618.6699999999</v>
      </c>
    </row>
    <row r="121" spans="1:15">
      <c r="A121" s="1720"/>
      <c r="B121" s="1720"/>
      <c r="C121" s="1720"/>
      <c r="D121" s="1720"/>
      <c r="E121" s="321" t="s">
        <v>626</v>
      </c>
      <c r="F121" s="323"/>
      <c r="G121" s="323"/>
      <c r="H121" s="323"/>
      <c r="I121" s="322">
        <v>473923</v>
      </c>
      <c r="J121" s="884">
        <v>439649.92</v>
      </c>
      <c r="K121" s="737"/>
      <c r="L121" s="884">
        <v>439649.92</v>
      </c>
      <c r="N121" s="883" t="s">
        <v>626</v>
      </c>
      <c r="O121" s="884">
        <v>439649.92</v>
      </c>
    </row>
    <row r="122" spans="1:15" ht="12.75" customHeight="1">
      <c r="A122" s="1720"/>
      <c r="B122" s="1720"/>
      <c r="C122" s="1720"/>
      <c r="D122" s="1721"/>
      <c r="E122" s="324" t="s">
        <v>624</v>
      </c>
      <c r="F122" s="326"/>
      <c r="G122" s="325">
        <v>4296647</v>
      </c>
      <c r="H122" s="325">
        <v>4296647</v>
      </c>
      <c r="I122" s="325">
        <v>7623269</v>
      </c>
      <c r="J122" s="888">
        <v>7623268.5899999999</v>
      </c>
      <c r="K122" s="738"/>
      <c r="L122" s="888">
        <v>7623268.5899999999</v>
      </c>
      <c r="N122" s="887" t="s">
        <v>624</v>
      </c>
      <c r="O122" s="888">
        <v>7623268.5899999999</v>
      </c>
    </row>
    <row r="123" spans="1:15" ht="12.75" customHeight="1">
      <c r="A123" s="1720"/>
      <c r="B123" s="1720"/>
      <c r="C123" s="1721"/>
      <c r="D123" s="1725" t="s">
        <v>611</v>
      </c>
      <c r="E123" s="1726"/>
      <c r="F123" s="326"/>
      <c r="G123" s="325">
        <v>7089864</v>
      </c>
      <c r="H123" s="325">
        <v>7089864</v>
      </c>
      <c r="I123" s="325">
        <v>10616486</v>
      </c>
      <c r="J123" s="888">
        <v>10616485.59</v>
      </c>
      <c r="K123" s="738"/>
      <c r="L123" s="888">
        <v>10616485.59</v>
      </c>
      <c r="N123" s="891"/>
      <c r="O123" s="888">
        <v>10616485.59</v>
      </c>
    </row>
    <row r="124" spans="1:15">
      <c r="A124" s="1720"/>
      <c r="B124" s="1721"/>
      <c r="C124" s="1725" t="s">
        <v>348</v>
      </c>
      <c r="D124" s="1727"/>
      <c r="E124" s="1726"/>
      <c r="F124" s="326"/>
      <c r="G124" s="325">
        <v>7089864</v>
      </c>
      <c r="H124" s="325">
        <v>7089864</v>
      </c>
      <c r="I124" s="325">
        <v>10616486</v>
      </c>
      <c r="J124" s="888">
        <v>10616485.59</v>
      </c>
      <c r="K124" s="738"/>
      <c r="L124" s="888">
        <v>10616485.59</v>
      </c>
      <c r="N124" s="891"/>
      <c r="O124" s="888">
        <v>10616485.59</v>
      </c>
    </row>
    <row r="125" spans="1:15">
      <c r="A125" s="1721"/>
      <c r="B125" s="1725" t="s">
        <v>353</v>
      </c>
      <c r="C125" s="1727"/>
      <c r="D125" s="1727"/>
      <c r="E125" s="1726"/>
      <c r="F125" s="325">
        <v>2549963.34</v>
      </c>
      <c r="G125" s="325">
        <v>14471210.699999999</v>
      </c>
      <c r="H125" s="325">
        <v>14471210.699999999</v>
      </c>
      <c r="I125" s="325">
        <v>20759049.079999998</v>
      </c>
      <c r="J125" s="888">
        <v>21198224.859999999</v>
      </c>
      <c r="K125" s="738"/>
      <c r="L125" s="888">
        <v>21198224.859999999</v>
      </c>
      <c r="N125" s="891"/>
      <c r="O125" s="888">
        <v>21198224.859999999</v>
      </c>
    </row>
    <row r="126" spans="1:15">
      <c r="A126" s="1719" t="s">
        <v>355</v>
      </c>
      <c r="B126" s="1719" t="s">
        <v>345</v>
      </c>
      <c r="C126" s="1719" t="s">
        <v>346</v>
      </c>
      <c r="D126" s="1719" t="s">
        <v>627</v>
      </c>
      <c r="E126" s="321" t="s">
        <v>639</v>
      </c>
      <c r="F126" s="322">
        <v>21994.27</v>
      </c>
      <c r="G126" s="323"/>
      <c r="H126" s="323"/>
      <c r="I126" s="323"/>
      <c r="J126" s="885"/>
      <c r="K126" s="737"/>
      <c r="L126" s="885"/>
      <c r="N126" s="883" t="s">
        <v>639</v>
      </c>
      <c r="O126" s="885"/>
    </row>
    <row r="127" spans="1:15">
      <c r="A127" s="1720"/>
      <c r="B127" s="1720"/>
      <c r="C127" s="1720"/>
      <c r="D127" s="1720"/>
      <c r="E127" s="321" t="s">
        <v>640</v>
      </c>
      <c r="F127" s="322">
        <v>1591000</v>
      </c>
      <c r="G127" s="322">
        <v>1598215</v>
      </c>
      <c r="H127" s="322">
        <v>1598215</v>
      </c>
      <c r="I127" s="322">
        <v>1230500.01</v>
      </c>
      <c r="J127" s="884">
        <v>1230500.01</v>
      </c>
      <c r="K127" s="737"/>
      <c r="L127" s="884">
        <v>1230500.01</v>
      </c>
      <c r="N127" s="883" t="s">
        <v>640</v>
      </c>
      <c r="O127" s="884">
        <v>1230500.01</v>
      </c>
    </row>
    <row r="128" spans="1:15">
      <c r="A128" s="1720"/>
      <c r="B128" s="1720"/>
      <c r="C128" s="1720"/>
      <c r="D128" s="1720"/>
      <c r="E128" s="883" t="s">
        <v>767</v>
      </c>
      <c r="F128" s="561"/>
      <c r="G128" s="561"/>
      <c r="H128" s="561"/>
      <c r="I128" s="561"/>
      <c r="J128" s="884">
        <v>115733.36</v>
      </c>
      <c r="K128" s="739"/>
      <c r="L128" s="884">
        <v>115733.36</v>
      </c>
      <c r="N128" s="883" t="s">
        <v>767</v>
      </c>
      <c r="O128" s="884">
        <v>115733.36</v>
      </c>
    </row>
    <row r="129" spans="1:15">
      <c r="A129" s="1720"/>
      <c r="B129" s="1720"/>
      <c r="C129" s="1720"/>
      <c r="D129" s="1721"/>
      <c r="E129" s="324" t="s">
        <v>627</v>
      </c>
      <c r="F129" s="325">
        <v>1612994.27</v>
      </c>
      <c r="G129" s="325">
        <v>1598215</v>
      </c>
      <c r="H129" s="325">
        <v>1598215</v>
      </c>
      <c r="I129" s="325">
        <v>1230500.01</v>
      </c>
      <c r="J129" s="888">
        <v>1346233.37</v>
      </c>
      <c r="K129" s="738"/>
      <c r="L129" s="888">
        <v>1346233.37</v>
      </c>
      <c r="N129" s="887" t="s">
        <v>627</v>
      </c>
      <c r="O129" s="888">
        <v>1346233.37</v>
      </c>
    </row>
    <row r="130" spans="1:15">
      <c r="A130" s="1720"/>
      <c r="B130" s="1720"/>
      <c r="C130" s="1720"/>
      <c r="D130" s="1719" t="s">
        <v>635</v>
      </c>
      <c r="E130" s="321" t="s">
        <v>636</v>
      </c>
      <c r="F130" s="323"/>
      <c r="G130" s="322">
        <v>8232019.0499999998</v>
      </c>
      <c r="H130" s="322">
        <v>8112019.0499999998</v>
      </c>
      <c r="I130" s="322">
        <v>10845629.83</v>
      </c>
      <c r="J130" s="884">
        <v>10840357.84</v>
      </c>
      <c r="K130" s="737"/>
      <c r="L130" s="884">
        <v>10840357.84</v>
      </c>
      <c r="N130" s="883" t="s">
        <v>636</v>
      </c>
      <c r="O130" s="884">
        <v>10840357.84</v>
      </c>
    </row>
    <row r="131" spans="1:15" ht="12.75" customHeight="1">
      <c r="A131" s="1720"/>
      <c r="B131" s="1720"/>
      <c r="C131" s="1720"/>
      <c r="D131" s="1721"/>
      <c r="E131" s="324" t="s">
        <v>635</v>
      </c>
      <c r="F131" s="326"/>
      <c r="G131" s="325">
        <v>8232019.0499999998</v>
      </c>
      <c r="H131" s="325">
        <v>8112019.0499999998</v>
      </c>
      <c r="I131" s="325">
        <v>10845629.83</v>
      </c>
      <c r="J131" s="888">
        <v>10840357.84</v>
      </c>
      <c r="K131" s="738"/>
      <c r="L131" s="888">
        <v>10840357.84</v>
      </c>
      <c r="N131" s="887" t="s">
        <v>635</v>
      </c>
      <c r="O131" s="888">
        <v>10840357.84</v>
      </c>
    </row>
    <row r="132" spans="1:15" ht="12.75" customHeight="1">
      <c r="A132" s="1720"/>
      <c r="B132" s="1720"/>
      <c r="C132" s="1721"/>
      <c r="D132" s="1725" t="s">
        <v>346</v>
      </c>
      <c r="E132" s="1726"/>
      <c r="F132" s="325">
        <v>1612994.27</v>
      </c>
      <c r="G132" s="325">
        <v>9830234.0500000007</v>
      </c>
      <c r="H132" s="325">
        <v>9710234.0500000007</v>
      </c>
      <c r="I132" s="325">
        <v>12076129.84</v>
      </c>
      <c r="J132" s="888">
        <v>12186591.210000001</v>
      </c>
      <c r="K132" s="738"/>
      <c r="L132" s="888">
        <v>12186591.210000001</v>
      </c>
      <c r="N132" s="891"/>
      <c r="O132" s="888">
        <v>12186591.210000001</v>
      </c>
    </row>
    <row r="133" spans="1:15">
      <c r="A133" s="1720"/>
      <c r="B133" s="1721"/>
      <c r="C133" s="1725" t="s">
        <v>345</v>
      </c>
      <c r="D133" s="1727"/>
      <c r="E133" s="1726"/>
      <c r="F133" s="325">
        <v>1612994.27</v>
      </c>
      <c r="G133" s="325">
        <v>9830234.0500000007</v>
      </c>
      <c r="H133" s="325">
        <v>9710234.0500000007</v>
      </c>
      <c r="I133" s="325">
        <v>12076129.84</v>
      </c>
      <c r="J133" s="888">
        <v>12186591.210000001</v>
      </c>
      <c r="K133" s="738"/>
      <c r="L133" s="888">
        <v>12186591.210000001</v>
      </c>
      <c r="N133" s="891"/>
      <c r="O133" s="888">
        <v>12186591.210000001</v>
      </c>
    </row>
    <row r="134" spans="1:15">
      <c r="A134" s="1720"/>
      <c r="B134" s="1719" t="s">
        <v>348</v>
      </c>
      <c r="C134" s="1719" t="s">
        <v>611</v>
      </c>
      <c r="D134" s="1719" t="s">
        <v>624</v>
      </c>
      <c r="E134" s="321" t="s">
        <v>625</v>
      </c>
      <c r="F134" s="323"/>
      <c r="G134" s="322">
        <v>9406683</v>
      </c>
      <c r="H134" s="322">
        <v>9406683</v>
      </c>
      <c r="I134" s="322">
        <v>10845630</v>
      </c>
      <c r="J134" s="884">
        <v>10840357.84</v>
      </c>
      <c r="K134" s="737"/>
      <c r="L134" s="884">
        <v>10840357.84</v>
      </c>
      <c r="N134" s="883" t="s">
        <v>625</v>
      </c>
      <c r="O134" s="884">
        <v>10840357.84</v>
      </c>
    </row>
    <row r="135" spans="1:15">
      <c r="A135" s="1720"/>
      <c r="B135" s="1720"/>
      <c r="C135" s="1720"/>
      <c r="D135" s="1720"/>
      <c r="E135" s="321" t="s">
        <v>626</v>
      </c>
      <c r="F135" s="323"/>
      <c r="G135" s="323"/>
      <c r="H135" s="323"/>
      <c r="I135" s="322">
        <v>1735953</v>
      </c>
      <c r="J135" s="884">
        <v>1741225.17</v>
      </c>
      <c r="K135" s="737"/>
      <c r="L135" s="884">
        <v>1741225.17</v>
      </c>
      <c r="N135" s="883" t="s">
        <v>626</v>
      </c>
      <c r="O135" s="884">
        <v>1741225.17</v>
      </c>
    </row>
    <row r="136" spans="1:15">
      <c r="A136" s="1720"/>
      <c r="B136" s="1720"/>
      <c r="C136" s="1720"/>
      <c r="D136" s="1721"/>
      <c r="E136" s="324" t="s">
        <v>624</v>
      </c>
      <c r="F136" s="326"/>
      <c r="G136" s="325">
        <v>9406683</v>
      </c>
      <c r="H136" s="325">
        <v>9406683</v>
      </c>
      <c r="I136" s="325">
        <v>12581583</v>
      </c>
      <c r="J136" s="888">
        <v>12581583.01</v>
      </c>
      <c r="K136" s="738"/>
      <c r="L136" s="888">
        <v>12581583.01</v>
      </c>
      <c r="N136" s="887" t="s">
        <v>624</v>
      </c>
      <c r="O136" s="888">
        <v>12581583.01</v>
      </c>
    </row>
    <row r="137" spans="1:15">
      <c r="A137" s="1720"/>
      <c r="B137" s="1720"/>
      <c r="C137" s="1721"/>
      <c r="D137" s="1725" t="s">
        <v>611</v>
      </c>
      <c r="E137" s="1726"/>
      <c r="F137" s="326"/>
      <c r="G137" s="325">
        <v>9406683</v>
      </c>
      <c r="H137" s="325">
        <v>9406683</v>
      </c>
      <c r="I137" s="325">
        <v>12581583</v>
      </c>
      <c r="J137" s="888">
        <v>12581583.01</v>
      </c>
      <c r="K137" s="738"/>
      <c r="L137" s="888">
        <v>12581583.01</v>
      </c>
      <c r="N137" s="891"/>
      <c r="O137" s="888">
        <v>12581583.01</v>
      </c>
    </row>
    <row r="138" spans="1:15">
      <c r="A138" s="1720"/>
      <c r="B138" s="1721"/>
      <c r="C138" s="1725" t="s">
        <v>348</v>
      </c>
      <c r="D138" s="1727"/>
      <c r="E138" s="1726"/>
      <c r="F138" s="326"/>
      <c r="G138" s="325">
        <v>9406683</v>
      </c>
      <c r="H138" s="325">
        <v>9406683</v>
      </c>
      <c r="I138" s="325">
        <v>12581583</v>
      </c>
      <c r="J138" s="888">
        <v>12581583.01</v>
      </c>
      <c r="K138" s="738"/>
      <c r="L138" s="888">
        <v>12581583.01</v>
      </c>
      <c r="N138" s="891"/>
      <c r="O138" s="888">
        <v>12581583.01</v>
      </c>
    </row>
    <row r="139" spans="1:15" ht="12.75" customHeight="1">
      <c r="A139" s="1721"/>
      <c r="B139" s="1725" t="s">
        <v>355</v>
      </c>
      <c r="C139" s="1727"/>
      <c r="D139" s="1727"/>
      <c r="E139" s="1726"/>
      <c r="F139" s="325">
        <v>1612994.27</v>
      </c>
      <c r="G139" s="325">
        <v>19236917.050000001</v>
      </c>
      <c r="H139" s="325">
        <v>19116917.050000001</v>
      </c>
      <c r="I139" s="325">
        <v>24657712.84</v>
      </c>
      <c r="J139" s="888">
        <v>24768174.219999999</v>
      </c>
      <c r="K139" s="738"/>
      <c r="L139" s="888">
        <v>24768174.219999999</v>
      </c>
      <c r="N139" s="891"/>
      <c r="O139" s="888">
        <v>24768174.219999999</v>
      </c>
    </row>
    <row r="140" spans="1:15" ht="12.75" customHeight="1">
      <c r="A140" s="1719" t="s">
        <v>356</v>
      </c>
      <c r="B140" s="1719" t="s">
        <v>345</v>
      </c>
      <c r="C140" s="1719" t="s">
        <v>346</v>
      </c>
      <c r="D140" s="1719" t="s">
        <v>627</v>
      </c>
      <c r="E140" s="321" t="s">
        <v>639</v>
      </c>
      <c r="F140" s="322">
        <v>31891.69</v>
      </c>
      <c r="G140" s="323"/>
      <c r="H140" s="323"/>
      <c r="I140" s="323"/>
      <c r="J140" s="885"/>
      <c r="K140" s="737"/>
      <c r="L140" s="885"/>
      <c r="N140" s="883" t="s">
        <v>639</v>
      </c>
      <c r="O140" s="885"/>
    </row>
    <row r="141" spans="1:15">
      <c r="A141" s="1720"/>
      <c r="B141" s="1720"/>
      <c r="C141" s="1720"/>
      <c r="D141" s="1720"/>
      <c r="E141" s="321" t="s">
        <v>640</v>
      </c>
      <c r="F141" s="322">
        <v>-3116.5</v>
      </c>
      <c r="G141" s="322">
        <v>1300000</v>
      </c>
      <c r="H141" s="322">
        <v>1300000</v>
      </c>
      <c r="I141" s="322">
        <v>1925000</v>
      </c>
      <c r="J141" s="884">
        <v>1925000</v>
      </c>
      <c r="K141" s="737"/>
      <c r="L141" s="884">
        <v>1925000</v>
      </c>
      <c r="N141" s="883" t="s">
        <v>640</v>
      </c>
      <c r="O141" s="884">
        <v>1925000</v>
      </c>
    </row>
    <row r="142" spans="1:15">
      <c r="A142" s="1720"/>
      <c r="B142" s="1720"/>
      <c r="C142" s="1720"/>
      <c r="D142" s="1720"/>
      <c r="E142" s="883" t="s">
        <v>767</v>
      </c>
      <c r="F142" s="561"/>
      <c r="G142" s="561"/>
      <c r="H142" s="561"/>
      <c r="I142" s="561"/>
      <c r="J142" s="884">
        <v>189993.63</v>
      </c>
      <c r="K142" s="739"/>
      <c r="L142" s="884">
        <v>189993.63</v>
      </c>
      <c r="N142" s="883" t="s">
        <v>767</v>
      </c>
      <c r="O142" s="884">
        <v>189993.63</v>
      </c>
    </row>
    <row r="143" spans="1:15">
      <c r="A143" s="1720"/>
      <c r="B143" s="1720"/>
      <c r="C143" s="1720"/>
      <c r="D143" s="1721"/>
      <c r="E143" s="324" t="s">
        <v>627</v>
      </c>
      <c r="F143" s="325">
        <v>28775.19</v>
      </c>
      <c r="G143" s="325">
        <v>1300000</v>
      </c>
      <c r="H143" s="325">
        <v>1300000</v>
      </c>
      <c r="I143" s="325">
        <v>1925000</v>
      </c>
      <c r="J143" s="888">
        <v>2114993.63</v>
      </c>
      <c r="K143" s="738"/>
      <c r="L143" s="888">
        <v>2114993.63</v>
      </c>
      <c r="N143" s="887" t="s">
        <v>627</v>
      </c>
      <c r="O143" s="888">
        <v>2114993.63</v>
      </c>
    </row>
    <row r="144" spans="1:15">
      <c r="A144" s="1720"/>
      <c r="B144" s="1720"/>
      <c r="C144" s="1720"/>
      <c r="D144" s="1719" t="s">
        <v>635</v>
      </c>
      <c r="E144" s="321" t="s">
        <v>636</v>
      </c>
      <c r="F144" s="323"/>
      <c r="G144" s="322">
        <v>7054357</v>
      </c>
      <c r="H144" s="322">
        <v>7054357</v>
      </c>
      <c r="I144" s="322">
        <v>10747572.710000001</v>
      </c>
      <c r="J144" s="884">
        <v>10524660.050000001</v>
      </c>
      <c r="K144" s="737"/>
      <c r="L144" s="884">
        <v>10524660.050000001</v>
      </c>
      <c r="N144" s="883" t="s">
        <v>636</v>
      </c>
      <c r="O144" s="884">
        <v>10524660.050000001</v>
      </c>
    </row>
    <row r="145" spans="1:15">
      <c r="A145" s="1720"/>
      <c r="B145" s="1720"/>
      <c r="C145" s="1720"/>
      <c r="D145" s="1721"/>
      <c r="E145" s="324" t="s">
        <v>635</v>
      </c>
      <c r="F145" s="326"/>
      <c r="G145" s="325">
        <v>7054357</v>
      </c>
      <c r="H145" s="325">
        <v>7054357</v>
      </c>
      <c r="I145" s="325">
        <v>10747572.710000001</v>
      </c>
      <c r="J145" s="888">
        <v>10524660.050000001</v>
      </c>
      <c r="K145" s="738"/>
      <c r="L145" s="888">
        <v>10524660.050000001</v>
      </c>
      <c r="N145" s="887" t="s">
        <v>635</v>
      </c>
      <c r="O145" s="888">
        <v>10524660.050000001</v>
      </c>
    </row>
    <row r="146" spans="1:15" ht="12.75" customHeight="1">
      <c r="A146" s="1720"/>
      <c r="B146" s="1720"/>
      <c r="C146" s="1721"/>
      <c r="D146" s="1725" t="s">
        <v>346</v>
      </c>
      <c r="E146" s="1726"/>
      <c r="F146" s="325">
        <v>28775.19</v>
      </c>
      <c r="G146" s="325">
        <v>8354357</v>
      </c>
      <c r="H146" s="325">
        <v>8354357</v>
      </c>
      <c r="I146" s="325">
        <v>12672572.710000001</v>
      </c>
      <c r="J146" s="888">
        <v>12639653.68</v>
      </c>
      <c r="K146" s="738"/>
      <c r="L146" s="888">
        <v>12639653.68</v>
      </c>
      <c r="N146" s="891"/>
      <c r="O146" s="888">
        <v>12639653.68</v>
      </c>
    </row>
    <row r="147" spans="1:15">
      <c r="A147" s="1720"/>
      <c r="B147" s="1721"/>
      <c r="C147" s="1725" t="s">
        <v>345</v>
      </c>
      <c r="D147" s="1727"/>
      <c r="E147" s="1726"/>
      <c r="F147" s="325">
        <v>28775.19</v>
      </c>
      <c r="G147" s="325">
        <v>8354357</v>
      </c>
      <c r="H147" s="325">
        <v>8354357</v>
      </c>
      <c r="I147" s="325">
        <v>12672572.710000001</v>
      </c>
      <c r="J147" s="888">
        <v>12639653.68</v>
      </c>
      <c r="K147" s="738"/>
      <c r="L147" s="888">
        <v>12639653.68</v>
      </c>
      <c r="N147" s="891"/>
      <c r="O147" s="888">
        <v>12639653.68</v>
      </c>
    </row>
    <row r="148" spans="1:15">
      <c r="A148" s="1720"/>
      <c r="B148" s="1719" t="s">
        <v>348</v>
      </c>
      <c r="C148" s="1719" t="s">
        <v>611</v>
      </c>
      <c r="D148" s="1719" t="s">
        <v>624</v>
      </c>
      <c r="E148" s="321" t="s">
        <v>625</v>
      </c>
      <c r="F148" s="323"/>
      <c r="G148" s="322">
        <v>7545796</v>
      </c>
      <c r="H148" s="322">
        <v>7545796</v>
      </c>
      <c r="I148" s="322">
        <v>10747573</v>
      </c>
      <c r="J148" s="884">
        <v>10524660.050000001</v>
      </c>
      <c r="K148" s="737"/>
      <c r="L148" s="884">
        <v>10524660.050000001</v>
      </c>
      <c r="N148" s="883" t="s">
        <v>625</v>
      </c>
      <c r="O148" s="884">
        <v>10524660.050000001</v>
      </c>
    </row>
    <row r="149" spans="1:15">
      <c r="A149" s="1720"/>
      <c r="B149" s="1720"/>
      <c r="C149" s="1720"/>
      <c r="D149" s="1720"/>
      <c r="E149" s="321" t="s">
        <v>626</v>
      </c>
      <c r="F149" s="323"/>
      <c r="G149" s="323"/>
      <c r="H149" s="323"/>
      <c r="I149" s="322">
        <v>1147342</v>
      </c>
      <c r="J149" s="884">
        <v>1370255.29</v>
      </c>
      <c r="K149" s="737"/>
      <c r="L149" s="884">
        <v>1370255.29</v>
      </c>
      <c r="N149" s="883" t="s">
        <v>626</v>
      </c>
      <c r="O149" s="884">
        <v>1370255.29</v>
      </c>
    </row>
    <row r="150" spans="1:15" ht="12.75" customHeight="1">
      <c r="A150" s="1720"/>
      <c r="B150" s="1720"/>
      <c r="C150" s="1720"/>
      <c r="D150" s="1721"/>
      <c r="E150" s="324" t="s">
        <v>624</v>
      </c>
      <c r="F150" s="326"/>
      <c r="G150" s="325">
        <v>7545796</v>
      </c>
      <c r="H150" s="325">
        <v>7545796</v>
      </c>
      <c r="I150" s="325">
        <v>11894915</v>
      </c>
      <c r="J150" s="888">
        <v>11894915.34</v>
      </c>
      <c r="K150" s="738"/>
      <c r="L150" s="888">
        <v>11894915.34</v>
      </c>
      <c r="N150" s="887" t="s">
        <v>624</v>
      </c>
      <c r="O150" s="888">
        <v>11894915.34</v>
      </c>
    </row>
    <row r="151" spans="1:15" ht="12.75" customHeight="1">
      <c r="A151" s="1720"/>
      <c r="B151" s="1720"/>
      <c r="C151" s="1721"/>
      <c r="D151" s="1725" t="s">
        <v>611</v>
      </c>
      <c r="E151" s="1726"/>
      <c r="F151" s="326"/>
      <c r="G151" s="325">
        <v>7545796</v>
      </c>
      <c r="H151" s="325">
        <v>7545796</v>
      </c>
      <c r="I151" s="325">
        <v>11894915</v>
      </c>
      <c r="J151" s="888">
        <v>11894915.34</v>
      </c>
      <c r="K151" s="738"/>
      <c r="L151" s="888">
        <v>11894915.34</v>
      </c>
      <c r="N151" s="891"/>
      <c r="O151" s="888">
        <v>11894915.34</v>
      </c>
    </row>
    <row r="152" spans="1:15">
      <c r="A152" s="1720"/>
      <c r="B152" s="1721"/>
      <c r="C152" s="1725" t="s">
        <v>348</v>
      </c>
      <c r="D152" s="1727"/>
      <c r="E152" s="1726"/>
      <c r="F152" s="326"/>
      <c r="G152" s="325">
        <v>7545796</v>
      </c>
      <c r="H152" s="325">
        <v>7545796</v>
      </c>
      <c r="I152" s="325">
        <v>11894915</v>
      </c>
      <c r="J152" s="888">
        <v>11894915.34</v>
      </c>
      <c r="K152" s="738"/>
      <c r="L152" s="888">
        <v>11894915.34</v>
      </c>
      <c r="N152" s="891"/>
      <c r="O152" s="888">
        <v>11894915.34</v>
      </c>
    </row>
    <row r="153" spans="1:15">
      <c r="A153" s="1721"/>
      <c r="B153" s="1725" t="s">
        <v>356</v>
      </c>
      <c r="C153" s="1727"/>
      <c r="D153" s="1727"/>
      <c r="E153" s="1726"/>
      <c r="F153" s="325">
        <v>28775.19</v>
      </c>
      <c r="G153" s="325">
        <v>15900153</v>
      </c>
      <c r="H153" s="325">
        <v>15900153</v>
      </c>
      <c r="I153" s="325">
        <v>24567487.710000001</v>
      </c>
      <c r="J153" s="888">
        <v>24534569.02</v>
      </c>
      <c r="K153" s="738"/>
      <c r="L153" s="888">
        <v>24534569.02</v>
      </c>
      <c r="N153" s="891"/>
      <c r="O153" s="888">
        <v>24534569.02</v>
      </c>
    </row>
    <row r="154" spans="1:15">
      <c r="A154" s="1719" t="s">
        <v>357</v>
      </c>
      <c r="B154" s="1719" t="s">
        <v>348</v>
      </c>
      <c r="C154" s="1719" t="s">
        <v>611</v>
      </c>
      <c r="D154" s="1719" t="s">
        <v>624</v>
      </c>
      <c r="E154" s="321" t="s">
        <v>625</v>
      </c>
      <c r="F154" s="323"/>
      <c r="G154" s="322">
        <v>9297956</v>
      </c>
      <c r="H154" s="322">
        <v>9297956</v>
      </c>
      <c r="I154" s="322">
        <v>1159913</v>
      </c>
      <c r="J154" s="884">
        <v>1134820.72</v>
      </c>
      <c r="K154" s="737"/>
      <c r="L154" s="884">
        <v>1134820.72</v>
      </c>
      <c r="N154" s="883" t="s">
        <v>625</v>
      </c>
      <c r="O154" s="884">
        <v>1134820.72</v>
      </c>
    </row>
    <row r="155" spans="1:15">
      <c r="A155" s="1720"/>
      <c r="B155" s="1720"/>
      <c r="C155" s="1720"/>
      <c r="D155" s="1720"/>
      <c r="E155" s="321" t="s">
        <v>626</v>
      </c>
      <c r="F155" s="323"/>
      <c r="G155" s="323"/>
      <c r="H155" s="323"/>
      <c r="I155" s="322">
        <v>10727444</v>
      </c>
      <c r="J155" s="884">
        <v>10752536.75</v>
      </c>
      <c r="K155" s="737"/>
      <c r="L155" s="884">
        <v>10752536.75</v>
      </c>
      <c r="N155" s="883" t="s">
        <v>626</v>
      </c>
      <c r="O155" s="884">
        <v>10752536.75</v>
      </c>
    </row>
    <row r="156" spans="1:15" ht="12.75" customHeight="1">
      <c r="A156" s="1720"/>
      <c r="B156" s="1720"/>
      <c r="C156" s="1720"/>
      <c r="D156" s="1721"/>
      <c r="E156" s="324" t="s">
        <v>624</v>
      </c>
      <c r="F156" s="326"/>
      <c r="G156" s="325">
        <v>9297956</v>
      </c>
      <c r="H156" s="325">
        <v>9297956</v>
      </c>
      <c r="I156" s="325">
        <v>11887357</v>
      </c>
      <c r="J156" s="888">
        <v>11887357.470000001</v>
      </c>
      <c r="K156" s="738"/>
      <c r="L156" s="888">
        <v>11887357.470000001</v>
      </c>
      <c r="N156" s="887" t="s">
        <v>624</v>
      </c>
      <c r="O156" s="888">
        <v>11887357.470000001</v>
      </c>
    </row>
    <row r="157" spans="1:15">
      <c r="A157" s="1720"/>
      <c r="B157" s="1720"/>
      <c r="C157" s="1721"/>
      <c r="D157" s="1725" t="s">
        <v>611</v>
      </c>
      <c r="E157" s="1726"/>
      <c r="F157" s="326"/>
      <c r="G157" s="325">
        <v>9297956</v>
      </c>
      <c r="H157" s="325">
        <v>9297956</v>
      </c>
      <c r="I157" s="325">
        <v>11887357</v>
      </c>
      <c r="J157" s="888">
        <v>11887357.470000001</v>
      </c>
      <c r="K157" s="738"/>
      <c r="L157" s="888">
        <v>11887357.470000001</v>
      </c>
      <c r="N157" s="891"/>
      <c r="O157" s="888">
        <v>11887357.470000001</v>
      </c>
    </row>
    <row r="158" spans="1:15">
      <c r="A158" s="1720"/>
      <c r="B158" s="1721"/>
      <c r="C158" s="1725" t="s">
        <v>348</v>
      </c>
      <c r="D158" s="1727"/>
      <c r="E158" s="1726"/>
      <c r="F158" s="326"/>
      <c r="G158" s="325">
        <v>9297956</v>
      </c>
      <c r="H158" s="325">
        <v>9297956</v>
      </c>
      <c r="I158" s="325">
        <v>11887357</v>
      </c>
      <c r="J158" s="888">
        <v>11887357.470000001</v>
      </c>
      <c r="K158" s="738"/>
      <c r="L158" s="888">
        <v>11887357.470000001</v>
      </c>
      <c r="N158" s="891"/>
      <c r="O158" s="888">
        <v>11887357.470000001</v>
      </c>
    </row>
    <row r="159" spans="1:15">
      <c r="A159" s="1720"/>
      <c r="B159" s="1719" t="s">
        <v>345</v>
      </c>
      <c r="C159" s="1719" t="s">
        <v>346</v>
      </c>
      <c r="D159" s="1719" t="s">
        <v>635</v>
      </c>
      <c r="E159" s="321" t="s">
        <v>636</v>
      </c>
      <c r="F159" s="323"/>
      <c r="G159" s="322">
        <v>9392427.3900000006</v>
      </c>
      <c r="H159" s="322">
        <v>9392427.3900000006</v>
      </c>
      <c r="I159" s="322">
        <v>1159913.24</v>
      </c>
      <c r="J159" s="884">
        <v>1134820.71</v>
      </c>
      <c r="K159" s="737"/>
      <c r="L159" s="884">
        <v>1134820.71</v>
      </c>
      <c r="N159" s="883" t="s">
        <v>636</v>
      </c>
      <c r="O159" s="884">
        <v>1134820.71</v>
      </c>
    </row>
    <row r="160" spans="1:15">
      <c r="A160" s="1720"/>
      <c r="B160" s="1720"/>
      <c r="C160" s="1720"/>
      <c r="D160" s="1720"/>
      <c r="E160" s="883" t="s">
        <v>767</v>
      </c>
      <c r="F160" s="562"/>
      <c r="G160" s="561"/>
      <c r="H160" s="561"/>
      <c r="I160" s="561"/>
      <c r="J160" s="884">
        <v>100792.38</v>
      </c>
      <c r="K160" s="739"/>
      <c r="L160" s="884">
        <v>100792.38</v>
      </c>
      <c r="N160" s="883" t="s">
        <v>767</v>
      </c>
      <c r="O160" s="884">
        <v>100792.38</v>
      </c>
    </row>
    <row r="161" spans="1:15" ht="12.75" customHeight="1">
      <c r="A161" s="1720"/>
      <c r="B161" s="1720"/>
      <c r="C161" s="1720"/>
      <c r="D161" s="1721"/>
      <c r="E161" s="324" t="s">
        <v>635</v>
      </c>
      <c r="F161" s="326"/>
      <c r="G161" s="325">
        <v>9392427.3900000006</v>
      </c>
      <c r="H161" s="325">
        <v>9392427.3900000006</v>
      </c>
      <c r="I161" s="325">
        <v>1159913.24</v>
      </c>
      <c r="J161" s="888">
        <v>1235613.0900000001</v>
      </c>
      <c r="K161" s="738"/>
      <c r="L161" s="888">
        <v>1235613.0900000001</v>
      </c>
      <c r="N161" s="887" t="s">
        <v>635</v>
      </c>
      <c r="O161" s="888">
        <v>1235613.0900000001</v>
      </c>
    </row>
    <row r="162" spans="1:15" ht="12.75" customHeight="1">
      <c r="A162" s="1720"/>
      <c r="B162" s="1720"/>
      <c r="C162" s="1721"/>
      <c r="D162" s="1725" t="s">
        <v>346</v>
      </c>
      <c r="E162" s="1726"/>
      <c r="F162" s="326"/>
      <c r="G162" s="325">
        <v>9392427.3900000006</v>
      </c>
      <c r="H162" s="325">
        <v>9392427.3900000006</v>
      </c>
      <c r="I162" s="325">
        <v>1159913.24</v>
      </c>
      <c r="J162" s="888">
        <v>1235613.0900000001</v>
      </c>
      <c r="K162" s="738"/>
      <c r="L162" s="888">
        <v>1235613.0900000001</v>
      </c>
      <c r="N162" s="891"/>
      <c r="O162" s="888">
        <v>1235613.0900000001</v>
      </c>
    </row>
    <row r="163" spans="1:15">
      <c r="A163" s="1720"/>
      <c r="B163" s="1721"/>
      <c r="C163" s="1725" t="s">
        <v>345</v>
      </c>
      <c r="D163" s="1727"/>
      <c r="E163" s="1726"/>
      <c r="F163" s="326"/>
      <c r="G163" s="325">
        <v>9392427.3900000006</v>
      </c>
      <c r="H163" s="325">
        <v>9392427.3900000006</v>
      </c>
      <c r="I163" s="325">
        <v>1159913.24</v>
      </c>
      <c r="J163" s="888">
        <v>1235613.0900000001</v>
      </c>
      <c r="K163" s="738"/>
      <c r="L163" s="888">
        <v>1235613.0900000001</v>
      </c>
      <c r="N163" s="891"/>
      <c r="O163" s="888">
        <v>1235613.0900000001</v>
      </c>
    </row>
    <row r="164" spans="1:15">
      <c r="A164" s="1721"/>
      <c r="B164" s="1725" t="s">
        <v>357</v>
      </c>
      <c r="C164" s="1727"/>
      <c r="D164" s="1727"/>
      <c r="E164" s="1726"/>
      <c r="F164" s="326"/>
      <c r="G164" s="325">
        <v>18690383.390000001</v>
      </c>
      <c r="H164" s="325">
        <v>18690383.390000001</v>
      </c>
      <c r="I164" s="325">
        <v>13047270.24</v>
      </c>
      <c r="J164" s="888">
        <v>13122970.560000001</v>
      </c>
      <c r="K164" s="738"/>
      <c r="L164" s="888">
        <v>13122970.560000001</v>
      </c>
      <c r="N164" s="891"/>
      <c r="O164" s="888">
        <v>13122970.560000001</v>
      </c>
    </row>
    <row r="165" spans="1:15">
      <c r="A165" s="1719" t="s">
        <v>358</v>
      </c>
      <c r="B165" s="1719" t="s">
        <v>348</v>
      </c>
      <c r="C165" s="1719" t="s">
        <v>611</v>
      </c>
      <c r="D165" s="1719" t="s">
        <v>624</v>
      </c>
      <c r="E165" s="321" t="s">
        <v>625</v>
      </c>
      <c r="F165" s="323"/>
      <c r="G165" s="322">
        <v>5501794</v>
      </c>
      <c r="H165" s="322">
        <v>5501794</v>
      </c>
      <c r="I165" s="322">
        <v>1087015</v>
      </c>
      <c r="J165" s="884">
        <v>1087015</v>
      </c>
      <c r="K165" s="737"/>
      <c r="L165" s="884">
        <v>1087015</v>
      </c>
      <c r="N165" s="883" t="s">
        <v>625</v>
      </c>
      <c r="O165" s="884">
        <v>1087015</v>
      </c>
    </row>
    <row r="166" spans="1:15">
      <c r="A166" s="1720"/>
      <c r="B166" s="1720"/>
      <c r="C166" s="1720"/>
      <c r="D166" s="1720"/>
      <c r="E166" s="321" t="s">
        <v>626</v>
      </c>
      <c r="F166" s="323"/>
      <c r="G166" s="323"/>
      <c r="H166" s="323"/>
      <c r="I166" s="322">
        <v>1892500</v>
      </c>
      <c r="J166" s="884">
        <v>1892500</v>
      </c>
      <c r="K166" s="737"/>
      <c r="L166" s="884">
        <v>1892500</v>
      </c>
      <c r="N166" s="883" t="s">
        <v>626</v>
      </c>
      <c r="O166" s="884">
        <v>1892500</v>
      </c>
    </row>
    <row r="167" spans="1:15">
      <c r="A167" s="1720"/>
      <c r="B167" s="1720"/>
      <c r="C167" s="1720"/>
      <c r="D167" s="1721"/>
      <c r="E167" s="324" t="s">
        <v>624</v>
      </c>
      <c r="F167" s="326"/>
      <c r="G167" s="325">
        <v>5501794</v>
      </c>
      <c r="H167" s="325">
        <v>5501794</v>
      </c>
      <c r="I167" s="325">
        <v>2979515</v>
      </c>
      <c r="J167" s="888">
        <v>2979515</v>
      </c>
      <c r="K167" s="738"/>
      <c r="L167" s="888">
        <v>2979515</v>
      </c>
      <c r="N167" s="887" t="s">
        <v>624</v>
      </c>
      <c r="O167" s="888">
        <v>2979515</v>
      </c>
    </row>
    <row r="168" spans="1:15" ht="12.75" customHeight="1">
      <c r="A168" s="1720"/>
      <c r="B168" s="1720"/>
      <c r="C168" s="1721"/>
      <c r="D168" s="1725" t="s">
        <v>611</v>
      </c>
      <c r="E168" s="1726"/>
      <c r="F168" s="326"/>
      <c r="G168" s="325">
        <v>5501794</v>
      </c>
      <c r="H168" s="325">
        <v>5501794</v>
      </c>
      <c r="I168" s="325">
        <v>2979515</v>
      </c>
      <c r="J168" s="888">
        <v>2979515</v>
      </c>
      <c r="K168" s="738"/>
      <c r="L168" s="888">
        <v>2979515</v>
      </c>
      <c r="N168" s="891"/>
      <c r="O168" s="888">
        <v>2979515</v>
      </c>
    </row>
    <row r="169" spans="1:15">
      <c r="A169" s="1720"/>
      <c r="B169" s="1721"/>
      <c r="C169" s="1725" t="s">
        <v>348</v>
      </c>
      <c r="D169" s="1727"/>
      <c r="E169" s="1726"/>
      <c r="F169" s="326"/>
      <c r="G169" s="325">
        <v>5501794</v>
      </c>
      <c r="H169" s="325">
        <v>5501794</v>
      </c>
      <c r="I169" s="325">
        <v>2979515</v>
      </c>
      <c r="J169" s="888">
        <v>2979515</v>
      </c>
      <c r="K169" s="738"/>
      <c r="L169" s="888">
        <v>2979515</v>
      </c>
      <c r="N169" s="891"/>
      <c r="O169" s="888">
        <v>2979515</v>
      </c>
    </row>
    <row r="170" spans="1:15">
      <c r="A170" s="1720"/>
      <c r="B170" s="1719" t="s">
        <v>345</v>
      </c>
      <c r="C170" s="1719" t="s">
        <v>346</v>
      </c>
      <c r="D170" s="1719" t="s">
        <v>635</v>
      </c>
      <c r="E170" s="321" t="s">
        <v>636</v>
      </c>
      <c r="F170" s="323"/>
      <c r="G170" s="322">
        <v>4320194</v>
      </c>
      <c r="H170" s="322">
        <v>4320194</v>
      </c>
      <c r="I170" s="322">
        <v>1087015</v>
      </c>
      <c r="J170" s="884">
        <v>1087015</v>
      </c>
      <c r="K170" s="737"/>
      <c r="L170" s="884">
        <v>1087015</v>
      </c>
      <c r="N170" s="883" t="s">
        <v>636</v>
      </c>
      <c r="O170" s="884">
        <v>1087015</v>
      </c>
    </row>
    <row r="171" spans="1:15">
      <c r="A171" s="1720"/>
      <c r="B171" s="1720"/>
      <c r="C171" s="1720"/>
      <c r="D171" s="1721"/>
      <c r="E171" s="324" t="s">
        <v>635</v>
      </c>
      <c r="F171" s="326"/>
      <c r="G171" s="325">
        <v>4320194</v>
      </c>
      <c r="H171" s="325">
        <v>4320194</v>
      </c>
      <c r="I171" s="325">
        <v>1087015</v>
      </c>
      <c r="J171" s="888">
        <v>1087015</v>
      </c>
      <c r="K171" s="738"/>
      <c r="L171" s="888">
        <v>1087015</v>
      </c>
      <c r="N171" s="887" t="s">
        <v>635</v>
      </c>
      <c r="O171" s="888">
        <v>1087015</v>
      </c>
    </row>
    <row r="172" spans="1:15">
      <c r="A172" s="1720"/>
      <c r="B172" s="1720"/>
      <c r="C172" s="1721"/>
      <c r="D172" s="1725" t="s">
        <v>346</v>
      </c>
      <c r="E172" s="1726"/>
      <c r="F172" s="326"/>
      <c r="G172" s="325">
        <v>4320194</v>
      </c>
      <c r="H172" s="325">
        <v>4320194</v>
      </c>
      <c r="I172" s="325">
        <v>1087015</v>
      </c>
      <c r="J172" s="888">
        <v>1087015</v>
      </c>
      <c r="K172" s="738"/>
      <c r="L172" s="888">
        <v>1087015</v>
      </c>
      <c r="N172" s="891"/>
      <c r="O172" s="888">
        <v>1087015</v>
      </c>
    </row>
    <row r="173" spans="1:15">
      <c r="A173" s="1720"/>
      <c r="B173" s="1721"/>
      <c r="C173" s="1725" t="s">
        <v>345</v>
      </c>
      <c r="D173" s="1727"/>
      <c r="E173" s="1726"/>
      <c r="F173" s="326"/>
      <c r="G173" s="325">
        <v>4320194</v>
      </c>
      <c r="H173" s="325">
        <v>4320194</v>
      </c>
      <c r="I173" s="325">
        <v>1087015</v>
      </c>
      <c r="J173" s="888">
        <v>1087015</v>
      </c>
      <c r="K173" s="738"/>
      <c r="L173" s="888">
        <v>1087015</v>
      </c>
      <c r="N173" s="891"/>
      <c r="O173" s="888">
        <v>1087015</v>
      </c>
    </row>
    <row r="174" spans="1:15">
      <c r="A174" s="1721"/>
      <c r="B174" s="1725" t="s">
        <v>358</v>
      </c>
      <c r="C174" s="1727"/>
      <c r="D174" s="1727"/>
      <c r="E174" s="1726"/>
      <c r="F174" s="326"/>
      <c r="G174" s="325">
        <v>9821988</v>
      </c>
      <c r="H174" s="325">
        <v>9821988</v>
      </c>
      <c r="I174" s="325">
        <v>4066530</v>
      </c>
      <c r="J174" s="888">
        <v>4066530</v>
      </c>
      <c r="K174" s="738"/>
      <c r="L174" s="888">
        <v>4066530</v>
      </c>
      <c r="N174" s="891"/>
      <c r="O174" s="888">
        <v>4066530</v>
      </c>
    </row>
    <row r="175" spans="1:15">
      <c r="A175" s="1719" t="s">
        <v>359</v>
      </c>
      <c r="B175" s="1719" t="s">
        <v>345</v>
      </c>
      <c r="C175" s="1719" t="s">
        <v>346</v>
      </c>
      <c r="D175" s="1719" t="s">
        <v>627</v>
      </c>
      <c r="E175" s="321" t="s">
        <v>633</v>
      </c>
      <c r="F175" s="322">
        <v>29848</v>
      </c>
      <c r="G175" s="322">
        <v>27966.5</v>
      </c>
      <c r="H175" s="322">
        <v>27966.5</v>
      </c>
      <c r="I175" s="322">
        <v>31644</v>
      </c>
      <c r="J175" s="884">
        <v>427880.5</v>
      </c>
      <c r="K175" s="737"/>
      <c r="L175" s="884">
        <v>427880.5</v>
      </c>
      <c r="N175" s="883" t="s">
        <v>633</v>
      </c>
      <c r="O175" s="884">
        <v>427880.5</v>
      </c>
    </row>
    <row r="176" spans="1:15">
      <c r="A176" s="1720"/>
      <c r="B176" s="1720"/>
      <c r="C176" s="1720"/>
      <c r="D176" s="1720"/>
      <c r="E176" s="321" t="s">
        <v>640</v>
      </c>
      <c r="F176" s="323"/>
      <c r="G176" s="323"/>
      <c r="H176" s="323"/>
      <c r="I176" s="322">
        <v>1077849</v>
      </c>
      <c r="J176" s="884">
        <v>150000</v>
      </c>
      <c r="K176" s="737"/>
      <c r="L176" s="884">
        <v>150000</v>
      </c>
      <c r="N176" s="883" t="s">
        <v>640</v>
      </c>
      <c r="O176" s="884">
        <v>150000</v>
      </c>
    </row>
    <row r="177" spans="1:15">
      <c r="A177" s="1720"/>
      <c r="B177" s="1720"/>
      <c r="C177" s="1720"/>
      <c r="D177" s="1720"/>
      <c r="E177" s="883" t="s">
        <v>767</v>
      </c>
      <c r="F177" s="562"/>
      <c r="G177" s="562"/>
      <c r="H177" s="562"/>
      <c r="I177" s="561"/>
      <c r="J177" s="884">
        <v>817794.01</v>
      </c>
      <c r="K177" s="739"/>
      <c r="L177" s="884">
        <v>817794.01</v>
      </c>
      <c r="N177" s="883" t="s">
        <v>767</v>
      </c>
      <c r="O177" s="884">
        <v>817794.01</v>
      </c>
    </row>
    <row r="178" spans="1:15">
      <c r="A178" s="1720"/>
      <c r="B178" s="1720"/>
      <c r="C178" s="1720"/>
      <c r="D178" s="1721"/>
      <c r="E178" s="324" t="s">
        <v>627</v>
      </c>
      <c r="F178" s="325">
        <v>29848</v>
      </c>
      <c r="G178" s="325">
        <v>27966.5</v>
      </c>
      <c r="H178" s="325">
        <v>27966.5</v>
      </c>
      <c r="I178" s="325">
        <v>1109493</v>
      </c>
      <c r="J178" s="888">
        <v>1395674.51</v>
      </c>
      <c r="K178" s="738"/>
      <c r="L178" s="888">
        <v>1395674.51</v>
      </c>
      <c r="N178" s="887" t="s">
        <v>627</v>
      </c>
      <c r="O178" s="888">
        <v>1395674.51</v>
      </c>
    </row>
    <row r="179" spans="1:15">
      <c r="A179" s="1720"/>
      <c r="B179" s="1720"/>
      <c r="C179" s="1720"/>
      <c r="D179" s="1719" t="s">
        <v>635</v>
      </c>
      <c r="E179" s="321" t="s">
        <v>636</v>
      </c>
      <c r="F179" s="323"/>
      <c r="G179" s="322">
        <v>532099.91</v>
      </c>
      <c r="H179" s="322">
        <v>532099.91</v>
      </c>
      <c r="I179" s="322">
        <v>1066304.72</v>
      </c>
      <c r="J179" s="884">
        <v>1043462.61</v>
      </c>
      <c r="K179" s="737"/>
      <c r="L179" s="884">
        <v>1043462.61</v>
      </c>
      <c r="N179" s="883" t="s">
        <v>636</v>
      </c>
      <c r="O179" s="884">
        <v>1043462.61</v>
      </c>
    </row>
    <row r="180" spans="1:15">
      <c r="A180" s="1720"/>
      <c r="B180" s="1720"/>
      <c r="C180" s="1720"/>
      <c r="D180" s="1721"/>
      <c r="E180" s="324" t="s">
        <v>635</v>
      </c>
      <c r="F180" s="326"/>
      <c r="G180" s="325">
        <v>532099.91</v>
      </c>
      <c r="H180" s="325">
        <v>532099.91</v>
      </c>
      <c r="I180" s="325">
        <v>1066304.72</v>
      </c>
      <c r="J180" s="888">
        <v>1043462.61</v>
      </c>
      <c r="K180" s="738"/>
      <c r="L180" s="888">
        <v>1043462.61</v>
      </c>
      <c r="N180" s="887" t="s">
        <v>635</v>
      </c>
      <c r="O180" s="888">
        <v>1043462.61</v>
      </c>
    </row>
    <row r="181" spans="1:15">
      <c r="A181" s="1720"/>
      <c r="B181" s="1720"/>
      <c r="C181" s="1721"/>
      <c r="D181" s="1725" t="s">
        <v>346</v>
      </c>
      <c r="E181" s="1726"/>
      <c r="F181" s="325">
        <v>29848</v>
      </c>
      <c r="G181" s="325">
        <v>560066.41</v>
      </c>
      <c r="H181" s="325">
        <v>560066.41</v>
      </c>
      <c r="I181" s="325">
        <v>2175797.7200000002</v>
      </c>
      <c r="J181" s="888">
        <v>2439137.12</v>
      </c>
      <c r="K181" s="738"/>
      <c r="L181" s="888">
        <v>2439137.12</v>
      </c>
      <c r="N181" s="891"/>
      <c r="O181" s="888">
        <v>2439137.12</v>
      </c>
    </row>
    <row r="182" spans="1:15">
      <c r="A182" s="1720"/>
      <c r="B182" s="1721"/>
      <c r="C182" s="1725" t="s">
        <v>345</v>
      </c>
      <c r="D182" s="1727"/>
      <c r="E182" s="1726"/>
      <c r="F182" s="325">
        <v>29848</v>
      </c>
      <c r="G182" s="325">
        <v>560066.41</v>
      </c>
      <c r="H182" s="325">
        <v>560066.41</v>
      </c>
      <c r="I182" s="325">
        <v>2175797.7200000002</v>
      </c>
      <c r="J182" s="888">
        <v>2439137.12</v>
      </c>
      <c r="K182" s="738"/>
      <c r="L182" s="888">
        <v>2439137.12</v>
      </c>
      <c r="N182" s="891"/>
      <c r="O182" s="888">
        <v>2439137.12</v>
      </c>
    </row>
    <row r="183" spans="1:15">
      <c r="A183" s="1720"/>
      <c r="B183" s="1719" t="s">
        <v>348</v>
      </c>
      <c r="C183" s="1719" t="s">
        <v>611</v>
      </c>
      <c r="D183" s="1719" t="s">
        <v>624</v>
      </c>
      <c r="E183" s="321" t="s">
        <v>625</v>
      </c>
      <c r="F183" s="323"/>
      <c r="G183" s="322">
        <v>1071399</v>
      </c>
      <c r="H183" s="322">
        <v>1071399</v>
      </c>
      <c r="I183" s="322">
        <v>1066305</v>
      </c>
      <c r="J183" s="884">
        <v>1043461.5</v>
      </c>
      <c r="K183" s="737"/>
      <c r="L183" s="884">
        <v>1043461.5</v>
      </c>
      <c r="N183" s="883" t="s">
        <v>625</v>
      </c>
      <c r="O183" s="884">
        <v>1043461.5</v>
      </c>
    </row>
    <row r="184" spans="1:15">
      <c r="A184" s="1720"/>
      <c r="B184" s="1720"/>
      <c r="C184" s="1720"/>
      <c r="D184" s="1720"/>
      <c r="E184" s="321" t="s">
        <v>626</v>
      </c>
      <c r="F184" s="323"/>
      <c r="G184" s="323"/>
      <c r="H184" s="323"/>
      <c r="I184" s="322">
        <v>90118</v>
      </c>
      <c r="J184" s="884">
        <v>112961.39</v>
      </c>
      <c r="K184" s="737"/>
      <c r="L184" s="884">
        <v>112961.39</v>
      </c>
      <c r="N184" s="883" t="s">
        <v>626</v>
      </c>
      <c r="O184" s="884">
        <v>112961.39</v>
      </c>
    </row>
    <row r="185" spans="1:15">
      <c r="A185" s="1720"/>
      <c r="B185" s="1720"/>
      <c r="C185" s="1720"/>
      <c r="D185" s="1721"/>
      <c r="E185" s="324" t="s">
        <v>624</v>
      </c>
      <c r="F185" s="326"/>
      <c r="G185" s="325">
        <v>1071399</v>
      </c>
      <c r="H185" s="325">
        <v>1071399</v>
      </c>
      <c r="I185" s="325">
        <v>1156423</v>
      </c>
      <c r="J185" s="888">
        <v>1156422.8899999999</v>
      </c>
      <c r="K185" s="738"/>
      <c r="L185" s="888">
        <v>1156422.8899999999</v>
      </c>
      <c r="N185" s="887" t="s">
        <v>624</v>
      </c>
      <c r="O185" s="888">
        <v>1156422.8899999999</v>
      </c>
    </row>
    <row r="186" spans="1:15">
      <c r="A186" s="1720"/>
      <c r="B186" s="1720"/>
      <c r="C186" s="1721"/>
      <c r="D186" s="1725" t="s">
        <v>611</v>
      </c>
      <c r="E186" s="1726"/>
      <c r="F186" s="326"/>
      <c r="G186" s="325">
        <v>1071399</v>
      </c>
      <c r="H186" s="325">
        <v>1071399</v>
      </c>
      <c r="I186" s="325">
        <v>1156423</v>
      </c>
      <c r="J186" s="888">
        <v>1156422.8899999999</v>
      </c>
      <c r="K186" s="738"/>
      <c r="L186" s="888">
        <v>1156422.8899999999</v>
      </c>
      <c r="N186" s="891"/>
      <c r="O186" s="888">
        <v>1156422.8899999999</v>
      </c>
    </row>
    <row r="187" spans="1:15">
      <c r="A187" s="1720"/>
      <c r="B187" s="1721"/>
      <c r="C187" s="1725" t="s">
        <v>348</v>
      </c>
      <c r="D187" s="1727"/>
      <c r="E187" s="1726"/>
      <c r="F187" s="326"/>
      <c r="G187" s="325">
        <v>1071399</v>
      </c>
      <c r="H187" s="325">
        <v>1071399</v>
      </c>
      <c r="I187" s="325">
        <v>1156423</v>
      </c>
      <c r="J187" s="888">
        <v>1156422.8899999999</v>
      </c>
      <c r="K187" s="738"/>
      <c r="L187" s="888">
        <v>1156422.8899999999</v>
      </c>
      <c r="N187" s="891"/>
      <c r="O187" s="888">
        <v>1156422.8899999999</v>
      </c>
    </row>
    <row r="188" spans="1:15">
      <c r="A188" s="1721"/>
      <c r="B188" s="1725" t="s">
        <v>359</v>
      </c>
      <c r="C188" s="1727"/>
      <c r="D188" s="1727"/>
      <c r="E188" s="1726"/>
      <c r="F188" s="325">
        <v>29848</v>
      </c>
      <c r="G188" s="325">
        <v>1631465.41</v>
      </c>
      <c r="H188" s="325">
        <v>1631465.41</v>
      </c>
      <c r="I188" s="325">
        <v>3332220.72</v>
      </c>
      <c r="J188" s="888">
        <v>3595560.01</v>
      </c>
      <c r="K188" s="738"/>
      <c r="L188" s="888">
        <v>3595560.01</v>
      </c>
      <c r="N188" s="891"/>
      <c r="O188" s="888">
        <v>3595560.01</v>
      </c>
    </row>
    <row r="189" spans="1:15">
      <c r="A189" s="1719" t="s">
        <v>360</v>
      </c>
      <c r="B189" s="1719" t="s">
        <v>345</v>
      </c>
      <c r="C189" s="1719" t="s">
        <v>346</v>
      </c>
      <c r="D189" s="1719" t="s">
        <v>627</v>
      </c>
      <c r="E189" s="321" t="s">
        <v>639</v>
      </c>
      <c r="F189" s="322">
        <v>320161.40999999997</v>
      </c>
      <c r="G189" s="322">
        <v>4000000</v>
      </c>
      <c r="H189" s="322">
        <v>4000000</v>
      </c>
      <c r="I189" s="323"/>
      <c r="J189" s="885"/>
      <c r="K189" s="737"/>
      <c r="L189" s="885"/>
      <c r="N189" s="883" t="s">
        <v>639</v>
      </c>
      <c r="O189" s="885"/>
    </row>
    <row r="190" spans="1:15">
      <c r="A190" s="1720"/>
      <c r="B190" s="1720"/>
      <c r="C190" s="1720"/>
      <c r="D190" s="1720"/>
      <c r="E190" s="883" t="s">
        <v>767</v>
      </c>
      <c r="F190" s="561"/>
      <c r="G190" s="561"/>
      <c r="H190" s="561"/>
      <c r="I190" s="562"/>
      <c r="J190" s="884">
        <v>35237.120000000003</v>
      </c>
      <c r="K190" s="739"/>
      <c r="L190" s="884">
        <v>35237.120000000003</v>
      </c>
      <c r="N190" s="883" t="s">
        <v>767</v>
      </c>
      <c r="O190" s="884">
        <v>35237.120000000003</v>
      </c>
    </row>
    <row r="191" spans="1:15">
      <c r="A191" s="1720"/>
      <c r="B191" s="1720"/>
      <c r="C191" s="1720"/>
      <c r="D191" s="1721"/>
      <c r="E191" s="324" t="s">
        <v>627</v>
      </c>
      <c r="F191" s="325">
        <v>320161.40999999997</v>
      </c>
      <c r="G191" s="325">
        <v>4000000</v>
      </c>
      <c r="H191" s="325">
        <v>4000000</v>
      </c>
      <c r="I191" s="326"/>
      <c r="J191" s="888">
        <v>35237.120000000003</v>
      </c>
      <c r="K191" s="738"/>
      <c r="L191" s="888">
        <v>35237.120000000003</v>
      </c>
      <c r="N191" s="887" t="s">
        <v>627</v>
      </c>
      <c r="O191" s="888">
        <v>35237.120000000003</v>
      </c>
    </row>
    <row r="192" spans="1:15">
      <c r="A192" s="1720"/>
      <c r="B192" s="1720"/>
      <c r="C192" s="1720"/>
      <c r="D192" s="1719" t="s">
        <v>635</v>
      </c>
      <c r="E192" s="321" t="s">
        <v>636</v>
      </c>
      <c r="F192" s="323"/>
      <c r="G192" s="322">
        <v>1518259.76</v>
      </c>
      <c r="H192" s="322">
        <v>1518259.76</v>
      </c>
      <c r="I192" s="322">
        <v>1413468.58</v>
      </c>
      <c r="J192" s="884">
        <v>1436870.02</v>
      </c>
      <c r="K192" s="737"/>
      <c r="L192" s="884">
        <v>1436870.02</v>
      </c>
      <c r="N192" s="883" t="s">
        <v>636</v>
      </c>
      <c r="O192" s="884">
        <v>1436870.02</v>
      </c>
    </row>
    <row r="193" spans="1:15">
      <c r="A193" s="1720"/>
      <c r="B193" s="1720"/>
      <c r="C193" s="1720"/>
      <c r="D193" s="1720"/>
      <c r="E193" s="321" t="s">
        <v>652</v>
      </c>
      <c r="F193" s="323"/>
      <c r="G193" s="322">
        <v>12676391.890000001</v>
      </c>
      <c r="H193" s="322">
        <v>12676391.890000001</v>
      </c>
      <c r="I193" s="322">
        <v>12550919</v>
      </c>
      <c r="J193" s="884">
        <v>12550919</v>
      </c>
      <c r="K193" s="737"/>
      <c r="L193" s="884">
        <v>12550919</v>
      </c>
      <c r="N193" s="883" t="s">
        <v>652</v>
      </c>
      <c r="O193" s="884">
        <v>12550919</v>
      </c>
    </row>
    <row r="194" spans="1:15">
      <c r="A194" s="1720"/>
      <c r="B194" s="1720"/>
      <c r="C194" s="1720"/>
      <c r="D194" s="1721"/>
      <c r="E194" s="324" t="s">
        <v>635</v>
      </c>
      <c r="F194" s="326"/>
      <c r="G194" s="325">
        <v>14194651.65</v>
      </c>
      <c r="H194" s="325">
        <v>14194651.65</v>
      </c>
      <c r="I194" s="325">
        <v>13964387.58</v>
      </c>
      <c r="J194" s="888">
        <v>13987789.02</v>
      </c>
      <c r="K194" s="738"/>
      <c r="L194" s="888">
        <v>13987789.02</v>
      </c>
      <c r="N194" s="887" t="s">
        <v>635</v>
      </c>
      <c r="O194" s="888">
        <v>13987789.02</v>
      </c>
    </row>
    <row r="195" spans="1:15">
      <c r="A195" s="1720"/>
      <c r="B195" s="1720"/>
      <c r="C195" s="1721"/>
      <c r="D195" s="1725" t="s">
        <v>346</v>
      </c>
      <c r="E195" s="1726"/>
      <c r="F195" s="325">
        <v>320161.40999999997</v>
      </c>
      <c r="G195" s="325">
        <v>18194651.649999999</v>
      </c>
      <c r="H195" s="325">
        <v>18194651.649999999</v>
      </c>
      <c r="I195" s="325">
        <v>13964387.58</v>
      </c>
      <c r="J195" s="888">
        <v>14023026.140000001</v>
      </c>
      <c r="K195" s="738"/>
      <c r="L195" s="888">
        <v>14023026.140000001</v>
      </c>
      <c r="N195" s="891"/>
      <c r="O195" s="888">
        <v>14023026.140000001</v>
      </c>
    </row>
    <row r="196" spans="1:15">
      <c r="A196" s="1720"/>
      <c r="B196" s="1721"/>
      <c r="C196" s="1725" t="s">
        <v>345</v>
      </c>
      <c r="D196" s="1727"/>
      <c r="E196" s="1726"/>
      <c r="F196" s="325">
        <v>320161.40999999997</v>
      </c>
      <c r="G196" s="325">
        <v>18194651.649999999</v>
      </c>
      <c r="H196" s="325">
        <v>18194651.649999999</v>
      </c>
      <c r="I196" s="325">
        <v>13964387.58</v>
      </c>
      <c r="J196" s="888">
        <v>14023026.140000001</v>
      </c>
      <c r="K196" s="738"/>
      <c r="L196" s="888">
        <v>14023026.140000001</v>
      </c>
      <c r="N196" s="891"/>
      <c r="O196" s="888">
        <v>14023026.140000001</v>
      </c>
    </row>
    <row r="197" spans="1:15">
      <c r="A197" s="1720"/>
      <c r="B197" s="1719" t="s">
        <v>348</v>
      </c>
      <c r="C197" s="1719" t="s">
        <v>611</v>
      </c>
      <c r="D197" s="1719" t="s">
        <v>645</v>
      </c>
      <c r="E197" s="321" t="s">
        <v>647</v>
      </c>
      <c r="F197" s="323"/>
      <c r="G197" s="322">
        <v>11333563</v>
      </c>
      <c r="H197" s="322">
        <v>11333563</v>
      </c>
      <c r="I197" s="322">
        <v>11801844</v>
      </c>
      <c r="J197" s="884">
        <v>11801844</v>
      </c>
      <c r="K197" s="737"/>
      <c r="L197" s="884">
        <v>11801844</v>
      </c>
      <c r="N197" s="883" t="s">
        <v>647</v>
      </c>
      <c r="O197" s="884">
        <v>11801844</v>
      </c>
    </row>
    <row r="198" spans="1:15">
      <c r="A198" s="1720"/>
      <c r="B198" s="1720"/>
      <c r="C198" s="1720"/>
      <c r="D198" s="1721"/>
      <c r="E198" s="324" t="s">
        <v>645</v>
      </c>
      <c r="F198" s="326"/>
      <c r="G198" s="325">
        <v>11333563</v>
      </c>
      <c r="H198" s="325">
        <v>11333563</v>
      </c>
      <c r="I198" s="325">
        <v>11801844</v>
      </c>
      <c r="J198" s="888">
        <v>11801844</v>
      </c>
      <c r="K198" s="738"/>
      <c r="L198" s="888">
        <v>11801844</v>
      </c>
      <c r="N198" s="887" t="s">
        <v>645</v>
      </c>
      <c r="O198" s="888">
        <v>11801844</v>
      </c>
    </row>
    <row r="199" spans="1:15">
      <c r="A199" s="1720"/>
      <c r="B199" s="1720"/>
      <c r="C199" s="1720"/>
      <c r="D199" s="1719" t="s">
        <v>624</v>
      </c>
      <c r="E199" s="321" t="s">
        <v>625</v>
      </c>
      <c r="F199" s="323"/>
      <c r="G199" s="322">
        <v>5267761</v>
      </c>
      <c r="H199" s="322">
        <v>5267761</v>
      </c>
      <c r="I199" s="322">
        <v>2061812</v>
      </c>
      <c r="J199" s="884">
        <v>2061811.44</v>
      </c>
      <c r="K199" s="737"/>
      <c r="L199" s="884">
        <v>2061811.44</v>
      </c>
      <c r="N199" s="883" t="s">
        <v>625</v>
      </c>
      <c r="O199" s="884">
        <v>2061811.44</v>
      </c>
    </row>
    <row r="200" spans="1:15">
      <c r="A200" s="1720"/>
      <c r="B200" s="1720"/>
      <c r="C200" s="1720"/>
      <c r="D200" s="1721"/>
      <c r="E200" s="324" t="s">
        <v>624</v>
      </c>
      <c r="F200" s="326"/>
      <c r="G200" s="325">
        <v>5267761</v>
      </c>
      <c r="H200" s="325">
        <v>5267761</v>
      </c>
      <c r="I200" s="325">
        <v>2061812</v>
      </c>
      <c r="J200" s="888">
        <v>2061811.44</v>
      </c>
      <c r="K200" s="738"/>
      <c r="L200" s="888">
        <v>2061811.44</v>
      </c>
      <c r="N200" s="887" t="s">
        <v>624</v>
      </c>
      <c r="O200" s="888">
        <v>2061811.44</v>
      </c>
    </row>
    <row r="201" spans="1:15">
      <c r="A201" s="1720"/>
      <c r="B201" s="1720"/>
      <c r="C201" s="1721"/>
      <c r="D201" s="1725" t="s">
        <v>611</v>
      </c>
      <c r="E201" s="1726"/>
      <c r="F201" s="326"/>
      <c r="G201" s="325">
        <v>16601324</v>
      </c>
      <c r="H201" s="325">
        <v>16601324</v>
      </c>
      <c r="I201" s="325">
        <v>13863656</v>
      </c>
      <c r="J201" s="888">
        <v>13863655.439999999</v>
      </c>
      <c r="K201" s="738"/>
      <c r="L201" s="888">
        <v>13863655.439999999</v>
      </c>
      <c r="N201" s="891"/>
      <c r="O201" s="888">
        <v>13863655.439999999</v>
      </c>
    </row>
    <row r="202" spans="1:15">
      <c r="A202" s="1720"/>
      <c r="B202" s="1721"/>
      <c r="C202" s="1725" t="s">
        <v>348</v>
      </c>
      <c r="D202" s="1727"/>
      <c r="E202" s="1726"/>
      <c r="F202" s="326"/>
      <c r="G202" s="325">
        <v>16601324</v>
      </c>
      <c r="H202" s="325">
        <v>16601324</v>
      </c>
      <c r="I202" s="325">
        <v>13863656</v>
      </c>
      <c r="J202" s="888">
        <v>13863655.439999999</v>
      </c>
      <c r="K202" s="738"/>
      <c r="L202" s="888">
        <v>13863655.439999999</v>
      </c>
      <c r="N202" s="891"/>
      <c r="O202" s="888">
        <v>13863655.439999999</v>
      </c>
    </row>
    <row r="203" spans="1:15">
      <c r="A203" s="1721"/>
      <c r="B203" s="1725" t="s">
        <v>360</v>
      </c>
      <c r="C203" s="1727"/>
      <c r="D203" s="1727"/>
      <c r="E203" s="1726"/>
      <c r="F203" s="325">
        <v>320161.40999999997</v>
      </c>
      <c r="G203" s="325">
        <v>34795975.649999999</v>
      </c>
      <c r="H203" s="325">
        <v>34795975.649999999</v>
      </c>
      <c r="I203" s="325">
        <v>27828043.579999998</v>
      </c>
      <c r="J203" s="888">
        <v>27886681.579999998</v>
      </c>
      <c r="K203" s="738"/>
      <c r="L203" s="888">
        <v>27886681.579999998</v>
      </c>
      <c r="N203" s="891"/>
      <c r="O203" s="888">
        <v>27886681.579999998</v>
      </c>
    </row>
    <row r="204" spans="1:15">
      <c r="A204" s="1719" t="s">
        <v>363</v>
      </c>
      <c r="B204" s="1719" t="s">
        <v>348</v>
      </c>
      <c r="C204" s="1719" t="s">
        <v>611</v>
      </c>
      <c r="D204" s="1719" t="s">
        <v>645</v>
      </c>
      <c r="E204" s="321" t="s">
        <v>648</v>
      </c>
      <c r="F204" s="323"/>
      <c r="G204" s="323"/>
      <c r="H204" s="323"/>
      <c r="I204" s="322">
        <v>19552625</v>
      </c>
      <c r="J204" s="884">
        <v>19552625</v>
      </c>
      <c r="K204" s="737"/>
      <c r="L204" s="884">
        <v>19552625</v>
      </c>
      <c r="N204" s="883" t="s">
        <v>648</v>
      </c>
      <c r="O204" s="884">
        <v>19552625</v>
      </c>
    </row>
    <row r="205" spans="1:15">
      <c r="A205" s="1720"/>
      <c r="B205" s="1720"/>
      <c r="C205" s="1720"/>
      <c r="D205" s="1721"/>
      <c r="E205" s="324" t="s">
        <v>645</v>
      </c>
      <c r="F205" s="326"/>
      <c r="G205" s="326"/>
      <c r="H205" s="326"/>
      <c r="I205" s="325">
        <v>19552625</v>
      </c>
      <c r="J205" s="888">
        <v>19552625</v>
      </c>
      <c r="K205" s="738"/>
      <c r="L205" s="888">
        <v>19552625</v>
      </c>
      <c r="N205" s="887" t="s">
        <v>645</v>
      </c>
      <c r="O205" s="888">
        <v>19552625</v>
      </c>
    </row>
    <row r="206" spans="1:15">
      <c r="A206" s="1720"/>
      <c r="B206" s="1720"/>
      <c r="C206" s="1721"/>
      <c r="D206" s="1725" t="s">
        <v>611</v>
      </c>
      <c r="E206" s="1726"/>
      <c r="F206" s="326"/>
      <c r="G206" s="326"/>
      <c r="H206" s="326"/>
      <c r="I206" s="325">
        <v>19552625</v>
      </c>
      <c r="J206" s="888">
        <v>19552625</v>
      </c>
      <c r="K206" s="738"/>
      <c r="L206" s="888">
        <v>19552625</v>
      </c>
      <c r="N206" s="891"/>
      <c r="O206" s="888">
        <v>19552625</v>
      </c>
    </row>
    <row r="207" spans="1:15">
      <c r="A207" s="1720"/>
      <c r="B207" s="1721"/>
      <c r="C207" s="1725" t="s">
        <v>348</v>
      </c>
      <c r="D207" s="1727"/>
      <c r="E207" s="1726"/>
      <c r="F207" s="326"/>
      <c r="G207" s="326"/>
      <c r="H207" s="326"/>
      <c r="I207" s="325">
        <v>19552625</v>
      </c>
      <c r="J207" s="888">
        <v>19552625</v>
      </c>
      <c r="K207" s="738"/>
      <c r="L207" s="888">
        <v>19552625</v>
      </c>
      <c r="N207" s="891"/>
      <c r="O207" s="888">
        <v>19552625</v>
      </c>
    </row>
    <row r="208" spans="1:15">
      <c r="A208" s="1720"/>
      <c r="B208" s="1719" t="s">
        <v>345</v>
      </c>
      <c r="C208" s="1719" t="s">
        <v>346</v>
      </c>
      <c r="D208" s="1719" t="s">
        <v>635</v>
      </c>
      <c r="E208" s="321" t="s">
        <v>653</v>
      </c>
      <c r="F208" s="323"/>
      <c r="G208" s="323"/>
      <c r="H208" s="323"/>
      <c r="I208" s="322">
        <v>20628133</v>
      </c>
      <c r="J208" s="884">
        <v>20628133</v>
      </c>
      <c r="K208" s="737"/>
      <c r="L208" s="884">
        <v>20628133</v>
      </c>
      <c r="N208" s="883" t="s">
        <v>653</v>
      </c>
      <c r="O208" s="884">
        <v>20628133</v>
      </c>
    </row>
    <row r="209" spans="1:15">
      <c r="A209" s="1720"/>
      <c r="B209" s="1720"/>
      <c r="C209" s="1720"/>
      <c r="D209" s="1721"/>
      <c r="E209" s="324" t="s">
        <v>635</v>
      </c>
      <c r="F209" s="326"/>
      <c r="G209" s="326"/>
      <c r="H209" s="326"/>
      <c r="I209" s="325">
        <v>20628133</v>
      </c>
      <c r="J209" s="888">
        <v>20628133</v>
      </c>
      <c r="K209" s="738"/>
      <c r="L209" s="888">
        <v>20628133</v>
      </c>
      <c r="N209" s="887" t="s">
        <v>635</v>
      </c>
      <c r="O209" s="888">
        <v>20628133</v>
      </c>
    </row>
    <row r="210" spans="1:15">
      <c r="A210" s="1720"/>
      <c r="B210" s="1720"/>
      <c r="C210" s="1721"/>
      <c r="D210" s="1725" t="s">
        <v>346</v>
      </c>
      <c r="E210" s="1726"/>
      <c r="F210" s="326"/>
      <c r="G210" s="326"/>
      <c r="H210" s="326"/>
      <c r="I210" s="325">
        <v>20628133</v>
      </c>
      <c r="J210" s="888">
        <v>20628133</v>
      </c>
      <c r="K210" s="738"/>
      <c r="L210" s="888">
        <v>20628133</v>
      </c>
      <c r="N210" s="891"/>
      <c r="O210" s="888">
        <v>20628133</v>
      </c>
    </row>
    <row r="211" spans="1:15">
      <c r="A211" s="1720"/>
      <c r="B211" s="1721"/>
      <c r="C211" s="1725" t="s">
        <v>345</v>
      </c>
      <c r="D211" s="1727"/>
      <c r="E211" s="1726"/>
      <c r="F211" s="326"/>
      <c r="G211" s="326"/>
      <c r="H211" s="326"/>
      <c r="I211" s="325">
        <v>20628133</v>
      </c>
      <c r="J211" s="888">
        <v>20628133</v>
      </c>
      <c r="K211" s="738"/>
      <c r="L211" s="888">
        <v>20628133</v>
      </c>
      <c r="N211" s="891"/>
      <c r="O211" s="888">
        <v>20628133</v>
      </c>
    </row>
    <row r="212" spans="1:15">
      <c r="A212" s="1721"/>
      <c r="B212" s="1725" t="s">
        <v>363</v>
      </c>
      <c r="C212" s="1727"/>
      <c r="D212" s="1727"/>
      <c r="E212" s="1726"/>
      <c r="F212" s="326"/>
      <c r="G212" s="326"/>
      <c r="H212" s="326"/>
      <c r="I212" s="325">
        <v>40180758</v>
      </c>
      <c r="J212" s="888">
        <v>40180758</v>
      </c>
      <c r="K212" s="738"/>
      <c r="L212" s="888">
        <v>40180758</v>
      </c>
      <c r="N212" s="891"/>
      <c r="O212" s="888">
        <v>40180758</v>
      </c>
    </row>
    <row r="213" spans="1:15">
      <c r="A213" s="1722" t="s">
        <v>361</v>
      </c>
      <c r="B213" s="1723"/>
      <c r="C213" s="1723"/>
      <c r="D213" s="1723"/>
      <c r="E213" s="1724"/>
      <c r="F213" s="327">
        <v>90914546.219999999</v>
      </c>
      <c r="G213" s="327">
        <v>363615173.17000002</v>
      </c>
      <c r="H213" s="327">
        <v>361730459.27999997</v>
      </c>
      <c r="I213" s="327">
        <v>446436606.5</v>
      </c>
      <c r="J213" s="886">
        <v>492324021.63</v>
      </c>
      <c r="K213" s="740">
        <v>-1029200</v>
      </c>
      <c r="L213" s="886">
        <v>492324021.63</v>
      </c>
      <c r="N213" s="892"/>
      <c r="O213" s="886">
        <v>492324021.63</v>
      </c>
    </row>
    <row r="214" spans="1:15" ht="25.5">
      <c r="A214" s="328">
        <v>41147</v>
      </c>
      <c r="B214" s="329" t="s">
        <v>362</v>
      </c>
      <c r="C214" s="330">
        <v>0.82428239999999997</v>
      </c>
      <c r="J214" s="881"/>
      <c r="L214" s="881"/>
      <c r="N214" s="881"/>
      <c r="O214" s="881"/>
    </row>
  </sheetData>
  <mergeCells count="149">
    <mergeCell ref="A4:E4"/>
    <mergeCell ref="A43:A59"/>
    <mergeCell ref="C43:C51"/>
    <mergeCell ref="D43:D47"/>
    <mergeCell ref="D48:D50"/>
    <mergeCell ref="D51:E51"/>
    <mergeCell ref="C52:E52"/>
    <mergeCell ref="B53:B58"/>
    <mergeCell ref="C53:C57"/>
    <mergeCell ref="D53:D56"/>
    <mergeCell ref="D57:E57"/>
    <mergeCell ref="C58:E58"/>
    <mergeCell ref="B43:B52"/>
    <mergeCell ref="A60:A85"/>
    <mergeCell ref="B60:B71"/>
    <mergeCell ref="C60:C63"/>
    <mergeCell ref="D60:D62"/>
    <mergeCell ref="D63:E63"/>
    <mergeCell ref="C64:C70"/>
    <mergeCell ref="D64:D67"/>
    <mergeCell ref="D68:D69"/>
    <mergeCell ref="D70:E70"/>
    <mergeCell ref="B85:E85"/>
    <mergeCell ref="D86:D90"/>
    <mergeCell ref="C71:E71"/>
    <mergeCell ref="B72:B84"/>
    <mergeCell ref="C72:C83"/>
    <mergeCell ref="D72:D77"/>
    <mergeCell ref="D78:D82"/>
    <mergeCell ref="D83:E83"/>
    <mergeCell ref="C84:E84"/>
    <mergeCell ref="B59:E59"/>
    <mergeCell ref="B104:E104"/>
    <mergeCell ref="A105:A125"/>
    <mergeCell ref="B105:B116"/>
    <mergeCell ref="C105:C115"/>
    <mergeCell ref="D105:D110"/>
    <mergeCell ref="D111:D114"/>
    <mergeCell ref="D115:E115"/>
    <mergeCell ref="C116:E116"/>
    <mergeCell ref="B117:B124"/>
    <mergeCell ref="C117:C123"/>
    <mergeCell ref="D117:D119"/>
    <mergeCell ref="D120:D122"/>
    <mergeCell ref="A86:A104"/>
    <mergeCell ref="D91:D94"/>
    <mergeCell ref="D95:E95"/>
    <mergeCell ref="C96:E96"/>
    <mergeCell ref="B97:B103"/>
    <mergeCell ref="C97:C102"/>
    <mergeCell ref="D97:D99"/>
    <mergeCell ref="D100:D101"/>
    <mergeCell ref="D102:E102"/>
    <mergeCell ref="C103:E103"/>
    <mergeCell ref="B86:B96"/>
    <mergeCell ref="C86:C95"/>
    <mergeCell ref="A140:A153"/>
    <mergeCell ref="B140:B147"/>
    <mergeCell ref="C140:C146"/>
    <mergeCell ref="D140:D143"/>
    <mergeCell ref="D144:D145"/>
    <mergeCell ref="D146:E146"/>
    <mergeCell ref="C147:E147"/>
    <mergeCell ref="D123:E123"/>
    <mergeCell ref="C124:E124"/>
    <mergeCell ref="B125:E125"/>
    <mergeCell ref="A126:A139"/>
    <mergeCell ref="B126:B133"/>
    <mergeCell ref="C126:C132"/>
    <mergeCell ref="D126:D129"/>
    <mergeCell ref="D130:D131"/>
    <mergeCell ref="D132:E132"/>
    <mergeCell ref="C133:E133"/>
    <mergeCell ref="B148:B152"/>
    <mergeCell ref="C148:C151"/>
    <mergeCell ref="B134:B138"/>
    <mergeCell ref="C134:C137"/>
    <mergeCell ref="D134:D136"/>
    <mergeCell ref="D148:D150"/>
    <mergeCell ref="D151:E151"/>
    <mergeCell ref="C152:E152"/>
    <mergeCell ref="B153:E153"/>
    <mergeCell ref="D154:D156"/>
    <mergeCell ref="D157:E157"/>
    <mergeCell ref="D137:E137"/>
    <mergeCell ref="C138:E138"/>
    <mergeCell ref="B139:E139"/>
    <mergeCell ref="B154:B158"/>
    <mergeCell ref="C154:C157"/>
    <mergeCell ref="C158:E158"/>
    <mergeCell ref="D162:E162"/>
    <mergeCell ref="C163:E163"/>
    <mergeCell ref="B164:E164"/>
    <mergeCell ref="A165:A174"/>
    <mergeCell ref="B165:B169"/>
    <mergeCell ref="C165:C168"/>
    <mergeCell ref="D165:D167"/>
    <mergeCell ref="D168:E168"/>
    <mergeCell ref="C169:E169"/>
    <mergeCell ref="B170:B173"/>
    <mergeCell ref="C170:C172"/>
    <mergeCell ref="D170:D171"/>
    <mergeCell ref="A154:A164"/>
    <mergeCell ref="B159:B163"/>
    <mergeCell ref="C159:C162"/>
    <mergeCell ref="D159:D161"/>
    <mergeCell ref="D172:E172"/>
    <mergeCell ref="C173:E173"/>
    <mergeCell ref="B174:E174"/>
    <mergeCell ref="A175:A188"/>
    <mergeCell ref="B175:B182"/>
    <mergeCell ref="C175:C181"/>
    <mergeCell ref="D175:D178"/>
    <mergeCell ref="D179:D180"/>
    <mergeCell ref="D181:E181"/>
    <mergeCell ref="C182:E182"/>
    <mergeCell ref="B197:B202"/>
    <mergeCell ref="C197:C201"/>
    <mergeCell ref="D197:D198"/>
    <mergeCell ref="B183:B187"/>
    <mergeCell ref="C183:C186"/>
    <mergeCell ref="D183:D185"/>
    <mergeCell ref="D186:E186"/>
    <mergeCell ref="C187:E187"/>
    <mergeCell ref="B188:E188"/>
    <mergeCell ref="A213:E213"/>
    <mergeCell ref="B208:B211"/>
    <mergeCell ref="C208:C210"/>
    <mergeCell ref="D208:D209"/>
    <mergeCell ref="D210:E210"/>
    <mergeCell ref="C211:E211"/>
    <mergeCell ref="B212:E212"/>
    <mergeCell ref="D199:D200"/>
    <mergeCell ref="D201:E201"/>
    <mergeCell ref="C202:E202"/>
    <mergeCell ref="B203:E203"/>
    <mergeCell ref="A204:A212"/>
    <mergeCell ref="B204:B207"/>
    <mergeCell ref="C204:C206"/>
    <mergeCell ref="D204:D205"/>
    <mergeCell ref="D206:E206"/>
    <mergeCell ref="C207:E207"/>
    <mergeCell ref="A189:A203"/>
    <mergeCell ref="B189:B196"/>
    <mergeCell ref="C189:C195"/>
    <mergeCell ref="D189:D191"/>
    <mergeCell ref="D192:D194"/>
    <mergeCell ref="D195:E195"/>
    <mergeCell ref="C196:E196"/>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BU93"/>
  <sheetViews>
    <sheetView workbookViewId="0">
      <selection activeCell="A4" sqref="A4:O5"/>
    </sheetView>
  </sheetViews>
  <sheetFormatPr defaultColWidth="9.140625" defaultRowHeight="12.75"/>
  <cols>
    <col min="1" max="1" width="5" style="318" customWidth="1"/>
    <col min="2" max="2" width="16.140625" style="318" customWidth="1"/>
    <col min="3" max="3" width="21.28515625" style="318" customWidth="1"/>
    <col min="4" max="73" width="12" style="318" customWidth="1"/>
    <col min="74" max="16384" width="9.140625" style="318"/>
  </cols>
  <sheetData>
    <row r="1" spans="1:73" ht="18">
      <c r="A1" s="317" t="s">
        <v>654</v>
      </c>
    </row>
    <row r="2" spans="1:73">
      <c r="B2" s="319"/>
    </row>
    <row r="3" spans="1:73">
      <c r="B3" s="319"/>
    </row>
    <row r="4" spans="1:73">
      <c r="A4" s="1736" t="s">
        <v>331</v>
      </c>
      <c r="B4" s="1737"/>
      <c r="C4" s="1738"/>
      <c r="D4" s="1733" t="s">
        <v>655</v>
      </c>
      <c r="E4" s="1734"/>
      <c r="F4" s="1735"/>
      <c r="G4" s="1733" t="s">
        <v>378</v>
      </c>
      <c r="H4" s="1734"/>
      <c r="I4" s="1735"/>
      <c r="J4" s="1733" t="s">
        <v>379</v>
      </c>
      <c r="K4" s="1734"/>
      <c r="L4" s="1735"/>
      <c r="M4" s="1733" t="s">
        <v>381</v>
      </c>
      <c r="N4" s="1734"/>
      <c r="O4" s="1735"/>
      <c r="P4" s="1733" t="s">
        <v>384</v>
      </c>
      <c r="Q4" s="1734"/>
      <c r="R4" s="1735"/>
      <c r="S4" s="1733" t="s">
        <v>386</v>
      </c>
      <c r="T4" s="1734"/>
      <c r="U4" s="1735"/>
      <c r="V4" s="1733" t="s">
        <v>388</v>
      </c>
      <c r="W4" s="1734"/>
      <c r="X4" s="1735"/>
      <c r="Y4" s="1733" t="s">
        <v>390</v>
      </c>
      <c r="Z4" s="1734"/>
      <c r="AA4" s="1735"/>
      <c r="AB4" s="1733" t="s">
        <v>392</v>
      </c>
      <c r="AC4" s="1734"/>
      <c r="AD4" s="1735"/>
      <c r="AE4" s="1733" t="s">
        <v>394</v>
      </c>
      <c r="AF4" s="1734"/>
      <c r="AG4" s="1735"/>
      <c r="AH4" s="1733" t="s">
        <v>396</v>
      </c>
      <c r="AI4" s="1734"/>
      <c r="AJ4" s="1735"/>
      <c r="AK4" s="1733" t="s">
        <v>395</v>
      </c>
      <c r="AL4" s="1734"/>
      <c r="AM4" s="1735"/>
      <c r="AN4" s="1733" t="s">
        <v>398</v>
      </c>
      <c r="AO4" s="1734"/>
      <c r="AP4" s="1735"/>
      <c r="AQ4" s="1733" t="s">
        <v>400</v>
      </c>
      <c r="AR4" s="1734"/>
      <c r="AS4" s="1735"/>
      <c r="AT4" s="1733" t="s">
        <v>656</v>
      </c>
      <c r="AU4" s="1734"/>
      <c r="AV4" s="1735"/>
      <c r="AW4" s="1733" t="s">
        <v>657</v>
      </c>
      <c r="AX4" s="1734"/>
      <c r="AY4" s="1735"/>
      <c r="AZ4" s="1733" t="s">
        <v>658</v>
      </c>
      <c r="BA4" s="1734"/>
      <c r="BB4" s="1735"/>
      <c r="BC4" s="1733" t="s">
        <v>659</v>
      </c>
      <c r="BD4" s="1734"/>
      <c r="BE4" s="1735"/>
      <c r="BF4" s="1733" t="s">
        <v>660</v>
      </c>
      <c r="BG4" s="1734"/>
      <c r="BH4" s="1735"/>
      <c r="BI4" s="1733" t="s">
        <v>661</v>
      </c>
      <c r="BJ4" s="1734"/>
      <c r="BK4" s="1735"/>
      <c r="BL4" s="1733" t="s">
        <v>662</v>
      </c>
      <c r="BM4" s="1734"/>
      <c r="BN4" s="1735"/>
      <c r="BO4" s="1733" t="s">
        <v>663</v>
      </c>
      <c r="BP4" s="1734"/>
      <c r="BQ4" s="1735"/>
      <c r="BR4" s="1733" t="s">
        <v>664</v>
      </c>
      <c r="BS4" s="1734"/>
      <c r="BT4" s="1735"/>
      <c r="BU4" s="1731" t="s">
        <v>361</v>
      </c>
    </row>
    <row r="5" spans="1:73" ht="52.5">
      <c r="A5" s="1739"/>
      <c r="B5" s="1740"/>
      <c r="C5" s="1741"/>
      <c r="D5" s="320" t="s">
        <v>665</v>
      </c>
      <c r="E5" s="320" t="s">
        <v>666</v>
      </c>
      <c r="F5" s="720" t="s">
        <v>655</v>
      </c>
      <c r="G5" s="320" t="s">
        <v>665</v>
      </c>
      <c r="H5" s="320" t="s">
        <v>666</v>
      </c>
      <c r="I5" s="720" t="s">
        <v>378</v>
      </c>
      <c r="J5" s="320" t="s">
        <v>665</v>
      </c>
      <c r="K5" s="320" t="s">
        <v>666</v>
      </c>
      <c r="L5" s="720" t="s">
        <v>379</v>
      </c>
      <c r="M5" s="320" t="s">
        <v>665</v>
      </c>
      <c r="N5" s="320" t="s">
        <v>666</v>
      </c>
      <c r="O5" s="720" t="s">
        <v>381</v>
      </c>
      <c r="P5" s="320" t="s">
        <v>665</v>
      </c>
      <c r="Q5" s="320" t="s">
        <v>666</v>
      </c>
      <c r="R5" s="720" t="s">
        <v>384</v>
      </c>
      <c r="S5" s="320" t="s">
        <v>665</v>
      </c>
      <c r="T5" s="320" t="s">
        <v>666</v>
      </c>
      <c r="U5" s="720" t="s">
        <v>386</v>
      </c>
      <c r="V5" s="320" t="s">
        <v>665</v>
      </c>
      <c r="W5" s="320" t="s">
        <v>666</v>
      </c>
      <c r="X5" s="720" t="s">
        <v>388</v>
      </c>
      <c r="Y5" s="320" t="s">
        <v>665</v>
      </c>
      <c r="Z5" s="320" t="s">
        <v>666</v>
      </c>
      <c r="AA5" s="720" t="s">
        <v>390</v>
      </c>
      <c r="AB5" s="320" t="s">
        <v>665</v>
      </c>
      <c r="AC5" s="320" t="s">
        <v>666</v>
      </c>
      <c r="AD5" s="720" t="s">
        <v>392</v>
      </c>
      <c r="AE5" s="320" t="s">
        <v>665</v>
      </c>
      <c r="AF5" s="320" t="s">
        <v>666</v>
      </c>
      <c r="AG5" s="720" t="s">
        <v>394</v>
      </c>
      <c r="AH5" s="320" t="s">
        <v>665</v>
      </c>
      <c r="AI5" s="320" t="s">
        <v>666</v>
      </c>
      <c r="AJ5" s="720" t="s">
        <v>396</v>
      </c>
      <c r="AK5" s="320" t="s">
        <v>665</v>
      </c>
      <c r="AL5" s="320" t="s">
        <v>666</v>
      </c>
      <c r="AM5" s="720" t="s">
        <v>395</v>
      </c>
      <c r="AN5" s="320" t="s">
        <v>665</v>
      </c>
      <c r="AO5" s="320" t="s">
        <v>666</v>
      </c>
      <c r="AP5" s="720" t="s">
        <v>398</v>
      </c>
      <c r="AQ5" s="320" t="s">
        <v>665</v>
      </c>
      <c r="AR5" s="320" t="s">
        <v>666</v>
      </c>
      <c r="AS5" s="720" t="s">
        <v>400</v>
      </c>
      <c r="AT5" s="320" t="s">
        <v>665</v>
      </c>
      <c r="AU5" s="320" t="s">
        <v>666</v>
      </c>
      <c r="AV5" s="720" t="s">
        <v>656</v>
      </c>
      <c r="AW5" s="320" t="s">
        <v>665</v>
      </c>
      <c r="AX5" s="320" t="s">
        <v>666</v>
      </c>
      <c r="AY5" s="720" t="s">
        <v>657</v>
      </c>
      <c r="AZ5" s="320" t="s">
        <v>665</v>
      </c>
      <c r="BA5" s="320" t="s">
        <v>666</v>
      </c>
      <c r="BB5" s="720" t="s">
        <v>658</v>
      </c>
      <c r="BC5" s="320" t="s">
        <v>665</v>
      </c>
      <c r="BD5" s="320" t="s">
        <v>666</v>
      </c>
      <c r="BE5" s="720" t="s">
        <v>659</v>
      </c>
      <c r="BF5" s="320" t="s">
        <v>665</v>
      </c>
      <c r="BG5" s="320" t="s">
        <v>666</v>
      </c>
      <c r="BH5" s="720" t="s">
        <v>660</v>
      </c>
      <c r="BI5" s="320" t="s">
        <v>665</v>
      </c>
      <c r="BJ5" s="320" t="s">
        <v>666</v>
      </c>
      <c r="BK5" s="720" t="s">
        <v>661</v>
      </c>
      <c r="BL5" s="320" t="s">
        <v>665</v>
      </c>
      <c r="BM5" s="320" t="s">
        <v>666</v>
      </c>
      <c r="BN5" s="720" t="s">
        <v>662</v>
      </c>
      <c r="BO5" s="320" t="s">
        <v>665</v>
      </c>
      <c r="BP5" s="320" t="s">
        <v>666</v>
      </c>
      <c r="BQ5" s="720" t="s">
        <v>663</v>
      </c>
      <c r="BR5" s="320" t="s">
        <v>665</v>
      </c>
      <c r="BS5" s="320" t="s">
        <v>666</v>
      </c>
      <c r="BT5" s="720" t="s">
        <v>664</v>
      </c>
      <c r="BU5" s="1732"/>
    </row>
    <row r="6" spans="1:73">
      <c r="A6" s="1719" t="s">
        <v>339</v>
      </c>
      <c r="B6" s="1719" t="s">
        <v>667</v>
      </c>
      <c r="C6" s="321" t="s">
        <v>340</v>
      </c>
      <c r="D6" s="322">
        <v>2280412.1</v>
      </c>
      <c r="E6" s="322">
        <v>2280412.1</v>
      </c>
      <c r="F6" s="325">
        <v>4560824.2</v>
      </c>
      <c r="G6" s="323"/>
      <c r="H6" s="323"/>
      <c r="I6" s="326"/>
      <c r="J6" s="323"/>
      <c r="K6" s="323"/>
      <c r="L6" s="326"/>
      <c r="M6" s="323"/>
      <c r="N6" s="323"/>
      <c r="O6" s="326"/>
      <c r="P6" s="323"/>
      <c r="Q6" s="323"/>
      <c r="R6" s="326"/>
      <c r="S6" s="323"/>
      <c r="T6" s="323"/>
      <c r="U6" s="326"/>
      <c r="V6" s="323"/>
      <c r="W6" s="323"/>
      <c r="X6" s="326"/>
      <c r="Y6" s="323"/>
      <c r="Z6" s="323"/>
      <c r="AA6" s="326"/>
      <c r="AB6" s="323"/>
      <c r="AC6" s="323"/>
      <c r="AD6" s="326"/>
      <c r="AE6" s="323"/>
      <c r="AF6" s="323"/>
      <c r="AG6" s="326"/>
      <c r="AH6" s="323"/>
      <c r="AI6" s="323"/>
      <c r="AJ6" s="326"/>
      <c r="AK6" s="323"/>
      <c r="AL6" s="323"/>
      <c r="AM6" s="326"/>
      <c r="AN6" s="323"/>
      <c r="AO6" s="323"/>
      <c r="AP6" s="326"/>
      <c r="AQ6" s="323"/>
      <c r="AR6" s="323"/>
      <c r="AS6" s="326"/>
      <c r="AT6" s="323"/>
      <c r="AU6" s="323"/>
      <c r="AV6" s="326"/>
      <c r="AW6" s="323"/>
      <c r="AX6" s="323"/>
      <c r="AY6" s="326"/>
      <c r="AZ6" s="323"/>
      <c r="BA6" s="323"/>
      <c r="BB6" s="326"/>
      <c r="BC6" s="323"/>
      <c r="BD6" s="323"/>
      <c r="BE6" s="326"/>
      <c r="BF6" s="323"/>
      <c r="BG6" s="323"/>
      <c r="BH6" s="326"/>
      <c r="BI6" s="323"/>
      <c r="BJ6" s="323"/>
      <c r="BK6" s="326"/>
      <c r="BL6" s="323"/>
      <c r="BM6" s="323"/>
      <c r="BN6" s="326"/>
      <c r="BO6" s="323"/>
      <c r="BP6" s="323"/>
      <c r="BQ6" s="326"/>
      <c r="BR6" s="323"/>
      <c r="BS6" s="323"/>
      <c r="BT6" s="326"/>
      <c r="BU6" s="327">
        <v>4560824.2</v>
      </c>
    </row>
    <row r="7" spans="1:73">
      <c r="A7" s="1720"/>
      <c r="B7" s="1720"/>
      <c r="C7" s="321" t="s">
        <v>341</v>
      </c>
      <c r="D7" s="322">
        <v>1002745.33</v>
      </c>
      <c r="E7" s="322">
        <v>1002745.33</v>
      </c>
      <c r="F7" s="325">
        <v>2005490.66</v>
      </c>
      <c r="G7" s="323"/>
      <c r="H7" s="323"/>
      <c r="I7" s="326"/>
      <c r="J7" s="323"/>
      <c r="K7" s="323"/>
      <c r="L7" s="326"/>
      <c r="M7" s="323"/>
      <c r="N7" s="323"/>
      <c r="O7" s="326"/>
      <c r="P7" s="323"/>
      <c r="Q7" s="323"/>
      <c r="R7" s="326"/>
      <c r="S7" s="323"/>
      <c r="T7" s="323"/>
      <c r="U7" s="326"/>
      <c r="V7" s="323"/>
      <c r="W7" s="323"/>
      <c r="X7" s="326"/>
      <c r="Y7" s="323"/>
      <c r="Z7" s="323"/>
      <c r="AA7" s="326"/>
      <c r="AB7" s="323"/>
      <c r="AC7" s="323"/>
      <c r="AD7" s="326"/>
      <c r="AE7" s="323"/>
      <c r="AF7" s="323"/>
      <c r="AG7" s="326"/>
      <c r="AH7" s="323"/>
      <c r="AI7" s="323"/>
      <c r="AJ7" s="326"/>
      <c r="AK7" s="323"/>
      <c r="AL7" s="323"/>
      <c r="AM7" s="326"/>
      <c r="AN7" s="323"/>
      <c r="AO7" s="323"/>
      <c r="AP7" s="326"/>
      <c r="AQ7" s="323"/>
      <c r="AR7" s="323"/>
      <c r="AS7" s="326"/>
      <c r="AT7" s="323"/>
      <c r="AU7" s="323"/>
      <c r="AV7" s="326"/>
      <c r="AW7" s="323"/>
      <c r="AX7" s="323"/>
      <c r="AY7" s="326"/>
      <c r="AZ7" s="323"/>
      <c r="BA7" s="323"/>
      <c r="BB7" s="326"/>
      <c r="BC7" s="323"/>
      <c r="BD7" s="323"/>
      <c r="BE7" s="326"/>
      <c r="BF7" s="323"/>
      <c r="BG7" s="323"/>
      <c r="BH7" s="326"/>
      <c r="BI7" s="323"/>
      <c r="BJ7" s="323"/>
      <c r="BK7" s="326"/>
      <c r="BL7" s="323"/>
      <c r="BM7" s="323"/>
      <c r="BN7" s="326"/>
      <c r="BO7" s="323"/>
      <c r="BP7" s="323"/>
      <c r="BQ7" s="326"/>
      <c r="BR7" s="323"/>
      <c r="BS7" s="323"/>
      <c r="BT7" s="326"/>
      <c r="BU7" s="327">
        <v>2005490.66</v>
      </c>
    </row>
    <row r="8" spans="1:73">
      <c r="A8" s="1720"/>
      <c r="B8" s="1720"/>
      <c r="C8" s="321" t="s">
        <v>342</v>
      </c>
      <c r="D8" s="322">
        <v>231781</v>
      </c>
      <c r="E8" s="322">
        <v>231781</v>
      </c>
      <c r="F8" s="325">
        <v>463562</v>
      </c>
      <c r="G8" s="323"/>
      <c r="H8" s="323"/>
      <c r="I8" s="326"/>
      <c r="J8" s="323"/>
      <c r="K8" s="323"/>
      <c r="L8" s="326"/>
      <c r="M8" s="323"/>
      <c r="N8" s="323"/>
      <c r="O8" s="326"/>
      <c r="P8" s="323"/>
      <c r="Q8" s="323"/>
      <c r="R8" s="326"/>
      <c r="S8" s="323"/>
      <c r="T8" s="323"/>
      <c r="U8" s="326"/>
      <c r="V8" s="323"/>
      <c r="W8" s="323"/>
      <c r="X8" s="326"/>
      <c r="Y8" s="323"/>
      <c r="Z8" s="323"/>
      <c r="AA8" s="326"/>
      <c r="AB8" s="323"/>
      <c r="AC8" s="323"/>
      <c r="AD8" s="326"/>
      <c r="AE8" s="323"/>
      <c r="AF8" s="323"/>
      <c r="AG8" s="326"/>
      <c r="AH8" s="323"/>
      <c r="AI8" s="323"/>
      <c r="AJ8" s="326"/>
      <c r="AK8" s="323"/>
      <c r="AL8" s="323"/>
      <c r="AM8" s="326"/>
      <c r="AN8" s="323"/>
      <c r="AO8" s="323"/>
      <c r="AP8" s="326"/>
      <c r="AQ8" s="323"/>
      <c r="AR8" s="323"/>
      <c r="AS8" s="326"/>
      <c r="AT8" s="323"/>
      <c r="AU8" s="323"/>
      <c r="AV8" s="326"/>
      <c r="AW8" s="323"/>
      <c r="AX8" s="323"/>
      <c r="AY8" s="326"/>
      <c r="AZ8" s="323"/>
      <c r="BA8" s="323"/>
      <c r="BB8" s="326"/>
      <c r="BC8" s="323"/>
      <c r="BD8" s="323"/>
      <c r="BE8" s="326"/>
      <c r="BF8" s="323"/>
      <c r="BG8" s="323"/>
      <c r="BH8" s="326"/>
      <c r="BI8" s="323"/>
      <c r="BJ8" s="323"/>
      <c r="BK8" s="326"/>
      <c r="BL8" s="323"/>
      <c r="BM8" s="323"/>
      <c r="BN8" s="326"/>
      <c r="BO8" s="323"/>
      <c r="BP8" s="323"/>
      <c r="BQ8" s="326"/>
      <c r="BR8" s="323"/>
      <c r="BS8" s="323"/>
      <c r="BT8" s="326"/>
      <c r="BU8" s="327">
        <v>463562</v>
      </c>
    </row>
    <row r="9" spans="1:73">
      <c r="A9" s="1720"/>
      <c r="B9" s="1720"/>
      <c r="C9" s="321" t="s">
        <v>343</v>
      </c>
      <c r="D9" s="322">
        <v>38788.449999999997</v>
      </c>
      <c r="E9" s="322">
        <v>38788.449999999997</v>
      </c>
      <c r="F9" s="325">
        <v>77576.899999999994</v>
      </c>
      <c r="G9" s="323"/>
      <c r="H9" s="323"/>
      <c r="I9" s="326"/>
      <c r="J9" s="323"/>
      <c r="K9" s="323"/>
      <c r="L9" s="326"/>
      <c r="M9" s="323"/>
      <c r="N9" s="323"/>
      <c r="O9" s="326"/>
      <c r="P9" s="323"/>
      <c r="Q9" s="323"/>
      <c r="R9" s="326"/>
      <c r="S9" s="323"/>
      <c r="T9" s="323"/>
      <c r="U9" s="326"/>
      <c r="V9" s="323"/>
      <c r="W9" s="323"/>
      <c r="X9" s="326"/>
      <c r="Y9" s="323"/>
      <c r="Z9" s="323"/>
      <c r="AA9" s="326"/>
      <c r="AB9" s="323"/>
      <c r="AC9" s="323"/>
      <c r="AD9" s="326"/>
      <c r="AE9" s="323"/>
      <c r="AF9" s="323"/>
      <c r="AG9" s="326"/>
      <c r="AH9" s="323"/>
      <c r="AI9" s="323"/>
      <c r="AJ9" s="326"/>
      <c r="AK9" s="323"/>
      <c r="AL9" s="323"/>
      <c r="AM9" s="326"/>
      <c r="AN9" s="323"/>
      <c r="AO9" s="323"/>
      <c r="AP9" s="326"/>
      <c r="AQ9" s="323"/>
      <c r="AR9" s="323"/>
      <c r="AS9" s="326"/>
      <c r="AT9" s="323"/>
      <c r="AU9" s="323"/>
      <c r="AV9" s="326"/>
      <c r="AW9" s="323"/>
      <c r="AX9" s="323"/>
      <c r="AY9" s="326"/>
      <c r="AZ9" s="323"/>
      <c r="BA9" s="323"/>
      <c r="BB9" s="326"/>
      <c r="BC9" s="323"/>
      <c r="BD9" s="323"/>
      <c r="BE9" s="326"/>
      <c r="BF9" s="323"/>
      <c r="BG9" s="323"/>
      <c r="BH9" s="326"/>
      <c r="BI9" s="323"/>
      <c r="BJ9" s="323"/>
      <c r="BK9" s="326"/>
      <c r="BL9" s="323"/>
      <c r="BM9" s="323"/>
      <c r="BN9" s="326"/>
      <c r="BO9" s="323"/>
      <c r="BP9" s="323"/>
      <c r="BQ9" s="326"/>
      <c r="BR9" s="323"/>
      <c r="BS9" s="323"/>
      <c r="BT9" s="326"/>
      <c r="BU9" s="327">
        <v>77576.899999999994</v>
      </c>
    </row>
    <row r="10" spans="1:73">
      <c r="A10" s="1720"/>
      <c r="B10" s="1721"/>
      <c r="C10" s="324" t="s">
        <v>667</v>
      </c>
      <c r="D10" s="325">
        <v>3553726.88</v>
      </c>
      <c r="E10" s="325">
        <v>3553726.88</v>
      </c>
      <c r="F10" s="325">
        <v>7107453.7599999998</v>
      </c>
      <c r="G10" s="326"/>
      <c r="H10" s="326"/>
      <c r="I10" s="326"/>
      <c r="J10" s="326"/>
      <c r="K10" s="326"/>
      <c r="L10" s="326"/>
      <c r="M10" s="326"/>
      <c r="N10" s="326"/>
      <c r="O10" s="326"/>
      <c r="P10" s="326"/>
      <c r="Q10" s="326"/>
      <c r="R10" s="326"/>
      <c r="S10" s="326"/>
      <c r="T10" s="326"/>
      <c r="U10" s="326"/>
      <c r="V10" s="326"/>
      <c r="W10" s="326"/>
      <c r="X10" s="326"/>
      <c r="Y10" s="326"/>
      <c r="Z10" s="326"/>
      <c r="AA10" s="326"/>
      <c r="AB10" s="326"/>
      <c r="AC10" s="326"/>
      <c r="AD10" s="326"/>
      <c r="AE10" s="326"/>
      <c r="AF10" s="326"/>
      <c r="AG10" s="326"/>
      <c r="AH10" s="326"/>
      <c r="AI10" s="326"/>
      <c r="AJ10" s="326"/>
      <c r="AK10" s="326"/>
      <c r="AL10" s="326"/>
      <c r="AM10" s="326"/>
      <c r="AN10" s="326"/>
      <c r="AO10" s="326"/>
      <c r="AP10" s="326"/>
      <c r="AQ10" s="326"/>
      <c r="AR10" s="326"/>
      <c r="AS10" s="326"/>
      <c r="AT10" s="326"/>
      <c r="AU10" s="326"/>
      <c r="AV10" s="326"/>
      <c r="AW10" s="326"/>
      <c r="AX10" s="326"/>
      <c r="AY10" s="326"/>
      <c r="AZ10" s="326"/>
      <c r="BA10" s="326"/>
      <c r="BB10" s="326"/>
      <c r="BC10" s="326"/>
      <c r="BD10" s="326"/>
      <c r="BE10" s="326"/>
      <c r="BF10" s="326"/>
      <c r="BG10" s="326"/>
      <c r="BH10" s="326"/>
      <c r="BI10" s="326"/>
      <c r="BJ10" s="326"/>
      <c r="BK10" s="326"/>
      <c r="BL10" s="326"/>
      <c r="BM10" s="326"/>
      <c r="BN10" s="326"/>
      <c r="BO10" s="326"/>
      <c r="BP10" s="326"/>
      <c r="BQ10" s="326"/>
      <c r="BR10" s="326"/>
      <c r="BS10" s="326"/>
      <c r="BT10" s="326"/>
      <c r="BU10" s="325">
        <v>7107453.7599999998</v>
      </c>
    </row>
    <row r="11" spans="1:73">
      <c r="A11" s="1720"/>
      <c r="B11" s="1719" t="s">
        <v>668</v>
      </c>
      <c r="C11" s="321" t="s">
        <v>340</v>
      </c>
      <c r="D11" s="322">
        <v>537354.47</v>
      </c>
      <c r="E11" s="322">
        <v>537354.47</v>
      </c>
      <c r="F11" s="325">
        <v>1074708.94</v>
      </c>
      <c r="G11" s="323"/>
      <c r="H11" s="323"/>
      <c r="I11" s="326"/>
      <c r="J11" s="323"/>
      <c r="K11" s="323"/>
      <c r="L11" s="326"/>
      <c r="M11" s="323"/>
      <c r="N11" s="323"/>
      <c r="O11" s="326"/>
      <c r="P11" s="323"/>
      <c r="Q11" s="323"/>
      <c r="R11" s="326"/>
      <c r="S11" s="323"/>
      <c r="T11" s="323"/>
      <c r="U11" s="326"/>
      <c r="V11" s="323"/>
      <c r="W11" s="323"/>
      <c r="X11" s="326"/>
      <c r="Y11" s="323"/>
      <c r="Z11" s="323"/>
      <c r="AA11" s="326"/>
      <c r="AB11" s="323"/>
      <c r="AC11" s="323"/>
      <c r="AD11" s="326"/>
      <c r="AE11" s="323"/>
      <c r="AF11" s="323"/>
      <c r="AG11" s="326"/>
      <c r="AH11" s="323"/>
      <c r="AI11" s="323"/>
      <c r="AJ11" s="326"/>
      <c r="AK11" s="323"/>
      <c r="AL11" s="323"/>
      <c r="AM11" s="326"/>
      <c r="AN11" s="323"/>
      <c r="AO11" s="323"/>
      <c r="AP11" s="326"/>
      <c r="AQ11" s="323"/>
      <c r="AR11" s="323"/>
      <c r="AS11" s="326"/>
      <c r="AT11" s="323"/>
      <c r="AU11" s="323"/>
      <c r="AV11" s="326"/>
      <c r="AW11" s="323"/>
      <c r="AX11" s="323"/>
      <c r="AY11" s="326"/>
      <c r="AZ11" s="323"/>
      <c r="BA11" s="323"/>
      <c r="BB11" s="326"/>
      <c r="BC11" s="323"/>
      <c r="BD11" s="323"/>
      <c r="BE11" s="326"/>
      <c r="BF11" s="323"/>
      <c r="BG11" s="323"/>
      <c r="BH11" s="326"/>
      <c r="BI11" s="323"/>
      <c r="BJ11" s="323"/>
      <c r="BK11" s="326"/>
      <c r="BL11" s="323"/>
      <c r="BM11" s="323"/>
      <c r="BN11" s="326"/>
      <c r="BO11" s="323"/>
      <c r="BP11" s="323"/>
      <c r="BQ11" s="326"/>
      <c r="BR11" s="323"/>
      <c r="BS11" s="323"/>
      <c r="BT11" s="326"/>
      <c r="BU11" s="327">
        <v>1074708.94</v>
      </c>
    </row>
    <row r="12" spans="1:73">
      <c r="A12" s="1720"/>
      <c r="B12" s="1720"/>
      <c r="C12" s="321" t="s">
        <v>341</v>
      </c>
      <c r="D12" s="322">
        <v>258686.56</v>
      </c>
      <c r="E12" s="322">
        <v>258686.56</v>
      </c>
      <c r="F12" s="325">
        <v>517373.12</v>
      </c>
      <c r="G12" s="323"/>
      <c r="H12" s="323"/>
      <c r="I12" s="326"/>
      <c r="J12" s="323"/>
      <c r="K12" s="323"/>
      <c r="L12" s="326"/>
      <c r="M12" s="323"/>
      <c r="N12" s="323"/>
      <c r="O12" s="326"/>
      <c r="P12" s="323"/>
      <c r="Q12" s="323"/>
      <c r="R12" s="326"/>
      <c r="S12" s="323"/>
      <c r="T12" s="323"/>
      <c r="U12" s="326"/>
      <c r="V12" s="323"/>
      <c r="W12" s="323"/>
      <c r="X12" s="326"/>
      <c r="Y12" s="323"/>
      <c r="Z12" s="323"/>
      <c r="AA12" s="326"/>
      <c r="AB12" s="323"/>
      <c r="AC12" s="323"/>
      <c r="AD12" s="326"/>
      <c r="AE12" s="323"/>
      <c r="AF12" s="323"/>
      <c r="AG12" s="326"/>
      <c r="AH12" s="323"/>
      <c r="AI12" s="323"/>
      <c r="AJ12" s="326"/>
      <c r="AK12" s="323"/>
      <c r="AL12" s="323"/>
      <c r="AM12" s="326"/>
      <c r="AN12" s="323"/>
      <c r="AO12" s="323"/>
      <c r="AP12" s="326"/>
      <c r="AQ12" s="323"/>
      <c r="AR12" s="323"/>
      <c r="AS12" s="326"/>
      <c r="AT12" s="323"/>
      <c r="AU12" s="323"/>
      <c r="AV12" s="326"/>
      <c r="AW12" s="323"/>
      <c r="AX12" s="323"/>
      <c r="AY12" s="326"/>
      <c r="AZ12" s="323"/>
      <c r="BA12" s="323"/>
      <c r="BB12" s="326"/>
      <c r="BC12" s="323"/>
      <c r="BD12" s="323"/>
      <c r="BE12" s="326"/>
      <c r="BF12" s="323"/>
      <c r="BG12" s="323"/>
      <c r="BH12" s="326"/>
      <c r="BI12" s="323"/>
      <c r="BJ12" s="323"/>
      <c r="BK12" s="326"/>
      <c r="BL12" s="323"/>
      <c r="BM12" s="323"/>
      <c r="BN12" s="326"/>
      <c r="BO12" s="323"/>
      <c r="BP12" s="323"/>
      <c r="BQ12" s="326"/>
      <c r="BR12" s="323"/>
      <c r="BS12" s="323"/>
      <c r="BT12" s="326"/>
      <c r="BU12" s="327">
        <v>517373.12</v>
      </c>
    </row>
    <row r="13" spans="1:73">
      <c r="A13" s="1720"/>
      <c r="B13" s="1720"/>
      <c r="C13" s="321" t="s">
        <v>342</v>
      </c>
      <c r="D13" s="322">
        <v>54625</v>
      </c>
      <c r="E13" s="322">
        <v>54625</v>
      </c>
      <c r="F13" s="325">
        <v>109250</v>
      </c>
      <c r="G13" s="323"/>
      <c r="H13" s="323"/>
      <c r="I13" s="326"/>
      <c r="J13" s="323"/>
      <c r="K13" s="323"/>
      <c r="L13" s="326"/>
      <c r="M13" s="323"/>
      <c r="N13" s="323"/>
      <c r="O13" s="326"/>
      <c r="P13" s="323"/>
      <c r="Q13" s="323"/>
      <c r="R13" s="326"/>
      <c r="S13" s="323"/>
      <c r="T13" s="323"/>
      <c r="U13" s="326"/>
      <c r="V13" s="323"/>
      <c r="W13" s="323"/>
      <c r="X13" s="326"/>
      <c r="Y13" s="323"/>
      <c r="Z13" s="323"/>
      <c r="AA13" s="326"/>
      <c r="AB13" s="323"/>
      <c r="AC13" s="323"/>
      <c r="AD13" s="326"/>
      <c r="AE13" s="323"/>
      <c r="AF13" s="323"/>
      <c r="AG13" s="326"/>
      <c r="AH13" s="323"/>
      <c r="AI13" s="323"/>
      <c r="AJ13" s="326"/>
      <c r="AK13" s="323"/>
      <c r="AL13" s="323"/>
      <c r="AM13" s="326"/>
      <c r="AN13" s="323"/>
      <c r="AO13" s="323"/>
      <c r="AP13" s="326"/>
      <c r="AQ13" s="323"/>
      <c r="AR13" s="323"/>
      <c r="AS13" s="326"/>
      <c r="AT13" s="323"/>
      <c r="AU13" s="323"/>
      <c r="AV13" s="326"/>
      <c r="AW13" s="323"/>
      <c r="AX13" s="323"/>
      <c r="AY13" s="326"/>
      <c r="AZ13" s="323"/>
      <c r="BA13" s="323"/>
      <c r="BB13" s="326"/>
      <c r="BC13" s="323"/>
      <c r="BD13" s="323"/>
      <c r="BE13" s="326"/>
      <c r="BF13" s="323"/>
      <c r="BG13" s="323"/>
      <c r="BH13" s="326"/>
      <c r="BI13" s="323"/>
      <c r="BJ13" s="323"/>
      <c r="BK13" s="326"/>
      <c r="BL13" s="323"/>
      <c r="BM13" s="323"/>
      <c r="BN13" s="326"/>
      <c r="BO13" s="323"/>
      <c r="BP13" s="323"/>
      <c r="BQ13" s="326"/>
      <c r="BR13" s="323"/>
      <c r="BS13" s="323"/>
      <c r="BT13" s="326"/>
      <c r="BU13" s="327">
        <v>109250</v>
      </c>
    </row>
    <row r="14" spans="1:73">
      <c r="A14" s="1720"/>
      <c r="B14" s="1720"/>
      <c r="C14" s="321" t="s">
        <v>343</v>
      </c>
      <c r="D14" s="322">
        <v>23234.71</v>
      </c>
      <c r="E14" s="322">
        <v>23234.71</v>
      </c>
      <c r="F14" s="325">
        <v>46469.42</v>
      </c>
      <c r="G14" s="323"/>
      <c r="H14" s="323"/>
      <c r="I14" s="326"/>
      <c r="J14" s="323"/>
      <c r="K14" s="323"/>
      <c r="L14" s="326"/>
      <c r="M14" s="323"/>
      <c r="N14" s="323"/>
      <c r="O14" s="326"/>
      <c r="P14" s="323"/>
      <c r="Q14" s="323"/>
      <c r="R14" s="326"/>
      <c r="S14" s="323"/>
      <c r="T14" s="323"/>
      <c r="U14" s="326"/>
      <c r="V14" s="323"/>
      <c r="W14" s="323"/>
      <c r="X14" s="326"/>
      <c r="Y14" s="323"/>
      <c r="Z14" s="323"/>
      <c r="AA14" s="326"/>
      <c r="AB14" s="323"/>
      <c r="AC14" s="323"/>
      <c r="AD14" s="326"/>
      <c r="AE14" s="323"/>
      <c r="AF14" s="323"/>
      <c r="AG14" s="326"/>
      <c r="AH14" s="323"/>
      <c r="AI14" s="323"/>
      <c r="AJ14" s="326"/>
      <c r="AK14" s="323"/>
      <c r="AL14" s="323"/>
      <c r="AM14" s="326"/>
      <c r="AN14" s="323"/>
      <c r="AO14" s="323"/>
      <c r="AP14" s="326"/>
      <c r="AQ14" s="323"/>
      <c r="AR14" s="323"/>
      <c r="AS14" s="326"/>
      <c r="AT14" s="323"/>
      <c r="AU14" s="323"/>
      <c r="AV14" s="326"/>
      <c r="AW14" s="323"/>
      <c r="AX14" s="323"/>
      <c r="AY14" s="326"/>
      <c r="AZ14" s="323"/>
      <c r="BA14" s="323"/>
      <c r="BB14" s="326"/>
      <c r="BC14" s="323"/>
      <c r="BD14" s="323"/>
      <c r="BE14" s="326"/>
      <c r="BF14" s="323"/>
      <c r="BG14" s="323"/>
      <c r="BH14" s="326"/>
      <c r="BI14" s="323"/>
      <c r="BJ14" s="323"/>
      <c r="BK14" s="326"/>
      <c r="BL14" s="323"/>
      <c r="BM14" s="323"/>
      <c r="BN14" s="326"/>
      <c r="BO14" s="323"/>
      <c r="BP14" s="323"/>
      <c r="BQ14" s="326"/>
      <c r="BR14" s="323"/>
      <c r="BS14" s="323"/>
      <c r="BT14" s="326"/>
      <c r="BU14" s="327">
        <v>46469.42</v>
      </c>
    </row>
    <row r="15" spans="1:73">
      <c r="A15" s="1720"/>
      <c r="B15" s="1721"/>
      <c r="C15" s="324" t="s">
        <v>668</v>
      </c>
      <c r="D15" s="325">
        <v>873900.74</v>
      </c>
      <c r="E15" s="325">
        <v>873900.74</v>
      </c>
      <c r="F15" s="325">
        <v>1747801.48</v>
      </c>
      <c r="G15" s="326"/>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5">
        <v>1747801.48</v>
      </c>
    </row>
    <row r="16" spans="1:73">
      <c r="A16" s="1720"/>
      <c r="B16" s="1719" t="s">
        <v>669</v>
      </c>
      <c r="C16" s="321" t="s">
        <v>340</v>
      </c>
      <c r="D16" s="322">
        <v>421196.65</v>
      </c>
      <c r="E16" s="322">
        <v>421196.65</v>
      </c>
      <c r="F16" s="325">
        <v>842393.3</v>
      </c>
      <c r="G16" s="323"/>
      <c r="H16" s="323"/>
      <c r="I16" s="326"/>
      <c r="J16" s="323"/>
      <c r="K16" s="323"/>
      <c r="L16" s="326"/>
      <c r="M16" s="323"/>
      <c r="N16" s="323"/>
      <c r="O16" s="326"/>
      <c r="P16" s="323"/>
      <c r="Q16" s="323"/>
      <c r="R16" s="326"/>
      <c r="S16" s="323"/>
      <c r="T16" s="323"/>
      <c r="U16" s="326"/>
      <c r="V16" s="323"/>
      <c r="W16" s="323"/>
      <c r="X16" s="326"/>
      <c r="Y16" s="323"/>
      <c r="Z16" s="323"/>
      <c r="AA16" s="326"/>
      <c r="AB16" s="323"/>
      <c r="AC16" s="323"/>
      <c r="AD16" s="326"/>
      <c r="AE16" s="323"/>
      <c r="AF16" s="323"/>
      <c r="AG16" s="326"/>
      <c r="AH16" s="323"/>
      <c r="AI16" s="323"/>
      <c r="AJ16" s="326"/>
      <c r="AK16" s="323"/>
      <c r="AL16" s="323"/>
      <c r="AM16" s="326"/>
      <c r="AN16" s="323"/>
      <c r="AO16" s="323"/>
      <c r="AP16" s="326"/>
      <c r="AQ16" s="323"/>
      <c r="AR16" s="323"/>
      <c r="AS16" s="326"/>
      <c r="AT16" s="323"/>
      <c r="AU16" s="323"/>
      <c r="AV16" s="326"/>
      <c r="AW16" s="323"/>
      <c r="AX16" s="323"/>
      <c r="AY16" s="326"/>
      <c r="AZ16" s="323"/>
      <c r="BA16" s="323"/>
      <c r="BB16" s="326"/>
      <c r="BC16" s="323"/>
      <c r="BD16" s="323"/>
      <c r="BE16" s="326"/>
      <c r="BF16" s="323"/>
      <c r="BG16" s="323"/>
      <c r="BH16" s="326"/>
      <c r="BI16" s="323"/>
      <c r="BJ16" s="323"/>
      <c r="BK16" s="326"/>
      <c r="BL16" s="323"/>
      <c r="BM16" s="323"/>
      <c r="BN16" s="326"/>
      <c r="BO16" s="323"/>
      <c r="BP16" s="323"/>
      <c r="BQ16" s="326"/>
      <c r="BR16" s="323"/>
      <c r="BS16" s="323"/>
      <c r="BT16" s="326"/>
      <c r="BU16" s="327">
        <v>842393.3</v>
      </c>
    </row>
    <row r="17" spans="1:73">
      <c r="A17" s="1720"/>
      <c r="B17" s="1720"/>
      <c r="C17" s="321" t="s">
        <v>341</v>
      </c>
      <c r="D17" s="322">
        <v>238171.83</v>
      </c>
      <c r="E17" s="322">
        <v>238171.83</v>
      </c>
      <c r="F17" s="325">
        <v>476343.66</v>
      </c>
      <c r="G17" s="323"/>
      <c r="H17" s="323"/>
      <c r="I17" s="326"/>
      <c r="J17" s="323"/>
      <c r="K17" s="323"/>
      <c r="L17" s="326"/>
      <c r="M17" s="323"/>
      <c r="N17" s="323"/>
      <c r="O17" s="326"/>
      <c r="P17" s="323"/>
      <c r="Q17" s="323"/>
      <c r="R17" s="326"/>
      <c r="S17" s="323"/>
      <c r="T17" s="323"/>
      <c r="U17" s="326"/>
      <c r="V17" s="323"/>
      <c r="W17" s="323"/>
      <c r="X17" s="326"/>
      <c r="Y17" s="323"/>
      <c r="Z17" s="323"/>
      <c r="AA17" s="326"/>
      <c r="AB17" s="323"/>
      <c r="AC17" s="323"/>
      <c r="AD17" s="326"/>
      <c r="AE17" s="323"/>
      <c r="AF17" s="323"/>
      <c r="AG17" s="326"/>
      <c r="AH17" s="323"/>
      <c r="AI17" s="323"/>
      <c r="AJ17" s="326"/>
      <c r="AK17" s="323"/>
      <c r="AL17" s="323"/>
      <c r="AM17" s="326"/>
      <c r="AN17" s="323"/>
      <c r="AO17" s="323"/>
      <c r="AP17" s="326"/>
      <c r="AQ17" s="323"/>
      <c r="AR17" s="323"/>
      <c r="AS17" s="326"/>
      <c r="AT17" s="323"/>
      <c r="AU17" s="323"/>
      <c r="AV17" s="326"/>
      <c r="AW17" s="323"/>
      <c r="AX17" s="323"/>
      <c r="AY17" s="326"/>
      <c r="AZ17" s="323"/>
      <c r="BA17" s="323"/>
      <c r="BB17" s="326"/>
      <c r="BC17" s="323"/>
      <c r="BD17" s="323"/>
      <c r="BE17" s="326"/>
      <c r="BF17" s="323"/>
      <c r="BG17" s="323"/>
      <c r="BH17" s="326"/>
      <c r="BI17" s="323"/>
      <c r="BJ17" s="323"/>
      <c r="BK17" s="326"/>
      <c r="BL17" s="323"/>
      <c r="BM17" s="323"/>
      <c r="BN17" s="326"/>
      <c r="BO17" s="323"/>
      <c r="BP17" s="323"/>
      <c r="BQ17" s="326"/>
      <c r="BR17" s="323"/>
      <c r="BS17" s="323"/>
      <c r="BT17" s="326"/>
      <c r="BU17" s="327">
        <v>476343.66</v>
      </c>
    </row>
    <row r="18" spans="1:73">
      <c r="A18" s="1720"/>
      <c r="B18" s="1720"/>
      <c r="C18" s="321" t="s">
        <v>342</v>
      </c>
      <c r="D18" s="322">
        <v>498619</v>
      </c>
      <c r="E18" s="322">
        <v>498619</v>
      </c>
      <c r="F18" s="325">
        <v>997238</v>
      </c>
      <c r="G18" s="323"/>
      <c r="H18" s="323"/>
      <c r="I18" s="326"/>
      <c r="J18" s="323"/>
      <c r="K18" s="323"/>
      <c r="L18" s="326"/>
      <c r="M18" s="323"/>
      <c r="N18" s="323"/>
      <c r="O18" s="326"/>
      <c r="P18" s="323"/>
      <c r="Q18" s="323"/>
      <c r="R18" s="326"/>
      <c r="S18" s="323"/>
      <c r="T18" s="323"/>
      <c r="U18" s="326"/>
      <c r="V18" s="323"/>
      <c r="W18" s="323"/>
      <c r="X18" s="326"/>
      <c r="Y18" s="323"/>
      <c r="Z18" s="323"/>
      <c r="AA18" s="326"/>
      <c r="AB18" s="323"/>
      <c r="AC18" s="323"/>
      <c r="AD18" s="326"/>
      <c r="AE18" s="323"/>
      <c r="AF18" s="323"/>
      <c r="AG18" s="326"/>
      <c r="AH18" s="323"/>
      <c r="AI18" s="323"/>
      <c r="AJ18" s="326"/>
      <c r="AK18" s="323"/>
      <c r="AL18" s="323"/>
      <c r="AM18" s="326"/>
      <c r="AN18" s="323"/>
      <c r="AO18" s="323"/>
      <c r="AP18" s="326"/>
      <c r="AQ18" s="323"/>
      <c r="AR18" s="323"/>
      <c r="AS18" s="326"/>
      <c r="AT18" s="323"/>
      <c r="AU18" s="323"/>
      <c r="AV18" s="326"/>
      <c r="AW18" s="323"/>
      <c r="AX18" s="323"/>
      <c r="AY18" s="326"/>
      <c r="AZ18" s="323"/>
      <c r="BA18" s="323"/>
      <c r="BB18" s="326"/>
      <c r="BC18" s="323"/>
      <c r="BD18" s="323"/>
      <c r="BE18" s="326"/>
      <c r="BF18" s="323"/>
      <c r="BG18" s="323"/>
      <c r="BH18" s="326"/>
      <c r="BI18" s="323"/>
      <c r="BJ18" s="323"/>
      <c r="BK18" s="326"/>
      <c r="BL18" s="323"/>
      <c r="BM18" s="323"/>
      <c r="BN18" s="326"/>
      <c r="BO18" s="323"/>
      <c r="BP18" s="323"/>
      <c r="BQ18" s="326"/>
      <c r="BR18" s="323"/>
      <c r="BS18" s="323"/>
      <c r="BT18" s="326"/>
      <c r="BU18" s="327">
        <v>997238</v>
      </c>
    </row>
    <row r="19" spans="1:73">
      <c r="A19" s="1720"/>
      <c r="B19" s="1720"/>
      <c r="C19" s="321" t="s">
        <v>343</v>
      </c>
      <c r="D19" s="322">
        <v>10687.68</v>
      </c>
      <c r="E19" s="322">
        <v>10687.68</v>
      </c>
      <c r="F19" s="325">
        <v>21375.360000000001</v>
      </c>
      <c r="G19" s="323"/>
      <c r="H19" s="323"/>
      <c r="I19" s="326"/>
      <c r="J19" s="323"/>
      <c r="K19" s="323"/>
      <c r="L19" s="326"/>
      <c r="M19" s="323"/>
      <c r="N19" s="323"/>
      <c r="O19" s="326"/>
      <c r="P19" s="323"/>
      <c r="Q19" s="323"/>
      <c r="R19" s="326"/>
      <c r="S19" s="323"/>
      <c r="T19" s="323"/>
      <c r="U19" s="326"/>
      <c r="V19" s="323"/>
      <c r="W19" s="323"/>
      <c r="X19" s="326"/>
      <c r="Y19" s="323"/>
      <c r="Z19" s="323"/>
      <c r="AA19" s="326"/>
      <c r="AB19" s="323"/>
      <c r="AC19" s="323"/>
      <c r="AD19" s="326"/>
      <c r="AE19" s="323"/>
      <c r="AF19" s="323"/>
      <c r="AG19" s="326"/>
      <c r="AH19" s="323"/>
      <c r="AI19" s="323"/>
      <c r="AJ19" s="326"/>
      <c r="AK19" s="323"/>
      <c r="AL19" s="323"/>
      <c r="AM19" s="326"/>
      <c r="AN19" s="323"/>
      <c r="AO19" s="323"/>
      <c r="AP19" s="326"/>
      <c r="AQ19" s="323"/>
      <c r="AR19" s="323"/>
      <c r="AS19" s="326"/>
      <c r="AT19" s="323"/>
      <c r="AU19" s="323"/>
      <c r="AV19" s="326"/>
      <c r="AW19" s="323"/>
      <c r="AX19" s="323"/>
      <c r="AY19" s="326"/>
      <c r="AZ19" s="323"/>
      <c r="BA19" s="323"/>
      <c r="BB19" s="326"/>
      <c r="BC19" s="323"/>
      <c r="BD19" s="323"/>
      <c r="BE19" s="326"/>
      <c r="BF19" s="323"/>
      <c r="BG19" s="323"/>
      <c r="BH19" s="326"/>
      <c r="BI19" s="323"/>
      <c r="BJ19" s="323"/>
      <c r="BK19" s="326"/>
      <c r="BL19" s="323"/>
      <c r="BM19" s="323"/>
      <c r="BN19" s="326"/>
      <c r="BO19" s="323"/>
      <c r="BP19" s="323"/>
      <c r="BQ19" s="326"/>
      <c r="BR19" s="323"/>
      <c r="BS19" s="323"/>
      <c r="BT19" s="326"/>
      <c r="BU19" s="327">
        <v>21375.360000000001</v>
      </c>
    </row>
    <row r="20" spans="1:73">
      <c r="A20" s="1720"/>
      <c r="B20" s="1721"/>
      <c r="C20" s="324" t="s">
        <v>669</v>
      </c>
      <c r="D20" s="325">
        <v>1168675.1599999999</v>
      </c>
      <c r="E20" s="325">
        <v>1168675.1599999999</v>
      </c>
      <c r="F20" s="325">
        <v>2337350.3199999998</v>
      </c>
      <c r="G20" s="326"/>
      <c r="H20" s="326"/>
      <c r="I20" s="326"/>
      <c r="J20" s="326"/>
      <c r="K20" s="326"/>
      <c r="L20" s="326"/>
      <c r="M20" s="326"/>
      <c r="N20" s="326"/>
      <c r="O20" s="326"/>
      <c r="P20" s="326"/>
      <c r="Q20" s="326"/>
      <c r="R20" s="326"/>
      <c r="S20" s="326"/>
      <c r="T20" s="326"/>
      <c r="U20" s="326"/>
      <c r="V20" s="326"/>
      <c r="W20" s="326"/>
      <c r="X20" s="326"/>
      <c r="Y20" s="326"/>
      <c r="Z20" s="326"/>
      <c r="AA20" s="326"/>
      <c r="AB20" s="326"/>
      <c r="AC20" s="326"/>
      <c r="AD20" s="326"/>
      <c r="AE20" s="326"/>
      <c r="AF20" s="326"/>
      <c r="AG20" s="326"/>
      <c r="AH20" s="326"/>
      <c r="AI20" s="326"/>
      <c r="AJ20" s="326"/>
      <c r="AK20" s="326"/>
      <c r="AL20" s="326"/>
      <c r="AM20" s="326"/>
      <c r="AN20" s="326"/>
      <c r="AO20" s="326"/>
      <c r="AP20" s="326"/>
      <c r="AQ20" s="326"/>
      <c r="AR20" s="326"/>
      <c r="AS20" s="326"/>
      <c r="AT20" s="326"/>
      <c r="AU20" s="326"/>
      <c r="AV20" s="326"/>
      <c r="AW20" s="326"/>
      <c r="AX20" s="326"/>
      <c r="AY20" s="326"/>
      <c r="AZ20" s="326"/>
      <c r="BA20" s="326"/>
      <c r="BB20" s="326"/>
      <c r="BC20" s="326"/>
      <c r="BD20" s="326"/>
      <c r="BE20" s="326"/>
      <c r="BF20" s="326"/>
      <c r="BG20" s="326"/>
      <c r="BH20" s="326"/>
      <c r="BI20" s="326"/>
      <c r="BJ20" s="326"/>
      <c r="BK20" s="326"/>
      <c r="BL20" s="326"/>
      <c r="BM20" s="326"/>
      <c r="BN20" s="326"/>
      <c r="BO20" s="326"/>
      <c r="BP20" s="326"/>
      <c r="BQ20" s="326"/>
      <c r="BR20" s="326"/>
      <c r="BS20" s="326"/>
      <c r="BT20" s="326"/>
      <c r="BU20" s="325">
        <v>2337350.3199999998</v>
      </c>
    </row>
    <row r="21" spans="1:73">
      <c r="A21" s="1720"/>
      <c r="B21" s="1719" t="s">
        <v>670</v>
      </c>
      <c r="C21" s="321" t="s">
        <v>340</v>
      </c>
      <c r="D21" s="322">
        <v>719989</v>
      </c>
      <c r="E21" s="322">
        <v>719989</v>
      </c>
      <c r="F21" s="325">
        <v>1439978</v>
      </c>
      <c r="G21" s="323"/>
      <c r="H21" s="323"/>
      <c r="I21" s="326"/>
      <c r="J21" s="323"/>
      <c r="K21" s="323"/>
      <c r="L21" s="326"/>
      <c r="M21" s="323"/>
      <c r="N21" s="323"/>
      <c r="O21" s="326"/>
      <c r="P21" s="323"/>
      <c r="Q21" s="323"/>
      <c r="R21" s="326"/>
      <c r="S21" s="323"/>
      <c r="T21" s="323"/>
      <c r="U21" s="326"/>
      <c r="V21" s="323"/>
      <c r="W21" s="323"/>
      <c r="X21" s="326"/>
      <c r="Y21" s="323"/>
      <c r="Z21" s="323"/>
      <c r="AA21" s="326"/>
      <c r="AB21" s="323"/>
      <c r="AC21" s="323"/>
      <c r="AD21" s="326"/>
      <c r="AE21" s="323"/>
      <c r="AF21" s="323"/>
      <c r="AG21" s="326"/>
      <c r="AH21" s="323"/>
      <c r="AI21" s="323"/>
      <c r="AJ21" s="326"/>
      <c r="AK21" s="323"/>
      <c r="AL21" s="323"/>
      <c r="AM21" s="326"/>
      <c r="AN21" s="323"/>
      <c r="AO21" s="323"/>
      <c r="AP21" s="326"/>
      <c r="AQ21" s="323"/>
      <c r="AR21" s="323"/>
      <c r="AS21" s="326"/>
      <c r="AT21" s="323"/>
      <c r="AU21" s="323"/>
      <c r="AV21" s="326"/>
      <c r="AW21" s="323"/>
      <c r="AX21" s="323"/>
      <c r="AY21" s="326"/>
      <c r="AZ21" s="323"/>
      <c r="BA21" s="323"/>
      <c r="BB21" s="326"/>
      <c r="BC21" s="323"/>
      <c r="BD21" s="323"/>
      <c r="BE21" s="326"/>
      <c r="BF21" s="323"/>
      <c r="BG21" s="323"/>
      <c r="BH21" s="326"/>
      <c r="BI21" s="323"/>
      <c r="BJ21" s="323"/>
      <c r="BK21" s="326"/>
      <c r="BL21" s="323"/>
      <c r="BM21" s="323"/>
      <c r="BN21" s="326"/>
      <c r="BO21" s="323"/>
      <c r="BP21" s="323"/>
      <c r="BQ21" s="326"/>
      <c r="BR21" s="323"/>
      <c r="BS21" s="323"/>
      <c r="BT21" s="326"/>
      <c r="BU21" s="327">
        <v>1439978</v>
      </c>
    </row>
    <row r="22" spans="1:73">
      <c r="A22" s="1720"/>
      <c r="B22" s="1720"/>
      <c r="C22" s="321" t="s">
        <v>341</v>
      </c>
      <c r="D22" s="322">
        <v>300712.14</v>
      </c>
      <c r="E22" s="322">
        <v>300712.14</v>
      </c>
      <c r="F22" s="325">
        <v>601424.28</v>
      </c>
      <c r="G22" s="323"/>
      <c r="H22" s="323"/>
      <c r="I22" s="326"/>
      <c r="J22" s="323"/>
      <c r="K22" s="323"/>
      <c r="L22" s="326"/>
      <c r="M22" s="323"/>
      <c r="N22" s="323"/>
      <c r="O22" s="326"/>
      <c r="P22" s="323"/>
      <c r="Q22" s="323"/>
      <c r="R22" s="326"/>
      <c r="S22" s="323"/>
      <c r="T22" s="323"/>
      <c r="U22" s="326"/>
      <c r="V22" s="323"/>
      <c r="W22" s="323"/>
      <c r="X22" s="326"/>
      <c r="Y22" s="323"/>
      <c r="Z22" s="323"/>
      <c r="AA22" s="326"/>
      <c r="AB22" s="323"/>
      <c r="AC22" s="323"/>
      <c r="AD22" s="326"/>
      <c r="AE22" s="323"/>
      <c r="AF22" s="323"/>
      <c r="AG22" s="326"/>
      <c r="AH22" s="323"/>
      <c r="AI22" s="323"/>
      <c r="AJ22" s="326"/>
      <c r="AK22" s="323"/>
      <c r="AL22" s="323"/>
      <c r="AM22" s="326"/>
      <c r="AN22" s="323"/>
      <c r="AO22" s="323"/>
      <c r="AP22" s="326"/>
      <c r="AQ22" s="323"/>
      <c r="AR22" s="323"/>
      <c r="AS22" s="326"/>
      <c r="AT22" s="323"/>
      <c r="AU22" s="323"/>
      <c r="AV22" s="326"/>
      <c r="AW22" s="323"/>
      <c r="AX22" s="323"/>
      <c r="AY22" s="326"/>
      <c r="AZ22" s="323"/>
      <c r="BA22" s="323"/>
      <c r="BB22" s="326"/>
      <c r="BC22" s="323"/>
      <c r="BD22" s="323"/>
      <c r="BE22" s="326"/>
      <c r="BF22" s="323"/>
      <c r="BG22" s="323"/>
      <c r="BH22" s="326"/>
      <c r="BI22" s="323"/>
      <c r="BJ22" s="323"/>
      <c r="BK22" s="326"/>
      <c r="BL22" s="323"/>
      <c r="BM22" s="323"/>
      <c r="BN22" s="326"/>
      <c r="BO22" s="323"/>
      <c r="BP22" s="323"/>
      <c r="BQ22" s="326"/>
      <c r="BR22" s="323"/>
      <c r="BS22" s="323"/>
      <c r="BT22" s="326"/>
      <c r="BU22" s="327">
        <v>601424.28</v>
      </c>
    </row>
    <row r="23" spans="1:73">
      <c r="A23" s="1720"/>
      <c r="B23" s="1720"/>
      <c r="C23" s="321" t="s">
        <v>342</v>
      </c>
      <c r="D23" s="322">
        <v>37300</v>
      </c>
      <c r="E23" s="322">
        <v>37300</v>
      </c>
      <c r="F23" s="325">
        <v>74600</v>
      </c>
      <c r="G23" s="323"/>
      <c r="H23" s="323"/>
      <c r="I23" s="326"/>
      <c r="J23" s="323"/>
      <c r="K23" s="323"/>
      <c r="L23" s="326"/>
      <c r="M23" s="323"/>
      <c r="N23" s="323"/>
      <c r="O23" s="326"/>
      <c r="P23" s="323"/>
      <c r="Q23" s="323"/>
      <c r="R23" s="326"/>
      <c r="S23" s="323"/>
      <c r="T23" s="323"/>
      <c r="U23" s="326"/>
      <c r="V23" s="323"/>
      <c r="W23" s="323"/>
      <c r="X23" s="326"/>
      <c r="Y23" s="323"/>
      <c r="Z23" s="323"/>
      <c r="AA23" s="326"/>
      <c r="AB23" s="323"/>
      <c r="AC23" s="323"/>
      <c r="AD23" s="326"/>
      <c r="AE23" s="323"/>
      <c r="AF23" s="323"/>
      <c r="AG23" s="326"/>
      <c r="AH23" s="323"/>
      <c r="AI23" s="323"/>
      <c r="AJ23" s="326"/>
      <c r="AK23" s="323"/>
      <c r="AL23" s="323"/>
      <c r="AM23" s="326"/>
      <c r="AN23" s="323"/>
      <c r="AO23" s="323"/>
      <c r="AP23" s="326"/>
      <c r="AQ23" s="323"/>
      <c r="AR23" s="323"/>
      <c r="AS23" s="326"/>
      <c r="AT23" s="323"/>
      <c r="AU23" s="323"/>
      <c r="AV23" s="326"/>
      <c r="AW23" s="323"/>
      <c r="AX23" s="323"/>
      <c r="AY23" s="326"/>
      <c r="AZ23" s="323"/>
      <c r="BA23" s="323"/>
      <c r="BB23" s="326"/>
      <c r="BC23" s="323"/>
      <c r="BD23" s="323"/>
      <c r="BE23" s="326"/>
      <c r="BF23" s="323"/>
      <c r="BG23" s="323"/>
      <c r="BH23" s="326"/>
      <c r="BI23" s="323"/>
      <c r="BJ23" s="323"/>
      <c r="BK23" s="326"/>
      <c r="BL23" s="323"/>
      <c r="BM23" s="323"/>
      <c r="BN23" s="326"/>
      <c r="BO23" s="323"/>
      <c r="BP23" s="323"/>
      <c r="BQ23" s="326"/>
      <c r="BR23" s="323"/>
      <c r="BS23" s="323"/>
      <c r="BT23" s="326"/>
      <c r="BU23" s="327">
        <v>74600</v>
      </c>
    </row>
    <row r="24" spans="1:73">
      <c r="A24" s="1720"/>
      <c r="B24" s="1720"/>
      <c r="C24" s="321" t="s">
        <v>343</v>
      </c>
      <c r="D24" s="322">
        <v>62445.84</v>
      </c>
      <c r="E24" s="322">
        <v>62445.84</v>
      </c>
      <c r="F24" s="325">
        <v>124891.68</v>
      </c>
      <c r="G24" s="323"/>
      <c r="H24" s="323"/>
      <c r="I24" s="326"/>
      <c r="J24" s="323"/>
      <c r="K24" s="323"/>
      <c r="L24" s="326"/>
      <c r="M24" s="323"/>
      <c r="N24" s="323"/>
      <c r="O24" s="326"/>
      <c r="P24" s="323"/>
      <c r="Q24" s="323"/>
      <c r="R24" s="326"/>
      <c r="S24" s="323"/>
      <c r="T24" s="323"/>
      <c r="U24" s="326"/>
      <c r="V24" s="323"/>
      <c r="W24" s="323"/>
      <c r="X24" s="326"/>
      <c r="Y24" s="323"/>
      <c r="Z24" s="323"/>
      <c r="AA24" s="326"/>
      <c r="AB24" s="323"/>
      <c r="AC24" s="323"/>
      <c r="AD24" s="326"/>
      <c r="AE24" s="323"/>
      <c r="AF24" s="323"/>
      <c r="AG24" s="326"/>
      <c r="AH24" s="323"/>
      <c r="AI24" s="323"/>
      <c r="AJ24" s="326"/>
      <c r="AK24" s="323"/>
      <c r="AL24" s="323"/>
      <c r="AM24" s="326"/>
      <c r="AN24" s="323"/>
      <c r="AO24" s="323"/>
      <c r="AP24" s="326"/>
      <c r="AQ24" s="323"/>
      <c r="AR24" s="323"/>
      <c r="AS24" s="326"/>
      <c r="AT24" s="323"/>
      <c r="AU24" s="323"/>
      <c r="AV24" s="326"/>
      <c r="AW24" s="323"/>
      <c r="AX24" s="323"/>
      <c r="AY24" s="326"/>
      <c r="AZ24" s="323"/>
      <c r="BA24" s="323"/>
      <c r="BB24" s="326"/>
      <c r="BC24" s="323"/>
      <c r="BD24" s="323"/>
      <c r="BE24" s="326"/>
      <c r="BF24" s="323"/>
      <c r="BG24" s="323"/>
      <c r="BH24" s="326"/>
      <c r="BI24" s="323"/>
      <c r="BJ24" s="323"/>
      <c r="BK24" s="326"/>
      <c r="BL24" s="323"/>
      <c r="BM24" s="323"/>
      <c r="BN24" s="326"/>
      <c r="BO24" s="323"/>
      <c r="BP24" s="323"/>
      <c r="BQ24" s="326"/>
      <c r="BR24" s="323"/>
      <c r="BS24" s="323"/>
      <c r="BT24" s="326"/>
      <c r="BU24" s="327">
        <v>124891.68</v>
      </c>
    </row>
    <row r="25" spans="1:73">
      <c r="A25" s="1720"/>
      <c r="B25" s="1721"/>
      <c r="C25" s="324" t="s">
        <v>670</v>
      </c>
      <c r="D25" s="325">
        <v>1120446.98</v>
      </c>
      <c r="E25" s="325">
        <v>1120446.98</v>
      </c>
      <c r="F25" s="325">
        <v>2240893.96</v>
      </c>
      <c r="G25" s="326"/>
      <c r="H25" s="326"/>
      <c r="I25" s="326"/>
      <c r="J25" s="326"/>
      <c r="K25" s="326"/>
      <c r="L25" s="326"/>
      <c r="M25" s="326"/>
      <c r="N25" s="326"/>
      <c r="O25" s="326"/>
      <c r="P25" s="326"/>
      <c r="Q25" s="326"/>
      <c r="R25" s="326"/>
      <c r="S25" s="326"/>
      <c r="T25" s="326"/>
      <c r="U25" s="326"/>
      <c r="V25" s="326"/>
      <c r="W25" s="326"/>
      <c r="X25" s="326"/>
      <c r="Y25" s="326"/>
      <c r="Z25" s="326"/>
      <c r="AA25" s="326"/>
      <c r="AB25" s="326"/>
      <c r="AC25" s="326"/>
      <c r="AD25" s="326"/>
      <c r="AE25" s="326"/>
      <c r="AF25" s="326"/>
      <c r="AG25" s="326"/>
      <c r="AH25" s="326"/>
      <c r="AI25" s="326"/>
      <c r="AJ25" s="326"/>
      <c r="AK25" s="326"/>
      <c r="AL25" s="326"/>
      <c r="AM25" s="326"/>
      <c r="AN25" s="326"/>
      <c r="AO25" s="326"/>
      <c r="AP25" s="326"/>
      <c r="AQ25" s="326"/>
      <c r="AR25" s="326"/>
      <c r="AS25" s="326"/>
      <c r="AT25" s="326"/>
      <c r="AU25" s="326"/>
      <c r="AV25" s="326"/>
      <c r="AW25" s="326"/>
      <c r="AX25" s="326"/>
      <c r="AY25" s="326"/>
      <c r="AZ25" s="326"/>
      <c r="BA25" s="326"/>
      <c r="BB25" s="326"/>
      <c r="BC25" s="326"/>
      <c r="BD25" s="326"/>
      <c r="BE25" s="326"/>
      <c r="BF25" s="326"/>
      <c r="BG25" s="326"/>
      <c r="BH25" s="326"/>
      <c r="BI25" s="326"/>
      <c r="BJ25" s="326"/>
      <c r="BK25" s="326"/>
      <c r="BL25" s="326"/>
      <c r="BM25" s="326"/>
      <c r="BN25" s="326"/>
      <c r="BO25" s="326"/>
      <c r="BP25" s="326"/>
      <c r="BQ25" s="326"/>
      <c r="BR25" s="326"/>
      <c r="BS25" s="326"/>
      <c r="BT25" s="326"/>
      <c r="BU25" s="325">
        <v>2240893.96</v>
      </c>
    </row>
    <row r="26" spans="1:73">
      <c r="A26" s="1720"/>
      <c r="B26" s="1719" t="s">
        <v>671</v>
      </c>
      <c r="C26" s="321" t="s">
        <v>340</v>
      </c>
      <c r="D26" s="322">
        <v>3684136.98</v>
      </c>
      <c r="E26" s="322">
        <v>3573930.98</v>
      </c>
      <c r="F26" s="325">
        <v>7258067.96</v>
      </c>
      <c r="G26" s="322">
        <v>252276</v>
      </c>
      <c r="H26" s="322">
        <v>252276</v>
      </c>
      <c r="I26" s="325">
        <v>504552</v>
      </c>
      <c r="J26" s="322">
        <v>533222</v>
      </c>
      <c r="K26" s="322">
        <v>533222</v>
      </c>
      <c r="L26" s="325">
        <v>1066444</v>
      </c>
      <c r="M26" s="322">
        <v>322943.96999999997</v>
      </c>
      <c r="N26" s="322">
        <v>322943.96999999997</v>
      </c>
      <c r="O26" s="325">
        <v>645887.93999999994</v>
      </c>
      <c r="P26" s="323"/>
      <c r="Q26" s="323"/>
      <c r="R26" s="326"/>
      <c r="S26" s="323"/>
      <c r="T26" s="323"/>
      <c r="U26" s="326"/>
      <c r="V26" s="322">
        <v>3457970.89</v>
      </c>
      <c r="W26" s="322">
        <v>3457970.89</v>
      </c>
      <c r="X26" s="325">
        <v>6915941.7800000003</v>
      </c>
      <c r="Y26" s="323"/>
      <c r="Z26" s="323"/>
      <c r="AA26" s="326"/>
      <c r="AB26" s="323"/>
      <c r="AC26" s="323"/>
      <c r="AD26" s="326"/>
      <c r="AE26" s="323"/>
      <c r="AF26" s="323"/>
      <c r="AG26" s="326"/>
      <c r="AH26" s="323"/>
      <c r="AI26" s="323"/>
      <c r="AJ26" s="326"/>
      <c r="AK26" s="323"/>
      <c r="AL26" s="323"/>
      <c r="AM26" s="326"/>
      <c r="AN26" s="323"/>
      <c r="AO26" s="323"/>
      <c r="AP26" s="326"/>
      <c r="AQ26" s="323"/>
      <c r="AR26" s="323"/>
      <c r="AS26" s="326"/>
      <c r="AT26" s="323"/>
      <c r="AU26" s="323"/>
      <c r="AV26" s="326"/>
      <c r="AW26" s="323"/>
      <c r="AX26" s="323"/>
      <c r="AY26" s="326"/>
      <c r="AZ26" s="323"/>
      <c r="BA26" s="323"/>
      <c r="BB26" s="326"/>
      <c r="BC26" s="323"/>
      <c r="BD26" s="323"/>
      <c r="BE26" s="326"/>
      <c r="BF26" s="323"/>
      <c r="BG26" s="323"/>
      <c r="BH26" s="326"/>
      <c r="BI26" s="323"/>
      <c r="BJ26" s="323"/>
      <c r="BK26" s="326"/>
      <c r="BL26" s="323"/>
      <c r="BM26" s="323"/>
      <c r="BN26" s="326"/>
      <c r="BO26" s="323"/>
      <c r="BP26" s="323"/>
      <c r="BQ26" s="326"/>
      <c r="BR26" s="323"/>
      <c r="BS26" s="323"/>
      <c r="BT26" s="326"/>
      <c r="BU26" s="327">
        <v>16390893.68</v>
      </c>
    </row>
    <row r="27" spans="1:73">
      <c r="A27" s="1720"/>
      <c r="B27" s="1720"/>
      <c r="C27" s="321" t="s">
        <v>341</v>
      </c>
      <c r="D27" s="322">
        <v>2318732.09</v>
      </c>
      <c r="E27" s="322">
        <v>2318732.09</v>
      </c>
      <c r="F27" s="325">
        <v>4637464.18</v>
      </c>
      <c r="G27" s="322">
        <v>152871.69</v>
      </c>
      <c r="H27" s="322">
        <v>152871.69</v>
      </c>
      <c r="I27" s="325">
        <v>305743.38</v>
      </c>
      <c r="J27" s="322">
        <v>301173.42</v>
      </c>
      <c r="K27" s="322">
        <v>301173.42</v>
      </c>
      <c r="L27" s="325">
        <v>602346.84</v>
      </c>
      <c r="M27" s="322">
        <v>452078.08000000002</v>
      </c>
      <c r="N27" s="322">
        <v>452078.08000000002</v>
      </c>
      <c r="O27" s="325">
        <v>904156.16000000003</v>
      </c>
      <c r="P27" s="323"/>
      <c r="Q27" s="323"/>
      <c r="R27" s="326"/>
      <c r="S27" s="323"/>
      <c r="T27" s="323"/>
      <c r="U27" s="326"/>
      <c r="V27" s="322">
        <v>1976783.34</v>
      </c>
      <c r="W27" s="322">
        <v>1976783.34</v>
      </c>
      <c r="X27" s="325">
        <v>3953566.68</v>
      </c>
      <c r="Y27" s="323"/>
      <c r="Z27" s="323"/>
      <c r="AA27" s="326"/>
      <c r="AB27" s="323"/>
      <c r="AC27" s="323"/>
      <c r="AD27" s="326"/>
      <c r="AE27" s="323"/>
      <c r="AF27" s="323"/>
      <c r="AG27" s="326"/>
      <c r="AH27" s="323"/>
      <c r="AI27" s="323"/>
      <c r="AJ27" s="326"/>
      <c r="AK27" s="323"/>
      <c r="AL27" s="323"/>
      <c r="AM27" s="326"/>
      <c r="AN27" s="323"/>
      <c r="AO27" s="323"/>
      <c r="AP27" s="326"/>
      <c r="AQ27" s="323"/>
      <c r="AR27" s="323"/>
      <c r="AS27" s="326"/>
      <c r="AT27" s="323"/>
      <c r="AU27" s="323"/>
      <c r="AV27" s="326"/>
      <c r="AW27" s="323"/>
      <c r="AX27" s="323"/>
      <c r="AY27" s="326"/>
      <c r="AZ27" s="323"/>
      <c r="BA27" s="323"/>
      <c r="BB27" s="326"/>
      <c r="BC27" s="323"/>
      <c r="BD27" s="323"/>
      <c r="BE27" s="326"/>
      <c r="BF27" s="323"/>
      <c r="BG27" s="323"/>
      <c r="BH27" s="326"/>
      <c r="BI27" s="323"/>
      <c r="BJ27" s="323"/>
      <c r="BK27" s="326"/>
      <c r="BL27" s="323"/>
      <c r="BM27" s="323"/>
      <c r="BN27" s="326"/>
      <c r="BO27" s="323"/>
      <c r="BP27" s="323"/>
      <c r="BQ27" s="326"/>
      <c r="BR27" s="323"/>
      <c r="BS27" s="323"/>
      <c r="BT27" s="326"/>
      <c r="BU27" s="327">
        <v>10403277.24</v>
      </c>
    </row>
    <row r="28" spans="1:73">
      <c r="A28" s="1720"/>
      <c r="B28" s="1720"/>
      <c r="C28" s="321" t="s">
        <v>342</v>
      </c>
      <c r="D28" s="322">
        <v>844136</v>
      </c>
      <c r="E28" s="322">
        <v>844136</v>
      </c>
      <c r="F28" s="325">
        <v>1688272</v>
      </c>
      <c r="G28" s="322">
        <v>517894</v>
      </c>
      <c r="H28" s="322">
        <v>528894</v>
      </c>
      <c r="I28" s="325">
        <v>1046788</v>
      </c>
      <c r="J28" s="322">
        <v>902234</v>
      </c>
      <c r="K28" s="322">
        <v>941934</v>
      </c>
      <c r="L28" s="325">
        <v>1844168</v>
      </c>
      <c r="M28" s="322">
        <v>170866</v>
      </c>
      <c r="N28" s="322">
        <v>170866</v>
      </c>
      <c r="O28" s="325">
        <v>341732</v>
      </c>
      <c r="P28" s="323"/>
      <c r="Q28" s="323"/>
      <c r="R28" s="326"/>
      <c r="S28" s="322">
        <v>563410</v>
      </c>
      <c r="T28" s="322">
        <v>462890</v>
      </c>
      <c r="U28" s="325">
        <v>1026300</v>
      </c>
      <c r="V28" s="322">
        <v>448565</v>
      </c>
      <c r="W28" s="322">
        <v>448565</v>
      </c>
      <c r="X28" s="325">
        <v>897130</v>
      </c>
      <c r="Y28" s="322">
        <v>36800</v>
      </c>
      <c r="Z28" s="322">
        <v>36800</v>
      </c>
      <c r="AA28" s="325">
        <v>73600</v>
      </c>
      <c r="AB28" s="322">
        <v>62652</v>
      </c>
      <c r="AC28" s="322">
        <v>62652</v>
      </c>
      <c r="AD28" s="325">
        <v>125304</v>
      </c>
      <c r="AE28" s="323"/>
      <c r="AF28" s="323"/>
      <c r="AG28" s="326"/>
      <c r="AH28" s="323"/>
      <c r="AI28" s="323"/>
      <c r="AJ28" s="326"/>
      <c r="AK28" s="323"/>
      <c r="AL28" s="323"/>
      <c r="AM28" s="326"/>
      <c r="AN28" s="323"/>
      <c r="AO28" s="323"/>
      <c r="AP28" s="326"/>
      <c r="AQ28" s="323"/>
      <c r="AR28" s="323"/>
      <c r="AS28" s="326"/>
      <c r="AT28" s="323"/>
      <c r="AU28" s="323"/>
      <c r="AV28" s="326"/>
      <c r="AW28" s="323"/>
      <c r="AX28" s="323"/>
      <c r="AY28" s="326"/>
      <c r="AZ28" s="323"/>
      <c r="BA28" s="323"/>
      <c r="BB28" s="326"/>
      <c r="BC28" s="323"/>
      <c r="BD28" s="323"/>
      <c r="BE28" s="326"/>
      <c r="BF28" s="323"/>
      <c r="BG28" s="323"/>
      <c r="BH28" s="326"/>
      <c r="BI28" s="323"/>
      <c r="BJ28" s="323"/>
      <c r="BK28" s="326"/>
      <c r="BL28" s="323"/>
      <c r="BM28" s="323"/>
      <c r="BN28" s="326"/>
      <c r="BO28" s="323"/>
      <c r="BP28" s="323"/>
      <c r="BQ28" s="326"/>
      <c r="BR28" s="323"/>
      <c r="BS28" s="323"/>
      <c r="BT28" s="326"/>
      <c r="BU28" s="327">
        <v>7043294</v>
      </c>
    </row>
    <row r="29" spans="1:73">
      <c r="A29" s="1720"/>
      <c r="B29" s="1720"/>
      <c r="C29" s="321" t="s">
        <v>343</v>
      </c>
      <c r="D29" s="322">
        <v>581808.30000000005</v>
      </c>
      <c r="E29" s="322">
        <v>585516.30000000005</v>
      </c>
      <c r="F29" s="325">
        <v>1167324.6000000001</v>
      </c>
      <c r="G29" s="322">
        <v>187982.91</v>
      </c>
      <c r="H29" s="322">
        <v>343982.91</v>
      </c>
      <c r="I29" s="325">
        <v>531965.81999999995</v>
      </c>
      <c r="J29" s="322">
        <v>261543.15</v>
      </c>
      <c r="K29" s="322">
        <v>264343.15000000002</v>
      </c>
      <c r="L29" s="325">
        <v>525886.30000000005</v>
      </c>
      <c r="M29" s="322">
        <v>12307.95</v>
      </c>
      <c r="N29" s="322">
        <v>17439.95</v>
      </c>
      <c r="O29" s="325">
        <v>29747.9</v>
      </c>
      <c r="P29" s="323"/>
      <c r="Q29" s="323"/>
      <c r="R29" s="326"/>
      <c r="S29" s="322">
        <v>119445.91</v>
      </c>
      <c r="T29" s="322">
        <v>219445.91</v>
      </c>
      <c r="U29" s="325">
        <v>338891.82</v>
      </c>
      <c r="V29" s="322">
        <v>823936.49</v>
      </c>
      <c r="W29" s="322">
        <v>851091.49</v>
      </c>
      <c r="X29" s="325">
        <v>1675027.98</v>
      </c>
      <c r="Y29" s="322">
        <v>31501.53</v>
      </c>
      <c r="Z29" s="322">
        <v>31501.53</v>
      </c>
      <c r="AA29" s="325">
        <v>63003.06</v>
      </c>
      <c r="AB29" s="322">
        <v>6.83</v>
      </c>
      <c r="AC29" s="322">
        <v>6.83</v>
      </c>
      <c r="AD29" s="325">
        <v>13.66</v>
      </c>
      <c r="AE29" s="323"/>
      <c r="AF29" s="323"/>
      <c r="AG29" s="326"/>
      <c r="AH29" s="323"/>
      <c r="AI29" s="323"/>
      <c r="AJ29" s="326"/>
      <c r="AK29" s="323"/>
      <c r="AL29" s="323"/>
      <c r="AM29" s="326"/>
      <c r="AN29" s="323"/>
      <c r="AO29" s="323"/>
      <c r="AP29" s="326"/>
      <c r="AQ29" s="323"/>
      <c r="AR29" s="323"/>
      <c r="AS29" s="326"/>
      <c r="AT29" s="323"/>
      <c r="AU29" s="323"/>
      <c r="AV29" s="326"/>
      <c r="AW29" s="323"/>
      <c r="AX29" s="323"/>
      <c r="AY29" s="326"/>
      <c r="AZ29" s="323"/>
      <c r="BA29" s="323"/>
      <c r="BB29" s="326"/>
      <c r="BC29" s="323"/>
      <c r="BD29" s="323"/>
      <c r="BE29" s="326"/>
      <c r="BF29" s="323"/>
      <c r="BG29" s="323"/>
      <c r="BH29" s="326"/>
      <c r="BI29" s="323"/>
      <c r="BJ29" s="323"/>
      <c r="BK29" s="326"/>
      <c r="BL29" s="323"/>
      <c r="BM29" s="323"/>
      <c r="BN29" s="326"/>
      <c r="BO29" s="323"/>
      <c r="BP29" s="323"/>
      <c r="BQ29" s="326"/>
      <c r="BR29" s="323"/>
      <c r="BS29" s="323"/>
      <c r="BT29" s="326"/>
      <c r="BU29" s="327">
        <v>4331861.1399999997</v>
      </c>
    </row>
    <row r="30" spans="1:73">
      <c r="A30" s="1720"/>
      <c r="B30" s="1720"/>
      <c r="C30" s="321" t="s">
        <v>350</v>
      </c>
      <c r="D30" s="323"/>
      <c r="E30" s="323"/>
      <c r="F30" s="326"/>
      <c r="G30" s="323"/>
      <c r="H30" s="322">
        <v>105910</v>
      </c>
      <c r="I30" s="325">
        <v>105910</v>
      </c>
      <c r="J30" s="323"/>
      <c r="K30" s="323"/>
      <c r="L30" s="326"/>
      <c r="M30" s="323"/>
      <c r="N30" s="323"/>
      <c r="O30" s="326"/>
      <c r="P30" s="323"/>
      <c r="Q30" s="323"/>
      <c r="R30" s="326"/>
      <c r="S30" s="323"/>
      <c r="T30" s="323"/>
      <c r="U30" s="326"/>
      <c r="V30" s="323"/>
      <c r="W30" s="323"/>
      <c r="X30" s="326"/>
      <c r="Y30" s="323"/>
      <c r="Z30" s="323"/>
      <c r="AA30" s="326"/>
      <c r="AB30" s="323"/>
      <c r="AC30" s="323"/>
      <c r="AD30" s="326"/>
      <c r="AE30" s="323"/>
      <c r="AF30" s="323"/>
      <c r="AG30" s="326"/>
      <c r="AH30" s="323"/>
      <c r="AI30" s="323"/>
      <c r="AJ30" s="326"/>
      <c r="AK30" s="323"/>
      <c r="AL30" s="323"/>
      <c r="AM30" s="326"/>
      <c r="AN30" s="323"/>
      <c r="AO30" s="323"/>
      <c r="AP30" s="326"/>
      <c r="AQ30" s="323"/>
      <c r="AR30" s="323"/>
      <c r="AS30" s="326"/>
      <c r="AT30" s="323"/>
      <c r="AU30" s="323"/>
      <c r="AV30" s="326"/>
      <c r="AW30" s="323"/>
      <c r="AX30" s="323"/>
      <c r="AY30" s="326"/>
      <c r="AZ30" s="323"/>
      <c r="BA30" s="323"/>
      <c r="BB30" s="326"/>
      <c r="BC30" s="323"/>
      <c r="BD30" s="323"/>
      <c r="BE30" s="326"/>
      <c r="BF30" s="323"/>
      <c r="BG30" s="323"/>
      <c r="BH30" s="326"/>
      <c r="BI30" s="323"/>
      <c r="BJ30" s="323"/>
      <c r="BK30" s="326"/>
      <c r="BL30" s="323"/>
      <c r="BM30" s="323"/>
      <c r="BN30" s="326"/>
      <c r="BO30" s="323"/>
      <c r="BP30" s="323"/>
      <c r="BQ30" s="326"/>
      <c r="BR30" s="323"/>
      <c r="BS30" s="323"/>
      <c r="BT30" s="326"/>
      <c r="BU30" s="327">
        <v>105910</v>
      </c>
    </row>
    <row r="31" spans="1:73">
      <c r="A31" s="1720"/>
      <c r="B31" s="1720"/>
      <c r="C31" s="321" t="s">
        <v>382</v>
      </c>
      <c r="D31" s="323"/>
      <c r="E31" s="323"/>
      <c r="F31" s="326"/>
      <c r="G31" s="323"/>
      <c r="H31" s="323"/>
      <c r="I31" s="326"/>
      <c r="J31" s="323"/>
      <c r="K31" s="323"/>
      <c r="L31" s="326"/>
      <c r="M31" s="322">
        <v>10674472</v>
      </c>
      <c r="N31" s="322">
        <v>10674472</v>
      </c>
      <c r="O31" s="325">
        <v>21348944</v>
      </c>
      <c r="P31" s="323"/>
      <c r="Q31" s="323"/>
      <c r="R31" s="326"/>
      <c r="S31" s="323"/>
      <c r="T31" s="323"/>
      <c r="U31" s="326"/>
      <c r="V31" s="323"/>
      <c r="W31" s="323"/>
      <c r="X31" s="326"/>
      <c r="Y31" s="323"/>
      <c r="Z31" s="323"/>
      <c r="AA31" s="326"/>
      <c r="AB31" s="323"/>
      <c r="AC31" s="323"/>
      <c r="AD31" s="326"/>
      <c r="AE31" s="323"/>
      <c r="AF31" s="323"/>
      <c r="AG31" s="326"/>
      <c r="AH31" s="323"/>
      <c r="AI31" s="323"/>
      <c r="AJ31" s="326"/>
      <c r="AK31" s="323"/>
      <c r="AL31" s="323"/>
      <c r="AM31" s="326"/>
      <c r="AN31" s="323"/>
      <c r="AO31" s="323"/>
      <c r="AP31" s="326"/>
      <c r="AQ31" s="323"/>
      <c r="AR31" s="323"/>
      <c r="AS31" s="326"/>
      <c r="AT31" s="323"/>
      <c r="AU31" s="323"/>
      <c r="AV31" s="326"/>
      <c r="AW31" s="323"/>
      <c r="AX31" s="323"/>
      <c r="AY31" s="326"/>
      <c r="AZ31" s="323"/>
      <c r="BA31" s="323"/>
      <c r="BB31" s="326"/>
      <c r="BC31" s="323"/>
      <c r="BD31" s="323"/>
      <c r="BE31" s="326"/>
      <c r="BF31" s="323"/>
      <c r="BG31" s="323"/>
      <c r="BH31" s="326"/>
      <c r="BI31" s="323"/>
      <c r="BJ31" s="323"/>
      <c r="BK31" s="326"/>
      <c r="BL31" s="323"/>
      <c r="BM31" s="323"/>
      <c r="BN31" s="326"/>
      <c r="BO31" s="323"/>
      <c r="BP31" s="323"/>
      <c r="BQ31" s="326"/>
      <c r="BR31" s="323"/>
      <c r="BS31" s="323"/>
      <c r="BT31" s="326"/>
      <c r="BU31" s="327">
        <v>21348944</v>
      </c>
    </row>
    <row r="32" spans="1:73" ht="21">
      <c r="A32" s="1720"/>
      <c r="B32" s="1721"/>
      <c r="C32" s="324" t="s">
        <v>671</v>
      </c>
      <c r="D32" s="325">
        <v>7428813.3700000001</v>
      </c>
      <c r="E32" s="325">
        <v>7322315.3700000001</v>
      </c>
      <c r="F32" s="325">
        <v>14751128.74</v>
      </c>
      <c r="G32" s="325">
        <v>1111024.6000000001</v>
      </c>
      <c r="H32" s="325">
        <v>1383934.6</v>
      </c>
      <c r="I32" s="325">
        <v>2494959.2000000002</v>
      </c>
      <c r="J32" s="325">
        <v>1998172.57</v>
      </c>
      <c r="K32" s="325">
        <v>2040672.57</v>
      </c>
      <c r="L32" s="325">
        <v>4038845.14</v>
      </c>
      <c r="M32" s="325">
        <v>11632668</v>
      </c>
      <c r="N32" s="325">
        <v>11637800</v>
      </c>
      <c r="O32" s="325">
        <v>23270468</v>
      </c>
      <c r="P32" s="326"/>
      <c r="Q32" s="326"/>
      <c r="R32" s="326"/>
      <c r="S32" s="325">
        <v>682855.91</v>
      </c>
      <c r="T32" s="325">
        <v>682335.91</v>
      </c>
      <c r="U32" s="325">
        <v>1365191.82</v>
      </c>
      <c r="V32" s="325">
        <v>6707255.7199999997</v>
      </c>
      <c r="W32" s="325">
        <v>6734410.7199999997</v>
      </c>
      <c r="X32" s="325">
        <v>13441666.439999999</v>
      </c>
      <c r="Y32" s="325">
        <v>68301.53</v>
      </c>
      <c r="Z32" s="325">
        <v>68301.53</v>
      </c>
      <c r="AA32" s="325">
        <v>136603.06</v>
      </c>
      <c r="AB32" s="325">
        <v>62658.83</v>
      </c>
      <c r="AC32" s="325">
        <v>62658.83</v>
      </c>
      <c r="AD32" s="325">
        <v>125317.66</v>
      </c>
      <c r="AE32" s="326"/>
      <c r="AF32" s="326"/>
      <c r="AG32" s="326"/>
      <c r="AH32" s="326"/>
      <c r="AI32" s="326"/>
      <c r="AJ32" s="326"/>
      <c r="AK32" s="326"/>
      <c r="AL32" s="326"/>
      <c r="AM32" s="326"/>
      <c r="AN32" s="326"/>
      <c r="AO32" s="326"/>
      <c r="AP32" s="326"/>
      <c r="AQ32" s="326"/>
      <c r="AR32" s="326"/>
      <c r="AS32" s="326"/>
      <c r="AT32" s="326"/>
      <c r="AU32" s="326"/>
      <c r="AV32" s="326"/>
      <c r="AW32" s="326"/>
      <c r="AX32" s="326"/>
      <c r="AY32" s="326"/>
      <c r="AZ32" s="326"/>
      <c r="BA32" s="326"/>
      <c r="BB32" s="326"/>
      <c r="BC32" s="326"/>
      <c r="BD32" s="326"/>
      <c r="BE32" s="326"/>
      <c r="BF32" s="326"/>
      <c r="BG32" s="326"/>
      <c r="BH32" s="326"/>
      <c r="BI32" s="326"/>
      <c r="BJ32" s="326"/>
      <c r="BK32" s="326"/>
      <c r="BL32" s="326"/>
      <c r="BM32" s="326"/>
      <c r="BN32" s="326"/>
      <c r="BO32" s="326"/>
      <c r="BP32" s="326"/>
      <c r="BQ32" s="326"/>
      <c r="BR32" s="326"/>
      <c r="BS32" s="326"/>
      <c r="BT32" s="326"/>
      <c r="BU32" s="325">
        <v>59624180.060000002</v>
      </c>
    </row>
    <row r="33" spans="1:73">
      <c r="A33" s="1720"/>
      <c r="B33" s="1719" t="s">
        <v>672</v>
      </c>
      <c r="C33" s="321" t="s">
        <v>340</v>
      </c>
      <c r="D33" s="322">
        <v>3888235.72</v>
      </c>
      <c r="E33" s="322">
        <v>3891099.22</v>
      </c>
      <c r="F33" s="325">
        <v>7779334.9400000004</v>
      </c>
      <c r="G33" s="323"/>
      <c r="H33" s="323"/>
      <c r="I33" s="326"/>
      <c r="J33" s="323"/>
      <c r="K33" s="323"/>
      <c r="L33" s="326"/>
      <c r="M33" s="323"/>
      <c r="N33" s="323"/>
      <c r="O33" s="326"/>
      <c r="P33" s="323"/>
      <c r="Q33" s="323"/>
      <c r="R33" s="326"/>
      <c r="S33" s="323"/>
      <c r="T33" s="323"/>
      <c r="U33" s="326"/>
      <c r="V33" s="323"/>
      <c r="W33" s="323"/>
      <c r="X33" s="326"/>
      <c r="Y33" s="323"/>
      <c r="Z33" s="323"/>
      <c r="AA33" s="326"/>
      <c r="AB33" s="323"/>
      <c r="AC33" s="323"/>
      <c r="AD33" s="326"/>
      <c r="AE33" s="323"/>
      <c r="AF33" s="323"/>
      <c r="AG33" s="326"/>
      <c r="AH33" s="323"/>
      <c r="AI33" s="323"/>
      <c r="AJ33" s="326"/>
      <c r="AK33" s="323"/>
      <c r="AL33" s="323"/>
      <c r="AM33" s="326"/>
      <c r="AN33" s="323"/>
      <c r="AO33" s="323"/>
      <c r="AP33" s="326"/>
      <c r="AQ33" s="323"/>
      <c r="AR33" s="323"/>
      <c r="AS33" s="326"/>
      <c r="AT33" s="323"/>
      <c r="AU33" s="323"/>
      <c r="AV33" s="326"/>
      <c r="AW33" s="323"/>
      <c r="AX33" s="323"/>
      <c r="AY33" s="326"/>
      <c r="AZ33" s="323"/>
      <c r="BA33" s="323"/>
      <c r="BB33" s="326"/>
      <c r="BC33" s="323"/>
      <c r="BD33" s="323"/>
      <c r="BE33" s="326"/>
      <c r="BF33" s="323"/>
      <c r="BG33" s="323"/>
      <c r="BH33" s="326"/>
      <c r="BI33" s="323"/>
      <c r="BJ33" s="323"/>
      <c r="BK33" s="326"/>
      <c r="BL33" s="323"/>
      <c r="BM33" s="323"/>
      <c r="BN33" s="326"/>
      <c r="BO33" s="323"/>
      <c r="BP33" s="323"/>
      <c r="BQ33" s="326"/>
      <c r="BR33" s="323"/>
      <c r="BS33" s="323"/>
      <c r="BT33" s="326"/>
      <c r="BU33" s="327">
        <v>7779334.9400000004</v>
      </c>
    </row>
    <row r="34" spans="1:73">
      <c r="A34" s="1720"/>
      <c r="B34" s="1720"/>
      <c r="C34" s="321" t="s">
        <v>341</v>
      </c>
      <c r="D34" s="322">
        <v>2056606.72</v>
      </c>
      <c r="E34" s="322">
        <v>2056606.72</v>
      </c>
      <c r="F34" s="325">
        <v>4113213.4399999999</v>
      </c>
      <c r="G34" s="323"/>
      <c r="H34" s="323"/>
      <c r="I34" s="326"/>
      <c r="J34" s="323"/>
      <c r="K34" s="323"/>
      <c r="L34" s="326"/>
      <c r="M34" s="323"/>
      <c r="N34" s="323"/>
      <c r="O34" s="326"/>
      <c r="P34" s="323"/>
      <c r="Q34" s="323"/>
      <c r="R34" s="326"/>
      <c r="S34" s="323"/>
      <c r="T34" s="323"/>
      <c r="U34" s="326"/>
      <c r="V34" s="323"/>
      <c r="W34" s="323"/>
      <c r="X34" s="326"/>
      <c r="Y34" s="323"/>
      <c r="Z34" s="323"/>
      <c r="AA34" s="326"/>
      <c r="AB34" s="323"/>
      <c r="AC34" s="323"/>
      <c r="AD34" s="326"/>
      <c r="AE34" s="323"/>
      <c r="AF34" s="323"/>
      <c r="AG34" s="326"/>
      <c r="AH34" s="323"/>
      <c r="AI34" s="323"/>
      <c r="AJ34" s="326"/>
      <c r="AK34" s="323"/>
      <c r="AL34" s="323"/>
      <c r="AM34" s="326"/>
      <c r="AN34" s="323"/>
      <c r="AO34" s="323"/>
      <c r="AP34" s="326"/>
      <c r="AQ34" s="323"/>
      <c r="AR34" s="323"/>
      <c r="AS34" s="326"/>
      <c r="AT34" s="323"/>
      <c r="AU34" s="323"/>
      <c r="AV34" s="326"/>
      <c r="AW34" s="323"/>
      <c r="AX34" s="323"/>
      <c r="AY34" s="326"/>
      <c r="AZ34" s="323"/>
      <c r="BA34" s="323"/>
      <c r="BB34" s="326"/>
      <c r="BC34" s="323"/>
      <c r="BD34" s="323"/>
      <c r="BE34" s="326"/>
      <c r="BF34" s="323"/>
      <c r="BG34" s="323"/>
      <c r="BH34" s="326"/>
      <c r="BI34" s="323"/>
      <c r="BJ34" s="323"/>
      <c r="BK34" s="326"/>
      <c r="BL34" s="323"/>
      <c r="BM34" s="323"/>
      <c r="BN34" s="326"/>
      <c r="BO34" s="323"/>
      <c r="BP34" s="323"/>
      <c r="BQ34" s="326"/>
      <c r="BR34" s="323"/>
      <c r="BS34" s="323"/>
      <c r="BT34" s="326"/>
      <c r="BU34" s="327">
        <v>4113213.4399999999</v>
      </c>
    </row>
    <row r="35" spans="1:73">
      <c r="A35" s="1720"/>
      <c r="B35" s="1720"/>
      <c r="C35" s="321" t="s">
        <v>342</v>
      </c>
      <c r="D35" s="322">
        <v>1290805</v>
      </c>
      <c r="E35" s="322">
        <v>1290805</v>
      </c>
      <c r="F35" s="325">
        <v>2581610</v>
      </c>
      <c r="G35" s="323"/>
      <c r="H35" s="323"/>
      <c r="I35" s="326"/>
      <c r="J35" s="323"/>
      <c r="K35" s="323"/>
      <c r="L35" s="326"/>
      <c r="M35" s="323"/>
      <c r="N35" s="323"/>
      <c r="O35" s="326"/>
      <c r="P35" s="323"/>
      <c r="Q35" s="323"/>
      <c r="R35" s="326"/>
      <c r="S35" s="323"/>
      <c r="T35" s="323"/>
      <c r="U35" s="326"/>
      <c r="V35" s="323"/>
      <c r="W35" s="323"/>
      <c r="X35" s="326"/>
      <c r="Y35" s="323"/>
      <c r="Z35" s="323"/>
      <c r="AA35" s="326"/>
      <c r="AB35" s="323"/>
      <c r="AC35" s="323"/>
      <c r="AD35" s="326"/>
      <c r="AE35" s="323"/>
      <c r="AF35" s="323"/>
      <c r="AG35" s="326"/>
      <c r="AH35" s="323"/>
      <c r="AI35" s="323"/>
      <c r="AJ35" s="326"/>
      <c r="AK35" s="323"/>
      <c r="AL35" s="323"/>
      <c r="AM35" s="326"/>
      <c r="AN35" s="323"/>
      <c r="AO35" s="323"/>
      <c r="AP35" s="326"/>
      <c r="AQ35" s="323"/>
      <c r="AR35" s="323"/>
      <c r="AS35" s="326"/>
      <c r="AT35" s="323"/>
      <c r="AU35" s="323"/>
      <c r="AV35" s="326"/>
      <c r="AW35" s="323"/>
      <c r="AX35" s="323"/>
      <c r="AY35" s="326"/>
      <c r="AZ35" s="323"/>
      <c r="BA35" s="323"/>
      <c r="BB35" s="326"/>
      <c r="BC35" s="323"/>
      <c r="BD35" s="323"/>
      <c r="BE35" s="326"/>
      <c r="BF35" s="323"/>
      <c r="BG35" s="323"/>
      <c r="BH35" s="326"/>
      <c r="BI35" s="323"/>
      <c r="BJ35" s="323"/>
      <c r="BK35" s="326"/>
      <c r="BL35" s="323"/>
      <c r="BM35" s="323"/>
      <c r="BN35" s="326"/>
      <c r="BO35" s="323"/>
      <c r="BP35" s="323"/>
      <c r="BQ35" s="326"/>
      <c r="BR35" s="323"/>
      <c r="BS35" s="323"/>
      <c r="BT35" s="326"/>
      <c r="BU35" s="327">
        <v>2581610</v>
      </c>
    </row>
    <row r="36" spans="1:73">
      <c r="A36" s="1720"/>
      <c r="B36" s="1720"/>
      <c r="C36" s="321" t="s">
        <v>343</v>
      </c>
      <c r="D36" s="322">
        <v>86271.25</v>
      </c>
      <c r="E36" s="322">
        <v>86271.25</v>
      </c>
      <c r="F36" s="325">
        <v>172542.5</v>
      </c>
      <c r="G36" s="323"/>
      <c r="H36" s="323"/>
      <c r="I36" s="326"/>
      <c r="J36" s="323"/>
      <c r="K36" s="323"/>
      <c r="L36" s="326"/>
      <c r="M36" s="323"/>
      <c r="N36" s="323"/>
      <c r="O36" s="326"/>
      <c r="P36" s="323"/>
      <c r="Q36" s="323"/>
      <c r="R36" s="326"/>
      <c r="S36" s="323"/>
      <c r="T36" s="323"/>
      <c r="U36" s="326"/>
      <c r="V36" s="323"/>
      <c r="W36" s="323"/>
      <c r="X36" s="326"/>
      <c r="Y36" s="323"/>
      <c r="Z36" s="323"/>
      <c r="AA36" s="326"/>
      <c r="AB36" s="323"/>
      <c r="AC36" s="323"/>
      <c r="AD36" s="326"/>
      <c r="AE36" s="323"/>
      <c r="AF36" s="323"/>
      <c r="AG36" s="326"/>
      <c r="AH36" s="323"/>
      <c r="AI36" s="323"/>
      <c r="AJ36" s="326"/>
      <c r="AK36" s="323"/>
      <c r="AL36" s="323"/>
      <c r="AM36" s="326"/>
      <c r="AN36" s="323"/>
      <c r="AO36" s="323"/>
      <c r="AP36" s="326"/>
      <c r="AQ36" s="323"/>
      <c r="AR36" s="323"/>
      <c r="AS36" s="326"/>
      <c r="AT36" s="323"/>
      <c r="AU36" s="323"/>
      <c r="AV36" s="326"/>
      <c r="AW36" s="323"/>
      <c r="AX36" s="323"/>
      <c r="AY36" s="326"/>
      <c r="AZ36" s="323"/>
      <c r="BA36" s="323"/>
      <c r="BB36" s="326"/>
      <c r="BC36" s="323"/>
      <c r="BD36" s="323"/>
      <c r="BE36" s="326"/>
      <c r="BF36" s="323"/>
      <c r="BG36" s="323"/>
      <c r="BH36" s="326"/>
      <c r="BI36" s="323"/>
      <c r="BJ36" s="323"/>
      <c r="BK36" s="326"/>
      <c r="BL36" s="323"/>
      <c r="BM36" s="323"/>
      <c r="BN36" s="326"/>
      <c r="BO36" s="323"/>
      <c r="BP36" s="323"/>
      <c r="BQ36" s="326"/>
      <c r="BR36" s="323"/>
      <c r="BS36" s="323"/>
      <c r="BT36" s="326"/>
      <c r="BU36" s="327">
        <v>172542.5</v>
      </c>
    </row>
    <row r="37" spans="1:73">
      <c r="A37" s="1720"/>
      <c r="B37" s="1721"/>
      <c r="C37" s="324" t="s">
        <v>672</v>
      </c>
      <c r="D37" s="325">
        <v>7321918.6900000004</v>
      </c>
      <c r="E37" s="325">
        <v>7324782.1900000004</v>
      </c>
      <c r="F37" s="325">
        <v>14646700.880000001</v>
      </c>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c r="AF37" s="326"/>
      <c r="AG37" s="326"/>
      <c r="AH37" s="326"/>
      <c r="AI37" s="326"/>
      <c r="AJ37" s="326"/>
      <c r="AK37" s="326"/>
      <c r="AL37" s="326"/>
      <c r="AM37" s="326"/>
      <c r="AN37" s="326"/>
      <c r="AO37" s="326"/>
      <c r="AP37" s="326"/>
      <c r="AQ37" s="326"/>
      <c r="AR37" s="326"/>
      <c r="AS37" s="326"/>
      <c r="AT37" s="326"/>
      <c r="AU37" s="326"/>
      <c r="AV37" s="326"/>
      <c r="AW37" s="326"/>
      <c r="AX37" s="326"/>
      <c r="AY37" s="326"/>
      <c r="AZ37" s="326"/>
      <c r="BA37" s="326"/>
      <c r="BB37" s="326"/>
      <c r="BC37" s="326"/>
      <c r="BD37" s="326"/>
      <c r="BE37" s="326"/>
      <c r="BF37" s="326"/>
      <c r="BG37" s="326"/>
      <c r="BH37" s="326"/>
      <c r="BI37" s="326"/>
      <c r="BJ37" s="326"/>
      <c r="BK37" s="326"/>
      <c r="BL37" s="326"/>
      <c r="BM37" s="326"/>
      <c r="BN37" s="326"/>
      <c r="BO37" s="326"/>
      <c r="BP37" s="326"/>
      <c r="BQ37" s="326"/>
      <c r="BR37" s="326"/>
      <c r="BS37" s="326"/>
      <c r="BT37" s="326"/>
      <c r="BU37" s="325">
        <v>14646700.880000001</v>
      </c>
    </row>
    <row r="38" spans="1:73">
      <c r="A38" s="1720"/>
      <c r="B38" s="1719" t="s">
        <v>673</v>
      </c>
      <c r="C38" s="321" t="s">
        <v>340</v>
      </c>
      <c r="D38" s="322">
        <v>40493722.630000003</v>
      </c>
      <c r="E38" s="322">
        <v>40493722.630000003</v>
      </c>
      <c r="F38" s="325">
        <v>80987445.260000005</v>
      </c>
      <c r="G38" s="323"/>
      <c r="H38" s="323"/>
      <c r="I38" s="326"/>
      <c r="J38" s="323"/>
      <c r="K38" s="323"/>
      <c r="L38" s="326"/>
      <c r="M38" s="323"/>
      <c r="N38" s="323"/>
      <c r="O38" s="326"/>
      <c r="P38" s="323"/>
      <c r="Q38" s="323"/>
      <c r="R38" s="326"/>
      <c r="S38" s="323"/>
      <c r="T38" s="323"/>
      <c r="U38" s="326"/>
      <c r="V38" s="323"/>
      <c r="W38" s="323"/>
      <c r="X38" s="326"/>
      <c r="Y38" s="323"/>
      <c r="Z38" s="323"/>
      <c r="AA38" s="326"/>
      <c r="AB38" s="323"/>
      <c r="AC38" s="323"/>
      <c r="AD38" s="326"/>
      <c r="AE38" s="323"/>
      <c r="AF38" s="323"/>
      <c r="AG38" s="326"/>
      <c r="AH38" s="323"/>
      <c r="AI38" s="323"/>
      <c r="AJ38" s="326"/>
      <c r="AK38" s="323"/>
      <c r="AL38" s="323"/>
      <c r="AM38" s="326"/>
      <c r="AN38" s="323"/>
      <c r="AO38" s="323"/>
      <c r="AP38" s="326"/>
      <c r="AQ38" s="323"/>
      <c r="AR38" s="323"/>
      <c r="AS38" s="326"/>
      <c r="AT38" s="323"/>
      <c r="AU38" s="323"/>
      <c r="AV38" s="326"/>
      <c r="AW38" s="323"/>
      <c r="AX38" s="323"/>
      <c r="AY38" s="326"/>
      <c r="AZ38" s="323"/>
      <c r="BA38" s="323"/>
      <c r="BB38" s="326"/>
      <c r="BC38" s="323"/>
      <c r="BD38" s="323"/>
      <c r="BE38" s="326"/>
      <c r="BF38" s="323"/>
      <c r="BG38" s="323"/>
      <c r="BH38" s="326"/>
      <c r="BI38" s="323"/>
      <c r="BJ38" s="323"/>
      <c r="BK38" s="326"/>
      <c r="BL38" s="323"/>
      <c r="BM38" s="323"/>
      <c r="BN38" s="326"/>
      <c r="BO38" s="323"/>
      <c r="BP38" s="323"/>
      <c r="BQ38" s="326"/>
      <c r="BR38" s="323"/>
      <c r="BS38" s="323"/>
      <c r="BT38" s="326"/>
      <c r="BU38" s="327">
        <v>80987445.260000005</v>
      </c>
    </row>
    <row r="39" spans="1:73">
      <c r="A39" s="1720"/>
      <c r="B39" s="1720"/>
      <c r="C39" s="321" t="s">
        <v>341</v>
      </c>
      <c r="D39" s="322">
        <v>22331818.620000001</v>
      </c>
      <c r="E39" s="322">
        <v>22331818.620000001</v>
      </c>
      <c r="F39" s="325">
        <v>44663637.240000002</v>
      </c>
      <c r="G39" s="323"/>
      <c r="H39" s="323"/>
      <c r="I39" s="326"/>
      <c r="J39" s="323"/>
      <c r="K39" s="323"/>
      <c r="L39" s="326"/>
      <c r="M39" s="323"/>
      <c r="N39" s="323"/>
      <c r="O39" s="326"/>
      <c r="P39" s="323"/>
      <c r="Q39" s="323"/>
      <c r="R39" s="326"/>
      <c r="S39" s="323"/>
      <c r="T39" s="323"/>
      <c r="U39" s="326"/>
      <c r="V39" s="323"/>
      <c r="W39" s="323"/>
      <c r="X39" s="326"/>
      <c r="Y39" s="323"/>
      <c r="Z39" s="323"/>
      <c r="AA39" s="326"/>
      <c r="AB39" s="323"/>
      <c r="AC39" s="323"/>
      <c r="AD39" s="326"/>
      <c r="AE39" s="323"/>
      <c r="AF39" s="323"/>
      <c r="AG39" s="326"/>
      <c r="AH39" s="323"/>
      <c r="AI39" s="323"/>
      <c r="AJ39" s="326"/>
      <c r="AK39" s="323"/>
      <c r="AL39" s="323"/>
      <c r="AM39" s="326"/>
      <c r="AN39" s="323"/>
      <c r="AO39" s="323"/>
      <c r="AP39" s="326"/>
      <c r="AQ39" s="323"/>
      <c r="AR39" s="323"/>
      <c r="AS39" s="326"/>
      <c r="AT39" s="323"/>
      <c r="AU39" s="323"/>
      <c r="AV39" s="326"/>
      <c r="AW39" s="323"/>
      <c r="AX39" s="323"/>
      <c r="AY39" s="326"/>
      <c r="AZ39" s="323"/>
      <c r="BA39" s="323"/>
      <c r="BB39" s="326"/>
      <c r="BC39" s="323"/>
      <c r="BD39" s="323"/>
      <c r="BE39" s="326"/>
      <c r="BF39" s="323"/>
      <c r="BG39" s="323"/>
      <c r="BH39" s="326"/>
      <c r="BI39" s="323"/>
      <c r="BJ39" s="323"/>
      <c r="BK39" s="326"/>
      <c r="BL39" s="323"/>
      <c r="BM39" s="323"/>
      <c r="BN39" s="326"/>
      <c r="BO39" s="323"/>
      <c r="BP39" s="323"/>
      <c r="BQ39" s="326"/>
      <c r="BR39" s="323"/>
      <c r="BS39" s="323"/>
      <c r="BT39" s="326"/>
      <c r="BU39" s="327">
        <v>44663637.240000002</v>
      </c>
    </row>
    <row r="40" spans="1:73">
      <c r="A40" s="1720"/>
      <c r="B40" s="1720"/>
      <c r="C40" s="321" t="s">
        <v>342</v>
      </c>
      <c r="D40" s="322">
        <v>2869479</v>
      </c>
      <c r="E40" s="322">
        <v>2861479</v>
      </c>
      <c r="F40" s="325">
        <v>5730958</v>
      </c>
      <c r="G40" s="323"/>
      <c r="H40" s="323"/>
      <c r="I40" s="326"/>
      <c r="J40" s="323"/>
      <c r="K40" s="323"/>
      <c r="L40" s="326"/>
      <c r="M40" s="323"/>
      <c r="N40" s="323"/>
      <c r="O40" s="326"/>
      <c r="P40" s="323"/>
      <c r="Q40" s="323"/>
      <c r="R40" s="326"/>
      <c r="S40" s="323"/>
      <c r="T40" s="323"/>
      <c r="U40" s="326"/>
      <c r="V40" s="323"/>
      <c r="W40" s="323"/>
      <c r="X40" s="326"/>
      <c r="Y40" s="323"/>
      <c r="Z40" s="323"/>
      <c r="AA40" s="326"/>
      <c r="AB40" s="323"/>
      <c r="AC40" s="323"/>
      <c r="AD40" s="326"/>
      <c r="AE40" s="323"/>
      <c r="AF40" s="323"/>
      <c r="AG40" s="326"/>
      <c r="AH40" s="323"/>
      <c r="AI40" s="323"/>
      <c r="AJ40" s="326"/>
      <c r="AK40" s="323"/>
      <c r="AL40" s="323"/>
      <c r="AM40" s="326"/>
      <c r="AN40" s="323"/>
      <c r="AO40" s="323"/>
      <c r="AP40" s="326"/>
      <c r="AQ40" s="323"/>
      <c r="AR40" s="323"/>
      <c r="AS40" s="326"/>
      <c r="AT40" s="323"/>
      <c r="AU40" s="323"/>
      <c r="AV40" s="326"/>
      <c r="AW40" s="323"/>
      <c r="AX40" s="323"/>
      <c r="AY40" s="326"/>
      <c r="AZ40" s="323"/>
      <c r="BA40" s="323"/>
      <c r="BB40" s="326"/>
      <c r="BC40" s="323"/>
      <c r="BD40" s="323"/>
      <c r="BE40" s="326"/>
      <c r="BF40" s="323"/>
      <c r="BG40" s="323"/>
      <c r="BH40" s="326"/>
      <c r="BI40" s="323"/>
      <c r="BJ40" s="323"/>
      <c r="BK40" s="326"/>
      <c r="BL40" s="323"/>
      <c r="BM40" s="323"/>
      <c r="BN40" s="326"/>
      <c r="BO40" s="323"/>
      <c r="BP40" s="323"/>
      <c r="BQ40" s="326"/>
      <c r="BR40" s="323"/>
      <c r="BS40" s="323"/>
      <c r="BT40" s="326"/>
      <c r="BU40" s="327">
        <v>5730958</v>
      </c>
    </row>
    <row r="41" spans="1:73">
      <c r="A41" s="1720"/>
      <c r="B41" s="1720"/>
      <c r="C41" s="321" t="s">
        <v>343</v>
      </c>
      <c r="D41" s="322">
        <v>5904725.7999999998</v>
      </c>
      <c r="E41" s="322">
        <v>6011047.7999999998</v>
      </c>
      <c r="F41" s="325">
        <v>11915773.6</v>
      </c>
      <c r="G41" s="323"/>
      <c r="H41" s="323"/>
      <c r="I41" s="326"/>
      <c r="J41" s="323"/>
      <c r="K41" s="323"/>
      <c r="L41" s="326"/>
      <c r="M41" s="323"/>
      <c r="N41" s="323"/>
      <c r="O41" s="326"/>
      <c r="P41" s="323"/>
      <c r="Q41" s="323"/>
      <c r="R41" s="326"/>
      <c r="S41" s="323"/>
      <c r="T41" s="323"/>
      <c r="U41" s="326"/>
      <c r="V41" s="323"/>
      <c r="W41" s="323"/>
      <c r="X41" s="326"/>
      <c r="Y41" s="323"/>
      <c r="Z41" s="323"/>
      <c r="AA41" s="326"/>
      <c r="AB41" s="323"/>
      <c r="AC41" s="323"/>
      <c r="AD41" s="326"/>
      <c r="AE41" s="323"/>
      <c r="AF41" s="323"/>
      <c r="AG41" s="326"/>
      <c r="AH41" s="323"/>
      <c r="AI41" s="323"/>
      <c r="AJ41" s="326"/>
      <c r="AK41" s="323"/>
      <c r="AL41" s="323"/>
      <c r="AM41" s="326"/>
      <c r="AN41" s="323"/>
      <c r="AO41" s="323"/>
      <c r="AP41" s="326"/>
      <c r="AQ41" s="323"/>
      <c r="AR41" s="323"/>
      <c r="AS41" s="326"/>
      <c r="AT41" s="323"/>
      <c r="AU41" s="323"/>
      <c r="AV41" s="326"/>
      <c r="AW41" s="323"/>
      <c r="AX41" s="323"/>
      <c r="AY41" s="326"/>
      <c r="AZ41" s="323"/>
      <c r="BA41" s="323"/>
      <c r="BB41" s="326"/>
      <c r="BC41" s="323"/>
      <c r="BD41" s="323"/>
      <c r="BE41" s="326"/>
      <c r="BF41" s="323"/>
      <c r="BG41" s="323"/>
      <c r="BH41" s="326"/>
      <c r="BI41" s="323"/>
      <c r="BJ41" s="323"/>
      <c r="BK41" s="326"/>
      <c r="BL41" s="323"/>
      <c r="BM41" s="323"/>
      <c r="BN41" s="326"/>
      <c r="BO41" s="323"/>
      <c r="BP41" s="323"/>
      <c r="BQ41" s="326"/>
      <c r="BR41" s="323"/>
      <c r="BS41" s="323"/>
      <c r="BT41" s="326"/>
      <c r="BU41" s="327">
        <v>11915773.6</v>
      </c>
    </row>
    <row r="42" spans="1:73">
      <c r="A42" s="1720"/>
      <c r="B42" s="1720"/>
      <c r="C42" s="321" t="s">
        <v>350</v>
      </c>
      <c r="D42" s="322">
        <v>163950</v>
      </c>
      <c r="E42" s="323"/>
      <c r="F42" s="325">
        <v>163950</v>
      </c>
      <c r="G42" s="323"/>
      <c r="H42" s="323"/>
      <c r="I42" s="326"/>
      <c r="J42" s="323"/>
      <c r="K42" s="323"/>
      <c r="L42" s="326"/>
      <c r="M42" s="323"/>
      <c r="N42" s="323"/>
      <c r="O42" s="326"/>
      <c r="P42" s="323"/>
      <c r="Q42" s="323"/>
      <c r="R42" s="326"/>
      <c r="S42" s="323"/>
      <c r="T42" s="323"/>
      <c r="U42" s="326"/>
      <c r="V42" s="323"/>
      <c r="W42" s="323"/>
      <c r="X42" s="326"/>
      <c r="Y42" s="323"/>
      <c r="Z42" s="323"/>
      <c r="AA42" s="326"/>
      <c r="AB42" s="323"/>
      <c r="AC42" s="323"/>
      <c r="AD42" s="326"/>
      <c r="AE42" s="323"/>
      <c r="AF42" s="323"/>
      <c r="AG42" s="326"/>
      <c r="AH42" s="323"/>
      <c r="AI42" s="323"/>
      <c r="AJ42" s="326"/>
      <c r="AK42" s="323"/>
      <c r="AL42" s="323"/>
      <c r="AM42" s="326"/>
      <c r="AN42" s="323"/>
      <c r="AO42" s="323"/>
      <c r="AP42" s="326"/>
      <c r="AQ42" s="323"/>
      <c r="AR42" s="323"/>
      <c r="AS42" s="326"/>
      <c r="AT42" s="323"/>
      <c r="AU42" s="323"/>
      <c r="AV42" s="326"/>
      <c r="AW42" s="323"/>
      <c r="AX42" s="323"/>
      <c r="AY42" s="326"/>
      <c r="AZ42" s="323"/>
      <c r="BA42" s="323"/>
      <c r="BB42" s="326"/>
      <c r="BC42" s="323"/>
      <c r="BD42" s="323"/>
      <c r="BE42" s="326"/>
      <c r="BF42" s="323"/>
      <c r="BG42" s="323"/>
      <c r="BH42" s="326"/>
      <c r="BI42" s="323"/>
      <c r="BJ42" s="323"/>
      <c r="BK42" s="326"/>
      <c r="BL42" s="323"/>
      <c r="BM42" s="323"/>
      <c r="BN42" s="326"/>
      <c r="BO42" s="323"/>
      <c r="BP42" s="323"/>
      <c r="BQ42" s="326"/>
      <c r="BR42" s="323"/>
      <c r="BS42" s="323"/>
      <c r="BT42" s="326"/>
      <c r="BU42" s="327">
        <v>163950</v>
      </c>
    </row>
    <row r="43" spans="1:73">
      <c r="A43" s="1720"/>
      <c r="B43" s="1721"/>
      <c r="C43" s="324" t="s">
        <v>673</v>
      </c>
      <c r="D43" s="325">
        <v>71763696.049999997</v>
      </c>
      <c r="E43" s="325">
        <v>71698068.049999997</v>
      </c>
      <c r="F43" s="325">
        <v>143461764.09999999</v>
      </c>
      <c r="G43" s="326"/>
      <c r="H43" s="326"/>
      <c r="I43" s="326"/>
      <c r="J43" s="326"/>
      <c r="K43" s="326"/>
      <c r="L43" s="326"/>
      <c r="M43" s="326"/>
      <c r="N43" s="326"/>
      <c r="O43" s="326"/>
      <c r="P43" s="326"/>
      <c r="Q43" s="326"/>
      <c r="R43" s="326"/>
      <c r="S43" s="326"/>
      <c r="T43" s="326"/>
      <c r="U43" s="326"/>
      <c r="V43" s="326"/>
      <c r="W43" s="326"/>
      <c r="X43" s="326"/>
      <c r="Y43" s="326"/>
      <c r="Z43" s="326"/>
      <c r="AA43" s="326"/>
      <c r="AB43" s="326"/>
      <c r="AC43" s="326"/>
      <c r="AD43" s="326"/>
      <c r="AE43" s="326"/>
      <c r="AF43" s="326"/>
      <c r="AG43" s="326"/>
      <c r="AH43" s="326"/>
      <c r="AI43" s="326"/>
      <c r="AJ43" s="326"/>
      <c r="AK43" s="326"/>
      <c r="AL43" s="326"/>
      <c r="AM43" s="326"/>
      <c r="AN43" s="326"/>
      <c r="AO43" s="326"/>
      <c r="AP43" s="326"/>
      <c r="AQ43" s="326"/>
      <c r="AR43" s="326"/>
      <c r="AS43" s="326"/>
      <c r="AT43" s="326"/>
      <c r="AU43" s="326"/>
      <c r="AV43" s="326"/>
      <c r="AW43" s="326"/>
      <c r="AX43" s="326"/>
      <c r="AY43" s="326"/>
      <c r="AZ43" s="326"/>
      <c r="BA43" s="326"/>
      <c r="BB43" s="326"/>
      <c r="BC43" s="326"/>
      <c r="BD43" s="326"/>
      <c r="BE43" s="326"/>
      <c r="BF43" s="326"/>
      <c r="BG43" s="326"/>
      <c r="BH43" s="326"/>
      <c r="BI43" s="326"/>
      <c r="BJ43" s="326"/>
      <c r="BK43" s="326"/>
      <c r="BL43" s="326"/>
      <c r="BM43" s="326"/>
      <c r="BN43" s="326"/>
      <c r="BO43" s="326"/>
      <c r="BP43" s="326"/>
      <c r="BQ43" s="326"/>
      <c r="BR43" s="326"/>
      <c r="BS43" s="326"/>
      <c r="BT43" s="326"/>
      <c r="BU43" s="325">
        <v>143461764.09999999</v>
      </c>
    </row>
    <row r="44" spans="1:73">
      <c r="A44" s="1720"/>
      <c r="B44" s="1719" t="s">
        <v>674</v>
      </c>
      <c r="C44" s="321" t="s">
        <v>340</v>
      </c>
      <c r="D44" s="322">
        <v>664874</v>
      </c>
      <c r="E44" s="322">
        <v>664874</v>
      </c>
      <c r="F44" s="325">
        <v>1329748</v>
      </c>
      <c r="G44" s="323"/>
      <c r="H44" s="323"/>
      <c r="I44" s="326"/>
      <c r="J44" s="323"/>
      <c r="K44" s="323"/>
      <c r="L44" s="326"/>
      <c r="M44" s="323"/>
      <c r="N44" s="323"/>
      <c r="O44" s="326"/>
      <c r="P44" s="323"/>
      <c r="Q44" s="323"/>
      <c r="R44" s="326"/>
      <c r="S44" s="323"/>
      <c r="T44" s="323"/>
      <c r="U44" s="326"/>
      <c r="V44" s="323"/>
      <c r="W44" s="323"/>
      <c r="X44" s="326"/>
      <c r="Y44" s="323"/>
      <c r="Z44" s="323"/>
      <c r="AA44" s="326"/>
      <c r="AB44" s="323"/>
      <c r="AC44" s="323"/>
      <c r="AD44" s="326"/>
      <c r="AE44" s="323"/>
      <c r="AF44" s="323"/>
      <c r="AG44" s="326"/>
      <c r="AH44" s="323"/>
      <c r="AI44" s="323"/>
      <c r="AJ44" s="326"/>
      <c r="AK44" s="323"/>
      <c r="AL44" s="323"/>
      <c r="AM44" s="326"/>
      <c r="AN44" s="323"/>
      <c r="AO44" s="323"/>
      <c r="AP44" s="326"/>
      <c r="AQ44" s="323"/>
      <c r="AR44" s="323"/>
      <c r="AS44" s="326"/>
      <c r="AT44" s="323"/>
      <c r="AU44" s="323"/>
      <c r="AV44" s="326"/>
      <c r="AW44" s="323"/>
      <c r="AX44" s="323"/>
      <c r="AY44" s="326"/>
      <c r="AZ44" s="323"/>
      <c r="BA44" s="323"/>
      <c r="BB44" s="326"/>
      <c r="BC44" s="323"/>
      <c r="BD44" s="323"/>
      <c r="BE44" s="326"/>
      <c r="BF44" s="323"/>
      <c r="BG44" s="323"/>
      <c r="BH44" s="326"/>
      <c r="BI44" s="323"/>
      <c r="BJ44" s="323"/>
      <c r="BK44" s="326"/>
      <c r="BL44" s="323"/>
      <c r="BM44" s="323"/>
      <c r="BN44" s="326"/>
      <c r="BO44" s="323"/>
      <c r="BP44" s="323"/>
      <c r="BQ44" s="326"/>
      <c r="BR44" s="323"/>
      <c r="BS44" s="323"/>
      <c r="BT44" s="326"/>
      <c r="BU44" s="327">
        <v>1329748</v>
      </c>
    </row>
    <row r="45" spans="1:73">
      <c r="A45" s="1720"/>
      <c r="B45" s="1720"/>
      <c r="C45" s="321" t="s">
        <v>341</v>
      </c>
      <c r="D45" s="322">
        <v>-5215144.93</v>
      </c>
      <c r="E45" s="322">
        <v>-5638144.9299999997</v>
      </c>
      <c r="F45" s="325">
        <v>-10853289.859999999</v>
      </c>
      <c r="G45" s="323"/>
      <c r="H45" s="323"/>
      <c r="I45" s="326"/>
      <c r="J45" s="323"/>
      <c r="K45" s="323"/>
      <c r="L45" s="326"/>
      <c r="M45" s="323"/>
      <c r="N45" s="323"/>
      <c r="O45" s="326"/>
      <c r="P45" s="323"/>
      <c r="Q45" s="323"/>
      <c r="R45" s="326"/>
      <c r="S45" s="323"/>
      <c r="T45" s="323"/>
      <c r="U45" s="326"/>
      <c r="V45" s="323"/>
      <c r="W45" s="323"/>
      <c r="X45" s="326"/>
      <c r="Y45" s="323"/>
      <c r="Z45" s="323"/>
      <c r="AA45" s="326"/>
      <c r="AB45" s="323"/>
      <c r="AC45" s="323"/>
      <c r="AD45" s="326"/>
      <c r="AE45" s="323"/>
      <c r="AF45" s="323"/>
      <c r="AG45" s="326"/>
      <c r="AH45" s="323"/>
      <c r="AI45" s="323"/>
      <c r="AJ45" s="326"/>
      <c r="AK45" s="323"/>
      <c r="AL45" s="323"/>
      <c r="AM45" s="326"/>
      <c r="AN45" s="323"/>
      <c r="AO45" s="323"/>
      <c r="AP45" s="326"/>
      <c r="AQ45" s="323"/>
      <c r="AR45" s="323"/>
      <c r="AS45" s="326"/>
      <c r="AT45" s="323"/>
      <c r="AU45" s="323"/>
      <c r="AV45" s="326"/>
      <c r="AW45" s="323"/>
      <c r="AX45" s="323"/>
      <c r="AY45" s="326"/>
      <c r="AZ45" s="323"/>
      <c r="BA45" s="323"/>
      <c r="BB45" s="326"/>
      <c r="BC45" s="323"/>
      <c r="BD45" s="323"/>
      <c r="BE45" s="326"/>
      <c r="BF45" s="323"/>
      <c r="BG45" s="323"/>
      <c r="BH45" s="326"/>
      <c r="BI45" s="323"/>
      <c r="BJ45" s="323"/>
      <c r="BK45" s="326"/>
      <c r="BL45" s="323"/>
      <c r="BM45" s="323"/>
      <c r="BN45" s="326"/>
      <c r="BO45" s="323"/>
      <c r="BP45" s="323"/>
      <c r="BQ45" s="326"/>
      <c r="BR45" s="323"/>
      <c r="BS45" s="323"/>
      <c r="BT45" s="326"/>
      <c r="BU45" s="327">
        <v>-10853289.859999999</v>
      </c>
    </row>
    <row r="46" spans="1:73">
      <c r="A46" s="1720"/>
      <c r="B46" s="1720"/>
      <c r="C46" s="321" t="s">
        <v>342</v>
      </c>
      <c r="D46" s="322">
        <v>1609750</v>
      </c>
      <c r="E46" s="322">
        <v>1149750</v>
      </c>
      <c r="F46" s="325">
        <v>2759500</v>
      </c>
      <c r="G46" s="323"/>
      <c r="H46" s="323"/>
      <c r="I46" s="326"/>
      <c r="J46" s="323"/>
      <c r="K46" s="323"/>
      <c r="L46" s="326"/>
      <c r="M46" s="323"/>
      <c r="N46" s="323"/>
      <c r="O46" s="326"/>
      <c r="P46" s="322">
        <v>79500</v>
      </c>
      <c r="Q46" s="322">
        <v>79500</v>
      </c>
      <c r="R46" s="325">
        <v>159000</v>
      </c>
      <c r="S46" s="323"/>
      <c r="T46" s="323"/>
      <c r="U46" s="326"/>
      <c r="V46" s="323"/>
      <c r="W46" s="323"/>
      <c r="X46" s="326"/>
      <c r="Y46" s="323"/>
      <c r="Z46" s="323"/>
      <c r="AA46" s="326"/>
      <c r="AB46" s="323"/>
      <c r="AC46" s="323"/>
      <c r="AD46" s="326"/>
      <c r="AE46" s="323"/>
      <c r="AF46" s="323"/>
      <c r="AG46" s="326"/>
      <c r="AH46" s="323"/>
      <c r="AI46" s="323"/>
      <c r="AJ46" s="326"/>
      <c r="AK46" s="323"/>
      <c r="AL46" s="323"/>
      <c r="AM46" s="326"/>
      <c r="AN46" s="323"/>
      <c r="AO46" s="323"/>
      <c r="AP46" s="326"/>
      <c r="AQ46" s="323"/>
      <c r="AR46" s="323"/>
      <c r="AS46" s="326"/>
      <c r="AT46" s="323"/>
      <c r="AU46" s="323"/>
      <c r="AV46" s="326"/>
      <c r="AW46" s="323"/>
      <c r="AX46" s="323"/>
      <c r="AY46" s="326"/>
      <c r="AZ46" s="323"/>
      <c r="BA46" s="323"/>
      <c r="BB46" s="326"/>
      <c r="BC46" s="323"/>
      <c r="BD46" s="323"/>
      <c r="BE46" s="326"/>
      <c r="BF46" s="323"/>
      <c r="BG46" s="323"/>
      <c r="BH46" s="326"/>
      <c r="BI46" s="323"/>
      <c r="BJ46" s="323"/>
      <c r="BK46" s="326"/>
      <c r="BL46" s="323"/>
      <c r="BM46" s="323"/>
      <c r="BN46" s="326"/>
      <c r="BO46" s="323"/>
      <c r="BP46" s="323"/>
      <c r="BQ46" s="326"/>
      <c r="BR46" s="323"/>
      <c r="BS46" s="323"/>
      <c r="BT46" s="326"/>
      <c r="BU46" s="327">
        <v>2918500</v>
      </c>
    </row>
    <row r="47" spans="1:73">
      <c r="A47" s="1720"/>
      <c r="B47" s="1720"/>
      <c r="C47" s="321" t="s">
        <v>343</v>
      </c>
      <c r="D47" s="322">
        <v>12484817.029999999</v>
      </c>
      <c r="E47" s="322">
        <v>12500328.029999999</v>
      </c>
      <c r="F47" s="325">
        <v>24985145.059999999</v>
      </c>
      <c r="G47" s="323"/>
      <c r="H47" s="323"/>
      <c r="I47" s="326"/>
      <c r="J47" s="323"/>
      <c r="K47" s="323"/>
      <c r="L47" s="326"/>
      <c r="M47" s="323"/>
      <c r="N47" s="323"/>
      <c r="O47" s="326"/>
      <c r="P47" s="322">
        <v>0.65</v>
      </c>
      <c r="Q47" s="322">
        <v>0.65</v>
      </c>
      <c r="R47" s="325">
        <v>1.3</v>
      </c>
      <c r="S47" s="323"/>
      <c r="T47" s="323"/>
      <c r="U47" s="326"/>
      <c r="V47" s="323"/>
      <c r="W47" s="323"/>
      <c r="X47" s="326"/>
      <c r="Y47" s="323"/>
      <c r="Z47" s="323"/>
      <c r="AA47" s="326"/>
      <c r="AB47" s="323"/>
      <c r="AC47" s="323"/>
      <c r="AD47" s="326"/>
      <c r="AE47" s="323"/>
      <c r="AF47" s="323"/>
      <c r="AG47" s="326"/>
      <c r="AH47" s="323"/>
      <c r="AI47" s="323"/>
      <c r="AJ47" s="326"/>
      <c r="AK47" s="323"/>
      <c r="AL47" s="323"/>
      <c r="AM47" s="326"/>
      <c r="AN47" s="323"/>
      <c r="AO47" s="323"/>
      <c r="AP47" s="326"/>
      <c r="AQ47" s="323"/>
      <c r="AR47" s="323"/>
      <c r="AS47" s="326"/>
      <c r="AT47" s="323"/>
      <c r="AU47" s="323"/>
      <c r="AV47" s="326"/>
      <c r="AW47" s="323"/>
      <c r="AX47" s="323"/>
      <c r="AY47" s="326"/>
      <c r="AZ47" s="323"/>
      <c r="BA47" s="323"/>
      <c r="BB47" s="326"/>
      <c r="BC47" s="323"/>
      <c r="BD47" s="323"/>
      <c r="BE47" s="326"/>
      <c r="BF47" s="323"/>
      <c r="BG47" s="323"/>
      <c r="BH47" s="326"/>
      <c r="BI47" s="323"/>
      <c r="BJ47" s="323"/>
      <c r="BK47" s="326"/>
      <c r="BL47" s="323"/>
      <c r="BM47" s="323"/>
      <c r="BN47" s="326"/>
      <c r="BO47" s="323"/>
      <c r="BP47" s="323"/>
      <c r="BQ47" s="326"/>
      <c r="BR47" s="323"/>
      <c r="BS47" s="323"/>
      <c r="BT47" s="326"/>
      <c r="BU47" s="327">
        <v>24985146.359999999</v>
      </c>
    </row>
    <row r="48" spans="1:73">
      <c r="A48" s="1720"/>
      <c r="B48" s="1720"/>
      <c r="C48" s="321" t="s">
        <v>344</v>
      </c>
      <c r="D48" s="322">
        <v>61980</v>
      </c>
      <c r="E48" s="322">
        <v>61980</v>
      </c>
      <c r="F48" s="325">
        <v>123960</v>
      </c>
      <c r="G48" s="323"/>
      <c r="H48" s="323"/>
      <c r="I48" s="326"/>
      <c r="J48" s="323"/>
      <c r="K48" s="323"/>
      <c r="L48" s="326"/>
      <c r="M48" s="323"/>
      <c r="N48" s="323"/>
      <c r="O48" s="326"/>
      <c r="P48" s="323"/>
      <c r="Q48" s="323"/>
      <c r="R48" s="326"/>
      <c r="S48" s="323"/>
      <c r="T48" s="323"/>
      <c r="U48" s="326"/>
      <c r="V48" s="323"/>
      <c r="W48" s="323"/>
      <c r="X48" s="326"/>
      <c r="Y48" s="323"/>
      <c r="Z48" s="323"/>
      <c r="AA48" s="326"/>
      <c r="AB48" s="323"/>
      <c r="AC48" s="323"/>
      <c r="AD48" s="326"/>
      <c r="AE48" s="323"/>
      <c r="AF48" s="323"/>
      <c r="AG48" s="326"/>
      <c r="AH48" s="323"/>
      <c r="AI48" s="323"/>
      <c r="AJ48" s="326"/>
      <c r="AK48" s="323"/>
      <c r="AL48" s="323"/>
      <c r="AM48" s="326"/>
      <c r="AN48" s="323"/>
      <c r="AO48" s="323"/>
      <c r="AP48" s="326"/>
      <c r="AQ48" s="323"/>
      <c r="AR48" s="323"/>
      <c r="AS48" s="326"/>
      <c r="AT48" s="323"/>
      <c r="AU48" s="323"/>
      <c r="AV48" s="326"/>
      <c r="AW48" s="323"/>
      <c r="AX48" s="323"/>
      <c r="AY48" s="326"/>
      <c r="AZ48" s="323"/>
      <c r="BA48" s="323"/>
      <c r="BB48" s="326"/>
      <c r="BC48" s="323"/>
      <c r="BD48" s="323"/>
      <c r="BE48" s="326"/>
      <c r="BF48" s="323"/>
      <c r="BG48" s="323"/>
      <c r="BH48" s="326"/>
      <c r="BI48" s="323"/>
      <c r="BJ48" s="323"/>
      <c r="BK48" s="326"/>
      <c r="BL48" s="323"/>
      <c r="BM48" s="323"/>
      <c r="BN48" s="326"/>
      <c r="BO48" s="323"/>
      <c r="BP48" s="323"/>
      <c r="BQ48" s="326"/>
      <c r="BR48" s="323"/>
      <c r="BS48" s="323"/>
      <c r="BT48" s="326"/>
      <c r="BU48" s="327">
        <v>123960</v>
      </c>
    </row>
    <row r="49" spans="1:73" ht="31.5">
      <c r="A49" s="1720"/>
      <c r="B49" s="1721"/>
      <c r="C49" s="324" t="s">
        <v>674</v>
      </c>
      <c r="D49" s="325">
        <v>9606276.0999999996</v>
      </c>
      <c r="E49" s="325">
        <v>8738787.0999999996</v>
      </c>
      <c r="F49" s="325">
        <v>18345063.199999999</v>
      </c>
      <c r="G49" s="326"/>
      <c r="H49" s="326"/>
      <c r="I49" s="326"/>
      <c r="J49" s="326"/>
      <c r="K49" s="326"/>
      <c r="L49" s="326"/>
      <c r="M49" s="326"/>
      <c r="N49" s="326"/>
      <c r="O49" s="326"/>
      <c r="P49" s="325">
        <v>79500.649999999994</v>
      </c>
      <c r="Q49" s="325">
        <v>79500.649999999994</v>
      </c>
      <c r="R49" s="325">
        <v>159001.29999999999</v>
      </c>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s="326"/>
      <c r="AY49" s="326"/>
      <c r="AZ49" s="326"/>
      <c r="BA49" s="326"/>
      <c r="BB49" s="326"/>
      <c r="BC49" s="326"/>
      <c r="BD49" s="326"/>
      <c r="BE49" s="326"/>
      <c r="BF49" s="326"/>
      <c r="BG49" s="326"/>
      <c r="BH49" s="326"/>
      <c r="BI49" s="326"/>
      <c r="BJ49" s="326"/>
      <c r="BK49" s="326"/>
      <c r="BL49" s="326"/>
      <c r="BM49" s="326"/>
      <c r="BN49" s="326"/>
      <c r="BO49" s="326"/>
      <c r="BP49" s="326"/>
      <c r="BQ49" s="326"/>
      <c r="BR49" s="326"/>
      <c r="BS49" s="326"/>
      <c r="BT49" s="326"/>
      <c r="BU49" s="325">
        <v>18504064.5</v>
      </c>
    </row>
    <row r="50" spans="1:73">
      <c r="A50" s="1720"/>
      <c r="B50" s="1719" t="s">
        <v>675</v>
      </c>
      <c r="C50" s="321" t="s">
        <v>340</v>
      </c>
      <c r="D50" s="322">
        <v>1372400.65</v>
      </c>
      <c r="E50" s="322">
        <v>1372400.65</v>
      </c>
      <c r="F50" s="325">
        <v>2744801.3</v>
      </c>
      <c r="G50" s="323"/>
      <c r="H50" s="323"/>
      <c r="I50" s="326"/>
      <c r="J50" s="323"/>
      <c r="K50" s="323"/>
      <c r="L50" s="326"/>
      <c r="M50" s="323"/>
      <c r="N50" s="323"/>
      <c r="O50" s="326"/>
      <c r="P50" s="323"/>
      <c r="Q50" s="323"/>
      <c r="R50" s="326"/>
      <c r="S50" s="323"/>
      <c r="T50" s="323"/>
      <c r="U50" s="326"/>
      <c r="V50" s="323"/>
      <c r="W50" s="323"/>
      <c r="X50" s="326"/>
      <c r="Y50" s="323"/>
      <c r="Z50" s="323"/>
      <c r="AA50" s="326"/>
      <c r="AB50" s="323"/>
      <c r="AC50" s="323"/>
      <c r="AD50" s="326"/>
      <c r="AE50" s="323"/>
      <c r="AF50" s="323"/>
      <c r="AG50" s="326"/>
      <c r="AH50" s="323"/>
      <c r="AI50" s="323"/>
      <c r="AJ50" s="326"/>
      <c r="AK50" s="323"/>
      <c r="AL50" s="323"/>
      <c r="AM50" s="326"/>
      <c r="AN50" s="323"/>
      <c r="AO50" s="323"/>
      <c r="AP50" s="326"/>
      <c r="AQ50" s="323"/>
      <c r="AR50" s="323"/>
      <c r="AS50" s="326"/>
      <c r="AT50" s="323"/>
      <c r="AU50" s="323"/>
      <c r="AV50" s="326"/>
      <c r="AW50" s="323"/>
      <c r="AX50" s="323"/>
      <c r="AY50" s="326"/>
      <c r="AZ50" s="323"/>
      <c r="BA50" s="323"/>
      <c r="BB50" s="326"/>
      <c r="BC50" s="323"/>
      <c r="BD50" s="323"/>
      <c r="BE50" s="326"/>
      <c r="BF50" s="323"/>
      <c r="BG50" s="323"/>
      <c r="BH50" s="326"/>
      <c r="BI50" s="323"/>
      <c r="BJ50" s="323"/>
      <c r="BK50" s="326"/>
      <c r="BL50" s="323"/>
      <c r="BM50" s="323"/>
      <c r="BN50" s="326"/>
      <c r="BO50" s="323"/>
      <c r="BP50" s="323"/>
      <c r="BQ50" s="326"/>
      <c r="BR50" s="323"/>
      <c r="BS50" s="323"/>
      <c r="BT50" s="326"/>
      <c r="BU50" s="327">
        <v>2744801.3</v>
      </c>
    </row>
    <row r="51" spans="1:73">
      <c r="A51" s="1720"/>
      <c r="B51" s="1720"/>
      <c r="C51" s="321" t="s">
        <v>341</v>
      </c>
      <c r="D51" s="322">
        <v>763405.07</v>
      </c>
      <c r="E51" s="322">
        <v>763405.07</v>
      </c>
      <c r="F51" s="325">
        <v>1526810.14</v>
      </c>
      <c r="G51" s="323"/>
      <c r="H51" s="323"/>
      <c r="I51" s="326"/>
      <c r="J51" s="323"/>
      <c r="K51" s="323"/>
      <c r="L51" s="326"/>
      <c r="M51" s="323"/>
      <c r="N51" s="323"/>
      <c r="O51" s="326"/>
      <c r="P51" s="323"/>
      <c r="Q51" s="323"/>
      <c r="R51" s="326"/>
      <c r="S51" s="323"/>
      <c r="T51" s="323"/>
      <c r="U51" s="326"/>
      <c r="V51" s="323"/>
      <c r="W51" s="323"/>
      <c r="X51" s="326"/>
      <c r="Y51" s="323"/>
      <c r="Z51" s="323"/>
      <c r="AA51" s="326"/>
      <c r="AB51" s="323"/>
      <c r="AC51" s="323"/>
      <c r="AD51" s="326"/>
      <c r="AE51" s="323"/>
      <c r="AF51" s="323"/>
      <c r="AG51" s="326"/>
      <c r="AH51" s="323"/>
      <c r="AI51" s="323"/>
      <c r="AJ51" s="326"/>
      <c r="AK51" s="323"/>
      <c r="AL51" s="323"/>
      <c r="AM51" s="326"/>
      <c r="AN51" s="323"/>
      <c r="AO51" s="323"/>
      <c r="AP51" s="326"/>
      <c r="AQ51" s="323"/>
      <c r="AR51" s="323"/>
      <c r="AS51" s="326"/>
      <c r="AT51" s="323"/>
      <c r="AU51" s="323"/>
      <c r="AV51" s="326"/>
      <c r="AW51" s="323"/>
      <c r="AX51" s="323"/>
      <c r="AY51" s="326"/>
      <c r="AZ51" s="323"/>
      <c r="BA51" s="323"/>
      <c r="BB51" s="326"/>
      <c r="BC51" s="323"/>
      <c r="BD51" s="323"/>
      <c r="BE51" s="326"/>
      <c r="BF51" s="323"/>
      <c r="BG51" s="323"/>
      <c r="BH51" s="326"/>
      <c r="BI51" s="323"/>
      <c r="BJ51" s="323"/>
      <c r="BK51" s="326"/>
      <c r="BL51" s="323"/>
      <c r="BM51" s="323"/>
      <c r="BN51" s="326"/>
      <c r="BO51" s="323"/>
      <c r="BP51" s="323"/>
      <c r="BQ51" s="326"/>
      <c r="BR51" s="323"/>
      <c r="BS51" s="323"/>
      <c r="BT51" s="326"/>
      <c r="BU51" s="327">
        <v>1526810.14</v>
      </c>
    </row>
    <row r="52" spans="1:73">
      <c r="A52" s="1720"/>
      <c r="B52" s="1720"/>
      <c r="C52" s="321" t="s">
        <v>342</v>
      </c>
      <c r="D52" s="322">
        <v>230350</v>
      </c>
      <c r="E52" s="322">
        <v>230350</v>
      </c>
      <c r="F52" s="325">
        <v>460700</v>
      </c>
      <c r="G52" s="323"/>
      <c r="H52" s="323"/>
      <c r="I52" s="326"/>
      <c r="J52" s="323"/>
      <c r="K52" s="323"/>
      <c r="L52" s="326"/>
      <c r="M52" s="323"/>
      <c r="N52" s="323"/>
      <c r="O52" s="326"/>
      <c r="P52" s="323"/>
      <c r="Q52" s="323"/>
      <c r="R52" s="326"/>
      <c r="S52" s="323"/>
      <c r="T52" s="323"/>
      <c r="U52" s="326"/>
      <c r="V52" s="323"/>
      <c r="W52" s="323"/>
      <c r="X52" s="326"/>
      <c r="Y52" s="323"/>
      <c r="Z52" s="323"/>
      <c r="AA52" s="326"/>
      <c r="AB52" s="323"/>
      <c r="AC52" s="323"/>
      <c r="AD52" s="326"/>
      <c r="AE52" s="323"/>
      <c r="AF52" s="323"/>
      <c r="AG52" s="326"/>
      <c r="AH52" s="323"/>
      <c r="AI52" s="323"/>
      <c r="AJ52" s="326"/>
      <c r="AK52" s="323"/>
      <c r="AL52" s="323"/>
      <c r="AM52" s="326"/>
      <c r="AN52" s="323"/>
      <c r="AO52" s="323"/>
      <c r="AP52" s="326"/>
      <c r="AQ52" s="323"/>
      <c r="AR52" s="323"/>
      <c r="AS52" s="326"/>
      <c r="AT52" s="323"/>
      <c r="AU52" s="323"/>
      <c r="AV52" s="326"/>
      <c r="AW52" s="323"/>
      <c r="AX52" s="323"/>
      <c r="AY52" s="326"/>
      <c r="AZ52" s="323"/>
      <c r="BA52" s="323"/>
      <c r="BB52" s="326"/>
      <c r="BC52" s="323"/>
      <c r="BD52" s="323"/>
      <c r="BE52" s="326"/>
      <c r="BF52" s="323"/>
      <c r="BG52" s="323"/>
      <c r="BH52" s="326"/>
      <c r="BI52" s="323"/>
      <c r="BJ52" s="323"/>
      <c r="BK52" s="326"/>
      <c r="BL52" s="323"/>
      <c r="BM52" s="323"/>
      <c r="BN52" s="326"/>
      <c r="BO52" s="323"/>
      <c r="BP52" s="323"/>
      <c r="BQ52" s="326"/>
      <c r="BR52" s="323"/>
      <c r="BS52" s="323"/>
      <c r="BT52" s="326"/>
      <c r="BU52" s="327">
        <v>460700</v>
      </c>
    </row>
    <row r="53" spans="1:73">
      <c r="A53" s="1720"/>
      <c r="B53" s="1720"/>
      <c r="C53" s="321" t="s">
        <v>343</v>
      </c>
      <c r="D53" s="322">
        <v>29578.080000000002</v>
      </c>
      <c r="E53" s="322">
        <v>29578.080000000002</v>
      </c>
      <c r="F53" s="325">
        <v>59156.160000000003</v>
      </c>
      <c r="G53" s="323"/>
      <c r="H53" s="323"/>
      <c r="I53" s="326"/>
      <c r="J53" s="323"/>
      <c r="K53" s="323"/>
      <c r="L53" s="326"/>
      <c r="M53" s="323"/>
      <c r="N53" s="323"/>
      <c r="O53" s="326"/>
      <c r="P53" s="323"/>
      <c r="Q53" s="323"/>
      <c r="R53" s="326"/>
      <c r="S53" s="323"/>
      <c r="T53" s="323"/>
      <c r="U53" s="326"/>
      <c r="V53" s="323"/>
      <c r="W53" s="323"/>
      <c r="X53" s="326"/>
      <c r="Y53" s="323"/>
      <c r="Z53" s="323"/>
      <c r="AA53" s="326"/>
      <c r="AB53" s="323"/>
      <c r="AC53" s="323"/>
      <c r="AD53" s="326"/>
      <c r="AE53" s="323"/>
      <c r="AF53" s="323"/>
      <c r="AG53" s="326"/>
      <c r="AH53" s="323"/>
      <c r="AI53" s="323"/>
      <c r="AJ53" s="326"/>
      <c r="AK53" s="323"/>
      <c r="AL53" s="323"/>
      <c r="AM53" s="326"/>
      <c r="AN53" s="323"/>
      <c r="AO53" s="323"/>
      <c r="AP53" s="326"/>
      <c r="AQ53" s="323"/>
      <c r="AR53" s="323"/>
      <c r="AS53" s="326"/>
      <c r="AT53" s="323"/>
      <c r="AU53" s="323"/>
      <c r="AV53" s="326"/>
      <c r="AW53" s="323"/>
      <c r="AX53" s="323"/>
      <c r="AY53" s="326"/>
      <c r="AZ53" s="323"/>
      <c r="BA53" s="323"/>
      <c r="BB53" s="326"/>
      <c r="BC53" s="323"/>
      <c r="BD53" s="323"/>
      <c r="BE53" s="326"/>
      <c r="BF53" s="323"/>
      <c r="BG53" s="323"/>
      <c r="BH53" s="326"/>
      <c r="BI53" s="323"/>
      <c r="BJ53" s="323"/>
      <c r="BK53" s="326"/>
      <c r="BL53" s="323"/>
      <c r="BM53" s="323"/>
      <c r="BN53" s="326"/>
      <c r="BO53" s="323"/>
      <c r="BP53" s="323"/>
      <c r="BQ53" s="326"/>
      <c r="BR53" s="323"/>
      <c r="BS53" s="323"/>
      <c r="BT53" s="326"/>
      <c r="BU53" s="327">
        <v>59156.160000000003</v>
      </c>
    </row>
    <row r="54" spans="1:73" ht="21">
      <c r="A54" s="1720"/>
      <c r="B54" s="1721"/>
      <c r="C54" s="324" t="s">
        <v>675</v>
      </c>
      <c r="D54" s="325">
        <v>2395733.7999999998</v>
      </c>
      <c r="E54" s="325">
        <v>2395733.7999999998</v>
      </c>
      <c r="F54" s="325">
        <v>4791467.5999999996</v>
      </c>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s="326"/>
      <c r="AY54" s="326"/>
      <c r="AZ54" s="326"/>
      <c r="BA54" s="326"/>
      <c r="BB54" s="326"/>
      <c r="BC54" s="326"/>
      <c r="BD54" s="326"/>
      <c r="BE54" s="326"/>
      <c r="BF54" s="326"/>
      <c r="BG54" s="326"/>
      <c r="BH54" s="326"/>
      <c r="BI54" s="326"/>
      <c r="BJ54" s="326"/>
      <c r="BK54" s="326"/>
      <c r="BL54" s="326"/>
      <c r="BM54" s="326"/>
      <c r="BN54" s="326"/>
      <c r="BO54" s="326"/>
      <c r="BP54" s="326"/>
      <c r="BQ54" s="326"/>
      <c r="BR54" s="326"/>
      <c r="BS54" s="326"/>
      <c r="BT54" s="326"/>
      <c r="BU54" s="325">
        <v>4791467.5999999996</v>
      </c>
    </row>
    <row r="55" spans="1:73">
      <c r="A55" s="1720"/>
      <c r="B55" s="1719" t="s">
        <v>676</v>
      </c>
      <c r="C55" s="321" t="s">
        <v>340</v>
      </c>
      <c r="D55" s="322">
        <v>2767063.45</v>
      </c>
      <c r="E55" s="322">
        <v>2767063.45</v>
      </c>
      <c r="F55" s="325">
        <v>5534126.9000000004</v>
      </c>
      <c r="G55" s="323"/>
      <c r="H55" s="323"/>
      <c r="I55" s="326"/>
      <c r="J55" s="323"/>
      <c r="K55" s="323"/>
      <c r="L55" s="326"/>
      <c r="M55" s="323"/>
      <c r="N55" s="323"/>
      <c r="O55" s="326"/>
      <c r="P55" s="323"/>
      <c r="Q55" s="323"/>
      <c r="R55" s="326"/>
      <c r="S55" s="323"/>
      <c r="T55" s="323"/>
      <c r="U55" s="326"/>
      <c r="V55" s="323"/>
      <c r="W55" s="323"/>
      <c r="X55" s="326"/>
      <c r="Y55" s="323"/>
      <c r="Z55" s="323"/>
      <c r="AA55" s="326"/>
      <c r="AB55" s="323"/>
      <c r="AC55" s="323"/>
      <c r="AD55" s="326"/>
      <c r="AE55" s="323"/>
      <c r="AF55" s="323"/>
      <c r="AG55" s="326"/>
      <c r="AH55" s="323"/>
      <c r="AI55" s="323"/>
      <c r="AJ55" s="326"/>
      <c r="AK55" s="323"/>
      <c r="AL55" s="323"/>
      <c r="AM55" s="326"/>
      <c r="AN55" s="323"/>
      <c r="AO55" s="323"/>
      <c r="AP55" s="326"/>
      <c r="AQ55" s="323"/>
      <c r="AR55" s="323"/>
      <c r="AS55" s="326"/>
      <c r="AT55" s="323"/>
      <c r="AU55" s="323"/>
      <c r="AV55" s="326"/>
      <c r="AW55" s="323"/>
      <c r="AX55" s="323"/>
      <c r="AY55" s="326"/>
      <c r="AZ55" s="323"/>
      <c r="BA55" s="323"/>
      <c r="BB55" s="326"/>
      <c r="BC55" s="323"/>
      <c r="BD55" s="323"/>
      <c r="BE55" s="326"/>
      <c r="BF55" s="323"/>
      <c r="BG55" s="323"/>
      <c r="BH55" s="326"/>
      <c r="BI55" s="323"/>
      <c r="BJ55" s="323"/>
      <c r="BK55" s="326"/>
      <c r="BL55" s="323"/>
      <c r="BM55" s="323"/>
      <c r="BN55" s="326"/>
      <c r="BO55" s="323"/>
      <c r="BP55" s="323"/>
      <c r="BQ55" s="326"/>
      <c r="BR55" s="323"/>
      <c r="BS55" s="323"/>
      <c r="BT55" s="326"/>
      <c r="BU55" s="327">
        <v>5534126.9000000004</v>
      </c>
    </row>
    <row r="56" spans="1:73">
      <c r="A56" s="1720"/>
      <c r="B56" s="1720"/>
      <c r="C56" s="321" t="s">
        <v>341</v>
      </c>
      <c r="D56" s="322">
        <v>1336581.8999999999</v>
      </c>
      <c r="E56" s="322">
        <v>1336581.8999999999</v>
      </c>
      <c r="F56" s="325">
        <v>2673163.7999999998</v>
      </c>
      <c r="G56" s="323"/>
      <c r="H56" s="323"/>
      <c r="I56" s="326"/>
      <c r="J56" s="323"/>
      <c r="K56" s="323"/>
      <c r="L56" s="326"/>
      <c r="M56" s="323"/>
      <c r="N56" s="323"/>
      <c r="O56" s="326"/>
      <c r="P56" s="323"/>
      <c r="Q56" s="323"/>
      <c r="R56" s="326"/>
      <c r="S56" s="323"/>
      <c r="T56" s="323"/>
      <c r="U56" s="326"/>
      <c r="V56" s="323"/>
      <c r="W56" s="323"/>
      <c r="X56" s="326"/>
      <c r="Y56" s="323"/>
      <c r="Z56" s="323"/>
      <c r="AA56" s="326"/>
      <c r="AB56" s="323"/>
      <c r="AC56" s="323"/>
      <c r="AD56" s="326"/>
      <c r="AE56" s="323"/>
      <c r="AF56" s="323"/>
      <c r="AG56" s="326"/>
      <c r="AH56" s="323"/>
      <c r="AI56" s="323"/>
      <c r="AJ56" s="326"/>
      <c r="AK56" s="323"/>
      <c r="AL56" s="323"/>
      <c r="AM56" s="326"/>
      <c r="AN56" s="323"/>
      <c r="AO56" s="323"/>
      <c r="AP56" s="326"/>
      <c r="AQ56" s="323"/>
      <c r="AR56" s="323"/>
      <c r="AS56" s="326"/>
      <c r="AT56" s="323"/>
      <c r="AU56" s="323"/>
      <c r="AV56" s="326"/>
      <c r="AW56" s="323"/>
      <c r="AX56" s="323"/>
      <c r="AY56" s="326"/>
      <c r="AZ56" s="323"/>
      <c r="BA56" s="323"/>
      <c r="BB56" s="326"/>
      <c r="BC56" s="323"/>
      <c r="BD56" s="323"/>
      <c r="BE56" s="326"/>
      <c r="BF56" s="323"/>
      <c r="BG56" s="323"/>
      <c r="BH56" s="326"/>
      <c r="BI56" s="323"/>
      <c r="BJ56" s="323"/>
      <c r="BK56" s="326"/>
      <c r="BL56" s="323"/>
      <c r="BM56" s="323"/>
      <c r="BN56" s="326"/>
      <c r="BO56" s="323"/>
      <c r="BP56" s="323"/>
      <c r="BQ56" s="326"/>
      <c r="BR56" s="323"/>
      <c r="BS56" s="323"/>
      <c r="BT56" s="326"/>
      <c r="BU56" s="327">
        <v>2673163.7999999998</v>
      </c>
    </row>
    <row r="57" spans="1:73">
      <c r="A57" s="1720"/>
      <c r="B57" s="1720"/>
      <c r="C57" s="321" t="s">
        <v>342</v>
      </c>
      <c r="D57" s="322">
        <v>364570</v>
      </c>
      <c r="E57" s="322">
        <v>364570</v>
      </c>
      <c r="F57" s="325">
        <v>729140</v>
      </c>
      <c r="G57" s="323"/>
      <c r="H57" s="323"/>
      <c r="I57" s="326"/>
      <c r="J57" s="323"/>
      <c r="K57" s="323"/>
      <c r="L57" s="326"/>
      <c r="M57" s="323"/>
      <c r="N57" s="323"/>
      <c r="O57" s="326"/>
      <c r="P57" s="323"/>
      <c r="Q57" s="323"/>
      <c r="R57" s="326"/>
      <c r="S57" s="323"/>
      <c r="T57" s="323"/>
      <c r="U57" s="326"/>
      <c r="V57" s="323"/>
      <c r="W57" s="323"/>
      <c r="X57" s="326"/>
      <c r="Y57" s="323"/>
      <c r="Z57" s="323"/>
      <c r="AA57" s="326"/>
      <c r="AB57" s="323"/>
      <c r="AC57" s="323"/>
      <c r="AD57" s="326"/>
      <c r="AE57" s="323"/>
      <c r="AF57" s="323"/>
      <c r="AG57" s="326"/>
      <c r="AH57" s="323"/>
      <c r="AI57" s="323"/>
      <c r="AJ57" s="326"/>
      <c r="AK57" s="323"/>
      <c r="AL57" s="323"/>
      <c r="AM57" s="326"/>
      <c r="AN57" s="323"/>
      <c r="AO57" s="323"/>
      <c r="AP57" s="326"/>
      <c r="AQ57" s="323"/>
      <c r="AR57" s="323"/>
      <c r="AS57" s="326"/>
      <c r="AT57" s="323"/>
      <c r="AU57" s="323"/>
      <c r="AV57" s="326"/>
      <c r="AW57" s="323"/>
      <c r="AX57" s="323"/>
      <c r="AY57" s="326"/>
      <c r="AZ57" s="323"/>
      <c r="BA57" s="323"/>
      <c r="BB57" s="326"/>
      <c r="BC57" s="323"/>
      <c r="BD57" s="323"/>
      <c r="BE57" s="326"/>
      <c r="BF57" s="323"/>
      <c r="BG57" s="323"/>
      <c r="BH57" s="326"/>
      <c r="BI57" s="323"/>
      <c r="BJ57" s="323"/>
      <c r="BK57" s="326"/>
      <c r="BL57" s="323"/>
      <c r="BM57" s="323"/>
      <c r="BN57" s="326"/>
      <c r="BO57" s="323"/>
      <c r="BP57" s="323"/>
      <c r="BQ57" s="326"/>
      <c r="BR57" s="323"/>
      <c r="BS57" s="323"/>
      <c r="BT57" s="326"/>
      <c r="BU57" s="327">
        <v>729140</v>
      </c>
    </row>
    <row r="58" spans="1:73">
      <c r="A58" s="1720"/>
      <c r="B58" s="1720"/>
      <c r="C58" s="321" t="s">
        <v>343</v>
      </c>
      <c r="D58" s="322">
        <v>90268.21</v>
      </c>
      <c r="E58" s="322">
        <v>90268.21</v>
      </c>
      <c r="F58" s="325">
        <v>180536.42</v>
      </c>
      <c r="G58" s="323"/>
      <c r="H58" s="323"/>
      <c r="I58" s="326"/>
      <c r="J58" s="323"/>
      <c r="K58" s="323"/>
      <c r="L58" s="326"/>
      <c r="M58" s="323"/>
      <c r="N58" s="323"/>
      <c r="O58" s="326"/>
      <c r="P58" s="323"/>
      <c r="Q58" s="323"/>
      <c r="R58" s="326"/>
      <c r="S58" s="323"/>
      <c r="T58" s="323"/>
      <c r="U58" s="326"/>
      <c r="V58" s="323"/>
      <c r="W58" s="323"/>
      <c r="X58" s="326"/>
      <c r="Y58" s="323"/>
      <c r="Z58" s="323"/>
      <c r="AA58" s="326"/>
      <c r="AB58" s="323"/>
      <c r="AC58" s="323"/>
      <c r="AD58" s="326"/>
      <c r="AE58" s="323"/>
      <c r="AF58" s="323"/>
      <c r="AG58" s="326"/>
      <c r="AH58" s="323"/>
      <c r="AI58" s="323"/>
      <c r="AJ58" s="326"/>
      <c r="AK58" s="323"/>
      <c r="AL58" s="323"/>
      <c r="AM58" s="326"/>
      <c r="AN58" s="323"/>
      <c r="AO58" s="323"/>
      <c r="AP58" s="326"/>
      <c r="AQ58" s="323"/>
      <c r="AR58" s="323"/>
      <c r="AS58" s="326"/>
      <c r="AT58" s="323"/>
      <c r="AU58" s="323"/>
      <c r="AV58" s="326"/>
      <c r="AW58" s="323"/>
      <c r="AX58" s="323"/>
      <c r="AY58" s="326"/>
      <c r="AZ58" s="323"/>
      <c r="BA58" s="323"/>
      <c r="BB58" s="326"/>
      <c r="BC58" s="323"/>
      <c r="BD58" s="323"/>
      <c r="BE58" s="326"/>
      <c r="BF58" s="323"/>
      <c r="BG58" s="323"/>
      <c r="BH58" s="326"/>
      <c r="BI58" s="323"/>
      <c r="BJ58" s="323"/>
      <c r="BK58" s="326"/>
      <c r="BL58" s="323"/>
      <c r="BM58" s="323"/>
      <c r="BN58" s="326"/>
      <c r="BO58" s="323"/>
      <c r="BP58" s="323"/>
      <c r="BQ58" s="326"/>
      <c r="BR58" s="323"/>
      <c r="BS58" s="323"/>
      <c r="BT58" s="326"/>
      <c r="BU58" s="327">
        <v>180536.42</v>
      </c>
    </row>
    <row r="59" spans="1:73">
      <c r="A59" s="1720"/>
      <c r="B59" s="1721"/>
      <c r="C59" s="324" t="s">
        <v>676</v>
      </c>
      <c r="D59" s="325">
        <v>4558483.5599999996</v>
      </c>
      <c r="E59" s="325">
        <v>4558483.5599999996</v>
      </c>
      <c r="F59" s="325">
        <v>9116967.1199999992</v>
      </c>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s="326"/>
      <c r="BB59" s="326"/>
      <c r="BC59" s="326"/>
      <c r="BD59" s="326"/>
      <c r="BE59" s="326"/>
      <c r="BF59" s="326"/>
      <c r="BG59" s="326"/>
      <c r="BH59" s="326"/>
      <c r="BI59" s="326"/>
      <c r="BJ59" s="326"/>
      <c r="BK59" s="326"/>
      <c r="BL59" s="326"/>
      <c r="BM59" s="326"/>
      <c r="BN59" s="326"/>
      <c r="BO59" s="326"/>
      <c r="BP59" s="326"/>
      <c r="BQ59" s="326"/>
      <c r="BR59" s="326"/>
      <c r="BS59" s="326"/>
      <c r="BT59" s="326"/>
      <c r="BU59" s="325">
        <v>9116967.1199999992</v>
      </c>
    </row>
    <row r="60" spans="1:73">
      <c r="A60" s="1720"/>
      <c r="B60" s="1719" t="s">
        <v>677</v>
      </c>
      <c r="C60" s="321" t="s">
        <v>340</v>
      </c>
      <c r="D60" s="322">
        <v>3813072.7</v>
      </c>
      <c r="E60" s="322">
        <v>3813072.7</v>
      </c>
      <c r="F60" s="325">
        <v>7626145.4000000004</v>
      </c>
      <c r="G60" s="323"/>
      <c r="H60" s="323"/>
      <c r="I60" s="326"/>
      <c r="J60" s="323"/>
      <c r="K60" s="323"/>
      <c r="L60" s="326"/>
      <c r="M60" s="323"/>
      <c r="N60" s="323"/>
      <c r="O60" s="326"/>
      <c r="P60" s="323"/>
      <c r="Q60" s="323"/>
      <c r="R60" s="326"/>
      <c r="S60" s="323"/>
      <c r="T60" s="323"/>
      <c r="U60" s="326"/>
      <c r="V60" s="323"/>
      <c r="W60" s="323"/>
      <c r="X60" s="326"/>
      <c r="Y60" s="323"/>
      <c r="Z60" s="323"/>
      <c r="AA60" s="326"/>
      <c r="AB60" s="323"/>
      <c r="AC60" s="323"/>
      <c r="AD60" s="326"/>
      <c r="AE60" s="323"/>
      <c r="AF60" s="323"/>
      <c r="AG60" s="326"/>
      <c r="AH60" s="323"/>
      <c r="AI60" s="323"/>
      <c r="AJ60" s="326"/>
      <c r="AK60" s="323"/>
      <c r="AL60" s="323"/>
      <c r="AM60" s="326"/>
      <c r="AN60" s="323"/>
      <c r="AO60" s="323"/>
      <c r="AP60" s="326"/>
      <c r="AQ60" s="323"/>
      <c r="AR60" s="323"/>
      <c r="AS60" s="326"/>
      <c r="AT60" s="322">
        <v>520818.31</v>
      </c>
      <c r="AU60" s="322">
        <v>520818.31</v>
      </c>
      <c r="AV60" s="325">
        <v>1041636.62</v>
      </c>
      <c r="AW60" s="322">
        <v>17112948.07</v>
      </c>
      <c r="AX60" s="322">
        <v>17112948.07</v>
      </c>
      <c r="AY60" s="325">
        <v>34225896.140000001</v>
      </c>
      <c r="AZ60" s="323"/>
      <c r="BA60" s="323"/>
      <c r="BB60" s="326"/>
      <c r="BC60" s="322">
        <v>1961562.16</v>
      </c>
      <c r="BD60" s="322">
        <v>1961562.16</v>
      </c>
      <c r="BE60" s="325">
        <v>3923124.32</v>
      </c>
      <c r="BF60" s="323"/>
      <c r="BG60" s="323"/>
      <c r="BH60" s="326"/>
      <c r="BI60" s="323"/>
      <c r="BJ60" s="323"/>
      <c r="BK60" s="326"/>
      <c r="BL60" s="322">
        <v>1215839.9099999999</v>
      </c>
      <c r="BM60" s="322">
        <v>1530797.91</v>
      </c>
      <c r="BN60" s="325">
        <v>2746637.82</v>
      </c>
      <c r="BO60" s="323"/>
      <c r="BP60" s="323"/>
      <c r="BQ60" s="326"/>
      <c r="BR60" s="323"/>
      <c r="BS60" s="323"/>
      <c r="BT60" s="326"/>
      <c r="BU60" s="327">
        <v>49563440.299999997</v>
      </c>
    </row>
    <row r="61" spans="1:73">
      <c r="A61" s="1720"/>
      <c r="B61" s="1720"/>
      <c r="C61" s="321" t="s">
        <v>341</v>
      </c>
      <c r="D61" s="322">
        <v>2242548.42</v>
      </c>
      <c r="E61" s="322">
        <v>2242548.42</v>
      </c>
      <c r="F61" s="325">
        <v>4485096.84</v>
      </c>
      <c r="G61" s="323"/>
      <c r="H61" s="323"/>
      <c r="I61" s="326"/>
      <c r="J61" s="323"/>
      <c r="K61" s="323"/>
      <c r="L61" s="326"/>
      <c r="M61" s="323"/>
      <c r="N61" s="323"/>
      <c r="O61" s="326"/>
      <c r="P61" s="323"/>
      <c r="Q61" s="323"/>
      <c r="R61" s="326"/>
      <c r="S61" s="323"/>
      <c r="T61" s="323"/>
      <c r="U61" s="326"/>
      <c r="V61" s="323"/>
      <c r="W61" s="323"/>
      <c r="X61" s="326"/>
      <c r="Y61" s="323"/>
      <c r="Z61" s="323"/>
      <c r="AA61" s="326"/>
      <c r="AB61" s="323"/>
      <c r="AC61" s="323"/>
      <c r="AD61" s="326"/>
      <c r="AE61" s="323"/>
      <c r="AF61" s="323"/>
      <c r="AG61" s="326"/>
      <c r="AH61" s="323"/>
      <c r="AI61" s="323"/>
      <c r="AJ61" s="326"/>
      <c r="AK61" s="323"/>
      <c r="AL61" s="323"/>
      <c r="AM61" s="326"/>
      <c r="AN61" s="323"/>
      <c r="AO61" s="323"/>
      <c r="AP61" s="326"/>
      <c r="AQ61" s="323"/>
      <c r="AR61" s="323"/>
      <c r="AS61" s="326"/>
      <c r="AT61" s="322">
        <v>298261.90000000002</v>
      </c>
      <c r="AU61" s="322">
        <v>298261.90000000002</v>
      </c>
      <c r="AV61" s="325">
        <v>596523.80000000005</v>
      </c>
      <c r="AW61" s="322">
        <v>10048760.449999999</v>
      </c>
      <c r="AX61" s="322">
        <v>10048760.449999999</v>
      </c>
      <c r="AY61" s="325">
        <v>20097520.899999999</v>
      </c>
      <c r="AZ61" s="323"/>
      <c r="BA61" s="323"/>
      <c r="BB61" s="326"/>
      <c r="BC61" s="322">
        <v>952255.4</v>
      </c>
      <c r="BD61" s="322">
        <v>952255.4</v>
      </c>
      <c r="BE61" s="325">
        <v>1904510.8</v>
      </c>
      <c r="BF61" s="323"/>
      <c r="BG61" s="323"/>
      <c r="BH61" s="326"/>
      <c r="BI61" s="323"/>
      <c r="BJ61" s="323"/>
      <c r="BK61" s="326"/>
      <c r="BL61" s="322">
        <v>713538.9</v>
      </c>
      <c r="BM61" s="322">
        <v>713538.9</v>
      </c>
      <c r="BN61" s="325">
        <v>1427077.8</v>
      </c>
      <c r="BO61" s="323"/>
      <c r="BP61" s="323"/>
      <c r="BQ61" s="326"/>
      <c r="BR61" s="323"/>
      <c r="BS61" s="323"/>
      <c r="BT61" s="326"/>
      <c r="BU61" s="327">
        <v>28510730.140000001</v>
      </c>
    </row>
    <row r="62" spans="1:73">
      <c r="A62" s="1720"/>
      <c r="B62" s="1720"/>
      <c r="C62" s="321" t="s">
        <v>342</v>
      </c>
      <c r="D62" s="322">
        <v>196238</v>
      </c>
      <c r="E62" s="322">
        <v>196238</v>
      </c>
      <c r="F62" s="325">
        <v>392476</v>
      </c>
      <c r="G62" s="323"/>
      <c r="H62" s="323"/>
      <c r="I62" s="326"/>
      <c r="J62" s="323"/>
      <c r="K62" s="323"/>
      <c r="L62" s="326"/>
      <c r="M62" s="323"/>
      <c r="N62" s="323"/>
      <c r="O62" s="326"/>
      <c r="P62" s="323"/>
      <c r="Q62" s="323"/>
      <c r="R62" s="326"/>
      <c r="S62" s="323"/>
      <c r="T62" s="323"/>
      <c r="U62" s="326"/>
      <c r="V62" s="323"/>
      <c r="W62" s="323"/>
      <c r="X62" s="326"/>
      <c r="Y62" s="323"/>
      <c r="Z62" s="323"/>
      <c r="AA62" s="326"/>
      <c r="AB62" s="323"/>
      <c r="AC62" s="323"/>
      <c r="AD62" s="326"/>
      <c r="AE62" s="323"/>
      <c r="AF62" s="323"/>
      <c r="AG62" s="326"/>
      <c r="AH62" s="323"/>
      <c r="AI62" s="323"/>
      <c r="AJ62" s="326"/>
      <c r="AK62" s="323"/>
      <c r="AL62" s="323"/>
      <c r="AM62" s="326"/>
      <c r="AN62" s="323"/>
      <c r="AO62" s="323"/>
      <c r="AP62" s="326"/>
      <c r="AQ62" s="323"/>
      <c r="AR62" s="323"/>
      <c r="AS62" s="326"/>
      <c r="AT62" s="322">
        <v>9287178.3200000003</v>
      </c>
      <c r="AU62" s="322">
        <v>9287778.3200000003</v>
      </c>
      <c r="AV62" s="325">
        <v>18574956.640000001</v>
      </c>
      <c r="AW62" s="322">
        <v>16447389.52</v>
      </c>
      <c r="AX62" s="322">
        <v>15922389.52</v>
      </c>
      <c r="AY62" s="325">
        <v>32369779.039999999</v>
      </c>
      <c r="AZ62" s="323"/>
      <c r="BA62" s="323"/>
      <c r="BB62" s="326"/>
      <c r="BC62" s="322">
        <v>7482963</v>
      </c>
      <c r="BD62" s="322">
        <v>7498963</v>
      </c>
      <c r="BE62" s="325">
        <v>14981926</v>
      </c>
      <c r="BF62" s="323"/>
      <c r="BG62" s="323"/>
      <c r="BH62" s="326"/>
      <c r="BI62" s="323"/>
      <c r="BJ62" s="323"/>
      <c r="BK62" s="326"/>
      <c r="BL62" s="322">
        <v>1139170</v>
      </c>
      <c r="BM62" s="322">
        <v>1016170</v>
      </c>
      <c r="BN62" s="325">
        <v>2155340</v>
      </c>
      <c r="BO62" s="323"/>
      <c r="BP62" s="323"/>
      <c r="BQ62" s="326"/>
      <c r="BR62" s="323"/>
      <c r="BS62" s="323"/>
      <c r="BT62" s="326"/>
      <c r="BU62" s="327">
        <v>68474477.680000007</v>
      </c>
    </row>
    <row r="63" spans="1:73">
      <c r="A63" s="1720"/>
      <c r="B63" s="1720"/>
      <c r="C63" s="321" t="s">
        <v>343</v>
      </c>
      <c r="D63" s="322">
        <v>106626.61</v>
      </c>
      <c r="E63" s="322">
        <v>99561.61</v>
      </c>
      <c r="F63" s="325">
        <v>206188.22</v>
      </c>
      <c r="G63" s="323"/>
      <c r="H63" s="323"/>
      <c r="I63" s="326"/>
      <c r="J63" s="323"/>
      <c r="K63" s="323"/>
      <c r="L63" s="326"/>
      <c r="M63" s="323"/>
      <c r="N63" s="323"/>
      <c r="O63" s="326"/>
      <c r="P63" s="323"/>
      <c r="Q63" s="323"/>
      <c r="R63" s="326"/>
      <c r="S63" s="323"/>
      <c r="T63" s="323"/>
      <c r="U63" s="326"/>
      <c r="V63" s="323"/>
      <c r="W63" s="323"/>
      <c r="X63" s="326"/>
      <c r="Y63" s="323"/>
      <c r="Z63" s="323"/>
      <c r="AA63" s="326"/>
      <c r="AB63" s="323"/>
      <c r="AC63" s="323"/>
      <c r="AD63" s="326"/>
      <c r="AE63" s="323"/>
      <c r="AF63" s="323"/>
      <c r="AG63" s="326"/>
      <c r="AH63" s="323"/>
      <c r="AI63" s="323"/>
      <c r="AJ63" s="326"/>
      <c r="AK63" s="323"/>
      <c r="AL63" s="323"/>
      <c r="AM63" s="326"/>
      <c r="AN63" s="323"/>
      <c r="AO63" s="323"/>
      <c r="AP63" s="326"/>
      <c r="AQ63" s="323"/>
      <c r="AR63" s="323"/>
      <c r="AS63" s="326"/>
      <c r="AT63" s="322">
        <v>1511885.34</v>
      </c>
      <c r="AU63" s="322">
        <v>1518411.41</v>
      </c>
      <c r="AV63" s="325">
        <v>3030296.75</v>
      </c>
      <c r="AW63" s="322">
        <v>24911974.039999999</v>
      </c>
      <c r="AX63" s="322">
        <v>24822335.039999999</v>
      </c>
      <c r="AY63" s="325">
        <v>49734309.079999998</v>
      </c>
      <c r="AZ63" s="323"/>
      <c r="BA63" s="323"/>
      <c r="BB63" s="326"/>
      <c r="BC63" s="322">
        <v>5055011.5599999996</v>
      </c>
      <c r="BD63" s="322">
        <v>5069210.5599999996</v>
      </c>
      <c r="BE63" s="325">
        <v>10124222.119999999</v>
      </c>
      <c r="BF63" s="323"/>
      <c r="BG63" s="323"/>
      <c r="BH63" s="326"/>
      <c r="BI63" s="323"/>
      <c r="BJ63" s="323"/>
      <c r="BK63" s="326"/>
      <c r="BL63" s="322">
        <v>2048793.48</v>
      </c>
      <c r="BM63" s="322">
        <v>2079748.48</v>
      </c>
      <c r="BN63" s="325">
        <v>4128541.96</v>
      </c>
      <c r="BO63" s="323"/>
      <c r="BP63" s="323"/>
      <c r="BQ63" s="326"/>
      <c r="BR63" s="323"/>
      <c r="BS63" s="323"/>
      <c r="BT63" s="326"/>
      <c r="BU63" s="327">
        <v>67223558.129999995</v>
      </c>
    </row>
    <row r="64" spans="1:73">
      <c r="A64" s="1720"/>
      <c r="B64" s="1720"/>
      <c r="C64" s="321" t="s">
        <v>344</v>
      </c>
      <c r="D64" s="323"/>
      <c r="E64" s="323"/>
      <c r="F64" s="326"/>
      <c r="G64" s="323"/>
      <c r="H64" s="323"/>
      <c r="I64" s="326"/>
      <c r="J64" s="323"/>
      <c r="K64" s="323"/>
      <c r="L64" s="326"/>
      <c r="M64" s="323"/>
      <c r="N64" s="323"/>
      <c r="O64" s="326"/>
      <c r="P64" s="323"/>
      <c r="Q64" s="323"/>
      <c r="R64" s="326"/>
      <c r="S64" s="323"/>
      <c r="T64" s="323"/>
      <c r="U64" s="326"/>
      <c r="V64" s="323"/>
      <c r="W64" s="323"/>
      <c r="X64" s="326"/>
      <c r="Y64" s="323"/>
      <c r="Z64" s="323"/>
      <c r="AA64" s="326"/>
      <c r="AB64" s="323"/>
      <c r="AC64" s="323"/>
      <c r="AD64" s="326"/>
      <c r="AE64" s="323"/>
      <c r="AF64" s="323"/>
      <c r="AG64" s="326"/>
      <c r="AH64" s="323"/>
      <c r="AI64" s="323"/>
      <c r="AJ64" s="326"/>
      <c r="AK64" s="323"/>
      <c r="AL64" s="323"/>
      <c r="AM64" s="326"/>
      <c r="AN64" s="323"/>
      <c r="AO64" s="323"/>
      <c r="AP64" s="326"/>
      <c r="AQ64" s="323"/>
      <c r="AR64" s="323"/>
      <c r="AS64" s="326"/>
      <c r="AT64" s="322">
        <v>55000</v>
      </c>
      <c r="AU64" s="322">
        <v>55000</v>
      </c>
      <c r="AV64" s="325">
        <v>110000</v>
      </c>
      <c r="AW64" s="322">
        <v>195000</v>
      </c>
      <c r="AX64" s="322">
        <v>195000</v>
      </c>
      <c r="AY64" s="325">
        <v>390000</v>
      </c>
      <c r="AZ64" s="323"/>
      <c r="BA64" s="323"/>
      <c r="BB64" s="326"/>
      <c r="BC64" s="323"/>
      <c r="BD64" s="323"/>
      <c r="BE64" s="326"/>
      <c r="BF64" s="323"/>
      <c r="BG64" s="323"/>
      <c r="BH64" s="326"/>
      <c r="BI64" s="323"/>
      <c r="BJ64" s="323"/>
      <c r="BK64" s="326"/>
      <c r="BL64" s="322">
        <v>36000</v>
      </c>
      <c r="BM64" s="322">
        <v>36000</v>
      </c>
      <c r="BN64" s="325">
        <v>72000</v>
      </c>
      <c r="BO64" s="323"/>
      <c r="BP64" s="323"/>
      <c r="BQ64" s="326"/>
      <c r="BR64" s="323"/>
      <c r="BS64" s="323"/>
      <c r="BT64" s="326"/>
      <c r="BU64" s="327">
        <v>572000</v>
      </c>
    </row>
    <row r="65" spans="1:73">
      <c r="A65" s="1720"/>
      <c r="B65" s="1720"/>
      <c r="C65" s="321" t="s">
        <v>350</v>
      </c>
      <c r="D65" s="323"/>
      <c r="E65" s="323"/>
      <c r="F65" s="326"/>
      <c r="G65" s="323"/>
      <c r="H65" s="323"/>
      <c r="I65" s="326"/>
      <c r="J65" s="323"/>
      <c r="K65" s="323"/>
      <c r="L65" s="326"/>
      <c r="M65" s="323"/>
      <c r="N65" s="323"/>
      <c r="O65" s="326"/>
      <c r="P65" s="323"/>
      <c r="Q65" s="323"/>
      <c r="R65" s="326"/>
      <c r="S65" s="323"/>
      <c r="T65" s="323"/>
      <c r="U65" s="326"/>
      <c r="V65" s="323"/>
      <c r="W65" s="323"/>
      <c r="X65" s="326"/>
      <c r="Y65" s="323"/>
      <c r="Z65" s="323"/>
      <c r="AA65" s="326"/>
      <c r="AB65" s="323"/>
      <c r="AC65" s="323"/>
      <c r="AD65" s="326"/>
      <c r="AE65" s="323"/>
      <c r="AF65" s="323"/>
      <c r="AG65" s="326"/>
      <c r="AH65" s="323"/>
      <c r="AI65" s="323"/>
      <c r="AJ65" s="326"/>
      <c r="AK65" s="323"/>
      <c r="AL65" s="323"/>
      <c r="AM65" s="326"/>
      <c r="AN65" s="323"/>
      <c r="AO65" s="323"/>
      <c r="AP65" s="326"/>
      <c r="AQ65" s="323"/>
      <c r="AR65" s="323"/>
      <c r="AS65" s="326"/>
      <c r="AT65" s="323"/>
      <c r="AU65" s="323"/>
      <c r="AV65" s="326"/>
      <c r="AW65" s="322">
        <v>550000</v>
      </c>
      <c r="AX65" s="322">
        <v>550000</v>
      </c>
      <c r="AY65" s="325">
        <v>1100000</v>
      </c>
      <c r="AZ65" s="323"/>
      <c r="BA65" s="323"/>
      <c r="BB65" s="326"/>
      <c r="BC65" s="323"/>
      <c r="BD65" s="323"/>
      <c r="BE65" s="326"/>
      <c r="BF65" s="323"/>
      <c r="BG65" s="323"/>
      <c r="BH65" s="326"/>
      <c r="BI65" s="323"/>
      <c r="BJ65" s="323"/>
      <c r="BK65" s="326"/>
      <c r="BL65" s="323"/>
      <c r="BM65" s="323"/>
      <c r="BN65" s="326"/>
      <c r="BO65" s="323"/>
      <c r="BP65" s="323"/>
      <c r="BQ65" s="326"/>
      <c r="BR65" s="323"/>
      <c r="BS65" s="323"/>
      <c r="BT65" s="326"/>
      <c r="BU65" s="327">
        <v>1100000</v>
      </c>
    </row>
    <row r="66" spans="1:73">
      <c r="A66" s="1720"/>
      <c r="B66" s="1721"/>
      <c r="C66" s="324" t="s">
        <v>677</v>
      </c>
      <c r="D66" s="325">
        <v>6358485.7300000004</v>
      </c>
      <c r="E66" s="325">
        <v>6351420.7300000004</v>
      </c>
      <c r="F66" s="325">
        <v>12709906.460000001</v>
      </c>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5">
        <v>11673143.869999999</v>
      </c>
      <c r="AU66" s="325">
        <v>11680269.939999999</v>
      </c>
      <c r="AV66" s="325">
        <v>23353413.809999999</v>
      </c>
      <c r="AW66" s="325">
        <v>69266072.079999998</v>
      </c>
      <c r="AX66" s="325">
        <v>68651433.079999998</v>
      </c>
      <c r="AY66" s="325">
        <v>137917505.16</v>
      </c>
      <c r="AZ66" s="326"/>
      <c r="BA66" s="326"/>
      <c r="BB66" s="326"/>
      <c r="BC66" s="325">
        <v>15451792.119999999</v>
      </c>
      <c r="BD66" s="325">
        <v>15481991.119999999</v>
      </c>
      <c r="BE66" s="325">
        <v>30933783.239999998</v>
      </c>
      <c r="BF66" s="326"/>
      <c r="BG66" s="326"/>
      <c r="BH66" s="326"/>
      <c r="BI66" s="326"/>
      <c r="BJ66" s="326"/>
      <c r="BK66" s="326"/>
      <c r="BL66" s="325">
        <v>5153342.29</v>
      </c>
      <c r="BM66" s="325">
        <v>5376255.29</v>
      </c>
      <c r="BN66" s="325">
        <v>10529597.58</v>
      </c>
      <c r="BO66" s="326"/>
      <c r="BP66" s="326"/>
      <c r="BQ66" s="326"/>
      <c r="BR66" s="326"/>
      <c r="BS66" s="326"/>
      <c r="BT66" s="326"/>
      <c r="BU66" s="325">
        <v>215444206.25</v>
      </c>
    </row>
    <row r="67" spans="1:73">
      <c r="A67" s="1720"/>
      <c r="B67" s="1719" t="s">
        <v>678</v>
      </c>
      <c r="C67" s="321" t="s">
        <v>340</v>
      </c>
      <c r="D67" s="322">
        <v>15924095.76</v>
      </c>
      <c r="E67" s="322">
        <v>15838066.76</v>
      </c>
      <c r="F67" s="325">
        <v>31762162.52</v>
      </c>
      <c r="G67" s="323"/>
      <c r="H67" s="323"/>
      <c r="I67" s="326"/>
      <c r="J67" s="323"/>
      <c r="K67" s="323"/>
      <c r="L67" s="326"/>
      <c r="M67" s="323"/>
      <c r="N67" s="323"/>
      <c r="O67" s="326"/>
      <c r="P67" s="323"/>
      <c r="Q67" s="323"/>
      <c r="R67" s="326"/>
      <c r="S67" s="323"/>
      <c r="T67" s="323"/>
      <c r="U67" s="326"/>
      <c r="V67" s="323"/>
      <c r="W67" s="323"/>
      <c r="X67" s="326"/>
      <c r="Y67" s="323"/>
      <c r="Z67" s="323"/>
      <c r="AA67" s="326"/>
      <c r="AB67" s="323"/>
      <c r="AC67" s="323"/>
      <c r="AD67" s="326"/>
      <c r="AE67" s="323"/>
      <c r="AF67" s="323"/>
      <c r="AG67" s="326"/>
      <c r="AH67" s="323"/>
      <c r="AI67" s="323"/>
      <c r="AJ67" s="326"/>
      <c r="AK67" s="323"/>
      <c r="AL67" s="323"/>
      <c r="AM67" s="326"/>
      <c r="AN67" s="323"/>
      <c r="AO67" s="323"/>
      <c r="AP67" s="326"/>
      <c r="AQ67" s="323"/>
      <c r="AR67" s="323"/>
      <c r="AS67" s="326"/>
      <c r="AT67" s="322">
        <v>2938536.93</v>
      </c>
      <c r="AU67" s="322">
        <v>2938536.93</v>
      </c>
      <c r="AV67" s="325">
        <v>5877073.8600000003</v>
      </c>
      <c r="AW67" s="323"/>
      <c r="AX67" s="323"/>
      <c r="AY67" s="326"/>
      <c r="AZ67" s="323"/>
      <c r="BA67" s="323"/>
      <c r="BB67" s="326"/>
      <c r="BC67" s="323"/>
      <c r="BD67" s="323"/>
      <c r="BE67" s="326"/>
      <c r="BF67" s="323"/>
      <c r="BG67" s="323"/>
      <c r="BH67" s="326"/>
      <c r="BI67" s="323"/>
      <c r="BJ67" s="323"/>
      <c r="BK67" s="326"/>
      <c r="BL67" s="323"/>
      <c r="BM67" s="323"/>
      <c r="BN67" s="326"/>
      <c r="BO67" s="323"/>
      <c r="BP67" s="323"/>
      <c r="BQ67" s="326"/>
      <c r="BR67" s="323"/>
      <c r="BS67" s="323"/>
      <c r="BT67" s="326"/>
      <c r="BU67" s="327">
        <v>37639236.380000003</v>
      </c>
    </row>
    <row r="68" spans="1:73">
      <c r="A68" s="1720"/>
      <c r="B68" s="1720"/>
      <c r="C68" s="321" t="s">
        <v>341</v>
      </c>
      <c r="D68" s="322">
        <v>8587130.3499999996</v>
      </c>
      <c r="E68" s="322">
        <v>8587130.3499999996</v>
      </c>
      <c r="F68" s="325">
        <v>17174260.699999999</v>
      </c>
      <c r="G68" s="323"/>
      <c r="H68" s="323"/>
      <c r="I68" s="326"/>
      <c r="J68" s="323"/>
      <c r="K68" s="323"/>
      <c r="L68" s="326"/>
      <c r="M68" s="323"/>
      <c r="N68" s="323"/>
      <c r="O68" s="326"/>
      <c r="P68" s="323"/>
      <c r="Q68" s="323"/>
      <c r="R68" s="326"/>
      <c r="S68" s="323"/>
      <c r="T68" s="323"/>
      <c r="U68" s="326"/>
      <c r="V68" s="323"/>
      <c r="W68" s="323"/>
      <c r="X68" s="326"/>
      <c r="Y68" s="323"/>
      <c r="Z68" s="323"/>
      <c r="AA68" s="326"/>
      <c r="AB68" s="323"/>
      <c r="AC68" s="323"/>
      <c r="AD68" s="326"/>
      <c r="AE68" s="323"/>
      <c r="AF68" s="323"/>
      <c r="AG68" s="326"/>
      <c r="AH68" s="323"/>
      <c r="AI68" s="323"/>
      <c r="AJ68" s="326"/>
      <c r="AK68" s="323"/>
      <c r="AL68" s="323"/>
      <c r="AM68" s="326"/>
      <c r="AN68" s="323"/>
      <c r="AO68" s="323"/>
      <c r="AP68" s="326"/>
      <c r="AQ68" s="323"/>
      <c r="AR68" s="323"/>
      <c r="AS68" s="326"/>
      <c r="AT68" s="322">
        <v>1806584.24</v>
      </c>
      <c r="AU68" s="322">
        <v>1806584.24</v>
      </c>
      <c r="AV68" s="325">
        <v>3613168.48</v>
      </c>
      <c r="AW68" s="323"/>
      <c r="AX68" s="323"/>
      <c r="AY68" s="326"/>
      <c r="AZ68" s="323"/>
      <c r="BA68" s="323"/>
      <c r="BB68" s="326"/>
      <c r="BC68" s="323"/>
      <c r="BD68" s="323"/>
      <c r="BE68" s="326"/>
      <c r="BF68" s="323"/>
      <c r="BG68" s="323"/>
      <c r="BH68" s="326"/>
      <c r="BI68" s="323"/>
      <c r="BJ68" s="323"/>
      <c r="BK68" s="326"/>
      <c r="BL68" s="323"/>
      <c r="BM68" s="323"/>
      <c r="BN68" s="326"/>
      <c r="BO68" s="323"/>
      <c r="BP68" s="323"/>
      <c r="BQ68" s="326"/>
      <c r="BR68" s="323"/>
      <c r="BS68" s="323"/>
      <c r="BT68" s="326"/>
      <c r="BU68" s="327">
        <v>20787429.18</v>
      </c>
    </row>
    <row r="69" spans="1:73">
      <c r="A69" s="1720"/>
      <c r="B69" s="1720"/>
      <c r="C69" s="321" t="s">
        <v>342</v>
      </c>
      <c r="D69" s="322">
        <v>14289840</v>
      </c>
      <c r="E69" s="322">
        <v>13798840</v>
      </c>
      <c r="F69" s="325">
        <v>28088680</v>
      </c>
      <c r="G69" s="323"/>
      <c r="H69" s="323"/>
      <c r="I69" s="326"/>
      <c r="J69" s="323"/>
      <c r="K69" s="323"/>
      <c r="L69" s="326"/>
      <c r="M69" s="323"/>
      <c r="N69" s="323"/>
      <c r="O69" s="326"/>
      <c r="P69" s="323"/>
      <c r="Q69" s="323"/>
      <c r="R69" s="326"/>
      <c r="S69" s="323"/>
      <c r="T69" s="323"/>
      <c r="U69" s="326"/>
      <c r="V69" s="323"/>
      <c r="W69" s="323"/>
      <c r="X69" s="326"/>
      <c r="Y69" s="323"/>
      <c r="Z69" s="323"/>
      <c r="AA69" s="326"/>
      <c r="AB69" s="323"/>
      <c r="AC69" s="323"/>
      <c r="AD69" s="326"/>
      <c r="AE69" s="323"/>
      <c r="AF69" s="323"/>
      <c r="AG69" s="326"/>
      <c r="AH69" s="323"/>
      <c r="AI69" s="323"/>
      <c r="AJ69" s="326"/>
      <c r="AK69" s="323"/>
      <c r="AL69" s="323"/>
      <c r="AM69" s="326"/>
      <c r="AN69" s="323"/>
      <c r="AO69" s="323"/>
      <c r="AP69" s="326"/>
      <c r="AQ69" s="323"/>
      <c r="AR69" s="323"/>
      <c r="AS69" s="326"/>
      <c r="AT69" s="322">
        <v>1701153.59</v>
      </c>
      <c r="AU69" s="322">
        <v>1701153.59</v>
      </c>
      <c r="AV69" s="325">
        <v>3402307.18</v>
      </c>
      <c r="AW69" s="323"/>
      <c r="AX69" s="323"/>
      <c r="AY69" s="326"/>
      <c r="AZ69" s="323"/>
      <c r="BA69" s="323"/>
      <c r="BB69" s="326"/>
      <c r="BC69" s="323"/>
      <c r="BD69" s="323"/>
      <c r="BE69" s="326"/>
      <c r="BF69" s="323"/>
      <c r="BG69" s="323"/>
      <c r="BH69" s="326"/>
      <c r="BI69" s="323"/>
      <c r="BJ69" s="323"/>
      <c r="BK69" s="326"/>
      <c r="BL69" s="323"/>
      <c r="BM69" s="323"/>
      <c r="BN69" s="326"/>
      <c r="BO69" s="323"/>
      <c r="BP69" s="323"/>
      <c r="BQ69" s="326"/>
      <c r="BR69" s="323"/>
      <c r="BS69" s="323"/>
      <c r="BT69" s="326"/>
      <c r="BU69" s="327">
        <v>31490987.18</v>
      </c>
    </row>
    <row r="70" spans="1:73">
      <c r="A70" s="1720"/>
      <c r="B70" s="1720"/>
      <c r="C70" s="321" t="s">
        <v>343</v>
      </c>
      <c r="D70" s="322">
        <v>2412253.37</v>
      </c>
      <c r="E70" s="322">
        <v>2375383.37</v>
      </c>
      <c r="F70" s="325">
        <v>4787636.74</v>
      </c>
      <c r="G70" s="323"/>
      <c r="H70" s="323"/>
      <c r="I70" s="326"/>
      <c r="J70" s="323"/>
      <c r="K70" s="323"/>
      <c r="L70" s="326"/>
      <c r="M70" s="323"/>
      <c r="N70" s="323"/>
      <c r="O70" s="326"/>
      <c r="P70" s="323"/>
      <c r="Q70" s="323"/>
      <c r="R70" s="326"/>
      <c r="S70" s="323"/>
      <c r="T70" s="323"/>
      <c r="U70" s="326"/>
      <c r="V70" s="323"/>
      <c r="W70" s="323"/>
      <c r="X70" s="326"/>
      <c r="Y70" s="323"/>
      <c r="Z70" s="323"/>
      <c r="AA70" s="326"/>
      <c r="AB70" s="323"/>
      <c r="AC70" s="323"/>
      <c r="AD70" s="326"/>
      <c r="AE70" s="323"/>
      <c r="AF70" s="323"/>
      <c r="AG70" s="326"/>
      <c r="AH70" s="323"/>
      <c r="AI70" s="323"/>
      <c r="AJ70" s="326"/>
      <c r="AK70" s="323"/>
      <c r="AL70" s="323"/>
      <c r="AM70" s="326"/>
      <c r="AN70" s="323"/>
      <c r="AO70" s="323"/>
      <c r="AP70" s="326"/>
      <c r="AQ70" s="323"/>
      <c r="AR70" s="323"/>
      <c r="AS70" s="326"/>
      <c r="AT70" s="322">
        <v>2214051.12</v>
      </c>
      <c r="AU70" s="322">
        <v>2274936.12</v>
      </c>
      <c r="AV70" s="325">
        <v>4488987.24</v>
      </c>
      <c r="AW70" s="323"/>
      <c r="AX70" s="323"/>
      <c r="AY70" s="326"/>
      <c r="AZ70" s="323"/>
      <c r="BA70" s="323"/>
      <c r="BB70" s="326"/>
      <c r="BC70" s="323"/>
      <c r="BD70" s="323"/>
      <c r="BE70" s="326"/>
      <c r="BF70" s="323"/>
      <c r="BG70" s="323"/>
      <c r="BH70" s="326"/>
      <c r="BI70" s="323"/>
      <c r="BJ70" s="323"/>
      <c r="BK70" s="326"/>
      <c r="BL70" s="323"/>
      <c r="BM70" s="323"/>
      <c r="BN70" s="326"/>
      <c r="BO70" s="323"/>
      <c r="BP70" s="323"/>
      <c r="BQ70" s="326"/>
      <c r="BR70" s="323"/>
      <c r="BS70" s="323"/>
      <c r="BT70" s="326"/>
      <c r="BU70" s="327">
        <v>9276623.9800000004</v>
      </c>
    </row>
    <row r="71" spans="1:73">
      <c r="A71" s="1720"/>
      <c r="B71" s="1720"/>
      <c r="C71" s="321" t="s">
        <v>350</v>
      </c>
      <c r="D71" s="322">
        <v>233000</v>
      </c>
      <c r="E71" s="322">
        <v>158000</v>
      </c>
      <c r="F71" s="325">
        <v>391000</v>
      </c>
      <c r="G71" s="323"/>
      <c r="H71" s="323"/>
      <c r="I71" s="326"/>
      <c r="J71" s="323"/>
      <c r="K71" s="323"/>
      <c r="L71" s="326"/>
      <c r="M71" s="323"/>
      <c r="N71" s="323"/>
      <c r="O71" s="326"/>
      <c r="P71" s="323"/>
      <c r="Q71" s="323"/>
      <c r="R71" s="326"/>
      <c r="S71" s="323"/>
      <c r="T71" s="323"/>
      <c r="U71" s="326"/>
      <c r="V71" s="323"/>
      <c r="W71" s="323"/>
      <c r="X71" s="326"/>
      <c r="Y71" s="323"/>
      <c r="Z71" s="323"/>
      <c r="AA71" s="326"/>
      <c r="AB71" s="323"/>
      <c r="AC71" s="323"/>
      <c r="AD71" s="326"/>
      <c r="AE71" s="323"/>
      <c r="AF71" s="323"/>
      <c r="AG71" s="326"/>
      <c r="AH71" s="323"/>
      <c r="AI71" s="323"/>
      <c r="AJ71" s="326"/>
      <c r="AK71" s="323"/>
      <c r="AL71" s="323"/>
      <c r="AM71" s="326"/>
      <c r="AN71" s="323"/>
      <c r="AO71" s="323"/>
      <c r="AP71" s="326"/>
      <c r="AQ71" s="323"/>
      <c r="AR71" s="323"/>
      <c r="AS71" s="326"/>
      <c r="AT71" s="323"/>
      <c r="AU71" s="323"/>
      <c r="AV71" s="326"/>
      <c r="AW71" s="323"/>
      <c r="AX71" s="323"/>
      <c r="AY71" s="326"/>
      <c r="AZ71" s="323"/>
      <c r="BA71" s="323"/>
      <c r="BB71" s="326"/>
      <c r="BC71" s="323"/>
      <c r="BD71" s="323"/>
      <c r="BE71" s="326"/>
      <c r="BF71" s="323"/>
      <c r="BG71" s="323"/>
      <c r="BH71" s="326"/>
      <c r="BI71" s="323"/>
      <c r="BJ71" s="323"/>
      <c r="BK71" s="326"/>
      <c r="BL71" s="323"/>
      <c r="BM71" s="323"/>
      <c r="BN71" s="326"/>
      <c r="BO71" s="323"/>
      <c r="BP71" s="323"/>
      <c r="BQ71" s="326"/>
      <c r="BR71" s="323"/>
      <c r="BS71" s="323"/>
      <c r="BT71" s="326"/>
      <c r="BU71" s="327">
        <v>391000</v>
      </c>
    </row>
    <row r="72" spans="1:73" ht="21">
      <c r="A72" s="1720"/>
      <c r="B72" s="1721"/>
      <c r="C72" s="324" t="s">
        <v>678</v>
      </c>
      <c r="D72" s="325">
        <v>41446319.479999997</v>
      </c>
      <c r="E72" s="325">
        <v>40757420.479999997</v>
      </c>
      <c r="F72" s="325">
        <v>82203739.959999993</v>
      </c>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5">
        <v>8660325.8800000008</v>
      </c>
      <c r="AU72" s="325">
        <v>8721210.8800000008</v>
      </c>
      <c r="AV72" s="325">
        <v>17381536.760000002</v>
      </c>
      <c r="AW72" s="326"/>
      <c r="AX72" s="326"/>
      <c r="AY72" s="326"/>
      <c r="AZ72" s="326"/>
      <c r="BA72" s="326"/>
      <c r="BB72" s="326"/>
      <c r="BC72" s="326"/>
      <c r="BD72" s="326"/>
      <c r="BE72" s="326"/>
      <c r="BF72" s="326"/>
      <c r="BG72" s="326"/>
      <c r="BH72" s="326"/>
      <c r="BI72" s="326"/>
      <c r="BJ72" s="326"/>
      <c r="BK72" s="326"/>
      <c r="BL72" s="326"/>
      <c r="BM72" s="326"/>
      <c r="BN72" s="326"/>
      <c r="BO72" s="326"/>
      <c r="BP72" s="326"/>
      <c r="BQ72" s="326"/>
      <c r="BR72" s="326"/>
      <c r="BS72" s="326"/>
      <c r="BT72" s="326"/>
      <c r="BU72" s="325">
        <v>99585276.719999999</v>
      </c>
    </row>
    <row r="73" spans="1:73">
      <c r="A73" s="1720"/>
      <c r="B73" s="1719" t="s">
        <v>679</v>
      </c>
      <c r="C73" s="321" t="s">
        <v>340</v>
      </c>
      <c r="D73" s="322">
        <v>53117921.420000002</v>
      </c>
      <c r="E73" s="322">
        <v>53117921.420000002</v>
      </c>
      <c r="F73" s="325">
        <v>106235842.84</v>
      </c>
      <c r="G73" s="323"/>
      <c r="H73" s="323"/>
      <c r="I73" s="326"/>
      <c r="J73" s="323"/>
      <c r="K73" s="323"/>
      <c r="L73" s="326"/>
      <c r="M73" s="323"/>
      <c r="N73" s="323"/>
      <c r="O73" s="326"/>
      <c r="P73" s="323"/>
      <c r="Q73" s="323"/>
      <c r="R73" s="326"/>
      <c r="S73" s="323"/>
      <c r="T73" s="323"/>
      <c r="U73" s="326"/>
      <c r="V73" s="323"/>
      <c r="W73" s="323"/>
      <c r="X73" s="326"/>
      <c r="Y73" s="323"/>
      <c r="Z73" s="323"/>
      <c r="AA73" s="326"/>
      <c r="AB73" s="323"/>
      <c r="AC73" s="323"/>
      <c r="AD73" s="326"/>
      <c r="AE73" s="323"/>
      <c r="AF73" s="323"/>
      <c r="AG73" s="326"/>
      <c r="AH73" s="323"/>
      <c r="AI73" s="323"/>
      <c r="AJ73" s="326"/>
      <c r="AK73" s="323"/>
      <c r="AL73" s="323"/>
      <c r="AM73" s="326"/>
      <c r="AN73" s="323"/>
      <c r="AO73" s="323"/>
      <c r="AP73" s="326"/>
      <c r="AQ73" s="323"/>
      <c r="AR73" s="323"/>
      <c r="AS73" s="326"/>
      <c r="AT73" s="323"/>
      <c r="AU73" s="323"/>
      <c r="AV73" s="326"/>
      <c r="AW73" s="323"/>
      <c r="AX73" s="323"/>
      <c r="AY73" s="326"/>
      <c r="AZ73" s="323"/>
      <c r="BA73" s="323"/>
      <c r="BB73" s="326"/>
      <c r="BC73" s="323"/>
      <c r="BD73" s="323"/>
      <c r="BE73" s="326"/>
      <c r="BF73" s="323"/>
      <c r="BG73" s="323"/>
      <c r="BH73" s="326"/>
      <c r="BI73" s="323"/>
      <c r="BJ73" s="323"/>
      <c r="BK73" s="326"/>
      <c r="BL73" s="323"/>
      <c r="BM73" s="323"/>
      <c r="BN73" s="326"/>
      <c r="BO73" s="323"/>
      <c r="BP73" s="323"/>
      <c r="BQ73" s="326"/>
      <c r="BR73" s="323"/>
      <c r="BS73" s="323"/>
      <c r="BT73" s="326"/>
      <c r="BU73" s="327">
        <v>106235842.84</v>
      </c>
    </row>
    <row r="74" spans="1:73">
      <c r="A74" s="1720"/>
      <c r="B74" s="1720"/>
      <c r="C74" s="321" t="s">
        <v>341</v>
      </c>
      <c r="D74" s="322">
        <v>31142223.260000002</v>
      </c>
      <c r="E74" s="322">
        <v>31142223.260000002</v>
      </c>
      <c r="F74" s="325">
        <v>62284446.520000003</v>
      </c>
      <c r="G74" s="323"/>
      <c r="H74" s="323"/>
      <c r="I74" s="326"/>
      <c r="J74" s="323"/>
      <c r="K74" s="323"/>
      <c r="L74" s="326"/>
      <c r="M74" s="323"/>
      <c r="N74" s="323"/>
      <c r="O74" s="326"/>
      <c r="P74" s="323"/>
      <c r="Q74" s="323"/>
      <c r="R74" s="326"/>
      <c r="S74" s="323"/>
      <c r="T74" s="323"/>
      <c r="U74" s="326"/>
      <c r="V74" s="323"/>
      <c r="W74" s="323"/>
      <c r="X74" s="326"/>
      <c r="Y74" s="323"/>
      <c r="Z74" s="323"/>
      <c r="AA74" s="326"/>
      <c r="AB74" s="323"/>
      <c r="AC74" s="323"/>
      <c r="AD74" s="326"/>
      <c r="AE74" s="323"/>
      <c r="AF74" s="323"/>
      <c r="AG74" s="326"/>
      <c r="AH74" s="323"/>
      <c r="AI74" s="323"/>
      <c r="AJ74" s="326"/>
      <c r="AK74" s="323"/>
      <c r="AL74" s="323"/>
      <c r="AM74" s="326"/>
      <c r="AN74" s="323"/>
      <c r="AO74" s="323"/>
      <c r="AP74" s="326"/>
      <c r="AQ74" s="323"/>
      <c r="AR74" s="323"/>
      <c r="AS74" s="326"/>
      <c r="AT74" s="323"/>
      <c r="AU74" s="323"/>
      <c r="AV74" s="326"/>
      <c r="AW74" s="323"/>
      <c r="AX74" s="323"/>
      <c r="AY74" s="326"/>
      <c r="AZ74" s="323"/>
      <c r="BA74" s="323"/>
      <c r="BB74" s="326"/>
      <c r="BC74" s="323"/>
      <c r="BD74" s="323"/>
      <c r="BE74" s="326"/>
      <c r="BF74" s="323"/>
      <c r="BG74" s="323"/>
      <c r="BH74" s="326"/>
      <c r="BI74" s="323"/>
      <c r="BJ74" s="323"/>
      <c r="BK74" s="326"/>
      <c r="BL74" s="323"/>
      <c r="BM74" s="323"/>
      <c r="BN74" s="326"/>
      <c r="BO74" s="323"/>
      <c r="BP74" s="323"/>
      <c r="BQ74" s="326"/>
      <c r="BR74" s="323"/>
      <c r="BS74" s="323"/>
      <c r="BT74" s="326"/>
      <c r="BU74" s="327">
        <v>62284446.520000003</v>
      </c>
    </row>
    <row r="75" spans="1:73">
      <c r="A75" s="1720"/>
      <c r="B75" s="1720"/>
      <c r="C75" s="321" t="s">
        <v>342</v>
      </c>
      <c r="D75" s="322">
        <v>6877451</v>
      </c>
      <c r="E75" s="322">
        <v>6585494</v>
      </c>
      <c r="F75" s="325">
        <v>13462945</v>
      </c>
      <c r="G75" s="323"/>
      <c r="H75" s="323"/>
      <c r="I75" s="326"/>
      <c r="J75" s="323"/>
      <c r="K75" s="323"/>
      <c r="L75" s="326"/>
      <c r="M75" s="323"/>
      <c r="N75" s="323"/>
      <c r="O75" s="326"/>
      <c r="P75" s="323"/>
      <c r="Q75" s="323"/>
      <c r="R75" s="326"/>
      <c r="S75" s="323"/>
      <c r="T75" s="323"/>
      <c r="U75" s="326"/>
      <c r="V75" s="323"/>
      <c r="W75" s="323"/>
      <c r="X75" s="326"/>
      <c r="Y75" s="323"/>
      <c r="Z75" s="323"/>
      <c r="AA75" s="326"/>
      <c r="AB75" s="323"/>
      <c r="AC75" s="323"/>
      <c r="AD75" s="326"/>
      <c r="AE75" s="323"/>
      <c r="AF75" s="323"/>
      <c r="AG75" s="326"/>
      <c r="AH75" s="323"/>
      <c r="AI75" s="323"/>
      <c r="AJ75" s="326"/>
      <c r="AK75" s="323"/>
      <c r="AL75" s="323"/>
      <c r="AM75" s="326"/>
      <c r="AN75" s="323"/>
      <c r="AO75" s="323"/>
      <c r="AP75" s="326"/>
      <c r="AQ75" s="323"/>
      <c r="AR75" s="323"/>
      <c r="AS75" s="326"/>
      <c r="AT75" s="323"/>
      <c r="AU75" s="323"/>
      <c r="AV75" s="326"/>
      <c r="AW75" s="323"/>
      <c r="AX75" s="323"/>
      <c r="AY75" s="326"/>
      <c r="AZ75" s="323"/>
      <c r="BA75" s="323"/>
      <c r="BB75" s="326"/>
      <c r="BC75" s="323"/>
      <c r="BD75" s="323"/>
      <c r="BE75" s="326"/>
      <c r="BF75" s="323"/>
      <c r="BG75" s="323"/>
      <c r="BH75" s="326"/>
      <c r="BI75" s="323"/>
      <c r="BJ75" s="323"/>
      <c r="BK75" s="326"/>
      <c r="BL75" s="323"/>
      <c r="BM75" s="323"/>
      <c r="BN75" s="326"/>
      <c r="BO75" s="323"/>
      <c r="BP75" s="323"/>
      <c r="BQ75" s="326"/>
      <c r="BR75" s="323"/>
      <c r="BS75" s="323"/>
      <c r="BT75" s="326"/>
      <c r="BU75" s="327">
        <v>13462945</v>
      </c>
    </row>
    <row r="76" spans="1:73">
      <c r="A76" s="1720"/>
      <c r="B76" s="1720"/>
      <c r="C76" s="321" t="s">
        <v>343</v>
      </c>
      <c r="D76" s="322">
        <v>7239307.4500000002</v>
      </c>
      <c r="E76" s="322">
        <v>6539110.4500000002</v>
      </c>
      <c r="F76" s="325">
        <v>13778417.9</v>
      </c>
      <c r="G76" s="323"/>
      <c r="H76" s="323"/>
      <c r="I76" s="326"/>
      <c r="J76" s="323"/>
      <c r="K76" s="323"/>
      <c r="L76" s="326"/>
      <c r="M76" s="323"/>
      <c r="N76" s="323"/>
      <c r="O76" s="326"/>
      <c r="P76" s="323"/>
      <c r="Q76" s="323"/>
      <c r="R76" s="326"/>
      <c r="S76" s="323"/>
      <c r="T76" s="323"/>
      <c r="U76" s="326"/>
      <c r="V76" s="323"/>
      <c r="W76" s="323"/>
      <c r="X76" s="326"/>
      <c r="Y76" s="323"/>
      <c r="Z76" s="323"/>
      <c r="AA76" s="326"/>
      <c r="AB76" s="323"/>
      <c r="AC76" s="323"/>
      <c r="AD76" s="326"/>
      <c r="AE76" s="323"/>
      <c r="AF76" s="323"/>
      <c r="AG76" s="326"/>
      <c r="AH76" s="323"/>
      <c r="AI76" s="323"/>
      <c r="AJ76" s="326"/>
      <c r="AK76" s="323"/>
      <c r="AL76" s="323"/>
      <c r="AM76" s="326"/>
      <c r="AN76" s="323"/>
      <c r="AO76" s="323"/>
      <c r="AP76" s="326"/>
      <c r="AQ76" s="323"/>
      <c r="AR76" s="323"/>
      <c r="AS76" s="326"/>
      <c r="AT76" s="323"/>
      <c r="AU76" s="323"/>
      <c r="AV76" s="326"/>
      <c r="AW76" s="323"/>
      <c r="AX76" s="323"/>
      <c r="AY76" s="326"/>
      <c r="AZ76" s="323"/>
      <c r="BA76" s="323"/>
      <c r="BB76" s="326"/>
      <c r="BC76" s="323"/>
      <c r="BD76" s="323"/>
      <c r="BE76" s="326"/>
      <c r="BF76" s="323"/>
      <c r="BG76" s="323"/>
      <c r="BH76" s="326"/>
      <c r="BI76" s="323"/>
      <c r="BJ76" s="323"/>
      <c r="BK76" s="326"/>
      <c r="BL76" s="323"/>
      <c r="BM76" s="323"/>
      <c r="BN76" s="326"/>
      <c r="BO76" s="323"/>
      <c r="BP76" s="323"/>
      <c r="BQ76" s="326"/>
      <c r="BR76" s="323"/>
      <c r="BS76" s="323"/>
      <c r="BT76" s="326"/>
      <c r="BU76" s="327">
        <v>13778417.9</v>
      </c>
    </row>
    <row r="77" spans="1:73">
      <c r="A77" s="1720"/>
      <c r="B77" s="1720"/>
      <c r="C77" s="321" t="s">
        <v>350</v>
      </c>
      <c r="D77" s="322">
        <v>812000</v>
      </c>
      <c r="E77" s="322">
        <v>132000</v>
      </c>
      <c r="F77" s="325">
        <v>944000</v>
      </c>
      <c r="G77" s="323"/>
      <c r="H77" s="323"/>
      <c r="I77" s="326"/>
      <c r="J77" s="323"/>
      <c r="K77" s="323"/>
      <c r="L77" s="326"/>
      <c r="M77" s="323"/>
      <c r="N77" s="323"/>
      <c r="O77" s="326"/>
      <c r="P77" s="323"/>
      <c r="Q77" s="323"/>
      <c r="R77" s="326"/>
      <c r="S77" s="323"/>
      <c r="T77" s="323"/>
      <c r="U77" s="326"/>
      <c r="V77" s="323"/>
      <c r="W77" s="323"/>
      <c r="X77" s="326"/>
      <c r="Y77" s="323"/>
      <c r="Z77" s="323"/>
      <c r="AA77" s="326"/>
      <c r="AB77" s="323"/>
      <c r="AC77" s="323"/>
      <c r="AD77" s="326"/>
      <c r="AE77" s="323"/>
      <c r="AF77" s="323"/>
      <c r="AG77" s="326"/>
      <c r="AH77" s="323"/>
      <c r="AI77" s="323"/>
      <c r="AJ77" s="326"/>
      <c r="AK77" s="323"/>
      <c r="AL77" s="323"/>
      <c r="AM77" s="326"/>
      <c r="AN77" s="323"/>
      <c r="AO77" s="323"/>
      <c r="AP77" s="326"/>
      <c r="AQ77" s="323"/>
      <c r="AR77" s="323"/>
      <c r="AS77" s="326"/>
      <c r="AT77" s="323"/>
      <c r="AU77" s="323"/>
      <c r="AV77" s="326"/>
      <c r="AW77" s="323"/>
      <c r="AX77" s="323"/>
      <c r="AY77" s="326"/>
      <c r="AZ77" s="323"/>
      <c r="BA77" s="323"/>
      <c r="BB77" s="326"/>
      <c r="BC77" s="323"/>
      <c r="BD77" s="323"/>
      <c r="BE77" s="326"/>
      <c r="BF77" s="323"/>
      <c r="BG77" s="323"/>
      <c r="BH77" s="326"/>
      <c r="BI77" s="323"/>
      <c r="BJ77" s="323"/>
      <c r="BK77" s="326"/>
      <c r="BL77" s="323"/>
      <c r="BM77" s="323"/>
      <c r="BN77" s="326"/>
      <c r="BO77" s="323"/>
      <c r="BP77" s="323"/>
      <c r="BQ77" s="326"/>
      <c r="BR77" s="323"/>
      <c r="BS77" s="323"/>
      <c r="BT77" s="326"/>
      <c r="BU77" s="327">
        <v>944000</v>
      </c>
    </row>
    <row r="78" spans="1:73">
      <c r="A78" s="1720"/>
      <c r="B78" s="1721"/>
      <c r="C78" s="324" t="s">
        <v>679</v>
      </c>
      <c r="D78" s="325">
        <v>99188903.129999995</v>
      </c>
      <c r="E78" s="325">
        <v>97516749.129999995</v>
      </c>
      <c r="F78" s="325">
        <v>196705652.25999999</v>
      </c>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s="326"/>
      <c r="BE78" s="326"/>
      <c r="BF78" s="326"/>
      <c r="BG78" s="326"/>
      <c r="BH78" s="326"/>
      <c r="BI78" s="326"/>
      <c r="BJ78" s="326"/>
      <c r="BK78" s="326"/>
      <c r="BL78" s="326"/>
      <c r="BM78" s="326"/>
      <c r="BN78" s="326"/>
      <c r="BO78" s="326"/>
      <c r="BP78" s="326"/>
      <c r="BQ78" s="326"/>
      <c r="BR78" s="326"/>
      <c r="BS78" s="326"/>
      <c r="BT78" s="326"/>
      <c r="BU78" s="325">
        <v>196705652.25999999</v>
      </c>
    </row>
    <row r="79" spans="1:73">
      <c r="A79" s="1720"/>
      <c r="B79" s="1719" t="s">
        <v>680</v>
      </c>
      <c r="C79" s="321" t="s">
        <v>340</v>
      </c>
      <c r="D79" s="322">
        <v>658920</v>
      </c>
      <c r="E79" s="322">
        <v>658920</v>
      </c>
      <c r="F79" s="325">
        <v>1317840</v>
      </c>
      <c r="G79" s="323"/>
      <c r="H79" s="323"/>
      <c r="I79" s="326"/>
      <c r="J79" s="323"/>
      <c r="K79" s="323"/>
      <c r="L79" s="326"/>
      <c r="M79" s="323"/>
      <c r="N79" s="323"/>
      <c r="O79" s="326"/>
      <c r="P79" s="323"/>
      <c r="Q79" s="323"/>
      <c r="R79" s="326"/>
      <c r="S79" s="323"/>
      <c r="T79" s="323"/>
      <c r="U79" s="326"/>
      <c r="V79" s="323"/>
      <c r="W79" s="323"/>
      <c r="X79" s="326"/>
      <c r="Y79" s="323"/>
      <c r="Z79" s="323"/>
      <c r="AA79" s="326"/>
      <c r="AB79" s="323"/>
      <c r="AC79" s="323"/>
      <c r="AD79" s="326"/>
      <c r="AE79" s="323"/>
      <c r="AF79" s="323"/>
      <c r="AG79" s="326"/>
      <c r="AH79" s="323"/>
      <c r="AI79" s="323"/>
      <c r="AJ79" s="326"/>
      <c r="AK79" s="323"/>
      <c r="AL79" s="323"/>
      <c r="AM79" s="326"/>
      <c r="AN79" s="323"/>
      <c r="AO79" s="323"/>
      <c r="AP79" s="326"/>
      <c r="AQ79" s="323"/>
      <c r="AR79" s="323"/>
      <c r="AS79" s="326"/>
      <c r="AT79" s="323"/>
      <c r="AU79" s="323"/>
      <c r="AV79" s="326"/>
      <c r="AW79" s="323"/>
      <c r="AX79" s="323"/>
      <c r="AY79" s="326"/>
      <c r="AZ79" s="323"/>
      <c r="BA79" s="323"/>
      <c r="BB79" s="326"/>
      <c r="BC79" s="323"/>
      <c r="BD79" s="323"/>
      <c r="BE79" s="326"/>
      <c r="BF79" s="322">
        <v>3730238.49</v>
      </c>
      <c r="BG79" s="322">
        <v>3730238.49</v>
      </c>
      <c r="BH79" s="325">
        <v>7460476.9800000004</v>
      </c>
      <c r="BI79" s="322">
        <v>1239644.9099999999</v>
      </c>
      <c r="BJ79" s="322">
        <v>1239644.9099999999</v>
      </c>
      <c r="BK79" s="325">
        <v>2479289.8199999998</v>
      </c>
      <c r="BL79" s="323"/>
      <c r="BM79" s="323"/>
      <c r="BN79" s="326"/>
      <c r="BO79" s="323"/>
      <c r="BP79" s="323"/>
      <c r="BQ79" s="326"/>
      <c r="BR79" s="322">
        <v>61020</v>
      </c>
      <c r="BS79" s="322">
        <v>61020</v>
      </c>
      <c r="BT79" s="325">
        <v>122040</v>
      </c>
      <c r="BU79" s="327">
        <v>11379646.800000001</v>
      </c>
    </row>
    <row r="80" spans="1:73">
      <c r="A80" s="1720"/>
      <c r="B80" s="1720"/>
      <c r="C80" s="321" t="s">
        <v>341</v>
      </c>
      <c r="D80" s="322">
        <v>163634.64000000001</v>
      </c>
      <c r="E80" s="322">
        <v>163634.64000000001</v>
      </c>
      <c r="F80" s="325">
        <v>327269.28000000003</v>
      </c>
      <c r="G80" s="323"/>
      <c r="H80" s="323"/>
      <c r="I80" s="326"/>
      <c r="J80" s="323"/>
      <c r="K80" s="323"/>
      <c r="L80" s="326"/>
      <c r="M80" s="323"/>
      <c r="N80" s="323"/>
      <c r="O80" s="326"/>
      <c r="P80" s="323"/>
      <c r="Q80" s="323"/>
      <c r="R80" s="326"/>
      <c r="S80" s="323"/>
      <c r="T80" s="323"/>
      <c r="U80" s="326"/>
      <c r="V80" s="323"/>
      <c r="W80" s="323"/>
      <c r="X80" s="326"/>
      <c r="Y80" s="323"/>
      <c r="Z80" s="323"/>
      <c r="AA80" s="326"/>
      <c r="AB80" s="323"/>
      <c r="AC80" s="323"/>
      <c r="AD80" s="326"/>
      <c r="AE80" s="323"/>
      <c r="AF80" s="323"/>
      <c r="AG80" s="326"/>
      <c r="AH80" s="323"/>
      <c r="AI80" s="323"/>
      <c r="AJ80" s="326"/>
      <c r="AK80" s="323"/>
      <c r="AL80" s="323"/>
      <c r="AM80" s="326"/>
      <c r="AN80" s="323"/>
      <c r="AO80" s="323"/>
      <c r="AP80" s="326"/>
      <c r="AQ80" s="323"/>
      <c r="AR80" s="323"/>
      <c r="AS80" s="326"/>
      <c r="AT80" s="323"/>
      <c r="AU80" s="323"/>
      <c r="AV80" s="326"/>
      <c r="AW80" s="323"/>
      <c r="AX80" s="323"/>
      <c r="AY80" s="326"/>
      <c r="AZ80" s="323"/>
      <c r="BA80" s="323"/>
      <c r="BB80" s="326"/>
      <c r="BC80" s="323"/>
      <c r="BD80" s="323"/>
      <c r="BE80" s="326"/>
      <c r="BF80" s="322">
        <v>1864950.53</v>
      </c>
      <c r="BG80" s="322">
        <v>1864950.53</v>
      </c>
      <c r="BH80" s="325">
        <v>3729901.06</v>
      </c>
      <c r="BI80" s="322">
        <v>498183.36</v>
      </c>
      <c r="BJ80" s="322">
        <v>498183.36</v>
      </c>
      <c r="BK80" s="325">
        <v>996366.72</v>
      </c>
      <c r="BL80" s="323"/>
      <c r="BM80" s="323"/>
      <c r="BN80" s="326"/>
      <c r="BO80" s="323"/>
      <c r="BP80" s="323"/>
      <c r="BQ80" s="326"/>
      <c r="BR80" s="322">
        <v>4245.41</v>
      </c>
      <c r="BS80" s="322">
        <v>4245.41</v>
      </c>
      <c r="BT80" s="325">
        <v>8490.82</v>
      </c>
      <c r="BU80" s="327">
        <v>5062027.88</v>
      </c>
    </row>
    <row r="81" spans="1:73">
      <c r="A81" s="1720"/>
      <c r="B81" s="1720"/>
      <c r="C81" s="321" t="s">
        <v>342</v>
      </c>
      <c r="D81" s="322">
        <v>654000</v>
      </c>
      <c r="E81" s="322">
        <v>604000</v>
      </c>
      <c r="F81" s="325">
        <v>1258000</v>
      </c>
      <c r="G81" s="323"/>
      <c r="H81" s="323"/>
      <c r="I81" s="326"/>
      <c r="J81" s="323"/>
      <c r="K81" s="323"/>
      <c r="L81" s="326"/>
      <c r="M81" s="323"/>
      <c r="N81" s="323"/>
      <c r="O81" s="326"/>
      <c r="P81" s="323"/>
      <c r="Q81" s="323"/>
      <c r="R81" s="326"/>
      <c r="S81" s="323"/>
      <c r="T81" s="323"/>
      <c r="U81" s="326"/>
      <c r="V81" s="323"/>
      <c r="W81" s="323"/>
      <c r="X81" s="326"/>
      <c r="Y81" s="323"/>
      <c r="Z81" s="323"/>
      <c r="AA81" s="326"/>
      <c r="AB81" s="323"/>
      <c r="AC81" s="323"/>
      <c r="AD81" s="326"/>
      <c r="AE81" s="323"/>
      <c r="AF81" s="323"/>
      <c r="AG81" s="326"/>
      <c r="AH81" s="323"/>
      <c r="AI81" s="323"/>
      <c r="AJ81" s="326"/>
      <c r="AK81" s="323"/>
      <c r="AL81" s="323"/>
      <c r="AM81" s="326"/>
      <c r="AN81" s="323"/>
      <c r="AO81" s="323"/>
      <c r="AP81" s="326"/>
      <c r="AQ81" s="323"/>
      <c r="AR81" s="323"/>
      <c r="AS81" s="326"/>
      <c r="AT81" s="323"/>
      <c r="AU81" s="323"/>
      <c r="AV81" s="326"/>
      <c r="AW81" s="323"/>
      <c r="AX81" s="323"/>
      <c r="AY81" s="326"/>
      <c r="AZ81" s="323"/>
      <c r="BA81" s="323"/>
      <c r="BB81" s="326"/>
      <c r="BC81" s="323"/>
      <c r="BD81" s="323"/>
      <c r="BE81" s="326"/>
      <c r="BF81" s="322">
        <v>3683571</v>
      </c>
      <c r="BG81" s="322">
        <v>3638571</v>
      </c>
      <c r="BH81" s="325">
        <v>7322142</v>
      </c>
      <c r="BI81" s="322">
        <v>2578187</v>
      </c>
      <c r="BJ81" s="322">
        <v>2584187</v>
      </c>
      <c r="BK81" s="325">
        <v>5162374</v>
      </c>
      <c r="BL81" s="323"/>
      <c r="BM81" s="323"/>
      <c r="BN81" s="326"/>
      <c r="BO81" s="323"/>
      <c r="BP81" s="323"/>
      <c r="BQ81" s="326"/>
      <c r="BR81" s="322">
        <v>1083446.96</v>
      </c>
      <c r="BS81" s="322">
        <v>1083946.96</v>
      </c>
      <c r="BT81" s="325">
        <v>2167393.92</v>
      </c>
      <c r="BU81" s="327">
        <v>15909909.92</v>
      </c>
    </row>
    <row r="82" spans="1:73">
      <c r="A82" s="1720"/>
      <c r="B82" s="1720"/>
      <c r="C82" s="321" t="s">
        <v>343</v>
      </c>
      <c r="D82" s="322">
        <v>29883.41</v>
      </c>
      <c r="E82" s="322">
        <v>29883.41</v>
      </c>
      <c r="F82" s="325">
        <v>59766.82</v>
      </c>
      <c r="G82" s="323"/>
      <c r="H82" s="323"/>
      <c r="I82" s="326"/>
      <c r="J82" s="323"/>
      <c r="K82" s="323"/>
      <c r="L82" s="326"/>
      <c r="M82" s="323"/>
      <c r="N82" s="323"/>
      <c r="O82" s="326"/>
      <c r="P82" s="323"/>
      <c r="Q82" s="323"/>
      <c r="R82" s="326"/>
      <c r="S82" s="323"/>
      <c r="T82" s="323"/>
      <c r="U82" s="326"/>
      <c r="V82" s="323"/>
      <c r="W82" s="323"/>
      <c r="X82" s="326"/>
      <c r="Y82" s="323"/>
      <c r="Z82" s="323"/>
      <c r="AA82" s="326"/>
      <c r="AB82" s="323"/>
      <c r="AC82" s="323"/>
      <c r="AD82" s="326"/>
      <c r="AE82" s="323"/>
      <c r="AF82" s="323"/>
      <c r="AG82" s="326"/>
      <c r="AH82" s="323"/>
      <c r="AI82" s="323"/>
      <c r="AJ82" s="326"/>
      <c r="AK82" s="323"/>
      <c r="AL82" s="323"/>
      <c r="AM82" s="326"/>
      <c r="AN82" s="323"/>
      <c r="AO82" s="323"/>
      <c r="AP82" s="326"/>
      <c r="AQ82" s="323"/>
      <c r="AR82" s="323"/>
      <c r="AS82" s="326"/>
      <c r="AT82" s="323"/>
      <c r="AU82" s="323"/>
      <c r="AV82" s="326"/>
      <c r="AW82" s="323"/>
      <c r="AX82" s="323"/>
      <c r="AY82" s="326"/>
      <c r="AZ82" s="323"/>
      <c r="BA82" s="323"/>
      <c r="BB82" s="326"/>
      <c r="BC82" s="323"/>
      <c r="BD82" s="323"/>
      <c r="BE82" s="326"/>
      <c r="BF82" s="322">
        <v>5336843.9000000004</v>
      </c>
      <c r="BG82" s="322">
        <v>5349673.9000000004</v>
      </c>
      <c r="BH82" s="325">
        <v>10686517.800000001</v>
      </c>
      <c r="BI82" s="322">
        <v>2960309.89</v>
      </c>
      <c r="BJ82" s="322">
        <v>2957430.89</v>
      </c>
      <c r="BK82" s="325">
        <v>5917740.7800000003</v>
      </c>
      <c r="BL82" s="323"/>
      <c r="BM82" s="323"/>
      <c r="BN82" s="326"/>
      <c r="BO82" s="323"/>
      <c r="BP82" s="323"/>
      <c r="BQ82" s="326"/>
      <c r="BR82" s="322">
        <v>187322.63</v>
      </c>
      <c r="BS82" s="322">
        <v>187979.63</v>
      </c>
      <c r="BT82" s="325">
        <v>375302.26</v>
      </c>
      <c r="BU82" s="327">
        <v>17039327.66</v>
      </c>
    </row>
    <row r="83" spans="1:73">
      <c r="A83" s="1720"/>
      <c r="B83" s="1720"/>
      <c r="C83" s="321" t="s">
        <v>350</v>
      </c>
      <c r="D83" s="322">
        <v>12000</v>
      </c>
      <c r="E83" s="322">
        <v>12000</v>
      </c>
      <c r="F83" s="325">
        <v>24000</v>
      </c>
      <c r="G83" s="323"/>
      <c r="H83" s="323"/>
      <c r="I83" s="326"/>
      <c r="J83" s="323"/>
      <c r="K83" s="323"/>
      <c r="L83" s="326"/>
      <c r="M83" s="323"/>
      <c r="N83" s="323"/>
      <c r="O83" s="326"/>
      <c r="P83" s="323"/>
      <c r="Q83" s="323"/>
      <c r="R83" s="326"/>
      <c r="S83" s="323"/>
      <c r="T83" s="323"/>
      <c r="U83" s="326"/>
      <c r="V83" s="323"/>
      <c r="W83" s="323"/>
      <c r="X83" s="326"/>
      <c r="Y83" s="323"/>
      <c r="Z83" s="323"/>
      <c r="AA83" s="326"/>
      <c r="AB83" s="323"/>
      <c r="AC83" s="323"/>
      <c r="AD83" s="326"/>
      <c r="AE83" s="323"/>
      <c r="AF83" s="323"/>
      <c r="AG83" s="326"/>
      <c r="AH83" s="323"/>
      <c r="AI83" s="323"/>
      <c r="AJ83" s="326"/>
      <c r="AK83" s="323"/>
      <c r="AL83" s="323"/>
      <c r="AM83" s="326"/>
      <c r="AN83" s="323"/>
      <c r="AO83" s="323"/>
      <c r="AP83" s="326"/>
      <c r="AQ83" s="323"/>
      <c r="AR83" s="323"/>
      <c r="AS83" s="326"/>
      <c r="AT83" s="323"/>
      <c r="AU83" s="323"/>
      <c r="AV83" s="326"/>
      <c r="AW83" s="323"/>
      <c r="AX83" s="323"/>
      <c r="AY83" s="326"/>
      <c r="AZ83" s="323"/>
      <c r="BA83" s="323"/>
      <c r="BB83" s="326"/>
      <c r="BC83" s="323"/>
      <c r="BD83" s="323"/>
      <c r="BE83" s="326"/>
      <c r="BF83" s="322">
        <v>334495</v>
      </c>
      <c r="BG83" s="322">
        <v>334495</v>
      </c>
      <c r="BH83" s="325">
        <v>668990</v>
      </c>
      <c r="BI83" s="322">
        <v>22000</v>
      </c>
      <c r="BJ83" s="322">
        <v>22000</v>
      </c>
      <c r="BK83" s="325">
        <v>44000</v>
      </c>
      <c r="BL83" s="323"/>
      <c r="BM83" s="323"/>
      <c r="BN83" s="326"/>
      <c r="BO83" s="323"/>
      <c r="BP83" s="323"/>
      <c r="BQ83" s="326"/>
      <c r="BR83" s="322">
        <v>115310</v>
      </c>
      <c r="BS83" s="322">
        <v>115310</v>
      </c>
      <c r="BT83" s="325">
        <v>230620</v>
      </c>
      <c r="BU83" s="327">
        <v>967610</v>
      </c>
    </row>
    <row r="84" spans="1:73" ht="21">
      <c r="A84" s="1720"/>
      <c r="B84" s="1721"/>
      <c r="C84" s="324" t="s">
        <v>680</v>
      </c>
      <c r="D84" s="325">
        <v>1518438.05</v>
      </c>
      <c r="E84" s="325">
        <v>1468438.05</v>
      </c>
      <c r="F84" s="325">
        <v>2986876.1</v>
      </c>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5">
        <v>14950098.92</v>
      </c>
      <c r="BG84" s="325">
        <v>14917928.92</v>
      </c>
      <c r="BH84" s="325">
        <v>29868027.84</v>
      </c>
      <c r="BI84" s="325">
        <v>7298325.1600000001</v>
      </c>
      <c r="BJ84" s="325">
        <v>7301446.1600000001</v>
      </c>
      <c r="BK84" s="325">
        <v>14599771.32</v>
      </c>
      <c r="BL84" s="326"/>
      <c r="BM84" s="326"/>
      <c r="BN84" s="326"/>
      <c r="BO84" s="326"/>
      <c r="BP84" s="326"/>
      <c r="BQ84" s="326"/>
      <c r="BR84" s="325">
        <v>1451345</v>
      </c>
      <c r="BS84" s="325">
        <v>1452502</v>
      </c>
      <c r="BT84" s="325">
        <v>2903847</v>
      </c>
      <c r="BU84" s="325">
        <v>50358522.259999998</v>
      </c>
    </row>
    <row r="85" spans="1:73">
      <c r="A85" s="1720"/>
      <c r="B85" s="1719" t="s">
        <v>681</v>
      </c>
      <c r="C85" s="321" t="s">
        <v>342</v>
      </c>
      <c r="D85" s="323"/>
      <c r="E85" s="323"/>
      <c r="F85" s="326"/>
      <c r="G85" s="323"/>
      <c r="H85" s="323"/>
      <c r="I85" s="326"/>
      <c r="J85" s="323"/>
      <c r="K85" s="323"/>
      <c r="L85" s="326"/>
      <c r="M85" s="323"/>
      <c r="N85" s="323"/>
      <c r="O85" s="326"/>
      <c r="P85" s="323"/>
      <c r="Q85" s="323"/>
      <c r="R85" s="326"/>
      <c r="S85" s="323"/>
      <c r="T85" s="323"/>
      <c r="U85" s="326"/>
      <c r="V85" s="323"/>
      <c r="W85" s="323"/>
      <c r="X85" s="326"/>
      <c r="Y85" s="323"/>
      <c r="Z85" s="323"/>
      <c r="AA85" s="326"/>
      <c r="AB85" s="323"/>
      <c r="AC85" s="323"/>
      <c r="AD85" s="326"/>
      <c r="AE85" s="323"/>
      <c r="AF85" s="323"/>
      <c r="AG85" s="326"/>
      <c r="AH85" s="323"/>
      <c r="AI85" s="323"/>
      <c r="AJ85" s="326"/>
      <c r="AK85" s="323"/>
      <c r="AL85" s="323"/>
      <c r="AM85" s="326"/>
      <c r="AN85" s="323"/>
      <c r="AO85" s="323"/>
      <c r="AP85" s="326"/>
      <c r="AQ85" s="323"/>
      <c r="AR85" s="323"/>
      <c r="AS85" s="326"/>
      <c r="AT85" s="323"/>
      <c r="AU85" s="323"/>
      <c r="AV85" s="326"/>
      <c r="AW85" s="323"/>
      <c r="AX85" s="323"/>
      <c r="AY85" s="326"/>
      <c r="AZ85" s="323"/>
      <c r="BA85" s="323"/>
      <c r="BB85" s="326"/>
      <c r="BC85" s="323"/>
      <c r="BD85" s="323"/>
      <c r="BE85" s="326"/>
      <c r="BF85" s="323"/>
      <c r="BG85" s="323"/>
      <c r="BH85" s="326"/>
      <c r="BI85" s="323"/>
      <c r="BJ85" s="323"/>
      <c r="BK85" s="326"/>
      <c r="BL85" s="323"/>
      <c r="BM85" s="323"/>
      <c r="BN85" s="326"/>
      <c r="BO85" s="322">
        <v>870000</v>
      </c>
      <c r="BP85" s="322">
        <v>870000</v>
      </c>
      <c r="BQ85" s="325">
        <v>1740000</v>
      </c>
      <c r="BR85" s="323"/>
      <c r="BS85" s="323"/>
      <c r="BT85" s="326"/>
      <c r="BU85" s="327">
        <v>1740000</v>
      </c>
    </row>
    <row r="86" spans="1:73">
      <c r="A86" s="1720"/>
      <c r="B86" s="1720"/>
      <c r="C86" s="321" t="s">
        <v>343</v>
      </c>
      <c r="D86" s="323"/>
      <c r="E86" s="323"/>
      <c r="F86" s="326"/>
      <c r="G86" s="323"/>
      <c r="H86" s="323"/>
      <c r="I86" s="326"/>
      <c r="J86" s="323"/>
      <c r="K86" s="323"/>
      <c r="L86" s="326"/>
      <c r="M86" s="323"/>
      <c r="N86" s="323"/>
      <c r="O86" s="326"/>
      <c r="P86" s="323"/>
      <c r="Q86" s="323"/>
      <c r="R86" s="326"/>
      <c r="S86" s="323"/>
      <c r="T86" s="323"/>
      <c r="U86" s="326"/>
      <c r="V86" s="323"/>
      <c r="W86" s="323"/>
      <c r="X86" s="326"/>
      <c r="Y86" s="323"/>
      <c r="Z86" s="323"/>
      <c r="AA86" s="326"/>
      <c r="AB86" s="323"/>
      <c r="AC86" s="323"/>
      <c r="AD86" s="326"/>
      <c r="AE86" s="323"/>
      <c r="AF86" s="323"/>
      <c r="AG86" s="326"/>
      <c r="AH86" s="323"/>
      <c r="AI86" s="323"/>
      <c r="AJ86" s="326"/>
      <c r="AK86" s="323"/>
      <c r="AL86" s="323"/>
      <c r="AM86" s="326"/>
      <c r="AN86" s="323"/>
      <c r="AO86" s="323"/>
      <c r="AP86" s="326"/>
      <c r="AQ86" s="323"/>
      <c r="AR86" s="323"/>
      <c r="AS86" s="326"/>
      <c r="AT86" s="323"/>
      <c r="AU86" s="323"/>
      <c r="AV86" s="326"/>
      <c r="AW86" s="323"/>
      <c r="AX86" s="323"/>
      <c r="AY86" s="326"/>
      <c r="AZ86" s="323"/>
      <c r="BA86" s="323"/>
      <c r="BB86" s="326"/>
      <c r="BC86" s="323"/>
      <c r="BD86" s="323"/>
      <c r="BE86" s="326"/>
      <c r="BF86" s="323"/>
      <c r="BG86" s="323"/>
      <c r="BH86" s="326"/>
      <c r="BI86" s="323"/>
      <c r="BJ86" s="323"/>
      <c r="BK86" s="326"/>
      <c r="BL86" s="323"/>
      <c r="BM86" s="323"/>
      <c r="BN86" s="326"/>
      <c r="BO86" s="322">
        <v>19492</v>
      </c>
      <c r="BP86" s="322">
        <v>19492</v>
      </c>
      <c r="BQ86" s="325">
        <v>38984</v>
      </c>
      <c r="BR86" s="323"/>
      <c r="BS86" s="323"/>
      <c r="BT86" s="326"/>
      <c r="BU86" s="327">
        <v>38984</v>
      </c>
    </row>
    <row r="87" spans="1:73">
      <c r="A87" s="1720"/>
      <c r="B87" s="1721"/>
      <c r="C87" s="324" t="s">
        <v>681</v>
      </c>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s="326"/>
      <c r="BE87" s="326"/>
      <c r="BF87" s="326"/>
      <c r="BG87" s="326"/>
      <c r="BH87" s="326"/>
      <c r="BI87" s="326"/>
      <c r="BJ87" s="326"/>
      <c r="BK87" s="326"/>
      <c r="BL87" s="326"/>
      <c r="BM87" s="326"/>
      <c r="BN87" s="326"/>
      <c r="BO87" s="325">
        <v>889492</v>
      </c>
      <c r="BP87" s="325">
        <v>889492</v>
      </c>
      <c r="BQ87" s="325">
        <v>1778984</v>
      </c>
      <c r="BR87" s="326"/>
      <c r="BS87" s="326"/>
      <c r="BT87" s="326"/>
      <c r="BU87" s="325">
        <v>1778984</v>
      </c>
    </row>
    <row r="88" spans="1:73">
      <c r="A88" s="1720"/>
      <c r="B88" s="1719" t="s">
        <v>682</v>
      </c>
      <c r="C88" s="321" t="s">
        <v>344</v>
      </c>
      <c r="D88" s="323"/>
      <c r="E88" s="323"/>
      <c r="F88" s="326"/>
      <c r="G88" s="323"/>
      <c r="H88" s="323"/>
      <c r="I88" s="326"/>
      <c r="J88" s="323"/>
      <c r="K88" s="323"/>
      <c r="L88" s="326"/>
      <c r="M88" s="323"/>
      <c r="N88" s="323"/>
      <c r="O88" s="326"/>
      <c r="P88" s="323"/>
      <c r="Q88" s="323"/>
      <c r="R88" s="326"/>
      <c r="S88" s="323"/>
      <c r="T88" s="323"/>
      <c r="U88" s="326"/>
      <c r="V88" s="323"/>
      <c r="W88" s="323"/>
      <c r="X88" s="326"/>
      <c r="Y88" s="323"/>
      <c r="Z88" s="323"/>
      <c r="AA88" s="326"/>
      <c r="AB88" s="323"/>
      <c r="AC88" s="323"/>
      <c r="AD88" s="326"/>
      <c r="AE88" s="323"/>
      <c r="AF88" s="323"/>
      <c r="AG88" s="326"/>
      <c r="AH88" s="323"/>
      <c r="AI88" s="323"/>
      <c r="AJ88" s="326"/>
      <c r="AK88" s="323"/>
      <c r="AL88" s="323"/>
      <c r="AM88" s="326"/>
      <c r="AN88" s="323"/>
      <c r="AO88" s="323"/>
      <c r="AP88" s="326"/>
      <c r="AQ88" s="323"/>
      <c r="AR88" s="323"/>
      <c r="AS88" s="326"/>
      <c r="AT88" s="323"/>
      <c r="AU88" s="323"/>
      <c r="AV88" s="326"/>
      <c r="AW88" s="323"/>
      <c r="AX88" s="323"/>
      <c r="AY88" s="326"/>
      <c r="AZ88" s="322">
        <v>427182</v>
      </c>
      <c r="BA88" s="322">
        <v>427182</v>
      </c>
      <c r="BB88" s="325">
        <v>854364</v>
      </c>
      <c r="BC88" s="322">
        <v>60582</v>
      </c>
      <c r="BD88" s="322">
        <v>60582</v>
      </c>
      <c r="BE88" s="325">
        <v>121164</v>
      </c>
      <c r="BF88" s="323"/>
      <c r="BG88" s="323"/>
      <c r="BH88" s="326"/>
      <c r="BI88" s="323"/>
      <c r="BJ88" s="323"/>
      <c r="BK88" s="326"/>
      <c r="BL88" s="323"/>
      <c r="BM88" s="323"/>
      <c r="BN88" s="326"/>
      <c r="BO88" s="323"/>
      <c r="BP88" s="323"/>
      <c r="BQ88" s="326"/>
      <c r="BR88" s="323"/>
      <c r="BS88" s="323"/>
      <c r="BT88" s="326"/>
      <c r="BU88" s="327">
        <v>975528</v>
      </c>
    </row>
    <row r="89" spans="1:73">
      <c r="A89" s="1720"/>
      <c r="B89" s="1720"/>
      <c r="C89" s="321" t="s">
        <v>351</v>
      </c>
      <c r="D89" s="323"/>
      <c r="E89" s="323"/>
      <c r="F89" s="326"/>
      <c r="G89" s="323"/>
      <c r="H89" s="323"/>
      <c r="I89" s="326"/>
      <c r="J89" s="323"/>
      <c r="K89" s="323"/>
      <c r="L89" s="326"/>
      <c r="M89" s="323"/>
      <c r="N89" s="323"/>
      <c r="O89" s="326"/>
      <c r="P89" s="323"/>
      <c r="Q89" s="323"/>
      <c r="R89" s="326"/>
      <c r="S89" s="323"/>
      <c r="T89" s="323"/>
      <c r="U89" s="326"/>
      <c r="V89" s="323"/>
      <c r="W89" s="323"/>
      <c r="X89" s="326"/>
      <c r="Y89" s="323"/>
      <c r="Z89" s="323"/>
      <c r="AA89" s="326"/>
      <c r="AB89" s="323"/>
      <c r="AC89" s="323"/>
      <c r="AD89" s="326"/>
      <c r="AE89" s="322">
        <v>1186211</v>
      </c>
      <c r="AF89" s="322">
        <v>1186211</v>
      </c>
      <c r="AG89" s="325">
        <v>2372422</v>
      </c>
      <c r="AH89" s="322">
        <v>1151100</v>
      </c>
      <c r="AI89" s="322">
        <v>1151100</v>
      </c>
      <c r="AJ89" s="325">
        <v>2302200</v>
      </c>
      <c r="AK89" s="322">
        <v>2514975</v>
      </c>
      <c r="AL89" s="322">
        <v>2514975</v>
      </c>
      <c r="AM89" s="325">
        <v>5029950</v>
      </c>
      <c r="AN89" s="322">
        <v>3973151</v>
      </c>
      <c r="AO89" s="322">
        <v>3973151</v>
      </c>
      <c r="AP89" s="325">
        <v>7946302</v>
      </c>
      <c r="AQ89" s="322">
        <v>12599429</v>
      </c>
      <c r="AR89" s="322">
        <v>12599429</v>
      </c>
      <c r="AS89" s="325">
        <v>25198858</v>
      </c>
      <c r="AT89" s="323"/>
      <c r="AU89" s="323"/>
      <c r="AV89" s="326"/>
      <c r="AW89" s="323"/>
      <c r="AX89" s="323"/>
      <c r="AY89" s="326"/>
      <c r="AZ89" s="322">
        <v>31114097</v>
      </c>
      <c r="BA89" s="322">
        <v>31114097</v>
      </c>
      <c r="BB89" s="325">
        <v>62228194</v>
      </c>
      <c r="BC89" s="322">
        <v>2170130</v>
      </c>
      <c r="BD89" s="322">
        <v>2170130</v>
      </c>
      <c r="BE89" s="325">
        <v>4340260</v>
      </c>
      <c r="BF89" s="323"/>
      <c r="BG89" s="323"/>
      <c r="BH89" s="326"/>
      <c r="BI89" s="323"/>
      <c r="BJ89" s="323"/>
      <c r="BK89" s="326"/>
      <c r="BL89" s="323"/>
      <c r="BM89" s="323"/>
      <c r="BN89" s="326"/>
      <c r="BO89" s="323"/>
      <c r="BP89" s="323"/>
      <c r="BQ89" s="326"/>
      <c r="BR89" s="323"/>
      <c r="BS89" s="323"/>
      <c r="BT89" s="326"/>
      <c r="BU89" s="327">
        <v>109418186</v>
      </c>
    </row>
    <row r="90" spans="1:73">
      <c r="A90" s="1720"/>
      <c r="B90" s="1721"/>
      <c r="C90" s="324" t="s">
        <v>682</v>
      </c>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5">
        <v>1186211</v>
      </c>
      <c r="AF90" s="325">
        <v>1186211</v>
      </c>
      <c r="AG90" s="325">
        <v>2372422</v>
      </c>
      <c r="AH90" s="325">
        <v>1151100</v>
      </c>
      <c r="AI90" s="325">
        <v>1151100</v>
      </c>
      <c r="AJ90" s="325">
        <v>2302200</v>
      </c>
      <c r="AK90" s="325">
        <v>2514975</v>
      </c>
      <c r="AL90" s="325">
        <v>2514975</v>
      </c>
      <c r="AM90" s="325">
        <v>5029950</v>
      </c>
      <c r="AN90" s="325">
        <v>3973151</v>
      </c>
      <c r="AO90" s="325">
        <v>3973151</v>
      </c>
      <c r="AP90" s="325">
        <v>7946302</v>
      </c>
      <c r="AQ90" s="325">
        <v>12599429</v>
      </c>
      <c r="AR90" s="325">
        <v>12599429</v>
      </c>
      <c r="AS90" s="325">
        <v>25198858</v>
      </c>
      <c r="AT90" s="326"/>
      <c r="AU90" s="326"/>
      <c r="AV90" s="326"/>
      <c r="AW90" s="326"/>
      <c r="AX90" s="326"/>
      <c r="AY90" s="326"/>
      <c r="AZ90" s="325">
        <v>31541279</v>
      </c>
      <c r="BA90" s="325">
        <v>31541279</v>
      </c>
      <c r="BB90" s="325">
        <v>63082558</v>
      </c>
      <c r="BC90" s="325">
        <v>2230712</v>
      </c>
      <c r="BD90" s="325">
        <v>2230712</v>
      </c>
      <c r="BE90" s="325">
        <v>4461424</v>
      </c>
      <c r="BF90" s="326"/>
      <c r="BG90" s="326"/>
      <c r="BH90" s="326"/>
      <c r="BI90" s="326"/>
      <c r="BJ90" s="326"/>
      <c r="BK90" s="326"/>
      <c r="BL90" s="326"/>
      <c r="BM90" s="326"/>
      <c r="BN90" s="326"/>
      <c r="BO90" s="326"/>
      <c r="BP90" s="326"/>
      <c r="BQ90" s="326"/>
      <c r="BR90" s="326"/>
      <c r="BS90" s="326"/>
      <c r="BT90" s="326"/>
      <c r="BU90" s="325">
        <v>110393714</v>
      </c>
    </row>
    <row r="91" spans="1:73">
      <c r="A91" s="1721"/>
      <c r="B91" s="1725" t="s">
        <v>339</v>
      </c>
      <c r="C91" s="1726"/>
      <c r="D91" s="325">
        <v>258303817.72</v>
      </c>
      <c r="E91" s="325">
        <v>254848948.22</v>
      </c>
      <c r="F91" s="325">
        <v>513152765.94</v>
      </c>
      <c r="G91" s="325">
        <v>1111024.6000000001</v>
      </c>
      <c r="H91" s="325">
        <v>1383934.6</v>
      </c>
      <c r="I91" s="325">
        <v>2494959.2000000002</v>
      </c>
      <c r="J91" s="325">
        <v>1998172.57</v>
      </c>
      <c r="K91" s="325">
        <v>2040672.57</v>
      </c>
      <c r="L91" s="325">
        <v>4038845.14</v>
      </c>
      <c r="M91" s="325">
        <v>11632668</v>
      </c>
      <c r="N91" s="325">
        <v>11637800</v>
      </c>
      <c r="O91" s="325">
        <v>23270468</v>
      </c>
      <c r="P91" s="325">
        <v>79500.649999999994</v>
      </c>
      <c r="Q91" s="325">
        <v>79500.649999999994</v>
      </c>
      <c r="R91" s="325">
        <v>159001.29999999999</v>
      </c>
      <c r="S91" s="325">
        <v>682855.91</v>
      </c>
      <c r="T91" s="325">
        <v>682335.91</v>
      </c>
      <c r="U91" s="325">
        <v>1365191.82</v>
      </c>
      <c r="V91" s="325">
        <v>6707255.7199999997</v>
      </c>
      <c r="W91" s="325">
        <v>6734410.7199999997</v>
      </c>
      <c r="X91" s="325">
        <v>13441666.439999999</v>
      </c>
      <c r="Y91" s="325">
        <v>68301.53</v>
      </c>
      <c r="Z91" s="325">
        <v>68301.53</v>
      </c>
      <c r="AA91" s="325">
        <v>136603.06</v>
      </c>
      <c r="AB91" s="325">
        <v>62658.83</v>
      </c>
      <c r="AC91" s="325">
        <v>62658.83</v>
      </c>
      <c r="AD91" s="325">
        <v>125317.66</v>
      </c>
      <c r="AE91" s="325">
        <v>1186211</v>
      </c>
      <c r="AF91" s="325">
        <v>1186211</v>
      </c>
      <c r="AG91" s="325">
        <v>2372422</v>
      </c>
      <c r="AH91" s="325">
        <v>1151100</v>
      </c>
      <c r="AI91" s="325">
        <v>1151100</v>
      </c>
      <c r="AJ91" s="325">
        <v>2302200</v>
      </c>
      <c r="AK91" s="325">
        <v>2514975</v>
      </c>
      <c r="AL91" s="325">
        <v>2514975</v>
      </c>
      <c r="AM91" s="325">
        <v>5029950</v>
      </c>
      <c r="AN91" s="325">
        <v>3973151</v>
      </c>
      <c r="AO91" s="325">
        <v>3973151</v>
      </c>
      <c r="AP91" s="325">
        <v>7946302</v>
      </c>
      <c r="AQ91" s="325">
        <v>12599429</v>
      </c>
      <c r="AR91" s="325">
        <v>12599429</v>
      </c>
      <c r="AS91" s="325">
        <v>25198858</v>
      </c>
      <c r="AT91" s="325">
        <v>20333469.75</v>
      </c>
      <c r="AU91" s="325">
        <v>20401480.82</v>
      </c>
      <c r="AV91" s="325">
        <v>40734950.57</v>
      </c>
      <c r="AW91" s="325">
        <v>69266072.079999998</v>
      </c>
      <c r="AX91" s="325">
        <v>68651433.079999998</v>
      </c>
      <c r="AY91" s="325">
        <v>137917505.16</v>
      </c>
      <c r="AZ91" s="325">
        <v>31541279</v>
      </c>
      <c r="BA91" s="325">
        <v>31541279</v>
      </c>
      <c r="BB91" s="325">
        <v>63082558</v>
      </c>
      <c r="BC91" s="325">
        <v>17682504.120000001</v>
      </c>
      <c r="BD91" s="325">
        <v>17712703.120000001</v>
      </c>
      <c r="BE91" s="325">
        <v>35395207.240000002</v>
      </c>
      <c r="BF91" s="325">
        <v>14950098.92</v>
      </c>
      <c r="BG91" s="325">
        <v>14917928.92</v>
      </c>
      <c r="BH91" s="325">
        <v>29868027.84</v>
      </c>
      <c r="BI91" s="325">
        <v>7298325.1600000001</v>
      </c>
      <c r="BJ91" s="325">
        <v>7301446.1600000001</v>
      </c>
      <c r="BK91" s="325">
        <v>14599771.32</v>
      </c>
      <c r="BL91" s="325">
        <v>5153342.29</v>
      </c>
      <c r="BM91" s="325">
        <v>5376255.29</v>
      </c>
      <c r="BN91" s="325">
        <v>10529597.58</v>
      </c>
      <c r="BO91" s="325">
        <v>889492</v>
      </c>
      <c r="BP91" s="325">
        <v>889492</v>
      </c>
      <c r="BQ91" s="325">
        <v>1778984</v>
      </c>
      <c r="BR91" s="325">
        <v>1451345</v>
      </c>
      <c r="BS91" s="325">
        <v>1452502</v>
      </c>
      <c r="BT91" s="325">
        <v>2903847</v>
      </c>
      <c r="BU91" s="325">
        <v>937844999.26999998</v>
      </c>
    </row>
    <row r="92" spans="1:73">
      <c r="A92" s="1722" t="s">
        <v>361</v>
      </c>
      <c r="B92" s="1723"/>
      <c r="C92" s="1724"/>
      <c r="D92" s="327">
        <v>258303817.72</v>
      </c>
      <c r="E92" s="327">
        <v>254848948.22</v>
      </c>
      <c r="F92" s="327">
        <v>513152765.94</v>
      </c>
      <c r="G92" s="327">
        <v>1111024.6000000001</v>
      </c>
      <c r="H92" s="327">
        <v>1383934.6</v>
      </c>
      <c r="I92" s="327">
        <v>2494959.2000000002</v>
      </c>
      <c r="J92" s="327">
        <v>1998172.57</v>
      </c>
      <c r="K92" s="327">
        <v>2040672.57</v>
      </c>
      <c r="L92" s="327">
        <v>4038845.14</v>
      </c>
      <c r="M92" s="327">
        <v>11632668</v>
      </c>
      <c r="N92" s="327">
        <v>11637800</v>
      </c>
      <c r="O92" s="327">
        <v>23270468</v>
      </c>
      <c r="P92" s="327">
        <v>79500.649999999994</v>
      </c>
      <c r="Q92" s="327">
        <v>79500.649999999994</v>
      </c>
      <c r="R92" s="327">
        <v>159001.29999999999</v>
      </c>
      <c r="S92" s="327">
        <v>682855.91</v>
      </c>
      <c r="T92" s="327">
        <v>682335.91</v>
      </c>
      <c r="U92" s="327">
        <v>1365191.82</v>
      </c>
      <c r="V92" s="327">
        <v>6707255.7199999997</v>
      </c>
      <c r="W92" s="327">
        <v>6734410.7199999997</v>
      </c>
      <c r="X92" s="327">
        <v>13441666.439999999</v>
      </c>
      <c r="Y92" s="327">
        <v>68301.53</v>
      </c>
      <c r="Z92" s="327">
        <v>68301.53</v>
      </c>
      <c r="AA92" s="327">
        <v>136603.06</v>
      </c>
      <c r="AB92" s="327">
        <v>62658.83</v>
      </c>
      <c r="AC92" s="327">
        <v>62658.83</v>
      </c>
      <c r="AD92" s="327">
        <v>125317.66</v>
      </c>
      <c r="AE92" s="327">
        <v>1186211</v>
      </c>
      <c r="AF92" s="327">
        <v>1186211</v>
      </c>
      <c r="AG92" s="327">
        <v>2372422</v>
      </c>
      <c r="AH92" s="327">
        <v>1151100</v>
      </c>
      <c r="AI92" s="327">
        <v>1151100</v>
      </c>
      <c r="AJ92" s="327">
        <v>2302200</v>
      </c>
      <c r="AK92" s="327">
        <v>2514975</v>
      </c>
      <c r="AL92" s="327">
        <v>2514975</v>
      </c>
      <c r="AM92" s="327">
        <v>5029950</v>
      </c>
      <c r="AN92" s="327">
        <v>3973151</v>
      </c>
      <c r="AO92" s="327">
        <v>3973151</v>
      </c>
      <c r="AP92" s="327">
        <v>7946302</v>
      </c>
      <c r="AQ92" s="327">
        <v>12599429</v>
      </c>
      <c r="AR92" s="327">
        <v>12599429</v>
      </c>
      <c r="AS92" s="327">
        <v>25198858</v>
      </c>
      <c r="AT92" s="327">
        <v>20333469.75</v>
      </c>
      <c r="AU92" s="327">
        <v>20401480.82</v>
      </c>
      <c r="AV92" s="327">
        <v>40734950.57</v>
      </c>
      <c r="AW92" s="327">
        <v>69266072.079999998</v>
      </c>
      <c r="AX92" s="327">
        <v>68651433.079999998</v>
      </c>
      <c r="AY92" s="327">
        <v>137917505.16</v>
      </c>
      <c r="AZ92" s="327">
        <v>31541279</v>
      </c>
      <c r="BA92" s="327">
        <v>31541279</v>
      </c>
      <c r="BB92" s="327">
        <v>63082558</v>
      </c>
      <c r="BC92" s="327">
        <v>17682504.120000001</v>
      </c>
      <c r="BD92" s="327">
        <v>17712703.120000001</v>
      </c>
      <c r="BE92" s="327">
        <v>35395207.240000002</v>
      </c>
      <c r="BF92" s="327">
        <v>14950098.92</v>
      </c>
      <c r="BG92" s="327">
        <v>14917928.92</v>
      </c>
      <c r="BH92" s="327">
        <v>29868027.84</v>
      </c>
      <c r="BI92" s="327">
        <v>7298325.1600000001</v>
      </c>
      <c r="BJ92" s="327">
        <v>7301446.1600000001</v>
      </c>
      <c r="BK92" s="327">
        <v>14599771.32</v>
      </c>
      <c r="BL92" s="327">
        <v>5153342.29</v>
      </c>
      <c r="BM92" s="327">
        <v>5376255.29</v>
      </c>
      <c r="BN92" s="327">
        <v>10529597.58</v>
      </c>
      <c r="BO92" s="327">
        <v>889492</v>
      </c>
      <c r="BP92" s="327">
        <v>889492</v>
      </c>
      <c r="BQ92" s="327">
        <v>1778984</v>
      </c>
      <c r="BR92" s="327">
        <v>1451345</v>
      </c>
      <c r="BS92" s="327">
        <v>1452502</v>
      </c>
      <c r="BT92" s="327">
        <v>2903847</v>
      </c>
      <c r="BU92" s="327">
        <v>937844999.26999998</v>
      </c>
    </row>
    <row r="93" spans="1:73">
      <c r="A93" s="328">
        <v>41147</v>
      </c>
      <c r="B93" s="329" t="s">
        <v>362</v>
      </c>
      <c r="C93" s="330">
        <v>0.52228008999999997</v>
      </c>
    </row>
  </sheetData>
  <mergeCells count="44">
    <mergeCell ref="P4:R4"/>
    <mergeCell ref="A4:C5"/>
    <mergeCell ref="D4:F4"/>
    <mergeCell ref="G4:I4"/>
    <mergeCell ref="J4:L4"/>
    <mergeCell ref="M4:O4"/>
    <mergeCell ref="AZ4:BB4"/>
    <mergeCell ref="S4:U4"/>
    <mergeCell ref="V4:X4"/>
    <mergeCell ref="Y4:AA4"/>
    <mergeCell ref="AB4:AD4"/>
    <mergeCell ref="AE4:AG4"/>
    <mergeCell ref="AH4:AJ4"/>
    <mergeCell ref="AK4:AM4"/>
    <mergeCell ref="AN4:AP4"/>
    <mergeCell ref="AQ4:AS4"/>
    <mergeCell ref="AT4:AV4"/>
    <mergeCell ref="AW4:AY4"/>
    <mergeCell ref="BU4:BU5"/>
    <mergeCell ref="A6:A91"/>
    <mergeCell ref="B6:B10"/>
    <mergeCell ref="B11:B15"/>
    <mergeCell ref="B16:B20"/>
    <mergeCell ref="B21:B25"/>
    <mergeCell ref="B26:B32"/>
    <mergeCell ref="B33:B37"/>
    <mergeCell ref="B38:B43"/>
    <mergeCell ref="B44:B49"/>
    <mergeCell ref="BC4:BE4"/>
    <mergeCell ref="BF4:BH4"/>
    <mergeCell ref="BI4:BK4"/>
    <mergeCell ref="BL4:BN4"/>
    <mergeCell ref="BO4:BQ4"/>
    <mergeCell ref="BR4:BT4"/>
    <mergeCell ref="B85:B87"/>
    <mergeCell ref="B88:B90"/>
    <mergeCell ref="B91:C91"/>
    <mergeCell ref="A92:C92"/>
    <mergeCell ref="B50:B54"/>
    <mergeCell ref="B55:B59"/>
    <mergeCell ref="B60:B66"/>
    <mergeCell ref="B67:B72"/>
    <mergeCell ref="B73:B78"/>
    <mergeCell ref="B79:B84"/>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18" sqref="L18"/>
    </sheetView>
  </sheetViews>
  <sheetFormatPr defaultRowHeight="12.75"/>
  <sheetData/>
  <pageMargins left="0.7" right="0.7" top="0.75" bottom="0.75" header="0.3" footer="0.3"/>
  <pageSetup paperSize="0" orientation="portrait" horizontalDpi="0" verticalDpi="0" copies="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selection activeCell="S26" sqref="S26"/>
    </sheetView>
  </sheetViews>
  <sheetFormatPr defaultRowHeight="12.75"/>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selection activeCell="S26" sqref="S26"/>
    </sheetView>
  </sheetViews>
  <sheetFormatPr defaultRowHeight="12.75"/>
  <sheetData/>
  <pageMargins left="0.7" right="0.7" top="0.75" bottom="0.75" header="0.3" footer="0.3"/>
  <pageSetup paperSize="0" orientation="portrait" horizontalDpi="0" verticalDpi="0" copies="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selection activeCell="S26" sqref="S26"/>
    </sheetView>
  </sheetViews>
  <sheetFormatPr defaultRowHeight="12.75"/>
  <sheetData/>
  <pageMargins left="0.7" right="0.7" top="0.75" bottom="0.75" header="0.3" footer="0.3"/>
  <pageSetup paperSize="0" orientation="portrait" horizontalDpi="0" verticalDpi="0" copies="0"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indexed="29"/>
    <pageSetUpPr fitToPage="1"/>
  </sheetPr>
  <dimension ref="A1:J91"/>
  <sheetViews>
    <sheetView showRuler="0" zoomScaleNormal="100" zoomScaleSheetLayoutView="75"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9" style="1" customWidth="1"/>
    <col min="3" max="3" width="15.7109375" style="1" bestFit="1" customWidth="1"/>
    <col min="4" max="4" width="14.28515625" style="1" bestFit="1" customWidth="1"/>
    <col min="5" max="6" width="14" style="1" customWidth="1"/>
    <col min="7" max="7" width="15.42578125" style="1" customWidth="1"/>
    <col min="8" max="8" width="16.5703125" style="1" customWidth="1"/>
    <col min="9" max="9" width="6.85546875" style="1"/>
    <col min="10" max="10" width="12.140625" style="1" bestFit="1" customWidth="1"/>
    <col min="11" max="16384" width="6.85546875" style="1"/>
  </cols>
  <sheetData>
    <row r="1" spans="1:10" ht="18">
      <c r="A1" s="1742" t="s">
        <v>265</v>
      </c>
      <c r="B1" s="1742"/>
      <c r="C1" s="1742"/>
      <c r="D1" s="1742"/>
      <c r="E1" s="1742"/>
      <c r="F1" s="1742"/>
      <c r="G1" s="1742"/>
      <c r="H1" s="1742"/>
    </row>
    <row r="2" spans="1:10" ht="15" customHeight="1" thickBot="1">
      <c r="A2" s="1743" t="s">
        <v>318</v>
      </c>
      <c r="B2" s="1743"/>
      <c r="C2" s="1743"/>
      <c r="D2" s="1743"/>
      <c r="E2" s="1743"/>
      <c r="F2" s="1743"/>
      <c r="G2" s="1743"/>
      <c r="H2" s="1743"/>
    </row>
    <row r="3" spans="1:10" ht="12.75" customHeight="1">
      <c r="A3" s="86"/>
      <c r="B3" s="86"/>
      <c r="C3" s="86" t="s">
        <v>64</v>
      </c>
      <c r="D3" s="91" t="s">
        <v>64</v>
      </c>
      <c r="E3" s="86"/>
      <c r="F3" s="91" t="s">
        <v>86</v>
      </c>
      <c r="G3" s="86"/>
      <c r="H3" s="91" t="s">
        <v>110</v>
      </c>
    </row>
    <row r="4" spans="1:10" ht="48.75" customHeight="1" thickBot="1">
      <c r="A4" s="3" t="s">
        <v>0</v>
      </c>
      <c r="B4" s="5" t="s">
        <v>314</v>
      </c>
      <c r="C4" s="4" t="s">
        <v>315</v>
      </c>
      <c r="D4" s="4" t="s">
        <v>217</v>
      </c>
      <c r="E4" s="5" t="s">
        <v>316</v>
      </c>
      <c r="F4" s="129" t="s">
        <v>1</v>
      </c>
      <c r="G4" s="5" t="s">
        <v>317</v>
      </c>
      <c r="H4" s="129" t="s">
        <v>1</v>
      </c>
    </row>
    <row r="5" spans="1:10">
      <c r="A5" s="2"/>
      <c r="B5" s="9"/>
      <c r="C5" s="2"/>
      <c r="D5" s="2"/>
      <c r="E5" s="8"/>
      <c r="F5" s="7"/>
      <c r="G5" s="9"/>
      <c r="H5" s="10"/>
    </row>
    <row r="6" spans="1:10">
      <c r="A6" s="11" t="s">
        <v>2</v>
      </c>
      <c r="B6" s="9"/>
      <c r="C6" s="12"/>
      <c r="D6" s="13"/>
      <c r="E6" s="15"/>
      <c r="F6" s="14"/>
      <c r="G6" s="9"/>
      <c r="H6" s="9"/>
    </row>
    <row r="7" spans="1:10">
      <c r="A7" s="16" t="s">
        <v>3</v>
      </c>
      <c r="B7" s="45">
        <v>0</v>
      </c>
      <c r="C7" s="45">
        <v>0</v>
      </c>
      <c r="D7" s="45">
        <v>0</v>
      </c>
      <c r="E7" s="45">
        <v>0</v>
      </c>
      <c r="F7" s="14">
        <f>E7-C7</f>
        <v>0</v>
      </c>
      <c r="G7" s="45">
        <v>0</v>
      </c>
      <c r="H7" s="9">
        <f t="shared" ref="H7:H14" si="0">G7-C7</f>
        <v>0</v>
      </c>
    </row>
    <row r="8" spans="1:10">
      <c r="A8" s="16" t="s">
        <v>4</v>
      </c>
      <c r="B8" s="45">
        <v>0</v>
      </c>
      <c r="C8" s="45">
        <v>0</v>
      </c>
      <c r="D8" s="45">
        <v>0</v>
      </c>
      <c r="E8" s="45">
        <v>0</v>
      </c>
      <c r="F8" s="14">
        <f t="shared" ref="F8:F13" si="1">E8-C8</f>
        <v>0</v>
      </c>
      <c r="G8" s="45">
        <v>0</v>
      </c>
      <c r="H8" s="9">
        <f t="shared" si="0"/>
        <v>0</v>
      </c>
    </row>
    <row r="9" spans="1:10">
      <c r="A9" s="11" t="s">
        <v>70</v>
      </c>
      <c r="B9" s="45">
        <v>3745918</v>
      </c>
      <c r="C9" s="45">
        <v>3883026</v>
      </c>
      <c r="D9" s="45">
        <v>3954465</v>
      </c>
      <c r="E9" s="45">
        <v>3954465</v>
      </c>
      <c r="F9" s="14">
        <f t="shared" si="1"/>
        <v>71439</v>
      </c>
      <c r="G9" s="45">
        <f>3839620+43406</f>
        <v>3883026</v>
      </c>
      <c r="H9" s="9">
        <f t="shared" si="0"/>
        <v>0</v>
      </c>
      <c r="J9" s="159">
        <f>G9+'106.02 old'!G9</f>
        <v>7035309</v>
      </c>
    </row>
    <row r="10" spans="1:10">
      <c r="A10" s="16" t="s">
        <v>6</v>
      </c>
      <c r="B10" s="45">
        <v>0</v>
      </c>
      <c r="C10" s="45">
        <v>0</v>
      </c>
      <c r="D10" s="45">
        <v>0</v>
      </c>
      <c r="E10" s="45">
        <v>0</v>
      </c>
      <c r="F10" s="14">
        <f t="shared" si="1"/>
        <v>0</v>
      </c>
      <c r="G10" s="45">
        <v>0</v>
      </c>
      <c r="H10" s="9">
        <f t="shared" si="0"/>
        <v>0</v>
      </c>
    </row>
    <row r="11" spans="1:10">
      <c r="A11" s="16" t="s">
        <v>7</v>
      </c>
      <c r="B11" s="45">
        <v>0</v>
      </c>
      <c r="C11" s="45">
        <v>0</v>
      </c>
      <c r="D11" s="45">
        <v>0</v>
      </c>
      <c r="E11" s="45">
        <v>0</v>
      </c>
      <c r="F11" s="14">
        <f t="shared" si="1"/>
        <v>0</v>
      </c>
      <c r="G11" s="45">
        <v>0</v>
      </c>
      <c r="H11" s="9">
        <f t="shared" si="0"/>
        <v>0</v>
      </c>
    </row>
    <row r="12" spans="1:10">
      <c r="A12" s="24" t="s">
        <v>8</v>
      </c>
      <c r="B12" s="82">
        <v>113000</v>
      </c>
      <c r="C12" s="82">
        <v>18500</v>
      </c>
      <c r="D12" s="82">
        <v>17973</v>
      </c>
      <c r="E12" s="82">
        <v>18500</v>
      </c>
      <c r="F12" s="14">
        <f t="shared" si="1"/>
        <v>0</v>
      </c>
      <c r="G12" s="82">
        <v>18500</v>
      </c>
      <c r="H12" s="9">
        <f t="shared" si="0"/>
        <v>0</v>
      </c>
      <c r="J12" s="160">
        <f>G12+'106.02 old'!G12</f>
        <v>34980</v>
      </c>
    </row>
    <row r="13" spans="1:10">
      <c r="A13" s="24" t="s">
        <v>28</v>
      </c>
      <c r="B13" s="42">
        <v>0</v>
      </c>
      <c r="C13" s="42">
        <v>0</v>
      </c>
      <c r="D13" s="42">
        <v>0</v>
      </c>
      <c r="E13" s="42">
        <v>0</v>
      </c>
      <c r="F13" s="14">
        <f t="shared" si="1"/>
        <v>0</v>
      </c>
      <c r="G13" s="42">
        <v>0</v>
      </c>
      <c r="H13" s="9">
        <f t="shared" si="0"/>
        <v>0</v>
      </c>
    </row>
    <row r="14" spans="1:10">
      <c r="A14" s="37" t="s">
        <v>9</v>
      </c>
      <c r="B14" s="47">
        <f t="shared" ref="B14:G14" si="2">SUM(B7:B13)</f>
        <v>3858918</v>
      </c>
      <c r="C14" s="47">
        <f t="shared" si="2"/>
        <v>3901526</v>
      </c>
      <c r="D14" s="47">
        <f t="shared" si="2"/>
        <v>3972438</v>
      </c>
      <c r="E14" s="47">
        <f t="shared" si="2"/>
        <v>3972965</v>
      </c>
      <c r="F14" s="47">
        <f t="shared" si="2"/>
        <v>71439</v>
      </c>
      <c r="G14" s="47">
        <f t="shared" si="2"/>
        <v>3901526</v>
      </c>
      <c r="H14" s="65">
        <f t="shared" si="0"/>
        <v>0</v>
      </c>
      <c r="J14" s="160">
        <f>G14+'106.02 old'!G14</f>
        <v>7070289</v>
      </c>
    </row>
    <row r="15" spans="1:10">
      <c r="A15" s="18" t="s">
        <v>19</v>
      </c>
      <c r="B15" s="42"/>
      <c r="C15" s="50"/>
      <c r="D15" s="50"/>
      <c r="E15" s="42"/>
      <c r="F15" s="60"/>
      <c r="G15" s="42"/>
      <c r="H15" s="10"/>
    </row>
    <row r="16" spans="1:10">
      <c r="A16" s="36" t="s">
        <v>266</v>
      </c>
      <c r="B16" s="42">
        <v>2205538</v>
      </c>
      <c r="C16" s="42">
        <v>2146622</v>
      </c>
      <c r="D16" s="42">
        <v>2186103</v>
      </c>
      <c r="E16" s="84">
        <f>D16</f>
        <v>2186103</v>
      </c>
      <c r="F16" s="42">
        <v>0</v>
      </c>
      <c r="G16" s="164">
        <f>2122496+24126</f>
        <v>2146622</v>
      </c>
      <c r="H16" s="10">
        <f>G16-C16</f>
        <v>0</v>
      </c>
      <c r="J16" s="160">
        <f>G16+'106.02 old'!G16</f>
        <v>3889404</v>
      </c>
    </row>
    <row r="17" spans="1:10">
      <c r="A17" s="16" t="s">
        <v>267</v>
      </c>
      <c r="B17" s="42">
        <v>540724</v>
      </c>
      <c r="C17" s="42">
        <v>540724</v>
      </c>
      <c r="D17" s="42">
        <v>405544</v>
      </c>
      <c r="E17" s="84">
        <f>C17</f>
        <v>540724</v>
      </c>
      <c r="F17" s="42">
        <v>0</v>
      </c>
      <c r="G17" s="262" t="e">
        <f>#REF!</f>
        <v>#REF!</v>
      </c>
      <c r="H17" s="10" t="e">
        <f>G17-C17</f>
        <v>#REF!</v>
      </c>
      <c r="J17" s="160" t="e">
        <f>G17+'106.02 old'!G17</f>
        <v>#REF!</v>
      </c>
    </row>
    <row r="18" spans="1:10">
      <c r="A18" s="16" t="s">
        <v>261</v>
      </c>
      <c r="B18" s="42">
        <v>0</v>
      </c>
      <c r="C18" s="84">
        <v>0</v>
      </c>
      <c r="D18" s="114">
        <f>C18</f>
        <v>0</v>
      </c>
      <c r="E18" s="84">
        <f>C18</f>
        <v>0</v>
      </c>
      <c r="F18" s="42">
        <v>0</v>
      </c>
      <c r="G18" s="42">
        <v>0</v>
      </c>
      <c r="H18" s="10">
        <f>G18-C18</f>
        <v>0</v>
      </c>
      <c r="J18" s="9">
        <f>G18+'106.02 old'!G18</f>
        <v>0</v>
      </c>
    </row>
    <row r="19" spans="1:10">
      <c r="A19" s="18" t="s">
        <v>20</v>
      </c>
      <c r="B19" s="28">
        <f>SUM(B16:B18)</f>
        <v>2746262</v>
      </c>
      <c r="C19" s="28">
        <f>SUM(C16:C18)</f>
        <v>2687346</v>
      </c>
      <c r="D19" s="28">
        <f>SUM(D16:D18)</f>
        <v>2591647</v>
      </c>
      <c r="E19" s="28">
        <f>SUM(E16:E18)</f>
        <v>2726827</v>
      </c>
      <c r="F19" s="14">
        <f>E19-C19</f>
        <v>39481</v>
      </c>
      <c r="G19" s="28" t="e">
        <f>SUM(G16:G18)</f>
        <v>#REF!</v>
      </c>
      <c r="H19" s="10" t="e">
        <f>G19-C19</f>
        <v>#REF!</v>
      </c>
      <c r="J19" s="160" t="e">
        <f>G19+'106.02 old'!G19</f>
        <v>#REF!</v>
      </c>
    </row>
    <row r="20" spans="1:10" ht="13.5" thickBot="1">
      <c r="A20" s="55" t="s">
        <v>21</v>
      </c>
      <c r="B20" s="57">
        <f t="shared" ref="B20:G20" si="3">B14+B19</f>
        <v>6605180</v>
      </c>
      <c r="C20" s="57">
        <f t="shared" si="3"/>
        <v>6588872</v>
      </c>
      <c r="D20" s="57">
        <f t="shared" si="3"/>
        <v>6564085</v>
      </c>
      <c r="E20" s="57">
        <f t="shared" si="3"/>
        <v>6699792</v>
      </c>
      <c r="F20" s="57">
        <f t="shared" si="3"/>
        <v>110920</v>
      </c>
      <c r="G20" s="57" t="e">
        <f t="shared" si="3"/>
        <v>#REF!</v>
      </c>
      <c r="H20" s="58" t="e">
        <f>G20-C20</f>
        <v>#REF!</v>
      </c>
      <c r="J20" s="160" t="e">
        <f>G20+'106.02 old'!G20</f>
        <v>#REF!</v>
      </c>
    </row>
    <row r="21" spans="1:10" ht="13.5" thickTop="1">
      <c r="A21" s="2"/>
      <c r="B21" s="48"/>
      <c r="C21" s="48"/>
      <c r="D21" s="48"/>
      <c r="E21" s="63"/>
      <c r="F21" s="62"/>
      <c r="G21" s="48"/>
      <c r="H21" s="10"/>
    </row>
    <row r="22" spans="1:10">
      <c r="A22" s="11" t="s">
        <v>10</v>
      </c>
      <c r="B22" s="49"/>
      <c r="C22" s="48"/>
      <c r="D22" s="48"/>
      <c r="E22" s="63"/>
      <c r="F22" s="62"/>
      <c r="G22" s="49"/>
      <c r="H22" s="9"/>
    </row>
    <row r="23" spans="1:10">
      <c r="A23" s="24" t="s">
        <v>11</v>
      </c>
      <c r="B23" s="48">
        <v>324851</v>
      </c>
      <c r="C23" s="48">
        <v>327668</v>
      </c>
      <c r="D23" s="48">
        <v>213595</v>
      </c>
      <c r="E23" s="48">
        <v>323564.09000000003</v>
      </c>
      <c r="F23" s="14">
        <f>C23-E23</f>
        <v>4103.9099999999744</v>
      </c>
      <c r="G23" s="48">
        <v>327668</v>
      </c>
      <c r="H23" s="9">
        <f t="shared" ref="H23:H30" si="4">C23-G23</f>
        <v>0</v>
      </c>
      <c r="J23" s="160">
        <f>G23+'106.02 old'!G23</f>
        <v>1021342</v>
      </c>
    </row>
    <row r="24" spans="1:10">
      <c r="A24" s="24" t="s">
        <v>12</v>
      </c>
      <c r="B24" s="48">
        <v>138050</v>
      </c>
      <c r="C24" s="48">
        <v>143076</v>
      </c>
      <c r="D24" s="48">
        <v>96083</v>
      </c>
      <c r="E24" s="48">
        <v>137300.70000000001</v>
      </c>
      <c r="F24" s="14">
        <f t="shared" ref="F24:F29" si="5">C24-E24</f>
        <v>5775.2999999999884</v>
      </c>
      <c r="G24" s="48">
        <v>143076</v>
      </c>
      <c r="H24" s="9">
        <f t="shared" si="4"/>
        <v>0</v>
      </c>
      <c r="J24" s="160">
        <f>G24+'106.02 old'!G24</f>
        <v>456748</v>
      </c>
    </row>
    <row r="25" spans="1:10">
      <c r="A25" s="24" t="s">
        <v>13</v>
      </c>
      <c r="B25" s="48">
        <v>105045</v>
      </c>
      <c r="C25" s="48">
        <v>381579</v>
      </c>
      <c r="D25" s="48">
        <v>115407</v>
      </c>
      <c r="E25" s="48">
        <v>305908</v>
      </c>
      <c r="F25" s="14">
        <f t="shared" si="5"/>
        <v>75671</v>
      </c>
      <c r="G25" s="48">
        <f>241579+140000</f>
        <v>381579</v>
      </c>
      <c r="H25" s="9">
        <f t="shared" si="4"/>
        <v>0</v>
      </c>
      <c r="J25" s="160">
        <f>G25+'106.02 old'!G25</f>
        <v>1184484</v>
      </c>
    </row>
    <row r="26" spans="1:10">
      <c r="A26" s="24" t="s">
        <v>14</v>
      </c>
      <c r="B26" s="48">
        <v>604949</v>
      </c>
      <c r="C26" s="48">
        <v>360144.24</v>
      </c>
      <c r="D26" s="48">
        <v>211747</v>
      </c>
      <c r="E26" s="48">
        <v>311653.36</v>
      </c>
      <c r="F26" s="14">
        <f t="shared" si="5"/>
        <v>48490.880000000005</v>
      </c>
      <c r="G26" s="111">
        <f>319407+40737.24</f>
        <v>360144.24</v>
      </c>
      <c r="H26" s="9">
        <f t="shared" si="4"/>
        <v>0</v>
      </c>
      <c r="J26" s="160">
        <f>G26+'106.02 old'!G26</f>
        <v>645769.34</v>
      </c>
    </row>
    <row r="27" spans="1:10">
      <c r="A27" s="24" t="s">
        <v>26</v>
      </c>
      <c r="B27" s="48">
        <v>0</v>
      </c>
      <c r="C27" s="48">
        <v>0</v>
      </c>
      <c r="D27" s="48">
        <v>0</v>
      </c>
      <c r="E27" s="48">
        <v>0</v>
      </c>
      <c r="F27" s="14">
        <f t="shared" si="5"/>
        <v>0</v>
      </c>
      <c r="G27" s="48">
        <v>0</v>
      </c>
      <c r="H27" s="9">
        <f t="shared" si="4"/>
        <v>0</v>
      </c>
      <c r="J27" s="160">
        <f>G27+'106.02 old'!G27</f>
        <v>0</v>
      </c>
    </row>
    <row r="28" spans="1:10">
      <c r="A28" s="24" t="s">
        <v>15</v>
      </c>
      <c r="B28" s="48">
        <v>0</v>
      </c>
      <c r="C28" s="48">
        <v>0</v>
      </c>
      <c r="D28" s="48">
        <v>0</v>
      </c>
      <c r="E28" s="48">
        <v>0</v>
      </c>
      <c r="F28" s="14">
        <f t="shared" si="5"/>
        <v>0</v>
      </c>
      <c r="G28" s="48">
        <v>0</v>
      </c>
      <c r="H28" s="9">
        <f t="shared" si="4"/>
        <v>0</v>
      </c>
      <c r="J28" s="160">
        <f>G28+'106.02 old'!G28</f>
        <v>0</v>
      </c>
    </row>
    <row r="29" spans="1:10">
      <c r="A29" s="24" t="s">
        <v>16</v>
      </c>
      <c r="B29" s="48">
        <v>0</v>
      </c>
      <c r="C29" s="48">
        <v>0</v>
      </c>
      <c r="D29" s="48">
        <v>0</v>
      </c>
      <c r="E29" s="48">
        <v>0</v>
      </c>
      <c r="F29" s="14">
        <f t="shared" si="5"/>
        <v>0</v>
      </c>
      <c r="G29" s="48">
        <v>0</v>
      </c>
      <c r="H29" s="9">
        <f t="shared" si="4"/>
        <v>0</v>
      </c>
      <c r="J29" s="160">
        <f>G29+'106.02 old'!G29</f>
        <v>0</v>
      </c>
    </row>
    <row r="30" spans="1:10">
      <c r="A30" s="37" t="s">
        <v>22</v>
      </c>
      <c r="B30" s="46">
        <f t="shared" ref="B30:G30" si="6">SUM(B23:B29)</f>
        <v>1172895</v>
      </c>
      <c r="C30" s="46">
        <f t="shared" si="6"/>
        <v>1212467.24</v>
      </c>
      <c r="D30" s="46">
        <f t="shared" si="6"/>
        <v>636832</v>
      </c>
      <c r="E30" s="46">
        <f t="shared" si="6"/>
        <v>1078426.1499999999</v>
      </c>
      <c r="F30" s="46">
        <f t="shared" si="6"/>
        <v>134041.08999999997</v>
      </c>
      <c r="G30" s="46">
        <f t="shared" si="6"/>
        <v>1212467.24</v>
      </c>
      <c r="H30" s="40">
        <f t="shared" si="4"/>
        <v>0</v>
      </c>
      <c r="J30" s="160">
        <f>G30+'106.02 old'!G30</f>
        <v>3308343.34</v>
      </c>
    </row>
    <row r="31" spans="1:10">
      <c r="A31" s="18" t="s">
        <v>23</v>
      </c>
      <c r="B31" s="50"/>
      <c r="C31" s="50"/>
      <c r="D31" s="50"/>
      <c r="E31" s="50"/>
      <c r="F31" s="60"/>
      <c r="G31" s="50"/>
      <c r="H31" s="10"/>
    </row>
    <row r="32" spans="1:10">
      <c r="A32" s="41" t="s">
        <v>34</v>
      </c>
      <c r="B32" s="50">
        <v>0</v>
      </c>
      <c r="C32" s="50">
        <v>0</v>
      </c>
      <c r="D32" s="50">
        <v>0</v>
      </c>
      <c r="E32" s="50">
        <v>0</v>
      </c>
      <c r="F32" s="14">
        <f>C32-E32</f>
        <v>0</v>
      </c>
      <c r="G32" s="50">
        <v>0</v>
      </c>
      <c r="H32" s="9">
        <f>C32-G32</f>
        <v>0</v>
      </c>
      <c r="J32" s="160">
        <f>G32+'106.02 old'!G32</f>
        <v>0</v>
      </c>
    </row>
    <row r="33" spans="1:10">
      <c r="A33" s="41" t="s">
        <v>268</v>
      </c>
      <c r="B33" s="50">
        <v>539142</v>
      </c>
      <c r="C33" s="50">
        <v>543102.07999999996</v>
      </c>
      <c r="D33" s="50">
        <v>404355</v>
      </c>
      <c r="E33" s="128">
        <f>'288 old'!D52</f>
        <v>539142</v>
      </c>
      <c r="F33" s="14">
        <f>C33-E33</f>
        <v>3960.0799999999581</v>
      </c>
      <c r="G33" s="128">
        <f>'288 old'!H52</f>
        <v>543102.07999999996</v>
      </c>
      <c r="H33" s="9">
        <f>C33-G33</f>
        <v>0</v>
      </c>
      <c r="J33" s="160">
        <f>G33+'106.02 old'!G33</f>
        <v>3358770.98</v>
      </c>
    </row>
    <row r="34" spans="1:10">
      <c r="A34" s="41" t="s">
        <v>262</v>
      </c>
      <c r="B34" s="50">
        <v>4893143</v>
      </c>
      <c r="C34" s="50">
        <v>4833302.68</v>
      </c>
      <c r="D34" s="162">
        <v>3669857</v>
      </c>
      <c r="E34" s="162">
        <f>5427611.97-247285.15-94500</f>
        <v>5085826.8199999994</v>
      </c>
      <c r="F34" s="14">
        <f>C34-E34</f>
        <v>-252524.13999999966</v>
      </c>
      <c r="G34" s="282">
        <f>4946507.92-72468-40737.24</f>
        <v>4833302.68</v>
      </c>
      <c r="H34" s="10">
        <f>C34-G34</f>
        <v>0</v>
      </c>
      <c r="J34" s="160">
        <f>G34+'106.02 old'!G34</f>
        <v>4833302.68</v>
      </c>
    </row>
    <row r="35" spans="1:10">
      <c r="A35" s="41"/>
      <c r="B35" s="50" t="s">
        <v>58</v>
      </c>
      <c r="C35" s="50" t="s">
        <v>58</v>
      </c>
      <c r="D35" s="50" t="s">
        <v>58</v>
      </c>
      <c r="E35" s="50" t="s">
        <v>58</v>
      </c>
      <c r="F35" s="60"/>
      <c r="G35" s="50"/>
      <c r="H35" s="10"/>
    </row>
    <row r="36" spans="1:10">
      <c r="A36" s="37" t="s">
        <v>24</v>
      </c>
      <c r="B36" s="47">
        <f t="shared" ref="B36:G36" si="7">SUM(B32:B35)</f>
        <v>5432285</v>
      </c>
      <c r="C36" s="47">
        <f t="shared" si="7"/>
        <v>5376404.7599999998</v>
      </c>
      <c r="D36" s="47">
        <f t="shared" si="7"/>
        <v>4074212</v>
      </c>
      <c r="E36" s="47">
        <f t="shared" si="7"/>
        <v>5624968.8199999994</v>
      </c>
      <c r="F36" s="47">
        <f t="shared" si="7"/>
        <v>-248564.05999999971</v>
      </c>
      <c r="G36" s="47">
        <f t="shared" si="7"/>
        <v>5376404.7599999998</v>
      </c>
      <c r="H36" s="65">
        <f>C36-G36</f>
        <v>0</v>
      </c>
      <c r="J36" s="160">
        <f>G36+'106.02 old'!G36</f>
        <v>8192073.6600000001</v>
      </c>
    </row>
    <row r="37" spans="1:10" ht="12.75" customHeight="1" thickBot="1">
      <c r="A37" s="55" t="s">
        <v>25</v>
      </c>
      <c r="B37" s="59">
        <f t="shared" ref="B37:G37" si="8">B30+B36</f>
        <v>6605180</v>
      </c>
      <c r="C37" s="59">
        <f t="shared" si="8"/>
        <v>6588872</v>
      </c>
      <c r="D37" s="59">
        <f t="shared" si="8"/>
        <v>4711044</v>
      </c>
      <c r="E37" s="59">
        <f t="shared" si="8"/>
        <v>6703394.9699999988</v>
      </c>
      <c r="F37" s="59">
        <f t="shared" si="8"/>
        <v>-114522.96999999974</v>
      </c>
      <c r="G37" s="59">
        <f t="shared" si="8"/>
        <v>6588872</v>
      </c>
      <c r="H37" s="56">
        <f>C37-G37</f>
        <v>0</v>
      </c>
      <c r="J37" s="160">
        <f>G37+'106.02 old'!G37</f>
        <v>11500417</v>
      </c>
    </row>
    <row r="38" spans="1:10" ht="13.5" thickTop="1">
      <c r="A38" s="26" t="s">
        <v>17</v>
      </c>
      <c r="B38" s="168">
        <f>B20-B37</f>
        <v>0</v>
      </c>
      <c r="C38" s="168">
        <f>C20-C37</f>
        <v>0</v>
      </c>
      <c r="D38" s="168">
        <f>D20-D37</f>
        <v>1853041</v>
      </c>
      <c r="E38" s="168">
        <f>E20-E37</f>
        <v>-3602.9699999988079</v>
      </c>
      <c r="F38" s="168"/>
      <c r="G38" s="168" t="e">
        <f>G20-G37</f>
        <v>#REF!</v>
      </c>
    </row>
    <row r="39" spans="1:10" ht="12.75" customHeight="1">
      <c r="A39" s="26"/>
      <c r="B39" s="26"/>
      <c r="C39" s="28"/>
      <c r="D39" s="28"/>
      <c r="E39" s="28"/>
      <c r="F39" s="28"/>
      <c r="G39" s="2"/>
    </row>
    <row r="40" spans="1:10" ht="12.75" customHeight="1">
      <c r="A40" s="30" t="s">
        <v>18</v>
      </c>
      <c r="B40" s="30"/>
      <c r="E40" s="32"/>
      <c r="F40" s="32"/>
      <c r="G40" s="2"/>
      <c r="H40" s="9"/>
    </row>
    <row r="41" spans="1:10" ht="12.75" customHeight="1">
      <c r="A41" s="30" t="s">
        <v>201</v>
      </c>
      <c r="B41" s="30"/>
      <c r="E41" s="32"/>
      <c r="F41" s="32"/>
      <c r="G41" s="2"/>
    </row>
    <row r="42" spans="1:10" ht="12.75" customHeight="1">
      <c r="E42" s="32"/>
      <c r="F42" s="32"/>
    </row>
    <row r="43" spans="1:10" ht="12.75" customHeight="1">
      <c r="A43" s="33"/>
      <c r="B43" s="33"/>
      <c r="E43" s="32"/>
      <c r="F43" s="32"/>
    </row>
    <row r="44" spans="1:10" ht="12.75" customHeight="1">
      <c r="E44" s="32"/>
      <c r="F44" s="32"/>
    </row>
    <row r="45" spans="1:10" ht="12.75" customHeight="1">
      <c r="E45" s="32"/>
      <c r="F45" s="32"/>
    </row>
    <row r="46" spans="1:10" ht="12.75" customHeight="1">
      <c r="E46" s="32"/>
      <c r="F46" s="32"/>
    </row>
    <row r="47" spans="1:10" ht="12.75" customHeight="1">
      <c r="E47" s="32"/>
      <c r="F47" s="32"/>
    </row>
    <row r="48" spans="1:10" ht="12.75" customHeight="1">
      <c r="E48" s="32"/>
      <c r="F48" s="32"/>
    </row>
    <row r="49" spans="5:6" ht="12.75" customHeight="1">
      <c r="E49" s="32"/>
      <c r="F49" s="32"/>
    </row>
    <row r="50" spans="5:6" ht="12.75" customHeight="1">
      <c r="E50" s="32"/>
      <c r="F50" s="32"/>
    </row>
    <row r="51" spans="5:6" ht="12.75" customHeight="1">
      <c r="E51" s="32"/>
      <c r="F51" s="32"/>
    </row>
    <row r="52" spans="5:6" ht="12.75" customHeight="1">
      <c r="E52" s="32"/>
      <c r="F52" s="32"/>
    </row>
    <row r="53" spans="5:6" ht="12.75" customHeight="1">
      <c r="E53" s="32"/>
      <c r="F53" s="32"/>
    </row>
    <row r="54" spans="5:6" ht="12.75" customHeight="1">
      <c r="E54" s="32"/>
      <c r="F54" s="32"/>
    </row>
    <row r="55" spans="5:6" ht="12.75" customHeight="1">
      <c r="E55" s="32"/>
      <c r="F55" s="32"/>
    </row>
    <row r="56" spans="5:6" ht="12.75" customHeight="1">
      <c r="E56" s="32"/>
      <c r="F56" s="32"/>
    </row>
    <row r="57" spans="5:6" ht="12.75" customHeight="1">
      <c r="E57" s="32"/>
      <c r="F57" s="32"/>
    </row>
    <row r="58" spans="5:6" ht="12.75" customHeight="1">
      <c r="E58" s="32"/>
      <c r="F58" s="32"/>
    </row>
    <row r="59" spans="5:6" ht="12.75" customHeight="1">
      <c r="E59" s="32"/>
      <c r="F59" s="32"/>
    </row>
    <row r="60" spans="5:6" ht="12.75" customHeight="1">
      <c r="E60" s="32"/>
      <c r="F60" s="32"/>
    </row>
    <row r="61" spans="5:6" ht="12.75" customHeight="1">
      <c r="E61" s="32"/>
      <c r="F61" s="32"/>
    </row>
    <row r="62" spans="5:6" ht="12.75" customHeight="1">
      <c r="E62" s="32"/>
      <c r="F62" s="32"/>
    </row>
    <row r="63" spans="5:6" ht="12.75" customHeight="1">
      <c r="E63" s="32"/>
      <c r="F63" s="32"/>
    </row>
    <row r="64" spans="5:6" ht="12.75" customHeight="1">
      <c r="E64" s="32"/>
      <c r="F64" s="32"/>
    </row>
    <row r="65" spans="5:6" ht="12.75" customHeight="1">
      <c r="E65" s="32"/>
      <c r="F65" s="32"/>
    </row>
    <row r="66" spans="5:6" ht="12.75" customHeight="1">
      <c r="E66" s="32"/>
      <c r="F66" s="32"/>
    </row>
    <row r="67" spans="5:6" ht="12.75" customHeight="1">
      <c r="E67" s="32"/>
      <c r="F67" s="32"/>
    </row>
    <row r="68" spans="5:6" ht="12.75" customHeight="1">
      <c r="E68" s="32"/>
      <c r="F68" s="32"/>
    </row>
    <row r="69" spans="5:6" ht="12.75" customHeight="1">
      <c r="E69" s="32"/>
      <c r="F69" s="32"/>
    </row>
    <row r="70" spans="5:6" ht="12.75" customHeight="1">
      <c r="E70" s="32"/>
      <c r="F70" s="32"/>
    </row>
    <row r="71" spans="5:6" ht="12.75" customHeight="1">
      <c r="E71" s="32"/>
      <c r="F71" s="32"/>
    </row>
    <row r="72" spans="5:6" ht="12.75" customHeight="1">
      <c r="E72" s="32"/>
      <c r="F72" s="32"/>
    </row>
    <row r="73" spans="5:6" ht="12.75" customHeight="1">
      <c r="E73" s="32"/>
      <c r="F73" s="32"/>
    </row>
    <row r="74" spans="5:6" ht="12.75" customHeight="1">
      <c r="E74" s="32"/>
      <c r="F74" s="32"/>
    </row>
    <row r="75" spans="5:6" ht="12.75" customHeight="1">
      <c r="E75" s="32"/>
      <c r="F75" s="32"/>
    </row>
    <row r="76" spans="5:6" ht="12.75" customHeight="1">
      <c r="E76" s="32"/>
      <c r="F76" s="32"/>
    </row>
    <row r="77" spans="5:6" ht="12.75" customHeight="1">
      <c r="E77" s="34"/>
      <c r="F77" s="34"/>
    </row>
    <row r="78" spans="5:6" ht="12.75" customHeight="1">
      <c r="E78" s="34"/>
      <c r="F78" s="34"/>
    </row>
    <row r="79" spans="5:6" ht="12.75" customHeight="1">
      <c r="E79" s="34"/>
      <c r="F79" s="34"/>
    </row>
    <row r="80" spans="5:6" ht="12.75" customHeight="1">
      <c r="E80" s="34"/>
      <c r="F80" s="34"/>
    </row>
    <row r="81" spans="5:6" ht="12.75" customHeight="1">
      <c r="E81" s="34"/>
      <c r="F81" s="34"/>
    </row>
    <row r="82" spans="5:6" ht="12.75" customHeight="1">
      <c r="E82" s="34"/>
      <c r="F82" s="34"/>
    </row>
    <row r="83" spans="5:6" ht="12.75" customHeight="1">
      <c r="E83" s="34"/>
      <c r="F83" s="34"/>
    </row>
    <row r="84" spans="5:6" ht="12.75" customHeight="1">
      <c r="E84" s="34"/>
      <c r="F84" s="34"/>
    </row>
    <row r="85" spans="5:6" ht="12.75" customHeight="1">
      <c r="E85" s="34"/>
      <c r="F85" s="34"/>
    </row>
    <row r="86" spans="5:6" ht="12.75" customHeight="1">
      <c r="E86" s="34"/>
      <c r="F86" s="34"/>
    </row>
    <row r="87" spans="5:6" ht="12.75" customHeight="1">
      <c r="E87" s="34"/>
      <c r="F87" s="34"/>
    </row>
    <row r="88" spans="5:6" ht="12.75" customHeight="1">
      <c r="E88" s="34"/>
      <c r="F88" s="34"/>
    </row>
    <row r="89" spans="5:6" ht="12.75" customHeight="1">
      <c r="E89" s="34"/>
      <c r="F89" s="34"/>
    </row>
    <row r="90" spans="5:6" ht="12.75" customHeight="1">
      <c r="E90" s="34"/>
      <c r="F90" s="34"/>
    </row>
    <row r="91" spans="5:6" ht="12.75" customHeight="1">
      <c r="E91" s="34"/>
      <c r="F91" s="34"/>
    </row>
  </sheetData>
  <customSheetViews>
    <customSheetView guid="{C8E99144-FF29-42D8-8D33-2038AA9D760E}" scale="75" showPageBreaks="1" fitToPage="1" view="pageBreakPreview" showRuler="0">
      <pane xSplit="1" ySplit="4" topLeftCell="C11" activePane="bottomRight" state="frozen"/>
      <selection pane="bottomRight" activeCell="C9" activeCellId="1" sqref="F9 C9"/>
      <pageMargins left="0.75" right="0.75" top="1" bottom="1" header="0.5" footer="0.5"/>
      <pageSetup scale="73" orientation="landscape" horizontalDpi="300" verticalDpi="300" r:id="rId1"/>
      <headerFooter alignWithMargins="0"/>
    </customSheetView>
    <customSheetView guid="{6F41311F-2270-450A-A26B-FA887A989CC9}" scale="75" showPageBreaks="1" fitToPage="1" view="pageBreakPreview" showRuler="0">
      <selection activeCell="I34" sqref="I34"/>
      <pageMargins left="0.75" right="0.75" top="1" bottom="1" header="0.5" footer="0.5"/>
      <pageSetup scale="50" orientation="portrait" horizontalDpi="300" verticalDpi="300" r:id="rId2"/>
      <headerFooter alignWithMargins="0"/>
    </customSheetView>
    <customSheetView guid="{9F62FB59-F471-497B-8464-A1F026EE1693}" scale="75" showPageBreaks="1" fitToPage="1" view="pageBreakPreview" showRuler="0">
      <selection activeCell="F33" sqref="F33"/>
      <pageMargins left="0.75" right="0.75" top="1" bottom="1" header="0.5" footer="0.5"/>
      <pageSetup scale="50" orientation="portrait" horizontalDpi="300" verticalDpi="300" r:id="rId3"/>
      <headerFooter alignWithMargins="0"/>
    </customSheetView>
    <customSheetView guid="{20D5FB18-2FAE-4D83-BF94-A00B522BD190}" scale="75" showPageBreaks="1" fitToPage="1" hiddenColumns="1" view="pageBreakPreview" showRuler="0" topLeftCell="A4">
      <selection activeCell="I35" sqref="I35"/>
      <pageMargins left="0.75" right="0.75" top="1" bottom="1" header="0.5" footer="0.5"/>
      <pageSetup scale="55" orientation="portrait" horizontalDpi="300" verticalDpi="300" r:id="rId4"/>
      <headerFooter alignWithMargins="0"/>
    </customSheetView>
    <customSheetView guid="{9456C1E9-89BB-4E93-9AFD-5A49DBF97574}" scale="75" showPageBreaks="1" fitToPage="1" hiddenColumns="1" view="pageBreakPreview" showRuler="0">
      <pane ySplit="4" topLeftCell="A5" activePane="bottomLeft" state="frozen"/>
      <selection pane="bottomLeft" activeCell="D19" sqref="D19"/>
      <pageMargins left="0.75" right="0.75" top="1" bottom="1" header="0.5" footer="0.5"/>
      <pageSetup scale="60" orientation="portrait" horizontalDpi="300" verticalDpi="300" r:id="rId5"/>
      <headerFooter alignWithMargins="0"/>
    </customSheetView>
    <customSheetView guid="{7FD41845-6BD4-448F-810C-049EFA55EC1B}" fitToPage="1" showRuler="0">
      <pane xSplit="1" ySplit="4" topLeftCell="F5" activePane="bottomRight" state="frozen"/>
      <selection pane="bottomRight" activeCell="E32" sqref="E32"/>
      <pageMargins left="0.75" right="0.75" top="1" bottom="1" header="0.5" footer="0.5"/>
      <pageSetup scale="73" orientation="landscape" horizontalDpi="300" verticalDpi="300" r:id="rId6"/>
      <headerFooter alignWithMargins="0"/>
    </customSheetView>
    <customSheetView guid="{8B0AB125-4209-45BF-9ABD-74BE01FD7C48}" showPageBreaks="1" fitToPage="1" showRuler="0">
      <pane xSplit="1" ySplit="4" topLeftCell="F5" activePane="bottomRight" state="frozen"/>
      <selection pane="bottomRight" activeCell="E32" sqref="E32"/>
      <pageMargins left="0.75" right="0.75" top="1" bottom="1" header="0.5" footer="0.5"/>
      <pageSetup scale="73"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74" orientation="landscape" horizontalDpi="300" verticalDpi="300" r:id="rId8"/>
  <headerFooter alignWithMargins="0"/>
  <legacyDrawing r:id="rId9"/>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enableFormatConditionsCalculation="0">
    <tabColor indexed="29"/>
    <pageSetUpPr fitToPage="1"/>
  </sheetPr>
  <dimension ref="A1:H41"/>
  <sheetViews>
    <sheetView showRuler="0" zoomScaleNormal="100" zoomScaleSheetLayoutView="75" workbookViewId="0">
      <pane xSplit="1" ySplit="4" topLeftCell="C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7.140625" style="1" customWidth="1"/>
    <col min="3" max="3" width="16.5703125" style="1" customWidth="1"/>
    <col min="4" max="4" width="14.5703125" style="1" bestFit="1" customWidth="1"/>
    <col min="5" max="5" width="16.140625" style="1" customWidth="1"/>
    <col min="6" max="6" width="12.85546875" style="31" customWidth="1"/>
    <col min="7" max="7" width="17.42578125" style="1" customWidth="1"/>
    <col min="8" max="8" width="12.28515625" style="1" bestFit="1" customWidth="1"/>
    <col min="9" max="16384" width="6.85546875" style="1"/>
  </cols>
  <sheetData>
    <row r="1" spans="1:8" ht="18">
      <c r="A1" s="1742" t="s">
        <v>269</v>
      </c>
      <c r="B1" s="1742"/>
      <c r="C1" s="1742"/>
      <c r="D1" s="1742"/>
      <c r="E1" s="1742"/>
      <c r="F1" s="1742"/>
      <c r="G1" s="1742"/>
      <c r="H1" s="1742"/>
    </row>
    <row r="2" spans="1:8" ht="15" customHeight="1" thickBot="1">
      <c r="A2" s="1743" t="s">
        <v>318</v>
      </c>
      <c r="B2" s="1743"/>
      <c r="C2" s="1743"/>
      <c r="D2" s="1743"/>
      <c r="E2" s="1743"/>
      <c r="F2" s="1743"/>
      <c r="G2" s="1743"/>
      <c r="H2" s="1743"/>
    </row>
    <row r="3" spans="1:8" ht="12.75" customHeight="1">
      <c r="A3" s="86"/>
      <c r="B3" s="86"/>
      <c r="C3" s="86" t="s">
        <v>64</v>
      </c>
      <c r="D3" s="91" t="s">
        <v>64</v>
      </c>
      <c r="E3" s="86"/>
      <c r="F3" s="91" t="s">
        <v>86</v>
      </c>
      <c r="G3" s="86"/>
      <c r="H3" s="91" t="s">
        <v>110</v>
      </c>
    </row>
    <row r="4" spans="1:8" ht="39"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50">
        <v>0</v>
      </c>
      <c r="C7" s="50">
        <v>0</v>
      </c>
      <c r="D7" s="50">
        <v>0</v>
      </c>
      <c r="E7" s="50">
        <v>0</v>
      </c>
      <c r="F7" s="60">
        <f t="shared" ref="F7:F14" si="0">E7-C7</f>
        <v>0</v>
      </c>
      <c r="G7" s="50">
        <v>0</v>
      </c>
      <c r="H7" s="9">
        <f t="shared" ref="H7:H13" si="1">G7-C7</f>
        <v>0</v>
      </c>
    </row>
    <row r="8" spans="1:8">
      <c r="A8" s="16" t="s">
        <v>4</v>
      </c>
      <c r="B8" s="50">
        <v>0</v>
      </c>
      <c r="C8" s="50">
        <v>0</v>
      </c>
      <c r="D8" s="50">
        <v>0</v>
      </c>
      <c r="E8" s="50">
        <v>0</v>
      </c>
      <c r="F8" s="60">
        <f t="shared" si="0"/>
        <v>0</v>
      </c>
      <c r="G8" s="50">
        <v>0</v>
      </c>
      <c r="H8" s="9">
        <f t="shared" si="1"/>
        <v>0</v>
      </c>
    </row>
    <row r="9" spans="1:8">
      <c r="A9" s="11" t="s">
        <v>70</v>
      </c>
      <c r="B9" s="50">
        <v>3256770</v>
      </c>
      <c r="C9" s="50">
        <v>3152283</v>
      </c>
      <c r="D9" s="50">
        <v>3532325</v>
      </c>
      <c r="E9" s="50">
        <v>3532325</v>
      </c>
      <c r="F9" s="60">
        <f t="shared" si="0"/>
        <v>380042</v>
      </c>
      <c r="G9" s="50">
        <v>3152283</v>
      </c>
      <c r="H9" s="9">
        <f t="shared" si="1"/>
        <v>0</v>
      </c>
    </row>
    <row r="10" spans="1:8">
      <c r="A10" s="16" t="s">
        <v>6</v>
      </c>
      <c r="B10" s="50">
        <v>0</v>
      </c>
      <c r="C10" s="50">
        <v>0</v>
      </c>
      <c r="D10" s="50">
        <v>0</v>
      </c>
      <c r="E10" s="50">
        <v>0</v>
      </c>
      <c r="F10" s="60">
        <f t="shared" si="0"/>
        <v>0</v>
      </c>
      <c r="G10" s="50">
        <v>0</v>
      </c>
      <c r="H10" s="9">
        <f t="shared" si="1"/>
        <v>0</v>
      </c>
    </row>
    <row r="11" spans="1:8">
      <c r="A11" s="16" t="s">
        <v>7</v>
      </c>
      <c r="B11" s="50">
        <v>0</v>
      </c>
      <c r="C11" s="50">
        <v>0</v>
      </c>
      <c r="D11" s="50">
        <v>0</v>
      </c>
      <c r="E11" s="50">
        <v>0</v>
      </c>
      <c r="F11" s="60">
        <f t="shared" si="0"/>
        <v>0</v>
      </c>
      <c r="G11" s="50">
        <v>0</v>
      </c>
      <c r="H11" s="9">
        <f t="shared" si="1"/>
        <v>0</v>
      </c>
    </row>
    <row r="12" spans="1:8">
      <c r="A12" s="24" t="s">
        <v>8</v>
      </c>
      <c r="B12" s="50">
        <v>88480</v>
      </c>
      <c r="C12" s="50">
        <v>16480</v>
      </c>
      <c r="D12" s="50">
        <v>11592</v>
      </c>
      <c r="E12" s="50">
        <v>16480</v>
      </c>
      <c r="F12" s="60">
        <f t="shared" si="0"/>
        <v>0</v>
      </c>
      <c r="G12" s="50">
        <v>16480</v>
      </c>
      <c r="H12" s="9">
        <f t="shared" si="1"/>
        <v>0</v>
      </c>
    </row>
    <row r="13" spans="1:8">
      <c r="A13" s="24" t="s">
        <v>28</v>
      </c>
      <c r="B13" s="50">
        <v>0</v>
      </c>
      <c r="C13" s="50">
        <v>0</v>
      </c>
      <c r="D13" s="50">
        <v>0</v>
      </c>
      <c r="E13" s="50">
        <v>0</v>
      </c>
      <c r="F13" s="60">
        <f t="shared" si="0"/>
        <v>0</v>
      </c>
      <c r="G13" s="50">
        <v>0</v>
      </c>
      <c r="H13" s="9">
        <f t="shared" si="1"/>
        <v>0</v>
      </c>
    </row>
    <row r="14" spans="1:8">
      <c r="A14" s="37" t="s">
        <v>9</v>
      </c>
      <c r="B14" s="46">
        <f>SUM(B7:B13)</f>
        <v>3345250</v>
      </c>
      <c r="C14" s="46">
        <f>SUM(C7:C13)</f>
        <v>3168763</v>
      </c>
      <c r="D14" s="46">
        <f>SUM(D7:D13)</f>
        <v>3543917</v>
      </c>
      <c r="E14" s="46">
        <f>SUM(E7:E13)</f>
        <v>3548805</v>
      </c>
      <c r="F14" s="61">
        <f t="shared" si="0"/>
        <v>380042</v>
      </c>
      <c r="G14" s="46">
        <f>SUM(G7:G13)</f>
        <v>3168763</v>
      </c>
      <c r="H14" s="46">
        <f>SUM(H7:H13)</f>
        <v>0</v>
      </c>
    </row>
    <row r="15" spans="1:8">
      <c r="A15" s="18"/>
      <c r="B15" s="50"/>
      <c r="C15" s="50"/>
      <c r="D15" s="50"/>
      <c r="E15" s="50"/>
      <c r="F15" s="60"/>
      <c r="G15" s="50"/>
      <c r="H15" s="10"/>
    </row>
    <row r="16" spans="1:8">
      <c r="A16" s="36" t="s">
        <v>266</v>
      </c>
      <c r="B16" s="50">
        <v>1972767</v>
      </c>
      <c r="C16" s="50">
        <v>1742782</v>
      </c>
      <c r="D16" s="50">
        <v>1952435</v>
      </c>
      <c r="E16" s="114">
        <f>D16</f>
        <v>1952435</v>
      </c>
      <c r="F16" s="50">
        <v>0</v>
      </c>
      <c r="G16" s="128">
        <v>1742782</v>
      </c>
      <c r="H16" s="9">
        <f>G16-C16</f>
        <v>0</v>
      </c>
    </row>
    <row r="17" spans="1:8">
      <c r="A17" s="36" t="s">
        <v>29</v>
      </c>
      <c r="B17" s="50">
        <v>0</v>
      </c>
      <c r="C17" s="50">
        <v>0</v>
      </c>
      <c r="D17" s="50">
        <v>0</v>
      </c>
      <c r="E17" s="50">
        <v>0</v>
      </c>
      <c r="F17" s="50">
        <v>0</v>
      </c>
      <c r="G17" s="50">
        <v>0</v>
      </c>
      <c r="H17" s="9">
        <f>G17-C17</f>
        <v>0</v>
      </c>
    </row>
    <row r="18" spans="1:8">
      <c r="A18" s="16" t="s">
        <v>264</v>
      </c>
      <c r="B18" s="50">
        <v>0</v>
      </c>
      <c r="C18" s="114">
        <v>0</v>
      </c>
      <c r="D18" s="114">
        <f>C18</f>
        <v>0</v>
      </c>
      <c r="E18" s="114">
        <f>C18</f>
        <v>0</v>
      </c>
      <c r="F18" s="50">
        <v>0</v>
      </c>
      <c r="G18" s="50">
        <v>0</v>
      </c>
      <c r="H18" s="9">
        <f>G18-C18</f>
        <v>0</v>
      </c>
    </row>
    <row r="19" spans="1:8">
      <c r="A19" s="18" t="s">
        <v>20</v>
      </c>
      <c r="B19" s="28">
        <f>SUM(B16:B18)</f>
        <v>1972767</v>
      </c>
      <c r="C19" s="28">
        <f>SUM(C16:C18)</f>
        <v>1742782</v>
      </c>
      <c r="D19" s="28">
        <f>SUM(D16:D18)</f>
        <v>1952435</v>
      </c>
      <c r="E19" s="28">
        <f>SUM(E16:E18)</f>
        <v>1952435</v>
      </c>
      <c r="F19" s="14">
        <f>E19-C19</f>
        <v>209653</v>
      </c>
      <c r="G19" s="28">
        <f>SUM(G16:G18)</f>
        <v>1742782</v>
      </c>
      <c r="H19" s="9">
        <f>G19-C19</f>
        <v>0</v>
      </c>
    </row>
    <row r="20" spans="1:8" ht="13.5" thickBot="1">
      <c r="A20" s="55" t="s">
        <v>21</v>
      </c>
      <c r="B20" s="57">
        <f>B14+B19</f>
        <v>5318017</v>
      </c>
      <c r="C20" s="57">
        <f>C14+C19</f>
        <v>4911545</v>
      </c>
      <c r="D20" s="57">
        <f>D14+D19</f>
        <v>5496352</v>
      </c>
      <c r="E20" s="56">
        <f>E14+E19</f>
        <v>5501240</v>
      </c>
      <c r="F20" s="58">
        <f>E20-C20</f>
        <v>589695</v>
      </c>
      <c r="G20" s="57">
        <f>G14+G19</f>
        <v>4911545</v>
      </c>
      <c r="H20" s="57">
        <f>H14+H19</f>
        <v>0</v>
      </c>
    </row>
    <row r="21" spans="1:8" ht="13.5" thickTop="1">
      <c r="A21" s="2"/>
      <c r="B21" s="48"/>
      <c r="C21" s="48"/>
      <c r="D21" s="48"/>
      <c r="E21" s="48"/>
      <c r="F21" s="62"/>
      <c r="G21" s="48"/>
      <c r="H21" s="10"/>
    </row>
    <row r="22" spans="1:8">
      <c r="A22" s="11" t="s">
        <v>10</v>
      </c>
      <c r="B22" s="48"/>
      <c r="C22" s="48"/>
      <c r="D22" s="48"/>
      <c r="E22" s="48"/>
      <c r="F22" s="62"/>
      <c r="G22" s="48"/>
      <c r="H22" s="9"/>
    </row>
    <row r="23" spans="1:8">
      <c r="A23" s="24" t="s">
        <v>11</v>
      </c>
      <c r="B23" s="50">
        <v>698190</v>
      </c>
      <c r="C23" s="50">
        <v>693674</v>
      </c>
      <c r="D23" s="50">
        <v>415499</v>
      </c>
      <c r="E23" s="50">
        <v>620741.44999999995</v>
      </c>
      <c r="F23" s="60">
        <f>C23-E23</f>
        <v>72932.550000000047</v>
      </c>
      <c r="G23" s="50">
        <v>693674</v>
      </c>
      <c r="H23" s="9">
        <f t="shared" ref="H23:H28" si="2">C23-G23</f>
        <v>0</v>
      </c>
    </row>
    <row r="24" spans="1:8">
      <c r="A24" s="24" t="s">
        <v>12</v>
      </c>
      <c r="B24" s="50">
        <v>314604</v>
      </c>
      <c r="C24" s="50">
        <v>313672</v>
      </c>
      <c r="D24" s="50">
        <v>206356</v>
      </c>
      <c r="E24" s="50">
        <v>293766.27</v>
      </c>
      <c r="F24" s="60">
        <f t="shared" ref="F24:F29" si="3">C24-E24</f>
        <v>19905.729999999981</v>
      </c>
      <c r="G24" s="50">
        <v>313672</v>
      </c>
      <c r="H24" s="9">
        <f t="shared" si="2"/>
        <v>0</v>
      </c>
    </row>
    <row r="25" spans="1:8">
      <c r="A25" s="24" t="s">
        <v>13</v>
      </c>
      <c r="B25" s="50">
        <v>654449.19999999995</v>
      </c>
      <c r="C25" s="50">
        <v>802905</v>
      </c>
      <c r="D25" s="50">
        <v>247468</v>
      </c>
      <c r="E25" s="50">
        <v>739768.5</v>
      </c>
      <c r="F25" s="60">
        <f t="shared" si="3"/>
        <v>63136.5</v>
      </c>
      <c r="G25" s="50">
        <f>767905+35000</f>
        <v>802905</v>
      </c>
      <c r="H25" s="9">
        <f t="shared" si="2"/>
        <v>0</v>
      </c>
    </row>
    <row r="26" spans="1:8">
      <c r="A26" s="24" t="s">
        <v>14</v>
      </c>
      <c r="B26" s="50">
        <v>272201</v>
      </c>
      <c r="C26" s="50">
        <v>285625.09999999998</v>
      </c>
      <c r="D26" s="50">
        <v>186456</v>
      </c>
      <c r="E26" s="50">
        <v>246616.38</v>
      </c>
      <c r="F26" s="60">
        <f t="shared" si="3"/>
        <v>39008.719999999972</v>
      </c>
      <c r="G26" s="50">
        <f>244887.86+40737.24</f>
        <v>285625.09999999998</v>
      </c>
      <c r="H26" s="9">
        <f t="shared" si="2"/>
        <v>0</v>
      </c>
    </row>
    <row r="27" spans="1:8">
      <c r="A27" s="24" t="s">
        <v>26</v>
      </c>
      <c r="B27" s="50">
        <v>0</v>
      </c>
      <c r="C27" s="50">
        <v>0</v>
      </c>
      <c r="D27" s="50">
        <v>0</v>
      </c>
      <c r="E27" s="50">
        <v>0</v>
      </c>
      <c r="F27" s="60">
        <f t="shared" si="3"/>
        <v>0</v>
      </c>
      <c r="G27" s="50">
        <v>0</v>
      </c>
      <c r="H27" s="9">
        <f t="shared" si="2"/>
        <v>0</v>
      </c>
    </row>
    <row r="28" spans="1:8">
      <c r="A28" s="24" t="s">
        <v>15</v>
      </c>
      <c r="B28" s="50">
        <v>0</v>
      </c>
      <c r="C28" s="50">
        <v>0</v>
      </c>
      <c r="D28" s="50">
        <v>0</v>
      </c>
      <c r="E28" s="50">
        <v>0</v>
      </c>
      <c r="F28" s="60">
        <f t="shared" si="3"/>
        <v>0</v>
      </c>
      <c r="G28" s="50">
        <v>0</v>
      </c>
      <c r="H28" s="9">
        <f t="shared" si="2"/>
        <v>0</v>
      </c>
    </row>
    <row r="29" spans="1:8">
      <c r="A29" s="24" t="s">
        <v>16</v>
      </c>
      <c r="B29" s="50">
        <v>0</v>
      </c>
      <c r="C29" s="50">
        <v>0</v>
      </c>
      <c r="D29" s="50">
        <v>0</v>
      </c>
      <c r="E29" s="50">
        <v>0</v>
      </c>
      <c r="F29" s="60">
        <f t="shared" si="3"/>
        <v>0</v>
      </c>
      <c r="G29" s="50">
        <v>0</v>
      </c>
      <c r="H29" s="9"/>
    </row>
    <row r="30" spans="1:8">
      <c r="A30" s="37" t="s">
        <v>22</v>
      </c>
      <c r="B30" s="46">
        <f>SUM(B23:B29)</f>
        <v>1939444.2</v>
      </c>
      <c r="C30" s="46">
        <f>SUM(C23:C29)</f>
        <v>2095876.1</v>
      </c>
      <c r="D30" s="46">
        <f>SUM(D23:D29)</f>
        <v>1055779</v>
      </c>
      <c r="E30" s="46">
        <f>SUM(E23:E29)</f>
        <v>1900892.6</v>
      </c>
      <c r="F30" s="61">
        <f>C30-E30</f>
        <v>194983.5</v>
      </c>
      <c r="G30" s="46">
        <f>SUM(G23:G29)</f>
        <v>2095876.1</v>
      </c>
      <c r="H30" s="46">
        <f>SUM(H23:H29)</f>
        <v>0</v>
      </c>
    </row>
    <row r="31" spans="1:8">
      <c r="A31" s="18" t="s">
        <v>23</v>
      </c>
      <c r="B31" s="50"/>
      <c r="C31" s="50"/>
      <c r="D31" s="50"/>
      <c r="E31" s="50"/>
      <c r="F31" s="60"/>
      <c r="G31" s="50"/>
      <c r="H31" s="10"/>
    </row>
    <row r="32" spans="1:8">
      <c r="A32" s="41" t="s">
        <v>34</v>
      </c>
      <c r="B32" s="50">
        <v>0</v>
      </c>
      <c r="C32" s="50">
        <v>0</v>
      </c>
      <c r="D32" s="50">
        <v>0</v>
      </c>
      <c r="E32" s="50">
        <v>0</v>
      </c>
      <c r="F32" s="60"/>
      <c r="G32" s="50">
        <v>0</v>
      </c>
      <c r="H32" s="9"/>
    </row>
    <row r="33" spans="1:8">
      <c r="A33" s="41" t="s">
        <v>268</v>
      </c>
      <c r="B33" s="50">
        <v>941000</v>
      </c>
      <c r="C33" s="50">
        <v>2815668.9</v>
      </c>
      <c r="D33" s="50">
        <v>705749</v>
      </c>
      <c r="E33" s="128">
        <f>'288 old'!D55</f>
        <v>964000</v>
      </c>
      <c r="F33" s="60">
        <f>C33-E33</f>
        <v>1851668.9</v>
      </c>
      <c r="G33" s="128">
        <f>'288 old'!H55</f>
        <v>2815668.9</v>
      </c>
      <c r="H33" s="9">
        <f>C33-G33</f>
        <v>0</v>
      </c>
    </row>
    <row r="34" spans="1:8">
      <c r="A34" s="41" t="s">
        <v>262</v>
      </c>
      <c r="B34" s="50">
        <v>2437572.7999999998</v>
      </c>
      <c r="C34" s="50">
        <v>0</v>
      </c>
      <c r="D34" s="162">
        <v>1849679</v>
      </c>
      <c r="E34" s="162">
        <f>2811259.07-63287</f>
        <v>2747972.07</v>
      </c>
      <c r="F34" s="14">
        <f>C34-E34</f>
        <v>-2747972.07</v>
      </c>
      <c r="G34" s="162">
        <v>0</v>
      </c>
      <c r="H34" s="9">
        <f>C34-G34</f>
        <v>0</v>
      </c>
    </row>
    <row r="35" spans="1:8">
      <c r="A35" s="41" t="s">
        <v>29</v>
      </c>
      <c r="B35" s="50">
        <v>0</v>
      </c>
      <c r="C35" s="50">
        <v>0</v>
      </c>
      <c r="D35" s="50">
        <v>0</v>
      </c>
      <c r="E35" s="50">
        <v>0</v>
      </c>
      <c r="F35" s="14">
        <f>C35-E35</f>
        <v>0</v>
      </c>
      <c r="G35" s="50"/>
      <c r="H35" s="10"/>
    </row>
    <row r="36" spans="1:8">
      <c r="A36" s="37" t="s">
        <v>24</v>
      </c>
      <c r="B36" s="46">
        <f>SUM(B33:B35)</f>
        <v>3378572.8</v>
      </c>
      <c r="C36" s="46">
        <f>SUM(C32:C35)</f>
        <v>2815668.9</v>
      </c>
      <c r="D36" s="46">
        <f>SUM(D32:D35)</f>
        <v>2555428</v>
      </c>
      <c r="E36" s="46">
        <f>SUM(E32:E35)</f>
        <v>3711972.07</v>
      </c>
      <c r="F36" s="39">
        <f>C36-E36</f>
        <v>-896303.16999999993</v>
      </c>
      <c r="G36" s="46">
        <f>SUM(G33:G35)</f>
        <v>2815668.9</v>
      </c>
      <c r="H36" s="46">
        <f>SUM(H33:H35)</f>
        <v>0</v>
      </c>
    </row>
    <row r="37" spans="1:8" ht="12.75" customHeight="1" thickBot="1">
      <c r="A37" s="55" t="s">
        <v>25</v>
      </c>
      <c r="B37" s="59">
        <f>B30+B36</f>
        <v>5318017</v>
      </c>
      <c r="C37" s="59">
        <f>C30+C36</f>
        <v>4911545</v>
      </c>
      <c r="D37" s="59">
        <f>D30+D36</f>
        <v>3611207</v>
      </c>
      <c r="E37" s="59">
        <f>E30+E36</f>
        <v>5612864.6699999999</v>
      </c>
      <c r="F37" s="58">
        <f>C37-E37</f>
        <v>-701319.66999999993</v>
      </c>
      <c r="G37" s="59">
        <f>G30+G36</f>
        <v>4911545</v>
      </c>
      <c r="H37" s="59">
        <f>H30+H36</f>
        <v>0</v>
      </c>
    </row>
    <row r="38" spans="1:8" ht="13.5" thickTop="1">
      <c r="A38" s="26" t="s">
        <v>17</v>
      </c>
      <c r="B38" s="168">
        <f>B20-B37</f>
        <v>0</v>
      </c>
      <c r="C38" s="168">
        <f>C20-C37</f>
        <v>0</v>
      </c>
      <c r="D38" s="168">
        <f>D20-D37</f>
        <v>1885145</v>
      </c>
      <c r="E38" s="168">
        <f>E20-E37</f>
        <v>-111624.66999999993</v>
      </c>
      <c r="F38" s="168"/>
      <c r="G38" s="168">
        <f>G20-G37</f>
        <v>0</v>
      </c>
    </row>
    <row r="39" spans="1:8" ht="12.75" customHeight="1">
      <c r="A39" s="26"/>
      <c r="B39" s="26"/>
      <c r="C39" s="28"/>
      <c r="D39" s="28"/>
      <c r="E39" s="28"/>
      <c r="F39" s="29"/>
      <c r="G39" s="10"/>
    </row>
    <row r="40" spans="1:8" ht="12.75" customHeight="1">
      <c r="A40" s="30" t="s">
        <v>18</v>
      </c>
      <c r="B40" s="30"/>
      <c r="E40" s="2"/>
      <c r="G40" s="9"/>
    </row>
    <row r="41" spans="1:8" ht="12.75" customHeight="1">
      <c r="A41" s="30" t="s">
        <v>201</v>
      </c>
      <c r="B41" s="30"/>
    </row>
  </sheetData>
  <customSheetViews>
    <customSheetView guid="{C8E99144-FF29-42D8-8D33-2038AA9D760E}" scale="75" showPageBreaks="1" fitToPage="1" view="pageBreakPreview" showRuler="0">
      <pane xSplit="1" ySplit="4" topLeftCell="B8" activePane="bottomRight" state="frozen"/>
      <selection pane="bottomRight" activeCell="C9" activeCellId="1" sqref="F9 C9"/>
      <pageMargins left="0.75" right="0.75" top="1" bottom="1" header="0.5" footer="0.5"/>
      <pageSetup scale="83" orientation="landscape" horizontalDpi="300" verticalDpi="300" r:id="rId1"/>
      <headerFooter alignWithMargins="0"/>
    </customSheetView>
    <customSheetView guid="{6F41311F-2270-450A-A26B-FA887A989CC9}" scale="75" showPageBreaks="1" fitToPage="1" view="pageBreakPreview" showRuler="0">
      <selection activeCell="I35" sqref="I35"/>
      <pageMargins left="0.75" right="0.75" top="1" bottom="1" header="0.5" footer="0.5"/>
      <pageSetup scale="52" orientation="portrait" horizontalDpi="300" verticalDpi="300" r:id="rId2"/>
      <headerFooter alignWithMargins="0"/>
    </customSheetView>
    <customSheetView guid="{9F62FB59-F471-497B-8464-A1F026EE1693}" scale="75" showPageBreaks="1" fitToPage="1" view="pageBreakPreview" showRuler="0">
      <selection activeCell="F33" sqref="F33"/>
      <pageMargins left="0.75" right="0.75" top="1" bottom="1" header="0.5" footer="0.5"/>
      <pageSetup scale="52" orientation="portrait" horizontalDpi="300" verticalDpi="300" r:id="rId3"/>
      <headerFooter alignWithMargins="0"/>
    </customSheetView>
    <customSheetView guid="{20D5FB18-2FAE-4D83-BF94-A00B522BD190}" scale="75" showPageBreaks="1" fitToPage="1" hiddenColumns="1" view="pageBreakPreview" showRuler="0">
      <selection activeCell="I35" sqref="I35"/>
      <pageMargins left="0.75" right="0.75" top="1" bottom="1" header="0.5" footer="0.5"/>
      <pageSetup scale="62" orientation="portrait" horizontalDpi="300" verticalDpi="300" r:id="rId4"/>
      <headerFooter alignWithMargins="0"/>
    </customSheetView>
    <customSheetView guid="{9456C1E9-89BB-4E93-9AFD-5A49DBF97574}" fitToPage="1" hiddenColumns="1" showRuler="0">
      <pane ySplit="4" topLeftCell="A9" activePane="bottomLeft" state="frozen"/>
      <selection pane="bottomLeft" activeCell="C19" sqref="C19"/>
      <pageMargins left="0.75" right="0.75" top="1" bottom="1" header="0.5" footer="0.5"/>
      <pageSetup scale="62" orientation="portrait" horizontalDpi="300" verticalDpi="300" r:id="rId5"/>
      <headerFooter alignWithMargins="0"/>
    </customSheetView>
    <customSheetView guid="{7FD41845-6BD4-448F-810C-049EFA55EC1B}" scale="75" showPageBreaks="1" fitToPage="1" view="pageBreakPreview" showRuler="0">
      <pane xSplit="1" ySplit="4" topLeftCell="B5" activePane="bottomRight" state="frozen"/>
      <selection pane="bottomRight" activeCell="E32" sqref="E32"/>
      <pageMargins left="0.75" right="0.75" top="1" bottom="1" header="0.5" footer="0.5"/>
      <pageSetup scale="83" orientation="landscape" horizontalDpi="300" verticalDpi="300" r:id="rId6"/>
      <headerFooter alignWithMargins="0"/>
    </customSheetView>
    <customSheetView guid="{8B0AB125-4209-45BF-9ABD-74BE01FD7C48}" scale="75" showPageBreaks="1" fitToPage="1" view="pageBreakPreview" showRuler="0">
      <pane xSplit="1" ySplit="4" topLeftCell="B5" activePane="bottomRight" state="frozen"/>
      <selection pane="bottomRight" activeCell="E32" sqref="E32"/>
      <pageMargins left="0.75" right="0.75" top="1" bottom="1" header="0.5" footer="0.5"/>
      <pageSetup scale="83"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85" orientation="landscape" horizontalDpi="300" verticalDpi="300" r:id="rId8"/>
  <headerFooter alignWithMargins="0"/>
  <legacyDrawing r:id="rId9"/>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tabColor indexed="28"/>
    <pageSetUpPr fitToPage="1"/>
  </sheetPr>
  <dimension ref="A1:M117"/>
  <sheetViews>
    <sheetView showRuler="0" zoomScaleNormal="100" zoomScaleSheetLayoutView="75"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6.28515625" style="1" customWidth="1"/>
    <col min="3" max="3" width="16.140625" style="1" bestFit="1" customWidth="1"/>
    <col min="4" max="4" width="14.140625" style="1" customWidth="1"/>
    <col min="5" max="5" width="16.140625" style="1" bestFit="1" customWidth="1"/>
    <col min="6" max="6" width="12.7109375" style="31" customWidth="1"/>
    <col min="7" max="7" width="16.5703125" style="1" customWidth="1"/>
    <col min="8" max="8" width="12.140625" style="1" customWidth="1"/>
    <col min="9" max="10" width="6.85546875" style="1"/>
    <col min="11" max="11" width="14" style="1" customWidth="1"/>
    <col min="12" max="12" width="6.85546875" style="1"/>
    <col min="13" max="13" width="14.5703125" style="1" bestFit="1" customWidth="1"/>
    <col min="14" max="16384" width="6.85546875" style="1"/>
  </cols>
  <sheetData>
    <row r="1" spans="1:8" ht="18">
      <c r="A1" s="1742" t="s">
        <v>271</v>
      </c>
      <c r="B1" s="1742"/>
      <c r="C1" s="1742"/>
      <c r="D1" s="1742"/>
      <c r="E1" s="1742"/>
      <c r="F1" s="1742"/>
      <c r="G1" s="1742"/>
      <c r="H1" s="1742"/>
    </row>
    <row r="2" spans="1:8" ht="15" customHeight="1" thickBot="1">
      <c r="A2" s="1743" t="s">
        <v>318</v>
      </c>
      <c r="B2" s="1743"/>
      <c r="C2" s="1743"/>
      <c r="D2" s="1743"/>
      <c r="E2" s="1743"/>
      <c r="F2" s="1743"/>
      <c r="G2" s="1743"/>
      <c r="H2" s="1743"/>
    </row>
    <row r="3" spans="1:8" s="87" customFormat="1" ht="12.75" customHeight="1">
      <c r="A3" s="86"/>
      <c r="B3" s="86"/>
      <c r="C3" s="86" t="s">
        <v>64</v>
      </c>
      <c r="D3" s="91" t="s">
        <v>64</v>
      </c>
      <c r="E3" s="86"/>
      <c r="F3" s="91" t="s">
        <v>86</v>
      </c>
      <c r="G3" s="86"/>
      <c r="H3" s="91" t="s">
        <v>110</v>
      </c>
    </row>
    <row r="4" spans="1:8" ht="39"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45">
        <v>0</v>
      </c>
      <c r="C7" s="45">
        <v>0</v>
      </c>
      <c r="D7" s="45">
        <v>0</v>
      </c>
      <c r="E7" s="45">
        <v>0</v>
      </c>
      <c r="F7" s="14">
        <f t="shared" ref="F7:F14" si="0">E7-C7</f>
        <v>0</v>
      </c>
      <c r="G7" s="45">
        <v>0</v>
      </c>
      <c r="H7" s="9">
        <f>G7-C7</f>
        <v>0</v>
      </c>
    </row>
    <row r="8" spans="1:8">
      <c r="A8" s="16" t="s">
        <v>4</v>
      </c>
      <c r="B8" s="45"/>
      <c r="C8" s="45">
        <v>0</v>
      </c>
      <c r="D8" s="45">
        <v>0</v>
      </c>
      <c r="E8" s="45">
        <v>0</v>
      </c>
      <c r="F8" s="14">
        <f t="shared" si="0"/>
        <v>0</v>
      </c>
      <c r="G8" s="45"/>
      <c r="H8" s="9">
        <f>G8-C8</f>
        <v>0</v>
      </c>
    </row>
    <row r="9" spans="1:8">
      <c r="A9" s="16" t="s">
        <v>5</v>
      </c>
      <c r="B9" s="45">
        <v>12231173</v>
      </c>
      <c r="C9" s="45">
        <v>12062650</v>
      </c>
      <c r="D9" s="45">
        <v>0</v>
      </c>
      <c r="E9" s="45">
        <v>14208571</v>
      </c>
      <c r="F9" s="14">
        <f t="shared" si="0"/>
        <v>2145921</v>
      </c>
      <c r="G9" s="45">
        <v>12231173</v>
      </c>
      <c r="H9" s="9">
        <f>G9-C9</f>
        <v>168523</v>
      </c>
    </row>
    <row r="10" spans="1:8">
      <c r="A10" s="16" t="s">
        <v>6</v>
      </c>
      <c r="B10" s="45">
        <v>0</v>
      </c>
      <c r="C10" s="45">
        <v>0</v>
      </c>
      <c r="D10" s="45">
        <v>0</v>
      </c>
      <c r="E10" s="45">
        <v>0</v>
      </c>
      <c r="F10" s="14">
        <f t="shared" si="0"/>
        <v>0</v>
      </c>
      <c r="G10" s="1">
        <v>0</v>
      </c>
      <c r="H10" s="9"/>
    </row>
    <row r="11" spans="1:8">
      <c r="A11" s="16" t="s">
        <v>7</v>
      </c>
      <c r="B11" s="45">
        <v>0</v>
      </c>
      <c r="C11" s="45">
        <v>0</v>
      </c>
      <c r="D11" s="45">
        <v>0</v>
      </c>
      <c r="E11" s="45">
        <v>0</v>
      </c>
      <c r="F11" s="14">
        <f t="shared" si="0"/>
        <v>0</v>
      </c>
      <c r="G11" s="45">
        <v>0</v>
      </c>
      <c r="H11" s="9">
        <f>G11-C11</f>
        <v>0</v>
      </c>
    </row>
    <row r="12" spans="1:8">
      <c r="A12" s="24" t="s">
        <v>8</v>
      </c>
      <c r="B12" s="42">
        <v>230000</v>
      </c>
      <c r="C12" s="42">
        <v>230000</v>
      </c>
      <c r="D12" s="42">
        <v>0</v>
      </c>
      <c r="E12" s="42">
        <v>230000</v>
      </c>
      <c r="F12" s="14">
        <f t="shared" si="0"/>
        <v>0</v>
      </c>
      <c r="G12" s="42">
        <v>230000</v>
      </c>
      <c r="H12" s="9">
        <f>G12-C12</f>
        <v>0</v>
      </c>
    </row>
    <row r="13" spans="1:8">
      <c r="A13" s="24" t="s">
        <v>28</v>
      </c>
      <c r="B13" s="42">
        <v>0</v>
      </c>
      <c r="C13" s="42">
        <v>0</v>
      </c>
      <c r="D13" s="42">
        <v>0</v>
      </c>
      <c r="E13" s="42">
        <v>0</v>
      </c>
      <c r="F13" s="14">
        <f t="shared" si="0"/>
        <v>0</v>
      </c>
      <c r="G13" s="42">
        <v>0</v>
      </c>
      <c r="H13" s="9">
        <f>G13-C13</f>
        <v>0</v>
      </c>
    </row>
    <row r="14" spans="1:8">
      <c r="A14" s="37" t="s">
        <v>9</v>
      </c>
      <c r="B14" s="46">
        <f>SUM(B7:B13)</f>
        <v>12461173</v>
      </c>
      <c r="C14" s="46">
        <f>SUM(C7:C13)</f>
        <v>12292650</v>
      </c>
      <c r="D14" s="46">
        <f>SUM(D7:D13)</f>
        <v>0</v>
      </c>
      <c r="E14" s="46">
        <f>SUM(E7:E13)</f>
        <v>14438571</v>
      </c>
      <c r="F14" s="39">
        <f t="shared" si="0"/>
        <v>2145921</v>
      </c>
      <c r="G14" s="46">
        <f>SUM(G7:G13)</f>
        <v>12461173</v>
      </c>
      <c r="H14" s="40">
        <f>G14-C14</f>
        <v>168523</v>
      </c>
    </row>
    <row r="15" spans="1:8">
      <c r="A15" s="18" t="s">
        <v>19</v>
      </c>
      <c r="B15" s="42"/>
      <c r="C15" s="50"/>
      <c r="D15" s="50"/>
      <c r="E15" s="50"/>
      <c r="F15" s="14"/>
      <c r="G15" s="42"/>
      <c r="H15" s="10"/>
    </row>
    <row r="16" spans="1:8">
      <c r="A16" s="36" t="s">
        <v>27</v>
      </c>
      <c r="B16" s="42">
        <v>0</v>
      </c>
      <c r="C16" s="42">
        <v>0</v>
      </c>
      <c r="D16" s="50">
        <v>0</v>
      </c>
      <c r="E16" s="50">
        <v>0</v>
      </c>
      <c r="F16" s="42">
        <v>0</v>
      </c>
      <c r="G16" s="42">
        <v>0</v>
      </c>
      <c r="H16" s="10">
        <f>G16-C16</f>
        <v>0</v>
      </c>
    </row>
    <row r="17" spans="1:13">
      <c r="A17" s="16"/>
      <c r="B17" s="42">
        <v>0</v>
      </c>
      <c r="C17" s="42">
        <v>0</v>
      </c>
      <c r="D17" s="50">
        <v>0</v>
      </c>
      <c r="E17" s="50">
        <v>0</v>
      </c>
      <c r="F17" s="42">
        <v>0</v>
      </c>
      <c r="G17" s="42">
        <v>0</v>
      </c>
      <c r="H17" s="10">
        <f>G17-C17</f>
        <v>0</v>
      </c>
    </row>
    <row r="18" spans="1:13">
      <c r="A18" s="18" t="s">
        <v>20</v>
      </c>
      <c r="B18" s="28">
        <v>0</v>
      </c>
      <c r="C18" s="28">
        <v>0</v>
      </c>
      <c r="D18" s="28">
        <v>0</v>
      </c>
      <c r="E18" s="28">
        <v>0</v>
      </c>
      <c r="F18" s="28">
        <v>0</v>
      </c>
      <c r="G18" s="28">
        <f>SUM(G16:G17)</f>
        <v>0</v>
      </c>
      <c r="H18" s="10">
        <f>G18-C18</f>
        <v>0</v>
      </c>
    </row>
    <row r="19" spans="1:13" ht="13.5" thickBot="1">
      <c r="A19" s="55" t="s">
        <v>21</v>
      </c>
      <c r="B19" s="57">
        <f>B14+B18</f>
        <v>12461173</v>
      </c>
      <c r="C19" s="57">
        <f>C14+C18</f>
        <v>12292650</v>
      </c>
      <c r="D19" s="57">
        <f>D14+D18</f>
        <v>0</v>
      </c>
      <c r="E19" s="57">
        <f>E14+E18</f>
        <v>14438571</v>
      </c>
      <c r="F19" s="58">
        <f>E19-C19</f>
        <v>2145921</v>
      </c>
      <c r="G19" s="57">
        <f>G14+G18</f>
        <v>12461173</v>
      </c>
      <c r="H19" s="58">
        <f>G19-C19</f>
        <v>168523</v>
      </c>
      <c r="K19" s="1">
        <f>1078347*112704/1167288</f>
        <v>104116.56788042026</v>
      </c>
    </row>
    <row r="20" spans="1:13" ht="13.5" thickTop="1">
      <c r="A20" s="2"/>
      <c r="B20" s="48"/>
      <c r="C20" s="48"/>
      <c r="D20" s="48"/>
      <c r="E20" s="48"/>
      <c r="F20" s="22"/>
      <c r="G20" s="48"/>
      <c r="H20" s="10"/>
    </row>
    <row r="21" spans="1:13">
      <c r="A21" s="11" t="s">
        <v>10</v>
      </c>
      <c r="B21" s="49"/>
      <c r="C21" s="48"/>
      <c r="D21" s="48"/>
      <c r="E21" s="48"/>
      <c r="F21" s="22"/>
      <c r="G21" s="49"/>
      <c r="H21" s="9"/>
    </row>
    <row r="22" spans="1:13">
      <c r="A22" s="24" t="s">
        <v>11</v>
      </c>
      <c r="B22" s="48">
        <v>776199.4</v>
      </c>
      <c r="C22" s="48">
        <v>1081349</v>
      </c>
      <c r="D22" s="50">
        <v>23054</v>
      </c>
      <c r="E22" s="50">
        <v>1354523.22</v>
      </c>
      <c r="F22" s="14">
        <f t="shared" ref="F22:F28" si="1">C22-E22</f>
        <v>-273174.21999999997</v>
      </c>
      <c r="G22" s="50">
        <v>776199.4</v>
      </c>
      <c r="H22" s="9">
        <f t="shared" ref="H22:H28" si="2">C22-G22</f>
        <v>305149.59999999998</v>
      </c>
      <c r="K22" s="68">
        <v>1047218</v>
      </c>
    </row>
    <row r="23" spans="1:13">
      <c r="A23" s="24" t="s">
        <v>12</v>
      </c>
      <c r="B23" s="48">
        <v>11080</v>
      </c>
      <c r="C23" s="48">
        <v>192939</v>
      </c>
      <c r="D23" s="48">
        <v>135411</v>
      </c>
      <c r="E23" s="48">
        <v>136556.35</v>
      </c>
      <c r="F23" s="14">
        <f t="shared" si="1"/>
        <v>56382.649999999994</v>
      </c>
      <c r="G23" s="48">
        <v>11080</v>
      </c>
      <c r="H23" s="9">
        <f t="shared" si="2"/>
        <v>181859</v>
      </c>
      <c r="K23" s="68">
        <v>16491</v>
      </c>
    </row>
    <row r="24" spans="1:13">
      <c r="A24" s="24" t="s">
        <v>13</v>
      </c>
      <c r="B24" s="48">
        <v>0</v>
      </c>
      <c r="C24" s="48">
        <v>0</v>
      </c>
      <c r="D24" s="48">
        <v>0</v>
      </c>
      <c r="E24" s="48">
        <v>0</v>
      </c>
      <c r="F24" s="14">
        <f t="shared" si="1"/>
        <v>0</v>
      </c>
      <c r="G24" s="50">
        <v>0</v>
      </c>
      <c r="H24" s="9">
        <f t="shared" si="2"/>
        <v>0</v>
      </c>
      <c r="K24" s="68">
        <v>8640</v>
      </c>
    </row>
    <row r="25" spans="1:13">
      <c r="A25" s="24" t="s">
        <v>14</v>
      </c>
      <c r="B25" s="48"/>
      <c r="C25" s="48">
        <v>0</v>
      </c>
      <c r="D25" s="48">
        <v>0</v>
      </c>
      <c r="E25" s="48">
        <v>0</v>
      </c>
      <c r="F25" s="14">
        <f t="shared" si="1"/>
        <v>0</v>
      </c>
      <c r="G25" s="48"/>
      <c r="H25" s="9">
        <f t="shared" si="2"/>
        <v>0</v>
      </c>
      <c r="K25" s="68">
        <v>6000</v>
      </c>
    </row>
    <row r="26" spans="1:13">
      <c r="A26" s="24" t="s">
        <v>26</v>
      </c>
      <c r="B26" s="48"/>
      <c r="C26" s="48">
        <v>0</v>
      </c>
      <c r="D26" s="48">
        <v>0</v>
      </c>
      <c r="E26" s="48">
        <v>0</v>
      </c>
      <c r="F26" s="14">
        <f t="shared" si="1"/>
        <v>0</v>
      </c>
      <c r="G26" s="48"/>
      <c r="H26" s="9">
        <f t="shared" si="2"/>
        <v>0</v>
      </c>
      <c r="K26" s="68">
        <f>SUM(K22:K25)</f>
        <v>1078349</v>
      </c>
      <c r="M26" s="104"/>
    </row>
    <row r="27" spans="1:13">
      <c r="A27" s="24" t="s">
        <v>15</v>
      </c>
      <c r="B27" s="48">
        <v>0</v>
      </c>
      <c r="C27" s="48">
        <v>0</v>
      </c>
      <c r="D27" s="48">
        <v>0</v>
      </c>
      <c r="E27" s="48">
        <v>0</v>
      </c>
      <c r="F27" s="14">
        <f t="shared" si="1"/>
        <v>0</v>
      </c>
      <c r="G27" s="48">
        <v>0</v>
      </c>
      <c r="H27" s="9">
        <f t="shared" si="2"/>
        <v>0</v>
      </c>
      <c r="K27" s="68"/>
    </row>
    <row r="28" spans="1:13">
      <c r="A28" s="24" t="s">
        <v>272</v>
      </c>
      <c r="B28" s="48">
        <v>11551294.279999999</v>
      </c>
      <c r="C28" s="48">
        <v>11018362</v>
      </c>
      <c r="D28" s="206">
        <f>-253773+95308</f>
        <v>-158465</v>
      </c>
      <c r="E28" s="206">
        <f>12947491.43</f>
        <v>12947491.43</v>
      </c>
      <c r="F28" s="14">
        <f t="shared" si="1"/>
        <v>-1929129.4299999997</v>
      </c>
      <c r="G28" s="48">
        <f>11018362+655531.6-122599.32</f>
        <v>11551294.279999999</v>
      </c>
      <c r="H28" s="9">
        <f t="shared" si="2"/>
        <v>-532932.27999999933</v>
      </c>
      <c r="K28" s="68">
        <v>16848</v>
      </c>
    </row>
    <row r="29" spans="1:13">
      <c r="A29" s="37" t="s">
        <v>22</v>
      </c>
      <c r="B29" s="46">
        <f t="shared" ref="B29:H29" si="3">SUM(B22:B28)</f>
        <v>12338573.68</v>
      </c>
      <c r="C29" s="46">
        <f t="shared" si="3"/>
        <v>12292650</v>
      </c>
      <c r="D29" s="46">
        <f t="shared" si="3"/>
        <v>0</v>
      </c>
      <c r="E29" s="46">
        <f t="shared" si="3"/>
        <v>14438571</v>
      </c>
      <c r="F29" s="46">
        <f t="shared" si="3"/>
        <v>-2145920.9999999995</v>
      </c>
      <c r="G29" s="46">
        <f t="shared" si="3"/>
        <v>12338573.68</v>
      </c>
      <c r="H29" s="46">
        <f t="shared" si="3"/>
        <v>-45923.679999999353</v>
      </c>
      <c r="K29" s="68">
        <v>42120</v>
      </c>
    </row>
    <row r="30" spans="1:13">
      <c r="A30" s="18" t="s">
        <v>23</v>
      </c>
      <c r="B30" s="50"/>
      <c r="C30" s="50"/>
      <c r="D30" s="50"/>
      <c r="E30" s="50"/>
      <c r="F30" s="14"/>
      <c r="G30" s="50"/>
      <c r="H30" s="10"/>
      <c r="K30" s="68">
        <v>2957</v>
      </c>
    </row>
    <row r="31" spans="1:13">
      <c r="A31" s="41"/>
      <c r="B31" s="50" t="s">
        <v>58</v>
      </c>
      <c r="C31" s="50" t="s">
        <v>58</v>
      </c>
      <c r="D31" s="50" t="s">
        <v>58</v>
      </c>
      <c r="E31" s="50" t="s">
        <v>58</v>
      </c>
      <c r="F31" s="14"/>
      <c r="G31" s="50" t="s">
        <v>58</v>
      </c>
      <c r="H31" s="9"/>
      <c r="K31" s="68">
        <v>66858</v>
      </c>
    </row>
    <row r="32" spans="1:13">
      <c r="A32" s="41" t="s">
        <v>36</v>
      </c>
      <c r="B32" s="50">
        <v>0</v>
      </c>
      <c r="C32" s="50">
        <v>0</v>
      </c>
      <c r="D32" s="50">
        <v>0</v>
      </c>
      <c r="E32" s="50">
        <v>0</v>
      </c>
      <c r="F32" s="14">
        <f>C32-E32</f>
        <v>0</v>
      </c>
      <c r="G32" s="50">
        <v>0</v>
      </c>
      <c r="H32" s="9">
        <f>C32-G32</f>
        <v>0</v>
      </c>
      <c r="K32" s="68">
        <v>8817</v>
      </c>
    </row>
    <row r="33" spans="1:11">
      <c r="A33" s="24" t="s">
        <v>273</v>
      </c>
      <c r="B33" s="48">
        <v>122599.31909999999</v>
      </c>
      <c r="C33" s="48">
        <v>0</v>
      </c>
      <c r="D33" s="48">
        <v>0</v>
      </c>
      <c r="E33" s="48">
        <v>0</v>
      </c>
      <c r="F33" s="14">
        <f>C33-E33</f>
        <v>0</v>
      </c>
      <c r="G33" s="111">
        <f>'243 OLD'!G22</f>
        <v>122599.31909999999</v>
      </c>
      <c r="H33" s="9">
        <f>C33-G33</f>
        <v>-122599.31909999999</v>
      </c>
      <c r="K33" s="68">
        <v>219516</v>
      </c>
    </row>
    <row r="34" spans="1:11">
      <c r="A34" s="41" t="s">
        <v>37</v>
      </c>
      <c r="B34" s="50">
        <v>0</v>
      </c>
      <c r="C34" s="50">
        <v>0</v>
      </c>
      <c r="D34" s="50">
        <v>0</v>
      </c>
      <c r="E34" s="50">
        <v>0</v>
      </c>
      <c r="F34" s="14">
        <f>C34-E34</f>
        <v>0</v>
      </c>
      <c r="G34" s="50">
        <v>0</v>
      </c>
      <c r="H34" s="10">
        <f>C34-G34</f>
        <v>0</v>
      </c>
      <c r="K34" s="68">
        <v>45720</v>
      </c>
    </row>
    <row r="35" spans="1:11">
      <c r="A35" s="41"/>
      <c r="B35" s="50" t="s">
        <v>58</v>
      </c>
      <c r="C35" s="50" t="s">
        <v>58</v>
      </c>
      <c r="D35" s="50" t="s">
        <v>58</v>
      </c>
      <c r="E35" s="50" t="s">
        <v>58</v>
      </c>
      <c r="F35" s="14" t="s">
        <v>58</v>
      </c>
      <c r="G35" s="50" t="s">
        <v>58</v>
      </c>
      <c r="H35" s="10"/>
      <c r="K35" s="68">
        <v>1341</v>
      </c>
    </row>
    <row r="36" spans="1:11">
      <c r="A36" s="37" t="s">
        <v>24</v>
      </c>
      <c r="B36" s="38">
        <f>SUM(B31:B35)</f>
        <v>122599.31909999999</v>
      </c>
      <c r="C36" s="46">
        <f>SUM(C31:C35)</f>
        <v>0</v>
      </c>
      <c r="D36" s="46">
        <f>SUM(D31:D35)</f>
        <v>0</v>
      </c>
      <c r="E36" s="46">
        <f>SUM(E31:E35)</f>
        <v>0</v>
      </c>
      <c r="F36" s="39">
        <f>C36-E36</f>
        <v>0</v>
      </c>
      <c r="G36" s="38">
        <f>SUM(G31:G35)</f>
        <v>122599.31909999999</v>
      </c>
      <c r="H36" s="40">
        <f>C36-G36</f>
        <v>-122599.31909999999</v>
      </c>
      <c r="K36" s="68">
        <v>760</v>
      </c>
    </row>
    <row r="37" spans="1:11" ht="12.75" customHeight="1" thickBot="1">
      <c r="A37" s="55" t="s">
        <v>25</v>
      </c>
      <c r="B37" s="59">
        <f>B29+B36</f>
        <v>12461172.9991</v>
      </c>
      <c r="C37" s="59">
        <f>C29+C36</f>
        <v>12292650</v>
      </c>
      <c r="D37" s="59">
        <f>D29+D36</f>
        <v>0</v>
      </c>
      <c r="E37" s="59">
        <f>E29+E36</f>
        <v>14438571</v>
      </c>
      <c r="F37" s="58">
        <f>C37-E37</f>
        <v>-2145921</v>
      </c>
      <c r="G37" s="59">
        <f>G29+G36</f>
        <v>12461172.9991</v>
      </c>
      <c r="H37" s="56">
        <f>C37-G37</f>
        <v>-168522.99909999967</v>
      </c>
      <c r="K37" s="68">
        <v>15635</v>
      </c>
    </row>
    <row r="38" spans="1:11" ht="13.5" thickTop="1">
      <c r="A38" s="26" t="s">
        <v>17</v>
      </c>
      <c r="B38" s="168">
        <f>B19-B37</f>
        <v>9.0000033378601074E-4</v>
      </c>
      <c r="C38" s="168">
        <f>C19-C37</f>
        <v>0</v>
      </c>
      <c r="D38" s="168">
        <f>D19-D37</f>
        <v>0</v>
      </c>
      <c r="E38" s="168">
        <f>E19-E37</f>
        <v>0</v>
      </c>
      <c r="F38" s="27"/>
      <c r="G38" s="168">
        <f>G19-G37</f>
        <v>9.0000033378601074E-4</v>
      </c>
      <c r="K38" s="68">
        <v>9780</v>
      </c>
    </row>
    <row r="39" spans="1:11" ht="12.75" customHeight="1">
      <c r="A39" s="26"/>
      <c r="B39" s="26" t="s">
        <v>65</v>
      </c>
      <c r="C39" s="28"/>
      <c r="D39" s="28"/>
      <c r="E39" s="28"/>
      <c r="F39" s="29"/>
      <c r="G39" s="2"/>
      <c r="K39" s="68">
        <v>7620</v>
      </c>
    </row>
    <row r="40" spans="1:11" ht="12.75" customHeight="1">
      <c r="A40" s="30" t="s">
        <v>18</v>
      </c>
      <c r="B40" s="30"/>
      <c r="C40" s="16" t="s">
        <v>58</v>
      </c>
      <c r="D40" s="16" t="s">
        <v>58</v>
      </c>
      <c r="E40" s="2"/>
      <c r="K40" s="68">
        <v>477</v>
      </c>
    </row>
    <row r="41" spans="1:11" ht="12.75" customHeight="1">
      <c r="A41" s="30" t="s">
        <v>218</v>
      </c>
      <c r="B41" s="30"/>
      <c r="C41" s="16" t="s">
        <v>58</v>
      </c>
      <c r="D41" s="16" t="s">
        <v>58</v>
      </c>
      <c r="K41" s="68">
        <v>152</v>
      </c>
    </row>
    <row r="42" spans="1:11" ht="12.75" customHeight="1">
      <c r="A42" s="16" t="s">
        <v>62</v>
      </c>
      <c r="K42" s="68">
        <f>SUM(K28:K41)</f>
        <v>438601</v>
      </c>
    </row>
    <row r="43" spans="1:11" ht="12.75" customHeight="1">
      <c r="A43" s="33"/>
      <c r="B43" s="33"/>
      <c r="K43" s="68"/>
    </row>
    <row r="44" spans="1:11" ht="12.75" customHeight="1">
      <c r="C44" s="16" t="s">
        <v>74</v>
      </c>
      <c r="E44" s="16" t="s">
        <v>76</v>
      </c>
      <c r="K44" s="68">
        <f>K26+K42</f>
        <v>1516950</v>
      </c>
    </row>
    <row r="45" spans="1:11" ht="12.75" customHeight="1">
      <c r="B45" s="16" t="s">
        <v>52</v>
      </c>
      <c r="C45" s="68">
        <v>0</v>
      </c>
      <c r="E45" s="16" t="s">
        <v>77</v>
      </c>
      <c r="F45" s="31">
        <v>91431</v>
      </c>
      <c r="K45" s="1">
        <v>1516950</v>
      </c>
    </row>
    <row r="46" spans="1:11" ht="12.75" customHeight="1">
      <c r="B46" s="16" t="s">
        <v>51</v>
      </c>
      <c r="C46" s="68">
        <v>98324</v>
      </c>
      <c r="D46" s="16" t="s">
        <v>61</v>
      </c>
      <c r="E46" s="16" t="s">
        <v>78</v>
      </c>
      <c r="F46" s="31">
        <v>1097867</v>
      </c>
      <c r="K46" s="77">
        <f>K44-K45</f>
        <v>0</v>
      </c>
    </row>
    <row r="47" spans="1:11" ht="12.75" customHeight="1">
      <c r="B47" s="16" t="s">
        <v>53</v>
      </c>
      <c r="C47" s="68">
        <v>410736</v>
      </c>
      <c r="D47" s="16" t="s">
        <v>61</v>
      </c>
      <c r="E47" s="16" t="s">
        <v>79</v>
      </c>
      <c r="F47" s="31">
        <v>2069722</v>
      </c>
    </row>
    <row r="48" spans="1:11" ht="12.75" customHeight="1">
      <c r="B48" s="16" t="s">
        <v>55</v>
      </c>
      <c r="C48" s="51">
        <v>300000</v>
      </c>
      <c r="D48" s="16" t="s">
        <v>61</v>
      </c>
      <c r="E48" s="16" t="s">
        <v>60</v>
      </c>
      <c r="F48" s="31">
        <v>7545922</v>
      </c>
    </row>
    <row r="49" spans="2:6" ht="12.75" customHeight="1">
      <c r="B49" s="16" t="s">
        <v>60</v>
      </c>
      <c r="C49" s="51">
        <v>220530</v>
      </c>
      <c r="D49" s="16" t="s">
        <v>61</v>
      </c>
    </row>
    <row r="50" spans="2:6" ht="12.75" customHeight="1">
      <c r="B50" s="24" t="s">
        <v>54</v>
      </c>
      <c r="C50" s="51">
        <v>0</v>
      </c>
      <c r="D50" s="24" t="s">
        <v>63</v>
      </c>
    </row>
    <row r="51" spans="2:6" ht="12.75" customHeight="1">
      <c r="B51" s="24" t="s">
        <v>56</v>
      </c>
      <c r="C51" s="51">
        <v>195561</v>
      </c>
      <c r="D51" s="24" t="s">
        <v>61</v>
      </c>
    </row>
    <row r="52" spans="2:6" ht="12.75" customHeight="1">
      <c r="B52" s="11" t="s">
        <v>59</v>
      </c>
      <c r="C52" s="76">
        <v>86626</v>
      </c>
      <c r="E52" s="81"/>
      <c r="F52" s="100"/>
    </row>
    <row r="53" spans="2:6" ht="12.75" customHeight="1">
      <c r="B53" s="16" t="s">
        <v>57</v>
      </c>
      <c r="C53" s="51">
        <f>SUM(C45:C52)</f>
        <v>1311777</v>
      </c>
      <c r="E53" s="24" t="s">
        <v>80</v>
      </c>
      <c r="F53" s="101">
        <f>SUM(F45:F52)</f>
        <v>10804942</v>
      </c>
    </row>
    <row r="54" spans="2:6" ht="12.75" customHeight="1">
      <c r="B54" s="16"/>
      <c r="C54" s="51"/>
      <c r="E54" s="102" t="s">
        <v>81</v>
      </c>
      <c r="F54" s="22">
        <v>170410</v>
      </c>
    </row>
    <row r="55" spans="2:6" ht="12.75" customHeight="1" thickBot="1">
      <c r="B55" s="16"/>
      <c r="C55" s="75"/>
      <c r="E55" s="16" t="s">
        <v>82</v>
      </c>
      <c r="F55" s="103">
        <f>SUM(F53:F54)</f>
        <v>10975352</v>
      </c>
    </row>
    <row r="56" spans="2:6" ht="12.75" customHeight="1" thickTop="1">
      <c r="C56" s="2"/>
      <c r="F56" s="22"/>
    </row>
    <row r="57" spans="2:6" ht="12.75" customHeight="1">
      <c r="E57" s="16" t="s">
        <v>83</v>
      </c>
      <c r="F57" s="31">
        <v>10804942</v>
      </c>
    </row>
    <row r="58" spans="2:6" ht="12.75" customHeight="1">
      <c r="E58" s="16" t="s">
        <v>84</v>
      </c>
      <c r="F58" s="22">
        <f>F55-F57</f>
        <v>170410</v>
      </c>
    </row>
    <row r="59" spans="2:6" ht="12.75" customHeight="1" thickBot="1">
      <c r="F59" s="103">
        <f>SUM(F57:F58)</f>
        <v>10975352</v>
      </c>
    </row>
    <row r="60" spans="2:6" ht="12.75" customHeight="1" thickTop="1">
      <c r="F60" s="22"/>
    </row>
    <row r="61" spans="2:6" ht="12.75" customHeight="1"/>
    <row r="62" spans="2:6" ht="12.75" customHeight="1"/>
    <row r="63" spans="2:6" ht="12.75" customHeight="1"/>
    <row r="64" spans="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sheetData>
  <customSheetViews>
    <customSheetView guid="{C8E99144-FF29-42D8-8D33-2038AA9D760E}" scale="75" showPageBreaks="1" fitToPage="1" view="pageBreakPreview" showRuler="0">
      <pane xSplit="1" ySplit="4" topLeftCell="B11" activePane="bottomRight" state="frozen"/>
      <selection pane="bottomRight" activeCell="C9" activeCellId="1" sqref="F9 C9"/>
      <pageMargins left="0.75" right="0.75" top="1" bottom="1" header="0.5" footer="0.5"/>
      <pageSetup scale="61" orientation="landscape" horizontalDpi="300" verticalDpi="300" r:id="rId1"/>
      <headerFooter alignWithMargins="0"/>
    </customSheetView>
    <customSheetView guid="{6F41311F-2270-450A-A26B-FA887A989CC9}" showPageBreaks="1" fitToPage="1" view="pageBreakPreview" showRuler="0">
      <pane xSplit="1" ySplit="5" topLeftCell="B6" activePane="bottomRight" state="frozen"/>
      <selection pane="bottomRight" activeCell="E3" sqref="E1:E65536"/>
      <pageMargins left="0.75" right="0.75" top="1" bottom="1" header="0.5" footer="0.5"/>
      <pageSetup scale="41" orientation="portrait" horizontalDpi="300" verticalDpi="300" r:id="rId2"/>
      <headerFooter alignWithMargins="0"/>
    </customSheetView>
    <customSheetView guid="{9F62FB59-F471-497B-8464-A1F026EE1693}" scale="75" showPageBreaks="1" fitToPage="1" view="pageBreakPreview" showRuler="0" topLeftCell="A25">
      <selection activeCell="J41" sqref="A1:J41"/>
      <pageMargins left="0.75" right="0.75" top="1" bottom="1" header="0.5" footer="0.5"/>
      <pageSetup scale="31" orientation="landscape" horizontalDpi="300" verticalDpi="300" r:id="rId3"/>
      <headerFooter alignWithMargins="0"/>
    </customSheetView>
    <customSheetView guid="{20D5FB18-2FAE-4D83-BF94-A00B522BD190}" showPageBreaks="1" fitToPage="1" view="pageBreakPreview" showRuler="0">
      <pane xSplit="1" ySplit="6" topLeftCell="B18" activePane="bottomRight" state="frozen"/>
      <selection pane="bottomRight" activeCell="I41" sqref="I41"/>
      <pageMargins left="0.75" right="0.75" top="1" bottom="1" header="0.5" footer="0.5"/>
      <pageSetup scale="41" orientation="portrait" horizontalDpi="300" verticalDpi="300" r:id="rId4"/>
      <headerFooter alignWithMargins="0"/>
    </customSheetView>
    <customSheetView guid="{9456C1E9-89BB-4E93-9AFD-5A49DBF97574}" scale="75" showPageBreaks="1" fitToPage="1" printArea="1" hiddenColumns="1" view="pageBreakPreview" showRuler="0">
      <pane xSplit="1" ySplit="5" topLeftCell="B6" activePane="bottomRight" state="frozen"/>
      <selection pane="bottomRight" activeCell="C30" sqref="C30"/>
      <pageMargins left="0.75" right="0.75" top="1" bottom="1" header="0.5" footer="0.5"/>
      <pageSetup scale="62" orientation="portrait" horizontalDpi="300" verticalDpi="300" r:id="rId5"/>
      <headerFooter alignWithMargins="0"/>
    </customSheetView>
    <customSheetView guid="{7FD41845-6BD4-448F-810C-049EFA55EC1B}" fitToPage="1" showRuler="0">
      <pane xSplit="1" ySplit="4" topLeftCell="B18" activePane="bottomRight" state="frozen"/>
      <selection pane="bottomRight" activeCell="E32" sqref="E32"/>
      <pageMargins left="0.75" right="0.75" top="1" bottom="1" header="0.5" footer="0.5"/>
      <pageSetup scale="61" orientation="landscape" horizontalDpi="300" verticalDpi="300" r:id="rId6"/>
      <headerFooter alignWithMargins="0"/>
    </customSheetView>
    <customSheetView guid="{8B0AB125-4209-45BF-9ABD-74BE01FD7C48}" showPageBreaks="1" fitToPage="1" showRuler="0">
      <pane xSplit="1" ySplit="4" topLeftCell="B18" activePane="bottomRight" state="frozen"/>
      <selection pane="bottomRight" activeCell="E32" sqref="E32"/>
      <pageMargins left="0.75" right="0.75" top="1" bottom="1" header="0.5" footer="0.5"/>
      <pageSetup scale="61"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61" orientation="landscape" r:id="rId8"/>
  <headerFooter alignWithMargins="0"/>
  <legacyDrawing r:id="rId9"/>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tabColor indexed="29"/>
    <pageSetUpPr fitToPage="1"/>
  </sheetPr>
  <dimension ref="A1:N42"/>
  <sheetViews>
    <sheetView showRuler="0" view="pageBreakPreview" zoomScale="75" zoomScaleNormal="100" zoomScaleSheetLayoutView="75"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7.140625" style="1" customWidth="1"/>
    <col min="3" max="3" width="16.5703125" style="1" customWidth="1"/>
    <col min="4" max="4" width="12.7109375" style="1" bestFit="1" customWidth="1"/>
    <col min="5" max="5" width="16.140625" style="1" customWidth="1"/>
    <col min="6" max="6" width="12.85546875" style="31" customWidth="1"/>
    <col min="7" max="7" width="17.42578125" style="1" customWidth="1"/>
    <col min="8" max="8" width="11.42578125" style="1" customWidth="1"/>
    <col min="9" max="16384" width="6.85546875" style="1"/>
  </cols>
  <sheetData>
    <row r="1" spans="1:8" ht="18">
      <c r="A1" s="1742" t="s">
        <v>270</v>
      </c>
      <c r="B1" s="1742"/>
      <c r="C1" s="1742"/>
      <c r="D1" s="1742"/>
      <c r="E1" s="1742"/>
      <c r="F1" s="1742"/>
      <c r="G1" s="1742"/>
      <c r="H1" s="1742"/>
    </row>
    <row r="2" spans="1:8" ht="15" customHeight="1" thickBot="1">
      <c r="A2" s="1743" t="s">
        <v>318</v>
      </c>
      <c r="B2" s="1743"/>
      <c r="C2" s="1743"/>
      <c r="D2" s="1743"/>
      <c r="E2" s="1743"/>
      <c r="F2" s="1743"/>
      <c r="G2" s="1743"/>
      <c r="H2" s="1743"/>
    </row>
    <row r="3" spans="1:8" ht="12.75" customHeight="1">
      <c r="A3" s="86"/>
      <c r="B3" s="86"/>
      <c r="C3" s="86" t="s">
        <v>64</v>
      </c>
      <c r="D3" s="91" t="s">
        <v>64</v>
      </c>
      <c r="E3" s="86"/>
      <c r="F3" s="91" t="s">
        <v>86</v>
      </c>
      <c r="G3" s="86"/>
      <c r="H3" s="91" t="s">
        <v>110</v>
      </c>
    </row>
    <row r="4" spans="1:8" ht="44.25" customHeight="1"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50">
        <v>0</v>
      </c>
      <c r="C7" s="50">
        <v>0</v>
      </c>
      <c r="D7" s="50">
        <v>0</v>
      </c>
      <c r="E7" s="50">
        <v>0</v>
      </c>
      <c r="F7" s="60">
        <f t="shared" ref="F7:F14" si="0">E7-C7</f>
        <v>0</v>
      </c>
      <c r="G7" s="50">
        <v>0</v>
      </c>
      <c r="H7" s="9">
        <f>G7-C7</f>
        <v>0</v>
      </c>
    </row>
    <row r="8" spans="1:8">
      <c r="A8" s="16" t="s">
        <v>4</v>
      </c>
      <c r="B8" s="50"/>
      <c r="C8" s="50">
        <v>0</v>
      </c>
      <c r="D8" s="50">
        <v>0</v>
      </c>
      <c r="E8" s="50">
        <v>0</v>
      </c>
      <c r="F8" s="60">
        <f t="shared" si="0"/>
        <v>0</v>
      </c>
      <c r="G8" s="50"/>
      <c r="H8" s="9">
        <f t="shared" ref="H8:H13" si="1">G8-C8</f>
        <v>0</v>
      </c>
    </row>
    <row r="9" spans="1:8">
      <c r="A9" s="16" t="s">
        <v>5</v>
      </c>
      <c r="B9" s="50">
        <v>0</v>
      </c>
      <c r="C9" s="50">
        <v>0</v>
      </c>
      <c r="D9" s="50">
        <v>0</v>
      </c>
      <c r="E9" s="50">
        <v>0</v>
      </c>
      <c r="F9" s="60">
        <f t="shared" si="0"/>
        <v>0</v>
      </c>
      <c r="G9" s="50">
        <v>0</v>
      </c>
      <c r="H9" s="9">
        <f t="shared" si="1"/>
        <v>0</v>
      </c>
    </row>
    <row r="10" spans="1:8">
      <c r="A10" s="16" t="s">
        <v>6</v>
      </c>
      <c r="B10" s="50">
        <v>0</v>
      </c>
      <c r="C10" s="50">
        <v>0</v>
      </c>
      <c r="D10" s="50">
        <v>0</v>
      </c>
      <c r="E10" s="50">
        <v>0</v>
      </c>
      <c r="F10" s="60">
        <f t="shared" si="0"/>
        <v>0</v>
      </c>
      <c r="G10" s="50">
        <v>0</v>
      </c>
      <c r="H10" s="9">
        <f t="shared" si="1"/>
        <v>0</v>
      </c>
    </row>
    <row r="11" spans="1:8">
      <c r="A11" s="16" t="s">
        <v>7</v>
      </c>
      <c r="B11" s="50">
        <v>0</v>
      </c>
      <c r="C11" s="50">
        <v>0</v>
      </c>
      <c r="D11" s="50">
        <v>0</v>
      </c>
      <c r="E11" s="50">
        <v>0</v>
      </c>
      <c r="F11" s="60">
        <f t="shared" si="0"/>
        <v>0</v>
      </c>
      <c r="G11" s="50">
        <v>0</v>
      </c>
      <c r="H11" s="9">
        <f t="shared" si="1"/>
        <v>0</v>
      </c>
    </row>
    <row r="12" spans="1:8">
      <c r="A12" s="24" t="s">
        <v>8</v>
      </c>
      <c r="B12" s="50">
        <v>506736</v>
      </c>
      <c r="C12" s="50">
        <v>531336</v>
      </c>
      <c r="D12" s="50">
        <v>611254</v>
      </c>
      <c r="E12" s="50">
        <v>611488</v>
      </c>
      <c r="F12" s="60">
        <f t="shared" si="0"/>
        <v>80152</v>
      </c>
      <c r="G12" s="50">
        <v>506736</v>
      </c>
      <c r="H12" s="9">
        <f t="shared" si="1"/>
        <v>-24600</v>
      </c>
    </row>
    <row r="13" spans="1:8">
      <c r="A13" s="24" t="s">
        <v>28</v>
      </c>
      <c r="B13" s="50">
        <v>0</v>
      </c>
      <c r="C13" s="50">
        <v>0</v>
      </c>
      <c r="D13" s="50">
        <v>0</v>
      </c>
      <c r="E13" s="50">
        <v>0</v>
      </c>
      <c r="F13" s="60">
        <f t="shared" si="0"/>
        <v>0</v>
      </c>
      <c r="G13" s="50">
        <v>0</v>
      </c>
      <c r="H13" s="9">
        <f t="shared" si="1"/>
        <v>0</v>
      </c>
    </row>
    <row r="14" spans="1:8">
      <c r="A14" s="37" t="s">
        <v>9</v>
      </c>
      <c r="B14" s="46">
        <f>SUM(B7:B13)</f>
        <v>506736</v>
      </c>
      <c r="C14" s="46">
        <f>SUM(C7:C13)</f>
        <v>531336</v>
      </c>
      <c r="D14" s="46">
        <f>SUM(D7:D13)</f>
        <v>611254</v>
      </c>
      <c r="E14" s="46">
        <f>SUM(E7:E13)</f>
        <v>611488</v>
      </c>
      <c r="F14" s="61">
        <f t="shared" si="0"/>
        <v>80152</v>
      </c>
      <c r="G14" s="46">
        <f>SUM(G7:G13)</f>
        <v>506736</v>
      </c>
      <c r="H14" s="46">
        <f>SUM(H7:H13)</f>
        <v>-24600</v>
      </c>
    </row>
    <row r="15" spans="1:8">
      <c r="A15" s="18" t="s">
        <v>19</v>
      </c>
      <c r="B15" s="50"/>
      <c r="C15" s="50"/>
      <c r="D15" s="50"/>
      <c r="E15" s="50"/>
      <c r="F15" s="60"/>
      <c r="G15" s="50"/>
      <c r="H15" s="10"/>
    </row>
    <row r="16" spans="1:8">
      <c r="A16" s="36" t="s">
        <v>33</v>
      </c>
      <c r="B16" s="50">
        <v>0</v>
      </c>
      <c r="C16" s="50">
        <v>0</v>
      </c>
      <c r="D16" s="50">
        <v>0</v>
      </c>
      <c r="E16" s="50">
        <v>0</v>
      </c>
      <c r="F16" s="50">
        <v>0</v>
      </c>
      <c r="G16" s="50">
        <v>0</v>
      </c>
      <c r="H16" s="9">
        <f>G16-C16</f>
        <v>0</v>
      </c>
    </row>
    <row r="17" spans="1:14">
      <c r="A17" s="36" t="s">
        <v>29</v>
      </c>
      <c r="B17" s="50">
        <v>0</v>
      </c>
      <c r="C17" s="50">
        <v>0</v>
      </c>
      <c r="D17" s="50">
        <v>0</v>
      </c>
      <c r="E17" s="50">
        <v>0</v>
      </c>
      <c r="F17" s="50">
        <v>0</v>
      </c>
      <c r="G17" s="50">
        <v>0</v>
      </c>
      <c r="H17" s="9">
        <f>G17-C17</f>
        <v>0</v>
      </c>
    </row>
    <row r="18" spans="1:14">
      <c r="A18" s="16" t="s">
        <v>264</v>
      </c>
      <c r="B18" s="50">
        <v>194073</v>
      </c>
      <c r="C18" s="114">
        <v>133174</v>
      </c>
      <c r="D18" s="114">
        <f>C18</f>
        <v>133174</v>
      </c>
      <c r="E18" s="114">
        <f>C18</f>
        <v>133174</v>
      </c>
      <c r="F18" s="50">
        <v>0</v>
      </c>
      <c r="G18" s="114">
        <f>E35</f>
        <v>194073</v>
      </c>
      <c r="H18" s="9">
        <f>G18-C18</f>
        <v>60899</v>
      </c>
    </row>
    <row r="19" spans="1:14">
      <c r="A19" s="18" t="s">
        <v>20</v>
      </c>
      <c r="B19" s="28">
        <f>SUM(B16:B18)</f>
        <v>194073</v>
      </c>
      <c r="C19" s="28">
        <f>SUM(C16:C18)</f>
        <v>133174</v>
      </c>
      <c r="D19" s="28">
        <f>SUM(D16:D18)</f>
        <v>133174</v>
      </c>
      <c r="E19" s="28">
        <f>SUM(E16:E18)</f>
        <v>133174</v>
      </c>
      <c r="F19" s="14">
        <f>E19-C19</f>
        <v>0</v>
      </c>
      <c r="G19" s="28">
        <f>SUM(G16:G18)</f>
        <v>194073</v>
      </c>
      <c r="H19" s="28">
        <f>SUM(H16:H18)</f>
        <v>60899</v>
      </c>
    </row>
    <row r="20" spans="1:14" ht="13.5" thickBot="1">
      <c r="A20" s="55" t="s">
        <v>21</v>
      </c>
      <c r="B20" s="57">
        <f>B14+B19</f>
        <v>700809</v>
      </c>
      <c r="C20" s="57">
        <f>C14+C19</f>
        <v>664510</v>
      </c>
      <c r="D20" s="57">
        <f>D14+D19</f>
        <v>744428</v>
      </c>
      <c r="E20" s="57">
        <f>E14+E19</f>
        <v>744662</v>
      </c>
      <c r="F20" s="58">
        <f>E20-C20</f>
        <v>80152</v>
      </c>
      <c r="G20" s="57">
        <f>G14+G19</f>
        <v>700809</v>
      </c>
      <c r="H20" s="57">
        <f>H14+H19</f>
        <v>36299</v>
      </c>
    </row>
    <row r="21" spans="1:14" ht="13.5" thickTop="1">
      <c r="A21" s="2"/>
      <c r="B21" s="48"/>
      <c r="C21" s="48"/>
      <c r="D21" s="48"/>
      <c r="E21" s="48"/>
      <c r="F21" s="62"/>
      <c r="G21" s="48"/>
      <c r="H21" s="10"/>
    </row>
    <row r="22" spans="1:14">
      <c r="A22" s="11" t="s">
        <v>10</v>
      </c>
      <c r="B22" s="48"/>
      <c r="C22" s="48"/>
      <c r="D22" s="48"/>
      <c r="E22" s="48"/>
      <c r="F22" s="62"/>
      <c r="G22" s="48"/>
      <c r="H22" s="9"/>
    </row>
    <row r="23" spans="1:14">
      <c r="A23" s="24" t="s">
        <v>11</v>
      </c>
      <c r="B23" s="50">
        <v>0</v>
      </c>
      <c r="C23" s="50">
        <v>0</v>
      </c>
      <c r="D23" s="50">
        <v>0</v>
      </c>
      <c r="E23" s="50">
        <v>0</v>
      </c>
      <c r="F23" s="60">
        <f t="shared" ref="F23:F30" si="2">C23-E23</f>
        <v>0</v>
      </c>
      <c r="G23" s="50">
        <v>0</v>
      </c>
      <c r="H23" s="9">
        <f>C23-G23</f>
        <v>0</v>
      </c>
    </row>
    <row r="24" spans="1:14">
      <c r="A24" s="24" t="s">
        <v>12</v>
      </c>
      <c r="B24" s="50">
        <v>0</v>
      </c>
      <c r="C24" s="50">
        <v>0</v>
      </c>
      <c r="D24" s="50">
        <v>0</v>
      </c>
      <c r="E24" s="50">
        <v>0</v>
      </c>
      <c r="F24" s="60">
        <f t="shared" si="2"/>
        <v>0</v>
      </c>
      <c r="G24" s="50">
        <v>0</v>
      </c>
      <c r="H24" s="9">
        <f t="shared" ref="H24:H29" si="3">C24-G24</f>
        <v>0</v>
      </c>
    </row>
    <row r="25" spans="1:14">
      <c r="A25" s="24" t="s">
        <v>13</v>
      </c>
      <c r="B25" s="50">
        <v>638908</v>
      </c>
      <c r="C25" s="50">
        <v>539487</v>
      </c>
      <c r="D25" s="50">
        <v>332593</v>
      </c>
      <c r="E25" s="50">
        <v>548999</v>
      </c>
      <c r="F25" s="60">
        <f t="shared" si="2"/>
        <v>-9512</v>
      </c>
      <c r="G25" s="50">
        <f>488908+150000</f>
        <v>638908</v>
      </c>
      <c r="H25" s="9">
        <f t="shared" si="3"/>
        <v>-99421</v>
      </c>
    </row>
    <row r="26" spans="1:14">
      <c r="A26" s="24" t="s">
        <v>14</v>
      </c>
      <c r="B26" s="50">
        <v>3285</v>
      </c>
      <c r="C26" s="50">
        <v>1590</v>
      </c>
      <c r="D26" s="50">
        <v>1194</v>
      </c>
      <c r="E26" s="50">
        <v>1590</v>
      </c>
      <c r="F26" s="60">
        <f t="shared" si="2"/>
        <v>0</v>
      </c>
      <c r="G26" s="50">
        <v>3285</v>
      </c>
      <c r="H26" s="9">
        <f t="shared" si="3"/>
        <v>-1695</v>
      </c>
      <c r="N26" s="46"/>
    </row>
    <row r="27" spans="1:14">
      <c r="A27" s="24" t="s">
        <v>26</v>
      </c>
      <c r="B27" s="50">
        <v>0</v>
      </c>
      <c r="C27" s="50">
        <v>0</v>
      </c>
      <c r="D27" s="50">
        <v>0</v>
      </c>
      <c r="E27" s="50">
        <v>0</v>
      </c>
      <c r="F27" s="60">
        <f t="shared" si="2"/>
        <v>0</v>
      </c>
      <c r="G27" s="50">
        <v>0</v>
      </c>
      <c r="H27" s="9">
        <f t="shared" si="3"/>
        <v>0</v>
      </c>
    </row>
    <row r="28" spans="1:14">
      <c r="A28" s="24" t="s">
        <v>15</v>
      </c>
      <c r="B28" s="50">
        <v>0</v>
      </c>
      <c r="C28" s="50">
        <v>0</v>
      </c>
      <c r="D28" s="50">
        <v>0</v>
      </c>
      <c r="E28" s="50">
        <v>0</v>
      </c>
      <c r="F28" s="60">
        <f t="shared" si="2"/>
        <v>0</v>
      </c>
      <c r="G28" s="50">
        <v>0</v>
      </c>
      <c r="H28" s="9">
        <f t="shared" si="3"/>
        <v>0</v>
      </c>
    </row>
    <row r="29" spans="1:14">
      <c r="A29" s="24" t="s">
        <v>16</v>
      </c>
      <c r="B29" s="50">
        <v>0</v>
      </c>
      <c r="C29" s="50">
        <v>0</v>
      </c>
      <c r="D29" s="50">
        <v>0</v>
      </c>
      <c r="E29" s="50">
        <v>0</v>
      </c>
      <c r="F29" s="60">
        <f t="shared" si="2"/>
        <v>0</v>
      </c>
      <c r="G29" s="50">
        <v>0</v>
      </c>
      <c r="H29" s="9">
        <f t="shared" si="3"/>
        <v>0</v>
      </c>
    </row>
    <row r="30" spans="1:14">
      <c r="A30" s="37" t="s">
        <v>22</v>
      </c>
      <c r="B30" s="46">
        <f>SUM(B23:B29)</f>
        <v>642193</v>
      </c>
      <c r="C30" s="46">
        <f>SUM(C23:C29)</f>
        <v>541077</v>
      </c>
      <c r="D30" s="46">
        <f>SUM(D23:D29)</f>
        <v>333787</v>
      </c>
      <c r="E30" s="46">
        <f>SUM(E23:E29)</f>
        <v>550589</v>
      </c>
      <c r="F30" s="61">
        <f t="shared" si="2"/>
        <v>-9512</v>
      </c>
      <c r="G30" s="46">
        <f>SUM(G23:G29)</f>
        <v>642193</v>
      </c>
      <c r="H30" s="46">
        <f>SUM(H23:H29)</f>
        <v>-101116</v>
      </c>
    </row>
    <row r="31" spans="1:14">
      <c r="A31" s="18" t="s">
        <v>23</v>
      </c>
      <c r="B31" s="50"/>
      <c r="C31" s="50"/>
      <c r="D31" s="50"/>
      <c r="E31" s="50"/>
      <c r="F31" s="60"/>
      <c r="G31" s="50"/>
      <c r="H31" s="10"/>
    </row>
    <row r="32" spans="1:14">
      <c r="A32" s="41" t="s">
        <v>34</v>
      </c>
      <c r="B32" s="50">
        <v>31250</v>
      </c>
      <c r="C32" s="50">
        <v>0</v>
      </c>
      <c r="D32" s="50">
        <v>0</v>
      </c>
      <c r="E32" s="50">
        <v>0</v>
      </c>
      <c r="F32" s="60">
        <f t="shared" ref="F32:F37" si="4">C32-E32</f>
        <v>0</v>
      </c>
      <c r="G32" s="50">
        <v>31250</v>
      </c>
      <c r="H32" s="9">
        <f>C32-G32</f>
        <v>-31250</v>
      </c>
    </row>
    <row r="33" spans="1:8">
      <c r="A33" s="41" t="s">
        <v>35</v>
      </c>
      <c r="B33" s="50">
        <v>0</v>
      </c>
      <c r="C33" s="50">
        <v>0</v>
      </c>
      <c r="D33" s="50">
        <v>0</v>
      </c>
      <c r="E33" s="50">
        <v>0</v>
      </c>
      <c r="F33" s="60">
        <f t="shared" si="4"/>
        <v>0</v>
      </c>
      <c r="G33" s="50">
        <v>0</v>
      </c>
      <c r="H33" s="9">
        <f>C33-G33</f>
        <v>0</v>
      </c>
    </row>
    <row r="34" spans="1:8">
      <c r="A34" s="41" t="s">
        <v>30</v>
      </c>
      <c r="B34" s="50">
        <v>0</v>
      </c>
      <c r="C34" s="50">
        <v>0</v>
      </c>
      <c r="D34" s="50">
        <v>0</v>
      </c>
      <c r="E34" s="50">
        <v>0</v>
      </c>
      <c r="F34" s="14">
        <f t="shared" si="4"/>
        <v>0</v>
      </c>
      <c r="G34" s="50">
        <v>0</v>
      </c>
      <c r="H34" s="9">
        <f>C34-G34</f>
        <v>0</v>
      </c>
    </row>
    <row r="35" spans="1:8">
      <c r="A35" s="41" t="s">
        <v>263</v>
      </c>
      <c r="B35" s="114">
        <v>27366</v>
      </c>
      <c r="C35" s="114">
        <f>66135+57298</f>
        <v>123433</v>
      </c>
      <c r="D35" s="114">
        <f>410836-195</f>
        <v>410641</v>
      </c>
      <c r="E35" s="114">
        <f>115555+78518</f>
        <v>194073</v>
      </c>
      <c r="F35" s="14">
        <f t="shared" si="4"/>
        <v>-70640</v>
      </c>
      <c r="G35" s="114">
        <f>208616-150000-31250</f>
        <v>27366</v>
      </c>
      <c r="H35" s="9">
        <f>C35-G35</f>
        <v>96067</v>
      </c>
    </row>
    <row r="36" spans="1:8">
      <c r="A36" s="37" t="s">
        <v>24</v>
      </c>
      <c r="B36" s="46">
        <f>SUM(B32:B35)</f>
        <v>58616</v>
      </c>
      <c r="C36" s="46">
        <f>SUM(C32:C35)</f>
        <v>123433</v>
      </c>
      <c r="D36" s="46">
        <f>SUM(D32:D35)</f>
        <v>410641</v>
      </c>
      <c r="E36" s="46">
        <f>SUM(E32:E35)</f>
        <v>194073</v>
      </c>
      <c r="F36" s="39">
        <f t="shared" si="4"/>
        <v>-70640</v>
      </c>
      <c r="G36" s="46">
        <f>SUM(G32:G35)</f>
        <v>58616</v>
      </c>
      <c r="H36" s="46">
        <f>SUM(H33:H35)</f>
        <v>96067</v>
      </c>
    </row>
    <row r="37" spans="1:8" ht="12.75" customHeight="1" thickBot="1">
      <c r="A37" s="55" t="s">
        <v>25</v>
      </c>
      <c r="B37" s="59">
        <f>B30+B36</f>
        <v>700809</v>
      </c>
      <c r="C37" s="59">
        <f>C30+C36</f>
        <v>664510</v>
      </c>
      <c r="D37" s="59">
        <f>D30+D36</f>
        <v>744428</v>
      </c>
      <c r="E37" s="59">
        <f>E30+E36</f>
        <v>744662</v>
      </c>
      <c r="F37" s="58">
        <f t="shared" si="4"/>
        <v>-80152</v>
      </c>
      <c r="G37" s="59">
        <f>G30+G36</f>
        <v>700809</v>
      </c>
      <c r="H37" s="59">
        <f>H30+H36</f>
        <v>-5049</v>
      </c>
    </row>
    <row r="38" spans="1:8" ht="13.5" thickTop="1">
      <c r="A38" s="26" t="s">
        <v>17</v>
      </c>
      <c r="B38" s="168">
        <f>B20-B37</f>
        <v>0</v>
      </c>
      <c r="C38" s="168">
        <f>C20-C37</f>
        <v>0</v>
      </c>
      <c r="D38" s="168">
        <f>D20-D37</f>
        <v>0</v>
      </c>
      <c r="E38" s="168">
        <f>E20-E37</f>
        <v>0</v>
      </c>
      <c r="F38" s="168"/>
      <c r="G38" s="168">
        <f>G20-G37</f>
        <v>0</v>
      </c>
    </row>
    <row r="39" spans="1:8" ht="12.75" customHeight="1">
      <c r="A39" s="26"/>
      <c r="B39" s="26"/>
      <c r="C39" s="28"/>
      <c r="D39" s="28"/>
      <c r="E39" s="28"/>
      <c r="F39" s="29"/>
      <c r="G39" s="2"/>
    </row>
    <row r="40" spans="1:8" ht="12.75" customHeight="1">
      <c r="A40" s="30" t="s">
        <v>18</v>
      </c>
      <c r="B40" s="30"/>
      <c r="E40" s="2"/>
      <c r="G40" s="9"/>
    </row>
    <row r="41" spans="1:8" ht="12.75" customHeight="1">
      <c r="A41" s="30" t="s">
        <v>201</v>
      </c>
      <c r="B41" s="30"/>
      <c r="G41" s="9"/>
    </row>
    <row r="42" spans="1:8" ht="12.75" customHeight="1"/>
  </sheetData>
  <customSheetViews>
    <customSheetView guid="{C8E99144-FF29-42D8-8D33-2038AA9D760E}" scale="75" showPageBreaks="1" fitToPage="1" view="pageBreakPreview" showRuler="0">
      <pane xSplit="1" ySplit="4" topLeftCell="C11" activePane="bottomRight" state="frozen"/>
      <selection pane="bottomRight" activeCell="F23" sqref="F23"/>
      <pageMargins left="0.75" right="0.75" top="1" bottom="1" header="0.5" footer="0.5"/>
      <pageSetup scale="66" orientation="landscape" horizontalDpi="300" verticalDpi="300" r:id="rId1"/>
      <headerFooter alignWithMargins="0"/>
    </customSheetView>
    <customSheetView guid="{6F41311F-2270-450A-A26B-FA887A989CC9}" scale="75" showPageBreaks="1" fitToPage="1" view="pageBreakPreview" showRuler="0">
      <selection activeCell="A3" sqref="A3"/>
      <pageMargins left="0.75" right="0.75" top="1" bottom="1" header="0.5" footer="0.5"/>
      <pageSetup scale="70" orientation="landscape" horizontalDpi="300" verticalDpi="300" r:id="rId2"/>
      <headerFooter alignWithMargins="0"/>
    </customSheetView>
    <customSheetView guid="{9F62FB59-F471-497B-8464-A1F026EE1693}" scale="75" showPageBreaks="1" fitToPage="1" view="pageBreakPreview" showRuler="0">
      <selection activeCell="B4" sqref="B4"/>
      <pageMargins left="0.75" right="0.75" top="1" bottom="1" header="0.5" footer="0.5"/>
      <pageSetup scale="51" orientation="portrait" horizontalDpi="300" verticalDpi="300" r:id="rId3"/>
      <headerFooter alignWithMargins="0"/>
    </customSheetView>
    <customSheetView guid="{20D5FB18-2FAE-4D83-BF94-A00B522BD190}" scale="75" showPageBreaks="1" fitToPage="1" view="pageBreakPreview" showRuler="0">
      <selection activeCell="K5" sqref="K5"/>
      <pageMargins left="0.75" right="0.75" top="1" bottom="1" header="0.5" footer="0.5"/>
      <pageSetup scale="51" orientation="portrait" horizontalDpi="300" verticalDpi="300" r:id="rId4"/>
      <headerFooter alignWithMargins="0"/>
    </customSheetView>
    <customSheetView guid="{9456C1E9-89BB-4E93-9AFD-5A49DBF97574}" scale="75" showPageBreaks="1" fitToPage="1" hiddenColumns="1" view="pageBreakPreview" showRuler="0">
      <selection activeCell="N28" sqref="N28"/>
      <pageMargins left="0.75" right="0.75" top="1" bottom="1" header="0.5" footer="0.5"/>
      <pageSetup scale="62" orientation="portrait" horizontalDpi="300" verticalDpi="300" r:id="rId5"/>
      <headerFooter alignWithMargins="0"/>
    </customSheetView>
    <customSheetView guid="{7FD41845-6BD4-448F-810C-049EFA55EC1B}" scale="75" showPageBreaks="1" fitToPage="1" view="pageBreakPreview" showRuler="0">
      <pane xSplit="1" ySplit="4" topLeftCell="B5" activePane="bottomRight" state="frozen"/>
      <selection pane="bottomRight" activeCell="E32" sqref="E32"/>
      <pageMargins left="0.75" right="0.75" top="1" bottom="1" header="0.5" footer="0.5"/>
      <pageSetup scale="66" orientation="landscape" horizontalDpi="300" verticalDpi="300" r:id="rId6"/>
      <headerFooter alignWithMargins="0"/>
    </customSheetView>
    <customSheetView guid="{8B0AB125-4209-45BF-9ABD-74BE01FD7C48}" scale="75" showPageBreaks="1" fitToPage="1" view="pageBreakPreview" showRuler="0">
      <pane xSplit="1" ySplit="4" topLeftCell="B5" activePane="bottomRight" state="frozen"/>
      <selection pane="bottomRight" activeCell="E32" sqref="E32"/>
      <pageMargins left="0.75" right="0.75" top="1" bottom="1" header="0.5" footer="0.5"/>
      <pageSetup scale="66"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66" orientation="landscape" horizontalDpi="300" verticalDpi="300" r:id="rId8"/>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tabColor indexed="27"/>
    <pageSetUpPr fitToPage="1"/>
  </sheetPr>
  <dimension ref="A1:H41"/>
  <sheetViews>
    <sheetView showRuler="0" view="pageBreakPreview" zoomScale="75" zoomScaleNormal="100"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7.140625" style="1" customWidth="1"/>
    <col min="3" max="3" width="16.5703125" style="1" customWidth="1"/>
    <col min="4" max="4" width="12.7109375" style="1" bestFit="1" customWidth="1"/>
    <col min="5" max="5" width="16.140625" style="1" customWidth="1"/>
    <col min="6" max="6" width="12.85546875" style="31" customWidth="1"/>
    <col min="7" max="7" width="17.42578125" style="1" customWidth="1"/>
    <col min="8" max="8" width="11.42578125" style="1" customWidth="1"/>
    <col min="9" max="16384" width="6.85546875" style="1"/>
  </cols>
  <sheetData>
    <row r="1" spans="1:8" ht="18">
      <c r="A1" s="1742" t="s">
        <v>278</v>
      </c>
      <c r="B1" s="1742"/>
      <c r="C1" s="1742"/>
      <c r="D1" s="1742"/>
      <c r="E1" s="1742"/>
      <c r="F1" s="1742"/>
      <c r="G1" s="1742"/>
      <c r="H1" s="1742"/>
    </row>
    <row r="2" spans="1:8" ht="15" customHeight="1" thickBot="1">
      <c r="A2" s="1743" t="s">
        <v>318</v>
      </c>
      <c r="B2" s="1743"/>
      <c r="C2" s="1743"/>
      <c r="D2" s="1743"/>
      <c r="E2" s="1743"/>
      <c r="F2" s="1743"/>
      <c r="G2" s="1743"/>
      <c r="H2" s="1743"/>
    </row>
    <row r="3" spans="1:8" ht="12.75" customHeight="1">
      <c r="A3" s="86"/>
      <c r="B3" s="86"/>
      <c r="C3" s="86" t="s">
        <v>64</v>
      </c>
      <c r="D3" s="91" t="s">
        <v>64</v>
      </c>
      <c r="E3" s="86"/>
      <c r="F3" s="91" t="s">
        <v>86</v>
      </c>
      <c r="G3" s="86"/>
      <c r="H3" s="91" t="s">
        <v>110</v>
      </c>
    </row>
    <row r="4" spans="1:8" ht="44.25" customHeight="1"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50">
        <v>0</v>
      </c>
      <c r="C7" s="50">
        <v>0</v>
      </c>
      <c r="D7" s="50">
        <v>0</v>
      </c>
      <c r="E7" s="50">
        <v>0</v>
      </c>
      <c r="F7" s="60">
        <f t="shared" ref="F7:F14" si="0">E7-C7</f>
        <v>0</v>
      </c>
      <c r="G7" s="50">
        <v>0</v>
      </c>
      <c r="H7" s="9">
        <f>G7-C7</f>
        <v>0</v>
      </c>
    </row>
    <row r="8" spans="1:8">
      <c r="A8" s="16" t="s">
        <v>4</v>
      </c>
      <c r="B8" s="50">
        <v>70000</v>
      </c>
      <c r="C8" s="50">
        <v>60000</v>
      </c>
      <c r="D8" s="50">
        <v>53451</v>
      </c>
      <c r="E8" s="50">
        <v>70000</v>
      </c>
      <c r="F8" s="60">
        <f t="shared" si="0"/>
        <v>10000</v>
      </c>
      <c r="G8" s="50">
        <v>70000</v>
      </c>
      <c r="H8" s="9">
        <f t="shared" ref="H8:H13" si="1">G8-C8</f>
        <v>10000</v>
      </c>
    </row>
    <row r="9" spans="1:8">
      <c r="A9" s="16" t="s">
        <v>5</v>
      </c>
      <c r="B9" s="50">
        <v>0</v>
      </c>
      <c r="C9" s="50">
        <v>0</v>
      </c>
      <c r="D9" s="50">
        <v>0</v>
      </c>
      <c r="E9" s="50">
        <v>0</v>
      </c>
      <c r="F9" s="60">
        <f t="shared" si="0"/>
        <v>0</v>
      </c>
      <c r="G9" s="50">
        <v>0</v>
      </c>
      <c r="H9" s="9">
        <f t="shared" si="1"/>
        <v>0</v>
      </c>
    </row>
    <row r="10" spans="1:8">
      <c r="A10" s="16" t="s">
        <v>6</v>
      </c>
      <c r="B10" s="50">
        <v>0</v>
      </c>
      <c r="C10" s="50">
        <v>0</v>
      </c>
      <c r="D10" s="50">
        <v>0</v>
      </c>
      <c r="E10" s="50">
        <v>0</v>
      </c>
      <c r="F10" s="60">
        <f t="shared" si="0"/>
        <v>0</v>
      </c>
      <c r="G10" s="50">
        <v>0</v>
      </c>
      <c r="H10" s="9">
        <f t="shared" si="1"/>
        <v>0</v>
      </c>
    </row>
    <row r="11" spans="1:8">
      <c r="A11" s="16" t="s">
        <v>7</v>
      </c>
      <c r="B11" s="50">
        <v>0</v>
      </c>
      <c r="C11" s="50">
        <v>0</v>
      </c>
      <c r="D11" s="50">
        <v>14</v>
      </c>
      <c r="E11" s="50">
        <v>0</v>
      </c>
      <c r="F11" s="60">
        <f t="shared" si="0"/>
        <v>0</v>
      </c>
      <c r="G11" s="50">
        <v>0</v>
      </c>
      <c r="H11" s="9">
        <f t="shared" si="1"/>
        <v>0</v>
      </c>
    </row>
    <row r="12" spans="1:8">
      <c r="A12" s="24" t="s">
        <v>8</v>
      </c>
      <c r="B12" s="50">
        <v>0</v>
      </c>
      <c r="C12" s="50">
        <v>0</v>
      </c>
      <c r="D12" s="50">
        <v>0</v>
      </c>
      <c r="E12" s="50">
        <v>0</v>
      </c>
      <c r="F12" s="60">
        <f t="shared" si="0"/>
        <v>0</v>
      </c>
      <c r="G12" s="50">
        <v>0</v>
      </c>
      <c r="H12" s="9">
        <f t="shared" si="1"/>
        <v>0</v>
      </c>
    </row>
    <row r="13" spans="1:8">
      <c r="A13" s="24" t="s">
        <v>28</v>
      </c>
      <c r="B13" s="50">
        <v>0</v>
      </c>
      <c r="C13" s="50">
        <v>0</v>
      </c>
      <c r="D13" s="50">
        <v>0</v>
      </c>
      <c r="E13" s="50">
        <v>0</v>
      </c>
      <c r="F13" s="60">
        <f t="shared" si="0"/>
        <v>0</v>
      </c>
      <c r="G13" s="50">
        <v>0</v>
      </c>
      <c r="H13" s="9">
        <f t="shared" si="1"/>
        <v>0</v>
      </c>
    </row>
    <row r="14" spans="1:8">
      <c r="A14" s="37" t="s">
        <v>9</v>
      </c>
      <c r="B14" s="46">
        <f>SUM(B7:B13)</f>
        <v>70000</v>
      </c>
      <c r="C14" s="46">
        <f>SUM(C7:C13)</f>
        <v>60000</v>
      </c>
      <c r="D14" s="46">
        <f>SUM(D7:D13)</f>
        <v>53465</v>
      </c>
      <c r="E14" s="46">
        <f>SUM(E7:E13)</f>
        <v>70000</v>
      </c>
      <c r="F14" s="61">
        <f t="shared" si="0"/>
        <v>10000</v>
      </c>
      <c r="G14" s="46">
        <f>SUM(G7:G13)</f>
        <v>70000</v>
      </c>
      <c r="H14" s="46">
        <f>SUM(H7:H13)</f>
        <v>10000</v>
      </c>
    </row>
    <row r="15" spans="1:8">
      <c r="A15" s="18" t="s">
        <v>19</v>
      </c>
      <c r="B15" s="50"/>
      <c r="C15" s="50"/>
      <c r="D15" s="50"/>
      <c r="E15" s="50"/>
      <c r="F15" s="60"/>
      <c r="G15" s="50"/>
      <c r="H15" s="10"/>
    </row>
    <row r="16" spans="1:8">
      <c r="A16" s="36" t="s">
        <v>33</v>
      </c>
      <c r="B16" s="50">
        <v>0</v>
      </c>
      <c r="C16" s="50">
        <v>0</v>
      </c>
      <c r="D16" s="50">
        <v>0</v>
      </c>
      <c r="E16" s="50">
        <v>0</v>
      </c>
      <c r="F16" s="50">
        <v>0</v>
      </c>
      <c r="G16" s="50">
        <v>0</v>
      </c>
      <c r="H16" s="9">
        <f>G16-C16</f>
        <v>0</v>
      </c>
    </row>
    <row r="17" spans="1:8">
      <c r="A17" s="36" t="s">
        <v>29</v>
      </c>
      <c r="B17" s="50">
        <v>0</v>
      </c>
      <c r="C17" s="50">
        <v>0</v>
      </c>
      <c r="D17" s="50">
        <v>0</v>
      </c>
      <c r="E17" s="50">
        <v>0</v>
      </c>
      <c r="F17" s="50">
        <v>0</v>
      </c>
      <c r="G17" s="50">
        <v>0</v>
      </c>
      <c r="H17" s="9">
        <f>G17-C17</f>
        <v>0</v>
      </c>
    </row>
    <row r="18" spans="1:8">
      <c r="A18" s="16" t="s">
        <v>264</v>
      </c>
      <c r="B18" s="50">
        <v>1360334</v>
      </c>
      <c r="C18" s="50">
        <v>1341836</v>
      </c>
      <c r="D18" s="50">
        <f>C18</f>
        <v>1341836</v>
      </c>
      <c r="E18" s="50">
        <f>D18</f>
        <v>1341836</v>
      </c>
      <c r="F18" s="50">
        <v>0</v>
      </c>
      <c r="G18" s="114">
        <f>E35</f>
        <v>1360334</v>
      </c>
      <c r="H18" s="9">
        <f>G18-C18</f>
        <v>18498</v>
      </c>
    </row>
    <row r="19" spans="1:8">
      <c r="A19" s="18" t="s">
        <v>20</v>
      </c>
      <c r="B19" s="28">
        <f t="shared" ref="B19:H19" si="2">SUM(B16:B18)</f>
        <v>1360334</v>
      </c>
      <c r="C19" s="28">
        <f t="shared" si="2"/>
        <v>1341836</v>
      </c>
      <c r="D19" s="28">
        <f t="shared" si="2"/>
        <v>1341836</v>
      </c>
      <c r="E19" s="28">
        <f t="shared" si="2"/>
        <v>1341836</v>
      </c>
      <c r="F19" s="127">
        <f t="shared" si="2"/>
        <v>0</v>
      </c>
      <c r="G19" s="28">
        <f t="shared" si="2"/>
        <v>1360334</v>
      </c>
      <c r="H19" s="28">
        <f t="shared" si="2"/>
        <v>18498</v>
      </c>
    </row>
    <row r="20" spans="1:8" ht="13.5" thickBot="1">
      <c r="A20" s="55" t="s">
        <v>21</v>
      </c>
      <c r="B20" s="57">
        <f>B14+B19</f>
        <v>1430334</v>
      </c>
      <c r="C20" s="57">
        <f>C14+C19</f>
        <v>1401836</v>
      </c>
      <c r="D20" s="57">
        <f>D14+D19</f>
        <v>1395301</v>
      </c>
      <c r="E20" s="57">
        <f>E14+E19</f>
        <v>1411836</v>
      </c>
      <c r="F20" s="58">
        <f>E20-C20</f>
        <v>10000</v>
      </c>
      <c r="G20" s="57">
        <f>G14+G19</f>
        <v>1430334</v>
      </c>
      <c r="H20" s="57">
        <f>H14+H19</f>
        <v>28498</v>
      </c>
    </row>
    <row r="21" spans="1:8" ht="13.5" thickTop="1">
      <c r="A21" s="2"/>
      <c r="B21" s="48"/>
      <c r="C21" s="48"/>
      <c r="D21" s="48"/>
      <c r="E21" s="48"/>
      <c r="F21" s="62"/>
      <c r="G21" s="48"/>
      <c r="H21" s="10"/>
    </row>
    <row r="22" spans="1:8">
      <c r="A22" s="11" t="s">
        <v>10</v>
      </c>
      <c r="B22" s="48"/>
      <c r="C22" s="48"/>
      <c r="D22" s="48"/>
      <c r="E22" s="48"/>
      <c r="F22" s="62"/>
      <c r="G22" s="48"/>
      <c r="H22" s="9"/>
    </row>
    <row r="23" spans="1:8">
      <c r="A23" s="24" t="s">
        <v>11</v>
      </c>
      <c r="B23" s="50">
        <v>0</v>
      </c>
      <c r="C23" s="50">
        <v>0</v>
      </c>
      <c r="D23" s="50">
        <v>0</v>
      </c>
      <c r="E23" s="50">
        <v>0</v>
      </c>
      <c r="F23" s="60">
        <f t="shared" ref="F23:F30" si="3">C23-E23</f>
        <v>0</v>
      </c>
      <c r="G23" s="50">
        <v>0</v>
      </c>
      <c r="H23" s="9">
        <f>C23-G23</f>
        <v>0</v>
      </c>
    </row>
    <row r="24" spans="1:8">
      <c r="A24" s="24" t="s">
        <v>12</v>
      </c>
      <c r="B24" s="50">
        <v>0</v>
      </c>
      <c r="C24" s="50">
        <v>0</v>
      </c>
      <c r="D24" s="50">
        <v>0</v>
      </c>
      <c r="E24" s="50">
        <v>0</v>
      </c>
      <c r="F24" s="60">
        <f t="shared" si="3"/>
        <v>0</v>
      </c>
      <c r="G24" s="50">
        <v>0</v>
      </c>
      <c r="H24" s="9">
        <f t="shared" ref="H24:H29" si="4">C24-G24</f>
        <v>0</v>
      </c>
    </row>
    <row r="25" spans="1:8">
      <c r="A25" s="24" t="s">
        <v>13</v>
      </c>
      <c r="B25" s="50">
        <v>7000</v>
      </c>
      <c r="C25" s="50">
        <v>7000</v>
      </c>
      <c r="D25" s="50">
        <v>1734.4</v>
      </c>
      <c r="E25" s="50">
        <v>7000</v>
      </c>
      <c r="F25" s="60">
        <f t="shared" si="3"/>
        <v>0</v>
      </c>
      <c r="G25" s="50">
        <v>7000</v>
      </c>
      <c r="H25" s="9">
        <f t="shared" si="4"/>
        <v>0</v>
      </c>
    </row>
    <row r="26" spans="1:8">
      <c r="A26" s="24" t="s">
        <v>14</v>
      </c>
      <c r="B26" s="50">
        <v>44500</v>
      </c>
      <c r="C26" s="50">
        <v>44502</v>
      </c>
      <c r="D26" s="50">
        <v>13932.4</v>
      </c>
      <c r="E26" s="50">
        <v>44502</v>
      </c>
      <c r="F26" s="60">
        <f t="shared" si="3"/>
        <v>0</v>
      </c>
      <c r="G26" s="50">
        <v>44500</v>
      </c>
      <c r="H26" s="9">
        <f t="shared" si="4"/>
        <v>2</v>
      </c>
    </row>
    <row r="27" spans="1:8">
      <c r="A27" s="24" t="s">
        <v>26</v>
      </c>
      <c r="B27" s="50">
        <v>0</v>
      </c>
      <c r="C27" s="50">
        <v>0</v>
      </c>
      <c r="D27" s="50">
        <v>0</v>
      </c>
      <c r="E27" s="50">
        <v>0</v>
      </c>
      <c r="F27" s="60">
        <f t="shared" si="3"/>
        <v>0</v>
      </c>
      <c r="G27" s="50">
        <v>0</v>
      </c>
      <c r="H27" s="9">
        <f t="shared" si="4"/>
        <v>0</v>
      </c>
    </row>
    <row r="28" spans="1:8">
      <c r="A28" s="24" t="s">
        <v>15</v>
      </c>
      <c r="B28" s="50">
        <v>0</v>
      </c>
      <c r="C28" s="50">
        <v>0</v>
      </c>
      <c r="D28" s="50">
        <v>0</v>
      </c>
      <c r="E28" s="50">
        <v>0</v>
      </c>
      <c r="F28" s="60">
        <f t="shared" si="3"/>
        <v>0</v>
      </c>
      <c r="G28" s="50">
        <v>0</v>
      </c>
      <c r="H28" s="9">
        <f t="shared" si="4"/>
        <v>0</v>
      </c>
    </row>
    <row r="29" spans="1:8">
      <c r="A29" s="24" t="s">
        <v>16</v>
      </c>
      <c r="B29" s="50">
        <v>0</v>
      </c>
      <c r="C29" s="50">
        <v>0</v>
      </c>
      <c r="D29" s="50">
        <v>0</v>
      </c>
      <c r="E29" s="50">
        <v>0</v>
      </c>
      <c r="F29" s="60">
        <f t="shared" si="3"/>
        <v>0</v>
      </c>
      <c r="G29" s="50">
        <v>0</v>
      </c>
      <c r="H29" s="9">
        <f t="shared" si="4"/>
        <v>0</v>
      </c>
    </row>
    <row r="30" spans="1:8">
      <c r="A30" s="37" t="s">
        <v>22</v>
      </c>
      <c r="B30" s="46">
        <f>SUM(B23:B29)</f>
        <v>51500</v>
      </c>
      <c r="C30" s="46">
        <f>SUM(C23:C29)</f>
        <v>51502</v>
      </c>
      <c r="D30" s="46">
        <f>SUM(D23:D29)</f>
        <v>15666.8</v>
      </c>
      <c r="E30" s="46">
        <f>SUM(E23:E29)</f>
        <v>51502</v>
      </c>
      <c r="F30" s="61">
        <f t="shared" si="3"/>
        <v>0</v>
      </c>
      <c r="G30" s="46">
        <f>SUM(G23:G29)</f>
        <v>51500</v>
      </c>
      <c r="H30" s="46">
        <f>SUM(H23:H29)</f>
        <v>2</v>
      </c>
    </row>
    <row r="31" spans="1:8">
      <c r="A31" s="18" t="s">
        <v>23</v>
      </c>
      <c r="B31" s="50"/>
      <c r="C31" s="50"/>
      <c r="D31" s="50"/>
      <c r="E31" s="50"/>
      <c r="F31" s="60"/>
      <c r="G31" s="50"/>
      <c r="H31" s="10"/>
    </row>
    <row r="32" spans="1:8">
      <c r="A32" s="41" t="s">
        <v>34</v>
      </c>
      <c r="B32" s="50">
        <v>0</v>
      </c>
      <c r="C32" s="50">
        <v>0</v>
      </c>
      <c r="D32" s="50">
        <v>0</v>
      </c>
      <c r="E32" s="50">
        <v>0</v>
      </c>
      <c r="F32" s="60">
        <f t="shared" ref="F32:F37" si="5">C32-E32</f>
        <v>0</v>
      </c>
      <c r="G32" s="50">
        <v>0</v>
      </c>
      <c r="H32" s="9"/>
    </row>
    <row r="33" spans="1:8">
      <c r="A33" s="41" t="s">
        <v>35</v>
      </c>
      <c r="B33" s="50">
        <v>0</v>
      </c>
      <c r="C33" s="50">
        <v>0</v>
      </c>
      <c r="D33" s="50">
        <v>0</v>
      </c>
      <c r="E33" s="50">
        <v>0</v>
      </c>
      <c r="F33" s="60">
        <f t="shared" si="5"/>
        <v>0</v>
      </c>
      <c r="G33" s="50">
        <v>0</v>
      </c>
      <c r="H33" s="9">
        <f>C33-G33</f>
        <v>0</v>
      </c>
    </row>
    <row r="34" spans="1:8">
      <c r="A34" s="41" t="s">
        <v>30</v>
      </c>
      <c r="B34" s="50">
        <v>0</v>
      </c>
      <c r="C34" s="50">
        <v>0</v>
      </c>
      <c r="D34" s="50">
        <v>0</v>
      </c>
      <c r="E34" s="50">
        <v>0</v>
      </c>
      <c r="F34" s="14">
        <f t="shared" si="5"/>
        <v>0</v>
      </c>
      <c r="G34" s="50">
        <v>0</v>
      </c>
      <c r="H34" s="9">
        <f>C34-G34</f>
        <v>0</v>
      </c>
    </row>
    <row r="35" spans="1:8">
      <c r="A35" s="41" t="s">
        <v>263</v>
      </c>
      <c r="B35" s="114">
        <v>1378834</v>
      </c>
      <c r="C35" s="114">
        <v>1350334</v>
      </c>
      <c r="D35" s="114">
        <v>1379634.2</v>
      </c>
      <c r="E35" s="114">
        <v>1360334</v>
      </c>
      <c r="F35" s="14">
        <f t="shared" si="5"/>
        <v>-10000</v>
      </c>
      <c r="G35" s="114">
        <v>1378834</v>
      </c>
      <c r="H35" s="9">
        <f>C35-G35</f>
        <v>-28500</v>
      </c>
    </row>
    <row r="36" spans="1:8">
      <c r="A36" s="37" t="s">
        <v>24</v>
      </c>
      <c r="B36" s="46">
        <f>SUM(B33:B35)</f>
        <v>1378834</v>
      </c>
      <c r="C36" s="46">
        <f>SUM(C33:C35)</f>
        <v>1350334</v>
      </c>
      <c r="D36" s="46">
        <f>SUM(D33:D35)</f>
        <v>1379634.2</v>
      </c>
      <c r="E36" s="46">
        <f>SUM(E33:E35)</f>
        <v>1360334</v>
      </c>
      <c r="F36" s="39">
        <f t="shared" si="5"/>
        <v>-10000</v>
      </c>
      <c r="G36" s="46">
        <f>SUM(G33:G35)</f>
        <v>1378834</v>
      </c>
      <c r="H36" s="46">
        <f>SUM(H33:H35)</f>
        <v>-28500</v>
      </c>
    </row>
    <row r="37" spans="1:8" ht="12.75" customHeight="1" thickBot="1">
      <c r="A37" s="55" t="s">
        <v>25</v>
      </c>
      <c r="B37" s="59">
        <f>B30+B36</f>
        <v>1430334</v>
      </c>
      <c r="C37" s="59">
        <f>C30+C36</f>
        <v>1401836</v>
      </c>
      <c r="D37" s="59">
        <f>D30+D36</f>
        <v>1395301</v>
      </c>
      <c r="E37" s="59">
        <f>E30+E36</f>
        <v>1411836</v>
      </c>
      <c r="F37" s="58">
        <f t="shared" si="5"/>
        <v>-10000</v>
      </c>
      <c r="G37" s="59">
        <f>G30+G36</f>
        <v>1430334</v>
      </c>
      <c r="H37" s="59">
        <f>H30+H36</f>
        <v>-28498</v>
      </c>
    </row>
    <row r="38" spans="1:8" ht="13.5" thickTop="1">
      <c r="A38" s="26" t="s">
        <v>17</v>
      </c>
      <c r="B38" s="199">
        <f>B20-B37</f>
        <v>0</v>
      </c>
      <c r="C38" s="199">
        <f>C20-C37</f>
        <v>0</v>
      </c>
      <c r="D38" s="199">
        <f>D20-D37</f>
        <v>0</v>
      </c>
      <c r="E38" s="200">
        <f>E20-E37</f>
        <v>0</v>
      </c>
      <c r="F38" s="200"/>
      <c r="G38" s="200">
        <f>G20-G37</f>
        <v>0</v>
      </c>
    </row>
    <row r="39" spans="1:8" ht="12.75" customHeight="1">
      <c r="A39" s="26"/>
      <c r="B39" s="26"/>
      <c r="C39" s="28"/>
      <c r="D39" s="28"/>
      <c r="E39" s="28"/>
      <c r="F39" s="29"/>
      <c r="G39" s="2"/>
    </row>
    <row r="40" spans="1:8" ht="12.75" customHeight="1">
      <c r="A40" s="30" t="s">
        <v>18</v>
      </c>
      <c r="B40" s="30"/>
      <c r="E40" s="2"/>
      <c r="G40" s="9"/>
    </row>
    <row r="41" spans="1:8" ht="12.75" customHeight="1">
      <c r="A41" s="30" t="s">
        <v>201</v>
      </c>
      <c r="B41" s="30"/>
      <c r="G41" s="9"/>
    </row>
  </sheetData>
  <customSheetViews>
    <customSheetView guid="{C8E99144-FF29-42D8-8D33-2038AA9D760E}" scale="75" showPageBreaks="1" fitToPage="1" view="pageBreakPreview" showRuler="0">
      <pane xSplit="1" ySplit="4" topLeftCell="B10" activePane="bottomRight" state="frozen"/>
      <selection pane="bottomRight" activeCell="C8" activeCellId="1" sqref="F8 C8"/>
      <pageMargins left="0.75" right="0.75" top="1" bottom="1" header="0.5" footer="0.5"/>
      <pageSetup scale="84" orientation="landscape" horizontalDpi="300" verticalDpi="300" r:id="rId1"/>
      <headerFooter alignWithMargins="0"/>
    </customSheetView>
    <customSheetView guid="{9456C1E9-89BB-4E93-9AFD-5A49DBF97574}" scale="75" showPageBreaks="1" fitToPage="1" hiddenColumns="1" view="pageBreakPreview" showRuler="0">
      <selection activeCell="N11" sqref="N11"/>
      <pageMargins left="0.75" right="0.75" top="1" bottom="1" header="0.5" footer="0.5"/>
      <pageSetup scale="62" orientation="portrait" horizontalDpi="300" verticalDpi="300" r:id="rId2"/>
      <headerFooter alignWithMargins="0"/>
    </customSheetView>
    <customSheetView guid="{7FD41845-6BD4-448F-810C-049EFA55EC1B}" scale="75" showPageBreaks="1" fitToPage="1" view="pageBreakPreview" showRuler="0">
      <pane xSplit="1" ySplit="4" topLeftCell="B5" activePane="bottomRight" state="frozen"/>
      <selection pane="bottomRight" activeCell="M26" sqref="M26"/>
      <pageMargins left="0.75" right="0.75" top="1" bottom="1" header="0.5" footer="0.5"/>
      <pageSetup scale="84" orientation="landscape" horizontalDpi="300" verticalDpi="300" r:id="rId3"/>
      <headerFooter alignWithMargins="0"/>
    </customSheetView>
    <customSheetView guid="{8B0AB125-4209-45BF-9ABD-74BE01FD7C48}" scale="75" showPageBreaks="1" fitToPage="1" view="pageBreakPreview" showRuler="0">
      <pane xSplit="1" ySplit="4" topLeftCell="B9" activePane="bottomRight" state="frozen"/>
      <selection pane="bottomRight" activeCell="A35" sqref="A35"/>
      <pageMargins left="0.75" right="0.75" top="1" bottom="1" header="0.5" footer="0.5"/>
      <pageSetup scale="84" orientation="landscape" horizontalDpi="300" verticalDpi="300" r:id="rId4"/>
      <headerFooter alignWithMargins="0"/>
    </customSheetView>
  </customSheetViews>
  <mergeCells count="2">
    <mergeCell ref="A1:H1"/>
    <mergeCell ref="A2:H2"/>
  </mergeCells>
  <phoneticPr fontId="0" type="noConversion"/>
  <pageMargins left="0.75" right="0.75" top="1" bottom="1" header="0.5" footer="0.5"/>
  <pageSetup scale="84" orientation="landscape" horizontalDpi="300" verticalDpi="300" r:id="rId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tabColor indexed="27"/>
    <pageSetUpPr fitToPage="1"/>
  </sheetPr>
  <dimension ref="A1:H42"/>
  <sheetViews>
    <sheetView showRuler="0" view="pageBreakPreview" zoomScale="75" zoomScaleNormal="100"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7.140625" style="1" customWidth="1"/>
    <col min="3" max="3" width="16.5703125" style="1" customWidth="1"/>
    <col min="4" max="4" width="12.7109375" style="1" bestFit="1" customWidth="1"/>
    <col min="5" max="5" width="16.140625" style="1" customWidth="1"/>
    <col min="6" max="6" width="12.85546875" style="31" customWidth="1"/>
    <col min="7" max="7" width="17.42578125" style="1" customWidth="1"/>
    <col min="8" max="8" width="11.42578125" style="1" customWidth="1"/>
    <col min="9" max="16384" width="6.85546875" style="1"/>
  </cols>
  <sheetData>
    <row r="1" spans="1:8" ht="18">
      <c r="A1" s="1742" t="s">
        <v>279</v>
      </c>
      <c r="B1" s="1742"/>
      <c r="C1" s="1742"/>
      <c r="D1" s="1742"/>
      <c r="E1" s="1742"/>
      <c r="F1" s="1742"/>
      <c r="G1" s="1742"/>
      <c r="H1" s="1742"/>
    </row>
    <row r="2" spans="1:8" ht="15" customHeight="1" thickBot="1">
      <c r="A2" s="1743" t="s">
        <v>318</v>
      </c>
      <c r="B2" s="1743"/>
      <c r="C2" s="1743"/>
      <c r="D2" s="1743"/>
      <c r="E2" s="1743"/>
      <c r="F2" s="1743"/>
      <c r="G2" s="1743"/>
      <c r="H2" s="1743"/>
    </row>
    <row r="3" spans="1:8" ht="12.75" customHeight="1">
      <c r="A3" s="86"/>
      <c r="B3" s="86"/>
      <c r="C3" s="86" t="s">
        <v>64</v>
      </c>
      <c r="D3" s="91" t="s">
        <v>64</v>
      </c>
      <c r="E3" s="86"/>
      <c r="F3" s="91" t="s">
        <v>86</v>
      </c>
      <c r="G3" s="86"/>
      <c r="H3" s="91" t="s">
        <v>110</v>
      </c>
    </row>
    <row r="4" spans="1:8" ht="44.25" customHeight="1"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50">
        <v>0</v>
      </c>
      <c r="C7" s="50">
        <v>0</v>
      </c>
      <c r="D7" s="50">
        <v>0</v>
      </c>
      <c r="E7" s="50">
        <v>0</v>
      </c>
      <c r="F7" s="60">
        <f t="shared" ref="F7:F14" si="0">E7-C7</f>
        <v>0</v>
      </c>
      <c r="G7" s="50">
        <v>0</v>
      </c>
      <c r="H7" s="9">
        <f>G7-C7</f>
        <v>0</v>
      </c>
    </row>
    <row r="8" spans="1:8">
      <c r="A8" s="16" t="s">
        <v>4</v>
      </c>
      <c r="B8" s="50">
        <v>220000</v>
      </c>
      <c r="C8" s="50">
        <v>115000</v>
      </c>
      <c r="D8" s="50">
        <v>228813</v>
      </c>
      <c r="E8" s="50">
        <v>220000</v>
      </c>
      <c r="F8" s="60">
        <f t="shared" si="0"/>
        <v>105000</v>
      </c>
      <c r="G8" s="50">
        <v>220000</v>
      </c>
      <c r="H8" s="9">
        <f t="shared" ref="H8:H13" si="1">G8-C8</f>
        <v>105000</v>
      </c>
    </row>
    <row r="9" spans="1:8">
      <c r="A9" s="16" t="s">
        <v>5</v>
      </c>
      <c r="B9" s="50">
        <v>0</v>
      </c>
      <c r="C9" s="50">
        <v>0</v>
      </c>
      <c r="D9" s="50">
        <v>0</v>
      </c>
      <c r="E9" s="50">
        <v>0</v>
      </c>
      <c r="F9" s="60">
        <f t="shared" si="0"/>
        <v>0</v>
      </c>
      <c r="G9" s="50">
        <v>0</v>
      </c>
      <c r="H9" s="9">
        <f t="shared" si="1"/>
        <v>0</v>
      </c>
    </row>
    <row r="10" spans="1:8">
      <c r="A10" s="16" t="s">
        <v>6</v>
      </c>
      <c r="B10" s="50">
        <v>0</v>
      </c>
      <c r="C10" s="50">
        <v>0</v>
      </c>
      <c r="D10" s="50">
        <v>0</v>
      </c>
      <c r="E10" s="50">
        <v>0</v>
      </c>
      <c r="F10" s="60">
        <f t="shared" si="0"/>
        <v>0</v>
      </c>
      <c r="G10" s="50">
        <v>0</v>
      </c>
      <c r="H10" s="9">
        <f t="shared" si="1"/>
        <v>0</v>
      </c>
    </row>
    <row r="11" spans="1:8">
      <c r="A11" s="16" t="s">
        <v>7</v>
      </c>
      <c r="B11" s="50">
        <v>0</v>
      </c>
      <c r="C11" s="50">
        <v>0</v>
      </c>
      <c r="D11" s="50">
        <v>0</v>
      </c>
      <c r="E11" s="50">
        <v>0</v>
      </c>
      <c r="F11" s="60">
        <f t="shared" si="0"/>
        <v>0</v>
      </c>
      <c r="G11" s="50">
        <v>0</v>
      </c>
      <c r="H11" s="9">
        <f t="shared" si="1"/>
        <v>0</v>
      </c>
    </row>
    <row r="12" spans="1:8">
      <c r="A12" s="24" t="s">
        <v>8</v>
      </c>
      <c r="B12" s="50">
        <v>0</v>
      </c>
      <c r="C12" s="50">
        <v>0</v>
      </c>
      <c r="D12" s="50">
        <v>30</v>
      </c>
      <c r="E12" s="50">
        <v>0</v>
      </c>
      <c r="F12" s="60">
        <f t="shared" si="0"/>
        <v>0</v>
      </c>
      <c r="G12" s="50">
        <v>0</v>
      </c>
      <c r="H12" s="9">
        <f t="shared" si="1"/>
        <v>0</v>
      </c>
    </row>
    <row r="13" spans="1:8">
      <c r="A13" s="24" t="s">
        <v>28</v>
      </c>
      <c r="B13" s="50">
        <v>0</v>
      </c>
      <c r="C13" s="50">
        <v>0</v>
      </c>
      <c r="D13" s="50">
        <v>0</v>
      </c>
      <c r="E13" s="50">
        <v>0</v>
      </c>
      <c r="F13" s="60">
        <f t="shared" si="0"/>
        <v>0</v>
      </c>
      <c r="G13" s="50">
        <v>0</v>
      </c>
      <c r="H13" s="9">
        <f t="shared" si="1"/>
        <v>0</v>
      </c>
    </row>
    <row r="14" spans="1:8">
      <c r="A14" s="37" t="s">
        <v>9</v>
      </c>
      <c r="B14" s="46">
        <f>SUM(B7:B13)</f>
        <v>220000</v>
      </c>
      <c r="C14" s="46">
        <f>SUM(C7:C13)</f>
        <v>115000</v>
      </c>
      <c r="D14" s="46">
        <f>SUM(D7:D13)</f>
        <v>228843</v>
      </c>
      <c r="E14" s="46">
        <f>SUM(E7:E13)</f>
        <v>220000</v>
      </c>
      <c r="F14" s="61">
        <f t="shared" si="0"/>
        <v>105000</v>
      </c>
      <c r="G14" s="46">
        <f>SUM(G7:G13)</f>
        <v>220000</v>
      </c>
      <c r="H14" s="46">
        <f>SUM(H7:H13)</f>
        <v>105000</v>
      </c>
    </row>
    <row r="15" spans="1:8">
      <c r="A15" s="18" t="s">
        <v>19</v>
      </c>
      <c r="B15" s="50"/>
      <c r="C15" s="50"/>
      <c r="D15" s="50"/>
      <c r="E15" s="50"/>
      <c r="F15" s="60"/>
      <c r="G15" s="50"/>
      <c r="H15" s="10"/>
    </row>
    <row r="16" spans="1:8">
      <c r="A16" s="36" t="s">
        <v>33</v>
      </c>
      <c r="B16" s="50">
        <v>0</v>
      </c>
      <c r="C16" s="50">
        <v>0</v>
      </c>
      <c r="D16" s="50">
        <v>0</v>
      </c>
      <c r="E16" s="50">
        <v>0</v>
      </c>
      <c r="F16" s="50">
        <v>0</v>
      </c>
      <c r="G16" s="50">
        <v>0</v>
      </c>
      <c r="H16" s="9">
        <f>G16-C16</f>
        <v>0</v>
      </c>
    </row>
    <row r="17" spans="1:8">
      <c r="A17" s="36" t="s">
        <v>29</v>
      </c>
      <c r="B17" s="50">
        <v>0</v>
      </c>
      <c r="C17" s="50">
        <v>0</v>
      </c>
      <c r="D17" s="50">
        <v>0</v>
      </c>
      <c r="E17" s="50">
        <v>0</v>
      </c>
      <c r="F17" s="50">
        <v>0</v>
      </c>
      <c r="G17" s="50">
        <v>0</v>
      </c>
      <c r="H17" s="9">
        <f>G17-C17</f>
        <v>0</v>
      </c>
    </row>
    <row r="18" spans="1:8">
      <c r="A18" s="16" t="s">
        <v>264</v>
      </c>
      <c r="B18" s="50">
        <v>189722.78</v>
      </c>
      <c r="C18" s="50">
        <v>74726.78</v>
      </c>
      <c r="D18" s="114">
        <f>C18</f>
        <v>74726.78</v>
      </c>
      <c r="E18" s="114">
        <f>D18</f>
        <v>74726.78</v>
      </c>
      <c r="F18" s="50">
        <v>0</v>
      </c>
      <c r="G18" s="114">
        <f>E35</f>
        <v>189722.78</v>
      </c>
      <c r="H18" s="9">
        <f>G18-C18</f>
        <v>114996</v>
      </c>
    </row>
    <row r="19" spans="1:8">
      <c r="A19" s="18" t="s">
        <v>20</v>
      </c>
      <c r="B19" s="28">
        <f t="shared" ref="B19:H19" si="2">SUM(B16:B18)</f>
        <v>189722.78</v>
      </c>
      <c r="C19" s="28">
        <f t="shared" si="2"/>
        <v>74726.78</v>
      </c>
      <c r="D19" s="28">
        <f t="shared" si="2"/>
        <v>74726.78</v>
      </c>
      <c r="E19" s="28">
        <f t="shared" si="2"/>
        <v>74726.78</v>
      </c>
      <c r="F19" s="127">
        <f t="shared" si="2"/>
        <v>0</v>
      </c>
      <c r="G19" s="28">
        <f t="shared" si="2"/>
        <v>189722.78</v>
      </c>
      <c r="H19" s="28">
        <f t="shared" si="2"/>
        <v>114996</v>
      </c>
    </row>
    <row r="20" spans="1:8" ht="13.5" thickBot="1">
      <c r="A20" s="55" t="s">
        <v>21</v>
      </c>
      <c r="B20" s="57">
        <f>B14+B19</f>
        <v>409722.78</v>
      </c>
      <c r="C20" s="57">
        <f>C14+C19</f>
        <v>189726.78</v>
      </c>
      <c r="D20" s="57">
        <f>D14+D19</f>
        <v>303569.78000000003</v>
      </c>
      <c r="E20" s="57">
        <f>E14+E19</f>
        <v>294726.78000000003</v>
      </c>
      <c r="F20" s="58">
        <f>E20-C20</f>
        <v>105000.00000000003</v>
      </c>
      <c r="G20" s="57">
        <f>G14+G19</f>
        <v>409722.78</v>
      </c>
      <c r="H20" s="57">
        <f>H14+H19</f>
        <v>219996</v>
      </c>
    </row>
    <row r="21" spans="1:8" ht="13.5" thickTop="1">
      <c r="A21" s="2"/>
      <c r="B21" s="48"/>
      <c r="C21" s="48"/>
      <c r="D21" s="48"/>
      <c r="E21" s="48"/>
      <c r="F21" s="62"/>
      <c r="G21" s="48"/>
      <c r="H21" s="10"/>
    </row>
    <row r="22" spans="1:8">
      <c r="A22" s="11" t="s">
        <v>10</v>
      </c>
      <c r="B22" s="48"/>
      <c r="C22" s="48"/>
      <c r="D22" s="48"/>
      <c r="E22" s="48"/>
      <c r="F22" s="62"/>
      <c r="G22" s="48"/>
      <c r="H22" s="9"/>
    </row>
    <row r="23" spans="1:8">
      <c r="A23" s="24" t="s">
        <v>11</v>
      </c>
      <c r="B23" s="50">
        <v>0</v>
      </c>
      <c r="C23" s="50">
        <v>0</v>
      </c>
      <c r="D23" s="50">
        <v>0</v>
      </c>
      <c r="E23" s="50">
        <v>0</v>
      </c>
      <c r="F23" s="60">
        <f>C23-E23</f>
        <v>0</v>
      </c>
      <c r="G23" s="50">
        <v>0</v>
      </c>
      <c r="H23" s="9">
        <f>C23-G23</f>
        <v>0</v>
      </c>
    </row>
    <row r="24" spans="1:8">
      <c r="A24" s="24" t="s">
        <v>12</v>
      </c>
      <c r="B24" s="50">
        <v>0</v>
      </c>
      <c r="C24" s="50">
        <v>0</v>
      </c>
      <c r="D24" s="50">
        <v>0</v>
      </c>
      <c r="E24" s="50">
        <v>0</v>
      </c>
      <c r="F24" s="60">
        <f t="shared" ref="F24:F29" si="3">C24-E24</f>
        <v>0</v>
      </c>
      <c r="G24" s="50">
        <v>0</v>
      </c>
      <c r="H24" s="9">
        <f t="shared" ref="H24:H29" si="4">C24-G24</f>
        <v>0</v>
      </c>
    </row>
    <row r="25" spans="1:8">
      <c r="A25" s="24" t="s">
        <v>13</v>
      </c>
      <c r="B25" s="50">
        <v>112652</v>
      </c>
      <c r="C25" s="50">
        <v>105000</v>
      </c>
      <c r="D25" s="50">
        <v>93640</v>
      </c>
      <c r="E25" s="50">
        <v>105000</v>
      </c>
      <c r="F25" s="60">
        <f t="shared" si="3"/>
        <v>0</v>
      </c>
      <c r="G25" s="50">
        <v>112652</v>
      </c>
      <c r="H25" s="9">
        <f t="shared" si="4"/>
        <v>-7652</v>
      </c>
    </row>
    <row r="26" spans="1:8">
      <c r="A26" s="24" t="s">
        <v>14</v>
      </c>
      <c r="B26" s="50">
        <v>0</v>
      </c>
      <c r="C26" s="50">
        <v>4</v>
      </c>
      <c r="D26" s="50">
        <v>4</v>
      </c>
      <c r="E26" s="50">
        <v>4</v>
      </c>
      <c r="F26" s="60">
        <f t="shared" si="3"/>
        <v>0</v>
      </c>
      <c r="G26" s="50">
        <v>0</v>
      </c>
      <c r="H26" s="9">
        <f t="shared" si="4"/>
        <v>4</v>
      </c>
    </row>
    <row r="27" spans="1:8">
      <c r="A27" s="24" t="s">
        <v>26</v>
      </c>
      <c r="B27" s="50">
        <v>0</v>
      </c>
      <c r="C27" s="50">
        <v>0</v>
      </c>
      <c r="D27" s="50">
        <v>0</v>
      </c>
      <c r="E27" s="50">
        <v>0</v>
      </c>
      <c r="F27" s="60">
        <f t="shared" si="3"/>
        <v>0</v>
      </c>
      <c r="G27" s="50">
        <v>0</v>
      </c>
      <c r="H27" s="9">
        <f t="shared" si="4"/>
        <v>0</v>
      </c>
    </row>
    <row r="28" spans="1:8">
      <c r="A28" s="24" t="s">
        <v>15</v>
      </c>
      <c r="B28" s="50">
        <v>0</v>
      </c>
      <c r="C28" s="50">
        <v>0</v>
      </c>
      <c r="D28" s="50">
        <v>0</v>
      </c>
      <c r="E28" s="50">
        <v>0</v>
      </c>
      <c r="F28" s="60">
        <f t="shared" si="3"/>
        <v>0</v>
      </c>
      <c r="G28" s="50">
        <v>0</v>
      </c>
      <c r="H28" s="9">
        <f t="shared" si="4"/>
        <v>0</v>
      </c>
    </row>
    <row r="29" spans="1:8">
      <c r="A29" s="24" t="s">
        <v>16</v>
      </c>
      <c r="B29" s="50">
        <v>0</v>
      </c>
      <c r="C29" s="50">
        <v>0</v>
      </c>
      <c r="D29" s="50">
        <v>0</v>
      </c>
      <c r="E29" s="50">
        <v>0</v>
      </c>
      <c r="F29" s="60">
        <f t="shared" si="3"/>
        <v>0</v>
      </c>
      <c r="G29" s="50">
        <v>0</v>
      </c>
      <c r="H29" s="9">
        <f t="shared" si="4"/>
        <v>0</v>
      </c>
    </row>
    <row r="30" spans="1:8">
      <c r="A30" s="37" t="s">
        <v>22</v>
      </c>
      <c r="B30" s="46">
        <f>SUM(B23:B29)</f>
        <v>112652</v>
      </c>
      <c r="C30" s="46">
        <f>SUM(C23:C29)</f>
        <v>105004</v>
      </c>
      <c r="D30" s="46">
        <f>SUM(D23:D29)</f>
        <v>93644</v>
      </c>
      <c r="E30" s="46">
        <f>SUM(E23:E29)</f>
        <v>105004</v>
      </c>
      <c r="F30" s="61">
        <f>C30-E30</f>
        <v>0</v>
      </c>
      <c r="G30" s="46">
        <f>SUM(G23:G29)</f>
        <v>112652</v>
      </c>
      <c r="H30" s="40">
        <f>C30-G30</f>
        <v>-7648</v>
      </c>
    </row>
    <row r="31" spans="1:8">
      <c r="A31" s="18" t="s">
        <v>23</v>
      </c>
      <c r="B31" s="50"/>
      <c r="C31" s="50"/>
      <c r="D31" s="50"/>
      <c r="E31" s="50"/>
      <c r="F31" s="60"/>
      <c r="G31" s="50"/>
      <c r="H31" s="10"/>
    </row>
    <row r="32" spans="1:8">
      <c r="A32" s="41" t="s">
        <v>34</v>
      </c>
      <c r="B32" s="50">
        <v>0</v>
      </c>
      <c r="C32" s="50">
        <v>0</v>
      </c>
      <c r="D32" s="50">
        <v>0</v>
      </c>
      <c r="E32" s="50">
        <v>0</v>
      </c>
      <c r="F32" s="60">
        <f t="shared" ref="F32:F37" si="5">C32-E32</f>
        <v>0</v>
      </c>
      <c r="G32" s="50">
        <v>0</v>
      </c>
      <c r="H32" s="9">
        <f>C32-G32</f>
        <v>0</v>
      </c>
    </row>
    <row r="33" spans="1:8">
      <c r="A33" s="41" t="s">
        <v>35</v>
      </c>
      <c r="B33" s="50">
        <v>0</v>
      </c>
      <c r="C33" s="50">
        <v>0</v>
      </c>
      <c r="D33" s="50">
        <v>0</v>
      </c>
      <c r="E33" s="50">
        <v>0</v>
      </c>
      <c r="F33" s="60">
        <f t="shared" si="5"/>
        <v>0</v>
      </c>
      <c r="G33" s="50">
        <v>0</v>
      </c>
      <c r="H33" s="9">
        <f>C33-G33</f>
        <v>0</v>
      </c>
    </row>
    <row r="34" spans="1:8">
      <c r="A34" s="41" t="s">
        <v>30</v>
      </c>
      <c r="B34" s="50">
        <v>0</v>
      </c>
      <c r="C34" s="50">
        <v>0</v>
      </c>
      <c r="D34" s="50">
        <v>0</v>
      </c>
      <c r="E34" s="50">
        <v>0</v>
      </c>
      <c r="F34" s="14">
        <f t="shared" si="5"/>
        <v>0</v>
      </c>
      <c r="G34" s="50">
        <v>0</v>
      </c>
      <c r="H34" s="9">
        <f>C34-G34</f>
        <v>0</v>
      </c>
    </row>
    <row r="35" spans="1:8">
      <c r="A35" s="41" t="s">
        <v>263</v>
      </c>
      <c r="B35" s="114">
        <v>297070.78000000003</v>
      </c>
      <c r="C35" s="114">
        <v>84722.78</v>
      </c>
      <c r="D35" s="114">
        <v>209925.78</v>
      </c>
      <c r="E35" s="114">
        <v>189722.78</v>
      </c>
      <c r="F35" s="14">
        <f t="shared" si="5"/>
        <v>-105000</v>
      </c>
      <c r="G35" s="114">
        <v>297070.78000000003</v>
      </c>
      <c r="H35" s="9">
        <f>C35-G35</f>
        <v>-212348.00000000003</v>
      </c>
    </row>
    <row r="36" spans="1:8">
      <c r="A36" s="37" t="s">
        <v>24</v>
      </c>
      <c r="B36" s="46">
        <f>SUM(B33:B35)</f>
        <v>297070.78000000003</v>
      </c>
      <c r="C36" s="46">
        <f>SUM(C32:C35)</f>
        <v>84722.78</v>
      </c>
      <c r="D36" s="46">
        <f>SUM(D32:D35)</f>
        <v>209925.78</v>
      </c>
      <c r="E36" s="46">
        <f>SUM(E32:E35)</f>
        <v>189722.78</v>
      </c>
      <c r="F36" s="39">
        <f t="shared" si="5"/>
        <v>-105000</v>
      </c>
      <c r="G36" s="46">
        <f>SUM(G33:G35)</f>
        <v>297070.78000000003</v>
      </c>
      <c r="H36" s="46">
        <f>SUM(H33:H35)</f>
        <v>-212348.00000000003</v>
      </c>
    </row>
    <row r="37" spans="1:8" ht="12.75" customHeight="1" thickBot="1">
      <c r="A37" s="55" t="s">
        <v>25</v>
      </c>
      <c r="B37" s="59">
        <f>B30+B36</f>
        <v>409722.78</v>
      </c>
      <c r="C37" s="59">
        <f>C30+C36</f>
        <v>189726.78</v>
      </c>
      <c r="D37" s="59">
        <f>D30+D36</f>
        <v>303569.78000000003</v>
      </c>
      <c r="E37" s="59">
        <f>E30+E36</f>
        <v>294726.78000000003</v>
      </c>
      <c r="F37" s="58">
        <f t="shared" si="5"/>
        <v>-105000.00000000003</v>
      </c>
      <c r="G37" s="59">
        <f>G30+G36</f>
        <v>409722.78</v>
      </c>
      <c r="H37" s="59">
        <f>H30+H36</f>
        <v>-219996.00000000003</v>
      </c>
    </row>
    <row r="38" spans="1:8" ht="13.5" thickTop="1">
      <c r="A38" s="26" t="s">
        <v>17</v>
      </c>
      <c r="B38" s="199">
        <f>B20-B37</f>
        <v>0</v>
      </c>
      <c r="C38" s="199">
        <f>C20-C37</f>
        <v>0</v>
      </c>
      <c r="D38" s="199">
        <f>D20-D37</f>
        <v>0</v>
      </c>
      <c r="E38" s="200">
        <f>E20-E37</f>
        <v>0</v>
      </c>
      <c r="F38" s="200"/>
      <c r="G38" s="200">
        <f>G20-G37</f>
        <v>0</v>
      </c>
    </row>
    <row r="39" spans="1:8" ht="12.75" customHeight="1">
      <c r="A39" s="26"/>
      <c r="B39" s="26"/>
      <c r="C39" s="28"/>
      <c r="D39" s="28"/>
      <c r="E39" s="28"/>
      <c r="F39" s="29"/>
      <c r="G39" s="2"/>
    </row>
    <row r="40" spans="1:8" ht="12.75" customHeight="1">
      <c r="A40" s="30" t="s">
        <v>18</v>
      </c>
      <c r="B40" s="30"/>
      <c r="E40" s="2"/>
      <c r="G40" s="9"/>
    </row>
    <row r="41" spans="1:8" ht="12.75" customHeight="1">
      <c r="A41" s="30" t="s">
        <v>201</v>
      </c>
      <c r="B41" s="30"/>
      <c r="G41" s="9"/>
    </row>
    <row r="42" spans="1:8" ht="12.75" customHeight="1"/>
  </sheetData>
  <customSheetViews>
    <customSheetView guid="{C8E99144-FF29-42D8-8D33-2038AA9D760E}" scale="75" showPageBreaks="1" fitToPage="1" view="pageBreakPreview" showRuler="0">
      <pane xSplit="1" ySplit="4" topLeftCell="B5" activePane="bottomRight" state="frozen"/>
      <selection pane="bottomRight" activeCell="C8" activeCellId="2" sqref="D36 F8 C8"/>
      <pageMargins left="0.75" right="0.75" top="1" bottom="1" header="0.5" footer="0.5"/>
      <pageSetup scale="84" orientation="landscape" horizontalDpi="300" verticalDpi="300" r:id="rId1"/>
      <headerFooter alignWithMargins="0"/>
    </customSheetView>
    <customSheetView guid="{9456C1E9-89BB-4E93-9AFD-5A49DBF97574}" scale="75" showPageBreaks="1" fitToPage="1" hiddenColumns="1" view="pageBreakPreview" showRuler="0">
      <selection activeCell="N18" sqref="N18"/>
      <pageMargins left="0.75" right="0.75" top="1" bottom="1" header="0.5" footer="0.5"/>
      <pageSetup scale="62" orientation="portrait" horizontalDpi="300" verticalDpi="300" r:id="rId2"/>
      <headerFooter alignWithMargins="0"/>
    </customSheetView>
    <customSheetView guid="{7FD41845-6BD4-448F-810C-049EFA55EC1B}" scale="75" showPageBreaks="1" fitToPage="1" view="pageBreakPreview" showRuler="0">
      <pane xSplit="1" ySplit="4" topLeftCell="B5" activePane="bottomRight" state="frozen"/>
      <selection pane="bottomRight" activeCell="M17" sqref="M17"/>
      <pageMargins left="0.75" right="0.75" top="1" bottom="1" header="0.5" footer="0.5"/>
      <pageSetup scale="84" orientation="landscape" horizontalDpi="300" verticalDpi="300" r:id="rId3"/>
      <headerFooter alignWithMargins="0"/>
    </customSheetView>
    <customSheetView guid="{8B0AB125-4209-45BF-9ABD-74BE01FD7C48}" scale="75" showPageBreaks="1" fitToPage="1" view="pageBreakPreview" showRuler="0">
      <pane xSplit="1" ySplit="4" topLeftCell="B5" activePane="bottomRight" state="frozen"/>
      <selection pane="bottomRight" activeCell="A36" sqref="A36"/>
      <pageMargins left="0.75" right="0.75" top="1" bottom="1" header="0.5" footer="0.5"/>
      <pageSetup scale="84" orientation="landscape" horizontalDpi="300" verticalDpi="300" r:id="rId4"/>
      <headerFooter alignWithMargins="0"/>
    </customSheetView>
  </customSheetViews>
  <mergeCells count="2">
    <mergeCell ref="A1:H1"/>
    <mergeCell ref="A2:H2"/>
  </mergeCells>
  <phoneticPr fontId="0" type="noConversion"/>
  <pageMargins left="0.75" right="0.75" top="1" bottom="1" header="0.5" footer="0.5"/>
  <pageSetup scale="84" orientation="landscape" horizontalDpi="300" verticalDpi="300" r:id="rId5"/>
  <headerFooter alignWithMargins="0"/>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enableFormatConditionsCalculation="0">
    <tabColor indexed="24"/>
  </sheetPr>
  <dimension ref="A1:N81"/>
  <sheetViews>
    <sheetView showRuler="0" view="pageBreakPreview" zoomScale="75" zoomScaleNormal="75" workbookViewId="0">
      <selection activeCell="B2" sqref="B2:G2"/>
    </sheetView>
  </sheetViews>
  <sheetFormatPr defaultRowHeight="12.75"/>
  <cols>
    <col min="1" max="1" width="28.5703125" customWidth="1"/>
    <col min="2" max="2" width="15.5703125" style="148" customWidth="1"/>
    <col min="3" max="3" width="15.42578125" customWidth="1"/>
    <col min="4" max="4" width="14.85546875" style="148" customWidth="1"/>
    <col min="5" max="5" width="14.85546875" customWidth="1"/>
    <col min="6" max="6" width="15.42578125" style="148" customWidth="1"/>
    <col min="7" max="7" width="13.5703125" style="154" customWidth="1"/>
    <col min="8" max="8" width="12.5703125" customWidth="1"/>
    <col min="9" max="9" width="11.28515625" bestFit="1" customWidth="1"/>
    <col min="10" max="11" width="10.28515625" bestFit="1" customWidth="1"/>
    <col min="12" max="12" width="12.85546875" bestFit="1" customWidth="1"/>
  </cols>
  <sheetData>
    <row r="1" spans="1:14" ht="22.5">
      <c r="A1" s="133" t="s">
        <v>111</v>
      </c>
      <c r="B1" s="135"/>
      <c r="C1" s="134"/>
      <c r="D1" s="135"/>
      <c r="E1" s="134"/>
      <c r="F1" s="135"/>
      <c r="G1" s="136"/>
      <c r="H1" s="69"/>
    </row>
    <row r="2" spans="1:14" ht="18.75">
      <c r="A2" s="137"/>
      <c r="B2" s="135"/>
      <c r="C2" s="134"/>
      <c r="D2" s="135"/>
      <c r="E2" s="134"/>
      <c r="F2" s="135"/>
      <c r="G2" s="136"/>
      <c r="H2" s="69" t="s">
        <v>58</v>
      </c>
    </row>
    <row r="3" spans="1:14" s="1" customFormat="1" ht="12.75" customHeight="1">
      <c r="A3" s="86"/>
      <c r="B3" s="86"/>
      <c r="C3" s="86" t="s">
        <v>64</v>
      </c>
      <c r="D3" s="91" t="s">
        <v>64</v>
      </c>
      <c r="E3" s="86"/>
      <c r="F3" s="91" t="s">
        <v>86</v>
      </c>
      <c r="G3" s="86"/>
      <c r="H3" s="91" t="s">
        <v>110</v>
      </c>
    </row>
    <row r="4" spans="1:14" s="1" customFormat="1" ht="48.75" customHeight="1" thickBot="1">
      <c r="A4" s="3" t="s">
        <v>0</v>
      </c>
      <c r="B4" s="5" t="s">
        <v>314</v>
      </c>
      <c r="C4" s="4" t="s">
        <v>315</v>
      </c>
      <c r="D4" s="4" t="s">
        <v>217</v>
      </c>
      <c r="E4" s="5" t="s">
        <v>316</v>
      </c>
      <c r="F4" s="129" t="s">
        <v>1</v>
      </c>
      <c r="G4" s="5" t="s">
        <v>317</v>
      </c>
      <c r="H4" s="129" t="s">
        <v>1</v>
      </c>
    </row>
    <row r="5" spans="1:14" s="1" customFormat="1">
      <c r="A5" s="2"/>
      <c r="B5" s="9"/>
      <c r="C5" s="2"/>
      <c r="D5" s="2"/>
      <c r="E5" s="8"/>
      <c r="F5" s="7"/>
      <c r="G5" s="9"/>
      <c r="H5" s="10"/>
    </row>
    <row r="6" spans="1:14" s="1" customFormat="1">
      <c r="A6" s="11" t="s">
        <v>2</v>
      </c>
      <c r="B6" s="9"/>
      <c r="C6" s="12"/>
      <c r="D6" s="13"/>
      <c r="E6" s="15"/>
      <c r="F6" s="14"/>
      <c r="G6" s="9"/>
      <c r="H6" s="9"/>
    </row>
    <row r="7" spans="1:14">
      <c r="A7" s="71" t="s">
        <v>3</v>
      </c>
      <c r="B7" s="139">
        <f>'106.01 old'!B7+'106.02 old'!B7+'108 old'!B7+'112 old'!B7+'130 old'!B7+'135 OLD'!B7+'140 OLD'!B7+'141 old'!B7+'142 OLD'!B7</f>
        <v>70759.8</v>
      </c>
      <c r="C7" s="139">
        <f>'106.01 old'!C7+'106.02 old'!C7+'108 old'!C7+'112 old'!C7+'130 old'!C7+'135 OLD'!C7+'140 OLD'!C7+'141 old'!C7+'142 OLD'!C7</f>
        <v>613311.80000000005</v>
      </c>
      <c r="D7" s="139">
        <f>'106.01 old'!D7+'106.02 old'!D7+'108 old'!D7+'112 old'!D7+'130 old'!D7+'135 OLD'!D7+'140 OLD'!D7+'141 old'!D7+'142 OLD'!D7</f>
        <v>1781575</v>
      </c>
      <c r="E7" s="139">
        <f>'106.01 old'!E7+'106.02 old'!E7+'108 old'!E7+'112 old'!E7+'130 old'!E7+'135 OLD'!E7+'140 OLD'!E7+'141 old'!E7+'142 OLD'!E7</f>
        <v>34503.08</v>
      </c>
      <c r="F7" s="139">
        <f t="shared" ref="F7:F12" si="0">E7-C7</f>
        <v>-578808.72000000009</v>
      </c>
      <c r="G7" s="139">
        <f>'106.01 old'!G7+'106.02 old'!G7+'108 old'!G7+'112 old'!G7+'130 old'!G7+'135 OLD'!G7+'140 OLD'!G7+'141 old'!G7+'142 OLD'!G7</f>
        <v>70759.8</v>
      </c>
      <c r="H7" s="139">
        <f>'106.01 old'!H7+'106.02 old'!H7+'108 old'!H7+'112 old'!H7+'130 old'!H7+'135 OLD'!H7+'140 OLD'!H7+'141 old'!H7+'142 OLD'!H7</f>
        <v>-542552</v>
      </c>
      <c r="I7" s="67">
        <f>C7+H7-G7</f>
        <v>0</v>
      </c>
      <c r="L7" s="43">
        <v>627000</v>
      </c>
      <c r="M7" s="43"/>
      <c r="N7" t="s">
        <v>112</v>
      </c>
    </row>
    <row r="8" spans="1:14">
      <c r="A8" s="71" t="s">
        <v>171</v>
      </c>
      <c r="B8" s="139">
        <f>'106.01 old'!B8+'106.02 old'!B8+'108 old'!B8+'112 old'!B8+'130 old'!B8+'135 OLD'!B8+'140 OLD'!B8+'141 old'!B8+'142 OLD'!B8</f>
        <v>8979765</v>
      </c>
      <c r="C8" s="139">
        <f>'106.01 old'!C8+'106.02 old'!C8+'108 old'!C8+'112 old'!C8+'130 old'!C8+'135 OLD'!C8+'140 OLD'!C8+'141 old'!C8+'142 OLD'!C8</f>
        <v>7781902</v>
      </c>
      <c r="D8" s="139">
        <f>'106.01 old'!D8+'106.02 old'!D8+'108 old'!D8+'112 old'!D8+'130 old'!D8+'135 OLD'!D8+'140 OLD'!D8+'141 old'!D8+'142 OLD'!D8</f>
        <v>7311203</v>
      </c>
      <c r="E8" s="139">
        <f>'106.01 old'!E8+'106.02 old'!E8+'108 old'!E8+'112 old'!E8+'130 old'!E8+'135 OLD'!E8+'140 OLD'!E8+'141 old'!E8+'142 OLD'!E8</f>
        <v>8191121</v>
      </c>
      <c r="F8" s="139">
        <f t="shared" si="0"/>
        <v>409219</v>
      </c>
      <c r="G8" s="139">
        <f>'106.01 old'!G8+'106.02 old'!G8+'108 old'!G8+'112 old'!G8+'130 old'!G8+'135 OLD'!G8+'140 OLD'!G8+'141 old'!G8+'142 OLD'!G8</f>
        <v>8979765</v>
      </c>
      <c r="H8" s="139">
        <f>'106.01 old'!H8+'106.02 old'!H8+'108 old'!H8+'112 old'!H8+'130 old'!H8+'135 OLD'!H8+'140 OLD'!H8+'141 old'!H8+'142 OLD'!H8</f>
        <v>1197863</v>
      </c>
      <c r="I8" s="67">
        <f t="shared" ref="I8:I23" si="1">C8+H8-G8</f>
        <v>0</v>
      </c>
      <c r="L8" s="43"/>
      <c r="M8" s="43"/>
    </row>
    <row r="9" spans="1:14">
      <c r="A9" s="71" t="s">
        <v>173</v>
      </c>
      <c r="B9" s="70">
        <f>'108 old'!B9+'112 old'!B9+'130 old'!B9+'135 OLD'!B9+'140 OLD'!B9+'141 old'!B9+'142 OLD'!B9+'106.01 old'!B9+'106.02 old'!B9</f>
        <v>19233861</v>
      </c>
      <c r="C9" s="70">
        <f>'108 old'!C9+'112 old'!C9+'130 old'!C9+'135 OLD'!C9+'140 OLD'!C9+'141 old'!C9+'142 OLD'!C9+'106.01 old'!C9+'106.02 old'!C9</f>
        <v>19097959</v>
      </c>
      <c r="D9" s="70">
        <f>'108 old'!D9+'112 old'!D9+'130 old'!D9+'135 OLD'!D9+'140 OLD'!D9+'141 old'!D9+'142 OLD'!D9+'106.01 old'!D9+'106.02 old'!D9</f>
        <v>7486790</v>
      </c>
      <c r="E9" s="70">
        <f>'108 old'!E9+'112 old'!E9+'130 old'!E9+'135 OLD'!E9+'140 OLD'!E9+'141 old'!E9+'142 OLD'!E9+'106.01 old'!E9+'106.02 old'!E9</f>
        <v>21695361</v>
      </c>
      <c r="F9" s="139">
        <f t="shared" si="0"/>
        <v>2597402</v>
      </c>
      <c r="G9" s="70">
        <f>'108 old'!G9+'112 old'!G9+'130 old'!G9+'135 OLD'!G9+'140 OLD'!G9+'141 old'!G9+'142 OLD'!G9+'106.01 old'!G9+'106.02 old'!G9</f>
        <v>19266482</v>
      </c>
      <c r="H9" s="70">
        <f>'108 old'!H9+'112 old'!H9+'130 old'!H9+'135 OLD'!H9+'140 OLD'!H9+'141 old'!H9+'142 OLD'!H9+'106.01 old'!H9+'106.02 old'!H9</f>
        <v>168523</v>
      </c>
      <c r="I9" s="67">
        <f t="shared" si="1"/>
        <v>0</v>
      </c>
      <c r="K9" s="67" t="s">
        <v>47</v>
      </c>
      <c r="L9" s="140">
        <f>SUM(L6:L7)</f>
        <v>627000</v>
      </c>
      <c r="M9" s="43" t="s">
        <v>113</v>
      </c>
    </row>
    <row r="10" spans="1:14" ht="13.5" thickBot="1">
      <c r="A10" s="71" t="s">
        <v>114</v>
      </c>
      <c r="B10" s="70">
        <f>'106.01 old'!B10+'106.02 old'!B10+'108 old'!B10+'112 old'!B10+'130 old'!B10+'135 OLD'!B10+'140 OLD'!B10+'141 old'!B10+'142 OLD'!B10</f>
        <v>55500</v>
      </c>
      <c r="C10" s="70">
        <f>'106.01 old'!C10+'106.02 old'!C10+'108 old'!C10+'112 old'!C10+'130 old'!C10+'135 OLD'!C10+'140 OLD'!C10+'141 old'!C10+'142 OLD'!C10</f>
        <v>55500</v>
      </c>
      <c r="D10" s="70">
        <f>'106.01 old'!D10+'106.02 old'!D10+'108 old'!D10+'112 old'!D10+'130 old'!D10+'135 OLD'!D10+'140 OLD'!D10+'141 old'!D10+'142 OLD'!D10</f>
        <v>21476</v>
      </c>
      <c r="E10" s="70">
        <f>'106.01 old'!E10+'106.02 old'!E10+'108 old'!E10+'112 old'!E10+'130 old'!E10+'135 OLD'!E10+'140 OLD'!E10+'141 old'!E10+'142 OLD'!E10</f>
        <v>55500</v>
      </c>
      <c r="F10" s="139">
        <f t="shared" si="0"/>
        <v>0</v>
      </c>
      <c r="G10" s="70">
        <f>'106.01 old'!G10+'106.02 old'!G10+'108 old'!G10+'112 old'!G10+'130 old'!G10+'135 OLD'!G10+'140 OLD'!G10+'141 old'!G10+'142 OLD'!G10</f>
        <v>55500</v>
      </c>
      <c r="H10" s="70">
        <f>'106.01 old'!H10+'106.02 old'!H10+'108 old'!H10+'112 old'!H10+'130 old'!H10+'135 OLD'!H10+'140 OLD'!H10+'141 old'!H10+'142 OLD'!H10</f>
        <v>0</v>
      </c>
      <c r="I10" s="67">
        <f t="shared" si="1"/>
        <v>0</v>
      </c>
      <c r="L10" s="141">
        <v>8800418</v>
      </c>
      <c r="M10" s="43" t="s">
        <v>115</v>
      </c>
      <c r="N10" t="s">
        <v>112</v>
      </c>
    </row>
    <row r="11" spans="1:14" ht="13.5" thickTop="1">
      <c r="A11" s="71" t="s">
        <v>258</v>
      </c>
      <c r="B11" s="70">
        <f>'140 OLD'!B12</f>
        <v>0</v>
      </c>
      <c r="C11" s="70">
        <f>'141 old'!C11</f>
        <v>0</v>
      </c>
      <c r="D11" s="70">
        <f>'141 old'!D11</f>
        <v>14</v>
      </c>
      <c r="E11" s="70">
        <f>'141 old'!E11</f>
        <v>0</v>
      </c>
      <c r="F11" s="139">
        <f t="shared" si="0"/>
        <v>0</v>
      </c>
      <c r="G11" s="70">
        <f>'141 old'!G11</f>
        <v>0</v>
      </c>
      <c r="H11" s="70">
        <f>'106.01 old'!H11+'106.02 old'!H11+'108 old'!H11+'112 old'!H11+'130 old'!H11+'135 OLD'!H11+'140 OLD'!H11+'141 old'!H11+'142 OLD'!H11</f>
        <v>0</v>
      </c>
      <c r="I11" s="67"/>
      <c r="L11" s="261"/>
      <c r="M11" s="43"/>
    </row>
    <row r="12" spans="1:14">
      <c r="A12" s="71" t="s">
        <v>116</v>
      </c>
      <c r="B12" s="72">
        <f>'106.01 old'!B12+'106.02 old'!B12+'108 old'!B12+'112 old'!B12+'130 old'!B12+'135 OLD'!B12+'140 OLD'!B12+'141 old'!B12+'142 OLD'!B12</f>
        <v>938316</v>
      </c>
      <c r="C12" s="72">
        <f>'106.01 old'!C12+'106.02 old'!C12+'108 old'!C12+'112 old'!C12+'130 old'!C12+'135 OLD'!C12+'140 OLD'!C12+'141 old'!C12+'142 OLD'!C12</f>
        <v>797916</v>
      </c>
      <c r="D12" s="72">
        <f>'106.01 old'!D12+'106.02 old'!D12+'108 old'!D12+'112 old'!D12+'130 old'!D12+'135 OLD'!D12+'140 OLD'!D12+'141 old'!D12+'142 OLD'!D12</f>
        <v>1496232</v>
      </c>
      <c r="E12" s="72">
        <f>'106.01 old'!E12+'106.02 old'!E12+'108 old'!E12+'112 old'!E12+'130 old'!E12+'135 OLD'!E12+'140 OLD'!E12+'141 old'!E12+'142 OLD'!E12</f>
        <v>876539.63</v>
      </c>
      <c r="F12" s="271">
        <f t="shared" si="0"/>
        <v>78623.63</v>
      </c>
      <c r="G12" s="72">
        <f>'106.01 old'!G12+'106.02 old'!G12+'108 old'!G12+'112 old'!G12+'130 old'!G12+'135 OLD'!G12+'140 OLD'!G12+'141 old'!G12+'142 OLD'!G12</f>
        <v>771816</v>
      </c>
      <c r="H12" s="72">
        <f>'106.01 old'!H12+'106.02 old'!H12+'108 old'!H12+'112 old'!H12+'130 old'!H12+'135 OLD'!H12+'140 OLD'!H12+'141 old'!H12+'142 OLD'!H12</f>
        <v>-26100</v>
      </c>
      <c r="I12" s="67">
        <f t="shared" si="1"/>
        <v>0</v>
      </c>
      <c r="L12" s="43">
        <f>SUM(L9:L10)</f>
        <v>9427418</v>
      </c>
      <c r="M12" s="43"/>
    </row>
    <row r="13" spans="1:14">
      <c r="A13" s="142" t="s">
        <v>117</v>
      </c>
      <c r="B13" s="72">
        <f>SUM(B7:B12)</f>
        <v>29278201.800000001</v>
      </c>
      <c r="C13" s="72">
        <f t="shared" ref="C13:H13" si="2">SUM(C7:C12)</f>
        <v>28346588.800000001</v>
      </c>
      <c r="D13" s="72">
        <f t="shared" si="2"/>
        <v>18097290</v>
      </c>
      <c r="E13" s="72">
        <f t="shared" si="2"/>
        <v>30853024.709999997</v>
      </c>
      <c r="F13" s="72">
        <f t="shared" si="2"/>
        <v>2506435.9099999997</v>
      </c>
      <c r="G13" s="72">
        <f t="shared" si="2"/>
        <v>29144322.800000001</v>
      </c>
      <c r="H13" s="72">
        <f t="shared" si="2"/>
        <v>797734</v>
      </c>
      <c r="I13" s="67">
        <f t="shared" si="1"/>
        <v>0</v>
      </c>
      <c r="L13" s="43"/>
      <c r="M13" s="43"/>
    </row>
    <row r="14" spans="1:14">
      <c r="A14" s="71"/>
      <c r="B14" s="70"/>
      <c r="C14" s="70"/>
      <c r="D14" s="70"/>
      <c r="E14" s="70"/>
      <c r="F14" s="70"/>
      <c r="G14" s="138"/>
      <c r="H14" s="69"/>
      <c r="I14" s="67">
        <f t="shared" si="1"/>
        <v>0</v>
      </c>
      <c r="L14" s="143"/>
      <c r="M14" s="43" t="s">
        <v>115</v>
      </c>
    </row>
    <row r="15" spans="1:14">
      <c r="A15" s="71" t="s">
        <v>118</v>
      </c>
      <c r="B15" s="70"/>
      <c r="C15" s="70"/>
      <c r="D15" s="70"/>
      <c r="E15" s="70"/>
      <c r="F15" s="70"/>
      <c r="G15" s="138"/>
      <c r="H15" s="69"/>
      <c r="I15" s="67">
        <f t="shared" si="1"/>
        <v>0</v>
      </c>
      <c r="L15" s="43"/>
      <c r="M15" s="43"/>
    </row>
    <row r="16" spans="1:14">
      <c r="A16" s="71" t="s">
        <v>119</v>
      </c>
      <c r="B16" s="70">
        <f>'106.01 old'!B16+'106.02 old'!B16+'135 OLD'!B16+'140 OLD'!B16+'141 old'!B16+'142 OLD'!B16</f>
        <v>4178305</v>
      </c>
      <c r="C16" s="70">
        <f>'106.01 old'!C16+'106.02 old'!C16+'135 OLD'!C16+'140 OLD'!C16+'141 old'!C16+'142 OLD'!C16</f>
        <v>3889404</v>
      </c>
      <c r="D16" s="70">
        <f>'106.01 old'!D16+'106.02 old'!D16+'135 OLD'!D16+'140 OLD'!D16+'141 old'!D16+'142 OLD'!D16</f>
        <v>4138538</v>
      </c>
      <c r="E16" s="70">
        <f>'106.01 old'!E16+'106.02 old'!E16+'135 OLD'!E16+'140 OLD'!E16+'141 old'!E16+'142 OLD'!E16</f>
        <v>4138538</v>
      </c>
      <c r="F16" s="139">
        <f t="shared" ref="F16:F21" si="3">E16-C16</f>
        <v>249134</v>
      </c>
      <c r="G16" s="70">
        <f>'106.01 old'!G16+'106.02 old'!G16+'135 OLD'!G16+'140 OLD'!G16+'141 old'!G16+'142 OLD'!G16+'112 old'!G15</f>
        <v>3889404</v>
      </c>
      <c r="H16" s="70">
        <f>'106.01 old'!H16+'106.02 old'!H16+'135 OLD'!H16+'140 OLD'!H16+'141 old'!H16+'142 OLD'!H16</f>
        <v>0</v>
      </c>
      <c r="I16" s="67">
        <f t="shared" si="1"/>
        <v>0</v>
      </c>
      <c r="L16" s="43">
        <v>818200</v>
      </c>
      <c r="M16" s="43"/>
      <c r="N16" t="s">
        <v>120</v>
      </c>
    </row>
    <row r="17" spans="1:14">
      <c r="A17" s="71" t="s">
        <v>121</v>
      </c>
      <c r="B17" s="139">
        <v>0</v>
      </c>
      <c r="C17" s="139">
        <v>0</v>
      </c>
      <c r="D17" s="139">
        <v>0</v>
      </c>
      <c r="E17" s="139">
        <v>0</v>
      </c>
      <c r="F17" s="139">
        <f t="shared" si="3"/>
        <v>0</v>
      </c>
      <c r="G17" s="139">
        <v>0</v>
      </c>
      <c r="H17" s="70" t="e">
        <f>'106.01 old'!H17+'106.02 old'!H17+'135 OLD'!H17+'140 OLD'!H17+'141 old'!H17+'142 OLD'!H17</f>
        <v>#REF!</v>
      </c>
      <c r="I17" s="67" t="e">
        <f t="shared" si="1"/>
        <v>#REF!</v>
      </c>
      <c r="L17" s="43">
        <v>597026</v>
      </c>
      <c r="M17" s="43"/>
      <c r="N17" t="s">
        <v>120</v>
      </c>
    </row>
    <row r="18" spans="1:14" ht="13.5" thickBot="1">
      <c r="A18" s="71" t="s">
        <v>122</v>
      </c>
      <c r="B18" s="70">
        <f>'106.01 old'!B17</f>
        <v>540724</v>
      </c>
      <c r="C18" s="70">
        <f>'106.01 old'!C17</f>
        <v>540724</v>
      </c>
      <c r="D18" s="70">
        <f>'106.01 old'!D17</f>
        <v>405544</v>
      </c>
      <c r="E18" s="70">
        <f>'106.01 old'!E17</f>
        <v>540724</v>
      </c>
      <c r="F18" s="139">
        <f t="shared" si="3"/>
        <v>0</v>
      </c>
      <c r="G18" s="70" t="e">
        <f>'106.01 old'!G17</f>
        <v>#REF!</v>
      </c>
      <c r="H18" s="70" t="e">
        <f>'106.01 old'!H17</f>
        <v>#REF!</v>
      </c>
      <c r="I18" s="67" t="e">
        <f t="shared" si="1"/>
        <v>#REF!</v>
      </c>
      <c r="L18" s="141">
        <f>SUM(L16:L17)</f>
        <v>1415226</v>
      </c>
      <c r="M18" s="43"/>
    </row>
    <row r="19" spans="1:14" ht="13.5" thickTop="1">
      <c r="A19" s="71" t="s">
        <v>123</v>
      </c>
      <c r="B19" s="70">
        <v>0</v>
      </c>
      <c r="C19" s="70">
        <v>0</v>
      </c>
      <c r="D19" s="70">
        <v>0</v>
      </c>
      <c r="E19" s="70">
        <v>0</v>
      </c>
      <c r="F19" s="139">
        <f t="shared" si="3"/>
        <v>0</v>
      </c>
      <c r="G19" s="70">
        <v>0</v>
      </c>
      <c r="H19" s="70">
        <v>0</v>
      </c>
      <c r="I19" s="67">
        <f t="shared" si="1"/>
        <v>0</v>
      </c>
      <c r="K19" t="s">
        <v>47</v>
      </c>
      <c r="L19" s="43"/>
      <c r="M19" s="43"/>
      <c r="N19">
        <v>597026</v>
      </c>
    </row>
    <row r="20" spans="1:14">
      <c r="A20" s="71" t="s">
        <v>124</v>
      </c>
      <c r="B20" s="70">
        <v>0</v>
      </c>
      <c r="C20" s="70">
        <v>0</v>
      </c>
      <c r="D20" s="70">
        <v>0</v>
      </c>
      <c r="E20" s="70">
        <v>0</v>
      </c>
      <c r="F20" s="139">
        <f t="shared" si="3"/>
        <v>0</v>
      </c>
      <c r="G20" s="70">
        <v>0</v>
      </c>
      <c r="H20" s="70">
        <v>0</v>
      </c>
      <c r="I20" s="67">
        <f t="shared" si="1"/>
        <v>0</v>
      </c>
      <c r="L20" s="43">
        <v>6258410</v>
      </c>
      <c r="M20" s="43"/>
      <c r="N20">
        <v>62026</v>
      </c>
    </row>
    <row r="21" spans="1:14">
      <c r="A21" s="71" t="s">
        <v>27</v>
      </c>
      <c r="B21" s="72">
        <f>'106.01 old'!B18+'106.02 old'!B18+'108 old'!B16+'112 old'!B16+'130 old'!B16+'135 OLD'!B18+'140 OLD'!B18+'141 old'!B18+'142 OLD'!B18</f>
        <v>1348537.55</v>
      </c>
      <c r="C21" s="72">
        <f>'106.01 old'!C18+'106.02 old'!C18+'108 old'!C16+'112 old'!C16+'130 old'!C16+'135 OLD'!C18+'140 OLD'!C18+'141 old'!C18+'142 OLD'!C18</f>
        <v>1201269.8400000001</v>
      </c>
      <c r="D21" s="72">
        <f>'106.01 old'!D18+'106.02 old'!D18+'108 old'!D16+'112 old'!D16+'130 old'!D16+'135 OLD'!D18+'140 OLD'!D18+'141 old'!D18+'142 OLD'!D18</f>
        <v>1201269.8400000001</v>
      </c>
      <c r="E21" s="72">
        <f>'106.01 old'!E18+'106.02 old'!E18+'108 old'!E16+'112 old'!E16+'130 old'!E16+'135 OLD'!E18+'140 OLD'!E18+'141 old'!E18+'142 OLD'!E18</f>
        <v>1201269.8400000001</v>
      </c>
      <c r="F21" s="139">
        <f t="shared" si="3"/>
        <v>0</v>
      </c>
      <c r="G21" s="72">
        <f>'106.01 old'!G18+'106.02 old'!G18+'108 old'!G16+'112 old'!G16+'130 old'!G16+'135 OLD'!G18+'140 OLD'!G18+'141 old'!G18+'142 OLD'!G18</f>
        <v>1348537.55</v>
      </c>
      <c r="H21" s="72">
        <f>'106.01 old'!H18+'106.02 old'!H18+'108 old'!H16+'112 old'!H16+'130 old'!H16+'135 OLD'!H18+'140 OLD'!H18+'141 old'!H18+'142 OLD'!H18</f>
        <v>147267.71</v>
      </c>
      <c r="I21" s="67">
        <f t="shared" si="1"/>
        <v>0</v>
      </c>
      <c r="J21" s="67">
        <f>H21-I21</f>
        <v>147267.71</v>
      </c>
      <c r="L21" s="43">
        <v>2084044</v>
      </c>
      <c r="M21" s="43"/>
    </row>
    <row r="22" spans="1:14">
      <c r="A22" s="142" t="s">
        <v>125</v>
      </c>
      <c r="B22" s="72">
        <f t="shared" ref="B22:H22" si="4">SUM(B16:B21)</f>
        <v>6067566.5499999998</v>
      </c>
      <c r="C22" s="72">
        <f t="shared" si="4"/>
        <v>5631397.8399999999</v>
      </c>
      <c r="D22" s="72">
        <f t="shared" si="4"/>
        <v>5745351.8399999999</v>
      </c>
      <c r="E22" s="72">
        <f t="shared" si="4"/>
        <v>5880531.8399999999</v>
      </c>
      <c r="F22" s="72">
        <f t="shared" si="4"/>
        <v>249134</v>
      </c>
      <c r="G22" s="72" t="e">
        <f t="shared" si="4"/>
        <v>#REF!</v>
      </c>
      <c r="H22" s="72" t="e">
        <f t="shared" si="4"/>
        <v>#REF!</v>
      </c>
      <c r="I22" s="67" t="e">
        <f t="shared" si="1"/>
        <v>#REF!</v>
      </c>
      <c r="L22" s="43">
        <v>457964</v>
      </c>
      <c r="M22" s="43"/>
    </row>
    <row r="23" spans="1:14" ht="13.5" thickBot="1">
      <c r="A23" s="142" t="s">
        <v>126</v>
      </c>
      <c r="B23" s="145">
        <f t="shared" ref="B23:H23" si="5">B13+B22</f>
        <v>35345768.350000001</v>
      </c>
      <c r="C23" s="145">
        <f t="shared" si="5"/>
        <v>33977986.640000001</v>
      </c>
      <c r="D23" s="145">
        <f t="shared" si="5"/>
        <v>23842641.84</v>
      </c>
      <c r="E23" s="145">
        <f t="shared" si="5"/>
        <v>36733556.549999997</v>
      </c>
      <c r="F23" s="145">
        <f t="shared" si="5"/>
        <v>2755569.9099999997</v>
      </c>
      <c r="G23" s="145" t="e">
        <f t="shared" si="5"/>
        <v>#REF!</v>
      </c>
      <c r="H23" s="145" t="e">
        <f t="shared" si="5"/>
        <v>#REF!</v>
      </c>
      <c r="I23" s="67" t="e">
        <f t="shared" si="1"/>
        <v>#REF!</v>
      </c>
      <c r="L23" s="146">
        <f>SUM(L20:L22)</f>
        <v>8800418</v>
      </c>
    </row>
    <row r="24" spans="1:14" ht="13.5" thickTop="1">
      <c r="A24" s="142"/>
      <c r="B24" s="147"/>
      <c r="C24" s="147"/>
      <c r="D24" s="147"/>
      <c r="E24" s="147"/>
      <c r="F24" s="147"/>
      <c r="G24" s="144"/>
      <c r="H24" s="69"/>
    </row>
    <row r="25" spans="1:14">
      <c r="A25" s="71"/>
      <c r="B25" s="70"/>
      <c r="C25" s="70"/>
      <c r="D25" s="70"/>
      <c r="E25" s="70"/>
      <c r="F25" s="70"/>
      <c r="G25" s="138"/>
      <c r="H25" s="69"/>
      <c r="L25" s="67">
        <f>F20+F21</f>
        <v>0</v>
      </c>
    </row>
    <row r="26" spans="1:14">
      <c r="A26" s="71" t="s">
        <v>127</v>
      </c>
      <c r="B26" s="70"/>
      <c r="C26" s="70"/>
      <c r="D26" s="70"/>
      <c r="E26" s="70"/>
      <c r="F26" s="70"/>
      <c r="G26" s="138"/>
      <c r="H26" s="69"/>
      <c r="L26" s="67">
        <f>F16+F18</f>
        <v>249134</v>
      </c>
    </row>
    <row r="27" spans="1:14">
      <c r="A27" s="71"/>
      <c r="B27" s="70"/>
      <c r="C27" s="70"/>
      <c r="D27" s="70"/>
      <c r="E27" s="70"/>
      <c r="F27" s="70"/>
      <c r="G27" s="138"/>
      <c r="H27" s="69"/>
    </row>
    <row r="28" spans="1:14">
      <c r="A28" s="71" t="s">
        <v>128</v>
      </c>
      <c r="B28" s="70"/>
      <c r="C28" s="70"/>
      <c r="D28" s="70"/>
      <c r="E28" s="70"/>
      <c r="F28" s="70"/>
      <c r="G28" s="138"/>
      <c r="H28" s="69"/>
    </row>
    <row r="29" spans="1:14">
      <c r="A29" s="71" t="s">
        <v>129</v>
      </c>
      <c r="B29" s="70">
        <f>'106.01 old'!B23+'106.02 old'!B23+'108 old'!B22+'112 old'!B23+'130 old'!B22+'135 OLD'!B23+'140 OLD'!B23+'141 old'!B23+'142 OLD'!B23</f>
        <v>5550461.4000000004</v>
      </c>
      <c r="C29" s="70">
        <f>'106.01 old'!C23+'106.02 old'!C23+'108 old'!C22+'112 old'!C23+'130 old'!C22+'135 OLD'!C23+'140 OLD'!C23+'141 old'!C23+'142 OLD'!C23</f>
        <v>6004645</v>
      </c>
      <c r="D29" s="70">
        <f>'106.01 old'!D23+'106.02 old'!D23+'108 old'!D22+'112 old'!D23+'130 old'!D22+'135 OLD'!D23+'140 OLD'!D23+'141 old'!D23+'142 OLD'!D23</f>
        <v>3323379</v>
      </c>
      <c r="E29" s="70">
        <f>'106.01 old'!E23+'106.02 old'!E23+'108 old'!E22+'112 old'!E23+'130 old'!E22+'135 OLD'!E23+'140 OLD'!E23+'141 old'!E23+'142 OLD'!E23</f>
        <v>6136891.3300000001</v>
      </c>
      <c r="F29" s="70">
        <f>C29-E29</f>
        <v>-132246.33000000007</v>
      </c>
      <c r="G29" s="70">
        <f>'106.01 old'!G23+'106.02 old'!G23+'108 old'!G22+'112 old'!G23+'130 old'!G22+'135 OLD'!G23+'140 OLD'!G23+'141 old'!G23+'142 OLD'!G23</f>
        <v>5548762.4000000004</v>
      </c>
      <c r="H29" s="70">
        <f>'106.01 old'!H23+'106.02 old'!H23+'108 old'!H22+'112 old'!H23+'130 old'!H22+'135 OLD'!H23+'140 OLD'!H23+'141 old'!H23+'142 OLD'!H23</f>
        <v>455882.6</v>
      </c>
      <c r="I29" s="67">
        <f>G29+H29-C29</f>
        <v>0</v>
      </c>
    </row>
    <row r="30" spans="1:14">
      <c r="A30" s="71" t="s">
        <v>12</v>
      </c>
      <c r="B30" s="70">
        <f>'106.01 old'!B24+'106.02 old'!B24+'108 old'!B23+'112 old'!B24+'130 old'!B23+'135 OLD'!B24+'140 OLD'!B24+'141 old'!B24+'142 OLD'!B24</f>
        <v>2298151</v>
      </c>
      <c r="C30" s="70">
        <f>'106.01 old'!C24+'106.02 old'!C24+'108 old'!C23+'112 old'!C24+'130 old'!C23+'135 OLD'!C24+'140 OLD'!C24+'141 old'!C24+'142 OLD'!C24</f>
        <v>2491582</v>
      </c>
      <c r="D30" s="70">
        <f>'106.01 old'!D24+'106.02 old'!D24+'108 old'!D23+'112 old'!D24+'130 old'!D23+'135 OLD'!D24+'140 OLD'!D24+'141 old'!D24+'142 OLD'!D24</f>
        <v>1739926</v>
      </c>
      <c r="E30" s="70">
        <f>'106.01 old'!E24+'106.02 old'!E24+'108 old'!E23+'112 old'!E24+'130 old'!E23+'135 OLD'!E24+'140 OLD'!E24+'141 old'!E24+'142 OLD'!E24</f>
        <v>2334235.6900000004</v>
      </c>
      <c r="F30" s="70">
        <f t="shared" ref="F30:F36" si="6">C30-E30</f>
        <v>157346.30999999959</v>
      </c>
      <c r="G30" s="70">
        <f>'106.01 old'!G24+'106.02 old'!G24+'108 old'!G23+'112 old'!G24+'130 old'!G23+'135 OLD'!G24+'140 OLD'!G24+'141 old'!G24+'142 OLD'!G24</f>
        <v>2302245</v>
      </c>
      <c r="H30" s="70">
        <f>'106.01 old'!H24+'106.02 old'!H24+'108 old'!H23+'112 old'!H24+'130 old'!H23+'135 OLD'!H24+'140 OLD'!H24+'141 old'!H24+'142 OLD'!H24</f>
        <v>189337</v>
      </c>
      <c r="I30" s="67">
        <f t="shared" ref="I30:I37" si="7">G30+H30-C30</f>
        <v>0</v>
      </c>
    </row>
    <row r="31" spans="1:14">
      <c r="A31" s="71" t="s">
        <v>13</v>
      </c>
      <c r="B31" s="70">
        <f>'106.01 old'!B25+'106.02 old'!B25+'108 old'!B24+'112 old'!B25+'130 old'!B24+'135 OLD'!B25+'140 OLD'!B25+'141 old'!B25+'142 OLD'!B25</f>
        <v>2030672.2</v>
      </c>
      <c r="C31" s="70">
        <f>'106.01 old'!C25+'106.02 old'!C25+'108 old'!C24+'112 old'!C25+'130 old'!C24+'135 OLD'!C25+'140 OLD'!C25+'141 old'!C25+'142 OLD'!C25</f>
        <v>2148951</v>
      </c>
      <c r="D31" s="70">
        <f>'106.01 old'!D25+'106.02 old'!D25+'108 old'!D24+'112 old'!D25+'130 old'!D24+'135 OLD'!D25+'140 OLD'!D25+'141 old'!D25+'142 OLD'!D25</f>
        <v>984406.4</v>
      </c>
      <c r="E31" s="70">
        <f>'106.01 old'!E25+'106.02 old'!E25+'108 old'!E24+'112 old'!E25+'130 old'!E24+'135 OLD'!E25+'140 OLD'!E25+'141 old'!E25+'142 OLD'!E25</f>
        <v>2022345.5</v>
      </c>
      <c r="F31" s="70">
        <f t="shared" si="6"/>
        <v>126605.5</v>
      </c>
      <c r="G31" s="70">
        <f>'106.01 old'!G25+'106.02 old'!G25+'108 old'!G24+'112 old'!G25+'130 old'!G24+'135 OLD'!G25+'140 OLD'!G25+'141 old'!G25+'142 OLD'!G25</f>
        <v>2455662</v>
      </c>
      <c r="H31" s="70">
        <f>'106.01 old'!H25+'106.02 old'!H25+'108 old'!H24+'112 old'!H25+'130 old'!H24+'135 OLD'!H25+'140 OLD'!H25+'141 old'!H25+'142 OLD'!H25</f>
        <v>-306711</v>
      </c>
      <c r="I31" s="67">
        <f t="shared" si="7"/>
        <v>0</v>
      </c>
    </row>
    <row r="32" spans="1:14">
      <c r="A32" s="71" t="s">
        <v>14</v>
      </c>
      <c r="B32" s="70">
        <f>'106.01 old'!B26+'106.02 old'!B26+'108 old'!B25+'112 old'!B26+'130 old'!B25+'135 OLD'!B26+'140 OLD'!B26+'141 old'!B26+'142 OLD'!B26</f>
        <v>1988444.4</v>
      </c>
      <c r="C32" s="70">
        <f>'106.01 old'!C26+'106.02 old'!C26+'108 old'!C25+'112 old'!C26+'130 old'!C25+'135 OLD'!C26+'140 OLD'!C26+'141 old'!C26+'142 OLD'!C26</f>
        <v>1516025.3399999999</v>
      </c>
      <c r="D32" s="70">
        <f>'106.01 old'!D26+'106.02 old'!D26+'108 old'!D25+'112 old'!D26+'130 old'!D25+'135 OLD'!D26+'140 OLD'!D26+'141 old'!D26+'142 OLD'!D26</f>
        <v>1006163.4</v>
      </c>
      <c r="E32" s="70">
        <f>'106.01 old'!E26+'106.02 old'!E26+'108 old'!E25+'112 old'!E26+'130 old'!E25+'135 OLD'!E26+'140 OLD'!E26+'141 old'!E26+'142 OLD'!E26</f>
        <v>1411720.74</v>
      </c>
      <c r="F32" s="70">
        <f t="shared" si="6"/>
        <v>104304.59999999986</v>
      </c>
      <c r="G32" s="70">
        <f>'106.01 old'!G26+'106.02 old'!G26+'108 old'!G25+'112 old'!G26+'130 old'!G25+'135 OLD'!G26+'140 OLD'!G26+'141 old'!G26+'142 OLD'!G26</f>
        <v>1757063.7399999998</v>
      </c>
      <c r="H32" s="70">
        <f>'106.01 old'!H26+'106.02 old'!H26+'108 old'!H25+'112 old'!H26+'130 old'!H25+'135 OLD'!H26+'140 OLD'!H26+'141 old'!H26+'142 OLD'!H26</f>
        <v>-241038.39999999991</v>
      </c>
      <c r="I32" s="67">
        <f t="shared" si="7"/>
        <v>0</v>
      </c>
    </row>
    <row r="33" spans="1:12">
      <c r="A33" s="71" t="s">
        <v>130</v>
      </c>
      <c r="B33" s="70">
        <f>'106.01 old'!B27+'106.02 old'!B27+'108 old'!B26+'112 old'!B27+'130 old'!B26+'135 OLD'!B27+'140 OLD'!B27+'141 old'!B27+'142 OLD'!B27</f>
        <v>0</v>
      </c>
      <c r="C33" s="70">
        <f>'106.01 old'!C27+'106.02 old'!C27+'108 old'!C26+'112 old'!C27+'130 old'!C26+'135 OLD'!C27+'140 OLD'!C27+'141 old'!C27+'142 OLD'!C27</f>
        <v>0</v>
      </c>
      <c r="D33" s="70">
        <f>'106.01 old'!D27+'106.02 old'!D27+'108 old'!D26+'112 old'!D27+'130 old'!D26+'135 OLD'!D27+'140 OLD'!D27+'141 old'!D27+'142 OLD'!D27</f>
        <v>1285</v>
      </c>
      <c r="E33" s="70">
        <f>'106.01 old'!E27+'106.02 old'!E27+'108 old'!E26+'112 old'!E27+'130 old'!E26+'135 OLD'!E27+'140 OLD'!E27+'141 old'!E27+'142 OLD'!E27</f>
        <v>0</v>
      </c>
      <c r="F33" s="70">
        <f t="shared" si="6"/>
        <v>0</v>
      </c>
      <c r="G33" s="70">
        <f>'106.01 old'!G27+'106.02 old'!G27+'108 old'!G26+'112 old'!G27+'130 old'!G26+'135 OLD'!G27+'140 OLD'!G27+'141 old'!G27+'142 OLD'!G27</f>
        <v>0</v>
      </c>
      <c r="H33" s="70">
        <f>'106.01 old'!H27+'106.02 old'!H27+'108 old'!H26+'112 old'!H27+'130 old'!H26+'135 OLD'!H27+'140 OLD'!H27+'141 old'!H27+'142 OLD'!H27</f>
        <v>0</v>
      </c>
      <c r="I33" s="67">
        <f t="shared" si="7"/>
        <v>0</v>
      </c>
    </row>
    <row r="34" spans="1:12">
      <c r="A34" s="71" t="s">
        <v>16</v>
      </c>
      <c r="B34" s="70">
        <f>'106.01 old'!B29+'106.02 old'!B29+'108 old'!B33+'112 old'!B29+'130 old'!B28+'135 OLD'!B29+'140 OLD'!B29+'141 old'!B29+'142 OLD'!B29</f>
        <v>122599.31909999999</v>
      </c>
      <c r="C34" s="70">
        <f>'106.01 old'!C29+'106.02 old'!C29+'108 old'!C33+'112 old'!C29+'130 old'!C28+'135 OLD'!C29+'140 OLD'!C29+'141 old'!C29+'142 OLD'!C29</f>
        <v>0</v>
      </c>
      <c r="D34" s="70">
        <f>'106.01 old'!D29+'106.02 old'!D29+'108 old'!D33+'112 old'!D29+'130 old'!D28+'135 OLD'!D29+'140 OLD'!D29+'141 old'!D29+'142 OLD'!D29</f>
        <v>0</v>
      </c>
      <c r="E34" s="70">
        <f>'106.01 old'!E29+'106.02 old'!E29+'108 old'!E33+'112 old'!E29+'130 old'!E28+'135 OLD'!E29+'140 OLD'!E29+'141 old'!E29+'142 OLD'!E29</f>
        <v>0</v>
      </c>
      <c r="F34" s="70">
        <f t="shared" si="6"/>
        <v>0</v>
      </c>
      <c r="G34" s="70">
        <f>'106.01 old'!G29+'106.02 old'!G29+'108 old'!G33+'112 old'!G29+'130 old'!G28+'135 OLD'!G29+'140 OLD'!G29+'141 old'!G29+'142 OLD'!G29</f>
        <v>122599.31909999999</v>
      </c>
      <c r="H34" s="70">
        <f>'106.01 old'!H29+'106.02 old'!H29+'108 old'!H33+'112 old'!H29+'130 old'!H28+'135 OLD'!H29+'140 OLD'!H29+'141 old'!H29+'142 OLD'!H29</f>
        <v>-122599.31909999999</v>
      </c>
      <c r="I34" s="67">
        <f t="shared" si="7"/>
        <v>0</v>
      </c>
    </row>
    <row r="35" spans="1:12">
      <c r="A35" s="71" t="s">
        <v>85</v>
      </c>
      <c r="B35" s="70">
        <f>'108 old'!B28+'130 old'!B29</f>
        <v>11551294.279999999</v>
      </c>
      <c r="C35" s="70">
        <f>'108 old'!C28+'130 old'!C29</f>
        <v>11596311</v>
      </c>
      <c r="D35" s="70">
        <f>'108 old'!D28+'130 old'!D29</f>
        <v>187603</v>
      </c>
      <c r="E35" s="70">
        <f>'108 old'!E28+'130 old'!E29</f>
        <v>12947491.43</v>
      </c>
      <c r="F35" s="70">
        <f t="shared" si="6"/>
        <v>-1351180.4299999997</v>
      </c>
      <c r="G35" s="70">
        <f>'108 old'!G28+'130 old'!G29</f>
        <v>11551294.279999999</v>
      </c>
      <c r="H35" s="70">
        <f>'108 old'!H28+'130 old'!H29</f>
        <v>45016.720000000671</v>
      </c>
      <c r="I35" s="67">
        <f t="shared" si="7"/>
        <v>0</v>
      </c>
    </row>
    <row r="36" spans="1:12">
      <c r="A36" s="71" t="s">
        <v>15</v>
      </c>
      <c r="B36" s="72">
        <f>'106.01 old'!B28+'106.02 old'!B28+'108 old'!B27+'112 old'!B28+'130 old'!B27+'135 OLD'!B28+'140 OLD'!B28+'141 old'!B28+'142 OLD'!B28</f>
        <v>0</v>
      </c>
      <c r="C36" s="72">
        <f>'106.01 old'!C28+'106.02 old'!C28+'108 old'!C27+'112 old'!C28+'130 old'!C27+'135 OLD'!C28+'140 OLD'!C28+'141 old'!C28+'142 OLD'!C28</f>
        <v>30380</v>
      </c>
      <c r="D36" s="72">
        <f>'106.01 old'!D28+'106.02 old'!D28+'108 old'!D27+'112 old'!D28+'130 old'!D27+'135 OLD'!D28+'140 OLD'!D28+'141 old'!D28+'142 OLD'!D28</f>
        <v>0</v>
      </c>
      <c r="E36" s="72">
        <f>'106.01 old'!E28+'106.02 old'!E28+'108 old'!E27+'112 old'!E28+'130 old'!E27+'135 OLD'!E28+'140 OLD'!E28+'141 old'!E28+'142 OLD'!E28</f>
        <v>0</v>
      </c>
      <c r="F36" s="72">
        <f t="shared" si="6"/>
        <v>30380</v>
      </c>
      <c r="G36" s="72">
        <f>'106.01 old'!G28+'106.02 old'!G28+'108 old'!G27+'112 old'!G28+'130 old'!G27+'135 OLD'!G28+'140 OLD'!G28+'141 old'!G28+'142 OLD'!G28</f>
        <v>0</v>
      </c>
      <c r="H36" s="72">
        <f>'106.01 old'!H28+'106.02 old'!H28+'108 old'!H27+'112 old'!H28+'130 old'!H27+'135 OLD'!H28+'140 OLD'!H28+'141 old'!H28+'142 OLD'!H28</f>
        <v>30380</v>
      </c>
      <c r="I36" s="67">
        <f t="shared" si="7"/>
        <v>0</v>
      </c>
    </row>
    <row r="37" spans="1:12">
      <c r="A37" s="142" t="s">
        <v>131</v>
      </c>
      <c r="B37" s="72">
        <f t="shared" ref="B37:H37" si="8">SUM(B29:B36)</f>
        <v>23541622.599100001</v>
      </c>
      <c r="C37" s="72">
        <f t="shared" si="8"/>
        <v>23787894.34</v>
      </c>
      <c r="D37" s="72">
        <f t="shared" si="8"/>
        <v>7242762.8000000007</v>
      </c>
      <c r="E37" s="72">
        <f t="shared" si="8"/>
        <v>24852684.689999998</v>
      </c>
      <c r="F37" s="72">
        <f t="shared" si="8"/>
        <v>-1064790.3500000003</v>
      </c>
      <c r="G37" s="72">
        <f t="shared" si="8"/>
        <v>23737626.739100002</v>
      </c>
      <c r="H37" s="72">
        <f t="shared" si="8"/>
        <v>50267.600900000747</v>
      </c>
      <c r="I37" s="67">
        <f t="shared" si="7"/>
        <v>0</v>
      </c>
    </row>
    <row r="38" spans="1:12">
      <c r="A38" s="71"/>
      <c r="B38" s="70"/>
      <c r="C38" s="70"/>
      <c r="D38" s="70"/>
      <c r="E38" s="70"/>
      <c r="F38" s="70"/>
      <c r="G38" s="70"/>
      <c r="H38" s="70"/>
    </row>
    <row r="39" spans="1:12">
      <c r="A39" s="71" t="s">
        <v>132</v>
      </c>
      <c r="B39" s="70"/>
      <c r="C39" s="70"/>
      <c r="D39" s="70"/>
      <c r="E39" s="70"/>
      <c r="F39" s="70"/>
      <c r="G39" s="70"/>
      <c r="H39" s="70"/>
    </row>
    <row r="40" spans="1:12">
      <c r="A40" s="71" t="s">
        <v>133</v>
      </c>
      <c r="B40" s="70">
        <f>'106.01 old'!B34+'106.02 old'!B34+'135 OLD'!B34+'140 OLD'!B34+'141 old'!B34+'142 OLD'!B34</f>
        <v>7330715.7999999998</v>
      </c>
      <c r="C40" s="70">
        <f>'106.01 old'!C34+'106.02 old'!C34+'135 OLD'!C34+'140 OLD'!C34+'141 old'!C34+'142 OLD'!C34</f>
        <v>4833302.68</v>
      </c>
      <c r="D40" s="70">
        <f>'106.01 old'!D34+'106.02 old'!D34+'135 OLD'!D34+'140 OLD'!D34+'141 old'!D34+'142 OLD'!D34</f>
        <v>5519536</v>
      </c>
      <c r="E40" s="70">
        <f>'106.01 old'!E34+'106.02 old'!E34+'135 OLD'!E34+'140 OLD'!E34+'141 old'!E34+'142 OLD'!E34</f>
        <v>7833798.8899999987</v>
      </c>
      <c r="F40" s="70">
        <f t="shared" ref="F40:F48" si="9">C40-E40</f>
        <v>-3000496.209999999</v>
      </c>
      <c r="G40" s="70">
        <f>'106.01 old'!G34+'106.02 old'!G34+'135 OLD'!G34+'140 OLD'!G34+'141 old'!G34+'142 OLD'!G34</f>
        <v>4833302.68</v>
      </c>
      <c r="H40" s="70">
        <f>'106.01 old'!H34+'106.02 old'!H34+'135 OLD'!H34+'140 OLD'!H34+'141 old'!H34+'142 OLD'!H34</f>
        <v>0</v>
      </c>
      <c r="I40" s="67">
        <f t="shared" ref="I40:I50" si="10">G40+H40-C40</f>
        <v>0</v>
      </c>
    </row>
    <row r="41" spans="1:12">
      <c r="A41" s="71" t="s">
        <v>134</v>
      </c>
      <c r="B41" s="70">
        <f>'106.01 old'!B33+'106.02 old'!B33+'135 OLD'!B33+'140 OLD'!B33+'141 old'!B33+'142 OLD'!B33</f>
        <v>1480142</v>
      </c>
      <c r="C41" s="70">
        <f>'106.01 old'!C33+'106.02 old'!C33+'135 OLD'!C33+'140 OLD'!C33+'141 old'!C33+'142 OLD'!C33</f>
        <v>3358770.98</v>
      </c>
      <c r="D41" s="70">
        <f>'106.01 old'!D33+'106.02 old'!D33+'135 OLD'!D33+'140 OLD'!D33+'141 old'!D33+'142 OLD'!D33</f>
        <v>1110104</v>
      </c>
      <c r="E41" s="70">
        <f>'106.01 old'!E33+'106.02 old'!E33+'135 OLD'!E33+'140 OLD'!E33+'141 old'!E33+'142 OLD'!E33</f>
        <v>1503142</v>
      </c>
      <c r="F41" s="70">
        <f t="shared" si="9"/>
        <v>1855628.98</v>
      </c>
      <c r="G41" s="70">
        <f>'106.01 old'!G33+'106.02 old'!G33+'135 OLD'!G33+'140 OLD'!G33+'141 old'!G33+'142 OLD'!G33</f>
        <v>3358770.98</v>
      </c>
      <c r="H41" s="70">
        <f>'106.01 old'!H33+'106.02 old'!H33+'135 OLD'!H33+'140 OLD'!H33+'141 old'!H33+'142 OLD'!H33</f>
        <v>0</v>
      </c>
      <c r="I41" s="67">
        <f t="shared" si="10"/>
        <v>0</v>
      </c>
      <c r="L41">
        <v>540724</v>
      </c>
    </row>
    <row r="42" spans="1:12">
      <c r="A42" s="71" t="s">
        <v>135</v>
      </c>
      <c r="B42" s="70">
        <v>0</v>
      </c>
      <c r="C42" s="70">
        <v>0</v>
      </c>
      <c r="D42" s="70">
        <v>0</v>
      </c>
      <c r="E42" s="70">
        <v>0</v>
      </c>
      <c r="F42" s="70">
        <f t="shared" si="9"/>
        <v>0</v>
      </c>
      <c r="G42" s="70">
        <v>0</v>
      </c>
      <c r="H42" s="70">
        <v>0</v>
      </c>
      <c r="I42" s="67">
        <f t="shared" si="10"/>
        <v>0</v>
      </c>
      <c r="L42">
        <v>1298159</v>
      </c>
    </row>
    <row r="43" spans="1:12">
      <c r="A43" s="71" t="s">
        <v>136</v>
      </c>
      <c r="C43" s="148"/>
      <c r="E43" s="148"/>
      <c r="F43" s="70">
        <f t="shared" si="9"/>
        <v>0</v>
      </c>
      <c r="G43" s="148"/>
      <c r="H43" s="148"/>
      <c r="I43" s="67">
        <f t="shared" si="10"/>
        <v>0</v>
      </c>
      <c r="L43">
        <f>SUM(L41:L42)</f>
        <v>1838883</v>
      </c>
    </row>
    <row r="44" spans="1:12">
      <c r="A44" s="71" t="s">
        <v>137</v>
      </c>
      <c r="B44" s="70">
        <f>'106.01 old'!B32+'106.02 old'!B32+'135 OLD'!B32+'140 OLD'!B32+'141 old'!B32+'142 OLD'!B32</f>
        <v>31250</v>
      </c>
      <c r="C44" s="70">
        <f>'106.01 old'!C32+'106.02 old'!C32+'135 OLD'!C32+'140 OLD'!C32+'141 old'!C32+'142 OLD'!C32</f>
        <v>0</v>
      </c>
      <c r="D44" s="70">
        <f>'106.01 old'!D32+'106.02 old'!D32+'135 OLD'!D32+'140 OLD'!D32+'141 old'!D32+'142 OLD'!D32</f>
        <v>0</v>
      </c>
      <c r="E44" s="70">
        <f>'106.01 old'!E32+'106.02 old'!E32+'135 OLD'!E32+'140 OLD'!E32+'141 old'!E32+'142 OLD'!E32</f>
        <v>906837</v>
      </c>
      <c r="F44" s="70">
        <f t="shared" si="9"/>
        <v>-906837</v>
      </c>
      <c r="G44" s="70">
        <f>'106.01 old'!G32+'106.02 old'!G32+'135 OLD'!G32+'140 OLD'!G32+'141 old'!G32+'142 OLD'!G32</f>
        <v>31250</v>
      </c>
      <c r="H44" s="70">
        <f>'106.01 old'!H32+'106.02 old'!H32+'135 OLD'!H32+'140 OLD'!H32+'141 old'!H32+'142 OLD'!H32</f>
        <v>-31250</v>
      </c>
      <c r="I44" s="67">
        <f t="shared" si="10"/>
        <v>0</v>
      </c>
    </row>
    <row r="45" spans="1:12">
      <c r="A45" s="71" t="s">
        <v>138</v>
      </c>
      <c r="B45" s="70">
        <v>0</v>
      </c>
      <c r="C45" s="70">
        <v>0</v>
      </c>
      <c r="D45" s="70">
        <v>0</v>
      </c>
      <c r="E45" s="70">
        <v>0</v>
      </c>
      <c r="F45" s="70">
        <f t="shared" si="9"/>
        <v>0</v>
      </c>
      <c r="G45" s="70">
        <v>0</v>
      </c>
      <c r="H45" s="70">
        <v>0</v>
      </c>
      <c r="I45" s="67">
        <f t="shared" si="10"/>
        <v>0</v>
      </c>
    </row>
    <row r="46" spans="1:12">
      <c r="A46" s="71" t="s">
        <v>37</v>
      </c>
      <c r="B46" s="70">
        <f>'108 old'!B34+'112 old'!B34+'130 old'!B34</f>
        <v>0</v>
      </c>
      <c r="C46" s="70">
        <f>'108 old'!C34+'112 old'!C34+'130 old'!C34</f>
        <v>0</v>
      </c>
      <c r="D46" s="70">
        <f>'108 old'!D34+'112 old'!D34+'130 old'!D34</f>
        <v>0</v>
      </c>
      <c r="E46" s="70">
        <f>'108 old'!E34+'112 old'!E34+'130 old'!E34</f>
        <v>0</v>
      </c>
      <c r="F46" s="70">
        <f t="shared" si="9"/>
        <v>0</v>
      </c>
      <c r="G46" s="70">
        <f>'108 old'!G34+'112 old'!G34+'130 old'!G34</f>
        <v>0</v>
      </c>
      <c r="H46" s="70">
        <f>'108 old'!H34+'112 old'!H34+'130 old'!H34</f>
        <v>0</v>
      </c>
      <c r="I46" s="67">
        <f t="shared" si="10"/>
        <v>0</v>
      </c>
    </row>
    <row r="47" spans="1:12">
      <c r="A47" s="71" t="s">
        <v>139</v>
      </c>
      <c r="B47" s="70">
        <v>0</v>
      </c>
      <c r="C47" s="70">
        <v>0</v>
      </c>
      <c r="D47" s="70">
        <v>0</v>
      </c>
      <c r="E47" s="70">
        <v>0</v>
      </c>
      <c r="F47" s="70">
        <f t="shared" si="9"/>
        <v>0</v>
      </c>
      <c r="G47" s="70">
        <v>0</v>
      </c>
      <c r="H47" s="70">
        <v>0</v>
      </c>
      <c r="I47" s="67">
        <f t="shared" si="10"/>
        <v>0</v>
      </c>
    </row>
    <row r="48" spans="1:12">
      <c r="A48" s="71" t="s">
        <v>31</v>
      </c>
      <c r="B48" s="72">
        <f>'108 old'!B32+'112 old'!B33+'130 old'!B33+'135 OLD'!B35+'140 OLD'!B35+'141 old'!B35+'142 OLD'!B35</f>
        <v>2962037.95</v>
      </c>
      <c r="C48" s="72">
        <f>'108 old'!C32+'112 old'!C33+'130 old'!C33+'135 OLD'!C35+'140 OLD'!C35+'141 old'!C35+'142 OLD'!C35</f>
        <v>1594234.58</v>
      </c>
      <c r="D48" s="72">
        <f>'108 old'!D32+'112 old'!D33+'130 old'!D33+'135 OLD'!D35+'140 OLD'!D35+'141 old'!D35+'142 OLD'!D35</f>
        <v>4273333.9800000004</v>
      </c>
      <c r="E48" s="72">
        <f>'108 old'!E32+'112 old'!E33+'130 old'!E33+'135 OLD'!E35+'140 OLD'!E35+'141 old'!E35+'142 OLD'!E35</f>
        <v>1348537.55</v>
      </c>
      <c r="F48" s="72">
        <f t="shared" si="9"/>
        <v>245697.03000000003</v>
      </c>
      <c r="G48" s="72">
        <f>'108 old'!G32+'112 old'!G33+'130 old'!G33+'135 OLD'!G35+'140 OLD'!G35+'141 old'!G35+'142 OLD'!G35</f>
        <v>2962037.95</v>
      </c>
      <c r="H48" s="72">
        <f>'108 old'!H32+'112 old'!H33+'130 old'!H33+'135 OLD'!H35+'140 OLD'!H35+'141 old'!H35+'142 OLD'!H35</f>
        <v>-1367803.3699999999</v>
      </c>
      <c r="I48" s="67">
        <f t="shared" si="10"/>
        <v>0</v>
      </c>
    </row>
    <row r="49" spans="1:14">
      <c r="A49" s="142" t="s">
        <v>140</v>
      </c>
      <c r="B49" s="72">
        <f t="shared" ref="B49:H49" si="11">SUM(B40:B48)</f>
        <v>11804145.75</v>
      </c>
      <c r="C49" s="72">
        <f t="shared" si="11"/>
        <v>9786308.2400000002</v>
      </c>
      <c r="D49" s="72">
        <f t="shared" si="11"/>
        <v>10902973.98</v>
      </c>
      <c r="E49" s="72">
        <f t="shared" si="11"/>
        <v>11592315.439999999</v>
      </c>
      <c r="F49" s="72">
        <f t="shared" si="11"/>
        <v>-1806007.199999999</v>
      </c>
      <c r="G49" s="72">
        <f t="shared" si="11"/>
        <v>11185361.609999999</v>
      </c>
      <c r="H49" s="72">
        <f t="shared" si="11"/>
        <v>-1399053.3699999999</v>
      </c>
      <c r="I49" s="67">
        <f t="shared" si="10"/>
        <v>0</v>
      </c>
    </row>
    <row r="50" spans="1:14" ht="13.5" thickBot="1">
      <c r="A50" s="142" t="s">
        <v>141</v>
      </c>
      <c r="B50" s="145">
        <f t="shared" ref="B50:H50" si="12">B37+B49</f>
        <v>35345768.349100001</v>
      </c>
      <c r="C50" s="145">
        <f t="shared" si="12"/>
        <v>33574202.579999998</v>
      </c>
      <c r="D50" s="145">
        <f t="shared" si="12"/>
        <v>18145736.780000001</v>
      </c>
      <c r="E50" s="145">
        <f t="shared" si="12"/>
        <v>36445000.129999995</v>
      </c>
      <c r="F50" s="145">
        <f t="shared" si="12"/>
        <v>-2870797.5499999993</v>
      </c>
      <c r="G50" s="145">
        <f t="shared" si="12"/>
        <v>34922988.349100001</v>
      </c>
      <c r="H50" s="145">
        <f t="shared" si="12"/>
        <v>-1348785.7690999992</v>
      </c>
      <c r="I50" s="67">
        <f t="shared" si="10"/>
        <v>0</v>
      </c>
      <c r="J50" s="67" t="s">
        <v>58</v>
      </c>
    </row>
    <row r="51" spans="1:14" ht="13.5" thickTop="1">
      <c r="A51" s="71"/>
      <c r="B51" s="203">
        <f t="shared" ref="B51:G51" si="13">B23-B50</f>
        <v>9.0000033378601074E-4</v>
      </c>
      <c r="C51" s="203">
        <f t="shared" si="13"/>
        <v>403784.06000000238</v>
      </c>
      <c r="D51" s="203">
        <f t="shared" si="13"/>
        <v>5696905.0599999987</v>
      </c>
      <c r="E51" s="203">
        <f t="shared" si="13"/>
        <v>288556.42000000179</v>
      </c>
      <c r="F51" s="203" t="s">
        <v>58</v>
      </c>
      <c r="G51" s="203" t="e">
        <f t="shared" si="13"/>
        <v>#REF!</v>
      </c>
      <c r="H51" s="203" t="s">
        <v>58</v>
      </c>
    </row>
    <row r="52" spans="1:14">
      <c r="A52" s="71"/>
      <c r="B52" s="71"/>
      <c r="C52" s="71"/>
      <c r="D52" s="71"/>
      <c r="E52" s="71"/>
      <c r="F52" s="71"/>
      <c r="G52" s="138"/>
      <c r="H52" s="69"/>
    </row>
    <row r="53" spans="1:14" ht="27" customHeight="1">
      <c r="A53" s="1744" t="s">
        <v>142</v>
      </c>
      <c r="B53" s="1744"/>
      <c r="C53" s="1744"/>
      <c r="D53" s="1744"/>
      <c r="E53" s="1744"/>
      <c r="F53" s="1744"/>
      <c r="G53" s="1744"/>
      <c r="H53" s="149"/>
    </row>
    <row r="54" spans="1:14">
      <c r="A54" s="69" t="s">
        <v>143</v>
      </c>
      <c r="B54" s="71"/>
      <c r="C54" s="69"/>
      <c r="D54" s="71"/>
      <c r="E54" s="69"/>
      <c r="F54" s="71"/>
      <c r="G54" s="150"/>
      <c r="H54" s="69"/>
    </row>
    <row r="55" spans="1:14">
      <c r="A55" s="69"/>
      <c r="B55" s="161" t="s">
        <v>58</v>
      </c>
      <c r="C55" s="69"/>
      <c r="D55" s="71"/>
      <c r="E55" s="69"/>
      <c r="F55" s="71"/>
      <c r="G55" s="150"/>
      <c r="H55" s="69"/>
      <c r="L55" s="148"/>
      <c r="M55" s="148"/>
      <c r="N55" s="148"/>
    </row>
    <row r="56" spans="1:14">
      <c r="A56" s="69" t="s">
        <v>172</v>
      </c>
      <c r="B56" s="161">
        <f>'106.01 old'!B20+'106.02 old'!B20+'108 old'!B19+'112 old'!B19+'130 old'!B19+'135 OLD'!B20+'140 OLD'!B20+'141 old'!B20+'142 OLD'!B20</f>
        <v>35345768.350000001</v>
      </c>
      <c r="C56" s="161">
        <f>'106.01 old'!C20+'106.02 old'!C20+'108 old'!C19+'112 old'!C19+'130 old'!C19+'135 OLD'!C20+'140 OLD'!C20+'141 old'!C20+'142 OLD'!C20</f>
        <v>33977986.640000001</v>
      </c>
      <c r="D56" s="161">
        <f>'106.01 old'!D20+'106.02 old'!D20+'108 old'!D19+'112 old'!D19+'130 old'!D19+'135 OLD'!D20+'140 OLD'!D20+'141 old'!D20+'142 OLD'!D20</f>
        <v>23842641.84</v>
      </c>
      <c r="E56" s="161">
        <f>'106.01 old'!E20+'106.02 old'!E20+'108 old'!E19+'112 old'!E19+'130 old'!E19+'135 OLD'!E20+'140 OLD'!E20+'141 old'!E20+'142 OLD'!E20</f>
        <v>36733556.550000004</v>
      </c>
      <c r="F56" s="161">
        <f>'106.01 old'!F20+'106.02 old'!F20+'108 old'!F19+'112 old'!F19+'130 old'!F19+'135 OLD'!F20+'140 OLD'!F20+'141 old'!F20+'142 OLD'!F20</f>
        <v>2755569.91</v>
      </c>
      <c r="G56" s="161" t="e">
        <f>'106.01 old'!G20+'106.02 old'!G20+'108 old'!G19+'112 old'!G19+'130 old'!G19+'135 OLD'!G20+'140 OLD'!G20+'141 old'!G20+'142 OLD'!G20</f>
        <v>#REF!</v>
      </c>
      <c r="H56" s="161" t="e">
        <f>'106.01 old'!H20+'106.02 old'!H20+'108 old'!H19+'112 old'!H19+'130 old'!H19+'135 OLD'!H20+'140 OLD'!H20+'141 old'!H20+'142 OLD'!H20</f>
        <v>#REF!</v>
      </c>
      <c r="L56" s="148"/>
      <c r="M56" s="148"/>
      <c r="N56" s="148"/>
    </row>
    <row r="57" spans="1:14">
      <c r="A57" s="69" t="s">
        <v>1</v>
      </c>
      <c r="B57" s="165">
        <f>B23-B56</f>
        <v>0</v>
      </c>
      <c r="C57" s="165">
        <f t="shared" ref="C57:H57" si="14">C23-C56</f>
        <v>0</v>
      </c>
      <c r="D57" s="165">
        <f t="shared" si="14"/>
        <v>0</v>
      </c>
      <c r="E57" s="165">
        <f t="shared" si="14"/>
        <v>0</v>
      </c>
      <c r="F57" s="165">
        <f t="shared" si="14"/>
        <v>0</v>
      </c>
      <c r="G57" s="165" t="e">
        <f t="shared" si="14"/>
        <v>#REF!</v>
      </c>
      <c r="H57" s="165" t="e">
        <f t="shared" si="14"/>
        <v>#REF!</v>
      </c>
      <c r="L57" s="148"/>
      <c r="M57" s="148"/>
      <c r="N57" s="148"/>
    </row>
    <row r="58" spans="1:14">
      <c r="A58" s="69" t="s">
        <v>25</v>
      </c>
      <c r="B58" s="161">
        <f>'106.01 old'!B37+'106.02 old'!B37+'108 old'!B37+'112 old'!B37+'130 old'!B37+'135 OLD'!B37+'140 OLD'!B37+'141 old'!B37+'142 OLD'!B37</f>
        <v>35345768.349100001</v>
      </c>
      <c r="C58" s="161">
        <f>'106.01 old'!C37+'106.02 old'!C37+'108 old'!C37+'112 old'!C37+'130 old'!C37+'135 OLD'!C37+'140 OLD'!C37+'141 old'!C37+'142 OLD'!C37</f>
        <v>33574202.579999998</v>
      </c>
      <c r="D58" s="161">
        <f>'106.01 old'!D37+'106.02 old'!D37+'108 old'!D37+'112 old'!D37+'130 old'!D37+'135 OLD'!D37+'140 OLD'!D37+'141 old'!D37+'142 OLD'!D37</f>
        <v>18145736.780000001</v>
      </c>
      <c r="E58" s="161">
        <f>'106.01 old'!E37+'106.02 old'!E37+'108 old'!E37+'112 old'!E37+'130 old'!E37+'135 OLD'!E37+'140 OLD'!E37+'141 old'!E37+'142 OLD'!E37</f>
        <v>36445000.130000003</v>
      </c>
      <c r="F58" s="161">
        <f>'106.01 old'!F37+'106.02 old'!F37+'108 old'!F37+'112 old'!F37+'130 old'!F37+'135 OLD'!F37+'140 OLD'!F37+'141 old'!F37+'142 OLD'!F37</f>
        <v>-2870797.5499999989</v>
      </c>
      <c r="G58" s="161">
        <f>'106.01 old'!G37+'106.02 old'!G37+'108 old'!G37+'112 old'!G37+'130 old'!G37+'135 OLD'!G37+'140 OLD'!G37+'141 old'!G37+'142 OLD'!G37</f>
        <v>34922988.349100001</v>
      </c>
      <c r="H58" s="161">
        <f>'106.01 old'!H37+'106.02 old'!H37+'108 old'!H37+'112 old'!H37+'130 old'!H37+'135 OLD'!H37+'140 OLD'!H37+'141 old'!H37+'142 OLD'!H37</f>
        <v>-1317535.7690999995</v>
      </c>
      <c r="L58" s="148"/>
      <c r="M58" s="148"/>
      <c r="N58" s="148"/>
    </row>
    <row r="59" spans="1:14">
      <c r="A59" s="69" t="s">
        <v>1</v>
      </c>
      <c r="B59" s="166">
        <f>B50-B58</f>
        <v>0</v>
      </c>
      <c r="C59" s="166">
        <f t="shared" ref="C59:H59" si="15">C50-C58</f>
        <v>0</v>
      </c>
      <c r="D59" s="166">
        <f t="shared" si="15"/>
        <v>0</v>
      </c>
      <c r="E59" s="166">
        <f t="shared" si="15"/>
        <v>0</v>
      </c>
      <c r="F59" s="166">
        <f t="shared" si="15"/>
        <v>0</v>
      </c>
      <c r="G59" s="166">
        <f t="shared" si="15"/>
        <v>0</v>
      </c>
      <c r="H59" s="166">
        <f t="shared" si="15"/>
        <v>-31249.999999999767</v>
      </c>
      <c r="L59" s="148"/>
      <c r="M59" s="148"/>
      <c r="N59" s="148"/>
    </row>
    <row r="60" spans="1:14">
      <c r="A60" s="69"/>
      <c r="B60" s="71"/>
      <c r="C60" s="69"/>
      <c r="D60" s="71"/>
      <c r="E60" s="69"/>
      <c r="F60" s="71"/>
      <c r="G60" s="150"/>
      <c r="H60" s="69"/>
      <c r="L60" s="148"/>
      <c r="M60" s="148"/>
      <c r="N60" s="148"/>
    </row>
    <row r="61" spans="1:14" s="148" customFormat="1">
      <c r="A61" s="148" t="s">
        <v>144</v>
      </c>
      <c r="B61" s="151">
        <f>B23-B50</f>
        <v>9.0000033378601074E-4</v>
      </c>
      <c r="C61" s="151"/>
      <c r="D61" s="151">
        <f>D23-D50</f>
        <v>5696905.0599999987</v>
      </c>
      <c r="E61" s="152" t="s">
        <v>145</v>
      </c>
      <c r="F61" s="151">
        <f>F23-F50</f>
        <v>5626367.459999999</v>
      </c>
      <c r="G61" s="153"/>
      <c r="L61"/>
      <c r="M61"/>
      <c r="N61"/>
    </row>
    <row r="62" spans="1:14">
      <c r="A62" t="s">
        <v>146</v>
      </c>
      <c r="B62" s="151"/>
    </row>
    <row r="64" spans="1:14">
      <c r="A64" t="s">
        <v>147</v>
      </c>
      <c r="C64" t="s">
        <v>148</v>
      </c>
      <c r="D64" s="148">
        <v>7443413</v>
      </c>
      <c r="E64" t="s">
        <v>149</v>
      </c>
      <c r="F64" s="139">
        <v>7775835</v>
      </c>
      <c r="G64" s="154" t="s">
        <v>148</v>
      </c>
    </row>
    <row r="65" spans="1:7">
      <c r="A65" t="s">
        <v>150</v>
      </c>
      <c r="C65" s="43">
        <f>SUM(D64:D65)</f>
        <v>15129555</v>
      </c>
      <c r="D65" s="148">
        <v>7686142</v>
      </c>
      <c r="E65" t="s">
        <v>151</v>
      </c>
      <c r="F65" s="139">
        <v>6613248</v>
      </c>
      <c r="G65" s="43">
        <f>SUM(F64:F65)</f>
        <v>14389083</v>
      </c>
    </row>
    <row r="66" spans="1:7">
      <c r="C66" s="43">
        <f>SUM(D64:D66)</f>
        <v>25952715</v>
      </c>
      <c r="D66" s="155">
        <v>10823160</v>
      </c>
      <c r="E66" t="s">
        <v>152</v>
      </c>
      <c r="F66" s="139">
        <v>10975352</v>
      </c>
      <c r="G66" s="43">
        <f>SUM(F64:F66)</f>
        <v>25364435</v>
      </c>
    </row>
    <row r="67" spans="1:7">
      <c r="C67" s="43"/>
      <c r="D67" s="155">
        <v>0</v>
      </c>
      <c r="E67" t="s">
        <v>153</v>
      </c>
      <c r="F67" s="139">
        <v>0</v>
      </c>
      <c r="G67" s="43">
        <v>0</v>
      </c>
    </row>
    <row r="68" spans="1:7">
      <c r="C68" s="43">
        <f>SUM(D64:D68)</f>
        <v>26132996</v>
      </c>
      <c r="D68" s="148">
        <v>180281</v>
      </c>
      <c r="E68" t="s">
        <v>154</v>
      </c>
      <c r="F68" s="139">
        <v>158056</v>
      </c>
      <c r="G68" s="43">
        <f>SUM(F64:F68)</f>
        <v>25522491</v>
      </c>
    </row>
    <row r="69" spans="1:7">
      <c r="C69" s="43">
        <f>SUM(D64:D69)</f>
        <v>26759281</v>
      </c>
      <c r="D69" s="148">
        <v>626285</v>
      </c>
      <c r="E69" t="s">
        <v>155</v>
      </c>
      <c r="F69" s="139">
        <f>531400+17870</f>
        <v>549270</v>
      </c>
      <c r="G69" s="43">
        <f>SUM(F64:F69)</f>
        <v>26071761</v>
      </c>
    </row>
    <row r="70" spans="1:7" ht="13.5" thickBot="1">
      <c r="C70" s="43"/>
      <c r="D70" s="155">
        <v>0</v>
      </c>
      <c r="E70" s="44" t="s">
        <v>156</v>
      </c>
      <c r="F70" s="156">
        <f>SUM(F64:F69)</f>
        <v>26071761</v>
      </c>
      <c r="G70" s="43"/>
    </row>
    <row r="71" spans="1:7" ht="13.5" thickTop="1">
      <c r="C71" s="43"/>
      <c r="E71" s="157" t="s">
        <v>157</v>
      </c>
      <c r="F71" s="151">
        <f>F70-F50</f>
        <v>28942558.550000001</v>
      </c>
    </row>
    <row r="73" spans="1:7">
      <c r="C73" s="1745" t="s">
        <v>158</v>
      </c>
      <c r="D73" s="1745"/>
      <c r="E73" s="1745"/>
      <c r="F73" s="1745"/>
      <c r="G73" s="1745"/>
    </row>
    <row r="74" spans="1:7">
      <c r="C74" t="s">
        <v>148</v>
      </c>
      <c r="D74" s="139">
        <v>11985675</v>
      </c>
      <c r="E74" t="s">
        <v>149</v>
      </c>
      <c r="F74" s="139">
        <v>0</v>
      </c>
      <c r="G74" s="154" t="s">
        <v>148</v>
      </c>
    </row>
    <row r="75" spans="1:7">
      <c r="C75" s="43">
        <f>SUM(D74:D75)</f>
        <v>21710603</v>
      </c>
      <c r="D75" s="139">
        <v>9724928</v>
      </c>
      <c r="E75" t="s">
        <v>151</v>
      </c>
      <c r="F75" s="139">
        <v>0</v>
      </c>
      <c r="G75" s="43">
        <f>SUM(F74:F75)</f>
        <v>0</v>
      </c>
    </row>
    <row r="76" spans="1:7">
      <c r="C76" s="43">
        <f>SUM(D74:D76)</f>
        <v>31576023</v>
      </c>
      <c r="D76" s="158">
        <v>9865420</v>
      </c>
      <c r="E76" t="s">
        <v>152</v>
      </c>
      <c r="F76" s="139">
        <v>0</v>
      </c>
      <c r="G76" s="43">
        <f>SUM(F74:F76)</f>
        <v>0</v>
      </c>
    </row>
    <row r="77" spans="1:7">
      <c r="C77" s="43"/>
      <c r="D77" s="158">
        <v>0</v>
      </c>
      <c r="E77" t="s">
        <v>153</v>
      </c>
      <c r="F77" s="139">
        <v>0</v>
      </c>
      <c r="G77" s="43">
        <v>0</v>
      </c>
    </row>
    <row r="78" spans="1:7">
      <c r="C78" s="43">
        <f>SUM(D74:D78)</f>
        <v>31641223</v>
      </c>
      <c r="D78" s="139">
        <v>65200</v>
      </c>
      <c r="E78" t="s">
        <v>154</v>
      </c>
      <c r="F78" s="139">
        <v>0</v>
      </c>
      <c r="G78" s="43">
        <f>SUM(F74:F78)</f>
        <v>0</v>
      </c>
    </row>
    <row r="79" spans="1:7">
      <c r="C79" s="43">
        <f>SUM(D74:D79)</f>
        <v>32160580</v>
      </c>
      <c r="D79" s="139">
        <v>519357</v>
      </c>
      <c r="E79" t="s">
        <v>155</v>
      </c>
      <c r="F79" s="139">
        <v>0</v>
      </c>
      <c r="G79" s="43">
        <f>SUM(F74:F79)</f>
        <v>0</v>
      </c>
    </row>
    <row r="80" spans="1:7" ht="13.5" thickBot="1">
      <c r="C80" s="43"/>
      <c r="D80" s="155">
        <v>0</v>
      </c>
      <c r="E80" s="44" t="s">
        <v>156</v>
      </c>
      <c r="F80" s="156">
        <f>SUM(F74:F79)</f>
        <v>0</v>
      </c>
      <c r="G80" s="43"/>
    </row>
    <row r="81" spans="3:6" ht="13.5" thickTop="1">
      <c r="C81" s="43"/>
      <c r="E81" s="157"/>
      <c r="F81" s="151">
        <v>0</v>
      </c>
    </row>
  </sheetData>
  <customSheetViews>
    <customSheetView guid="{C8E99144-FF29-42D8-8D33-2038AA9D760E}" scale="75" showPageBreaks="1" printArea="1" view="pageBreakPreview" showRuler="0" topLeftCell="A49">
      <selection activeCell="K53" sqref="K53"/>
      <colBreaks count="1" manualBreakCount="1">
        <brk id="8" max="1048575" man="1"/>
      </colBreaks>
      <pageMargins left="0" right="0" top="0.5" bottom="0.5" header="0.5" footer="0.5"/>
      <printOptions horizontalCentered="1"/>
      <pageSetup scale="72" orientation="landscape" r:id="rId1"/>
      <headerFooter alignWithMargins="0"/>
    </customSheetView>
    <customSheetView guid="{7FD41845-6BD4-448F-810C-049EFA55EC1B}" scale="75" showPageBreaks="1" view="pageBreakPreview" showRuler="0" topLeftCell="A40">
      <selection activeCell="G18" sqref="G18"/>
      <pageMargins left="0" right="0" top="0.5" bottom="0.5" header="0.5" footer="0.5"/>
      <printOptions horizontalCentered="1"/>
      <pageSetup scale="84" orientation="landscape" r:id="rId2"/>
      <headerFooter alignWithMargins="0"/>
    </customSheetView>
    <customSheetView guid="{8B0AB125-4209-45BF-9ABD-74BE01FD7C48}" scale="75" showPageBreaks="1" view="pageBreakPreview" showRuler="0" topLeftCell="A40">
      <selection activeCell="G18" sqref="G18"/>
      <pageMargins left="0" right="0" top="0.5" bottom="0.5" header="0.5" footer="0.5"/>
      <printOptions horizontalCentered="1"/>
      <pageSetup scale="84" orientation="landscape" r:id="rId3"/>
      <headerFooter alignWithMargins="0"/>
    </customSheetView>
  </customSheetViews>
  <mergeCells count="2">
    <mergeCell ref="A53:G53"/>
    <mergeCell ref="C73:G73"/>
  </mergeCells>
  <phoneticPr fontId="0" type="noConversion"/>
  <printOptions horizontalCentered="1"/>
  <pageMargins left="0" right="0" top="0.5" bottom="0.5" header="0.5" footer="0.5"/>
  <pageSetup scale="84" orientation="landscape" r:id="rId4"/>
  <headerFooter alignWithMargins="0"/>
  <legacyDrawing r:id="rId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indexed="20"/>
    <pageSetUpPr fitToPage="1"/>
  </sheetPr>
  <dimension ref="A1:H131"/>
  <sheetViews>
    <sheetView showRuler="0" view="pageBreakPreview" zoomScale="80" zoomScaleNormal="100" workbookViewId="0">
      <pane xSplit="1" ySplit="4" topLeftCell="B20" activePane="bottomRight" state="frozen"/>
      <selection activeCell="B2" sqref="B2:G2"/>
      <selection pane="topRight" activeCell="B2" sqref="B2:G2"/>
      <selection pane="bottomLeft" activeCell="B2" sqref="B2:G2"/>
      <selection pane="bottomRight" activeCell="B2" sqref="B2:G2"/>
    </sheetView>
  </sheetViews>
  <sheetFormatPr defaultColWidth="6.85546875" defaultRowHeight="12.75"/>
  <cols>
    <col min="1" max="1" width="41.28515625" style="1" customWidth="1"/>
    <col min="2" max="2" width="16.28515625" style="1" customWidth="1"/>
    <col min="3" max="3" width="15.42578125" style="1" bestFit="1" customWidth="1"/>
    <col min="4" max="4" width="13.140625" style="1" bestFit="1" customWidth="1"/>
    <col min="5" max="5" width="15.85546875" style="31" bestFit="1" customWidth="1"/>
    <col min="6" max="6" width="15.5703125" style="1" customWidth="1"/>
    <col min="7" max="7" width="16.140625" style="1" customWidth="1"/>
    <col min="8" max="8" width="13" style="90" customWidth="1"/>
    <col min="9" max="16384" width="6.85546875" style="1"/>
  </cols>
  <sheetData>
    <row r="1" spans="1:8" ht="18">
      <c r="A1" s="1746" t="s">
        <v>46</v>
      </c>
      <c r="B1" s="1746"/>
      <c r="C1" s="1746"/>
      <c r="D1" s="1746"/>
      <c r="E1" s="1746"/>
      <c r="F1" s="1746"/>
      <c r="G1" s="1746"/>
      <c r="H1" s="1746"/>
    </row>
    <row r="2" spans="1:8" ht="15" customHeight="1">
      <c r="A2" s="1747" t="s">
        <v>208</v>
      </c>
      <c r="B2" s="1747"/>
      <c r="C2" s="1747"/>
      <c r="D2" s="1747"/>
      <c r="E2" s="1747"/>
      <c r="F2" s="1747"/>
      <c r="G2" s="1747"/>
      <c r="H2" s="1747"/>
    </row>
    <row r="3" spans="1:8" ht="12.75" customHeight="1">
      <c r="A3" s="86"/>
      <c r="B3" s="86"/>
      <c r="C3" s="86" t="s">
        <v>64</v>
      </c>
      <c r="D3" s="91" t="s">
        <v>64</v>
      </c>
      <c r="E3" s="86"/>
      <c r="F3" s="91" t="s">
        <v>86</v>
      </c>
      <c r="G3" s="86"/>
      <c r="H3" s="91" t="s">
        <v>110</v>
      </c>
    </row>
    <row r="4" spans="1:8" ht="39" thickBot="1">
      <c r="A4" s="3" t="s">
        <v>0</v>
      </c>
      <c r="B4" s="5" t="s">
        <v>314</v>
      </c>
      <c r="C4" s="4" t="s">
        <v>315</v>
      </c>
      <c r="D4" s="4" t="s">
        <v>217</v>
      </c>
      <c r="E4" s="5" t="s">
        <v>316</v>
      </c>
      <c r="F4" s="129" t="s">
        <v>1</v>
      </c>
      <c r="G4" s="5" t="s">
        <v>317</v>
      </c>
      <c r="H4" s="129" t="s">
        <v>1</v>
      </c>
    </row>
    <row r="5" spans="1:8">
      <c r="A5" s="125" t="s">
        <v>107</v>
      </c>
      <c r="B5" s="2"/>
      <c r="C5" s="2"/>
      <c r="D5" s="2"/>
      <c r="E5" s="7"/>
      <c r="F5" s="8"/>
      <c r="G5" s="10"/>
    </row>
    <row r="6" spans="1:8">
      <c r="A6" s="11" t="s">
        <v>2</v>
      </c>
      <c r="B6" s="11"/>
      <c r="C6" s="12"/>
      <c r="D6" s="13"/>
      <c r="E6" s="14"/>
      <c r="F6" s="15"/>
      <c r="G6" s="9"/>
    </row>
    <row r="7" spans="1:8">
      <c r="A7" s="16" t="s">
        <v>3</v>
      </c>
      <c r="B7" s="12">
        <f>'236.04 OLD'!B8+'236.05 old'!B8+'236.06 old'!B8+'243 OLD'!B8+'288 old'!B8+'236.07 old'!B8+'236.08 old'!B8</f>
        <v>0</v>
      </c>
      <c r="C7" s="12">
        <f>'236.04 OLD'!C8+'236.05 old'!C8+'236.06 old'!C8+'243 OLD'!C8+'288 old'!C8+'236.07 old'!C8+'236.08 old'!C8</f>
        <v>0</v>
      </c>
      <c r="D7" s="12">
        <f>'236.04 OLD'!D8+'236.05 old'!D8+'236.06 old'!D8+'243 OLD'!D8+'288 old'!D8+'236.07 old'!D8+'236.08 old'!D8</f>
        <v>0</v>
      </c>
      <c r="E7" s="12">
        <f>'236.04 OLD'!E8+'236.05 old'!E8+'236.06 old'!E8+'243 OLD'!E8+'288 old'!E8+'236.07 old'!E8+'236.08 old'!E8</f>
        <v>0</v>
      </c>
      <c r="F7" s="60">
        <f t="shared" ref="F7:F14" si="0">E7-C7</f>
        <v>0</v>
      </c>
      <c r="G7" s="12">
        <f>'236.04 OLD'!G8+'236.05 old'!G8+'236.06 old'!G8+'243 OLD'!G8+'288 old'!G8+'236.07 old'!G8+'236.08 old'!G8</f>
        <v>0</v>
      </c>
      <c r="H7" s="90">
        <f t="shared" ref="H7:H14" si="1">G7-C7</f>
        <v>0</v>
      </c>
    </row>
    <row r="8" spans="1:8">
      <c r="A8" s="16" t="s">
        <v>4</v>
      </c>
      <c r="B8" s="12">
        <f>'236.04 OLD'!B9+'236.05 old'!B9+'236.06 old'!B9+'243 OLD'!B9+'288 old'!B9+'236.07 old'!B9++'236.08 old'!B9</f>
        <v>0</v>
      </c>
      <c r="C8" s="12">
        <f>'236.04 OLD'!C9+'236.05 old'!C9+'236.06 old'!C9+'243 OLD'!C9+'288 old'!C9+'236.07 old'!C9++'236.08 old'!C9</f>
        <v>0</v>
      </c>
      <c r="D8" s="12">
        <f>'236.04 OLD'!D9+'236.05 old'!D9+'236.06 old'!D9+'243 OLD'!D9+'288 old'!D9+'236.07 old'!D9++'236.08 old'!D9</f>
        <v>0</v>
      </c>
      <c r="E8" s="12">
        <f>'236.04 OLD'!E9+'236.05 old'!E9+'236.06 old'!E9+'243 OLD'!E9+'288 old'!E9+'236.07 old'!E9++'236.08 old'!E9</f>
        <v>0</v>
      </c>
      <c r="F8" s="60">
        <f t="shared" si="0"/>
        <v>0</v>
      </c>
      <c r="G8" s="12">
        <f>'236.04 OLD'!G9+'236.05 old'!G9+'236.06 old'!G9+'243 OLD'!G9+'288 old'!G9+'236.07 old'!G9++'236.08 old'!G9</f>
        <v>0</v>
      </c>
      <c r="H8" s="90">
        <f t="shared" si="1"/>
        <v>0</v>
      </c>
    </row>
    <row r="9" spans="1:8">
      <c r="A9" s="16" t="s">
        <v>5</v>
      </c>
      <c r="B9" s="12">
        <f>'236.04 OLD'!B10+'236.05 old'!B10+'236.06 old'!B10+'243 OLD'!B10+'288 old'!B10+'236.07 old'!B10+'236.08 old'!B10</f>
        <v>0</v>
      </c>
      <c r="C9" s="12">
        <f>'236.04 OLD'!C10+'236.05 old'!C10+'236.06 old'!C10+'243 OLD'!C10+'288 old'!C10+'236.07 old'!C10+'236.08 old'!C10</f>
        <v>0</v>
      </c>
      <c r="D9" s="12">
        <f>'236.04 OLD'!D10+'236.05 old'!D10+'236.06 old'!D10+'243 OLD'!D10+'288 old'!D10+'236.07 old'!D10+'236.08 old'!D10</f>
        <v>0</v>
      </c>
      <c r="E9" s="12">
        <f>'236.04 OLD'!E10+'236.05 old'!E10+'236.06 old'!E10+'243 OLD'!E10+'288 old'!E10+'236.07 old'!E10+'236.08 old'!E10</f>
        <v>0</v>
      </c>
      <c r="F9" s="60">
        <f t="shared" si="0"/>
        <v>0</v>
      </c>
      <c r="G9" s="12">
        <f>'236.04 OLD'!G10+'236.05 old'!G10+'236.06 old'!G10+'243 OLD'!G10+'288 old'!G10+'236.07 old'!G10+'236.08 old'!G10</f>
        <v>0</v>
      </c>
      <c r="H9" s="90">
        <f t="shared" si="1"/>
        <v>0</v>
      </c>
    </row>
    <row r="10" spans="1:8" ht="12.75" customHeight="1">
      <c r="A10" s="16" t="s">
        <v>6</v>
      </c>
      <c r="B10" s="12">
        <f>'236.04 OLD'!B11+'236.05 old'!B11+'236.06 old'!B11+'243 OLD'!B11+'288 old'!B11+'236.07 old'!B11+'236.08 old'!B11</f>
        <v>0</v>
      </c>
      <c r="C10" s="12">
        <f>'236.04 OLD'!C11+'236.05 old'!C11+'236.06 old'!C11+'243 OLD'!C11+'288 old'!C11+'236.07 old'!C11+'236.08 old'!C11</f>
        <v>0</v>
      </c>
      <c r="D10" s="12">
        <f>'236.04 OLD'!D11+'236.05 old'!D11+'236.06 old'!D11+'243 OLD'!D11+'288 old'!D11+'236.07 old'!D11+'236.08 old'!D11</f>
        <v>0</v>
      </c>
      <c r="E10" s="12">
        <f>'236.04 OLD'!E11+'236.05 old'!E11+'236.06 old'!E11+'243 OLD'!E11+'288 old'!E11+'236.07 old'!E11+'236.08 old'!E11</f>
        <v>0</v>
      </c>
      <c r="F10" s="60">
        <f t="shared" si="0"/>
        <v>0</v>
      </c>
      <c r="G10" s="12">
        <f>'236.04 OLD'!G11+'236.05 old'!G11+'236.06 old'!G11+'243 OLD'!G11+'288 old'!G11+'236.07 old'!G11+'236.08 old'!G11</f>
        <v>0</v>
      </c>
      <c r="H10" s="90">
        <f t="shared" si="1"/>
        <v>0</v>
      </c>
    </row>
    <row r="11" spans="1:8" ht="12.75" customHeight="1">
      <c r="A11" s="16" t="s">
        <v>7</v>
      </c>
      <c r="B11" s="12">
        <f>'236.04 OLD'!B12+'236.05 old'!B12+'236.06 old'!B12+'243 OLD'!B12+'288 old'!B12+'236.07 old'!B12+'236.08 old'!B12</f>
        <v>0</v>
      </c>
      <c r="C11" s="12">
        <f>'236.04 OLD'!C12+'236.05 old'!C12+'236.06 old'!C12+'243 OLD'!C12+'288 old'!C12+'236.07 old'!C12+'236.08 old'!C12</f>
        <v>0</v>
      </c>
      <c r="D11" s="12">
        <f>'236.04 OLD'!D12+'236.05 old'!D12+'236.06 old'!D12+'243 OLD'!D12+'288 old'!D12+'236.07 old'!D12+'236.08 old'!D12</f>
        <v>0</v>
      </c>
      <c r="E11" s="12">
        <f>'236.04 OLD'!E12+'236.05 old'!E12+'236.06 old'!E12+'243 OLD'!E12+'288 old'!E12+'236.07 old'!E12+'236.08 old'!E12</f>
        <v>0</v>
      </c>
      <c r="F11" s="60">
        <f t="shared" si="0"/>
        <v>0</v>
      </c>
      <c r="G11" s="12">
        <f>'236.04 OLD'!G12+'236.05 old'!G12+'236.06 old'!G12+'243 OLD'!G12+'288 old'!G12+'236.07 old'!G12+'236.08 old'!G12</f>
        <v>0</v>
      </c>
      <c r="H11" s="90">
        <f t="shared" si="1"/>
        <v>0</v>
      </c>
    </row>
    <row r="12" spans="1:8" ht="12.75" customHeight="1">
      <c r="A12" s="16" t="s">
        <v>39</v>
      </c>
      <c r="B12" s="12">
        <f>'236.04 OLD'!B13+'236.05 old'!B13+'236.06 old'!B13+'243 OLD'!B13+'288 old'!B13+'236.07 old'!B13+'236.08 old'!B13</f>
        <v>0</v>
      </c>
      <c r="C12" s="12">
        <f>'236.04 OLD'!C13+'236.05 old'!C13+'236.06 old'!C13+'243 OLD'!C13+'288 old'!C13+'236.07 old'!C13+'236.08 old'!C13</f>
        <v>0</v>
      </c>
      <c r="D12" s="12">
        <f>'236.04 OLD'!D13+'236.05 old'!D13+'236.06 old'!D13+'243 OLD'!D13+'288 old'!D13+'236.07 old'!D13+'236.08 old'!D13</f>
        <v>0</v>
      </c>
      <c r="E12" s="12">
        <f>'236.04 OLD'!E13+'236.05 old'!E13+'236.06 old'!E13+'243 OLD'!E13+'288 old'!E13+'236.07 old'!E13+'236.08 old'!E13</f>
        <v>0</v>
      </c>
      <c r="F12" s="60">
        <f t="shared" si="0"/>
        <v>0</v>
      </c>
      <c r="G12" s="12">
        <f>'236.04 OLD'!G13+'236.05 old'!G13+'236.06 old'!G13+'243 OLD'!G13+'288 old'!G13+'236.07 old'!G13+'236.08 old'!G13</f>
        <v>0</v>
      </c>
      <c r="H12" s="90">
        <f>G12-C12</f>
        <v>0</v>
      </c>
    </row>
    <row r="13" spans="1:8">
      <c r="A13" s="125" t="s">
        <v>92</v>
      </c>
      <c r="B13" s="12">
        <f>'236.04 OLD'!B14+'236.05 old'!B14+'236.06 old'!B14+'243 OLD'!B14+'288 old'!B14+'236.07 old'!B14+'236.08 old'!B14</f>
        <v>0</v>
      </c>
      <c r="C13" s="12">
        <f>'236.04 OLD'!C14+'236.05 old'!C14+'236.06 old'!C14+'243 OLD'!C14+'288 old'!C14+'236.07 old'!C14+'236.08 old'!C14</f>
        <v>1100</v>
      </c>
      <c r="D13" s="12">
        <f>'236.04 OLD'!D14+'236.05 old'!D14+'236.06 old'!D14+'243 OLD'!D14+'288 old'!D14+'236.07 old'!D14+'236.08 old'!D14</f>
        <v>191</v>
      </c>
      <c r="E13" s="12">
        <f>'236.04 OLD'!E14+'236.05 old'!E14+'236.06 old'!E14+'243 OLD'!E14+'288 old'!E14+'236.07 old'!E14+'236.08 old'!E14</f>
        <v>132236</v>
      </c>
      <c r="F13" s="60">
        <f t="shared" si="0"/>
        <v>131136</v>
      </c>
      <c r="G13" s="12">
        <f>'236.04 OLD'!G14+'236.05 old'!G14+'236.06 old'!G14+'243 OLD'!G14+'288 old'!G14+'236.07 old'!G14+'236.08 old'!G14</f>
        <v>0</v>
      </c>
      <c r="H13" s="90">
        <f t="shared" si="1"/>
        <v>-1100</v>
      </c>
    </row>
    <row r="14" spans="1:8">
      <c r="A14" s="24" t="s">
        <v>28</v>
      </c>
      <c r="B14" s="12">
        <f>'236.04 OLD'!B15+'236.05 old'!B15+'236.06 old'!B15+'243 OLD'!B15+'288 old'!B15+'236.07 old'!B15+'236.08 old'!B15</f>
        <v>0</v>
      </c>
      <c r="C14" s="12">
        <f>'236.04 OLD'!C15+'236.05 old'!C15+'236.06 old'!C15+'243 OLD'!C15+'288 old'!C15+'236.07 old'!C15+'236.08 old'!C15</f>
        <v>0</v>
      </c>
      <c r="D14" s="12">
        <f>'236.04 OLD'!D15+'236.05 old'!D15+'236.06 old'!D15+'243 OLD'!D15+'288 old'!D15+'236.07 old'!D15+'236.08 old'!D15</f>
        <v>24110000</v>
      </c>
      <c r="E14" s="12">
        <f>'236.04 OLD'!E15+'236.05 old'!E15+'236.06 old'!E15+'243 OLD'!E15+'288 old'!E15+'236.07 old'!E15+'236.08 old'!E15</f>
        <v>24110000</v>
      </c>
      <c r="F14" s="60">
        <f t="shared" si="0"/>
        <v>24110000</v>
      </c>
      <c r="G14" s="12">
        <f>'236.04 OLD'!G15+'236.05 old'!G15+'236.06 old'!G15+'243 OLD'!G15+'288 old'!G15+'236.07 old'!G15+'236.08 old'!G15</f>
        <v>0</v>
      </c>
      <c r="H14" s="90">
        <f t="shared" si="1"/>
        <v>0</v>
      </c>
    </row>
    <row r="15" spans="1:8">
      <c r="A15" s="37" t="s">
        <v>9</v>
      </c>
      <c r="B15" s="64">
        <f t="shared" ref="B15:H15" si="2">SUM(B7:B14)</f>
        <v>0</v>
      </c>
      <c r="C15" s="64">
        <f t="shared" si="2"/>
        <v>1100</v>
      </c>
      <c r="D15" s="64">
        <f t="shared" si="2"/>
        <v>24110191</v>
      </c>
      <c r="E15" s="64">
        <f t="shared" si="2"/>
        <v>24242236</v>
      </c>
      <c r="F15" s="38">
        <f t="shared" si="2"/>
        <v>24241136</v>
      </c>
      <c r="G15" s="64">
        <f t="shared" si="2"/>
        <v>0</v>
      </c>
      <c r="H15" s="40">
        <f t="shared" si="2"/>
        <v>-1100</v>
      </c>
    </row>
    <row r="16" spans="1:8">
      <c r="A16" s="18" t="s">
        <v>19</v>
      </c>
      <c r="B16" s="52"/>
      <c r="C16" s="52"/>
      <c r="D16" s="52"/>
      <c r="E16" s="13"/>
      <c r="F16" s="35"/>
      <c r="G16" s="10"/>
      <c r="H16" s="90">
        <f>C16-G16</f>
        <v>0</v>
      </c>
    </row>
    <row r="17" spans="1:8">
      <c r="A17" s="41" t="s">
        <v>32</v>
      </c>
      <c r="B17" s="13">
        <f>'236.04 OLD'!B18+'236.05 old'!B18+'236.06 old'!B18+'243 OLD'!B18+'288 old'!B18+'236.07 old'!B18+'236.08 old'!B18</f>
        <v>6637682.5856999997</v>
      </c>
      <c r="C17" s="13">
        <f>'236.04 OLD'!C18+'236.05 old'!C18+'236.06 old'!C18+'243 OLD'!C18+'288 old'!C18+'236.07 old'!C18+'236.08 old'!C18</f>
        <v>7927871.3256999999</v>
      </c>
      <c r="D17" s="13">
        <f>'236.04 OLD'!D18+'236.05 old'!D18+'236.06 old'!D18+'243 OLD'!D18+'288 old'!D18+'236.07 old'!D18+'236.08 old'!D18</f>
        <v>3762638</v>
      </c>
      <c r="E17" s="13">
        <f>'236.04 OLD'!E18+'236.05 old'!E18+'236.06 old'!E18+'243 OLD'!E18+'288 old'!E18+'236.07 old'!E18+'236.08 old'!E18</f>
        <v>8259605</v>
      </c>
      <c r="F17" s="60">
        <f>E17-C17</f>
        <v>331733.67430000007</v>
      </c>
      <c r="G17" s="13">
        <f>'236.04 OLD'!G18+'236.05 old'!G18+'236.06 old'!G18+'243 OLD'!G18+'288 old'!G18+'236.07 old'!G18+'236.08 old'!G18</f>
        <v>6637682.5856999997</v>
      </c>
      <c r="H17" s="90">
        <f t="shared" ref="H17:H28" si="3">G17-C17</f>
        <v>-1290188.7400000002</v>
      </c>
    </row>
    <row r="18" spans="1:8">
      <c r="A18" s="41" t="s">
        <v>40</v>
      </c>
      <c r="B18" s="54">
        <f>'236.04 OLD'!B19+'236.05 old'!B19+'236.06 old'!B19+'243 OLD'!B19+'288 old'!B19+'236.07 old'!B19+'236.08 old'!B19</f>
        <v>0</v>
      </c>
      <c r="C18" s="54">
        <f>'236.04 OLD'!C19+'236.05 old'!C19+'236.06 old'!C19+'243 OLD'!C19+'288 old'!C19+'236.07 old'!C19+'236.08 old'!C19</f>
        <v>0</v>
      </c>
      <c r="D18" s="54">
        <f>'236.04 OLD'!D19+'236.05 old'!D19+'236.06 old'!D19+'243 OLD'!D19+'288 old'!D19+'236.07 old'!D19+'236.08 old'!D19</f>
        <v>0</v>
      </c>
      <c r="E18" s="54">
        <f>'236.04 OLD'!E19+'236.05 old'!E19+'236.06 old'!E19+'243 OLD'!E19+'288 old'!E19+'236.07 old'!E19+'236.08 old'!E19</f>
        <v>0</v>
      </c>
      <c r="F18" s="60">
        <f t="shared" ref="F18:F29" si="4">E18-C18</f>
        <v>0</v>
      </c>
      <c r="G18" s="54">
        <f>'236.04 OLD'!G19+'236.05 old'!G19+'236.06 old'!G19+'243 OLD'!G19+'288 old'!G19+'236.07 old'!G19+'236.08 old'!G19</f>
        <v>0</v>
      </c>
      <c r="H18" s="90">
        <f t="shared" si="3"/>
        <v>0</v>
      </c>
    </row>
    <row r="19" spans="1:8">
      <c r="A19" s="41" t="s">
        <v>41</v>
      </c>
      <c r="B19" s="54">
        <f>'236.04 OLD'!B20+'236.05 old'!B20+'236.06 old'!B20+'243 OLD'!B20+'288 old'!B20+'236.07 old'!B20+'236.08 old'!B20</f>
        <v>27966.355199999998</v>
      </c>
      <c r="C19" s="54">
        <f>'236.04 OLD'!C20+'236.05 old'!C20+'236.06 old'!C20+'243 OLD'!C20+'288 old'!C20+'236.07 old'!C20+'236.08 old'!C20</f>
        <v>27966.355199999998</v>
      </c>
      <c r="D19" s="54">
        <f>'236.04 OLD'!D20+'236.05 old'!D20+'236.06 old'!D20+'243 OLD'!D20+'288 old'!D20+'236.07 old'!D20+'236.08 old'!D20</f>
        <v>23288</v>
      </c>
      <c r="E19" s="54">
        <f>'236.04 OLD'!E20+'236.05 old'!E20+'236.06 old'!E20+'243 OLD'!E20+'288 old'!E20+'236.07 old'!E20+'236.08 old'!E20</f>
        <v>31052</v>
      </c>
      <c r="F19" s="60">
        <f t="shared" si="4"/>
        <v>3085.6448000000019</v>
      </c>
      <c r="G19" s="54">
        <f>'236.04 OLD'!G20+'236.05 old'!G20+'236.06 old'!G20+'243 OLD'!G20+'288 old'!G20+'236.07 old'!G20+'236.08 old'!G20</f>
        <v>27966.355199999998</v>
      </c>
      <c r="H19" s="90">
        <f t="shared" si="3"/>
        <v>0</v>
      </c>
    </row>
    <row r="20" spans="1:8">
      <c r="A20" s="41" t="s">
        <v>68</v>
      </c>
      <c r="B20" s="54">
        <f>'243 OLD'!B21</f>
        <v>0</v>
      </c>
      <c r="C20" s="54">
        <f>'243 OLD'!C21</f>
        <v>0</v>
      </c>
      <c r="D20" s="54">
        <f>'243 OLD'!D21</f>
        <v>0</v>
      </c>
      <c r="E20" s="54">
        <f>'243 OLD'!E21</f>
        <v>0</v>
      </c>
      <c r="F20" s="60">
        <f t="shared" si="4"/>
        <v>0</v>
      </c>
      <c r="G20" s="54">
        <f>'243 OLD'!G21</f>
        <v>0</v>
      </c>
      <c r="H20" s="90">
        <f t="shared" si="3"/>
        <v>0</v>
      </c>
    </row>
    <row r="21" spans="1:8">
      <c r="A21" s="96" t="s">
        <v>230</v>
      </c>
      <c r="B21" s="54">
        <f>'243 OLD'!B22</f>
        <v>122599.31909999999</v>
      </c>
      <c r="C21" s="54">
        <f>'243 OLD'!C22</f>
        <v>122599.31909999999</v>
      </c>
      <c r="D21" s="54">
        <f>'243 OLD'!D22</f>
        <v>0</v>
      </c>
      <c r="E21" s="54">
        <f>'243 OLD'!E22</f>
        <v>0</v>
      </c>
      <c r="F21" s="60">
        <f t="shared" si="4"/>
        <v>-122599.31909999999</v>
      </c>
      <c r="G21" s="54">
        <f>'243 OLD'!G22</f>
        <v>122599.31909999999</v>
      </c>
      <c r="H21" s="90">
        <f t="shared" si="3"/>
        <v>0</v>
      </c>
    </row>
    <row r="22" spans="1:8">
      <c r="A22" s="41" t="s">
        <v>42</v>
      </c>
      <c r="B22" s="54">
        <f>'236.04 OLD'!B21+'236.05 old'!B21+'236.06 old'!B21+'243 OLD'!B23+'288 old'!B21+'236.07 old'!B21+'236.08 old'!B21</f>
        <v>0</v>
      </c>
      <c r="C22" s="54">
        <f>'236.04 OLD'!C21+'236.05 old'!C21+'236.06 old'!C21+'243 OLD'!C23+'288 old'!C21+'236.07 old'!C21+'236.08 old'!C21</f>
        <v>0</v>
      </c>
      <c r="D22" s="54">
        <f>'236.04 OLD'!D21+'236.05 old'!D21+'236.06 old'!D21+'243 OLD'!D23+'288 old'!D21+'236.07 old'!D21+'236.08 old'!D21</f>
        <v>0</v>
      </c>
      <c r="E22" s="54">
        <f>'236.04 OLD'!E21+'236.05 old'!E21+'236.06 old'!E21+'243 OLD'!E23+'288 old'!E21+'236.07 old'!E21+'236.08 old'!E21</f>
        <v>0</v>
      </c>
      <c r="F22" s="60">
        <f t="shared" si="4"/>
        <v>0</v>
      </c>
      <c r="G22" s="54">
        <f>'236.04 OLD'!G21+'236.05 old'!G21+'236.06 old'!G21+'243 OLD'!G23+'288 old'!G21+'236.07 old'!G21+'236.08 old'!G21</f>
        <v>0</v>
      </c>
      <c r="H22" s="90">
        <f t="shared" si="3"/>
        <v>0</v>
      </c>
    </row>
    <row r="23" spans="1:8">
      <c r="A23" s="41" t="s">
        <v>66</v>
      </c>
      <c r="B23" s="54"/>
      <c r="C23" s="54"/>
      <c r="D23" s="54"/>
      <c r="E23" s="54"/>
      <c r="F23" s="60">
        <f t="shared" si="4"/>
        <v>0</v>
      </c>
      <c r="G23" s="54"/>
      <c r="H23" s="90">
        <f t="shared" si="3"/>
        <v>0</v>
      </c>
    </row>
    <row r="24" spans="1:8">
      <c r="A24" s="41" t="s">
        <v>43</v>
      </c>
      <c r="B24" s="54">
        <f>'236.04 OLD'!B22+'236.05 old'!B22+'236.06 old'!B22+'243 OLD'!B24+'288 old'!B22+'236.07 old'!B22+'236.08 old'!B22</f>
        <v>3358770.98</v>
      </c>
      <c r="C24" s="54">
        <f>'236.04 OLD'!C22+'236.05 old'!C22+'236.06 old'!C22+'243 OLD'!C24+'288 old'!C22+'236.07 old'!C22+'236.08 old'!C22</f>
        <v>1480142</v>
      </c>
      <c r="D24" s="54">
        <f>'236.04 OLD'!D22+'236.05 old'!D22+'236.06 old'!D22+'243 OLD'!D24+'288 old'!D22+'236.07 old'!D22+'236.08 old'!D22</f>
        <v>986758</v>
      </c>
      <c r="E24" s="54">
        <f>'236.04 OLD'!E22+'236.05 old'!E22+'236.06 old'!E22+'243 OLD'!E24+'288 old'!E22+'236.07 old'!E22+'236.08 old'!E22</f>
        <v>1503141.56</v>
      </c>
      <c r="F24" s="60">
        <f t="shared" si="4"/>
        <v>22999.560000000056</v>
      </c>
      <c r="G24" s="54">
        <f>'236.04 OLD'!G22+'236.05 old'!G22+'236.06 old'!G22+'243 OLD'!G24+'288 old'!G22+'236.07 old'!G22+'236.08 old'!G22</f>
        <v>3358770.98</v>
      </c>
      <c r="H24" s="90">
        <f t="shared" si="3"/>
        <v>1878628.98</v>
      </c>
    </row>
    <row r="25" spans="1:8">
      <c r="A25" s="36" t="s">
        <v>44</v>
      </c>
      <c r="B25" s="54">
        <f>'236.04 OLD'!B23+'236.05 old'!B23+'236.06 old'!B23+'243 OLD'!B25+'288 old'!B23+'236.07 old'!B23+'236.08 old'!B23</f>
        <v>0</v>
      </c>
      <c r="C25" s="54">
        <f>'236.04 OLD'!C23+'236.05 old'!C23+'236.06 old'!C23+'243 OLD'!C25+'288 old'!C23+'236.07 old'!C23+'236.08 old'!C23</f>
        <v>0</v>
      </c>
      <c r="D25" s="54">
        <f>'236.04 OLD'!D23+'236.05 old'!D23+'236.06 old'!D23+'243 OLD'!D25+'288 old'!D23+'236.07 old'!D23+'236.08 old'!D23</f>
        <v>0</v>
      </c>
      <c r="E25" s="54">
        <f>'236.04 OLD'!E23+'236.05 old'!E23+'236.06 old'!E23+'243 OLD'!E25+'288 old'!E23+'236.07 old'!E23+'236.08 old'!E23</f>
        <v>0</v>
      </c>
      <c r="F25" s="60">
        <f t="shared" si="4"/>
        <v>0</v>
      </c>
      <c r="G25" s="54">
        <f>'236.04 OLD'!G23+'236.05 old'!G23+'236.06 old'!G23+'243 OLD'!G25+'288 old'!G23+'236.07 old'!G23+'236.08 old'!G23</f>
        <v>0</v>
      </c>
      <c r="H25" s="90">
        <f t="shared" si="3"/>
        <v>0</v>
      </c>
    </row>
    <row r="26" spans="1:8">
      <c r="A26" s="16" t="s">
        <v>69</v>
      </c>
      <c r="B26" s="54">
        <f>'236.04 OLD'!B24</f>
        <v>0</v>
      </c>
      <c r="C26" s="54">
        <f>'236.04 OLD'!C24</f>
        <v>0</v>
      </c>
      <c r="D26" s="54">
        <f>'236.04 OLD'!D24</f>
        <v>0</v>
      </c>
      <c r="E26" s="54">
        <f>'236.04 OLD'!E24</f>
        <v>0</v>
      </c>
      <c r="F26" s="60">
        <f t="shared" si="4"/>
        <v>0</v>
      </c>
      <c r="G26" s="54">
        <f>'236.04 OLD'!G24</f>
        <v>0</v>
      </c>
      <c r="H26" s="90">
        <f t="shared" si="3"/>
        <v>0</v>
      </c>
    </row>
    <row r="27" spans="1:8">
      <c r="A27" s="16" t="s">
        <v>45</v>
      </c>
      <c r="B27" s="54">
        <f>'236.05 old'!B24+'236.06 old'!B24+'243 OLD'!B26+'288 old'!B24+'236.07 old'!B24+'236.08 old'!B24</f>
        <v>0</v>
      </c>
      <c r="C27" s="54">
        <f>'236.05 old'!C24+'236.06 old'!C24+'243 OLD'!C26+'288 old'!C24+'236.07 old'!C24+'236.08 old'!C24</f>
        <v>0</v>
      </c>
      <c r="D27" s="54">
        <f>'236.05 old'!D24+'236.06 old'!D24+'243 OLD'!D26+'288 old'!D24+'236.07 old'!D24+'236.08 old'!D24</f>
        <v>0</v>
      </c>
      <c r="E27" s="54">
        <f>'236.05 old'!E24+'236.06 old'!E24+'243 OLD'!E26+'288 old'!E24+'236.07 old'!E24+'236.08 old'!E24</f>
        <v>0</v>
      </c>
      <c r="F27" s="60">
        <f t="shared" si="4"/>
        <v>0</v>
      </c>
      <c r="G27" s="54">
        <f>'236.05 old'!G24+'236.06 old'!G24+'243 OLD'!G26+'288 old'!G24+'236.07 old'!G24+'236.08 old'!G24</f>
        <v>0</v>
      </c>
      <c r="H27" s="90">
        <f t="shared" si="3"/>
        <v>0</v>
      </c>
    </row>
    <row r="28" spans="1:8">
      <c r="A28" s="16" t="s">
        <v>29</v>
      </c>
      <c r="B28" s="54">
        <f>'236.04 OLD'!B25+'236.05 old'!B25+'236.06 old'!B25+'243 OLD'!B27+'288 old'!B25+'236.07 old'!B25+'236.08 old'!B25</f>
        <v>1532139.74</v>
      </c>
      <c r="C28" s="54">
        <f>'236.04 OLD'!C25+'236.05 old'!C25+'236.06 old'!C25+'243 OLD'!C27+'288 old'!C25+'236.07 old'!C25+'236.08 old'!C25</f>
        <v>328438</v>
      </c>
      <c r="D28" s="54">
        <f>'236.04 OLD'!D25+'236.05 old'!D25+'236.06 old'!D25+'243 OLD'!D27+'288 old'!D25+'236.07 old'!D25+'236.08 old'!D25</f>
        <v>328438</v>
      </c>
      <c r="E28" s="54">
        <f>'236.04 OLD'!E25+'236.05 old'!E25+'236.06 old'!E25+'243 OLD'!E27+'288 old'!E25+'236.07 old'!E25+'236.08 old'!E25</f>
        <v>328438</v>
      </c>
      <c r="F28" s="60">
        <f t="shared" si="4"/>
        <v>0</v>
      </c>
      <c r="G28" s="54">
        <f>'236.04 OLD'!G25+'236.05 old'!G25+'236.06 old'!G25+'243 OLD'!G27+'288 old'!G25+'236.07 old'!G25+'236.08 old'!G25</f>
        <v>1532139.74</v>
      </c>
      <c r="H28" s="90">
        <f t="shared" si="3"/>
        <v>1203701.74</v>
      </c>
    </row>
    <row r="29" spans="1:8">
      <c r="A29" s="18" t="s">
        <v>20</v>
      </c>
      <c r="B29" s="52">
        <f>SUM(B17:B28)</f>
        <v>11679158.98</v>
      </c>
      <c r="C29" s="52">
        <f>SUM(C17:C28)</f>
        <v>9887017</v>
      </c>
      <c r="D29" s="52">
        <f>SUM(D17:D28)</f>
        <v>5101122</v>
      </c>
      <c r="E29" s="52">
        <f>SUM(E17:E28)</f>
        <v>10122236.560000001</v>
      </c>
      <c r="F29" s="60">
        <f t="shared" si="4"/>
        <v>235219.56000000052</v>
      </c>
      <c r="G29" s="52">
        <f>SUM(G17:G28)</f>
        <v>11679158.98</v>
      </c>
      <c r="H29" s="19">
        <f>SUM(H17:H28)</f>
        <v>1792141.9799999997</v>
      </c>
    </row>
    <row r="30" spans="1:8" ht="13.5" thickBot="1">
      <c r="A30" s="20" t="s">
        <v>21</v>
      </c>
      <c r="B30" s="21">
        <f t="shared" ref="B30:H30" si="5">B15+B29</f>
        <v>11679158.98</v>
      </c>
      <c r="C30" s="21">
        <f t="shared" si="5"/>
        <v>9888117</v>
      </c>
      <c r="D30" s="21">
        <f t="shared" si="5"/>
        <v>29211313</v>
      </c>
      <c r="E30" s="21">
        <f t="shared" si="5"/>
        <v>34364472.560000002</v>
      </c>
      <c r="F30" s="21">
        <f t="shared" si="5"/>
        <v>24476355.560000002</v>
      </c>
      <c r="G30" s="21">
        <f t="shared" si="5"/>
        <v>11679158.98</v>
      </c>
      <c r="H30" s="21">
        <f t="shared" si="5"/>
        <v>1791041.9799999997</v>
      </c>
    </row>
    <row r="31" spans="1:8" ht="13.5" thickTop="1">
      <c r="A31" s="2"/>
      <c r="B31" s="51"/>
      <c r="C31" s="10"/>
      <c r="D31" s="10"/>
      <c r="E31" s="10"/>
      <c r="F31" s="23"/>
      <c r="G31" s="10"/>
      <c r="H31" s="130" t="s">
        <v>58</v>
      </c>
    </row>
    <row r="32" spans="1:8">
      <c r="A32" s="11" t="s">
        <v>10</v>
      </c>
      <c r="B32" s="53"/>
      <c r="C32" s="10"/>
      <c r="D32" s="10"/>
      <c r="E32" s="10"/>
      <c r="F32" s="23"/>
      <c r="G32" s="9"/>
      <c r="H32" s="130" t="s">
        <v>58</v>
      </c>
    </row>
    <row r="33" spans="1:8" ht="12.75" customHeight="1">
      <c r="A33" s="24" t="s">
        <v>11</v>
      </c>
      <c r="B33" s="51">
        <f>'236.04 OLD'!B30+'236.05 old'!B30+'236.06 old'!B30+'243 OLD'!B32+'288 old'!B30+'236.07 old'!B30+'236.08 old'!B30</f>
        <v>0</v>
      </c>
      <c r="C33" s="51">
        <f>'236.04 OLD'!C30+'236.05 old'!C30+'236.06 old'!C30+'243 OLD'!C32+'288 old'!C30+'236.07 old'!C30+'236.08 old'!C30</f>
        <v>0</v>
      </c>
      <c r="D33" s="51">
        <f>'236.04 OLD'!D30+'236.05 old'!D30+'236.06 old'!D30+'243 OLD'!D32+'288 old'!D30+'236.07 old'!D30+'236.08 old'!D30</f>
        <v>0</v>
      </c>
      <c r="E33" s="51">
        <f>'236.04 OLD'!E30+'236.05 old'!E30+'236.06 old'!E30+'243 OLD'!E32+'288 old'!E30+'236.07 old'!E30+'236.08 old'!E30</f>
        <v>0</v>
      </c>
      <c r="F33" s="60">
        <f>C33-E33</f>
        <v>0</v>
      </c>
      <c r="G33" s="51">
        <f>'236.04 OLD'!G30+'236.05 old'!G30+'236.06 old'!G30+'243 OLD'!G32+'288 old'!G30+'236.07 old'!G30+'236.08 old'!G30</f>
        <v>0</v>
      </c>
      <c r="H33" s="90">
        <f t="shared" ref="H33:H39" si="6">C33-G33</f>
        <v>0</v>
      </c>
    </row>
    <row r="34" spans="1:8" ht="12.75" customHeight="1">
      <c r="A34" s="24" t="s">
        <v>12</v>
      </c>
      <c r="B34" s="51">
        <f>'236.04 OLD'!B31+'236.05 old'!B31+'236.06 old'!B31+'243 OLD'!B33+'288 old'!B31+'236.07 old'!B31+'236.08 old'!B31</f>
        <v>0</v>
      </c>
      <c r="C34" s="51">
        <f>'236.04 OLD'!C31+'236.05 old'!C31+'236.06 old'!C31+'243 OLD'!C33+'288 old'!C31+'236.07 old'!C31+'236.08 old'!C31</f>
        <v>0</v>
      </c>
      <c r="D34" s="51">
        <f>'236.04 OLD'!D31+'236.05 old'!D31+'236.06 old'!D31+'243 OLD'!D33+'288 old'!D31+'236.07 old'!D31+'236.08 old'!D31</f>
        <v>0</v>
      </c>
      <c r="E34" s="51">
        <f>'236.04 OLD'!E31+'236.05 old'!E31+'236.06 old'!E31+'243 OLD'!E33+'288 old'!E31+'236.07 old'!E31+'236.08 old'!E31</f>
        <v>0</v>
      </c>
      <c r="F34" s="60">
        <f t="shared" ref="F34:F39" si="7">C34-E34</f>
        <v>0</v>
      </c>
      <c r="G34" s="51">
        <f>'236.04 OLD'!G31+'236.05 old'!G31+'236.06 old'!G31+'243 OLD'!G33+'288 old'!G31+'236.07 old'!G31+'236.08 old'!G31</f>
        <v>0</v>
      </c>
      <c r="H34" s="90">
        <f t="shared" si="6"/>
        <v>0</v>
      </c>
    </row>
    <row r="35" spans="1:8" ht="12.75" customHeight="1">
      <c r="A35" s="24" t="s">
        <v>13</v>
      </c>
      <c r="B35" s="51">
        <f>'236.04 OLD'!B32+'236.05 old'!B32+'236.06 old'!B32+'243 OLD'!B34+'288 old'!B32+'236.07 old'!B32+'236.08 old'!B32</f>
        <v>0</v>
      </c>
      <c r="C35" s="51">
        <f>'236.04 OLD'!C32+'236.05 old'!C32+'236.06 old'!C32+'243 OLD'!C34+'288 old'!C32+'236.07 old'!C32+'236.08 old'!C32</f>
        <v>0</v>
      </c>
      <c r="D35" s="51">
        <f>'236.04 OLD'!D32+'236.05 old'!D32+'236.06 old'!D32+'243 OLD'!D34+'288 old'!D32+'236.07 old'!D32+'236.08 old'!D32</f>
        <v>0</v>
      </c>
      <c r="E35" s="51">
        <f>'236.04 OLD'!E32+'236.05 old'!E32+'236.06 old'!E32+'243 OLD'!E34+'288 old'!E32+'236.07 old'!E32+'236.08 old'!E32</f>
        <v>0</v>
      </c>
      <c r="F35" s="60">
        <f t="shared" si="7"/>
        <v>0</v>
      </c>
      <c r="G35" s="51">
        <f>'236.04 OLD'!G32+'236.05 old'!G32+'236.06 old'!G32+'243 OLD'!G34+'288 old'!G32+'236.07 old'!G32+'236.08 old'!G32</f>
        <v>0</v>
      </c>
      <c r="H35" s="90">
        <f t="shared" si="6"/>
        <v>0</v>
      </c>
    </row>
    <row r="36" spans="1:8" ht="12.75" customHeight="1">
      <c r="A36" s="24" t="s">
        <v>14</v>
      </c>
      <c r="B36" s="51">
        <f>'236.04 OLD'!B33+'236.05 old'!B33+'236.06 old'!B33+'243 OLD'!B35+'288 old'!B33+'236.07 old'!B33+'236.08 old'!B33</f>
        <v>0</v>
      </c>
      <c r="C36" s="51">
        <f>'236.04 OLD'!C33+'236.05 old'!C33+'236.06 old'!C33+'243 OLD'!C35+'288 old'!C33+'236.07 old'!C33+'236.08 old'!C33</f>
        <v>0</v>
      </c>
      <c r="D36" s="51">
        <f>'236.04 OLD'!D33+'236.05 old'!D33+'236.06 old'!D33+'243 OLD'!D35+'288 old'!D33+'236.07 old'!D33+'236.08 old'!D33</f>
        <v>0</v>
      </c>
      <c r="E36" s="51">
        <f>'236.04 OLD'!E33+'236.05 old'!E33+'236.06 old'!E33+'243 OLD'!E35+'288 old'!E33+'236.07 old'!E33+'236.08 old'!E33</f>
        <v>0</v>
      </c>
      <c r="F36" s="60">
        <f t="shared" si="7"/>
        <v>0</v>
      </c>
      <c r="G36" s="51">
        <f>'236.04 OLD'!G33+'236.05 old'!G33+'236.06 old'!G33+'243 OLD'!G35+'288 old'!G33+'236.07 old'!G33+'236.08 old'!G33</f>
        <v>0</v>
      </c>
      <c r="H36" s="90">
        <f t="shared" si="6"/>
        <v>0</v>
      </c>
    </row>
    <row r="37" spans="1:8" ht="12.75" customHeight="1">
      <c r="A37" s="24" t="s">
        <v>26</v>
      </c>
      <c r="B37" s="51">
        <f>'236.04 OLD'!B34+'236.05 old'!B34+'236.06 old'!B34+'243 OLD'!B36+'288 old'!B34+'236.07 old'!B34+'236.08 old'!B34</f>
        <v>0</v>
      </c>
      <c r="C37" s="51">
        <f>'236.04 OLD'!C34+'236.05 old'!C34+'236.06 old'!C34+'243 OLD'!C36+'288 old'!C34+'236.07 old'!C34+'236.08 old'!C34</f>
        <v>0</v>
      </c>
      <c r="D37" s="51">
        <f>'236.04 OLD'!D34+'236.05 old'!D34+'236.06 old'!D34+'243 OLD'!D36+'288 old'!D34+'236.07 old'!D34+'236.08 old'!D34</f>
        <v>0</v>
      </c>
      <c r="E37" s="51">
        <f>'236.04 OLD'!E34+'236.05 old'!E34+'236.06 old'!E34+'243 OLD'!E36+'288 old'!E34+'236.07 old'!E34+'236.08 old'!E34</f>
        <v>0</v>
      </c>
      <c r="F37" s="60">
        <f t="shared" si="7"/>
        <v>0</v>
      </c>
      <c r="G37" s="51">
        <f>'236.04 OLD'!G34+'236.05 old'!G34+'236.06 old'!G34+'243 OLD'!G36+'288 old'!G34+'236.07 old'!G34+'236.08 old'!G34</f>
        <v>0</v>
      </c>
      <c r="H37" s="90">
        <f t="shared" si="6"/>
        <v>0</v>
      </c>
    </row>
    <row r="38" spans="1:8" ht="12.75" customHeight="1">
      <c r="A38" s="24" t="s">
        <v>15</v>
      </c>
      <c r="B38" s="51">
        <f>'236.04 OLD'!B35+'236.05 old'!B35+'236.06 old'!B35+'243 OLD'!B37+'288 old'!B35+'236.07 old'!B35+'236.08 old'!B35</f>
        <v>0</v>
      </c>
      <c r="C38" s="51">
        <f>'236.04 OLD'!C35+'236.05 old'!C35+'236.06 old'!C35+'243 OLD'!C37+'288 old'!C35+'236.07 old'!C35+'236.08 old'!C35</f>
        <v>0</v>
      </c>
      <c r="D38" s="51">
        <f>'236.04 OLD'!D35+'236.05 old'!D35+'236.06 old'!D35+'243 OLD'!D37+'288 old'!D35+'236.07 old'!D35+'236.08 old'!D35</f>
        <v>0</v>
      </c>
      <c r="E38" s="51">
        <f>'236.04 OLD'!E35+'236.05 old'!E35+'236.06 old'!E35+'243 OLD'!E37+'288 old'!E35+'236.07 old'!E35+'236.08 old'!E35</f>
        <v>0</v>
      </c>
      <c r="F38" s="60">
        <f t="shared" si="7"/>
        <v>0</v>
      </c>
      <c r="G38" s="51">
        <f>'236.04 OLD'!G35+'236.05 old'!G35+'236.06 old'!G35+'243 OLD'!G37+'288 old'!G35+'236.07 old'!G35+'236.08 old'!G35</f>
        <v>0</v>
      </c>
      <c r="H38" s="90">
        <f t="shared" si="6"/>
        <v>0</v>
      </c>
    </row>
    <row r="39" spans="1:8">
      <c r="A39" s="24" t="s">
        <v>16</v>
      </c>
      <c r="B39" s="51">
        <f>'236.04 OLD'!B36+'236.05 old'!B36+'236.06 old'!B36+'243 OLD'!B38+'288 old'!B36+'236.07 old'!B36+'236.08 old'!B36</f>
        <v>7909097.3899999997</v>
      </c>
      <c r="C39" s="51">
        <f>'236.04 OLD'!C36+'236.05 old'!C36+'236.06 old'!C36+'243 OLD'!C38+'288 old'!C36+'236.07 old'!C36+'236.08 old'!C36</f>
        <v>9815109.0999999996</v>
      </c>
      <c r="D39" s="51">
        <f>'236.04 OLD'!D36+'236.05 old'!D36+'236.06 old'!D36+'243 OLD'!D38+'288 old'!D36+'236.07 old'!D36+'236.08 old'!D36</f>
        <v>2463342</v>
      </c>
      <c r="E39" s="51">
        <f>'236.04 OLD'!E36+'236.05 old'!E36+'236.06 old'!E36+'243 OLD'!E38+'288 old'!E36+'236.07 old'!E36+'236.08 old'!E36</f>
        <v>8810005.8200000003</v>
      </c>
      <c r="F39" s="60">
        <f t="shared" si="7"/>
        <v>1005103.2799999993</v>
      </c>
      <c r="G39" s="51">
        <f>'236.04 OLD'!G36+'236.05 old'!G36+'236.06 old'!G36+'243 OLD'!G38+'288 old'!G36+'236.07 old'!G36+'236.08 old'!G36</f>
        <v>9583159.5500000007</v>
      </c>
      <c r="H39" s="90">
        <f t="shared" si="6"/>
        <v>231949.54999999888</v>
      </c>
    </row>
    <row r="40" spans="1:8">
      <c r="A40" s="37" t="s">
        <v>22</v>
      </c>
      <c r="B40" s="38">
        <f>SUM(B33:B39)</f>
        <v>7909097.3899999997</v>
      </c>
      <c r="C40" s="38">
        <f t="shared" ref="C40:H40" si="8">SUM(C33:C39)</f>
        <v>9815109.0999999996</v>
      </c>
      <c r="D40" s="38">
        <f t="shared" si="8"/>
        <v>2463342</v>
      </c>
      <c r="E40" s="38">
        <f t="shared" si="8"/>
        <v>8810005.8200000003</v>
      </c>
      <c r="F40" s="38">
        <f t="shared" si="8"/>
        <v>1005103.2799999993</v>
      </c>
      <c r="G40" s="38">
        <f t="shared" si="8"/>
        <v>9583159.5500000007</v>
      </c>
      <c r="H40" s="38">
        <f t="shared" si="8"/>
        <v>231949.54999999888</v>
      </c>
    </row>
    <row r="41" spans="1:8">
      <c r="A41" s="18" t="s">
        <v>23</v>
      </c>
      <c r="B41" s="52"/>
      <c r="C41" s="52"/>
      <c r="D41" s="52"/>
      <c r="E41" s="13"/>
      <c r="F41" s="13"/>
      <c r="G41" s="10"/>
      <c r="H41" s="130" t="s">
        <v>58</v>
      </c>
    </row>
    <row r="42" spans="1:8">
      <c r="A42" s="41"/>
      <c r="B42" s="54"/>
      <c r="C42" s="54"/>
      <c r="D42" s="54"/>
      <c r="E42" s="13"/>
      <c r="F42" s="13"/>
      <c r="G42" s="9"/>
      <c r="H42" s="130" t="s">
        <v>58</v>
      </c>
    </row>
    <row r="43" spans="1:8">
      <c r="A43" s="41" t="s">
        <v>260</v>
      </c>
      <c r="B43" s="54">
        <f>'243 OLD'!B42</f>
        <v>0</v>
      </c>
      <c r="C43" s="54">
        <f>'243 OLD'!C42</f>
        <v>0</v>
      </c>
      <c r="D43" s="54">
        <f>'243 OLD'!D42</f>
        <v>25865340</v>
      </c>
      <c r="E43" s="54">
        <f>'243 OLD'!E42</f>
        <v>24022327</v>
      </c>
      <c r="F43" s="60">
        <f>C43-E43</f>
        <v>-24022327</v>
      </c>
      <c r="G43" s="54">
        <f>'243 OLD'!G42</f>
        <v>0</v>
      </c>
      <c r="H43" s="90">
        <f>C43-G43</f>
        <v>0</v>
      </c>
    </row>
    <row r="44" spans="1:8">
      <c r="A44" s="41" t="s">
        <v>38</v>
      </c>
      <c r="B44" s="54">
        <f>'236.04 OLD'!B40+'236.05 old'!B40+'236.06 old'!B40+'288 old'!B40+'236.07 old'!B40+'236.08 old'!B40</f>
        <v>0</v>
      </c>
      <c r="C44" s="54">
        <f>'236.04 OLD'!C40+'236.05 old'!C40+'236.06 old'!C40+'288 old'!C40+'236.07 old'!C40+'236.08 old'!C40</f>
        <v>0</v>
      </c>
      <c r="D44" s="54">
        <f>'236.04 OLD'!D40+'236.05 old'!D40+'236.06 old'!D40+'288 old'!D40+'236.07 old'!D40+'236.08 old'!D40</f>
        <v>0</v>
      </c>
      <c r="E44" s="54">
        <f>'236.04 OLD'!E40+'236.05 old'!E40+'236.06 old'!E40+'288 old'!E40+'236.07 old'!E40+'236.08 old'!E40</f>
        <v>0</v>
      </c>
      <c r="F44" s="60">
        <f>C44-E44</f>
        <v>0</v>
      </c>
      <c r="G44" s="54">
        <f>'236.04 OLD'!G40+'236.05 old'!G40+'236.06 old'!G40+'288 old'!G40+'236.07 old'!G40+'236.08 old'!G40</f>
        <v>0</v>
      </c>
      <c r="H44" s="90">
        <f>C44-G44</f>
        <v>0</v>
      </c>
    </row>
    <row r="45" spans="1:8">
      <c r="A45" s="41" t="s">
        <v>29</v>
      </c>
      <c r="B45" s="13">
        <f>'236.04 OLD'!B41+'236.05 old'!B41+'236.06 old'!B41+'243 OLD'!B43+'288 old'!B41+'236.07 old'!B41+'236.08 old'!B41</f>
        <v>2095999.43</v>
      </c>
      <c r="C45" s="13">
        <f>'236.04 OLD'!C41+'236.05 old'!C41+'236.06 old'!C41+'243 OLD'!C43+'288 old'!C41+'236.07 old'!C41+'236.08 old'!C41</f>
        <v>259240</v>
      </c>
      <c r="D45" s="13">
        <f>'236.04 OLD'!D41+'236.05 old'!D41+'236.06 old'!D41+'243 OLD'!D43+'288 old'!D41+'236.07 old'!D41+'236.08 old'!D41</f>
        <v>2084745</v>
      </c>
      <c r="E45" s="13">
        <f>'236.04 OLD'!E41+'236.05 old'!E41+'236.06 old'!E41+'243 OLD'!E43+'288 old'!E41+'236.07 old'!E41+'236.08 old'!E41</f>
        <v>1532139.74</v>
      </c>
      <c r="F45" s="60">
        <f>C45-E45</f>
        <v>-1272899.74</v>
      </c>
      <c r="G45" s="13">
        <f>'236.04 OLD'!G41+'236.05 old'!G41+'236.06 old'!G41+'243 OLD'!G43+'288 old'!G41+'236.07 old'!G41+'236.08 old'!G41</f>
        <v>2095999.43</v>
      </c>
      <c r="H45" s="90">
        <f>C45-G45</f>
        <v>-1836759.43</v>
      </c>
    </row>
    <row r="46" spans="1:8">
      <c r="A46" s="41"/>
      <c r="B46" s="54"/>
      <c r="C46" s="13"/>
      <c r="E46" s="13"/>
      <c r="F46" s="13"/>
      <c r="G46" s="10"/>
      <c r="H46" s="130" t="s">
        <v>58</v>
      </c>
    </row>
    <row r="47" spans="1:8">
      <c r="A47" s="37" t="s">
        <v>24</v>
      </c>
      <c r="B47" s="38">
        <f>SUM(B43:B46)</f>
        <v>2095999.43</v>
      </c>
      <c r="C47" s="38">
        <f t="shared" ref="C47:H47" si="9">SUM(C43:C46)</f>
        <v>259240</v>
      </c>
      <c r="D47" s="38">
        <f t="shared" si="9"/>
        <v>27950085</v>
      </c>
      <c r="E47" s="38">
        <f t="shared" si="9"/>
        <v>25554466.739999998</v>
      </c>
      <c r="F47" s="38">
        <f t="shared" si="9"/>
        <v>-25295226.739999998</v>
      </c>
      <c r="G47" s="38">
        <f t="shared" si="9"/>
        <v>2095999.43</v>
      </c>
      <c r="H47" s="38">
        <f t="shared" si="9"/>
        <v>-1836759.43</v>
      </c>
    </row>
    <row r="48" spans="1:8" ht="12.75" customHeight="1" thickBot="1">
      <c r="A48" s="20" t="s">
        <v>25</v>
      </c>
      <c r="B48" s="25">
        <f>B40+B47</f>
        <v>10005096.82</v>
      </c>
      <c r="C48" s="25">
        <f t="shared" ref="C48:H48" si="10">C40+C47</f>
        <v>10074349.1</v>
      </c>
      <c r="D48" s="25">
        <f t="shared" si="10"/>
        <v>30413427</v>
      </c>
      <c r="E48" s="25">
        <f t="shared" si="10"/>
        <v>34364472.560000002</v>
      </c>
      <c r="F48" s="25">
        <f t="shared" si="10"/>
        <v>-24290123.460000001</v>
      </c>
      <c r="G48" s="25">
        <f t="shared" si="10"/>
        <v>11679158.98</v>
      </c>
      <c r="H48" s="25">
        <f t="shared" si="10"/>
        <v>-1604809.8800000011</v>
      </c>
    </row>
    <row r="49" spans="1:8" ht="13.5" thickTop="1">
      <c r="A49" s="26" t="s">
        <v>17</v>
      </c>
      <c r="B49" s="202">
        <f t="shared" ref="B49:G49" si="11">B30-B48</f>
        <v>1674062.1600000001</v>
      </c>
      <c r="C49" s="202">
        <f t="shared" si="11"/>
        <v>-186232.09999999963</v>
      </c>
      <c r="D49" s="202">
        <f t="shared" si="11"/>
        <v>-1202114</v>
      </c>
      <c r="E49" s="202">
        <f t="shared" si="11"/>
        <v>0</v>
      </c>
      <c r="F49" s="202" t="s">
        <v>58</v>
      </c>
      <c r="G49" s="205">
        <f t="shared" si="11"/>
        <v>0</v>
      </c>
      <c r="H49" s="204" t="s">
        <v>58</v>
      </c>
    </row>
    <row r="50" spans="1:8" ht="12.75" customHeight="1">
      <c r="A50" s="26"/>
      <c r="B50" s="28" t="s">
        <v>58</v>
      </c>
      <c r="C50" s="28" t="s">
        <v>58</v>
      </c>
      <c r="D50" s="28" t="s">
        <v>58</v>
      </c>
      <c r="E50" s="28" t="s">
        <v>58</v>
      </c>
      <c r="F50" s="28" t="s">
        <v>58</v>
      </c>
      <c r="G50" s="28" t="s">
        <v>58</v>
      </c>
      <c r="H50" s="28" t="s">
        <v>58</v>
      </c>
    </row>
    <row r="51" spans="1:8" ht="12.75" customHeight="1">
      <c r="A51" s="30" t="s">
        <v>18</v>
      </c>
      <c r="B51" s="32"/>
      <c r="C51" s="32"/>
      <c r="D51" s="32"/>
      <c r="E51" s="32"/>
      <c r="F51" s="32"/>
      <c r="G51" s="32"/>
    </row>
    <row r="52" spans="1:8" ht="12.75" customHeight="1">
      <c r="A52" s="30"/>
      <c r="B52" s="30"/>
      <c r="F52" s="32"/>
    </row>
    <row r="53" spans="1:8" ht="12.75" customHeight="1">
      <c r="A53" s="16" t="s">
        <v>108</v>
      </c>
      <c r="F53" s="32"/>
    </row>
    <row r="54" spans="1:8" ht="12.75" customHeight="1">
      <c r="A54" s="33"/>
      <c r="B54" s="33"/>
      <c r="F54" s="32"/>
    </row>
    <row r="55" spans="1:8" ht="12.75" customHeight="1">
      <c r="F55" s="32"/>
    </row>
    <row r="56" spans="1:8" ht="12.75" customHeight="1">
      <c r="B56" s="9">
        <f>'236.04 OLD'!B27+'236.05 old'!B27+'236.06 old'!B27+'243 OLD'!B29+'288 old'!B27-'Total Debt Service'!B30+'236.07 old'!B27+'236.08 old'!B27</f>
        <v>0</v>
      </c>
      <c r="C56" s="9">
        <f>'236.04 OLD'!C27+'236.05 old'!C27+'236.06 old'!C27+'243 OLD'!C29+'288 old'!C27-'Total Debt Service'!C30+'236.07 old'!C27+'236.08 old'!C27</f>
        <v>0</v>
      </c>
      <c r="D56" s="9">
        <f>'236.04 OLD'!D27+'236.05 old'!D27+'236.06 old'!D27+'243 OLD'!D29+'288 old'!D27-'Total Debt Service'!D30+'236.07 old'!D27+'236.08 old'!D27</f>
        <v>0</v>
      </c>
      <c r="E56" s="9">
        <f>'236.04 OLD'!E27+'236.05 old'!E27+'236.06 old'!E27+'243 OLD'!E29+'288 old'!E27-'Total Debt Service'!E30+'236.07 old'!E27+'236.08 old'!E27</f>
        <v>0</v>
      </c>
      <c r="F56" s="9">
        <f>'236.04 OLD'!F27+'236.05 old'!F27+'236.06 old'!F27+'243 OLD'!F29+'288 old'!F27-'Total Debt Service'!F30+'236.07 old'!F27+'236.08 old'!F27</f>
        <v>-3.7252902984619141E-9</v>
      </c>
      <c r="G56" s="9">
        <f>'236.04 OLD'!G27+'236.05 old'!G27+'236.06 old'!G27+'243 OLD'!G29+'288 old'!G27-'Total Debt Service'!G30+'236.07 old'!G27+'236.08 old'!G27</f>
        <v>0</v>
      </c>
      <c r="H56" s="9">
        <f>'236.04 OLD'!H27+'236.05 old'!H27+'236.06 old'!H27+'243 OLD'!H29+'288 old'!H27-'Total Debt Service'!H30+'236.07 old'!H27+'236.08 old'!H27</f>
        <v>0</v>
      </c>
    </row>
    <row r="57" spans="1:8" ht="12.75" customHeight="1">
      <c r="B57" s="9">
        <f>'236.04 OLD'!B44+'236.05 old'!B44+'236.06 old'!B44+'243 OLD'!B46+'288 old'!B44-'Total Debt Service'!B48+'236.07 old'!B44+'236.08 old'!B44</f>
        <v>0</v>
      </c>
      <c r="C57" s="9">
        <f>'236.04 OLD'!C44+'236.05 old'!C44+'236.06 old'!C44+'243 OLD'!C46+'288 old'!C44-'Total Debt Service'!C48+'236.07 old'!C44+'236.08 old'!C44</f>
        <v>0</v>
      </c>
      <c r="D57" s="9">
        <f>'236.04 OLD'!D44+'236.05 old'!D44+'236.06 old'!D44+'243 OLD'!D46+'288 old'!D44-'Total Debt Service'!D48+'236.07 old'!D44+'236.08 old'!D44</f>
        <v>0</v>
      </c>
      <c r="E57" s="31">
        <f>'236.04 OLD'!E44+'236.05 old'!E44+'236.06 old'!E44+'243 OLD'!E46+'288 old'!E44-'Total Debt Service'!E48+'236.07 old'!E44+'236.08 old'!E44</f>
        <v>0</v>
      </c>
      <c r="F57" s="9">
        <f>'236.04 OLD'!F44+'236.05 old'!F44+'236.06 old'!F44+'243 OLD'!F46+'288 old'!F44-'Total Debt Service'!F48+'236.07 old'!F44+'236.08 old'!F44</f>
        <v>3.7252902984619141E-9</v>
      </c>
      <c r="G57" s="9">
        <f>'236.04 OLD'!G44+'236.05 old'!G44+'236.06 old'!G44+'243 OLD'!G46+'288 old'!G44-'Total Debt Service'!G48+'236.07 old'!G44+'236.08 old'!G44</f>
        <v>0</v>
      </c>
      <c r="H57" s="9">
        <f>'236.04 OLD'!H44+'236.05 old'!H44+'236.06 old'!H44+'243 OLD'!H46+'288 old'!H44-'Total Debt Service'!H48+'236.07 old'!H44+'236.08 old'!H44</f>
        <v>0</v>
      </c>
    </row>
    <row r="58" spans="1:8" ht="12.75" customHeight="1"/>
    <row r="59" spans="1:8" ht="12.75" customHeight="1">
      <c r="E59" s="1748" t="s">
        <v>241</v>
      </c>
      <c r="F59" s="1748"/>
      <c r="G59" s="1748"/>
    </row>
    <row r="60" spans="1:8" ht="12.75" customHeight="1">
      <c r="E60" s="256" t="s">
        <v>253</v>
      </c>
      <c r="F60" s="104">
        <v>236.04</v>
      </c>
      <c r="G60" s="9">
        <f>'236.04 OLD'!G18</f>
        <v>0</v>
      </c>
    </row>
    <row r="61" spans="1:8" ht="12.75" customHeight="1">
      <c r="E61" s="256" t="s">
        <v>252</v>
      </c>
      <c r="F61" s="104">
        <v>236.05</v>
      </c>
      <c r="G61" s="9">
        <f>'236.05 old'!G18</f>
        <v>1277340.26</v>
      </c>
    </row>
    <row r="62" spans="1:8" ht="12.75" customHeight="1">
      <c r="E62" s="256" t="s">
        <v>251</v>
      </c>
      <c r="F62" s="104">
        <v>236.06</v>
      </c>
      <c r="G62" s="9">
        <f>'236.06 old'!G18</f>
        <v>0</v>
      </c>
    </row>
    <row r="63" spans="1:8" ht="12.75" customHeight="1">
      <c r="E63" s="256" t="s">
        <v>250</v>
      </c>
      <c r="F63" s="104">
        <v>236.07</v>
      </c>
      <c r="G63" s="9">
        <f>'236.07 old'!G18</f>
        <v>0</v>
      </c>
    </row>
    <row r="64" spans="1:8" ht="12.75" customHeight="1">
      <c r="E64" s="256"/>
      <c r="F64" s="104">
        <v>236.08</v>
      </c>
      <c r="G64" s="9">
        <f>'236.08 old'!G18</f>
        <v>2524288</v>
      </c>
      <c r="H64" s="90">
        <f>SUM(G61:G64)</f>
        <v>3801628.26</v>
      </c>
    </row>
    <row r="65" spans="5:7" ht="12.75" customHeight="1">
      <c r="E65" s="256" t="s">
        <v>249</v>
      </c>
      <c r="F65" s="104">
        <v>243</v>
      </c>
      <c r="G65" s="9">
        <f>'243 OLD'!G18</f>
        <v>2836054.3256999999</v>
      </c>
    </row>
    <row r="66" spans="5:7" ht="12.75" customHeight="1">
      <c r="E66" s="256" t="s">
        <v>248</v>
      </c>
      <c r="F66" s="104">
        <v>288</v>
      </c>
      <c r="G66" s="9">
        <f>'288 old'!G18</f>
        <v>0</v>
      </c>
    </row>
    <row r="67" spans="5:7" ht="12.75" customHeight="1" thickBot="1">
      <c r="F67" s="32"/>
      <c r="G67" s="252">
        <f>SUM(G60:G66)</f>
        <v>6637682.5856999997</v>
      </c>
    </row>
    <row r="68" spans="5:7" ht="12.75" customHeight="1" thickTop="1">
      <c r="E68" s="256" t="s">
        <v>58</v>
      </c>
      <c r="F68" s="32"/>
    </row>
    <row r="69" spans="5:7" ht="12.75" customHeight="1">
      <c r="E69" s="256" t="s">
        <v>58</v>
      </c>
      <c r="F69" s="32"/>
    </row>
    <row r="70" spans="5:7" ht="12.75" customHeight="1">
      <c r="E70" s="256" t="s">
        <v>58</v>
      </c>
      <c r="F70" s="32"/>
    </row>
    <row r="71" spans="5:7" ht="12.75" customHeight="1">
      <c r="F71" s="32"/>
    </row>
    <row r="72" spans="5:7" ht="12.75" customHeight="1">
      <c r="F72" s="32"/>
    </row>
    <row r="73" spans="5:7" ht="12.75" customHeight="1">
      <c r="F73" s="32"/>
    </row>
    <row r="74" spans="5:7" ht="12.75" customHeight="1">
      <c r="F74" s="32"/>
    </row>
    <row r="75" spans="5:7" ht="12.75" customHeight="1">
      <c r="F75" s="32"/>
    </row>
    <row r="76" spans="5:7" ht="12.75" customHeight="1">
      <c r="F76" s="32"/>
    </row>
    <row r="77" spans="5:7" ht="12.75" customHeight="1">
      <c r="F77" s="32"/>
    </row>
    <row r="78" spans="5:7" ht="12.75" customHeight="1">
      <c r="F78" s="32"/>
    </row>
    <row r="79" spans="5:7" ht="12.75" customHeight="1">
      <c r="F79" s="32"/>
    </row>
    <row r="80" spans="5:7" ht="12.75" customHeight="1">
      <c r="F80" s="32"/>
    </row>
    <row r="81" spans="6:6" ht="12.75" customHeight="1">
      <c r="F81" s="32"/>
    </row>
    <row r="82" spans="6:6" ht="12.75" customHeight="1">
      <c r="F82" s="32"/>
    </row>
    <row r="83" spans="6:6" ht="12.75" customHeight="1">
      <c r="F83" s="32"/>
    </row>
    <row r="84" spans="6:6" ht="12.75" customHeight="1">
      <c r="F84" s="32"/>
    </row>
    <row r="85" spans="6:6" ht="12.75" customHeight="1">
      <c r="F85" s="32"/>
    </row>
    <row r="86" spans="6:6" ht="12.75" customHeight="1">
      <c r="F86" s="32"/>
    </row>
    <row r="87" spans="6:6" ht="12.75" customHeight="1">
      <c r="F87" s="32"/>
    </row>
    <row r="88" spans="6:6" ht="12.75" customHeight="1">
      <c r="F88" s="32"/>
    </row>
    <row r="89" spans="6:6" ht="12.75" customHeight="1">
      <c r="F89" s="34"/>
    </row>
    <row r="90" spans="6:6" ht="12.75" customHeight="1">
      <c r="F90" s="34"/>
    </row>
    <row r="91" spans="6:6" ht="12.75" customHeight="1">
      <c r="F91" s="34"/>
    </row>
    <row r="92" spans="6:6" ht="12.75" customHeight="1">
      <c r="F92" s="34"/>
    </row>
    <row r="93" spans="6:6" ht="12.75" customHeight="1">
      <c r="F93" s="34"/>
    </row>
    <row r="94" spans="6:6" ht="12.75" customHeight="1">
      <c r="F94" s="34"/>
    </row>
    <row r="95" spans="6:6" ht="12.75" customHeight="1">
      <c r="F95" s="34"/>
    </row>
    <row r="96" spans="6:6" ht="12.75" customHeight="1">
      <c r="F96" s="34"/>
    </row>
    <row r="97" spans="6:6" ht="12.75" customHeight="1">
      <c r="F97" s="34"/>
    </row>
    <row r="98" spans="6:6" ht="12.75" customHeight="1">
      <c r="F98" s="34"/>
    </row>
    <row r="99" spans="6:6" ht="12.75" customHeight="1">
      <c r="F99" s="34"/>
    </row>
    <row r="100" spans="6:6" ht="12.75" customHeight="1">
      <c r="F100" s="34"/>
    </row>
    <row r="101" spans="6:6" ht="12.75" customHeight="1">
      <c r="F101" s="34"/>
    </row>
    <row r="102" spans="6:6" ht="12.75" customHeight="1">
      <c r="F102" s="34"/>
    </row>
    <row r="103" spans="6:6" ht="12.75" customHeight="1">
      <c r="F103" s="34"/>
    </row>
    <row r="104" spans="6:6" ht="12.75" customHeight="1">
      <c r="F104" s="34"/>
    </row>
    <row r="105" spans="6:6" ht="12.75" customHeight="1">
      <c r="F105" s="34"/>
    </row>
    <row r="106" spans="6:6" ht="12.75" customHeight="1">
      <c r="F106" s="34"/>
    </row>
    <row r="107" spans="6:6" ht="12.75" customHeight="1">
      <c r="F107" s="34"/>
    </row>
    <row r="108" spans="6:6" ht="12.75" customHeight="1">
      <c r="F108" s="34"/>
    </row>
    <row r="109" spans="6:6" ht="12.75" customHeight="1">
      <c r="F109" s="34"/>
    </row>
    <row r="110" spans="6:6" ht="12.75" customHeight="1">
      <c r="F110" s="34"/>
    </row>
    <row r="111" spans="6:6" ht="12.75" customHeight="1">
      <c r="F111" s="34"/>
    </row>
    <row r="112" spans="6:6" ht="12.75" customHeight="1">
      <c r="F112" s="34"/>
    </row>
    <row r="113" spans="6:6" ht="12.75" customHeight="1">
      <c r="F113" s="34"/>
    </row>
    <row r="114" spans="6:6" ht="12.75" customHeight="1">
      <c r="F114" s="34"/>
    </row>
    <row r="115" spans="6:6" ht="12.75" customHeight="1">
      <c r="F115" s="34"/>
    </row>
    <row r="116" spans="6:6" ht="12.75" customHeight="1">
      <c r="F116" s="34"/>
    </row>
    <row r="117" spans="6:6" ht="12.75" customHeight="1">
      <c r="F117" s="34"/>
    </row>
    <row r="118" spans="6:6" ht="12.75" customHeight="1">
      <c r="F118" s="34"/>
    </row>
    <row r="119" spans="6:6" ht="12.75" customHeight="1">
      <c r="F119" s="34"/>
    </row>
    <row r="120" spans="6:6" ht="12.75" customHeight="1">
      <c r="F120" s="34"/>
    </row>
    <row r="121" spans="6:6" ht="12.75" customHeight="1">
      <c r="F121" s="34"/>
    </row>
    <row r="122" spans="6:6" ht="12.75" customHeight="1">
      <c r="F122" s="34"/>
    </row>
    <row r="123" spans="6:6" ht="12.75" customHeight="1">
      <c r="F123" s="34"/>
    </row>
    <row r="124" spans="6:6" ht="12.75" customHeight="1">
      <c r="F124" s="34"/>
    </row>
    <row r="125" spans="6:6" ht="12.75" customHeight="1">
      <c r="F125" s="34"/>
    </row>
    <row r="126" spans="6:6" ht="12.75" customHeight="1">
      <c r="F126" s="34"/>
    </row>
    <row r="127" spans="6:6" ht="12.75" customHeight="1">
      <c r="F127" s="34"/>
    </row>
    <row r="128" spans="6:6" ht="12.75" customHeight="1">
      <c r="F128" s="34"/>
    </row>
    <row r="129" spans="6:6" ht="12.75" customHeight="1">
      <c r="F129" s="34"/>
    </row>
    <row r="130" spans="6:6" ht="12.75" customHeight="1">
      <c r="F130" s="34"/>
    </row>
    <row r="131" spans="6:6" ht="12.75" customHeight="1">
      <c r="F131" s="34"/>
    </row>
  </sheetData>
  <customSheetViews>
    <customSheetView guid="{C8E99144-FF29-42D8-8D33-2038AA9D760E}" scale="80" showPageBreaks="1" fitToPage="1" hiddenRows="1" view="pageBreakPreview" showRuler="0">
      <pane xSplit="1" ySplit="4" topLeftCell="B21" activePane="bottomRight" state="frozen"/>
      <selection pane="bottomRight" activeCell="G60" sqref="G60"/>
      <pageMargins left="0.75" right="0.75" top="1" bottom="1" header="0.5" footer="0.5"/>
      <pageSetup scale="52" orientation="landscape" horizontalDpi="300" verticalDpi="300" r:id="rId1"/>
      <headerFooter alignWithMargins="0"/>
    </customSheetView>
    <customSheetView guid="{6F41311F-2270-450A-A26B-FA887A989CC9}" showPageBreaks="1" fitToPage="1" view="pageBreakPreview" showRuler="0">
      <selection activeCell="F26" sqref="F26"/>
      <pageMargins left="0.75" right="0.75" top="1" bottom="1" header="0.5" footer="0.5"/>
      <pageSetup scale="40" orientation="portrait" horizontalDpi="300" verticalDpi="300" r:id="rId2"/>
      <headerFooter alignWithMargins="0"/>
    </customSheetView>
    <customSheetView guid="{9F62FB59-F471-497B-8464-A1F026EE1693}" scale="80" showPageBreaks="1" printArea="1" hiddenColumns="1" view="pageBreakPreview" showRuler="0">
      <selection activeCell="F21" sqref="F21"/>
      <pageMargins left="0.75" right="0.75" top="1" bottom="1" header="0.5" footer="0.5"/>
      <pageSetup scale="60" fitToHeight="0" orientation="portrait" horizontalDpi="300" verticalDpi="300" r:id="rId3"/>
      <headerFooter alignWithMargins="0"/>
    </customSheetView>
    <customSheetView guid="{20D5FB18-2FAE-4D83-BF94-A00B522BD190}" showPageBreaks="1" fitToPage="1" hiddenColumns="1" view="pageBreakPreview" showRuler="0">
      <selection activeCell="I16" sqref="I16"/>
      <pageMargins left="0.75" right="0.75" top="1" bottom="1" header="0.5" footer="0.5"/>
      <pageSetup scale="41" orientation="portrait" horizontalDpi="300" verticalDpi="300" r:id="rId4"/>
      <headerFooter alignWithMargins="0"/>
    </customSheetView>
    <customSheetView guid="{9456C1E9-89BB-4E93-9AFD-5A49DBF97574}" showPageBreaks="1" fitToPage="1" hiddenColumns="1" view="pageBreakPreview" showRuler="0" topLeftCell="A2">
      <selection activeCell="I35" sqref="I34:I35"/>
      <pageMargins left="0.75" right="0.75" top="1" bottom="1" header="0.5" footer="0.5"/>
      <pageSetup scale="41" orientation="portrait" horizontalDpi="300" verticalDpi="300" r:id="rId5"/>
      <headerFooter alignWithMargins="0"/>
    </customSheetView>
    <customSheetView guid="{7FD41845-6BD4-448F-810C-049EFA55EC1B}" scale="80" showPageBreaks="1" fitToPage="1" view="pageBreakPreview" showRuler="0">
      <pane xSplit="1" ySplit="4" topLeftCell="B53" activePane="bottomRight" state="frozen"/>
      <selection pane="bottomRight" activeCell="K55" sqref="K55"/>
      <pageMargins left="0.75" right="0.75" top="1" bottom="1" header="0.5" footer="0.5"/>
      <pageSetup scale="52" orientation="landscape" horizontalDpi="300" verticalDpi="300" r:id="rId6"/>
      <headerFooter alignWithMargins="0"/>
    </customSheetView>
    <customSheetView guid="{8B0AB125-4209-45BF-9ABD-74BE01FD7C48}" scale="80" showPageBreaks="1" fitToPage="1" view="pageBreakPreview" showRuler="0">
      <pane xSplit="1" ySplit="4" topLeftCell="B38" activePane="bottomRight" state="frozen"/>
      <selection pane="bottomRight" activeCell="B56" sqref="B56"/>
      <pageMargins left="0.75" right="0.75" top="1" bottom="1" header="0.5" footer="0.5"/>
      <pageSetup scale="52" orientation="landscape" horizontalDpi="300" verticalDpi="300" r:id="rId7"/>
      <headerFooter alignWithMargins="0"/>
    </customSheetView>
  </customSheetViews>
  <mergeCells count="3">
    <mergeCell ref="A1:H1"/>
    <mergeCell ref="A2:H2"/>
    <mergeCell ref="E59:G59"/>
  </mergeCells>
  <phoneticPr fontId="0" type="noConversion"/>
  <pageMargins left="0.75" right="0.75" top="1" bottom="1" header="0.5" footer="0.5"/>
  <pageSetup scale="51" orientation="landscape" horizontalDpi="300" verticalDpi="300" r:id="rId8"/>
  <headerFooter alignWithMargins="0"/>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enableFormatConditionsCalculation="0">
    <tabColor indexed="28"/>
    <pageSetUpPr fitToPage="1"/>
  </sheetPr>
  <dimension ref="A1:P765"/>
  <sheetViews>
    <sheetView showRuler="0" zoomScale="75" zoomScaleNormal="75" zoomScaleSheetLayoutView="75"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6.28515625" style="1" customWidth="1"/>
    <col min="3" max="3" width="15.28515625" style="1" bestFit="1" customWidth="1"/>
    <col min="4" max="4" width="14.140625" style="1" customWidth="1"/>
    <col min="5" max="5" width="13.85546875" style="99" customWidth="1"/>
    <col min="6" max="6" width="10.85546875" style="31" customWidth="1"/>
    <col min="7" max="7" width="16.5703125" style="99" customWidth="1"/>
    <col min="8" max="8" width="10.85546875" style="1" customWidth="1"/>
    <col min="9" max="15" width="6.85546875" style="1"/>
    <col min="16" max="16" width="7" style="1" bestFit="1" customWidth="1"/>
    <col min="17" max="16384" width="6.85546875" style="1"/>
  </cols>
  <sheetData>
    <row r="1" spans="1:10" ht="18">
      <c r="A1" s="1742" t="s">
        <v>274</v>
      </c>
      <c r="B1" s="1742"/>
      <c r="C1" s="1742"/>
      <c r="D1" s="1742"/>
      <c r="E1" s="1742"/>
      <c r="F1" s="1742"/>
      <c r="G1" s="1742"/>
      <c r="H1" s="1742"/>
    </row>
    <row r="2" spans="1:10" ht="15" customHeight="1" thickBot="1">
      <c r="A2" s="1743" t="s">
        <v>318</v>
      </c>
      <c r="B2" s="1743"/>
      <c r="C2" s="1743"/>
      <c r="D2" s="1743"/>
      <c r="E2" s="1743"/>
      <c r="F2" s="1743"/>
      <c r="G2" s="1743"/>
      <c r="H2" s="1743"/>
    </row>
    <row r="3" spans="1:10" s="87" customFormat="1" ht="12.75" customHeight="1">
      <c r="A3" s="86"/>
      <c r="B3" s="86"/>
      <c r="C3" s="86" t="s">
        <v>64</v>
      </c>
      <c r="D3" s="91" t="s">
        <v>64</v>
      </c>
      <c r="E3" s="86"/>
      <c r="F3" s="91" t="s">
        <v>86</v>
      </c>
      <c r="G3" s="86"/>
      <c r="H3" s="91" t="s">
        <v>110</v>
      </c>
    </row>
    <row r="4" spans="1:10" ht="39" thickBot="1">
      <c r="A4" s="3" t="s">
        <v>0</v>
      </c>
      <c r="B4" s="5" t="s">
        <v>314</v>
      </c>
      <c r="C4" s="4" t="s">
        <v>315</v>
      </c>
      <c r="D4" s="4" t="s">
        <v>217</v>
      </c>
      <c r="E4" s="5" t="s">
        <v>316</v>
      </c>
      <c r="F4" s="129" t="s">
        <v>1</v>
      </c>
      <c r="G4" s="5" t="s">
        <v>317</v>
      </c>
      <c r="H4" s="129" t="s">
        <v>1</v>
      </c>
    </row>
    <row r="5" spans="1:10">
      <c r="A5" s="2"/>
      <c r="B5" s="9"/>
      <c r="C5" s="2"/>
      <c r="D5" s="2"/>
      <c r="E5" s="2"/>
      <c r="F5" s="2"/>
      <c r="G5" s="2"/>
      <c r="H5" s="2"/>
    </row>
    <row r="6" spans="1:10">
      <c r="A6" s="11" t="s">
        <v>2</v>
      </c>
      <c r="B6" s="9"/>
      <c r="C6" s="12"/>
      <c r="D6" s="13"/>
      <c r="E6" s="13"/>
      <c r="F6" s="13"/>
      <c r="G6" s="13"/>
      <c r="H6" s="13"/>
      <c r="J6" s="16" t="s">
        <v>197</v>
      </c>
    </row>
    <row r="7" spans="1:10">
      <c r="A7" s="16" t="s">
        <v>3</v>
      </c>
      <c r="B7" s="45">
        <v>70759.8</v>
      </c>
      <c r="C7" s="45">
        <v>35362.800000000003</v>
      </c>
      <c r="D7" s="45">
        <v>34506</v>
      </c>
      <c r="E7" s="45">
        <v>34503.08</v>
      </c>
      <c r="F7" s="14">
        <f t="shared" ref="F7:F16" si="0">E7-C7</f>
        <v>-859.72000000000116</v>
      </c>
      <c r="G7" s="105">
        <f>(74533)-(74533*5%)-49+2.45</f>
        <v>70759.8</v>
      </c>
      <c r="H7" s="9">
        <f t="shared" ref="H7:H12" si="1">G7-C7</f>
        <v>35397</v>
      </c>
      <c r="J7" s="16" t="s">
        <v>109</v>
      </c>
    </row>
    <row r="8" spans="1:10">
      <c r="A8" s="16" t="s">
        <v>4</v>
      </c>
      <c r="B8" s="45"/>
      <c r="C8" s="45"/>
      <c r="D8" s="45">
        <v>0</v>
      </c>
      <c r="E8" s="45"/>
      <c r="F8" s="14">
        <f t="shared" si="0"/>
        <v>0</v>
      </c>
      <c r="G8" s="106"/>
      <c r="H8" s="9">
        <f t="shared" si="1"/>
        <v>0</v>
      </c>
    </row>
    <row r="9" spans="1:10">
      <c r="A9" s="16" t="s">
        <v>5</v>
      </c>
      <c r="B9" s="45">
        <v>0</v>
      </c>
      <c r="C9" s="45">
        <v>0</v>
      </c>
      <c r="D9" s="45">
        <v>0</v>
      </c>
      <c r="E9" s="45"/>
      <c r="F9" s="14">
        <f t="shared" si="0"/>
        <v>0</v>
      </c>
      <c r="G9" s="106">
        <v>0</v>
      </c>
      <c r="H9" s="9">
        <f t="shared" si="1"/>
        <v>0</v>
      </c>
    </row>
    <row r="10" spans="1:10">
      <c r="A10" s="16" t="s">
        <v>6</v>
      </c>
      <c r="B10" s="45">
        <v>0</v>
      </c>
      <c r="C10" s="45">
        <v>0</v>
      </c>
      <c r="D10" s="45">
        <v>0</v>
      </c>
      <c r="E10" s="45"/>
      <c r="F10" s="14">
        <f t="shared" si="0"/>
        <v>0</v>
      </c>
      <c r="G10" s="106">
        <v>0</v>
      </c>
      <c r="H10" s="9">
        <f t="shared" si="1"/>
        <v>0</v>
      </c>
    </row>
    <row r="11" spans="1:10">
      <c r="A11" s="16" t="s">
        <v>7</v>
      </c>
      <c r="B11" s="45">
        <v>0</v>
      </c>
      <c r="C11" s="45">
        <v>0</v>
      </c>
      <c r="D11" s="45">
        <v>0</v>
      </c>
      <c r="E11" s="45"/>
      <c r="F11" s="14">
        <f t="shared" si="0"/>
        <v>0</v>
      </c>
      <c r="G11" s="106">
        <v>0</v>
      </c>
      <c r="H11" s="9">
        <f t="shared" si="1"/>
        <v>0</v>
      </c>
    </row>
    <row r="12" spans="1:10">
      <c r="A12" s="24" t="s">
        <v>8</v>
      </c>
      <c r="B12" s="42">
        <v>100</v>
      </c>
      <c r="C12" s="42">
        <v>1600</v>
      </c>
      <c r="D12" s="42">
        <v>72</v>
      </c>
      <c r="E12" s="42">
        <v>71.63</v>
      </c>
      <c r="F12" s="14">
        <f t="shared" si="0"/>
        <v>-1528.37</v>
      </c>
      <c r="G12" s="78">
        <v>100</v>
      </c>
      <c r="H12" s="9">
        <f t="shared" si="1"/>
        <v>-1500</v>
      </c>
      <c r="J12" s="16" t="s">
        <v>199</v>
      </c>
    </row>
    <row r="13" spans="1:10">
      <c r="A13" s="37" t="s">
        <v>9</v>
      </c>
      <c r="B13" s="46">
        <f t="shared" ref="B13:H13" si="2">SUM(B7:B12)</f>
        <v>70859.8</v>
      </c>
      <c r="C13" s="46">
        <f t="shared" si="2"/>
        <v>36962.800000000003</v>
      </c>
      <c r="D13" s="46">
        <f t="shared" si="2"/>
        <v>34578</v>
      </c>
      <c r="E13" s="46">
        <f t="shared" si="2"/>
        <v>34574.71</v>
      </c>
      <c r="F13" s="39">
        <f t="shared" si="2"/>
        <v>-2388.0900000000011</v>
      </c>
      <c r="G13" s="46">
        <f t="shared" si="2"/>
        <v>70859.8</v>
      </c>
      <c r="H13" s="40">
        <f t="shared" si="2"/>
        <v>33897</v>
      </c>
    </row>
    <row r="14" spans="1:10">
      <c r="A14" s="18" t="s">
        <v>19</v>
      </c>
      <c r="B14" s="42"/>
      <c r="C14" s="50"/>
      <c r="D14" s="50"/>
      <c r="E14" s="50"/>
      <c r="F14" s="50"/>
      <c r="G14" s="50"/>
      <c r="H14" s="50"/>
    </row>
    <row r="15" spans="1:10">
      <c r="A15" s="41" t="s">
        <v>275</v>
      </c>
      <c r="B15" s="42">
        <v>0</v>
      </c>
      <c r="C15" s="50"/>
      <c r="D15" s="50"/>
      <c r="E15" s="50"/>
      <c r="F15" s="50"/>
      <c r="G15" s="260">
        <v>0</v>
      </c>
      <c r="H15" s="50"/>
      <c r="J15" s="16" t="s">
        <v>58</v>
      </c>
    </row>
    <row r="16" spans="1:10">
      <c r="A16" s="36" t="s">
        <v>261</v>
      </c>
      <c r="B16" s="42">
        <v>33356.71</v>
      </c>
      <c r="C16" s="42">
        <v>80482</v>
      </c>
      <c r="D16" s="114">
        <f>C16</f>
        <v>80482</v>
      </c>
      <c r="E16" s="84">
        <f>C16</f>
        <v>80482</v>
      </c>
      <c r="F16" s="14">
        <f t="shared" si="0"/>
        <v>0</v>
      </c>
      <c r="G16" s="78">
        <f>E33</f>
        <v>33356.71</v>
      </c>
      <c r="H16" s="10">
        <f>G16-C16</f>
        <v>-47125.29</v>
      </c>
      <c r="J16" s="16" t="s">
        <v>198</v>
      </c>
    </row>
    <row r="17" spans="1:16">
      <c r="A17" s="16"/>
      <c r="B17" s="42" t="s">
        <v>58</v>
      </c>
      <c r="C17" s="42" t="s">
        <v>58</v>
      </c>
      <c r="D17" s="50" t="s">
        <v>58</v>
      </c>
      <c r="E17" s="50" t="s">
        <v>58</v>
      </c>
      <c r="F17" s="50" t="s">
        <v>58</v>
      </c>
      <c r="G17" s="50" t="s">
        <v>58</v>
      </c>
      <c r="H17" s="50" t="s">
        <v>58</v>
      </c>
    </row>
    <row r="18" spans="1:16">
      <c r="A18" s="18" t="s">
        <v>20</v>
      </c>
      <c r="B18" s="28">
        <f t="shared" ref="B18:H18" si="3">SUM(B15:B17)</f>
        <v>33356.71</v>
      </c>
      <c r="C18" s="28">
        <f t="shared" si="3"/>
        <v>80482</v>
      </c>
      <c r="D18" s="28">
        <f t="shared" si="3"/>
        <v>80482</v>
      </c>
      <c r="E18" s="28">
        <f t="shared" si="3"/>
        <v>80482</v>
      </c>
      <c r="F18" s="101">
        <f t="shared" si="3"/>
        <v>0</v>
      </c>
      <c r="G18" s="28">
        <f t="shared" si="3"/>
        <v>33356.71</v>
      </c>
      <c r="H18" s="19">
        <f t="shared" si="3"/>
        <v>-47125.29</v>
      </c>
    </row>
    <row r="19" spans="1:16" ht="13.5" thickBot="1">
      <c r="A19" s="55" t="s">
        <v>21</v>
      </c>
      <c r="B19" s="57">
        <f>B13+B18</f>
        <v>104216.51000000001</v>
      </c>
      <c r="C19" s="57">
        <f>C13+C18</f>
        <v>117444.8</v>
      </c>
      <c r="D19" s="57">
        <f>D13+D18</f>
        <v>115060</v>
      </c>
      <c r="E19" s="57">
        <f>E13+E18</f>
        <v>115056.70999999999</v>
      </c>
      <c r="F19" s="58">
        <f>E19-C19</f>
        <v>-2388.0900000000111</v>
      </c>
      <c r="G19" s="57">
        <f>G13+G18</f>
        <v>104216.51000000001</v>
      </c>
      <c r="H19" s="58">
        <f>G19-C19</f>
        <v>-13228.289999999994</v>
      </c>
      <c r="P19" s="1">
        <v>33357</v>
      </c>
    </row>
    <row r="20" spans="1:16" ht="13.5" thickTop="1">
      <c r="A20" s="115"/>
      <c r="B20" s="116"/>
      <c r="C20" s="116"/>
      <c r="D20" s="116"/>
      <c r="E20" s="116"/>
      <c r="F20" s="117"/>
      <c r="G20" s="116"/>
      <c r="H20" s="117"/>
      <c r="P20" s="1">
        <v>-8694</v>
      </c>
    </row>
    <row r="21" spans="1:16">
      <c r="A21" s="2"/>
      <c r="B21" s="48"/>
      <c r="C21" s="48"/>
      <c r="D21" s="48"/>
      <c r="E21" s="48"/>
      <c r="F21" s="48"/>
      <c r="G21" s="48"/>
      <c r="H21" s="48"/>
      <c r="P21" s="1">
        <f>SUM(P19:P20)</f>
        <v>24663</v>
      </c>
    </row>
    <row r="22" spans="1:16">
      <c r="A22" s="11" t="s">
        <v>10</v>
      </c>
      <c r="B22" s="49"/>
      <c r="C22" s="48"/>
      <c r="D22" s="48"/>
      <c r="E22" s="48"/>
      <c r="F22" s="48"/>
      <c r="G22" s="48"/>
      <c r="H22" s="48"/>
    </row>
    <row r="23" spans="1:16">
      <c r="A23" s="24" t="s">
        <v>11</v>
      </c>
      <c r="B23" s="48"/>
      <c r="C23" s="48">
        <v>0</v>
      </c>
      <c r="D23" s="48">
        <v>0</v>
      </c>
      <c r="E23" s="48">
        <v>0</v>
      </c>
      <c r="F23" s="14">
        <f t="shared" ref="F23:F30" si="4">C23-E23</f>
        <v>0</v>
      </c>
      <c r="G23" s="98"/>
      <c r="H23" s="9">
        <f t="shared" ref="H23:H30" si="5">C23-G23</f>
        <v>0</v>
      </c>
    </row>
    <row r="24" spans="1:16">
      <c r="A24" s="24" t="s">
        <v>12</v>
      </c>
      <c r="B24" s="48"/>
      <c r="C24" s="48">
        <v>0</v>
      </c>
      <c r="D24" s="48">
        <v>0</v>
      </c>
      <c r="E24" s="48">
        <v>0</v>
      </c>
      <c r="F24" s="14">
        <f t="shared" si="4"/>
        <v>0</v>
      </c>
      <c r="G24" s="98"/>
      <c r="H24" s="9">
        <f t="shared" si="5"/>
        <v>0</v>
      </c>
    </row>
    <row r="25" spans="1:16">
      <c r="A25" s="24" t="s">
        <v>13</v>
      </c>
      <c r="B25" s="48">
        <v>79500</v>
      </c>
      <c r="C25" s="48">
        <v>81700</v>
      </c>
      <c r="D25" s="48">
        <v>6000</v>
      </c>
      <c r="E25" s="48">
        <v>81700</v>
      </c>
      <c r="F25" s="14">
        <f t="shared" si="4"/>
        <v>0</v>
      </c>
      <c r="G25" s="98">
        <v>79500</v>
      </c>
      <c r="H25" s="9">
        <f t="shared" si="5"/>
        <v>2200</v>
      </c>
      <c r="J25" s="1" t="s">
        <v>200</v>
      </c>
    </row>
    <row r="26" spans="1:16">
      <c r="A26" s="24" t="s">
        <v>14</v>
      </c>
      <c r="B26" s="48"/>
      <c r="C26" s="48">
        <v>0</v>
      </c>
      <c r="D26" s="48">
        <v>0</v>
      </c>
      <c r="E26" s="48">
        <v>0</v>
      </c>
      <c r="F26" s="14">
        <f t="shared" si="4"/>
        <v>0</v>
      </c>
      <c r="G26" s="98"/>
      <c r="H26" s="9">
        <f t="shared" si="5"/>
        <v>0</v>
      </c>
    </row>
    <row r="27" spans="1:16">
      <c r="A27" s="24" t="s">
        <v>26</v>
      </c>
      <c r="B27" s="48">
        <v>0</v>
      </c>
      <c r="C27" s="48">
        <v>0</v>
      </c>
      <c r="D27" s="48">
        <v>0</v>
      </c>
      <c r="E27" s="48">
        <v>0</v>
      </c>
      <c r="F27" s="14">
        <f t="shared" si="4"/>
        <v>0</v>
      </c>
      <c r="G27" s="98">
        <v>0</v>
      </c>
      <c r="H27" s="9">
        <f t="shared" si="5"/>
        <v>0</v>
      </c>
    </row>
    <row r="28" spans="1:16">
      <c r="A28" s="24" t="s">
        <v>15</v>
      </c>
      <c r="B28" s="48">
        <v>0</v>
      </c>
      <c r="C28" s="48">
        <v>0</v>
      </c>
      <c r="D28" s="48">
        <v>0</v>
      </c>
      <c r="E28" s="48">
        <v>0</v>
      </c>
      <c r="F28" s="14">
        <f t="shared" si="4"/>
        <v>0</v>
      </c>
      <c r="G28" s="98">
        <v>0</v>
      </c>
      <c r="H28" s="9">
        <f t="shared" si="5"/>
        <v>0</v>
      </c>
    </row>
    <row r="29" spans="1:16">
      <c r="A29" s="24" t="s">
        <v>16</v>
      </c>
      <c r="B29" s="48">
        <v>0</v>
      </c>
      <c r="C29" s="48">
        <v>0</v>
      </c>
      <c r="D29" s="48">
        <v>0</v>
      </c>
      <c r="E29" s="48">
        <v>0</v>
      </c>
      <c r="F29" s="14">
        <f t="shared" si="4"/>
        <v>0</v>
      </c>
      <c r="G29" s="98">
        <v>0</v>
      </c>
      <c r="H29" s="9">
        <f t="shared" si="5"/>
        <v>0</v>
      </c>
    </row>
    <row r="30" spans="1:16">
      <c r="A30" s="37" t="s">
        <v>22</v>
      </c>
      <c r="B30" s="46">
        <f>SUM(B23:B29)</f>
        <v>79500</v>
      </c>
      <c r="C30" s="46">
        <f>SUM(C23:C29)</f>
        <v>81700</v>
      </c>
      <c r="D30" s="46">
        <f>SUM(D23:D29)</f>
        <v>6000</v>
      </c>
      <c r="E30" s="46">
        <f>SUM(E23:E29)</f>
        <v>81700</v>
      </c>
      <c r="F30" s="39">
        <f t="shared" si="4"/>
        <v>0</v>
      </c>
      <c r="G30" s="107">
        <f>SUM(G23:G29)</f>
        <v>79500</v>
      </c>
      <c r="H30" s="40">
        <f t="shared" si="5"/>
        <v>2200</v>
      </c>
    </row>
    <row r="31" spans="1:16">
      <c r="A31" s="18" t="s">
        <v>23</v>
      </c>
      <c r="B31" s="50"/>
      <c r="C31" s="50"/>
      <c r="D31" s="50"/>
      <c r="E31" s="50"/>
      <c r="F31" s="50"/>
      <c r="G31" s="50"/>
      <c r="H31" s="50"/>
    </row>
    <row r="32" spans="1:16">
      <c r="A32" s="41"/>
      <c r="B32" s="50" t="s">
        <v>58</v>
      </c>
      <c r="C32" s="50" t="s">
        <v>58</v>
      </c>
      <c r="D32" s="50" t="s">
        <v>58</v>
      </c>
      <c r="E32" s="50" t="s">
        <v>58</v>
      </c>
      <c r="F32" s="50" t="s">
        <v>58</v>
      </c>
      <c r="G32" s="50" t="s">
        <v>58</v>
      </c>
      <c r="H32" s="50" t="s">
        <v>58</v>
      </c>
    </row>
    <row r="33" spans="1:10">
      <c r="A33" s="41" t="s">
        <v>276</v>
      </c>
      <c r="B33" s="50">
        <v>24716.51</v>
      </c>
      <c r="C33" s="50">
        <v>35744.800000000003</v>
      </c>
      <c r="D33" s="114">
        <v>109060</v>
      </c>
      <c r="E33" s="114">
        <f>33360-3.29</f>
        <v>33356.71</v>
      </c>
      <c r="F33" s="14">
        <f>C33-E33</f>
        <v>2388.0900000000038</v>
      </c>
      <c r="G33" s="73">
        <f>33457-8693.94-46.55</f>
        <v>24716.51</v>
      </c>
      <c r="H33" s="9">
        <f>C33-G33</f>
        <v>11028.290000000005</v>
      </c>
    </row>
    <row r="34" spans="1:10">
      <c r="A34" s="41" t="s">
        <v>37</v>
      </c>
      <c r="B34" s="50">
        <v>0</v>
      </c>
      <c r="C34" s="50">
        <v>0</v>
      </c>
      <c r="D34" s="50">
        <v>0</v>
      </c>
      <c r="E34" s="50">
        <v>0</v>
      </c>
      <c r="F34" s="14">
        <f>C34-E34</f>
        <v>0</v>
      </c>
      <c r="G34" s="73">
        <v>0</v>
      </c>
      <c r="H34" s="10">
        <f>C34-G34</f>
        <v>0</v>
      </c>
      <c r="J34" s="16" t="s">
        <v>185</v>
      </c>
    </row>
    <row r="35" spans="1:10">
      <c r="A35" s="41"/>
      <c r="B35" s="50" t="s">
        <v>58</v>
      </c>
      <c r="C35" s="50" t="s">
        <v>58</v>
      </c>
      <c r="D35" s="50" t="s">
        <v>58</v>
      </c>
      <c r="E35" s="50" t="s">
        <v>58</v>
      </c>
      <c r="F35" s="14" t="s">
        <v>58</v>
      </c>
      <c r="G35" s="73" t="s">
        <v>58</v>
      </c>
      <c r="H35" s="13" t="s">
        <v>58</v>
      </c>
    </row>
    <row r="36" spans="1:10">
      <c r="A36" s="37" t="s">
        <v>24</v>
      </c>
      <c r="B36" s="38">
        <f>SUM(B32:B35)</f>
        <v>24716.51</v>
      </c>
      <c r="C36" s="46">
        <f>SUM(C32:C35)</f>
        <v>35744.800000000003</v>
      </c>
      <c r="D36" s="46">
        <f>SUM(D32:D35)</f>
        <v>109060</v>
      </c>
      <c r="E36" s="46">
        <f>SUM(E32:E35)</f>
        <v>33356.71</v>
      </c>
      <c r="F36" s="39">
        <f>C36-E36</f>
        <v>2388.0900000000038</v>
      </c>
      <c r="G36" s="108">
        <f>SUM(G32:G35)</f>
        <v>24716.51</v>
      </c>
      <c r="H36" s="40">
        <f>C36-G36</f>
        <v>11028.290000000005</v>
      </c>
    </row>
    <row r="37" spans="1:10" ht="12.75" customHeight="1" thickBot="1">
      <c r="A37" s="55" t="s">
        <v>25</v>
      </c>
      <c r="B37" s="59">
        <f>B30+B36</f>
        <v>104216.51</v>
      </c>
      <c r="C37" s="59">
        <f>C30+C36</f>
        <v>117444.8</v>
      </c>
      <c r="D37" s="59">
        <f>D30+D36</f>
        <v>115060</v>
      </c>
      <c r="E37" s="59">
        <f>E30+E36</f>
        <v>115056.70999999999</v>
      </c>
      <c r="F37" s="58">
        <f>C37-E37</f>
        <v>2388.0900000000111</v>
      </c>
      <c r="G37" s="109">
        <f>G30+G36</f>
        <v>104216.51</v>
      </c>
      <c r="H37" s="56">
        <f>C37-G37</f>
        <v>13228.290000000008</v>
      </c>
    </row>
    <row r="38" spans="1:10" ht="13.5" thickTop="1">
      <c r="A38" s="26" t="s">
        <v>17</v>
      </c>
      <c r="B38" s="168">
        <f>B19-B37</f>
        <v>0</v>
      </c>
      <c r="C38" s="168">
        <f>C19-C37</f>
        <v>0</v>
      </c>
      <c r="D38" s="168">
        <f>D19-D37</f>
        <v>0</v>
      </c>
      <c r="E38" s="168">
        <f>E19-E37</f>
        <v>0</v>
      </c>
      <c r="F38" s="168"/>
      <c r="G38" s="198">
        <f>G19-G37</f>
        <v>0</v>
      </c>
    </row>
    <row r="39" spans="1:10" ht="12.75" customHeight="1">
      <c r="A39" s="96" t="s">
        <v>196</v>
      </c>
      <c r="B39" s="26"/>
      <c r="C39" s="28"/>
      <c r="D39" s="28"/>
      <c r="E39" s="29"/>
      <c r="F39" s="29"/>
      <c r="G39" s="29"/>
    </row>
    <row r="40" spans="1:10" ht="12.75" customHeight="1">
      <c r="A40" s="30" t="s">
        <v>18</v>
      </c>
      <c r="B40" s="30" t="s">
        <v>257</v>
      </c>
      <c r="C40" s="16"/>
      <c r="D40" s="16" t="s">
        <v>49</v>
      </c>
      <c r="E40" s="31"/>
      <c r="G40" s="31"/>
    </row>
    <row r="41" spans="1:10" ht="12.75" customHeight="1">
      <c r="A41" s="30" t="s">
        <v>195</v>
      </c>
      <c r="B41" s="30"/>
      <c r="C41" s="16"/>
      <c r="D41" s="24" t="s">
        <v>48</v>
      </c>
      <c r="E41" s="22"/>
      <c r="F41" s="22"/>
      <c r="G41" s="22"/>
    </row>
    <row r="42" spans="1:10" ht="12.75" customHeight="1">
      <c r="A42" s="16"/>
      <c r="C42" s="12" t="s">
        <v>67</v>
      </c>
      <c r="D42" s="215" t="s">
        <v>67</v>
      </c>
      <c r="E42" s="92" t="s">
        <v>193</v>
      </c>
      <c r="F42" s="24"/>
      <c r="G42" s="24"/>
      <c r="H42" s="2"/>
    </row>
    <row r="43" spans="1:10" ht="12.75" customHeight="1">
      <c r="A43" s="33"/>
      <c r="B43" s="33"/>
      <c r="D43" s="2"/>
      <c r="E43" s="93" t="s">
        <v>194</v>
      </c>
      <c r="F43" s="62"/>
      <c r="G43" s="88"/>
    </row>
    <row r="44" spans="1:10" ht="12.75" customHeight="1">
      <c r="E44" s="89"/>
      <c r="F44" s="214"/>
      <c r="G44" s="89"/>
    </row>
    <row r="45" spans="1:10" ht="12.75" customHeight="1">
      <c r="E45" s="89"/>
      <c r="F45" s="214"/>
      <c r="G45" s="89"/>
    </row>
    <row r="46" spans="1:10" ht="12.75" customHeight="1">
      <c r="E46" s="89"/>
      <c r="F46" s="214"/>
      <c r="G46" s="89"/>
    </row>
    <row r="47" spans="1:10" ht="12.75" customHeight="1">
      <c r="E47" s="89"/>
      <c r="F47" s="214"/>
      <c r="G47" s="89"/>
    </row>
    <row r="48" spans="1:10" ht="12.75" customHeight="1">
      <c r="E48" s="89"/>
      <c r="F48" s="214"/>
      <c r="G48" s="89"/>
    </row>
    <row r="49" spans="5:7" ht="12.75" customHeight="1">
      <c r="E49" s="89"/>
      <c r="F49" s="214"/>
      <c r="G49" s="89"/>
    </row>
    <row r="50" spans="5:7" ht="12.75" customHeight="1">
      <c r="E50" s="89"/>
      <c r="F50" s="214"/>
      <c r="G50" s="89"/>
    </row>
    <row r="51" spans="5:7" ht="12.75" customHeight="1">
      <c r="E51" s="89"/>
      <c r="F51" s="214"/>
      <c r="G51" s="89"/>
    </row>
    <row r="52" spans="5:7" ht="12.75" customHeight="1">
      <c r="E52" s="89"/>
      <c r="F52" s="214"/>
      <c r="G52" s="89"/>
    </row>
    <row r="53" spans="5:7" ht="12.75" customHeight="1">
      <c r="E53" s="89"/>
      <c r="F53" s="214"/>
      <c r="G53" s="89"/>
    </row>
    <row r="54" spans="5:7" ht="12.75" customHeight="1">
      <c r="E54" s="89"/>
      <c r="F54" s="214"/>
      <c r="G54" s="89"/>
    </row>
    <row r="55" spans="5:7" ht="12.75" customHeight="1">
      <c r="E55" s="89"/>
      <c r="F55" s="214"/>
      <c r="G55" s="89"/>
    </row>
    <row r="56" spans="5:7" ht="12.75" customHeight="1">
      <c r="E56" s="89"/>
      <c r="F56" s="214"/>
      <c r="G56" s="89"/>
    </row>
    <row r="57" spans="5:7" ht="12.75" customHeight="1">
      <c r="E57" s="89"/>
      <c r="F57" s="214"/>
      <c r="G57" s="89"/>
    </row>
    <row r="58" spans="5:7" ht="12.75" customHeight="1">
      <c r="E58" s="89"/>
      <c r="F58" s="214"/>
      <c r="G58" s="89"/>
    </row>
    <row r="59" spans="5:7" ht="12.75" customHeight="1">
      <c r="E59" s="89"/>
      <c r="F59" s="214"/>
      <c r="G59" s="89"/>
    </row>
    <row r="60" spans="5:7" ht="12.75" customHeight="1">
      <c r="E60" s="89"/>
      <c r="F60" s="214"/>
      <c r="G60" s="89"/>
    </row>
    <row r="61" spans="5:7" ht="12.75" customHeight="1">
      <c r="E61" s="89"/>
      <c r="F61" s="214"/>
      <c r="G61" s="89"/>
    </row>
    <row r="62" spans="5:7" ht="12.75" customHeight="1">
      <c r="E62" s="89"/>
      <c r="F62" s="214"/>
      <c r="G62" s="89"/>
    </row>
    <row r="63" spans="5:7" ht="12.75" customHeight="1">
      <c r="E63" s="89"/>
      <c r="F63" s="214"/>
      <c r="G63" s="89"/>
    </row>
    <row r="64" spans="5:7" ht="12.75" customHeight="1">
      <c r="E64" s="89"/>
      <c r="F64" s="214"/>
      <c r="G64" s="89"/>
    </row>
    <row r="65" spans="5:7" ht="12.75" customHeight="1">
      <c r="E65" s="89"/>
      <c r="F65" s="214"/>
      <c r="G65" s="89"/>
    </row>
    <row r="66" spans="5:7" ht="12.75" customHeight="1">
      <c r="E66" s="89"/>
      <c r="F66" s="214"/>
      <c r="G66" s="89"/>
    </row>
    <row r="67" spans="5:7" ht="12.75" customHeight="1">
      <c r="E67" s="89"/>
      <c r="F67" s="214"/>
      <c r="G67" s="89"/>
    </row>
    <row r="68" spans="5:7" ht="12.75" customHeight="1">
      <c r="E68" s="89"/>
      <c r="F68" s="214"/>
      <c r="G68" s="89"/>
    </row>
    <row r="69" spans="5:7" ht="12.75" customHeight="1">
      <c r="E69" s="89"/>
      <c r="F69" s="214"/>
      <c r="G69" s="89"/>
    </row>
    <row r="70" spans="5:7" ht="12.75" customHeight="1">
      <c r="E70" s="89"/>
      <c r="F70" s="214"/>
      <c r="G70" s="89"/>
    </row>
    <row r="71" spans="5:7" ht="12.75" customHeight="1">
      <c r="E71" s="89"/>
      <c r="F71" s="214"/>
      <c r="G71" s="89"/>
    </row>
    <row r="72" spans="5:7" ht="12.75" customHeight="1">
      <c r="E72" s="89"/>
      <c r="F72" s="214"/>
      <c r="G72" s="89"/>
    </row>
    <row r="73" spans="5:7" ht="12.75" customHeight="1">
      <c r="E73" s="89"/>
      <c r="F73" s="214"/>
      <c r="G73" s="89"/>
    </row>
    <row r="74" spans="5:7" ht="12.75" customHeight="1">
      <c r="E74" s="89"/>
      <c r="F74" s="214"/>
      <c r="G74" s="89"/>
    </row>
    <row r="75" spans="5:7" ht="12.75" customHeight="1">
      <c r="E75" s="89"/>
      <c r="F75" s="214"/>
      <c r="G75" s="89"/>
    </row>
    <row r="76" spans="5:7" ht="12.75" customHeight="1">
      <c r="E76" s="89"/>
      <c r="F76" s="214"/>
      <c r="G76" s="89"/>
    </row>
    <row r="77" spans="5:7" ht="12.75" customHeight="1">
      <c r="E77" s="89"/>
      <c r="F77" s="214"/>
      <c r="G77" s="89"/>
    </row>
    <row r="78" spans="5:7" ht="12.75" customHeight="1">
      <c r="E78" s="89"/>
      <c r="F78" s="214"/>
      <c r="G78" s="89"/>
    </row>
    <row r="79" spans="5:7" ht="12.75" customHeight="1">
      <c r="E79" s="89"/>
      <c r="F79" s="214"/>
      <c r="G79" s="89"/>
    </row>
    <row r="80" spans="5:7" ht="12.75" customHeight="1">
      <c r="E80" s="89"/>
      <c r="F80" s="214"/>
      <c r="G80" s="89"/>
    </row>
    <row r="81" spans="5:7" ht="12.75" customHeight="1">
      <c r="E81" s="89"/>
      <c r="F81" s="214"/>
      <c r="G81" s="89"/>
    </row>
    <row r="82" spans="5:7" ht="12.75" customHeight="1">
      <c r="E82" s="89"/>
      <c r="F82" s="214"/>
      <c r="G82" s="89"/>
    </row>
    <row r="83" spans="5:7" ht="12.75" customHeight="1">
      <c r="E83" s="89"/>
      <c r="F83" s="214"/>
      <c r="G83" s="89"/>
    </row>
    <row r="84" spans="5:7" ht="12.75" customHeight="1">
      <c r="E84" s="89"/>
      <c r="F84" s="214"/>
      <c r="G84" s="89"/>
    </row>
    <row r="85" spans="5:7" ht="12.75" customHeight="1">
      <c r="E85" s="89"/>
      <c r="F85" s="214"/>
      <c r="G85" s="89"/>
    </row>
    <row r="86" spans="5:7" ht="12.75" customHeight="1">
      <c r="E86" s="89"/>
      <c r="F86" s="214"/>
      <c r="G86" s="89"/>
    </row>
    <row r="87" spans="5:7" ht="12.75" customHeight="1">
      <c r="E87" s="89"/>
      <c r="F87" s="214"/>
      <c r="G87" s="89"/>
    </row>
    <row r="88" spans="5:7" ht="12.75" customHeight="1">
      <c r="E88" s="89"/>
      <c r="F88" s="214"/>
      <c r="G88" s="89"/>
    </row>
    <row r="89" spans="5:7" ht="12.75" customHeight="1">
      <c r="E89" s="89"/>
      <c r="F89" s="214"/>
      <c r="G89" s="89"/>
    </row>
    <row r="90" spans="5:7" ht="12.75" customHeight="1">
      <c r="E90" s="89"/>
      <c r="F90" s="214"/>
      <c r="G90" s="89"/>
    </row>
    <row r="91" spans="5:7" ht="12.75" customHeight="1">
      <c r="E91" s="89"/>
      <c r="F91" s="214"/>
      <c r="G91" s="89"/>
    </row>
    <row r="92" spans="5:7" ht="12.75" customHeight="1">
      <c r="E92" s="89"/>
      <c r="F92" s="214"/>
      <c r="G92" s="89"/>
    </row>
    <row r="93" spans="5:7" ht="12.75" customHeight="1">
      <c r="E93" s="89"/>
      <c r="F93" s="214"/>
      <c r="G93" s="89"/>
    </row>
    <row r="94" spans="5:7" ht="12.75" customHeight="1">
      <c r="E94" s="89"/>
      <c r="F94" s="214"/>
      <c r="G94" s="89"/>
    </row>
    <row r="95" spans="5:7" ht="12.75" customHeight="1">
      <c r="E95" s="89"/>
      <c r="F95" s="214"/>
      <c r="G95" s="89"/>
    </row>
    <row r="96" spans="5:7" ht="12.75" customHeight="1">
      <c r="E96" s="89"/>
      <c r="F96" s="214"/>
      <c r="G96" s="89"/>
    </row>
    <row r="97" spans="5:7" ht="12.75" customHeight="1">
      <c r="E97" s="89"/>
      <c r="F97" s="214"/>
      <c r="G97" s="89"/>
    </row>
    <row r="98" spans="5:7" ht="12.75" customHeight="1">
      <c r="E98" s="89"/>
      <c r="F98" s="214"/>
      <c r="G98" s="89"/>
    </row>
    <row r="99" spans="5:7" ht="12.75" customHeight="1">
      <c r="E99" s="89"/>
      <c r="F99" s="214"/>
      <c r="G99" s="89"/>
    </row>
    <row r="100" spans="5:7" ht="12.75" customHeight="1">
      <c r="E100" s="89"/>
      <c r="F100" s="214"/>
      <c r="G100" s="89"/>
    </row>
    <row r="101" spans="5:7" ht="12.75" customHeight="1">
      <c r="E101" s="89"/>
      <c r="F101" s="214"/>
      <c r="G101" s="89"/>
    </row>
    <row r="102" spans="5:7" ht="12.75" customHeight="1">
      <c r="E102" s="89"/>
      <c r="F102" s="214"/>
      <c r="G102" s="89"/>
    </row>
    <row r="103" spans="5:7" ht="12.75" customHeight="1">
      <c r="E103" s="89"/>
      <c r="F103" s="214"/>
      <c r="G103" s="89"/>
    </row>
    <row r="104" spans="5:7" ht="12.75" customHeight="1">
      <c r="E104" s="89"/>
      <c r="F104" s="214"/>
      <c r="G104" s="89"/>
    </row>
    <row r="105" spans="5:7" ht="12.75" customHeight="1">
      <c r="E105" s="89"/>
      <c r="F105" s="214"/>
      <c r="G105" s="89"/>
    </row>
    <row r="106" spans="5:7" ht="12.75" customHeight="1">
      <c r="E106" s="89"/>
      <c r="F106" s="214"/>
      <c r="G106" s="89"/>
    </row>
    <row r="107" spans="5:7" ht="12.75" customHeight="1">
      <c r="E107" s="89"/>
      <c r="F107" s="214"/>
      <c r="G107" s="89"/>
    </row>
    <row r="108" spans="5:7" ht="12.75" customHeight="1">
      <c r="E108" s="89"/>
      <c r="F108" s="214"/>
      <c r="G108" s="89"/>
    </row>
    <row r="109" spans="5:7" ht="12.75" customHeight="1">
      <c r="E109" s="89"/>
      <c r="F109" s="214"/>
      <c r="G109" s="89"/>
    </row>
    <row r="110" spans="5:7" ht="12.75" customHeight="1">
      <c r="E110" s="89"/>
      <c r="F110" s="214"/>
      <c r="G110" s="89"/>
    </row>
    <row r="111" spans="5:7" ht="12.75" customHeight="1">
      <c r="E111" s="89"/>
      <c r="F111" s="214"/>
      <c r="G111" s="89"/>
    </row>
    <row r="112" spans="5:7" ht="12.75" customHeight="1">
      <c r="E112" s="89"/>
      <c r="F112" s="214"/>
      <c r="G112" s="89"/>
    </row>
    <row r="113" spans="5:7" ht="12.75" customHeight="1">
      <c r="E113" s="89"/>
      <c r="F113" s="214"/>
      <c r="G113" s="89"/>
    </row>
    <row r="114" spans="5:7" ht="12.75" customHeight="1">
      <c r="E114" s="89"/>
      <c r="F114" s="214"/>
      <c r="G114" s="89"/>
    </row>
    <row r="115" spans="5:7" ht="12.75" customHeight="1">
      <c r="E115" s="89"/>
      <c r="F115" s="214"/>
      <c r="G115" s="89"/>
    </row>
    <row r="116" spans="5:7" ht="12.75" customHeight="1">
      <c r="E116" s="89"/>
      <c r="F116" s="214"/>
      <c r="G116" s="89"/>
    </row>
    <row r="117" spans="5:7" ht="12.75" customHeight="1">
      <c r="E117" s="89"/>
      <c r="F117" s="214"/>
      <c r="G117" s="89"/>
    </row>
    <row r="118" spans="5:7" ht="12.75" customHeight="1">
      <c r="E118" s="89"/>
      <c r="F118" s="214"/>
      <c r="G118" s="89"/>
    </row>
    <row r="119" spans="5:7" ht="12.75" customHeight="1">
      <c r="E119" s="89"/>
      <c r="F119" s="214"/>
      <c r="G119" s="89"/>
    </row>
    <row r="120" spans="5:7">
      <c r="E120" s="89"/>
      <c r="F120" s="214"/>
      <c r="G120" s="89"/>
    </row>
    <row r="121" spans="5:7">
      <c r="E121" s="89"/>
      <c r="F121" s="214"/>
      <c r="G121" s="89"/>
    </row>
    <row r="122" spans="5:7">
      <c r="E122" s="89"/>
      <c r="F122" s="214"/>
      <c r="G122" s="89"/>
    </row>
    <row r="123" spans="5:7">
      <c r="E123" s="89"/>
      <c r="F123" s="214"/>
      <c r="G123" s="89"/>
    </row>
    <row r="124" spans="5:7">
      <c r="E124" s="89"/>
      <c r="F124" s="214"/>
      <c r="G124" s="89"/>
    </row>
    <row r="125" spans="5:7">
      <c r="E125" s="89"/>
      <c r="F125" s="214"/>
      <c r="G125" s="89"/>
    </row>
    <row r="126" spans="5:7">
      <c r="E126" s="89"/>
      <c r="F126" s="214"/>
      <c r="G126" s="89"/>
    </row>
    <row r="127" spans="5:7">
      <c r="E127" s="89"/>
      <c r="F127" s="214"/>
      <c r="G127" s="89"/>
    </row>
    <row r="128" spans="5:7">
      <c r="E128" s="89"/>
      <c r="F128" s="214"/>
      <c r="G128" s="89"/>
    </row>
    <row r="129" spans="5:7">
      <c r="E129" s="89"/>
      <c r="F129" s="214"/>
      <c r="G129" s="89"/>
    </row>
    <row r="130" spans="5:7">
      <c r="E130" s="89"/>
      <c r="F130" s="214"/>
      <c r="G130" s="89"/>
    </row>
    <row r="131" spans="5:7">
      <c r="E131" s="89"/>
      <c r="F131" s="214"/>
      <c r="G131" s="89"/>
    </row>
    <row r="132" spans="5:7">
      <c r="E132" s="89"/>
      <c r="F132" s="214"/>
      <c r="G132" s="89"/>
    </row>
    <row r="133" spans="5:7">
      <c r="E133" s="89"/>
      <c r="F133" s="214"/>
      <c r="G133" s="89"/>
    </row>
    <row r="134" spans="5:7">
      <c r="E134" s="89"/>
      <c r="F134" s="214"/>
      <c r="G134" s="89"/>
    </row>
    <row r="135" spans="5:7">
      <c r="E135" s="89"/>
      <c r="F135" s="214"/>
      <c r="G135" s="89"/>
    </row>
    <row r="136" spans="5:7">
      <c r="E136" s="89"/>
      <c r="F136" s="214"/>
      <c r="G136" s="89"/>
    </row>
    <row r="137" spans="5:7">
      <c r="E137" s="89"/>
      <c r="F137" s="214"/>
      <c r="G137" s="89"/>
    </row>
    <row r="138" spans="5:7">
      <c r="E138" s="89"/>
      <c r="F138" s="214"/>
      <c r="G138" s="89"/>
    </row>
    <row r="139" spans="5:7">
      <c r="E139" s="89"/>
      <c r="F139" s="214"/>
      <c r="G139" s="89"/>
    </row>
    <row r="140" spans="5:7">
      <c r="E140" s="89"/>
      <c r="F140" s="214"/>
      <c r="G140" s="89"/>
    </row>
    <row r="141" spans="5:7">
      <c r="E141" s="89"/>
      <c r="F141" s="214"/>
      <c r="G141" s="89"/>
    </row>
    <row r="142" spans="5:7">
      <c r="E142" s="89"/>
      <c r="F142" s="214"/>
      <c r="G142" s="89"/>
    </row>
    <row r="143" spans="5:7">
      <c r="E143" s="89"/>
      <c r="F143" s="214"/>
      <c r="G143" s="89"/>
    </row>
    <row r="144" spans="5:7">
      <c r="E144" s="89"/>
      <c r="F144" s="214"/>
      <c r="G144" s="89"/>
    </row>
    <row r="145" spans="5:7">
      <c r="E145" s="89"/>
      <c r="F145" s="214"/>
      <c r="G145" s="89"/>
    </row>
    <row r="146" spans="5:7">
      <c r="E146" s="89"/>
      <c r="F146" s="214"/>
      <c r="G146" s="89"/>
    </row>
    <row r="147" spans="5:7">
      <c r="E147" s="89"/>
      <c r="F147" s="214"/>
      <c r="G147" s="89"/>
    </row>
    <row r="148" spans="5:7">
      <c r="E148" s="89"/>
      <c r="F148" s="214"/>
      <c r="G148" s="89"/>
    </row>
    <row r="149" spans="5:7">
      <c r="E149" s="89"/>
      <c r="F149" s="214"/>
      <c r="G149" s="89"/>
    </row>
    <row r="150" spans="5:7">
      <c r="E150" s="89"/>
      <c r="F150" s="214"/>
      <c r="G150" s="89"/>
    </row>
    <row r="151" spans="5:7">
      <c r="E151" s="89"/>
      <c r="F151" s="214"/>
      <c r="G151" s="89"/>
    </row>
    <row r="152" spans="5:7">
      <c r="E152" s="89"/>
      <c r="F152" s="214"/>
      <c r="G152" s="89"/>
    </row>
    <row r="153" spans="5:7">
      <c r="E153" s="89"/>
      <c r="F153" s="214"/>
      <c r="G153" s="89"/>
    </row>
    <row r="154" spans="5:7">
      <c r="E154" s="89"/>
      <c r="F154" s="214"/>
      <c r="G154" s="89"/>
    </row>
    <row r="155" spans="5:7">
      <c r="E155" s="89"/>
      <c r="F155" s="214"/>
      <c r="G155" s="89"/>
    </row>
    <row r="156" spans="5:7">
      <c r="E156" s="89"/>
      <c r="F156" s="214"/>
      <c r="G156" s="89"/>
    </row>
    <row r="157" spans="5:7">
      <c r="E157" s="89"/>
      <c r="F157" s="214"/>
      <c r="G157" s="89"/>
    </row>
    <row r="158" spans="5:7">
      <c r="E158" s="89"/>
      <c r="F158" s="214"/>
      <c r="G158" s="89"/>
    </row>
    <row r="159" spans="5:7">
      <c r="E159" s="89"/>
      <c r="F159" s="214"/>
      <c r="G159" s="89"/>
    </row>
    <row r="160" spans="5:7">
      <c r="E160" s="89"/>
      <c r="F160" s="214"/>
      <c r="G160" s="89"/>
    </row>
    <row r="161" spans="5:7">
      <c r="E161" s="89"/>
      <c r="F161" s="214"/>
      <c r="G161" s="89"/>
    </row>
    <row r="162" spans="5:7">
      <c r="E162" s="89"/>
      <c r="F162" s="214"/>
      <c r="G162" s="89"/>
    </row>
    <row r="163" spans="5:7">
      <c r="E163" s="89"/>
      <c r="F163" s="214"/>
      <c r="G163" s="89"/>
    </row>
    <row r="164" spans="5:7">
      <c r="E164" s="89"/>
      <c r="F164" s="214"/>
      <c r="G164" s="89"/>
    </row>
    <row r="165" spans="5:7">
      <c r="E165" s="89"/>
      <c r="F165" s="214"/>
      <c r="G165" s="89"/>
    </row>
    <row r="166" spans="5:7">
      <c r="E166" s="89"/>
      <c r="F166" s="214"/>
      <c r="G166" s="89"/>
    </row>
    <row r="167" spans="5:7">
      <c r="E167" s="89"/>
      <c r="F167" s="214"/>
      <c r="G167" s="89"/>
    </row>
    <row r="168" spans="5:7">
      <c r="E168" s="89"/>
      <c r="F168" s="214"/>
      <c r="G168" s="89"/>
    </row>
    <row r="169" spans="5:7">
      <c r="E169" s="89"/>
      <c r="F169" s="214"/>
      <c r="G169" s="89"/>
    </row>
    <row r="170" spans="5:7">
      <c r="E170" s="89"/>
      <c r="F170" s="214"/>
      <c r="G170" s="89"/>
    </row>
    <row r="171" spans="5:7">
      <c r="E171" s="89"/>
      <c r="F171" s="214"/>
      <c r="G171" s="89"/>
    </row>
    <row r="172" spans="5:7">
      <c r="E172" s="89"/>
      <c r="F172" s="214"/>
      <c r="G172" s="89"/>
    </row>
    <row r="173" spans="5:7">
      <c r="E173" s="89"/>
      <c r="F173" s="214"/>
      <c r="G173" s="89"/>
    </row>
    <row r="174" spans="5:7">
      <c r="E174" s="89"/>
      <c r="F174" s="214"/>
      <c r="G174" s="89"/>
    </row>
    <row r="175" spans="5:7">
      <c r="E175" s="89"/>
      <c r="F175" s="214"/>
      <c r="G175" s="89"/>
    </row>
    <row r="176" spans="5:7">
      <c r="E176" s="89"/>
      <c r="F176" s="214"/>
      <c r="G176" s="89"/>
    </row>
    <row r="177" spans="5:7">
      <c r="E177" s="89"/>
      <c r="F177" s="214"/>
      <c r="G177" s="89"/>
    </row>
    <row r="178" spans="5:7">
      <c r="E178" s="89"/>
      <c r="F178" s="214"/>
      <c r="G178" s="89"/>
    </row>
    <row r="179" spans="5:7">
      <c r="E179" s="89"/>
      <c r="F179" s="214"/>
      <c r="G179" s="89"/>
    </row>
    <row r="180" spans="5:7">
      <c r="E180" s="89"/>
      <c r="F180" s="214"/>
      <c r="G180" s="89"/>
    </row>
    <row r="181" spans="5:7">
      <c r="E181" s="89"/>
      <c r="F181" s="214"/>
      <c r="G181" s="89"/>
    </row>
    <row r="182" spans="5:7">
      <c r="E182" s="89"/>
      <c r="F182" s="214"/>
      <c r="G182" s="89"/>
    </row>
    <row r="183" spans="5:7">
      <c r="E183" s="89"/>
      <c r="F183" s="214"/>
      <c r="G183" s="89"/>
    </row>
    <row r="184" spans="5:7">
      <c r="E184" s="89"/>
      <c r="F184" s="214"/>
      <c r="G184" s="89"/>
    </row>
    <row r="185" spans="5:7">
      <c r="E185" s="89"/>
      <c r="F185" s="214"/>
      <c r="G185" s="89"/>
    </row>
    <row r="186" spans="5:7">
      <c r="E186" s="89"/>
      <c r="F186" s="214"/>
      <c r="G186" s="89"/>
    </row>
    <row r="187" spans="5:7">
      <c r="E187" s="89"/>
      <c r="F187" s="214"/>
      <c r="G187" s="89"/>
    </row>
    <row r="188" spans="5:7">
      <c r="E188" s="89"/>
      <c r="F188" s="214"/>
      <c r="G188" s="89"/>
    </row>
    <row r="189" spans="5:7">
      <c r="E189" s="89"/>
      <c r="F189" s="214"/>
      <c r="G189" s="89"/>
    </row>
    <row r="190" spans="5:7">
      <c r="E190" s="89"/>
      <c r="F190" s="214"/>
      <c r="G190" s="89"/>
    </row>
    <row r="191" spans="5:7">
      <c r="E191" s="89"/>
      <c r="F191" s="214"/>
      <c r="G191" s="89"/>
    </row>
    <row r="192" spans="5:7">
      <c r="E192" s="89"/>
      <c r="F192" s="214"/>
      <c r="G192" s="89"/>
    </row>
    <row r="193" spans="5:7">
      <c r="E193" s="89"/>
      <c r="F193" s="214"/>
      <c r="G193" s="89"/>
    </row>
    <row r="194" spans="5:7">
      <c r="E194" s="89"/>
      <c r="F194" s="214"/>
      <c r="G194" s="89"/>
    </row>
    <row r="195" spans="5:7">
      <c r="E195" s="89"/>
      <c r="F195" s="214"/>
      <c r="G195" s="89"/>
    </row>
    <row r="196" spans="5:7">
      <c r="E196" s="89"/>
      <c r="F196" s="214"/>
      <c r="G196" s="89"/>
    </row>
    <row r="197" spans="5:7">
      <c r="E197" s="89"/>
      <c r="F197" s="214"/>
      <c r="G197" s="89"/>
    </row>
    <row r="198" spans="5:7">
      <c r="E198" s="89"/>
      <c r="F198" s="214"/>
      <c r="G198" s="89"/>
    </row>
    <row r="199" spans="5:7">
      <c r="E199" s="89"/>
      <c r="F199" s="214"/>
      <c r="G199" s="89"/>
    </row>
    <row r="200" spans="5:7">
      <c r="E200" s="89"/>
      <c r="F200" s="214"/>
      <c r="G200" s="89"/>
    </row>
    <row r="201" spans="5:7">
      <c r="E201" s="89"/>
      <c r="F201" s="214"/>
      <c r="G201" s="89"/>
    </row>
    <row r="202" spans="5:7">
      <c r="E202" s="89"/>
      <c r="F202" s="214"/>
      <c r="G202" s="89"/>
    </row>
    <row r="203" spans="5:7">
      <c r="E203" s="89"/>
      <c r="F203" s="214"/>
      <c r="G203" s="89"/>
    </row>
    <row r="204" spans="5:7">
      <c r="E204" s="89"/>
      <c r="F204" s="214"/>
      <c r="G204" s="89"/>
    </row>
    <row r="205" spans="5:7">
      <c r="E205" s="89"/>
      <c r="F205" s="214"/>
      <c r="G205" s="89"/>
    </row>
    <row r="206" spans="5:7">
      <c r="E206" s="89"/>
      <c r="F206" s="214"/>
      <c r="G206" s="89"/>
    </row>
    <row r="207" spans="5:7">
      <c r="E207" s="89"/>
      <c r="F207" s="214"/>
      <c r="G207" s="89"/>
    </row>
    <row r="208" spans="5:7">
      <c r="E208" s="89"/>
      <c r="F208" s="214"/>
      <c r="G208" s="89"/>
    </row>
    <row r="209" spans="5:7">
      <c r="E209" s="89"/>
      <c r="F209" s="214"/>
      <c r="G209" s="89"/>
    </row>
    <row r="210" spans="5:7">
      <c r="E210" s="89"/>
      <c r="F210" s="214"/>
      <c r="G210" s="89"/>
    </row>
    <row r="211" spans="5:7">
      <c r="E211" s="89"/>
      <c r="F211" s="214"/>
      <c r="G211" s="89"/>
    </row>
    <row r="212" spans="5:7">
      <c r="E212" s="89"/>
      <c r="F212" s="214"/>
      <c r="G212" s="89"/>
    </row>
    <row r="213" spans="5:7">
      <c r="E213" s="89"/>
      <c r="F213" s="214"/>
      <c r="G213" s="89"/>
    </row>
    <row r="214" spans="5:7">
      <c r="E214" s="89"/>
      <c r="F214" s="214"/>
      <c r="G214" s="89"/>
    </row>
    <row r="215" spans="5:7">
      <c r="E215" s="89"/>
      <c r="F215" s="214"/>
      <c r="G215" s="89"/>
    </row>
    <row r="216" spans="5:7">
      <c r="E216" s="89"/>
      <c r="F216" s="214"/>
      <c r="G216" s="89"/>
    </row>
    <row r="217" spans="5:7">
      <c r="E217" s="89"/>
      <c r="F217" s="214"/>
      <c r="G217" s="89"/>
    </row>
    <row r="218" spans="5:7">
      <c r="E218" s="89"/>
      <c r="F218" s="214"/>
      <c r="G218" s="89"/>
    </row>
    <row r="219" spans="5:7">
      <c r="E219" s="89"/>
      <c r="F219" s="214"/>
      <c r="G219" s="89"/>
    </row>
    <row r="220" spans="5:7">
      <c r="E220" s="89"/>
      <c r="F220" s="214"/>
      <c r="G220" s="89"/>
    </row>
    <row r="221" spans="5:7">
      <c r="E221" s="89"/>
      <c r="F221" s="214"/>
      <c r="G221" s="89"/>
    </row>
    <row r="222" spans="5:7">
      <c r="E222" s="89"/>
      <c r="F222" s="214"/>
      <c r="G222" s="89"/>
    </row>
    <row r="223" spans="5:7">
      <c r="E223" s="89"/>
      <c r="F223" s="214"/>
      <c r="G223" s="89"/>
    </row>
    <row r="224" spans="5:7">
      <c r="E224" s="89"/>
      <c r="F224" s="214"/>
      <c r="G224" s="89"/>
    </row>
    <row r="225" spans="5:7">
      <c r="E225" s="89"/>
      <c r="F225" s="214"/>
      <c r="G225" s="89"/>
    </row>
    <row r="226" spans="5:7">
      <c r="E226" s="89"/>
      <c r="F226" s="214"/>
      <c r="G226" s="89"/>
    </row>
    <row r="227" spans="5:7">
      <c r="E227" s="89"/>
      <c r="F227" s="214"/>
      <c r="G227" s="89"/>
    </row>
    <row r="228" spans="5:7">
      <c r="E228" s="89"/>
      <c r="F228" s="214"/>
      <c r="G228" s="89"/>
    </row>
    <row r="229" spans="5:7">
      <c r="E229" s="89"/>
      <c r="F229" s="214"/>
      <c r="G229" s="89"/>
    </row>
    <row r="230" spans="5:7">
      <c r="E230" s="89"/>
      <c r="F230" s="214"/>
      <c r="G230" s="89"/>
    </row>
    <row r="231" spans="5:7">
      <c r="E231" s="89"/>
      <c r="F231" s="214"/>
      <c r="G231" s="89"/>
    </row>
    <row r="232" spans="5:7">
      <c r="E232" s="89"/>
      <c r="F232" s="214"/>
      <c r="G232" s="89"/>
    </row>
    <row r="233" spans="5:7">
      <c r="E233" s="89"/>
      <c r="F233" s="214"/>
      <c r="G233" s="89"/>
    </row>
    <row r="234" spans="5:7">
      <c r="E234" s="89"/>
      <c r="F234" s="214"/>
      <c r="G234" s="89"/>
    </row>
    <row r="235" spans="5:7">
      <c r="E235" s="89"/>
      <c r="F235" s="214"/>
      <c r="G235" s="89"/>
    </row>
    <row r="236" spans="5:7">
      <c r="E236" s="89"/>
      <c r="F236" s="214"/>
      <c r="G236" s="89"/>
    </row>
    <row r="237" spans="5:7">
      <c r="E237" s="89"/>
      <c r="F237" s="214"/>
      <c r="G237" s="89"/>
    </row>
    <row r="238" spans="5:7">
      <c r="E238" s="89"/>
      <c r="F238" s="214"/>
      <c r="G238" s="89"/>
    </row>
    <row r="239" spans="5:7">
      <c r="E239" s="89"/>
      <c r="F239" s="214"/>
      <c r="G239" s="89"/>
    </row>
    <row r="240" spans="5:7">
      <c r="E240" s="89"/>
      <c r="F240" s="214"/>
      <c r="G240" s="89"/>
    </row>
    <row r="241" spans="5:7">
      <c r="E241" s="89"/>
      <c r="F241" s="214"/>
      <c r="G241" s="89"/>
    </row>
    <row r="242" spans="5:7">
      <c r="E242" s="89"/>
      <c r="F242" s="214"/>
      <c r="G242" s="89"/>
    </row>
    <row r="243" spans="5:7">
      <c r="E243" s="89"/>
      <c r="F243" s="214"/>
      <c r="G243" s="89"/>
    </row>
    <row r="244" spans="5:7">
      <c r="E244" s="89"/>
      <c r="F244" s="214"/>
      <c r="G244" s="89"/>
    </row>
    <row r="245" spans="5:7">
      <c r="E245" s="89"/>
      <c r="F245" s="214"/>
      <c r="G245" s="89"/>
    </row>
    <row r="246" spans="5:7">
      <c r="E246" s="89"/>
      <c r="F246" s="214"/>
      <c r="G246" s="89"/>
    </row>
    <row r="247" spans="5:7">
      <c r="E247" s="89"/>
      <c r="F247" s="214"/>
      <c r="G247" s="89"/>
    </row>
    <row r="248" spans="5:7">
      <c r="E248" s="89"/>
      <c r="F248" s="214"/>
      <c r="G248" s="89"/>
    </row>
    <row r="249" spans="5:7">
      <c r="E249" s="89"/>
      <c r="F249" s="214"/>
      <c r="G249" s="89"/>
    </row>
    <row r="250" spans="5:7">
      <c r="E250" s="89"/>
      <c r="F250" s="214"/>
      <c r="G250" s="89"/>
    </row>
    <row r="251" spans="5:7">
      <c r="E251" s="89"/>
      <c r="F251" s="214"/>
      <c r="G251" s="89"/>
    </row>
    <row r="252" spans="5:7">
      <c r="E252" s="89"/>
      <c r="F252" s="214"/>
      <c r="G252" s="89"/>
    </row>
    <row r="253" spans="5:7">
      <c r="E253" s="89"/>
      <c r="F253" s="214"/>
      <c r="G253" s="89"/>
    </row>
    <row r="254" spans="5:7">
      <c r="E254" s="89"/>
      <c r="F254" s="214"/>
      <c r="G254" s="89"/>
    </row>
    <row r="255" spans="5:7">
      <c r="E255" s="89"/>
      <c r="F255" s="214"/>
      <c r="G255" s="89"/>
    </row>
    <row r="256" spans="5:7">
      <c r="E256" s="89"/>
      <c r="F256" s="214"/>
      <c r="G256" s="89"/>
    </row>
    <row r="257" spans="5:7">
      <c r="E257" s="89"/>
      <c r="F257" s="214"/>
      <c r="G257" s="89"/>
    </row>
    <row r="258" spans="5:7">
      <c r="E258" s="89"/>
      <c r="F258" s="214"/>
      <c r="G258" s="89"/>
    </row>
    <row r="259" spans="5:7">
      <c r="E259" s="89"/>
      <c r="F259" s="214"/>
      <c r="G259" s="89"/>
    </row>
    <row r="260" spans="5:7">
      <c r="E260" s="89"/>
      <c r="F260" s="214"/>
      <c r="G260" s="89"/>
    </row>
    <row r="261" spans="5:7">
      <c r="E261" s="89"/>
      <c r="F261" s="214"/>
      <c r="G261" s="89"/>
    </row>
    <row r="262" spans="5:7">
      <c r="E262" s="89"/>
      <c r="F262" s="214"/>
      <c r="G262" s="89"/>
    </row>
    <row r="263" spans="5:7">
      <c r="E263" s="89"/>
      <c r="F263" s="214"/>
      <c r="G263" s="89"/>
    </row>
    <row r="264" spans="5:7">
      <c r="E264" s="89"/>
      <c r="F264" s="214"/>
      <c r="G264" s="89"/>
    </row>
    <row r="265" spans="5:7">
      <c r="E265" s="89"/>
      <c r="F265" s="214"/>
      <c r="G265" s="89"/>
    </row>
    <row r="266" spans="5:7">
      <c r="E266" s="89"/>
      <c r="F266" s="214"/>
      <c r="G266" s="89"/>
    </row>
    <row r="267" spans="5:7">
      <c r="E267" s="89"/>
      <c r="F267" s="214"/>
      <c r="G267" s="89"/>
    </row>
    <row r="268" spans="5:7">
      <c r="E268" s="89"/>
      <c r="F268" s="214"/>
      <c r="G268" s="89"/>
    </row>
    <row r="269" spans="5:7">
      <c r="E269" s="89"/>
      <c r="F269" s="214"/>
      <c r="G269" s="89"/>
    </row>
    <row r="270" spans="5:7">
      <c r="E270" s="89"/>
      <c r="F270" s="214"/>
      <c r="G270" s="89"/>
    </row>
    <row r="271" spans="5:7">
      <c r="E271" s="89"/>
      <c r="F271" s="214"/>
      <c r="G271" s="89"/>
    </row>
    <row r="272" spans="5:7">
      <c r="E272" s="89"/>
      <c r="F272" s="214"/>
      <c r="G272" s="89"/>
    </row>
    <row r="273" spans="5:7">
      <c r="E273" s="89"/>
      <c r="F273" s="214"/>
      <c r="G273" s="89"/>
    </row>
    <row r="274" spans="5:7">
      <c r="E274" s="89"/>
      <c r="F274" s="214"/>
      <c r="G274" s="89"/>
    </row>
    <row r="275" spans="5:7">
      <c r="E275" s="89"/>
      <c r="F275" s="214"/>
      <c r="G275" s="89"/>
    </row>
    <row r="276" spans="5:7">
      <c r="E276" s="89"/>
      <c r="F276" s="214"/>
      <c r="G276" s="89"/>
    </row>
    <row r="277" spans="5:7">
      <c r="E277" s="89"/>
      <c r="F277" s="214"/>
      <c r="G277" s="89"/>
    </row>
    <row r="278" spans="5:7">
      <c r="E278" s="89"/>
      <c r="F278" s="214"/>
      <c r="G278" s="89"/>
    </row>
    <row r="279" spans="5:7">
      <c r="E279" s="89"/>
      <c r="F279" s="214"/>
      <c r="G279" s="89"/>
    </row>
    <row r="280" spans="5:7">
      <c r="E280" s="89"/>
      <c r="F280" s="214"/>
      <c r="G280" s="89"/>
    </row>
    <row r="281" spans="5:7">
      <c r="E281" s="89"/>
      <c r="F281" s="214"/>
      <c r="G281" s="89"/>
    </row>
    <row r="282" spans="5:7">
      <c r="E282" s="89"/>
      <c r="F282" s="214"/>
      <c r="G282" s="89"/>
    </row>
    <row r="283" spans="5:7">
      <c r="E283" s="89"/>
      <c r="F283" s="214"/>
      <c r="G283" s="89"/>
    </row>
    <row r="284" spans="5:7">
      <c r="E284" s="89"/>
      <c r="F284" s="214"/>
      <c r="G284" s="89"/>
    </row>
    <row r="285" spans="5:7">
      <c r="E285" s="89"/>
      <c r="F285" s="214"/>
      <c r="G285" s="89"/>
    </row>
    <row r="286" spans="5:7">
      <c r="E286" s="89"/>
      <c r="F286" s="214"/>
      <c r="G286" s="89"/>
    </row>
    <row r="287" spans="5:7">
      <c r="E287" s="89"/>
      <c r="F287" s="214"/>
      <c r="G287" s="89"/>
    </row>
    <row r="288" spans="5:7">
      <c r="E288" s="89"/>
      <c r="F288" s="214"/>
      <c r="G288" s="89"/>
    </row>
    <row r="289" spans="5:7">
      <c r="E289" s="89"/>
      <c r="F289" s="214"/>
      <c r="G289" s="89"/>
    </row>
    <row r="290" spans="5:7">
      <c r="E290" s="89"/>
      <c r="F290" s="214"/>
      <c r="G290" s="89"/>
    </row>
    <row r="291" spans="5:7">
      <c r="E291" s="89"/>
      <c r="F291" s="214"/>
      <c r="G291" s="89"/>
    </row>
    <row r="292" spans="5:7">
      <c r="E292" s="89"/>
      <c r="F292" s="214"/>
      <c r="G292" s="89"/>
    </row>
    <row r="293" spans="5:7">
      <c r="E293" s="89"/>
      <c r="F293" s="214"/>
      <c r="G293" s="89"/>
    </row>
    <row r="294" spans="5:7">
      <c r="E294" s="89"/>
      <c r="F294" s="214"/>
      <c r="G294" s="89"/>
    </row>
    <row r="295" spans="5:7">
      <c r="E295" s="89"/>
      <c r="F295" s="214"/>
      <c r="G295" s="89"/>
    </row>
    <row r="296" spans="5:7">
      <c r="E296" s="89"/>
      <c r="F296" s="214"/>
      <c r="G296" s="89"/>
    </row>
    <row r="297" spans="5:7">
      <c r="E297" s="89"/>
      <c r="F297" s="214"/>
      <c r="G297" s="89"/>
    </row>
    <row r="298" spans="5:7">
      <c r="E298" s="89"/>
      <c r="F298" s="214"/>
      <c r="G298" s="89"/>
    </row>
    <row r="299" spans="5:7">
      <c r="E299" s="89"/>
      <c r="F299" s="214"/>
      <c r="G299" s="89"/>
    </row>
    <row r="300" spans="5:7">
      <c r="E300" s="89"/>
      <c r="F300" s="214"/>
      <c r="G300" s="89"/>
    </row>
    <row r="301" spans="5:7">
      <c r="E301" s="89"/>
      <c r="F301" s="214"/>
      <c r="G301" s="89"/>
    </row>
    <row r="302" spans="5:7">
      <c r="E302" s="89"/>
      <c r="F302" s="214"/>
      <c r="G302" s="89"/>
    </row>
    <row r="303" spans="5:7">
      <c r="E303" s="89"/>
      <c r="F303" s="214"/>
      <c r="G303" s="89"/>
    </row>
    <row r="304" spans="5:7">
      <c r="E304" s="89"/>
      <c r="F304" s="214"/>
      <c r="G304" s="89"/>
    </row>
    <row r="305" spans="5:7">
      <c r="E305" s="89"/>
      <c r="F305" s="214"/>
      <c r="G305" s="89"/>
    </row>
    <row r="306" spans="5:7">
      <c r="E306" s="89"/>
      <c r="F306" s="214"/>
      <c r="G306" s="89"/>
    </row>
    <row r="307" spans="5:7">
      <c r="E307" s="89"/>
      <c r="F307" s="214"/>
      <c r="G307" s="89"/>
    </row>
    <row r="308" spans="5:7">
      <c r="E308" s="89"/>
      <c r="F308" s="214"/>
      <c r="G308" s="89"/>
    </row>
    <row r="309" spans="5:7">
      <c r="E309" s="89"/>
      <c r="F309" s="214"/>
      <c r="G309" s="89"/>
    </row>
    <row r="310" spans="5:7">
      <c r="E310" s="89"/>
      <c r="F310" s="214"/>
      <c r="G310" s="89"/>
    </row>
    <row r="311" spans="5:7">
      <c r="E311" s="89"/>
      <c r="F311" s="214"/>
      <c r="G311" s="89"/>
    </row>
    <row r="312" spans="5:7">
      <c r="E312" s="89"/>
      <c r="F312" s="214"/>
      <c r="G312" s="89"/>
    </row>
    <row r="313" spans="5:7">
      <c r="E313" s="89"/>
      <c r="F313" s="214"/>
      <c r="G313" s="89"/>
    </row>
    <row r="314" spans="5:7">
      <c r="E314" s="89"/>
      <c r="F314" s="214"/>
      <c r="G314" s="89"/>
    </row>
    <row r="315" spans="5:7">
      <c r="E315" s="89"/>
      <c r="F315" s="214"/>
      <c r="G315" s="89"/>
    </row>
    <row r="316" spans="5:7">
      <c r="E316" s="89"/>
      <c r="F316" s="214"/>
      <c r="G316" s="89"/>
    </row>
    <row r="317" spans="5:7">
      <c r="E317" s="89"/>
      <c r="F317" s="214"/>
      <c r="G317" s="89"/>
    </row>
    <row r="318" spans="5:7">
      <c r="E318" s="89"/>
      <c r="F318" s="214"/>
      <c r="G318" s="89"/>
    </row>
    <row r="319" spans="5:7">
      <c r="E319" s="89"/>
      <c r="F319" s="214"/>
      <c r="G319" s="89"/>
    </row>
    <row r="320" spans="5:7">
      <c r="E320" s="89"/>
      <c r="F320" s="214"/>
      <c r="G320" s="89"/>
    </row>
    <row r="321" spans="5:7">
      <c r="E321" s="89"/>
      <c r="F321" s="214"/>
      <c r="G321" s="89"/>
    </row>
    <row r="322" spans="5:7">
      <c r="E322" s="89"/>
      <c r="F322" s="214"/>
      <c r="G322" s="89"/>
    </row>
    <row r="323" spans="5:7">
      <c r="E323" s="89"/>
      <c r="F323" s="214"/>
      <c r="G323" s="89"/>
    </row>
    <row r="324" spans="5:7">
      <c r="E324" s="89"/>
      <c r="F324" s="214"/>
      <c r="G324" s="89"/>
    </row>
    <row r="325" spans="5:7">
      <c r="E325" s="89"/>
      <c r="F325" s="214"/>
      <c r="G325" s="89"/>
    </row>
    <row r="326" spans="5:7">
      <c r="E326" s="89"/>
      <c r="F326" s="214"/>
      <c r="G326" s="89"/>
    </row>
    <row r="327" spans="5:7">
      <c r="E327" s="89"/>
      <c r="F327" s="214"/>
      <c r="G327" s="89"/>
    </row>
    <row r="328" spans="5:7">
      <c r="E328" s="89"/>
      <c r="F328" s="214"/>
      <c r="G328" s="89"/>
    </row>
    <row r="329" spans="5:7">
      <c r="E329" s="89"/>
      <c r="F329" s="214"/>
      <c r="G329" s="89"/>
    </row>
    <row r="330" spans="5:7">
      <c r="E330" s="89"/>
      <c r="F330" s="214"/>
      <c r="G330" s="89"/>
    </row>
    <row r="331" spans="5:7">
      <c r="E331" s="89"/>
      <c r="F331" s="214"/>
      <c r="G331" s="89"/>
    </row>
    <row r="332" spans="5:7">
      <c r="E332" s="89"/>
      <c r="F332" s="214"/>
      <c r="G332" s="89"/>
    </row>
    <row r="333" spans="5:7">
      <c r="E333" s="89"/>
      <c r="F333" s="214"/>
      <c r="G333" s="89"/>
    </row>
    <row r="334" spans="5:7">
      <c r="E334" s="89"/>
      <c r="F334" s="214"/>
      <c r="G334" s="89"/>
    </row>
    <row r="335" spans="5:7">
      <c r="E335" s="89"/>
      <c r="F335" s="214"/>
      <c r="G335" s="89"/>
    </row>
    <row r="336" spans="5:7">
      <c r="E336" s="89"/>
      <c r="F336" s="214"/>
      <c r="G336" s="89"/>
    </row>
    <row r="337" spans="5:7">
      <c r="E337" s="89"/>
      <c r="F337" s="214"/>
      <c r="G337" s="89"/>
    </row>
    <row r="338" spans="5:7">
      <c r="E338" s="89"/>
      <c r="F338" s="214"/>
      <c r="G338" s="89"/>
    </row>
    <row r="339" spans="5:7">
      <c r="E339" s="89"/>
      <c r="F339" s="214"/>
      <c r="G339" s="89"/>
    </row>
    <row r="340" spans="5:7">
      <c r="E340" s="89"/>
      <c r="F340" s="214"/>
      <c r="G340" s="89"/>
    </row>
    <row r="341" spans="5:7">
      <c r="E341" s="89"/>
      <c r="F341" s="214"/>
      <c r="G341" s="89"/>
    </row>
    <row r="342" spans="5:7">
      <c r="E342" s="89"/>
      <c r="F342" s="214"/>
      <c r="G342" s="89"/>
    </row>
    <row r="343" spans="5:7">
      <c r="E343" s="89"/>
      <c r="F343" s="214"/>
      <c r="G343" s="89"/>
    </row>
    <row r="344" spans="5:7">
      <c r="E344" s="89"/>
      <c r="F344" s="214"/>
      <c r="G344" s="89"/>
    </row>
    <row r="345" spans="5:7">
      <c r="E345" s="89"/>
      <c r="F345" s="214"/>
      <c r="G345" s="89"/>
    </row>
    <row r="346" spans="5:7">
      <c r="E346" s="89"/>
      <c r="F346" s="214"/>
      <c r="G346" s="89"/>
    </row>
    <row r="347" spans="5:7">
      <c r="E347" s="89"/>
      <c r="F347" s="214"/>
      <c r="G347" s="89"/>
    </row>
    <row r="348" spans="5:7">
      <c r="E348" s="89"/>
      <c r="F348" s="214"/>
      <c r="G348" s="89"/>
    </row>
    <row r="349" spans="5:7">
      <c r="E349" s="89"/>
      <c r="F349" s="214"/>
      <c r="G349" s="89"/>
    </row>
    <row r="350" spans="5:7">
      <c r="E350" s="89"/>
      <c r="F350" s="214"/>
      <c r="G350" s="89"/>
    </row>
    <row r="351" spans="5:7">
      <c r="E351" s="89"/>
      <c r="F351" s="214"/>
      <c r="G351" s="89"/>
    </row>
    <row r="352" spans="5:7">
      <c r="E352" s="89"/>
      <c r="F352" s="214"/>
      <c r="G352" s="89"/>
    </row>
    <row r="353" spans="5:7">
      <c r="E353" s="89"/>
      <c r="F353" s="214"/>
      <c r="G353" s="89"/>
    </row>
    <row r="354" spans="5:7">
      <c r="E354" s="89"/>
      <c r="F354" s="214"/>
      <c r="G354" s="89"/>
    </row>
    <row r="355" spans="5:7">
      <c r="E355" s="89"/>
      <c r="F355" s="214"/>
      <c r="G355" s="89"/>
    </row>
    <row r="356" spans="5:7">
      <c r="E356" s="89"/>
      <c r="F356" s="214"/>
      <c r="G356" s="89"/>
    </row>
    <row r="357" spans="5:7">
      <c r="E357" s="89"/>
      <c r="F357" s="214"/>
      <c r="G357" s="89"/>
    </row>
    <row r="358" spans="5:7">
      <c r="E358" s="89"/>
      <c r="F358" s="214"/>
      <c r="G358" s="89"/>
    </row>
    <row r="359" spans="5:7">
      <c r="E359" s="89"/>
      <c r="F359" s="214"/>
      <c r="G359" s="89"/>
    </row>
    <row r="360" spans="5:7">
      <c r="E360" s="89"/>
      <c r="F360" s="214"/>
      <c r="G360" s="89"/>
    </row>
    <row r="361" spans="5:7">
      <c r="E361" s="89"/>
      <c r="F361" s="214"/>
      <c r="G361" s="89"/>
    </row>
    <row r="362" spans="5:7">
      <c r="E362" s="89"/>
      <c r="F362" s="214"/>
      <c r="G362" s="89"/>
    </row>
    <row r="363" spans="5:7">
      <c r="E363" s="89"/>
      <c r="F363" s="214"/>
      <c r="G363" s="89"/>
    </row>
    <row r="364" spans="5:7">
      <c r="E364" s="89"/>
      <c r="F364" s="214"/>
      <c r="G364" s="89"/>
    </row>
    <row r="365" spans="5:7">
      <c r="E365" s="89"/>
      <c r="F365" s="214"/>
      <c r="G365" s="89"/>
    </row>
    <row r="366" spans="5:7">
      <c r="E366" s="89"/>
      <c r="F366" s="214"/>
      <c r="G366" s="89"/>
    </row>
    <row r="367" spans="5:7">
      <c r="E367" s="89"/>
      <c r="F367" s="214"/>
      <c r="G367" s="89"/>
    </row>
    <row r="368" spans="5:7">
      <c r="E368" s="89"/>
      <c r="F368" s="214"/>
      <c r="G368" s="89"/>
    </row>
    <row r="369" spans="5:7">
      <c r="E369" s="89"/>
      <c r="F369" s="214"/>
      <c r="G369" s="89"/>
    </row>
    <row r="370" spans="5:7">
      <c r="E370" s="89"/>
      <c r="F370" s="214"/>
      <c r="G370" s="89"/>
    </row>
    <row r="371" spans="5:7">
      <c r="E371" s="89"/>
      <c r="F371" s="214"/>
      <c r="G371" s="89"/>
    </row>
    <row r="372" spans="5:7">
      <c r="E372" s="89"/>
      <c r="F372" s="214"/>
      <c r="G372" s="89"/>
    </row>
    <row r="373" spans="5:7">
      <c r="E373" s="89"/>
      <c r="F373" s="214"/>
      <c r="G373" s="89"/>
    </row>
    <row r="374" spans="5:7">
      <c r="E374" s="89"/>
      <c r="F374" s="214"/>
      <c r="G374" s="89"/>
    </row>
    <row r="375" spans="5:7">
      <c r="E375" s="89"/>
      <c r="F375" s="214"/>
      <c r="G375" s="89"/>
    </row>
    <row r="376" spans="5:7">
      <c r="E376" s="89"/>
      <c r="F376" s="214"/>
      <c r="G376" s="89"/>
    </row>
    <row r="377" spans="5:7">
      <c r="E377" s="89"/>
      <c r="F377" s="214"/>
      <c r="G377" s="89"/>
    </row>
    <row r="378" spans="5:7">
      <c r="E378" s="89"/>
      <c r="F378" s="214"/>
      <c r="G378" s="89"/>
    </row>
    <row r="379" spans="5:7">
      <c r="E379" s="89"/>
      <c r="F379" s="214"/>
      <c r="G379" s="89"/>
    </row>
    <row r="380" spans="5:7">
      <c r="E380" s="89"/>
      <c r="F380" s="214"/>
      <c r="G380" s="89"/>
    </row>
    <row r="381" spans="5:7">
      <c r="E381" s="89"/>
      <c r="F381" s="214"/>
      <c r="G381" s="89"/>
    </row>
    <row r="382" spans="5:7">
      <c r="E382" s="89"/>
      <c r="F382" s="214"/>
      <c r="G382" s="89"/>
    </row>
    <row r="383" spans="5:7">
      <c r="E383" s="89"/>
      <c r="F383" s="214"/>
      <c r="G383" s="89"/>
    </row>
    <row r="384" spans="5:7">
      <c r="E384" s="89"/>
      <c r="F384" s="214"/>
      <c r="G384" s="89"/>
    </row>
    <row r="385" spans="5:7">
      <c r="E385" s="89"/>
      <c r="F385" s="214"/>
      <c r="G385" s="89"/>
    </row>
    <row r="386" spans="5:7">
      <c r="E386" s="89"/>
      <c r="F386" s="214"/>
      <c r="G386" s="89"/>
    </row>
    <row r="387" spans="5:7">
      <c r="E387" s="89"/>
      <c r="F387" s="214"/>
      <c r="G387" s="89"/>
    </row>
    <row r="388" spans="5:7">
      <c r="E388" s="89"/>
      <c r="F388" s="214"/>
      <c r="G388" s="89"/>
    </row>
    <row r="389" spans="5:7">
      <c r="E389" s="89"/>
      <c r="F389" s="214"/>
      <c r="G389" s="89"/>
    </row>
    <row r="390" spans="5:7">
      <c r="E390" s="89"/>
      <c r="F390" s="214"/>
      <c r="G390" s="89"/>
    </row>
    <row r="391" spans="5:7">
      <c r="E391" s="89"/>
      <c r="F391" s="214"/>
      <c r="G391" s="89"/>
    </row>
    <row r="392" spans="5:7">
      <c r="E392" s="89"/>
      <c r="F392" s="214"/>
      <c r="G392" s="89"/>
    </row>
    <row r="393" spans="5:7">
      <c r="E393" s="89"/>
      <c r="F393" s="214"/>
      <c r="G393" s="89"/>
    </row>
    <row r="394" spans="5:7">
      <c r="E394" s="89"/>
      <c r="F394" s="214"/>
      <c r="G394" s="89"/>
    </row>
    <row r="395" spans="5:7">
      <c r="E395" s="89"/>
      <c r="F395" s="214"/>
      <c r="G395" s="89"/>
    </row>
    <row r="396" spans="5:7">
      <c r="E396" s="89"/>
      <c r="F396" s="214"/>
      <c r="G396" s="89"/>
    </row>
    <row r="397" spans="5:7">
      <c r="E397" s="89"/>
      <c r="F397" s="214"/>
      <c r="G397" s="89"/>
    </row>
    <row r="398" spans="5:7">
      <c r="E398" s="89"/>
      <c r="F398" s="214"/>
      <c r="G398" s="89"/>
    </row>
    <row r="399" spans="5:7">
      <c r="E399" s="89"/>
      <c r="F399" s="214"/>
      <c r="G399" s="89"/>
    </row>
    <row r="400" spans="5:7">
      <c r="E400" s="89"/>
      <c r="F400" s="214"/>
      <c r="G400" s="89"/>
    </row>
    <row r="401" spans="5:7">
      <c r="E401" s="89"/>
      <c r="F401" s="214"/>
      <c r="G401" s="89"/>
    </row>
    <row r="402" spans="5:7">
      <c r="E402" s="89"/>
      <c r="F402" s="214"/>
      <c r="G402" s="89"/>
    </row>
    <row r="403" spans="5:7">
      <c r="E403" s="89"/>
      <c r="F403" s="214"/>
      <c r="G403" s="89"/>
    </row>
    <row r="404" spans="5:7">
      <c r="E404" s="89"/>
      <c r="F404" s="214"/>
      <c r="G404" s="89"/>
    </row>
    <row r="405" spans="5:7">
      <c r="E405" s="89"/>
      <c r="F405" s="214"/>
      <c r="G405" s="89"/>
    </row>
    <row r="406" spans="5:7">
      <c r="E406" s="89"/>
      <c r="F406" s="214"/>
      <c r="G406" s="89"/>
    </row>
    <row r="407" spans="5:7">
      <c r="E407" s="89"/>
      <c r="F407" s="214"/>
      <c r="G407" s="89"/>
    </row>
    <row r="408" spans="5:7">
      <c r="E408" s="89"/>
      <c r="F408" s="214"/>
      <c r="G408" s="89"/>
    </row>
    <row r="409" spans="5:7">
      <c r="E409" s="89"/>
      <c r="F409" s="214"/>
      <c r="G409" s="89"/>
    </row>
    <row r="410" spans="5:7">
      <c r="E410" s="89"/>
      <c r="F410" s="214"/>
      <c r="G410" s="89"/>
    </row>
    <row r="411" spans="5:7">
      <c r="E411" s="89"/>
      <c r="F411" s="214"/>
      <c r="G411" s="89"/>
    </row>
    <row r="412" spans="5:7">
      <c r="E412" s="89"/>
      <c r="F412" s="214"/>
      <c r="G412" s="89"/>
    </row>
    <row r="413" spans="5:7">
      <c r="E413" s="89"/>
      <c r="F413" s="214"/>
      <c r="G413" s="89"/>
    </row>
    <row r="414" spans="5:7">
      <c r="E414" s="89"/>
      <c r="F414" s="214"/>
      <c r="G414" s="89"/>
    </row>
    <row r="415" spans="5:7">
      <c r="E415" s="89"/>
      <c r="F415" s="214"/>
      <c r="G415" s="89"/>
    </row>
    <row r="416" spans="5:7">
      <c r="E416" s="89"/>
      <c r="F416" s="214"/>
      <c r="G416" s="89"/>
    </row>
    <row r="417" spans="5:7">
      <c r="E417" s="89"/>
      <c r="F417" s="214"/>
      <c r="G417" s="89"/>
    </row>
    <row r="418" spans="5:7">
      <c r="E418" s="89"/>
      <c r="F418" s="214"/>
      <c r="G418" s="89"/>
    </row>
    <row r="419" spans="5:7">
      <c r="E419" s="89"/>
      <c r="F419" s="214"/>
      <c r="G419" s="89"/>
    </row>
    <row r="420" spans="5:7">
      <c r="E420" s="89"/>
      <c r="F420" s="214"/>
      <c r="G420" s="89"/>
    </row>
    <row r="421" spans="5:7">
      <c r="E421" s="89"/>
      <c r="F421" s="214"/>
      <c r="G421" s="89"/>
    </row>
    <row r="422" spans="5:7">
      <c r="E422" s="89"/>
      <c r="F422" s="214"/>
      <c r="G422" s="89"/>
    </row>
    <row r="423" spans="5:7">
      <c r="E423" s="89"/>
      <c r="F423" s="214"/>
      <c r="G423" s="89"/>
    </row>
    <row r="424" spans="5:7">
      <c r="E424" s="89"/>
      <c r="F424" s="214"/>
      <c r="G424" s="89"/>
    </row>
    <row r="425" spans="5:7">
      <c r="E425" s="89"/>
      <c r="F425" s="214"/>
      <c r="G425" s="89"/>
    </row>
    <row r="426" spans="5:7">
      <c r="E426" s="89"/>
      <c r="F426" s="214"/>
      <c r="G426" s="89"/>
    </row>
    <row r="427" spans="5:7">
      <c r="E427" s="89"/>
      <c r="F427" s="214"/>
      <c r="G427" s="89"/>
    </row>
    <row r="428" spans="5:7">
      <c r="E428" s="89"/>
      <c r="F428" s="214"/>
      <c r="G428" s="89"/>
    </row>
    <row r="429" spans="5:7">
      <c r="E429" s="89"/>
      <c r="F429" s="214"/>
      <c r="G429" s="89"/>
    </row>
    <row r="430" spans="5:7">
      <c r="E430" s="89"/>
      <c r="F430" s="214"/>
      <c r="G430" s="89"/>
    </row>
    <row r="431" spans="5:7">
      <c r="E431" s="89"/>
      <c r="F431" s="214"/>
      <c r="G431" s="89"/>
    </row>
    <row r="432" spans="5:7">
      <c r="E432" s="89"/>
      <c r="F432" s="214"/>
      <c r="G432" s="89"/>
    </row>
    <row r="433" spans="5:7">
      <c r="E433" s="89"/>
      <c r="F433" s="214"/>
      <c r="G433" s="89"/>
    </row>
    <row r="434" spans="5:7">
      <c r="E434" s="89"/>
      <c r="F434" s="214"/>
      <c r="G434" s="89"/>
    </row>
    <row r="435" spans="5:7">
      <c r="E435" s="89"/>
      <c r="F435" s="214"/>
      <c r="G435" s="89"/>
    </row>
    <row r="436" spans="5:7">
      <c r="E436" s="89"/>
      <c r="F436" s="214"/>
      <c r="G436" s="89"/>
    </row>
    <row r="437" spans="5:7">
      <c r="E437" s="89"/>
      <c r="F437" s="214"/>
      <c r="G437" s="89"/>
    </row>
    <row r="438" spans="5:7">
      <c r="E438" s="89"/>
      <c r="F438" s="214"/>
      <c r="G438" s="89"/>
    </row>
    <row r="439" spans="5:7">
      <c r="E439" s="89"/>
      <c r="F439" s="214"/>
      <c r="G439" s="89"/>
    </row>
    <row r="440" spans="5:7">
      <c r="E440" s="89"/>
      <c r="F440" s="214"/>
      <c r="G440" s="89"/>
    </row>
    <row r="441" spans="5:7">
      <c r="E441" s="89"/>
      <c r="F441" s="214"/>
      <c r="G441" s="89"/>
    </row>
    <row r="442" spans="5:7">
      <c r="E442" s="89"/>
      <c r="F442" s="214"/>
      <c r="G442" s="89"/>
    </row>
    <row r="443" spans="5:7">
      <c r="E443" s="89"/>
      <c r="F443" s="214"/>
      <c r="G443" s="89"/>
    </row>
    <row r="444" spans="5:7">
      <c r="E444" s="89"/>
      <c r="F444" s="214"/>
      <c r="G444" s="89"/>
    </row>
    <row r="445" spans="5:7">
      <c r="E445" s="89"/>
      <c r="F445" s="214"/>
      <c r="G445" s="89"/>
    </row>
    <row r="446" spans="5:7">
      <c r="E446" s="89"/>
      <c r="F446" s="214"/>
      <c r="G446" s="89"/>
    </row>
    <row r="447" spans="5:7">
      <c r="E447" s="89"/>
      <c r="F447" s="214"/>
      <c r="G447" s="89"/>
    </row>
    <row r="448" spans="5:7">
      <c r="E448" s="89"/>
      <c r="F448" s="214"/>
      <c r="G448" s="89"/>
    </row>
    <row r="449" spans="5:7">
      <c r="E449" s="89"/>
      <c r="F449" s="214"/>
      <c r="G449" s="89"/>
    </row>
    <row r="450" spans="5:7">
      <c r="E450" s="89"/>
      <c r="F450" s="214"/>
      <c r="G450" s="89"/>
    </row>
    <row r="451" spans="5:7">
      <c r="E451" s="89"/>
      <c r="F451" s="214"/>
      <c r="G451" s="89"/>
    </row>
    <row r="452" spans="5:7">
      <c r="E452" s="89"/>
      <c r="F452" s="214"/>
      <c r="G452" s="89"/>
    </row>
    <row r="453" spans="5:7">
      <c r="E453" s="89"/>
      <c r="F453" s="214"/>
      <c r="G453" s="89"/>
    </row>
    <row r="454" spans="5:7">
      <c r="E454" s="89"/>
      <c r="F454" s="214"/>
      <c r="G454" s="89"/>
    </row>
    <row r="455" spans="5:7">
      <c r="E455" s="89"/>
      <c r="F455" s="214"/>
      <c r="G455" s="89"/>
    </row>
    <row r="456" spans="5:7">
      <c r="E456" s="89"/>
      <c r="F456" s="214"/>
      <c r="G456" s="89"/>
    </row>
    <row r="457" spans="5:7">
      <c r="E457" s="89"/>
      <c r="F457" s="214"/>
      <c r="G457" s="89"/>
    </row>
    <row r="458" spans="5:7">
      <c r="E458" s="89"/>
      <c r="F458" s="214"/>
      <c r="G458" s="89"/>
    </row>
    <row r="459" spans="5:7">
      <c r="E459" s="89"/>
      <c r="F459" s="214"/>
      <c r="G459" s="89"/>
    </row>
    <row r="460" spans="5:7">
      <c r="E460" s="89"/>
      <c r="F460" s="214"/>
      <c r="G460" s="89"/>
    </row>
    <row r="461" spans="5:7">
      <c r="E461" s="89"/>
      <c r="F461" s="214"/>
      <c r="G461" s="89"/>
    </row>
    <row r="462" spans="5:7">
      <c r="E462" s="89"/>
      <c r="F462" s="214"/>
      <c r="G462" s="89"/>
    </row>
    <row r="463" spans="5:7">
      <c r="E463" s="89"/>
      <c r="F463" s="214"/>
      <c r="G463" s="89"/>
    </row>
    <row r="464" spans="5:7">
      <c r="E464" s="89"/>
      <c r="F464" s="214"/>
      <c r="G464" s="89"/>
    </row>
    <row r="465" spans="5:7">
      <c r="E465" s="89"/>
      <c r="F465" s="214"/>
      <c r="G465" s="89"/>
    </row>
    <row r="466" spans="5:7">
      <c r="E466" s="89"/>
      <c r="F466" s="214"/>
      <c r="G466" s="89"/>
    </row>
    <row r="467" spans="5:7">
      <c r="E467" s="89"/>
      <c r="F467" s="214"/>
      <c r="G467" s="89"/>
    </row>
    <row r="468" spans="5:7">
      <c r="E468" s="89"/>
      <c r="F468" s="214"/>
      <c r="G468" s="89"/>
    </row>
    <row r="469" spans="5:7">
      <c r="E469" s="89"/>
      <c r="F469" s="214"/>
      <c r="G469" s="89"/>
    </row>
    <row r="470" spans="5:7">
      <c r="E470" s="89"/>
      <c r="F470" s="214"/>
      <c r="G470" s="89"/>
    </row>
    <row r="471" spans="5:7">
      <c r="E471" s="89"/>
      <c r="F471" s="214"/>
      <c r="G471" s="89"/>
    </row>
    <row r="472" spans="5:7">
      <c r="E472" s="89"/>
      <c r="F472" s="214"/>
      <c r="G472" s="89"/>
    </row>
    <row r="473" spans="5:7">
      <c r="E473" s="89"/>
      <c r="F473" s="214"/>
      <c r="G473" s="89"/>
    </row>
    <row r="474" spans="5:7">
      <c r="E474" s="89"/>
      <c r="F474" s="214"/>
      <c r="G474" s="89"/>
    </row>
    <row r="475" spans="5:7">
      <c r="E475" s="89"/>
      <c r="F475" s="214"/>
      <c r="G475" s="89"/>
    </row>
    <row r="476" spans="5:7">
      <c r="E476" s="89"/>
      <c r="F476" s="214"/>
      <c r="G476" s="89"/>
    </row>
    <row r="477" spans="5:7">
      <c r="E477" s="89"/>
      <c r="F477" s="214"/>
      <c r="G477" s="89"/>
    </row>
    <row r="478" spans="5:7">
      <c r="E478" s="89"/>
      <c r="F478" s="214"/>
      <c r="G478" s="89"/>
    </row>
    <row r="479" spans="5:7">
      <c r="E479" s="89"/>
      <c r="F479" s="214"/>
      <c r="G479" s="89"/>
    </row>
    <row r="480" spans="5:7">
      <c r="E480" s="89"/>
      <c r="F480" s="214"/>
      <c r="G480" s="89"/>
    </row>
    <row r="481" spans="5:7">
      <c r="E481" s="89"/>
      <c r="F481" s="214"/>
      <c r="G481" s="89"/>
    </row>
    <row r="482" spans="5:7">
      <c r="E482" s="89"/>
      <c r="F482" s="214"/>
      <c r="G482" s="89"/>
    </row>
    <row r="483" spans="5:7">
      <c r="E483" s="89"/>
      <c r="F483" s="214"/>
      <c r="G483" s="89"/>
    </row>
    <row r="484" spans="5:7">
      <c r="E484" s="89"/>
      <c r="F484" s="214"/>
      <c r="G484" s="89"/>
    </row>
    <row r="485" spans="5:7">
      <c r="E485" s="89"/>
      <c r="F485" s="214"/>
      <c r="G485" s="89"/>
    </row>
    <row r="486" spans="5:7">
      <c r="E486" s="89"/>
      <c r="F486" s="214"/>
      <c r="G486" s="89"/>
    </row>
    <row r="487" spans="5:7">
      <c r="E487" s="89"/>
      <c r="F487" s="214"/>
      <c r="G487" s="89"/>
    </row>
    <row r="488" spans="5:7">
      <c r="E488" s="89"/>
      <c r="F488" s="214"/>
      <c r="G488" s="89"/>
    </row>
    <row r="489" spans="5:7">
      <c r="E489" s="89"/>
      <c r="F489" s="214"/>
      <c r="G489" s="89"/>
    </row>
    <row r="490" spans="5:7">
      <c r="E490" s="89"/>
      <c r="F490" s="214"/>
      <c r="G490" s="89"/>
    </row>
    <row r="491" spans="5:7">
      <c r="E491" s="89"/>
      <c r="F491" s="214"/>
      <c r="G491" s="89"/>
    </row>
    <row r="492" spans="5:7">
      <c r="E492" s="89"/>
      <c r="F492" s="214"/>
      <c r="G492" s="89"/>
    </row>
    <row r="493" spans="5:7">
      <c r="E493" s="89"/>
      <c r="F493" s="214"/>
      <c r="G493" s="89"/>
    </row>
    <row r="494" spans="5:7">
      <c r="E494" s="89"/>
      <c r="F494" s="214"/>
      <c r="G494" s="89"/>
    </row>
    <row r="495" spans="5:7">
      <c r="E495" s="89"/>
      <c r="F495" s="214"/>
      <c r="G495" s="89"/>
    </row>
    <row r="496" spans="5:7">
      <c r="E496" s="89"/>
      <c r="F496" s="214"/>
      <c r="G496" s="89"/>
    </row>
    <row r="497" spans="5:7">
      <c r="E497" s="89"/>
      <c r="F497" s="214"/>
      <c r="G497" s="89"/>
    </row>
    <row r="498" spans="5:7">
      <c r="E498" s="89"/>
      <c r="F498" s="214"/>
      <c r="G498" s="89"/>
    </row>
    <row r="499" spans="5:7">
      <c r="E499" s="89"/>
      <c r="F499" s="214"/>
      <c r="G499" s="89"/>
    </row>
    <row r="500" spans="5:7">
      <c r="E500" s="89"/>
      <c r="F500" s="214"/>
      <c r="G500" s="89"/>
    </row>
    <row r="501" spans="5:7">
      <c r="E501" s="89"/>
      <c r="F501" s="214"/>
      <c r="G501" s="89"/>
    </row>
    <row r="502" spans="5:7">
      <c r="E502" s="89"/>
      <c r="F502" s="214"/>
      <c r="G502" s="89"/>
    </row>
    <row r="503" spans="5:7">
      <c r="E503" s="89"/>
      <c r="F503" s="214"/>
      <c r="G503" s="89"/>
    </row>
    <row r="504" spans="5:7">
      <c r="E504" s="89"/>
      <c r="F504" s="214"/>
      <c r="G504" s="89"/>
    </row>
    <row r="505" spans="5:7">
      <c r="E505" s="89"/>
      <c r="F505" s="214"/>
      <c r="G505" s="89"/>
    </row>
    <row r="506" spans="5:7">
      <c r="E506" s="89"/>
      <c r="F506" s="214"/>
      <c r="G506" s="89"/>
    </row>
    <row r="507" spans="5:7">
      <c r="E507" s="89"/>
      <c r="F507" s="214"/>
      <c r="G507" s="89"/>
    </row>
    <row r="508" spans="5:7">
      <c r="E508" s="89"/>
      <c r="F508" s="214"/>
      <c r="G508" s="89"/>
    </row>
    <row r="509" spans="5:7">
      <c r="E509" s="89"/>
      <c r="F509" s="214"/>
      <c r="G509" s="89"/>
    </row>
    <row r="510" spans="5:7">
      <c r="E510" s="89"/>
      <c r="F510" s="214"/>
      <c r="G510" s="89"/>
    </row>
    <row r="511" spans="5:7">
      <c r="E511" s="89"/>
      <c r="F511" s="214"/>
      <c r="G511" s="89"/>
    </row>
    <row r="512" spans="5:7">
      <c r="E512" s="89"/>
      <c r="F512" s="214"/>
      <c r="G512" s="89"/>
    </row>
    <row r="513" spans="5:7">
      <c r="E513" s="89"/>
      <c r="F513" s="214"/>
      <c r="G513" s="89"/>
    </row>
    <row r="514" spans="5:7">
      <c r="E514" s="89"/>
      <c r="F514" s="214"/>
      <c r="G514" s="89"/>
    </row>
    <row r="515" spans="5:7">
      <c r="E515" s="89"/>
      <c r="F515" s="214"/>
      <c r="G515" s="89"/>
    </row>
    <row r="516" spans="5:7">
      <c r="E516" s="89"/>
      <c r="F516" s="214"/>
      <c r="G516" s="89"/>
    </row>
    <row r="517" spans="5:7">
      <c r="E517" s="89"/>
      <c r="F517" s="214"/>
      <c r="G517" s="89"/>
    </row>
    <row r="518" spans="5:7">
      <c r="E518" s="89"/>
      <c r="F518" s="214"/>
      <c r="G518" s="89"/>
    </row>
    <row r="519" spans="5:7">
      <c r="E519" s="89"/>
      <c r="F519" s="214"/>
      <c r="G519" s="89"/>
    </row>
    <row r="520" spans="5:7">
      <c r="E520" s="89"/>
      <c r="F520" s="214"/>
      <c r="G520" s="89"/>
    </row>
    <row r="521" spans="5:7">
      <c r="E521" s="89"/>
      <c r="F521" s="214"/>
      <c r="G521" s="89"/>
    </row>
    <row r="522" spans="5:7">
      <c r="E522" s="89"/>
      <c r="F522" s="214"/>
      <c r="G522" s="89"/>
    </row>
    <row r="523" spans="5:7">
      <c r="E523" s="89"/>
      <c r="F523" s="214"/>
      <c r="G523" s="89"/>
    </row>
    <row r="524" spans="5:7">
      <c r="E524" s="89"/>
      <c r="F524" s="214"/>
      <c r="G524" s="89"/>
    </row>
    <row r="525" spans="5:7">
      <c r="E525" s="89"/>
      <c r="F525" s="214"/>
      <c r="G525" s="89"/>
    </row>
    <row r="526" spans="5:7">
      <c r="E526" s="89"/>
      <c r="F526" s="214"/>
      <c r="G526" s="89"/>
    </row>
    <row r="527" spans="5:7">
      <c r="E527" s="89"/>
      <c r="F527" s="214"/>
      <c r="G527" s="89"/>
    </row>
    <row r="528" spans="5:7">
      <c r="E528" s="89"/>
      <c r="F528" s="214"/>
      <c r="G528" s="89"/>
    </row>
    <row r="529" spans="5:7">
      <c r="E529" s="89"/>
      <c r="F529" s="214"/>
      <c r="G529" s="89"/>
    </row>
    <row r="530" spans="5:7">
      <c r="E530" s="89"/>
      <c r="F530" s="214"/>
      <c r="G530" s="89"/>
    </row>
    <row r="531" spans="5:7">
      <c r="E531" s="89"/>
      <c r="F531" s="214"/>
      <c r="G531" s="89"/>
    </row>
    <row r="532" spans="5:7">
      <c r="E532" s="89"/>
      <c r="F532" s="214"/>
      <c r="G532" s="89"/>
    </row>
    <row r="533" spans="5:7">
      <c r="E533" s="89"/>
      <c r="F533" s="214"/>
      <c r="G533" s="89"/>
    </row>
    <row r="534" spans="5:7">
      <c r="E534" s="89"/>
      <c r="F534" s="214"/>
      <c r="G534" s="89"/>
    </row>
    <row r="535" spans="5:7">
      <c r="E535" s="89"/>
      <c r="F535" s="214"/>
      <c r="G535" s="89"/>
    </row>
    <row r="536" spans="5:7">
      <c r="E536" s="89"/>
      <c r="F536" s="214"/>
      <c r="G536" s="89"/>
    </row>
    <row r="537" spans="5:7">
      <c r="E537" s="89"/>
      <c r="F537" s="214"/>
      <c r="G537" s="89"/>
    </row>
    <row r="538" spans="5:7">
      <c r="E538" s="89"/>
      <c r="F538" s="214"/>
      <c r="G538" s="89"/>
    </row>
    <row r="539" spans="5:7">
      <c r="E539" s="89"/>
      <c r="F539" s="214"/>
      <c r="G539" s="89"/>
    </row>
    <row r="540" spans="5:7">
      <c r="E540" s="89"/>
      <c r="F540" s="214"/>
      <c r="G540" s="89"/>
    </row>
    <row r="541" spans="5:7">
      <c r="E541" s="89"/>
      <c r="F541" s="214"/>
      <c r="G541" s="89"/>
    </row>
    <row r="542" spans="5:7">
      <c r="E542" s="89"/>
      <c r="F542" s="214"/>
      <c r="G542" s="89"/>
    </row>
    <row r="543" spans="5:7">
      <c r="E543" s="89"/>
      <c r="F543" s="214"/>
      <c r="G543" s="89"/>
    </row>
    <row r="544" spans="5:7">
      <c r="E544" s="89"/>
      <c r="F544" s="214"/>
      <c r="G544" s="89"/>
    </row>
    <row r="545" spans="5:7">
      <c r="E545" s="89"/>
      <c r="F545" s="214"/>
      <c r="G545" s="89"/>
    </row>
    <row r="546" spans="5:7">
      <c r="E546" s="89"/>
      <c r="F546" s="214"/>
      <c r="G546" s="89"/>
    </row>
    <row r="547" spans="5:7">
      <c r="E547" s="89"/>
      <c r="F547" s="214"/>
      <c r="G547" s="89"/>
    </row>
    <row r="548" spans="5:7">
      <c r="E548" s="89"/>
      <c r="F548" s="214"/>
      <c r="G548" s="89"/>
    </row>
    <row r="549" spans="5:7">
      <c r="E549" s="89"/>
      <c r="F549" s="214"/>
      <c r="G549" s="89"/>
    </row>
    <row r="550" spans="5:7">
      <c r="E550" s="89"/>
      <c r="F550" s="214"/>
      <c r="G550" s="89"/>
    </row>
    <row r="551" spans="5:7">
      <c r="E551" s="89"/>
      <c r="F551" s="214"/>
      <c r="G551" s="89"/>
    </row>
    <row r="552" spans="5:7">
      <c r="E552" s="89"/>
      <c r="F552" s="214"/>
      <c r="G552" s="89"/>
    </row>
    <row r="553" spans="5:7">
      <c r="E553" s="89"/>
      <c r="F553" s="214"/>
      <c r="G553" s="89"/>
    </row>
    <row r="554" spans="5:7">
      <c r="E554" s="89"/>
      <c r="F554" s="214"/>
      <c r="G554" s="89"/>
    </row>
    <row r="555" spans="5:7">
      <c r="E555" s="89"/>
      <c r="F555" s="214"/>
      <c r="G555" s="89"/>
    </row>
    <row r="556" spans="5:7">
      <c r="E556" s="89"/>
      <c r="F556" s="214"/>
      <c r="G556" s="89"/>
    </row>
    <row r="557" spans="5:7">
      <c r="E557" s="89"/>
      <c r="F557" s="214"/>
      <c r="G557" s="89"/>
    </row>
    <row r="558" spans="5:7">
      <c r="E558" s="89"/>
      <c r="F558" s="214"/>
      <c r="G558" s="89"/>
    </row>
    <row r="559" spans="5:7">
      <c r="E559" s="89"/>
      <c r="F559" s="214"/>
      <c r="G559" s="89"/>
    </row>
    <row r="560" spans="5:7">
      <c r="E560" s="89"/>
      <c r="F560" s="214"/>
      <c r="G560" s="89"/>
    </row>
    <row r="561" spans="5:7">
      <c r="E561" s="89"/>
      <c r="F561" s="214"/>
      <c r="G561" s="89"/>
    </row>
    <row r="562" spans="5:7">
      <c r="E562" s="89"/>
      <c r="F562" s="214"/>
      <c r="G562" s="89"/>
    </row>
    <row r="563" spans="5:7">
      <c r="E563" s="89"/>
      <c r="F563" s="214"/>
      <c r="G563" s="89"/>
    </row>
    <row r="564" spans="5:7">
      <c r="E564" s="89"/>
      <c r="F564" s="214"/>
      <c r="G564" s="89"/>
    </row>
    <row r="565" spans="5:7">
      <c r="E565" s="89"/>
      <c r="F565" s="214"/>
      <c r="G565" s="89"/>
    </row>
    <row r="566" spans="5:7">
      <c r="E566" s="89"/>
      <c r="F566" s="214"/>
      <c r="G566" s="89"/>
    </row>
    <row r="567" spans="5:7">
      <c r="E567" s="89"/>
      <c r="F567" s="214"/>
      <c r="G567" s="89"/>
    </row>
    <row r="568" spans="5:7">
      <c r="E568" s="89"/>
      <c r="F568" s="214"/>
      <c r="G568" s="89"/>
    </row>
    <row r="569" spans="5:7">
      <c r="E569" s="89"/>
      <c r="F569" s="214"/>
      <c r="G569" s="89"/>
    </row>
    <row r="570" spans="5:7">
      <c r="E570" s="89"/>
      <c r="F570" s="214"/>
      <c r="G570" s="89"/>
    </row>
    <row r="571" spans="5:7">
      <c r="E571" s="89"/>
      <c r="F571" s="214"/>
      <c r="G571" s="89"/>
    </row>
    <row r="572" spans="5:7">
      <c r="E572" s="89"/>
      <c r="F572" s="214"/>
      <c r="G572" s="89"/>
    </row>
    <row r="573" spans="5:7">
      <c r="E573" s="89"/>
      <c r="F573" s="214"/>
      <c r="G573" s="89"/>
    </row>
    <row r="574" spans="5:7">
      <c r="E574" s="89"/>
      <c r="F574" s="214"/>
      <c r="G574" s="89"/>
    </row>
    <row r="575" spans="5:7">
      <c r="E575" s="89"/>
      <c r="F575" s="214"/>
      <c r="G575" s="89"/>
    </row>
    <row r="576" spans="5:7">
      <c r="E576" s="89"/>
      <c r="F576" s="214"/>
      <c r="G576" s="89"/>
    </row>
    <row r="577" spans="5:7">
      <c r="E577" s="89"/>
      <c r="F577" s="214"/>
      <c r="G577" s="89"/>
    </row>
    <row r="578" spans="5:7">
      <c r="E578" s="89"/>
      <c r="F578" s="214"/>
      <c r="G578" s="89"/>
    </row>
    <row r="579" spans="5:7">
      <c r="E579" s="89"/>
      <c r="F579" s="214"/>
      <c r="G579" s="89"/>
    </row>
    <row r="580" spans="5:7">
      <c r="E580" s="89"/>
      <c r="F580" s="214"/>
      <c r="G580" s="89"/>
    </row>
    <row r="581" spans="5:7">
      <c r="E581" s="89"/>
      <c r="F581" s="214"/>
      <c r="G581" s="89"/>
    </row>
    <row r="582" spans="5:7">
      <c r="E582" s="89"/>
      <c r="F582" s="214"/>
      <c r="G582" s="89"/>
    </row>
    <row r="583" spans="5:7">
      <c r="E583" s="89"/>
      <c r="F583" s="214"/>
      <c r="G583" s="89"/>
    </row>
    <row r="584" spans="5:7">
      <c r="E584" s="89"/>
      <c r="F584" s="214"/>
      <c r="G584" s="89"/>
    </row>
    <row r="585" spans="5:7">
      <c r="E585" s="89"/>
      <c r="F585" s="214"/>
      <c r="G585" s="89"/>
    </row>
    <row r="586" spans="5:7">
      <c r="E586" s="89"/>
      <c r="F586" s="214"/>
      <c r="G586" s="89"/>
    </row>
    <row r="587" spans="5:7">
      <c r="E587" s="89"/>
      <c r="F587" s="214"/>
      <c r="G587" s="89"/>
    </row>
    <row r="588" spans="5:7">
      <c r="E588" s="89"/>
      <c r="F588" s="214"/>
      <c r="G588" s="89"/>
    </row>
    <row r="589" spans="5:7">
      <c r="E589" s="89"/>
      <c r="F589" s="214"/>
      <c r="G589" s="89"/>
    </row>
    <row r="590" spans="5:7">
      <c r="E590" s="89"/>
      <c r="F590" s="214"/>
      <c r="G590" s="89"/>
    </row>
    <row r="591" spans="5:7">
      <c r="E591" s="89"/>
      <c r="F591" s="214"/>
      <c r="G591" s="89"/>
    </row>
    <row r="592" spans="5:7">
      <c r="E592" s="89"/>
      <c r="F592" s="214"/>
      <c r="G592" s="89"/>
    </row>
    <row r="593" spans="5:7">
      <c r="E593" s="89"/>
      <c r="F593" s="214"/>
      <c r="G593" s="89"/>
    </row>
    <row r="594" spans="5:7">
      <c r="E594" s="89"/>
      <c r="F594" s="214"/>
      <c r="G594" s="89"/>
    </row>
    <row r="595" spans="5:7">
      <c r="E595" s="89"/>
      <c r="F595" s="214"/>
      <c r="G595" s="89"/>
    </row>
    <row r="596" spans="5:7">
      <c r="E596" s="89"/>
      <c r="F596" s="214"/>
      <c r="G596" s="89"/>
    </row>
    <row r="597" spans="5:7">
      <c r="E597" s="89"/>
      <c r="F597" s="214"/>
      <c r="G597" s="89"/>
    </row>
    <row r="598" spans="5:7">
      <c r="E598" s="89"/>
      <c r="F598" s="214"/>
      <c r="G598" s="89"/>
    </row>
    <row r="599" spans="5:7">
      <c r="E599" s="89"/>
      <c r="F599" s="214"/>
      <c r="G599" s="89"/>
    </row>
    <row r="600" spans="5:7">
      <c r="E600" s="89"/>
      <c r="F600" s="214"/>
      <c r="G600" s="89"/>
    </row>
    <row r="601" spans="5:7">
      <c r="E601" s="89"/>
      <c r="F601" s="214"/>
      <c r="G601" s="89"/>
    </row>
    <row r="602" spans="5:7">
      <c r="E602" s="89"/>
      <c r="F602" s="214"/>
      <c r="G602" s="89"/>
    </row>
    <row r="603" spans="5:7">
      <c r="E603" s="89"/>
      <c r="F603" s="214"/>
      <c r="G603" s="89"/>
    </row>
    <row r="604" spans="5:7">
      <c r="E604" s="89"/>
      <c r="F604" s="214"/>
      <c r="G604" s="89"/>
    </row>
    <row r="605" spans="5:7">
      <c r="E605" s="89"/>
      <c r="F605" s="214"/>
      <c r="G605" s="89"/>
    </row>
    <row r="606" spans="5:7">
      <c r="E606" s="89"/>
      <c r="F606" s="214"/>
      <c r="G606" s="89"/>
    </row>
    <row r="607" spans="5:7">
      <c r="E607" s="89"/>
      <c r="F607" s="214"/>
      <c r="G607" s="89"/>
    </row>
    <row r="608" spans="5:7">
      <c r="E608" s="89"/>
      <c r="F608" s="214"/>
      <c r="G608" s="89"/>
    </row>
    <row r="609" spans="5:7">
      <c r="E609" s="89"/>
      <c r="F609" s="214"/>
      <c r="G609" s="89"/>
    </row>
    <row r="610" spans="5:7">
      <c r="E610" s="89"/>
      <c r="F610" s="214"/>
      <c r="G610" s="89"/>
    </row>
    <row r="611" spans="5:7">
      <c r="E611" s="89"/>
      <c r="F611" s="214"/>
      <c r="G611" s="89"/>
    </row>
    <row r="612" spans="5:7">
      <c r="E612" s="89"/>
      <c r="F612" s="214"/>
      <c r="G612" s="89"/>
    </row>
    <row r="613" spans="5:7">
      <c r="E613" s="89"/>
      <c r="F613" s="214"/>
      <c r="G613" s="89"/>
    </row>
    <row r="614" spans="5:7">
      <c r="E614" s="89"/>
      <c r="F614" s="214"/>
      <c r="G614" s="89"/>
    </row>
    <row r="615" spans="5:7">
      <c r="E615" s="89"/>
      <c r="F615" s="214"/>
      <c r="G615" s="89"/>
    </row>
    <row r="616" spans="5:7">
      <c r="E616" s="89"/>
      <c r="F616" s="214"/>
      <c r="G616" s="89"/>
    </row>
    <row r="617" spans="5:7">
      <c r="E617" s="89"/>
      <c r="F617" s="214"/>
      <c r="G617" s="89"/>
    </row>
    <row r="618" spans="5:7">
      <c r="E618" s="89"/>
      <c r="F618" s="214"/>
      <c r="G618" s="89"/>
    </row>
    <row r="619" spans="5:7">
      <c r="E619" s="89"/>
      <c r="F619" s="214"/>
      <c r="G619" s="89"/>
    </row>
    <row r="620" spans="5:7">
      <c r="E620" s="89"/>
      <c r="F620" s="214"/>
      <c r="G620" s="89"/>
    </row>
    <row r="621" spans="5:7">
      <c r="E621" s="89"/>
      <c r="F621" s="214"/>
      <c r="G621" s="89"/>
    </row>
    <row r="622" spans="5:7">
      <c r="E622" s="89"/>
      <c r="F622" s="214"/>
      <c r="G622" s="89"/>
    </row>
    <row r="623" spans="5:7">
      <c r="E623" s="89"/>
      <c r="F623" s="214"/>
      <c r="G623" s="89"/>
    </row>
    <row r="624" spans="5:7">
      <c r="E624" s="89"/>
      <c r="F624" s="214"/>
      <c r="G624" s="89"/>
    </row>
    <row r="625" spans="5:7">
      <c r="E625" s="89"/>
      <c r="F625" s="214"/>
      <c r="G625" s="89"/>
    </row>
    <row r="626" spans="5:7">
      <c r="E626" s="89"/>
      <c r="F626" s="214"/>
      <c r="G626" s="89"/>
    </row>
    <row r="627" spans="5:7">
      <c r="E627" s="89"/>
      <c r="F627" s="214"/>
      <c r="G627" s="89"/>
    </row>
    <row r="628" spans="5:7">
      <c r="E628" s="89"/>
      <c r="F628" s="214"/>
      <c r="G628" s="89"/>
    </row>
    <row r="629" spans="5:7">
      <c r="E629" s="89"/>
      <c r="F629" s="214"/>
      <c r="G629" s="89"/>
    </row>
    <row r="630" spans="5:7">
      <c r="E630" s="89"/>
      <c r="F630" s="214"/>
      <c r="G630" s="89"/>
    </row>
    <row r="631" spans="5:7">
      <c r="E631" s="89"/>
      <c r="F631" s="214"/>
      <c r="G631" s="89"/>
    </row>
    <row r="632" spans="5:7">
      <c r="E632" s="89"/>
      <c r="F632" s="214"/>
      <c r="G632" s="89"/>
    </row>
    <row r="633" spans="5:7">
      <c r="E633" s="89"/>
      <c r="F633" s="214"/>
      <c r="G633" s="89"/>
    </row>
    <row r="634" spans="5:7">
      <c r="E634" s="89"/>
      <c r="F634" s="214"/>
      <c r="G634" s="89"/>
    </row>
    <row r="635" spans="5:7">
      <c r="E635" s="89"/>
      <c r="F635" s="214"/>
      <c r="G635" s="89"/>
    </row>
    <row r="636" spans="5:7">
      <c r="E636" s="89"/>
      <c r="F636" s="214"/>
      <c r="G636" s="89"/>
    </row>
    <row r="637" spans="5:7">
      <c r="E637" s="89"/>
      <c r="F637" s="214"/>
      <c r="G637" s="89"/>
    </row>
    <row r="638" spans="5:7">
      <c r="E638" s="89"/>
      <c r="F638" s="214"/>
      <c r="G638" s="89"/>
    </row>
    <row r="639" spans="5:7">
      <c r="E639" s="89"/>
      <c r="F639" s="214"/>
      <c r="G639" s="89"/>
    </row>
    <row r="640" spans="5:7">
      <c r="E640" s="89"/>
      <c r="F640" s="214"/>
      <c r="G640" s="89"/>
    </row>
    <row r="641" spans="5:7">
      <c r="E641" s="89"/>
      <c r="F641" s="214"/>
      <c r="G641" s="89"/>
    </row>
    <row r="642" spans="5:7">
      <c r="E642" s="89"/>
      <c r="F642" s="214"/>
      <c r="G642" s="89"/>
    </row>
    <row r="643" spans="5:7">
      <c r="E643" s="89"/>
      <c r="F643" s="214"/>
      <c r="G643" s="89"/>
    </row>
    <row r="644" spans="5:7">
      <c r="E644" s="89"/>
      <c r="F644" s="214"/>
      <c r="G644" s="89"/>
    </row>
    <row r="645" spans="5:7">
      <c r="E645" s="89"/>
      <c r="F645" s="214"/>
      <c r="G645" s="89"/>
    </row>
    <row r="646" spans="5:7">
      <c r="E646" s="89"/>
      <c r="F646" s="214"/>
      <c r="G646" s="89"/>
    </row>
    <row r="647" spans="5:7">
      <c r="E647" s="89"/>
      <c r="F647" s="214"/>
      <c r="G647" s="89"/>
    </row>
    <row r="648" spans="5:7">
      <c r="E648" s="89"/>
      <c r="F648" s="214"/>
      <c r="G648" s="89"/>
    </row>
    <row r="649" spans="5:7">
      <c r="E649" s="89"/>
      <c r="F649" s="214"/>
      <c r="G649" s="89"/>
    </row>
    <row r="650" spans="5:7">
      <c r="E650" s="89"/>
      <c r="F650" s="214"/>
      <c r="G650" s="89"/>
    </row>
    <row r="651" spans="5:7">
      <c r="E651" s="89"/>
      <c r="F651" s="214"/>
      <c r="G651" s="89"/>
    </row>
    <row r="652" spans="5:7">
      <c r="E652" s="89"/>
      <c r="F652" s="214"/>
      <c r="G652" s="89"/>
    </row>
    <row r="653" spans="5:7">
      <c r="E653" s="89"/>
      <c r="F653" s="214"/>
      <c r="G653" s="89"/>
    </row>
    <row r="654" spans="5:7">
      <c r="E654" s="89"/>
      <c r="F654" s="214"/>
      <c r="G654" s="89"/>
    </row>
    <row r="655" spans="5:7">
      <c r="E655" s="89"/>
      <c r="F655" s="214"/>
      <c r="G655" s="89"/>
    </row>
    <row r="656" spans="5:7">
      <c r="E656" s="89"/>
      <c r="F656" s="214"/>
      <c r="G656" s="89"/>
    </row>
    <row r="657" spans="5:7">
      <c r="E657" s="89"/>
      <c r="F657" s="214"/>
      <c r="G657" s="89"/>
    </row>
    <row r="658" spans="5:7">
      <c r="E658" s="89"/>
      <c r="F658" s="214"/>
      <c r="G658" s="89"/>
    </row>
    <row r="659" spans="5:7">
      <c r="E659" s="89"/>
      <c r="F659" s="214"/>
      <c r="G659" s="89"/>
    </row>
    <row r="660" spans="5:7">
      <c r="E660" s="89"/>
      <c r="F660" s="214"/>
      <c r="G660" s="89"/>
    </row>
    <row r="661" spans="5:7">
      <c r="E661" s="89"/>
      <c r="F661" s="214"/>
      <c r="G661" s="89"/>
    </row>
    <row r="662" spans="5:7">
      <c r="E662" s="89"/>
      <c r="F662" s="214"/>
      <c r="G662" s="89"/>
    </row>
    <row r="663" spans="5:7">
      <c r="E663" s="89"/>
      <c r="F663" s="214"/>
      <c r="G663" s="89"/>
    </row>
    <row r="664" spans="5:7">
      <c r="E664" s="89"/>
      <c r="F664" s="214"/>
      <c r="G664" s="89"/>
    </row>
    <row r="665" spans="5:7">
      <c r="E665" s="89"/>
      <c r="F665" s="214"/>
      <c r="G665" s="89"/>
    </row>
    <row r="666" spans="5:7">
      <c r="E666" s="89"/>
      <c r="F666" s="214"/>
      <c r="G666" s="89"/>
    </row>
    <row r="667" spans="5:7">
      <c r="E667" s="89"/>
      <c r="F667" s="214"/>
      <c r="G667" s="89"/>
    </row>
    <row r="668" spans="5:7">
      <c r="E668" s="89"/>
      <c r="F668" s="214"/>
      <c r="G668" s="89"/>
    </row>
    <row r="669" spans="5:7">
      <c r="E669" s="89"/>
      <c r="F669" s="214"/>
      <c r="G669" s="89"/>
    </row>
    <row r="670" spans="5:7">
      <c r="E670" s="89"/>
      <c r="F670" s="214"/>
      <c r="G670" s="89"/>
    </row>
    <row r="671" spans="5:7">
      <c r="E671" s="89"/>
      <c r="F671" s="214"/>
      <c r="G671" s="89"/>
    </row>
    <row r="672" spans="5:7">
      <c r="E672" s="89"/>
      <c r="F672" s="214"/>
      <c r="G672" s="89"/>
    </row>
    <row r="673" spans="5:7">
      <c r="E673" s="89"/>
      <c r="F673" s="214"/>
      <c r="G673" s="89"/>
    </row>
    <row r="674" spans="5:7">
      <c r="E674" s="89"/>
      <c r="F674" s="214"/>
      <c r="G674" s="89"/>
    </row>
    <row r="675" spans="5:7">
      <c r="E675" s="89"/>
      <c r="F675" s="214"/>
      <c r="G675" s="89"/>
    </row>
    <row r="676" spans="5:7">
      <c r="E676" s="89"/>
      <c r="F676" s="214"/>
      <c r="G676" s="89"/>
    </row>
    <row r="677" spans="5:7">
      <c r="E677" s="89"/>
      <c r="F677" s="214"/>
      <c r="G677" s="89"/>
    </row>
    <row r="678" spans="5:7">
      <c r="E678" s="89"/>
      <c r="F678" s="214"/>
      <c r="G678" s="89"/>
    </row>
    <row r="679" spans="5:7">
      <c r="E679" s="89"/>
      <c r="F679" s="214"/>
      <c r="G679" s="89"/>
    </row>
    <row r="680" spans="5:7">
      <c r="E680" s="89"/>
      <c r="F680" s="214"/>
      <c r="G680" s="89"/>
    </row>
    <row r="681" spans="5:7">
      <c r="E681" s="89"/>
      <c r="F681" s="214"/>
      <c r="G681" s="89"/>
    </row>
    <row r="682" spans="5:7">
      <c r="E682" s="89"/>
      <c r="F682" s="214"/>
      <c r="G682" s="89"/>
    </row>
    <row r="683" spans="5:7">
      <c r="E683" s="89"/>
      <c r="F683" s="214"/>
      <c r="G683" s="89"/>
    </row>
    <row r="684" spans="5:7">
      <c r="E684" s="89"/>
      <c r="F684" s="214"/>
      <c r="G684" s="89"/>
    </row>
    <row r="685" spans="5:7">
      <c r="E685" s="89"/>
      <c r="F685" s="214"/>
      <c r="G685" s="89"/>
    </row>
    <row r="686" spans="5:7">
      <c r="E686" s="89"/>
      <c r="F686" s="214"/>
      <c r="G686" s="89"/>
    </row>
    <row r="687" spans="5:7">
      <c r="E687" s="89"/>
      <c r="F687" s="214"/>
      <c r="G687" s="89"/>
    </row>
    <row r="688" spans="5:7">
      <c r="E688" s="89"/>
      <c r="F688" s="214"/>
      <c r="G688" s="89"/>
    </row>
    <row r="689" spans="5:7">
      <c r="E689" s="89"/>
      <c r="F689" s="214"/>
      <c r="G689" s="89"/>
    </row>
    <row r="690" spans="5:7">
      <c r="E690" s="89"/>
      <c r="F690" s="214"/>
      <c r="G690" s="89"/>
    </row>
    <row r="691" spans="5:7">
      <c r="E691" s="89"/>
      <c r="F691" s="214"/>
      <c r="G691" s="89"/>
    </row>
    <row r="692" spans="5:7">
      <c r="E692" s="89"/>
      <c r="F692" s="214"/>
      <c r="G692" s="89"/>
    </row>
    <row r="693" spans="5:7">
      <c r="E693" s="89"/>
      <c r="F693" s="214"/>
      <c r="G693" s="89"/>
    </row>
    <row r="694" spans="5:7">
      <c r="E694" s="89"/>
      <c r="F694" s="214"/>
      <c r="G694" s="89"/>
    </row>
    <row r="695" spans="5:7">
      <c r="E695" s="89"/>
      <c r="F695" s="214"/>
      <c r="G695" s="89"/>
    </row>
    <row r="696" spans="5:7">
      <c r="E696" s="89"/>
      <c r="F696" s="214"/>
      <c r="G696" s="89"/>
    </row>
    <row r="697" spans="5:7">
      <c r="E697" s="89"/>
      <c r="F697" s="214"/>
      <c r="G697" s="89"/>
    </row>
    <row r="698" spans="5:7">
      <c r="E698" s="89"/>
      <c r="F698" s="214"/>
      <c r="G698" s="89"/>
    </row>
    <row r="699" spans="5:7">
      <c r="E699" s="89"/>
      <c r="F699" s="214"/>
      <c r="G699" s="89"/>
    </row>
    <row r="700" spans="5:7">
      <c r="E700" s="89"/>
      <c r="F700" s="214"/>
      <c r="G700" s="89"/>
    </row>
    <row r="701" spans="5:7">
      <c r="E701" s="89"/>
      <c r="F701" s="214"/>
      <c r="G701" s="89"/>
    </row>
    <row r="702" spans="5:7">
      <c r="E702" s="89"/>
      <c r="F702" s="214"/>
      <c r="G702" s="89"/>
    </row>
    <row r="703" spans="5:7">
      <c r="E703" s="89"/>
      <c r="F703" s="214"/>
      <c r="G703" s="89"/>
    </row>
    <row r="704" spans="5:7">
      <c r="E704" s="89"/>
      <c r="F704" s="214"/>
      <c r="G704" s="89"/>
    </row>
    <row r="705" spans="5:7">
      <c r="E705" s="89"/>
      <c r="F705" s="214"/>
      <c r="G705" s="89"/>
    </row>
    <row r="706" spans="5:7">
      <c r="E706" s="89"/>
      <c r="F706" s="214"/>
      <c r="G706" s="89"/>
    </row>
    <row r="707" spans="5:7">
      <c r="E707" s="89"/>
      <c r="F707" s="214"/>
      <c r="G707" s="89"/>
    </row>
    <row r="708" spans="5:7">
      <c r="E708" s="89"/>
      <c r="F708" s="214"/>
      <c r="G708" s="89"/>
    </row>
    <row r="709" spans="5:7">
      <c r="E709" s="89"/>
      <c r="F709" s="214"/>
      <c r="G709" s="89"/>
    </row>
    <row r="710" spans="5:7">
      <c r="E710" s="89"/>
      <c r="F710" s="214"/>
      <c r="G710" s="89"/>
    </row>
    <row r="711" spans="5:7">
      <c r="E711" s="89"/>
      <c r="F711" s="214"/>
      <c r="G711" s="89"/>
    </row>
    <row r="712" spans="5:7">
      <c r="E712" s="89"/>
      <c r="F712" s="214"/>
      <c r="G712" s="89"/>
    </row>
    <row r="713" spans="5:7">
      <c r="E713" s="89"/>
      <c r="F713" s="214"/>
      <c r="G713" s="89"/>
    </row>
    <row r="714" spans="5:7">
      <c r="E714" s="89"/>
      <c r="F714" s="214"/>
      <c r="G714" s="89"/>
    </row>
    <row r="715" spans="5:7">
      <c r="E715" s="89"/>
      <c r="F715" s="214"/>
      <c r="G715" s="89"/>
    </row>
    <row r="716" spans="5:7">
      <c r="E716" s="89"/>
      <c r="F716" s="214"/>
      <c r="G716" s="89"/>
    </row>
    <row r="717" spans="5:7">
      <c r="E717" s="89"/>
      <c r="F717" s="214"/>
      <c r="G717" s="89"/>
    </row>
    <row r="718" spans="5:7">
      <c r="E718" s="89"/>
      <c r="F718" s="214"/>
      <c r="G718" s="89"/>
    </row>
    <row r="719" spans="5:7">
      <c r="E719" s="89"/>
      <c r="F719" s="214"/>
      <c r="G719" s="89"/>
    </row>
    <row r="720" spans="5:7">
      <c r="E720" s="89"/>
      <c r="F720" s="214"/>
      <c r="G720" s="89"/>
    </row>
    <row r="721" spans="5:7">
      <c r="E721" s="89"/>
      <c r="F721" s="214"/>
      <c r="G721" s="89"/>
    </row>
    <row r="722" spans="5:7">
      <c r="E722" s="89"/>
      <c r="F722" s="214"/>
      <c r="G722" s="89"/>
    </row>
    <row r="723" spans="5:7">
      <c r="E723" s="89"/>
      <c r="F723" s="214"/>
      <c r="G723" s="89"/>
    </row>
    <row r="724" spans="5:7">
      <c r="E724" s="89"/>
      <c r="F724" s="214"/>
      <c r="G724" s="89"/>
    </row>
    <row r="725" spans="5:7">
      <c r="E725" s="89"/>
      <c r="F725" s="214"/>
      <c r="G725" s="89"/>
    </row>
    <row r="726" spans="5:7">
      <c r="E726" s="89"/>
      <c r="F726" s="214"/>
      <c r="G726" s="89"/>
    </row>
    <row r="727" spans="5:7">
      <c r="E727" s="89"/>
      <c r="F727" s="214"/>
      <c r="G727" s="89"/>
    </row>
    <row r="728" spans="5:7">
      <c r="E728" s="89"/>
      <c r="F728" s="214"/>
      <c r="G728" s="89"/>
    </row>
    <row r="729" spans="5:7">
      <c r="E729" s="89"/>
      <c r="F729" s="214"/>
      <c r="G729" s="89"/>
    </row>
    <row r="730" spans="5:7">
      <c r="E730" s="89"/>
      <c r="F730" s="214"/>
      <c r="G730" s="89"/>
    </row>
    <row r="731" spans="5:7">
      <c r="E731" s="89"/>
      <c r="F731" s="214"/>
      <c r="G731" s="89"/>
    </row>
    <row r="732" spans="5:7">
      <c r="E732" s="89"/>
      <c r="F732" s="214"/>
      <c r="G732" s="89"/>
    </row>
    <row r="733" spans="5:7">
      <c r="E733" s="89"/>
      <c r="F733" s="214"/>
      <c r="G733" s="89"/>
    </row>
    <row r="734" spans="5:7">
      <c r="E734" s="89"/>
      <c r="F734" s="214"/>
      <c r="G734" s="89"/>
    </row>
    <row r="735" spans="5:7">
      <c r="E735" s="89"/>
      <c r="F735" s="214"/>
      <c r="G735" s="89"/>
    </row>
    <row r="736" spans="5:7">
      <c r="E736" s="89"/>
      <c r="F736" s="214"/>
      <c r="G736" s="89"/>
    </row>
    <row r="737" spans="5:7">
      <c r="E737" s="89"/>
      <c r="F737" s="214"/>
      <c r="G737" s="89"/>
    </row>
    <row r="738" spans="5:7">
      <c r="E738" s="89"/>
      <c r="F738" s="214"/>
      <c r="G738" s="89"/>
    </row>
    <row r="739" spans="5:7">
      <c r="E739" s="89"/>
      <c r="F739" s="214"/>
      <c r="G739" s="89"/>
    </row>
    <row r="740" spans="5:7">
      <c r="E740" s="89"/>
      <c r="F740" s="214"/>
      <c r="G740" s="89"/>
    </row>
    <row r="741" spans="5:7">
      <c r="E741" s="89"/>
      <c r="F741" s="214"/>
      <c r="G741" s="89"/>
    </row>
    <row r="742" spans="5:7">
      <c r="E742" s="89"/>
      <c r="F742" s="214"/>
      <c r="G742" s="89"/>
    </row>
    <row r="743" spans="5:7">
      <c r="E743" s="89"/>
      <c r="F743" s="214"/>
      <c r="G743" s="89"/>
    </row>
    <row r="744" spans="5:7">
      <c r="E744" s="89"/>
      <c r="F744" s="214"/>
      <c r="G744" s="89"/>
    </row>
    <row r="745" spans="5:7">
      <c r="E745" s="89"/>
      <c r="F745" s="214"/>
      <c r="G745" s="89"/>
    </row>
    <row r="746" spans="5:7">
      <c r="E746" s="89"/>
      <c r="F746" s="214"/>
      <c r="G746" s="89"/>
    </row>
    <row r="747" spans="5:7">
      <c r="E747" s="89"/>
      <c r="F747" s="214"/>
      <c r="G747" s="89"/>
    </row>
    <row r="748" spans="5:7">
      <c r="E748" s="89"/>
      <c r="F748" s="214"/>
      <c r="G748" s="89"/>
    </row>
    <row r="749" spans="5:7">
      <c r="E749" s="89"/>
      <c r="F749" s="214"/>
      <c r="G749" s="89"/>
    </row>
    <row r="750" spans="5:7">
      <c r="E750" s="89"/>
      <c r="F750" s="214"/>
      <c r="G750" s="89"/>
    </row>
    <row r="751" spans="5:7">
      <c r="E751" s="89"/>
      <c r="F751" s="214"/>
      <c r="G751" s="89"/>
    </row>
    <row r="752" spans="5:7">
      <c r="E752" s="89"/>
      <c r="F752" s="214"/>
      <c r="G752" s="89"/>
    </row>
    <row r="753" spans="5:7">
      <c r="E753" s="89"/>
      <c r="F753" s="214"/>
      <c r="G753" s="89"/>
    </row>
    <row r="754" spans="5:7">
      <c r="E754" s="89"/>
      <c r="F754" s="214"/>
      <c r="G754" s="89"/>
    </row>
    <row r="755" spans="5:7">
      <c r="E755" s="89"/>
      <c r="F755" s="214"/>
      <c r="G755" s="89"/>
    </row>
    <row r="756" spans="5:7">
      <c r="E756" s="89"/>
      <c r="F756" s="214"/>
      <c r="G756" s="89"/>
    </row>
    <row r="757" spans="5:7">
      <c r="E757" s="89"/>
      <c r="F757" s="214"/>
      <c r="G757" s="89"/>
    </row>
    <row r="758" spans="5:7">
      <c r="E758" s="89"/>
      <c r="F758" s="214"/>
      <c r="G758" s="89"/>
    </row>
    <row r="759" spans="5:7">
      <c r="E759" s="89"/>
      <c r="F759" s="214"/>
      <c r="G759" s="89"/>
    </row>
    <row r="760" spans="5:7">
      <c r="E760" s="89"/>
      <c r="F760" s="214"/>
      <c r="G760" s="89"/>
    </row>
    <row r="761" spans="5:7">
      <c r="E761" s="89"/>
      <c r="F761" s="214"/>
      <c r="G761" s="89"/>
    </row>
    <row r="762" spans="5:7">
      <c r="E762" s="89"/>
      <c r="F762" s="214"/>
      <c r="G762" s="89"/>
    </row>
    <row r="763" spans="5:7">
      <c r="E763" s="89"/>
      <c r="F763" s="214"/>
      <c r="G763" s="89"/>
    </row>
    <row r="764" spans="5:7">
      <c r="E764" s="89"/>
      <c r="F764" s="214"/>
      <c r="G764" s="89"/>
    </row>
    <row r="765" spans="5:7">
      <c r="E765" s="89"/>
      <c r="F765" s="214"/>
      <c r="G765" s="89"/>
    </row>
  </sheetData>
  <customSheetViews>
    <customSheetView guid="{C8E99144-FF29-42D8-8D33-2038AA9D760E}" scale="75" showPageBreaks="1" fitToPage="1" view="pageBreakPreview" showRuler="0">
      <pane xSplit="1" ySplit="4" topLeftCell="C7" activePane="bottomRight" state="frozen"/>
      <selection pane="bottomRight" activeCell="C26" sqref="C26"/>
      <pageMargins left="0.75" right="0.75" top="1" bottom="1" header="0.5" footer="0.5"/>
      <pageSetup scale="61" orientation="landscape" horizontalDpi="300" verticalDpi="300" r:id="rId1"/>
      <headerFooter alignWithMargins="0"/>
    </customSheetView>
    <customSheetView guid="{6F41311F-2270-450A-A26B-FA887A989CC9}" showPageBreaks="1" fitToPage="1" view="pageBreakPreview" showRuler="0" topLeftCell="A4">
      <selection activeCell="B32" sqref="B32"/>
      <pageMargins left="0.75" right="0.75" top="1" bottom="1" header="0.5" footer="0.5"/>
      <pageSetup scale="42" orientation="portrait" horizontalDpi="300" verticalDpi="300" r:id="rId2"/>
      <headerFooter alignWithMargins="0"/>
    </customSheetView>
    <customSheetView guid="{9F62FB59-F471-497B-8464-A1F026EE1693}" scale="85" showPageBreaks="1" fitToPage="1" view="pageBreakPreview" showRuler="0">
      <pane ySplit="4" topLeftCell="A5" activePane="bottomLeft" state="frozen"/>
      <selection pane="bottomLeft" activeCell="D24" sqref="D24"/>
      <pageMargins left="0.75" right="0.75" top="1" bottom="1" header="0.5" footer="0.5"/>
      <pageSetup scale="31" orientation="landscape" horizontalDpi="300" verticalDpi="300" r:id="rId3"/>
      <headerFooter alignWithMargins="0"/>
    </customSheetView>
    <customSheetView guid="{20D5FB18-2FAE-4D83-BF94-A00B522BD190}" showPageBreaks="1" fitToPage="1" view="pageBreakPreview" showRuler="0">
      <selection activeCell="I24" sqref="I24"/>
      <pageMargins left="0.75" right="0.75" top="1" bottom="1" header="0.5" footer="0.5"/>
      <pageSetup scale="43" orientation="portrait" horizontalDpi="300" verticalDpi="300" r:id="rId4"/>
      <headerFooter alignWithMargins="0"/>
    </customSheetView>
    <customSheetView guid="{9456C1E9-89BB-4E93-9AFD-5A49DBF97574}" scale="75" showPageBreaks="1" fitToPage="1" hiddenColumns="1" view="pageBreakPreview" showRuler="0">
      <selection activeCell="Q29" sqref="Q29"/>
      <pageMargins left="0.75" right="0.75" top="1" bottom="1" header="0.5" footer="0.5"/>
      <pageSetup scale="43" orientation="portrait" horizontalDpi="300" verticalDpi="300" r:id="rId5"/>
      <headerFooter alignWithMargins="0"/>
    </customSheetView>
    <customSheetView guid="{7FD41845-6BD4-448F-810C-049EFA55EC1B}" scale="75" fitToPage="1" showRuler="0">
      <pane xSplit="1" ySplit="4" topLeftCell="B14" activePane="bottomRight" state="frozen"/>
      <selection pane="bottomRight" activeCell="N30" sqref="N30"/>
      <pageMargins left="0.75" right="0.75" top="1" bottom="1" header="0.5" footer="0.5"/>
      <pageSetup scale="61" orientation="landscape" horizontalDpi="300" verticalDpi="300" r:id="rId6"/>
      <headerFooter alignWithMargins="0"/>
    </customSheetView>
    <customSheetView guid="{8B0AB125-4209-45BF-9ABD-74BE01FD7C48}" scale="75" showPageBreaks="1" fitToPage="1" showRuler="0">
      <pane xSplit="1" ySplit="4" topLeftCell="B14" activePane="bottomRight" state="frozen"/>
      <selection pane="bottomRight" activeCell="N30" sqref="N30"/>
      <pageMargins left="0.75" right="0.75" top="1" bottom="1" header="0.5" footer="0.5"/>
      <pageSetup scale="61"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44" orientation="landscape" horizontalDpi="300" verticalDpi="300" r:id="rId8"/>
  <headerFooter alignWithMargins="0"/>
  <legacyDrawing r:id="rId9"/>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enableFormatConditionsCalculation="0">
    <tabColor indexed="28"/>
    <pageSetUpPr fitToPage="1"/>
  </sheetPr>
  <dimension ref="A1:H117"/>
  <sheetViews>
    <sheetView showRuler="0" view="pageBreakPreview" zoomScale="75" zoomScaleNormal="100"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6.28515625" style="1" customWidth="1"/>
    <col min="3" max="3" width="15.28515625" style="1" bestFit="1" customWidth="1"/>
    <col min="4" max="4" width="14.140625" style="1" customWidth="1"/>
    <col min="5" max="5" width="13.85546875" style="1" bestFit="1" customWidth="1"/>
    <col min="6" max="6" width="12.7109375" style="31" customWidth="1"/>
    <col min="7" max="7" width="16.5703125" style="1" customWidth="1"/>
    <col min="8" max="8" width="12.140625" style="1" customWidth="1"/>
    <col min="9" max="16384" width="6.85546875" style="1"/>
  </cols>
  <sheetData>
    <row r="1" spans="1:8" ht="18">
      <c r="A1" s="1742" t="s">
        <v>75</v>
      </c>
      <c r="B1" s="1742"/>
      <c r="C1" s="1742"/>
      <c r="D1" s="1742"/>
      <c r="E1" s="1742"/>
      <c r="F1" s="1742"/>
      <c r="G1" s="1742"/>
      <c r="H1" s="1742"/>
    </row>
    <row r="2" spans="1:8" ht="15" customHeight="1" thickBot="1">
      <c r="A2" s="1743" t="s">
        <v>318</v>
      </c>
      <c r="B2" s="1743"/>
      <c r="C2" s="1743"/>
      <c r="D2" s="1743"/>
      <c r="E2" s="1743"/>
      <c r="F2" s="1743"/>
      <c r="G2" s="1743"/>
      <c r="H2" s="1743"/>
    </row>
    <row r="3" spans="1:8" s="87" customFormat="1" ht="12.75" customHeight="1">
      <c r="A3" s="86"/>
      <c r="B3" s="86"/>
      <c r="C3" s="86" t="s">
        <v>64</v>
      </c>
      <c r="D3" s="91" t="s">
        <v>64</v>
      </c>
      <c r="E3" s="86"/>
      <c r="F3" s="91" t="s">
        <v>86</v>
      </c>
      <c r="G3" s="86"/>
      <c r="H3" s="91" t="s">
        <v>110</v>
      </c>
    </row>
    <row r="4" spans="1:8" ht="39" thickBot="1">
      <c r="A4" s="3" t="s">
        <v>0</v>
      </c>
      <c r="B4" s="5" t="s">
        <v>314</v>
      </c>
      <c r="C4" s="4" t="s">
        <v>315</v>
      </c>
      <c r="D4" s="4" t="s">
        <v>217</v>
      </c>
      <c r="E4" s="5" t="s">
        <v>316</v>
      </c>
      <c r="F4" s="129" t="s">
        <v>1</v>
      </c>
      <c r="G4" s="5" t="s">
        <v>317</v>
      </c>
      <c r="H4" s="129" t="s">
        <v>1</v>
      </c>
    </row>
    <row r="5" spans="1:8">
      <c r="A5" s="2"/>
      <c r="B5" s="9"/>
      <c r="C5" s="2"/>
      <c r="D5" s="2"/>
      <c r="E5" s="2"/>
      <c r="F5" s="7"/>
      <c r="G5" s="9"/>
      <c r="H5" s="10"/>
    </row>
    <row r="6" spans="1:8">
      <c r="A6" s="11" t="s">
        <v>2</v>
      </c>
      <c r="B6" s="9"/>
      <c r="C6" s="12"/>
      <c r="D6" s="13"/>
      <c r="E6" s="13"/>
      <c r="F6" s="14"/>
      <c r="G6" s="9"/>
      <c r="H6" s="9"/>
    </row>
    <row r="7" spans="1:8">
      <c r="A7" s="16" t="s">
        <v>3</v>
      </c>
      <c r="B7" s="45">
        <v>0</v>
      </c>
      <c r="C7" s="74">
        <v>577949</v>
      </c>
      <c r="D7" s="45">
        <v>1747069</v>
      </c>
      <c r="E7" s="45">
        <v>0</v>
      </c>
      <c r="F7" s="14">
        <f t="shared" ref="F7:F14" si="0">E7-C7</f>
        <v>-577949</v>
      </c>
      <c r="G7" s="45">
        <v>0</v>
      </c>
      <c r="H7" s="9">
        <f>G7-C7</f>
        <v>-577949</v>
      </c>
    </row>
    <row r="8" spans="1:8">
      <c r="A8" s="16" t="s">
        <v>4</v>
      </c>
      <c r="B8" s="45">
        <v>0</v>
      </c>
      <c r="C8" s="45">
        <v>0</v>
      </c>
      <c r="D8" s="45">
        <v>0</v>
      </c>
      <c r="E8" s="45">
        <v>0</v>
      </c>
      <c r="F8" s="14">
        <f t="shared" si="0"/>
        <v>0</v>
      </c>
      <c r="G8" s="45">
        <v>0</v>
      </c>
      <c r="H8" s="9">
        <f>G8-C8</f>
        <v>0</v>
      </c>
    </row>
    <row r="9" spans="1:8">
      <c r="A9" s="16" t="s">
        <v>5</v>
      </c>
      <c r="B9" s="45">
        <v>0</v>
      </c>
      <c r="C9" s="45">
        <v>0</v>
      </c>
      <c r="D9" s="45">
        <v>0</v>
      </c>
      <c r="E9" s="45">
        <v>0</v>
      </c>
      <c r="F9" s="14">
        <f t="shared" si="0"/>
        <v>0</v>
      </c>
      <c r="G9" s="45">
        <v>0</v>
      </c>
      <c r="H9" s="9">
        <f>G9-C9</f>
        <v>0</v>
      </c>
    </row>
    <row r="10" spans="1:8">
      <c r="A10" s="16" t="s">
        <v>6</v>
      </c>
      <c r="B10" s="45">
        <v>0</v>
      </c>
      <c r="C10" s="45">
        <v>0</v>
      </c>
      <c r="D10" s="45">
        <v>0</v>
      </c>
      <c r="E10" s="45">
        <v>0</v>
      </c>
      <c r="F10" s="14">
        <f t="shared" si="0"/>
        <v>0</v>
      </c>
      <c r="G10" s="45">
        <v>0</v>
      </c>
      <c r="H10" s="9"/>
    </row>
    <row r="11" spans="1:8">
      <c r="A11" s="16" t="s">
        <v>7</v>
      </c>
      <c r="B11" s="45">
        <v>0</v>
      </c>
      <c r="C11" s="45">
        <v>0</v>
      </c>
      <c r="D11" s="45">
        <v>0</v>
      </c>
      <c r="E11" s="45">
        <v>0</v>
      </c>
      <c r="F11" s="14">
        <f t="shared" si="0"/>
        <v>0</v>
      </c>
      <c r="G11" s="45">
        <v>0</v>
      </c>
      <c r="H11" s="9">
        <f>G11-C11</f>
        <v>0</v>
      </c>
    </row>
    <row r="12" spans="1:8">
      <c r="A12" s="24" t="s">
        <v>8</v>
      </c>
      <c r="B12" s="42">
        <v>0</v>
      </c>
      <c r="C12" s="42">
        <v>0</v>
      </c>
      <c r="D12" s="42">
        <v>850495</v>
      </c>
      <c r="E12" s="42">
        <v>0</v>
      </c>
      <c r="F12" s="14">
        <f t="shared" si="0"/>
        <v>0</v>
      </c>
      <c r="G12" s="42">
        <v>0</v>
      </c>
      <c r="H12" s="9">
        <f>G12-C12</f>
        <v>0</v>
      </c>
    </row>
    <row r="13" spans="1:8">
      <c r="A13" s="24" t="s">
        <v>28</v>
      </c>
      <c r="B13" s="42">
        <v>0</v>
      </c>
      <c r="C13" s="42">
        <v>0</v>
      </c>
      <c r="D13" s="42">
        <v>0</v>
      </c>
      <c r="E13" s="42">
        <v>0</v>
      </c>
      <c r="F13" s="14">
        <f t="shared" si="0"/>
        <v>0</v>
      </c>
      <c r="G13" s="42">
        <v>0</v>
      </c>
      <c r="H13" s="9">
        <f>G13-C13</f>
        <v>0</v>
      </c>
    </row>
    <row r="14" spans="1:8">
      <c r="A14" s="37" t="s">
        <v>9</v>
      </c>
      <c r="B14" s="46">
        <f>SUM(B7:B13)</f>
        <v>0</v>
      </c>
      <c r="C14" s="46">
        <f>SUM(C7:C13)</f>
        <v>577949</v>
      </c>
      <c r="D14" s="46">
        <f>SUM(D7:D13)</f>
        <v>2597564</v>
      </c>
      <c r="E14" s="46">
        <f>SUM(E7:E13)</f>
        <v>0</v>
      </c>
      <c r="F14" s="39">
        <f t="shared" si="0"/>
        <v>-577949</v>
      </c>
      <c r="G14" s="46">
        <f>SUM(G7:G13)</f>
        <v>0</v>
      </c>
      <c r="H14" s="40">
        <f>G14-C14</f>
        <v>-577949</v>
      </c>
    </row>
    <row r="15" spans="1:8">
      <c r="A15" s="18" t="s">
        <v>19</v>
      </c>
      <c r="B15" s="42"/>
      <c r="C15" s="50"/>
      <c r="D15" s="50"/>
      <c r="E15" s="50"/>
      <c r="F15" s="14"/>
      <c r="G15" s="42"/>
      <c r="H15" s="10"/>
    </row>
    <row r="16" spans="1:8">
      <c r="A16" s="36" t="s">
        <v>27</v>
      </c>
      <c r="B16" s="42">
        <v>0</v>
      </c>
      <c r="C16" s="42">
        <v>0</v>
      </c>
      <c r="D16" s="50">
        <v>0</v>
      </c>
      <c r="E16" s="50">
        <v>0</v>
      </c>
      <c r="F16" s="42">
        <v>0</v>
      </c>
      <c r="G16" s="42">
        <v>0</v>
      </c>
      <c r="H16" s="10">
        <f>G16-C16</f>
        <v>0</v>
      </c>
    </row>
    <row r="17" spans="1:8">
      <c r="A17" s="16"/>
      <c r="B17" s="42" t="s">
        <v>58</v>
      </c>
      <c r="C17" s="42" t="s">
        <v>58</v>
      </c>
      <c r="D17" s="50" t="s">
        <v>58</v>
      </c>
      <c r="E17" s="50" t="s">
        <v>58</v>
      </c>
      <c r="F17" s="42" t="s">
        <v>58</v>
      </c>
      <c r="G17" s="42" t="s">
        <v>58</v>
      </c>
      <c r="H17" s="13" t="s">
        <v>58</v>
      </c>
    </row>
    <row r="18" spans="1:8">
      <c r="A18" s="18" t="s">
        <v>20</v>
      </c>
      <c r="B18" s="28">
        <v>0</v>
      </c>
      <c r="C18" s="28">
        <v>0</v>
      </c>
      <c r="D18" s="28">
        <v>0</v>
      </c>
      <c r="E18" s="28">
        <v>0</v>
      </c>
      <c r="F18" s="28">
        <v>0</v>
      </c>
      <c r="G18" s="28">
        <f>SUM(G16:G17)</f>
        <v>0</v>
      </c>
      <c r="H18" s="10">
        <f>G18-C18</f>
        <v>0</v>
      </c>
    </row>
    <row r="19" spans="1:8" ht="13.5" thickBot="1">
      <c r="A19" s="55" t="s">
        <v>21</v>
      </c>
      <c r="B19" s="57">
        <f>B14+B18</f>
        <v>0</v>
      </c>
      <c r="C19" s="57">
        <f>C14+C18</f>
        <v>577949</v>
      </c>
      <c r="D19" s="57">
        <f>D14+D18</f>
        <v>2597564</v>
      </c>
      <c r="E19" s="57">
        <f>E14+E18</f>
        <v>0</v>
      </c>
      <c r="F19" s="58">
        <f>E19-C19</f>
        <v>-577949</v>
      </c>
      <c r="G19" s="57">
        <f>G14+G18</f>
        <v>0</v>
      </c>
      <c r="H19" s="58">
        <f>G19-C19</f>
        <v>-577949</v>
      </c>
    </row>
    <row r="20" spans="1:8" ht="13.5" thickTop="1">
      <c r="A20" s="2"/>
      <c r="B20" s="48"/>
      <c r="C20" s="48"/>
      <c r="D20" s="48"/>
      <c r="E20" s="48"/>
      <c r="F20" s="22"/>
      <c r="G20" s="48"/>
      <c r="H20" s="10"/>
    </row>
    <row r="21" spans="1:8">
      <c r="A21" s="11" t="s">
        <v>10</v>
      </c>
      <c r="B21" s="49"/>
      <c r="C21" s="48"/>
      <c r="D21" s="48"/>
      <c r="E21" s="48"/>
      <c r="F21" s="22"/>
      <c r="G21" s="49"/>
      <c r="H21" s="9"/>
    </row>
    <row r="22" spans="1:8">
      <c r="A22" s="24" t="s">
        <v>11</v>
      </c>
      <c r="B22" s="48">
        <v>0</v>
      </c>
      <c r="C22" s="48">
        <v>0</v>
      </c>
      <c r="D22" s="48">
        <v>1421</v>
      </c>
      <c r="E22" s="50">
        <v>0</v>
      </c>
      <c r="F22" s="14">
        <f t="shared" ref="F22:F30" si="1">C22-E22</f>
        <v>0</v>
      </c>
      <c r="G22" s="50">
        <v>0</v>
      </c>
      <c r="H22" s="9">
        <f t="shared" ref="H22:H30" si="2">C22-G22</f>
        <v>0</v>
      </c>
    </row>
    <row r="23" spans="1:8">
      <c r="A23" s="24" t="s">
        <v>12</v>
      </c>
      <c r="B23" s="48">
        <v>0</v>
      </c>
      <c r="C23" s="48">
        <v>0</v>
      </c>
      <c r="D23" s="48">
        <v>400</v>
      </c>
      <c r="E23" s="48">
        <v>0</v>
      </c>
      <c r="F23" s="14">
        <f t="shared" si="1"/>
        <v>0</v>
      </c>
      <c r="G23" s="48">
        <v>0</v>
      </c>
      <c r="H23" s="9">
        <f t="shared" si="2"/>
        <v>0</v>
      </c>
    </row>
    <row r="24" spans="1:8">
      <c r="A24" s="24" t="s">
        <v>13</v>
      </c>
      <c r="B24" s="48">
        <v>0</v>
      </c>
      <c r="C24" s="48">
        <v>0</v>
      </c>
      <c r="D24" s="48">
        <v>84317</v>
      </c>
      <c r="E24" s="48">
        <v>0</v>
      </c>
      <c r="F24" s="14">
        <f t="shared" si="1"/>
        <v>0</v>
      </c>
      <c r="G24" s="48">
        <v>0</v>
      </c>
      <c r="H24" s="9">
        <f t="shared" si="2"/>
        <v>0</v>
      </c>
    </row>
    <row r="25" spans="1:8">
      <c r="A25" s="24" t="s">
        <v>14</v>
      </c>
      <c r="B25" s="48">
        <v>0</v>
      </c>
      <c r="C25" s="48">
        <v>0</v>
      </c>
      <c r="D25" s="48">
        <v>0</v>
      </c>
      <c r="E25" s="48">
        <v>0</v>
      </c>
      <c r="F25" s="14">
        <f t="shared" si="1"/>
        <v>0</v>
      </c>
      <c r="G25" s="48">
        <v>0</v>
      </c>
      <c r="H25" s="9">
        <f t="shared" si="2"/>
        <v>0</v>
      </c>
    </row>
    <row r="26" spans="1:8">
      <c r="A26" s="24" t="s">
        <v>26</v>
      </c>
      <c r="B26" s="48">
        <v>0</v>
      </c>
      <c r="C26" s="48">
        <v>0</v>
      </c>
      <c r="D26" s="48">
        <v>1285</v>
      </c>
      <c r="E26" s="48">
        <v>0</v>
      </c>
      <c r="F26" s="14">
        <f t="shared" si="1"/>
        <v>0</v>
      </c>
      <c r="G26" s="48">
        <v>0</v>
      </c>
      <c r="H26" s="9">
        <f t="shared" si="2"/>
        <v>0</v>
      </c>
    </row>
    <row r="27" spans="1:8">
      <c r="A27" s="24" t="s">
        <v>15</v>
      </c>
      <c r="B27" s="48">
        <v>0</v>
      </c>
      <c r="C27" s="48">
        <v>0</v>
      </c>
      <c r="D27" s="48">
        <v>0</v>
      </c>
      <c r="E27" s="48">
        <v>0</v>
      </c>
      <c r="F27" s="14">
        <f t="shared" si="1"/>
        <v>0</v>
      </c>
      <c r="G27" s="48">
        <v>0</v>
      </c>
      <c r="H27" s="9">
        <f t="shared" si="2"/>
        <v>0</v>
      </c>
    </row>
    <row r="28" spans="1:8">
      <c r="A28" s="24" t="s">
        <v>16</v>
      </c>
      <c r="B28" s="48">
        <v>0</v>
      </c>
      <c r="C28" s="48">
        <v>0</v>
      </c>
      <c r="D28" s="48">
        <v>0</v>
      </c>
      <c r="E28" s="48">
        <v>0</v>
      </c>
      <c r="F28" s="14">
        <f t="shared" si="1"/>
        <v>0</v>
      </c>
      <c r="G28" s="48">
        <v>0</v>
      </c>
      <c r="H28" s="9">
        <f t="shared" si="2"/>
        <v>0</v>
      </c>
    </row>
    <row r="29" spans="1:8">
      <c r="A29" s="24" t="s">
        <v>85</v>
      </c>
      <c r="B29" s="48">
        <v>0</v>
      </c>
      <c r="C29" s="48">
        <v>577949</v>
      </c>
      <c r="D29" s="48">
        <v>346068</v>
      </c>
      <c r="E29" s="48">
        <v>0</v>
      </c>
      <c r="F29" s="14">
        <f t="shared" si="1"/>
        <v>577949</v>
      </c>
      <c r="G29" s="48">
        <v>0</v>
      </c>
      <c r="H29" s="9">
        <f t="shared" si="2"/>
        <v>577949</v>
      </c>
    </row>
    <row r="30" spans="1:8">
      <c r="A30" s="37" t="s">
        <v>22</v>
      </c>
      <c r="B30" s="46">
        <f>SUM(B22:B29)</f>
        <v>0</v>
      </c>
      <c r="C30" s="46">
        <f>SUM(C22:C29)</f>
        <v>577949</v>
      </c>
      <c r="D30" s="46">
        <f>SUM(D22:D29)</f>
        <v>433491</v>
      </c>
      <c r="E30" s="46">
        <f>SUM(E22:E29)</f>
        <v>0</v>
      </c>
      <c r="F30" s="39">
        <f t="shared" si="1"/>
        <v>577949</v>
      </c>
      <c r="G30" s="46">
        <f>SUM(G22:G29)</f>
        <v>0</v>
      </c>
      <c r="H30" s="40">
        <f t="shared" si="2"/>
        <v>577949</v>
      </c>
    </row>
    <row r="31" spans="1:8">
      <c r="A31" s="18" t="s">
        <v>23</v>
      </c>
      <c r="B31" s="50"/>
      <c r="C31" s="50"/>
      <c r="D31" s="50"/>
      <c r="E31" s="50"/>
      <c r="F31" s="14"/>
      <c r="G31" s="50"/>
      <c r="H31" s="10"/>
    </row>
    <row r="32" spans="1:8">
      <c r="A32" s="41"/>
      <c r="B32" s="50">
        <v>0</v>
      </c>
      <c r="C32" s="50">
        <v>0</v>
      </c>
      <c r="D32" s="50">
        <v>0</v>
      </c>
      <c r="E32" s="50">
        <v>0</v>
      </c>
      <c r="F32" s="14">
        <f t="shared" ref="F32:F37" si="3">C32-E32</f>
        <v>0</v>
      </c>
      <c r="G32" s="50">
        <v>0</v>
      </c>
      <c r="H32" s="9"/>
    </row>
    <row r="33" spans="1:8">
      <c r="A33" s="41" t="s">
        <v>36</v>
      </c>
      <c r="B33" s="50">
        <v>0</v>
      </c>
      <c r="C33" s="50">
        <v>0</v>
      </c>
      <c r="D33" s="114">
        <f>1640211+523862</f>
        <v>2164073</v>
      </c>
      <c r="E33" s="50">
        <v>0</v>
      </c>
      <c r="F33" s="14">
        <f t="shared" si="3"/>
        <v>0</v>
      </c>
      <c r="G33" s="50">
        <v>0</v>
      </c>
      <c r="H33" s="9">
        <f>C33-G33</f>
        <v>0</v>
      </c>
    </row>
    <row r="34" spans="1:8">
      <c r="A34" s="41" t="s">
        <v>37</v>
      </c>
      <c r="B34" s="50">
        <v>0</v>
      </c>
      <c r="C34" s="50">
        <v>0</v>
      </c>
      <c r="D34" s="50">
        <v>0</v>
      </c>
      <c r="E34" s="50">
        <v>0</v>
      </c>
      <c r="F34" s="14">
        <f t="shared" si="3"/>
        <v>0</v>
      </c>
      <c r="G34" s="50">
        <v>0</v>
      </c>
      <c r="H34" s="10">
        <f>C34-G34</f>
        <v>0</v>
      </c>
    </row>
    <row r="35" spans="1:8">
      <c r="A35" s="41"/>
      <c r="B35" s="50" t="s">
        <v>58</v>
      </c>
      <c r="C35" s="50" t="s">
        <v>58</v>
      </c>
      <c r="D35" s="50" t="s">
        <v>58</v>
      </c>
      <c r="E35" s="50" t="s">
        <v>58</v>
      </c>
      <c r="F35" s="14" t="s">
        <v>58</v>
      </c>
      <c r="G35" s="50" t="s">
        <v>58</v>
      </c>
      <c r="H35" s="13" t="s">
        <v>58</v>
      </c>
    </row>
    <row r="36" spans="1:8">
      <c r="A36" s="37" t="s">
        <v>24</v>
      </c>
      <c r="B36" s="38">
        <f>SUM(B32:B35)</f>
        <v>0</v>
      </c>
      <c r="C36" s="46">
        <f>SUM(C32:C35)</f>
        <v>0</v>
      </c>
      <c r="D36" s="46">
        <f>SUM(D32:D35)</f>
        <v>2164073</v>
      </c>
      <c r="E36" s="46">
        <f>SUM(E32:E35)</f>
        <v>0</v>
      </c>
      <c r="F36" s="39">
        <f t="shared" si="3"/>
        <v>0</v>
      </c>
      <c r="G36" s="38">
        <f>SUM(G32:G35)</f>
        <v>0</v>
      </c>
      <c r="H36" s="40">
        <f>C36-G36</f>
        <v>0</v>
      </c>
    </row>
    <row r="37" spans="1:8" ht="12.75" customHeight="1" thickBot="1">
      <c r="A37" s="55" t="s">
        <v>25</v>
      </c>
      <c r="B37" s="59">
        <f>B30+B36</f>
        <v>0</v>
      </c>
      <c r="C37" s="59">
        <f>C30+C36</f>
        <v>577949</v>
      </c>
      <c r="D37" s="59">
        <f>D30+D36</f>
        <v>2597564</v>
      </c>
      <c r="E37" s="59">
        <f>E30+E36</f>
        <v>0</v>
      </c>
      <c r="F37" s="58">
        <f t="shared" si="3"/>
        <v>577949</v>
      </c>
      <c r="G37" s="59">
        <f>G30+G36</f>
        <v>0</v>
      </c>
      <c r="H37" s="56">
        <f>C37-G37</f>
        <v>577949</v>
      </c>
    </row>
    <row r="38" spans="1:8" ht="13.5" thickTop="1">
      <c r="A38" s="26" t="s">
        <v>17</v>
      </c>
      <c r="B38" s="168">
        <f>B19-B37</f>
        <v>0</v>
      </c>
      <c r="C38" s="168">
        <f>C19-C37</f>
        <v>0</v>
      </c>
      <c r="D38" s="168">
        <f>D19-D37</f>
        <v>0</v>
      </c>
      <c r="E38" s="168">
        <f>E19-E37</f>
        <v>0</v>
      </c>
      <c r="F38" s="168"/>
      <c r="G38" s="168">
        <f>G19-G37</f>
        <v>0</v>
      </c>
    </row>
    <row r="39" spans="1:8" ht="12.75" customHeight="1">
      <c r="A39" s="26"/>
      <c r="B39" s="26" t="s">
        <v>65</v>
      </c>
      <c r="C39" s="28"/>
      <c r="D39" s="28"/>
      <c r="E39" s="28"/>
      <c r="F39" s="29"/>
      <c r="G39" s="2"/>
    </row>
    <row r="40" spans="1:8" ht="12.75" customHeight="1">
      <c r="A40" s="30" t="s">
        <v>18</v>
      </c>
      <c r="B40" s="30"/>
      <c r="C40" s="16" t="s">
        <v>58</v>
      </c>
      <c r="D40" s="16" t="s">
        <v>58</v>
      </c>
      <c r="E40" s="2"/>
    </row>
    <row r="41" spans="1:8" ht="12.75" customHeight="1">
      <c r="A41" s="30" t="s">
        <v>219</v>
      </c>
      <c r="B41" s="30"/>
      <c r="C41" s="16" t="s">
        <v>58</v>
      </c>
      <c r="D41" s="16" t="s">
        <v>58</v>
      </c>
    </row>
    <row r="42" spans="1:8" ht="12.75" customHeight="1">
      <c r="A42" s="16" t="s">
        <v>62</v>
      </c>
    </row>
    <row r="43" spans="1:8" ht="12.75" customHeight="1">
      <c r="A43" s="33"/>
      <c r="B43" s="33"/>
    </row>
    <row r="44" spans="1:8" ht="12.75" customHeight="1">
      <c r="C44" s="16" t="s">
        <v>74</v>
      </c>
      <c r="E44" s="16" t="s">
        <v>73</v>
      </c>
    </row>
    <row r="45" spans="1:8" ht="12.75" customHeight="1">
      <c r="B45" s="16" t="s">
        <v>52</v>
      </c>
      <c r="C45" s="68">
        <v>0</v>
      </c>
    </row>
    <row r="46" spans="1:8" ht="12.75" customHeight="1">
      <c r="B46" s="16" t="s">
        <v>51</v>
      </c>
      <c r="C46" s="68">
        <v>98324</v>
      </c>
      <c r="D46" s="16" t="s">
        <v>61</v>
      </c>
    </row>
    <row r="47" spans="1:8" ht="12.75" customHeight="1">
      <c r="B47" s="16" t="s">
        <v>53</v>
      </c>
      <c r="C47" s="68">
        <v>410736</v>
      </c>
      <c r="D47" s="16" t="s">
        <v>61</v>
      </c>
    </row>
    <row r="48" spans="1:8" ht="12.75" customHeight="1">
      <c r="B48" s="16" t="s">
        <v>55</v>
      </c>
      <c r="C48" s="51">
        <v>300000</v>
      </c>
      <c r="D48" s="16" t="s">
        <v>61</v>
      </c>
    </row>
    <row r="49" spans="2:5" ht="12.75" customHeight="1">
      <c r="B49" s="16" t="s">
        <v>60</v>
      </c>
      <c r="C49" s="51">
        <v>220530</v>
      </c>
      <c r="D49" s="16" t="s">
        <v>61</v>
      </c>
    </row>
    <row r="50" spans="2:5" ht="12.75" customHeight="1">
      <c r="B50" s="24" t="s">
        <v>54</v>
      </c>
      <c r="C50" s="51">
        <v>0</v>
      </c>
      <c r="D50" s="24" t="s">
        <v>63</v>
      </c>
    </row>
    <row r="51" spans="2:5" ht="12.75" customHeight="1">
      <c r="B51" s="24" t="s">
        <v>56</v>
      </c>
      <c r="C51" s="51">
        <v>195561</v>
      </c>
      <c r="D51" s="24" t="s">
        <v>61</v>
      </c>
    </row>
    <row r="52" spans="2:5" ht="12.75" customHeight="1">
      <c r="B52" s="11" t="s">
        <v>59</v>
      </c>
      <c r="C52" s="76">
        <v>86626</v>
      </c>
    </row>
    <row r="53" spans="2:5" ht="12.75" customHeight="1">
      <c r="B53" s="16" t="s">
        <v>57</v>
      </c>
      <c r="C53" s="51">
        <f>SUM(C45:C52)</f>
        <v>1311777</v>
      </c>
    </row>
    <row r="54" spans="2:5" ht="12.75" customHeight="1">
      <c r="B54" s="16"/>
      <c r="C54" s="51"/>
      <c r="E54" s="77">
        <f>C54-D54</f>
        <v>0</v>
      </c>
    </row>
    <row r="55" spans="2:5" ht="12.75" customHeight="1" thickBot="1">
      <c r="B55" s="16"/>
      <c r="C55" s="75"/>
    </row>
    <row r="56" spans="2:5" ht="12.75" customHeight="1" thickTop="1">
      <c r="C56" s="2"/>
    </row>
    <row r="57" spans="2:5" ht="12.75" customHeight="1"/>
    <row r="58" spans="2:5" ht="12.75" customHeight="1"/>
    <row r="59" spans="2:5" ht="12.75" customHeight="1"/>
    <row r="60" spans="2:5" ht="12.75" customHeight="1"/>
    <row r="61" spans="2:5" ht="12.75" customHeight="1"/>
    <row r="62" spans="2:5" ht="12.75" customHeight="1"/>
    <row r="63" spans="2:5" ht="12.75" customHeight="1"/>
    <row r="64" spans="2: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sheetData>
  <customSheetViews>
    <customSheetView guid="{C8E99144-FF29-42D8-8D33-2038AA9D760E}" scale="75" showPageBreaks="1" fitToPage="1" view="pageBreakPreview" showRuler="0">
      <pane xSplit="1" ySplit="4" topLeftCell="B5" activePane="bottomRight" state="frozen"/>
      <selection pane="bottomRight" activeCell="F8" sqref="F8"/>
      <pageMargins left="0.75" right="0.75" top="1" bottom="1" header="0.5" footer="0.5"/>
      <pageSetup scale="66" orientation="landscape" horizontalDpi="300" verticalDpi="300" r:id="rId1"/>
      <headerFooter alignWithMargins="0"/>
    </customSheetView>
    <customSheetView guid="{6F41311F-2270-450A-A26B-FA887A989CC9}" scale="75" showPageBreaks="1" fitToPage="1" hiddenColumns="1" view="pageBreakPreview" showRuler="0">
      <selection activeCell="A31" sqref="A31"/>
      <pageMargins left="0.75" right="0.75" top="1" bottom="1" header="0.5" footer="0.5"/>
      <pageSetup scale="31" orientation="landscape" horizontalDpi="300" verticalDpi="300" r:id="rId2"/>
      <headerFooter alignWithMargins="0"/>
    </customSheetView>
    <customSheetView guid="{9F62FB59-F471-497B-8464-A1F026EE1693}" scale="75" showPageBreaks="1" fitToPage="1" hiddenColumns="1" view="pageBreakPreview" showRuler="0">
      <selection activeCell="A31" sqref="A31"/>
      <pageMargins left="0.75" right="0.75" top="1" bottom="1" header="0.5" footer="0.5"/>
      <pageSetup scale="31" orientation="landscape" horizontalDpi="300" verticalDpi="300" r:id="rId3"/>
      <headerFooter alignWithMargins="0"/>
    </customSheetView>
    <customSheetView guid="{20D5FB18-2FAE-4D83-BF94-A00B522BD190}" scale="75" showPageBreaks="1" fitToPage="1" hiddenColumns="1" view="pageBreakPreview" showRuler="0">
      <selection activeCell="A31" sqref="A31"/>
      <pageMargins left="0.75" right="0.75" top="1" bottom="1" header="0.5" footer="0.5"/>
      <pageSetup scale="31" orientation="landscape" horizontalDpi="300" verticalDpi="300" r:id="rId4"/>
      <headerFooter alignWithMargins="0"/>
    </customSheetView>
    <customSheetView guid="{9456C1E9-89BB-4E93-9AFD-5A49DBF97574}" scale="75" showPageBreaks="1" fitToPage="1" printArea="1" hiddenColumns="1" view="pageBreakPreview" showRuler="0">
      <selection activeCell="L21" sqref="L21"/>
      <pageMargins left="0.75" right="0.75" top="1" bottom="1" header="0.5" footer="0.5"/>
      <pageSetup scale="64" orientation="portrait" horizontalDpi="300" verticalDpi="300" r:id="rId5"/>
      <headerFooter alignWithMargins="0"/>
    </customSheetView>
    <customSheetView guid="{7FD41845-6BD4-448F-810C-049EFA55EC1B}" scale="75" showPageBreaks="1" fitToPage="1" view="pageBreakPreview" showRuler="0">
      <pane xSplit="1" ySplit="4" topLeftCell="B16" activePane="bottomRight" state="frozen"/>
      <selection pane="bottomRight" activeCell="E32" sqref="E32"/>
      <pageMargins left="0.75" right="0.75" top="1" bottom="1" header="0.5" footer="0.5"/>
      <pageSetup scale="66" orientation="landscape" horizontalDpi="300" verticalDpi="300" r:id="rId6"/>
      <headerFooter alignWithMargins="0"/>
    </customSheetView>
    <customSheetView guid="{8B0AB125-4209-45BF-9ABD-74BE01FD7C48}" scale="75" showPageBreaks="1" fitToPage="1" view="pageBreakPreview" showRuler="0">
      <pane xSplit="1" ySplit="4" topLeftCell="B16" activePane="bottomRight" state="frozen"/>
      <selection pane="bottomRight" activeCell="E32" sqref="E32"/>
      <pageMargins left="0.75" right="0.75" top="1" bottom="1" header="0.5" footer="0.5"/>
      <pageSetup scale="66" orientation="landscape" horizontalDpi="300" verticalDpi="300" r:id="rId7"/>
      <headerFooter alignWithMargins="0"/>
    </customSheetView>
  </customSheetViews>
  <mergeCells count="2">
    <mergeCell ref="A1:H1"/>
    <mergeCell ref="A2:H2"/>
  </mergeCells>
  <phoneticPr fontId="0" type="noConversion"/>
  <pageMargins left="0.75" right="0.75" top="1" bottom="1" header="0.5" footer="0.5"/>
  <pageSetup scale="65" orientation="landscape" horizontalDpi="300" verticalDpi="300" r:id="rId8"/>
  <headerFooter alignWithMargins="0"/>
  <legacyDrawing r:id="rId9"/>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tabColor indexed="27"/>
    <pageSetUpPr fitToPage="1"/>
  </sheetPr>
  <dimension ref="A1:J57"/>
  <sheetViews>
    <sheetView showRuler="0" view="pageBreakPreview" zoomScale="75" zoomScaleNormal="100" zoomScaleSheetLayoutView="75" workbookViewId="0">
      <pane xSplit="1" ySplit="4" topLeftCell="B5" activePane="bottomRight" state="frozen"/>
      <selection activeCell="B2" sqref="B2:G2"/>
      <selection pane="topRight" activeCell="B2" sqref="B2:G2"/>
      <selection pane="bottomLeft" activeCell="B2" sqref="B2:G2"/>
      <selection pane="bottomRight" activeCell="A2" sqref="A2:H2"/>
    </sheetView>
  </sheetViews>
  <sheetFormatPr defaultColWidth="6.85546875" defaultRowHeight="12.75"/>
  <cols>
    <col min="1" max="1" width="41.28515625" style="1" customWidth="1"/>
    <col min="2" max="2" width="17.140625" style="1" customWidth="1"/>
    <col min="3" max="3" width="16.5703125" style="1" customWidth="1"/>
    <col min="4" max="4" width="14.28515625" style="1" bestFit="1" customWidth="1"/>
    <col min="5" max="5" width="16.140625" style="1" customWidth="1"/>
    <col min="6" max="6" width="12.85546875" style="31" customWidth="1"/>
    <col min="7" max="7" width="17.42578125" style="1" customWidth="1"/>
    <col min="8" max="8" width="12.28515625" style="1" bestFit="1" customWidth="1"/>
    <col min="9" max="9" width="6.85546875" style="1"/>
    <col min="10" max="10" width="11" style="1" bestFit="1" customWidth="1"/>
    <col min="11" max="16384" width="6.85546875" style="1"/>
  </cols>
  <sheetData>
    <row r="1" spans="1:9" ht="18">
      <c r="A1" s="1742" t="s">
        <v>277</v>
      </c>
      <c r="B1" s="1742"/>
      <c r="C1" s="1742"/>
      <c r="D1" s="1742"/>
      <c r="E1" s="1742"/>
      <c r="F1" s="1742"/>
      <c r="G1" s="1742"/>
      <c r="H1" s="1742"/>
    </row>
    <row r="2" spans="1:9" ht="15" customHeight="1" thickBot="1">
      <c r="A2" s="1743" t="s">
        <v>318</v>
      </c>
      <c r="B2" s="1743"/>
      <c r="C2" s="1743"/>
      <c r="D2" s="1743"/>
      <c r="E2" s="1743"/>
      <c r="F2" s="1743"/>
      <c r="G2" s="1743"/>
      <c r="H2" s="1743"/>
    </row>
    <row r="3" spans="1:9" ht="12.75" customHeight="1">
      <c r="A3" s="86"/>
      <c r="B3" s="86"/>
      <c r="C3" s="86" t="s">
        <v>64</v>
      </c>
      <c r="D3" s="91" t="s">
        <v>64</v>
      </c>
      <c r="E3" s="86"/>
      <c r="F3" s="91" t="s">
        <v>86</v>
      </c>
      <c r="G3" s="86"/>
      <c r="H3" s="91" t="s">
        <v>110</v>
      </c>
    </row>
    <row r="4" spans="1:9" ht="44.25" customHeight="1" thickBot="1">
      <c r="A4" s="3" t="s">
        <v>0</v>
      </c>
      <c r="B4" s="5" t="s">
        <v>314</v>
      </c>
      <c r="C4" s="4" t="s">
        <v>315</v>
      </c>
      <c r="D4" s="4" t="s">
        <v>217</v>
      </c>
      <c r="E4" s="5" t="s">
        <v>316</v>
      </c>
      <c r="F4" s="129" t="s">
        <v>1</v>
      </c>
      <c r="G4" s="5" t="s">
        <v>317</v>
      </c>
      <c r="H4" s="129" t="s">
        <v>1</v>
      </c>
    </row>
    <row r="5" spans="1:9">
      <c r="A5" s="2"/>
      <c r="B5" s="9"/>
      <c r="C5" s="2"/>
      <c r="D5" s="2"/>
      <c r="E5" s="2"/>
      <c r="F5" s="7"/>
      <c r="G5" s="9"/>
      <c r="H5" s="10"/>
    </row>
    <row r="6" spans="1:9">
      <c r="A6" s="11" t="s">
        <v>2</v>
      </c>
      <c r="B6" s="9"/>
      <c r="C6" s="12"/>
      <c r="D6" s="13"/>
      <c r="E6" s="13"/>
      <c r="F6" s="14"/>
      <c r="G6" s="9"/>
      <c r="H6" s="9"/>
    </row>
    <row r="7" spans="1:9">
      <c r="A7" s="16" t="s">
        <v>3</v>
      </c>
      <c r="B7" s="50">
        <v>0</v>
      </c>
      <c r="C7" s="50">
        <v>0</v>
      </c>
      <c r="D7" s="50">
        <v>0</v>
      </c>
      <c r="E7" s="50">
        <v>0</v>
      </c>
      <c r="F7" s="60">
        <f t="shared" ref="F7:F14" si="0">E7-C7</f>
        <v>0</v>
      </c>
      <c r="G7" s="50">
        <v>0</v>
      </c>
      <c r="H7" s="9">
        <f>G7-C7</f>
        <v>0</v>
      </c>
    </row>
    <row r="8" spans="1:9">
      <c r="A8" s="16" t="s">
        <v>4</v>
      </c>
      <c r="B8" s="50">
        <v>8689765</v>
      </c>
      <c r="C8" s="50">
        <v>7606902</v>
      </c>
      <c r="D8" s="50">
        <v>7028939</v>
      </c>
      <c r="E8" s="50">
        <v>7901121</v>
      </c>
      <c r="F8" s="60">
        <f t="shared" si="0"/>
        <v>294219</v>
      </c>
      <c r="G8" s="50">
        <f>7989765+700000</f>
        <v>8689765</v>
      </c>
      <c r="H8" s="9">
        <f t="shared" ref="H8:H13" si="1">G8-C8</f>
        <v>1082863</v>
      </c>
      <c r="I8" s="1" t="s">
        <v>309</v>
      </c>
    </row>
    <row r="9" spans="1:9">
      <c r="A9" s="16" t="s">
        <v>5</v>
      </c>
      <c r="B9" s="50">
        <v>0</v>
      </c>
      <c r="C9" s="50">
        <v>0</v>
      </c>
      <c r="D9" s="50">
        <v>0</v>
      </c>
      <c r="E9" s="50">
        <v>0</v>
      </c>
      <c r="F9" s="60">
        <f t="shared" si="0"/>
        <v>0</v>
      </c>
      <c r="G9" s="50">
        <v>0</v>
      </c>
      <c r="H9" s="9">
        <f t="shared" si="1"/>
        <v>0</v>
      </c>
    </row>
    <row r="10" spans="1:9">
      <c r="A10" s="16" t="s">
        <v>6</v>
      </c>
      <c r="B10" s="50">
        <v>55500</v>
      </c>
      <c r="C10" s="50">
        <v>55500</v>
      </c>
      <c r="D10" s="50">
        <v>21476</v>
      </c>
      <c r="E10" s="50">
        <v>55500</v>
      </c>
      <c r="F10" s="60">
        <f t="shared" si="0"/>
        <v>0</v>
      </c>
      <c r="G10" s="50">
        <f>55500</f>
        <v>55500</v>
      </c>
      <c r="H10" s="9">
        <f t="shared" si="1"/>
        <v>0</v>
      </c>
    </row>
    <row r="11" spans="1:9">
      <c r="A11" s="16" t="s">
        <v>7</v>
      </c>
      <c r="B11" s="50">
        <v>0</v>
      </c>
      <c r="C11" s="50">
        <v>0</v>
      </c>
      <c r="D11" s="50">
        <v>0</v>
      </c>
      <c r="E11" s="50">
        <v>0</v>
      </c>
      <c r="F11" s="60">
        <f t="shared" si="0"/>
        <v>0</v>
      </c>
      <c r="G11" s="50">
        <v>0</v>
      </c>
      <c r="H11" s="9">
        <f t="shared" si="1"/>
        <v>0</v>
      </c>
    </row>
    <row r="12" spans="1:9">
      <c r="A12" s="24" t="s">
        <v>8</v>
      </c>
      <c r="B12" s="50">
        <v>0</v>
      </c>
      <c r="C12" s="50">
        <v>0</v>
      </c>
      <c r="D12" s="50">
        <v>4816</v>
      </c>
      <c r="E12" s="50">
        <v>0</v>
      </c>
      <c r="F12" s="60">
        <f t="shared" si="0"/>
        <v>0</v>
      </c>
      <c r="G12" s="50">
        <v>0</v>
      </c>
      <c r="H12" s="9">
        <f t="shared" si="1"/>
        <v>0</v>
      </c>
    </row>
    <row r="13" spans="1:9">
      <c r="A13" s="24" t="s">
        <v>28</v>
      </c>
      <c r="B13" s="50">
        <v>0</v>
      </c>
      <c r="C13" s="50">
        <v>0</v>
      </c>
      <c r="D13" s="50">
        <v>0</v>
      </c>
      <c r="E13" s="50">
        <v>0</v>
      </c>
      <c r="F13" s="60">
        <f t="shared" si="0"/>
        <v>0</v>
      </c>
      <c r="G13" s="50">
        <v>0</v>
      </c>
      <c r="H13" s="9">
        <f t="shared" si="1"/>
        <v>0</v>
      </c>
    </row>
    <row r="14" spans="1:9">
      <c r="A14" s="37" t="s">
        <v>9</v>
      </c>
      <c r="B14" s="46">
        <f>SUM(B7:B13)</f>
        <v>8745265</v>
      </c>
      <c r="C14" s="46">
        <f>SUM(C7:C13)</f>
        <v>7662402</v>
      </c>
      <c r="D14" s="46">
        <f>SUM(D7:D13)</f>
        <v>7055231</v>
      </c>
      <c r="E14" s="46">
        <f>SUM(E7:E13)</f>
        <v>7956621</v>
      </c>
      <c r="F14" s="61">
        <f t="shared" si="0"/>
        <v>294219</v>
      </c>
      <c r="G14" s="46">
        <f>SUM(G7:G13)</f>
        <v>8745265</v>
      </c>
      <c r="H14" s="46">
        <f>SUM(H7:H13)</f>
        <v>1082863</v>
      </c>
    </row>
    <row r="15" spans="1:9">
      <c r="A15" s="18" t="s">
        <v>19</v>
      </c>
      <c r="B15" s="50"/>
      <c r="C15" s="50"/>
      <c r="D15" s="50"/>
      <c r="E15" s="50"/>
      <c r="F15" s="60"/>
      <c r="G15" s="50"/>
      <c r="H15" s="10"/>
    </row>
    <row r="16" spans="1:9">
      <c r="A16" s="36" t="s">
        <v>33</v>
      </c>
      <c r="B16" s="50">
        <v>0</v>
      </c>
      <c r="C16" s="50">
        <v>0</v>
      </c>
      <c r="D16" s="50">
        <v>0</v>
      </c>
      <c r="E16" s="50">
        <v>0</v>
      </c>
      <c r="F16" s="50">
        <v>0</v>
      </c>
      <c r="G16" s="50">
        <v>0</v>
      </c>
      <c r="H16" s="9">
        <f>G16-C16</f>
        <v>0</v>
      </c>
    </row>
    <row r="17" spans="1:10">
      <c r="A17" s="36" t="s">
        <v>29</v>
      </c>
      <c r="B17" s="50">
        <v>0</v>
      </c>
      <c r="C17" s="50">
        <v>0</v>
      </c>
      <c r="D17" s="50">
        <v>0</v>
      </c>
      <c r="E17" s="50">
        <v>0</v>
      </c>
      <c r="F17" s="50">
        <v>0</v>
      </c>
      <c r="G17" s="50">
        <v>0</v>
      </c>
      <c r="H17" s="9">
        <f>G17-C17</f>
        <v>0</v>
      </c>
    </row>
    <row r="18" spans="1:10">
      <c r="A18" s="16" t="s">
        <v>264</v>
      </c>
      <c r="B18" s="114">
        <v>-428948.94</v>
      </c>
      <c r="C18" s="114">
        <f>B18</f>
        <v>-428948.94</v>
      </c>
      <c r="D18" s="114">
        <f>C18</f>
        <v>-428948.94</v>
      </c>
      <c r="E18" s="114">
        <f>C18</f>
        <v>-428948.94</v>
      </c>
      <c r="F18" s="114">
        <v>0</v>
      </c>
      <c r="G18" s="114">
        <f>E35</f>
        <v>-428948.94</v>
      </c>
      <c r="H18" s="9">
        <f>G18-C18</f>
        <v>0</v>
      </c>
    </row>
    <row r="19" spans="1:10">
      <c r="A19" s="18" t="s">
        <v>20</v>
      </c>
      <c r="B19" s="28">
        <f t="shared" ref="B19:H19" si="2">SUM(B16:B18)</f>
        <v>-428948.94</v>
      </c>
      <c r="C19" s="28">
        <f t="shared" si="2"/>
        <v>-428948.94</v>
      </c>
      <c r="D19" s="28">
        <f t="shared" si="2"/>
        <v>-428948.94</v>
      </c>
      <c r="E19" s="28">
        <f t="shared" si="2"/>
        <v>-428948.94</v>
      </c>
      <c r="F19" s="127">
        <f t="shared" si="2"/>
        <v>0</v>
      </c>
      <c r="G19" s="28">
        <f t="shared" si="2"/>
        <v>-428948.94</v>
      </c>
      <c r="H19" s="28">
        <f t="shared" si="2"/>
        <v>0</v>
      </c>
    </row>
    <row r="20" spans="1:10" ht="13.5" thickBot="1">
      <c r="A20" s="55" t="s">
        <v>21</v>
      </c>
      <c r="B20" s="57">
        <f>B14+B19</f>
        <v>8316316.0599999996</v>
      </c>
      <c r="C20" s="57">
        <f>C14+C19</f>
        <v>7233453.0599999996</v>
      </c>
      <c r="D20" s="57">
        <f>D14+D19</f>
        <v>6626282.0599999996</v>
      </c>
      <c r="E20" s="57">
        <f>E14+E19</f>
        <v>7527672.0599999996</v>
      </c>
      <c r="F20" s="58">
        <f>E20-C20</f>
        <v>294219</v>
      </c>
      <c r="G20" s="57">
        <f>G14+G19</f>
        <v>8316316.0599999996</v>
      </c>
      <c r="H20" s="57">
        <f>H14+H19</f>
        <v>1082863</v>
      </c>
    </row>
    <row r="21" spans="1:10" ht="13.5" thickTop="1">
      <c r="A21" s="2"/>
      <c r="B21" s="48"/>
      <c r="C21" s="48"/>
      <c r="D21" s="48"/>
      <c r="E21" s="48"/>
      <c r="F21" s="62"/>
      <c r="G21" s="48"/>
      <c r="H21" s="10"/>
    </row>
    <row r="22" spans="1:10">
      <c r="A22" s="11" t="s">
        <v>10</v>
      </c>
      <c r="B22" s="48"/>
      <c r="C22" s="48"/>
      <c r="D22" s="48"/>
      <c r="E22" s="48"/>
      <c r="F22" s="62"/>
      <c r="G22" s="48"/>
      <c r="H22" s="9"/>
    </row>
    <row r="23" spans="1:10">
      <c r="A23" s="24" t="s">
        <v>11</v>
      </c>
      <c r="B23" s="50">
        <v>3751221</v>
      </c>
      <c r="C23" s="50">
        <v>3901954</v>
      </c>
      <c r="D23" s="50">
        <v>2669810</v>
      </c>
      <c r="E23" s="50">
        <v>3838062.57</v>
      </c>
      <c r="F23" s="60">
        <f>C23-E23</f>
        <v>63891.430000000168</v>
      </c>
      <c r="G23" s="50">
        <f>3908178-152277-4680</f>
        <v>3751221</v>
      </c>
      <c r="H23" s="9">
        <f>C23-G23</f>
        <v>150733</v>
      </c>
      <c r="I23" s="1" t="s">
        <v>311</v>
      </c>
    </row>
    <row r="24" spans="1:10">
      <c r="A24" s="24" t="s">
        <v>12</v>
      </c>
      <c r="B24" s="50">
        <v>1834417</v>
      </c>
      <c r="C24" s="50">
        <v>1841895</v>
      </c>
      <c r="D24" s="50">
        <v>1301676</v>
      </c>
      <c r="E24" s="50">
        <v>1766612.37</v>
      </c>
      <c r="F24" s="60">
        <f t="shared" ref="F24:F29" si="3">C24-E24</f>
        <v>75282.629999999888</v>
      </c>
      <c r="G24" s="50">
        <f>1891164-47830-8898-19</f>
        <v>1834417</v>
      </c>
      <c r="H24" s="9">
        <f t="shared" ref="H24:H29" si="4">C24-G24</f>
        <v>7478</v>
      </c>
      <c r="I24" s="1" t="s">
        <v>311</v>
      </c>
    </row>
    <row r="25" spans="1:10">
      <c r="A25" s="24" t="s">
        <v>13</v>
      </c>
      <c r="B25" s="50">
        <v>433118</v>
      </c>
      <c r="C25" s="50">
        <v>231280</v>
      </c>
      <c r="D25" s="50">
        <v>103247</v>
      </c>
      <c r="E25" s="50">
        <v>233970</v>
      </c>
      <c r="F25" s="60">
        <f t="shared" si="3"/>
        <v>-2690</v>
      </c>
      <c r="G25" s="50">
        <f>231518+201600</f>
        <v>433118</v>
      </c>
      <c r="H25" s="9">
        <f t="shared" si="4"/>
        <v>-201838</v>
      </c>
      <c r="I25" s="1" t="s">
        <v>310</v>
      </c>
    </row>
    <row r="26" spans="1:10">
      <c r="A26" s="24" t="s">
        <v>14</v>
      </c>
      <c r="B26" s="50">
        <v>1063509.3999999999</v>
      </c>
      <c r="C26" s="50">
        <v>824160</v>
      </c>
      <c r="D26" s="50">
        <v>592830</v>
      </c>
      <c r="E26" s="50">
        <v>807355</v>
      </c>
      <c r="F26" s="60">
        <f t="shared" si="3"/>
        <v>16805</v>
      </c>
      <c r="G26" s="50">
        <f>746133.4+75397+145198+96781</f>
        <v>1063509.3999999999</v>
      </c>
      <c r="H26" s="9">
        <f t="shared" si="4"/>
        <v>-239349.39999999991</v>
      </c>
      <c r="I26" s="1" t="s">
        <v>312</v>
      </c>
    </row>
    <row r="27" spans="1:10">
      <c r="A27" s="24" t="s">
        <v>26</v>
      </c>
      <c r="B27" s="50">
        <v>0</v>
      </c>
      <c r="C27" s="50">
        <v>0</v>
      </c>
      <c r="D27" s="50">
        <v>0</v>
      </c>
      <c r="E27" s="50">
        <v>0</v>
      </c>
      <c r="F27" s="60">
        <f t="shared" si="3"/>
        <v>0</v>
      </c>
      <c r="G27" s="94">
        <v>0</v>
      </c>
      <c r="H27" s="9">
        <f t="shared" si="4"/>
        <v>0</v>
      </c>
    </row>
    <row r="28" spans="1:10">
      <c r="A28" s="24" t="s">
        <v>15</v>
      </c>
      <c r="B28" s="50">
        <v>0</v>
      </c>
      <c r="C28" s="50">
        <v>30380</v>
      </c>
      <c r="D28" s="50">
        <v>0</v>
      </c>
      <c r="E28" s="50">
        <v>0</v>
      </c>
      <c r="F28" s="60">
        <f t="shared" si="3"/>
        <v>30380</v>
      </c>
      <c r="G28" s="94">
        <v>0</v>
      </c>
      <c r="H28" s="9">
        <f t="shared" si="4"/>
        <v>30380</v>
      </c>
    </row>
    <row r="29" spans="1:10">
      <c r="A29" s="24" t="s">
        <v>16</v>
      </c>
      <c r="B29" s="50">
        <v>0</v>
      </c>
      <c r="C29" s="50">
        <v>0</v>
      </c>
      <c r="D29" s="50">
        <v>0</v>
      </c>
      <c r="E29" s="50">
        <v>0</v>
      </c>
      <c r="F29" s="60">
        <f t="shared" si="3"/>
        <v>0</v>
      </c>
      <c r="G29" s="94">
        <v>0</v>
      </c>
      <c r="H29" s="9">
        <f t="shared" si="4"/>
        <v>0</v>
      </c>
    </row>
    <row r="30" spans="1:10">
      <c r="A30" s="37" t="s">
        <v>22</v>
      </c>
      <c r="B30" s="46">
        <f>SUM(B23:B29)</f>
        <v>7082265.4000000004</v>
      </c>
      <c r="C30" s="46">
        <f>SUM(C23:C29)</f>
        <v>6829669</v>
      </c>
      <c r="D30" s="46">
        <f>SUM(D23:D29)</f>
        <v>4667563</v>
      </c>
      <c r="E30" s="46">
        <f>SUM(E23:E29)</f>
        <v>6645999.9399999995</v>
      </c>
      <c r="F30" s="61">
        <f>C30-E30</f>
        <v>183669.06000000052</v>
      </c>
      <c r="G30" s="46">
        <f>SUM(G23:G29)</f>
        <v>7082265.4000000004</v>
      </c>
      <c r="H30" s="46">
        <f>SUM(H23:H29)</f>
        <v>-252596.39999999991</v>
      </c>
      <c r="J30" s="9"/>
    </row>
    <row r="31" spans="1:10">
      <c r="A31" s="18" t="s">
        <v>23</v>
      </c>
      <c r="B31" s="50"/>
      <c r="C31" s="50"/>
      <c r="D31" s="50"/>
      <c r="E31" s="50"/>
      <c r="F31" s="60"/>
      <c r="G31" s="50"/>
      <c r="H31" s="10"/>
    </row>
    <row r="32" spans="1:10">
      <c r="A32" s="41" t="s">
        <v>34</v>
      </c>
      <c r="B32" s="50">
        <v>0</v>
      </c>
      <c r="C32" s="50">
        <v>0</v>
      </c>
      <c r="D32" s="50">
        <v>0</v>
      </c>
      <c r="E32" s="50">
        <v>906837</v>
      </c>
      <c r="F32" s="60">
        <f t="shared" ref="F32:F37" si="5">C32-E32</f>
        <v>-906837</v>
      </c>
      <c r="G32" s="50">
        <v>0</v>
      </c>
      <c r="H32" s="9">
        <f>C32-G32</f>
        <v>0</v>
      </c>
    </row>
    <row r="33" spans="1:8">
      <c r="A33" s="41" t="s">
        <v>35</v>
      </c>
      <c r="B33" s="50">
        <v>0</v>
      </c>
      <c r="C33" s="50">
        <v>0</v>
      </c>
      <c r="D33" s="50">
        <v>0</v>
      </c>
      <c r="E33" s="50">
        <v>0</v>
      </c>
      <c r="F33" s="60">
        <f t="shared" si="5"/>
        <v>0</v>
      </c>
      <c r="G33" s="50">
        <v>0</v>
      </c>
      <c r="H33" s="9">
        <f>C33-G33</f>
        <v>0</v>
      </c>
    </row>
    <row r="34" spans="1:8">
      <c r="A34" s="41" t="s">
        <v>30</v>
      </c>
      <c r="B34" s="50">
        <v>0</v>
      </c>
      <c r="C34" s="50">
        <v>0</v>
      </c>
      <c r="D34" s="50">
        <v>0</v>
      </c>
      <c r="E34" s="50">
        <v>0</v>
      </c>
      <c r="F34" s="14">
        <f t="shared" si="5"/>
        <v>0</v>
      </c>
      <c r="G34" s="50">
        <v>0</v>
      </c>
      <c r="H34" s="9">
        <f>C34-G34</f>
        <v>0</v>
      </c>
    </row>
    <row r="35" spans="1:8">
      <c r="A35" s="41" t="s">
        <v>263</v>
      </c>
      <c r="B35" s="114">
        <v>1234050.6599999999</v>
      </c>
      <c r="C35" s="114">
        <v>0</v>
      </c>
      <c r="D35" s="114">
        <v>0</v>
      </c>
      <c r="E35" s="114">
        <v>-428948.94</v>
      </c>
      <c r="F35" s="14">
        <f t="shared" si="5"/>
        <v>428948.94</v>
      </c>
      <c r="G35" s="114">
        <v>1234050.6599999999</v>
      </c>
      <c r="H35" s="9">
        <f>C35-G35</f>
        <v>-1234050.6599999999</v>
      </c>
    </row>
    <row r="36" spans="1:8">
      <c r="A36" s="37" t="s">
        <v>24</v>
      </c>
      <c r="B36" s="46">
        <f>SUM(B33:B35)</f>
        <v>1234050.6599999999</v>
      </c>
      <c r="C36" s="46">
        <f>SUM(C32:C35)</f>
        <v>0</v>
      </c>
      <c r="D36" s="46">
        <f>SUM(D32:D35)</f>
        <v>0</v>
      </c>
      <c r="E36" s="46">
        <f>SUM(E32:E35)</f>
        <v>477888.06</v>
      </c>
      <c r="F36" s="39">
        <f t="shared" si="5"/>
        <v>-477888.06</v>
      </c>
      <c r="G36" s="46">
        <f>SUM(G32:G35)</f>
        <v>1234050.6599999999</v>
      </c>
      <c r="H36" s="46">
        <f>SUM(H33:H35)</f>
        <v>-1234050.6599999999</v>
      </c>
    </row>
    <row r="37" spans="1:8" ht="12.75" customHeight="1" thickBot="1">
      <c r="A37" s="55" t="s">
        <v>25</v>
      </c>
      <c r="B37" s="59">
        <f>B30+B36</f>
        <v>8316316.0600000005</v>
      </c>
      <c r="C37" s="59">
        <f>C30+C36</f>
        <v>6829669</v>
      </c>
      <c r="D37" s="59">
        <f>D30+D36</f>
        <v>4667563</v>
      </c>
      <c r="E37" s="59">
        <f>E30+E36</f>
        <v>7123887.9999999991</v>
      </c>
      <c r="F37" s="58">
        <f t="shared" si="5"/>
        <v>-294218.99999999907</v>
      </c>
      <c r="G37" s="59">
        <f>G30+G36</f>
        <v>8316316.0600000005</v>
      </c>
      <c r="H37" s="59">
        <f>H30+H36</f>
        <v>-1486647.0599999998</v>
      </c>
    </row>
    <row r="38" spans="1:8" ht="13.5" thickTop="1">
      <c r="A38" s="26" t="s">
        <v>17</v>
      </c>
      <c r="B38" s="201">
        <f>B20-B37</f>
        <v>0</v>
      </c>
      <c r="C38" s="201">
        <f>C20-C37</f>
        <v>403784.05999999959</v>
      </c>
      <c r="D38" s="201">
        <f>D20-D37</f>
        <v>1958719.0599999996</v>
      </c>
      <c r="E38" s="201">
        <f>E20-E37</f>
        <v>403784.06000000052</v>
      </c>
      <c r="F38" s="201"/>
      <c r="G38" s="201">
        <f>G20-G37</f>
        <v>0</v>
      </c>
    </row>
    <row r="39" spans="1:8" ht="12.75" customHeight="1">
      <c r="A39" s="26"/>
      <c r="B39" s="26"/>
      <c r="C39" s="28"/>
      <c r="D39" s="28"/>
      <c r="E39" s="28"/>
      <c r="F39" s="29"/>
      <c r="G39" s="2"/>
    </row>
    <row r="40" spans="1:8" ht="12.75" customHeight="1">
      <c r="A40" s="30" t="s">
        <v>18</v>
      </c>
      <c r="B40" s="30"/>
      <c r="E40" s="2"/>
      <c r="G40" s="9"/>
    </row>
    <row r="41" spans="1:8" ht="12.75" customHeight="1">
      <c r="A41" s="30" t="s">
        <v>201</v>
      </c>
      <c r="B41" s="30"/>
      <c r="G41" s="9"/>
    </row>
    <row r="42" spans="1:8" ht="12.75" customHeight="1"/>
    <row r="45" spans="1:8">
      <c r="E45" s="16" t="s">
        <v>159</v>
      </c>
      <c r="F45" s="31">
        <v>114142</v>
      </c>
      <c r="G45" s="1">
        <f>F45*0.5</f>
        <v>57071</v>
      </c>
    </row>
    <row r="46" spans="1:8">
      <c r="E46" s="16" t="s">
        <v>160</v>
      </c>
      <c r="F46" s="31">
        <v>105184</v>
      </c>
      <c r="G46" s="31">
        <v>105184</v>
      </c>
    </row>
    <row r="47" spans="1:8">
      <c r="E47" s="16" t="s">
        <v>161</v>
      </c>
      <c r="F47" s="31">
        <v>100006</v>
      </c>
      <c r="G47" s="31">
        <v>100006</v>
      </c>
    </row>
    <row r="48" spans="1:8">
      <c r="E48" s="16" t="s">
        <v>162</v>
      </c>
      <c r="F48" s="31">
        <v>80836</v>
      </c>
      <c r="G48" s="31">
        <v>80836</v>
      </c>
    </row>
    <row r="49" spans="5:7">
      <c r="E49" s="16" t="s">
        <v>163</v>
      </c>
      <c r="F49" s="31">
        <v>79540</v>
      </c>
      <c r="G49" s="31">
        <v>79540</v>
      </c>
    </row>
    <row r="50" spans="5:7">
      <c r="E50" s="16" t="s">
        <v>164</v>
      </c>
      <c r="F50" s="31">
        <v>117712</v>
      </c>
      <c r="G50" s="31">
        <v>117712</v>
      </c>
    </row>
    <row r="51" spans="5:7">
      <c r="E51" s="16" t="s">
        <v>165</v>
      </c>
      <c r="F51" s="31">
        <v>151016</v>
      </c>
      <c r="G51" s="1">
        <f>F51*0.5</f>
        <v>75508</v>
      </c>
    </row>
    <row r="52" spans="5:7">
      <c r="E52" s="16" t="s">
        <v>166</v>
      </c>
      <c r="F52" s="31">
        <v>64160</v>
      </c>
      <c r="G52" s="31">
        <v>64160</v>
      </c>
    </row>
    <row r="53" spans="5:7">
      <c r="E53" s="16" t="s">
        <v>167</v>
      </c>
      <c r="F53" s="31">
        <v>71494</v>
      </c>
      <c r="G53" s="31">
        <v>71494</v>
      </c>
    </row>
    <row r="54" spans="5:7">
      <c r="E54" s="16" t="s">
        <v>168</v>
      </c>
      <c r="F54" s="31">
        <v>109196</v>
      </c>
      <c r="G54" s="31">
        <v>109196</v>
      </c>
    </row>
    <row r="55" spans="5:7">
      <c r="E55" s="16" t="s">
        <v>169</v>
      </c>
      <c r="F55" s="31">
        <v>53797</v>
      </c>
      <c r="G55" s="31">
        <v>53797</v>
      </c>
    </row>
    <row r="56" spans="5:7">
      <c r="E56" s="16" t="s">
        <v>170</v>
      </c>
      <c r="F56" s="31">
        <v>125361</v>
      </c>
      <c r="G56" s="31">
        <v>125361</v>
      </c>
    </row>
    <row r="57" spans="5:7">
      <c r="G57" s="68">
        <f>SUM(G45:G56)</f>
        <v>1039865</v>
      </c>
    </row>
  </sheetData>
  <customSheetViews>
    <customSheetView guid="{C8E99144-FF29-42D8-8D33-2038AA9D760E}" scale="75" showPageBreaks="1" fitToPage="1" view="pageBreakPreview" showRuler="0">
      <pane xSplit="1" ySplit="4" topLeftCell="B9" activePane="bottomRight" state="frozen"/>
      <selection pane="bottomRight" activeCell="C8" activeCellId="1" sqref="F8 C8"/>
      <pageMargins left="0.75" right="0.75" top="1" bottom="1" header="0.5" footer="0.5"/>
      <pageSetup scale="62" orientation="landscape" horizontalDpi="300" verticalDpi="300" r:id="rId1"/>
      <headerFooter alignWithMargins="0"/>
    </customSheetView>
    <customSheetView guid="{9456C1E9-89BB-4E93-9AFD-5A49DBF97574}" scale="75" showPageBreaks="1" fitToPage="1" printArea="1" hiddenColumns="1" view="pageBreakPreview" showRuler="0">
      <selection activeCell="L40" sqref="L40"/>
      <pageMargins left="0.75" right="0.75" top="1" bottom="1" header="0.5" footer="0.5"/>
      <pageSetup scale="62" orientation="portrait" horizontalDpi="300" verticalDpi="300" r:id="rId2"/>
      <headerFooter alignWithMargins="0"/>
    </customSheetView>
    <customSheetView guid="{7FD41845-6BD4-448F-810C-049EFA55EC1B}" scale="75" showPageBreaks="1" fitToPage="1" view="pageBreakPreview" showRuler="0">
      <pane xSplit="1" ySplit="4" topLeftCell="B5" activePane="bottomRight" state="frozen"/>
      <selection pane="bottomRight" activeCell="I22" sqref="I22"/>
      <pageMargins left="0.75" right="0.75" top="1" bottom="1" header="0.5" footer="0.5"/>
      <pageSetup scale="62" orientation="landscape" horizontalDpi="300" verticalDpi="300" r:id="rId3"/>
      <headerFooter alignWithMargins="0"/>
    </customSheetView>
    <customSheetView guid="{8B0AB125-4209-45BF-9ABD-74BE01FD7C48}" scale="75" showPageBreaks="1" fitToPage="1" view="pageBreakPreview" showRuler="0">
      <pane xSplit="1" ySplit="4" topLeftCell="B9" activePane="bottomRight" state="frozen"/>
      <selection pane="bottomRight" activeCell="A36" sqref="A36"/>
      <pageMargins left="0.75" right="0.75" top="1" bottom="1" header="0.5" footer="0.5"/>
      <pageSetup scale="62" orientation="landscape" horizontalDpi="300" verticalDpi="300" r:id="rId4"/>
      <headerFooter alignWithMargins="0"/>
    </customSheetView>
  </customSheetViews>
  <mergeCells count="2">
    <mergeCell ref="A1:H1"/>
    <mergeCell ref="A2:H2"/>
  </mergeCells>
  <phoneticPr fontId="0" type="noConversion"/>
  <pageMargins left="0.75" right="0.75" top="1" bottom="1" header="0.5" footer="0.5"/>
  <pageSetup scale="54" orientation="landscape" horizontalDpi="300" verticalDpi="300" r:id="rId5"/>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theme="7"/>
    <pageSetUpPr fitToPage="1"/>
  </sheetPr>
  <dimension ref="A1:N89"/>
  <sheetViews>
    <sheetView showGridLines="0" showRuler="0" view="pageBreakPreview" zoomScale="130" zoomScaleNormal="75" zoomScaleSheetLayoutView="130" workbookViewId="0">
      <pane xSplit="2" ySplit="6" topLeftCell="C7"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18.85546875" style="283" hidden="1" customWidth="1"/>
    <col min="2" max="2" width="36.5703125" style="283" customWidth="1"/>
    <col min="3" max="3" width="19.5703125" style="283" customWidth="1"/>
    <col min="4" max="4" width="18.7109375" style="283" customWidth="1"/>
    <col min="5" max="5" width="17.28515625" style="283" customWidth="1"/>
    <col min="6" max="6" width="20.5703125" style="283" hidden="1" customWidth="1"/>
    <col min="7" max="7" width="17.42578125" style="283" customWidth="1"/>
    <col min="8" max="8" width="20.5703125" style="283" hidden="1" customWidth="1"/>
    <col min="9" max="9" width="16.5703125" style="293" customWidth="1"/>
    <col min="10" max="10" width="10.7109375" style="283" bestFit="1" customWidth="1"/>
    <col min="11" max="11" width="11.5703125" style="283" bestFit="1" customWidth="1"/>
    <col min="12" max="16384" width="6.85546875" style="283"/>
  </cols>
  <sheetData>
    <row r="1" spans="1:14" ht="44.25" hidden="1">
      <c r="B1" s="1702" t="s">
        <v>404</v>
      </c>
      <c r="C1" s="1703"/>
      <c r="D1" s="1703"/>
      <c r="E1" s="1703"/>
      <c r="F1" s="1703"/>
      <c r="G1" s="1703"/>
      <c r="H1" s="1703"/>
      <c r="I1" s="1703"/>
      <c r="N1" s="593" t="str">
        <f>PROPER(B1)</f>
        <v>Ship State Housing Improvement Program Fund  - 130</v>
      </c>
    </row>
    <row r="2" spans="1:14" ht="18.75">
      <c r="B2" s="284"/>
      <c r="C2" s="285"/>
      <c r="D2" s="285"/>
      <c r="E2" s="285"/>
      <c r="F2" s="285"/>
      <c r="G2" s="285"/>
      <c r="H2" s="285"/>
      <c r="I2" s="285"/>
    </row>
    <row r="3" spans="1:14" ht="41.25">
      <c r="B3" s="1709" t="str">
        <f>PROPER(B1)</f>
        <v>Ship State Housing Improvement Program Fund  - 130</v>
      </c>
      <c r="C3" s="1709"/>
      <c r="D3" s="1709"/>
      <c r="E3" s="1709"/>
      <c r="F3" s="1709"/>
      <c r="G3" s="1709"/>
      <c r="H3" s="1709"/>
      <c r="I3" s="1709"/>
      <c r="J3" s="1709"/>
      <c r="K3" s="1709"/>
      <c r="L3" s="1709"/>
      <c r="M3" s="1709"/>
      <c r="N3" s="1709"/>
    </row>
    <row r="4" spans="1:14" ht="16.5" thickBot="1">
      <c r="B4" s="1711"/>
      <c r="C4" s="1711"/>
      <c r="D4" s="1711"/>
      <c r="E4" s="1711"/>
      <c r="F4" s="1711"/>
      <c r="G4" s="1711"/>
      <c r="H4" s="1711"/>
      <c r="I4" s="1711"/>
    </row>
    <row r="5" spans="1:14">
      <c r="B5" s="286"/>
      <c r="C5" s="286"/>
      <c r="D5" s="287"/>
      <c r="E5" s="287"/>
      <c r="F5" s="287" t="s">
        <v>64</v>
      </c>
      <c r="G5" s="287"/>
      <c r="H5" s="287" t="s">
        <v>86</v>
      </c>
      <c r="I5" s="287"/>
    </row>
    <row r="6" spans="1:14" s="298" customFormat="1" ht="48" thickBot="1">
      <c r="B6" s="294"/>
      <c r="C6" s="295" t="s">
        <v>326</v>
      </c>
      <c r="D6" s="295" t="s">
        <v>314</v>
      </c>
      <c r="E6" s="296" t="s">
        <v>324</v>
      </c>
      <c r="F6" s="296" t="s">
        <v>217</v>
      </c>
      <c r="G6" s="295" t="s">
        <v>325</v>
      </c>
      <c r="H6" s="297" t="s">
        <v>1</v>
      </c>
      <c r="I6" s="295" t="s">
        <v>328</v>
      </c>
    </row>
    <row r="7" spans="1:14">
      <c r="B7" s="288"/>
      <c r="C7" s="288"/>
      <c r="D7" s="289"/>
      <c r="E7" s="288"/>
      <c r="F7" s="288"/>
      <c r="G7" s="288"/>
      <c r="H7" s="290"/>
      <c r="I7" s="291"/>
    </row>
    <row r="8" spans="1:14" ht="15.75">
      <c r="B8" s="299" t="s">
        <v>2</v>
      </c>
      <c r="C8" s="299"/>
      <c r="D8" s="300"/>
      <c r="E8" s="300"/>
      <c r="F8" s="301"/>
      <c r="G8" s="301"/>
      <c r="H8" s="300"/>
      <c r="I8" s="302"/>
    </row>
    <row r="9" spans="1:14" ht="15.75">
      <c r="A9" s="321" t="s">
        <v>367</v>
      </c>
      <c r="B9" s="298" t="s">
        <v>401</v>
      </c>
      <c r="C9" s="303" t="e">
        <f>VLOOKUP(A9,#REF!,2,FALSE)</f>
        <v>#REF!</v>
      </c>
      <c r="D9" s="303" t="e">
        <f>VLOOKUP(A9,#REF!,3,FALSE)</f>
        <v>#REF!</v>
      </c>
      <c r="E9" s="303" t="e">
        <f>VLOOKUP(A9,#REF!,4,FALSE)</f>
        <v>#REF!</v>
      </c>
      <c r="F9" s="304">
        <v>8038202</v>
      </c>
      <c r="G9" s="304" t="e">
        <f>VLOOKUP(A9,#REF!,5,FALSE)</f>
        <v>#REF!</v>
      </c>
      <c r="H9" s="300" t="e">
        <f>G9-E9</f>
        <v>#REF!</v>
      </c>
      <c r="I9" s="303" t="e">
        <f>VLOOKUP(A9,#REF!,6,FALSE)</f>
        <v>#REF!</v>
      </c>
      <c r="K9" s="289" t="s">
        <v>58</v>
      </c>
      <c r="N9" s="603"/>
    </row>
    <row r="10" spans="1:14" ht="15.75">
      <c r="A10" s="321" t="s">
        <v>338</v>
      </c>
      <c r="B10" s="305" t="s">
        <v>8</v>
      </c>
      <c r="C10" s="303" t="e">
        <f>VLOOKUP(A10,#REF!,2,FALSE)</f>
        <v>#REF!</v>
      </c>
      <c r="D10" s="303" t="e">
        <f>VLOOKUP(A10,#REF!,3,FALSE)</f>
        <v>#REF!</v>
      </c>
      <c r="E10" s="303" t="e">
        <f>VLOOKUP(A10,#REF!,4,FALSE)</f>
        <v>#REF!</v>
      </c>
      <c r="F10" s="304">
        <v>8038203</v>
      </c>
      <c r="G10" s="304" t="e">
        <f>VLOOKUP(A10,#REF!,5,FALSE)</f>
        <v>#REF!</v>
      </c>
      <c r="H10" s="300" t="e">
        <f>G10-E10</f>
        <v>#REF!</v>
      </c>
      <c r="I10" s="303" t="e">
        <f>VLOOKUP(A10,#REF!,6,FALSE)</f>
        <v>#REF!</v>
      </c>
      <c r="N10" s="603"/>
    </row>
    <row r="11" spans="1:14" ht="15.75">
      <c r="A11" s="321" t="s">
        <v>349</v>
      </c>
      <c r="B11" s="305" t="s">
        <v>28</v>
      </c>
      <c r="C11" s="303" t="e">
        <f>VLOOKUP(A11,#REF!,2,FALSE)</f>
        <v>#REF!</v>
      </c>
      <c r="D11" s="303" t="e">
        <f>VLOOKUP(A11,#REF!,3,FALSE)</f>
        <v>#REF!</v>
      </c>
      <c r="E11" s="303" t="e">
        <f>VLOOKUP(A11,#REF!,4,FALSE)</f>
        <v>#REF!</v>
      </c>
      <c r="F11" s="304">
        <v>8038204</v>
      </c>
      <c r="G11" s="304" t="e">
        <f>VLOOKUP(A11,#REF!,5,FALSE)</f>
        <v>#REF!</v>
      </c>
      <c r="H11" s="300" t="e">
        <f>G11-E11</f>
        <v>#REF!</v>
      </c>
      <c r="I11" s="303" t="e">
        <f>VLOOKUP(A11,#REF!,6,FALSE)</f>
        <v>#REF!</v>
      </c>
      <c r="N11" s="603"/>
    </row>
    <row r="12" spans="1:14" s="293" customFormat="1" ht="15.75">
      <c r="B12" s="311" t="s">
        <v>319</v>
      </c>
      <c r="C12" s="303"/>
      <c r="D12" s="306" t="e">
        <f>D13-D9-D10</f>
        <v>#REF!</v>
      </c>
      <c r="E12" s="306" t="e">
        <f>E13-E9-E10</f>
        <v>#REF!</v>
      </c>
      <c r="F12" s="304"/>
      <c r="G12" s="304" t="e">
        <f>E12</f>
        <v>#REF!</v>
      </c>
      <c r="H12" s="302"/>
      <c r="I12" s="306" t="e">
        <f>I26-I9-I10</f>
        <v>#REF!</v>
      </c>
      <c r="N12" s="646"/>
    </row>
    <row r="13" spans="1:14" s="625" customFormat="1" ht="15.75">
      <c r="B13" s="622" t="s">
        <v>9</v>
      </c>
      <c r="C13" s="308" t="e">
        <f>SUM(C9:C12)</f>
        <v>#REF!</v>
      </c>
      <c r="D13" s="308" t="e">
        <f>D26</f>
        <v>#REF!</v>
      </c>
      <c r="E13" s="308" t="e">
        <f>E26</f>
        <v>#REF!</v>
      </c>
      <c r="F13" s="308">
        <f>SUM(F9:F12)</f>
        <v>24114609</v>
      </c>
      <c r="G13" s="308" t="e">
        <f>SUM(G9:G12)</f>
        <v>#REF!</v>
      </c>
      <c r="H13" s="308" t="e">
        <f>SUM(H9:H12)</f>
        <v>#REF!</v>
      </c>
      <c r="I13" s="308" t="e">
        <f>SUM(I9:I12)</f>
        <v>#REF!</v>
      </c>
      <c r="N13" s="651"/>
    </row>
    <row r="14" spans="1:14" s="293" customFormat="1" ht="15.75">
      <c r="B14" s="310"/>
      <c r="C14" s="310"/>
      <c r="D14" s="304"/>
      <c r="E14" s="304"/>
      <c r="F14" s="304"/>
      <c r="G14" s="304"/>
      <c r="H14" s="304"/>
      <c r="I14" s="304"/>
      <c r="N14" s="646"/>
    </row>
    <row r="15" spans="1:14" s="293" customFormat="1" ht="15.75">
      <c r="B15" s="313" t="s">
        <v>320</v>
      </c>
      <c r="C15" s="313"/>
      <c r="D15" s="306"/>
      <c r="E15" s="304"/>
      <c r="F15" s="304"/>
      <c r="G15" s="304"/>
      <c r="H15" s="304"/>
      <c r="I15" s="306"/>
      <c r="J15" s="291"/>
      <c r="N15" s="646"/>
    </row>
    <row r="16" spans="1:14" s="293" customFormat="1" ht="15.75">
      <c r="B16" s="311" t="s">
        <v>327</v>
      </c>
      <c r="C16" s="303">
        <f>0-C12</f>
        <v>0</v>
      </c>
      <c r="D16" s="306" t="e">
        <f>C29-D12</f>
        <v>#REF!</v>
      </c>
      <c r="E16" s="306" t="e">
        <f>C29-E12</f>
        <v>#REF!</v>
      </c>
      <c r="F16" s="304" t="e">
        <f>E16</f>
        <v>#REF!</v>
      </c>
      <c r="G16" s="304" t="e">
        <f>C29-G12</f>
        <v>#REF!</v>
      </c>
      <c r="H16" s="302" t="e">
        <f>G16-E16</f>
        <v>#REF!</v>
      </c>
      <c r="I16" s="306" t="e">
        <f>G29-I12</f>
        <v>#REF!</v>
      </c>
      <c r="N16" s="646"/>
    </row>
    <row r="17" spans="1:14" s="293" customFormat="1" ht="15.75">
      <c r="B17" s="313" t="s">
        <v>20</v>
      </c>
      <c r="C17" s="309">
        <f>SUM(C16:C16)</f>
        <v>0</v>
      </c>
      <c r="D17" s="310" t="e">
        <f>SUM(D16:D16)</f>
        <v>#REF!</v>
      </c>
      <c r="E17" s="310" t="e">
        <f>SUM(E16:E16)</f>
        <v>#REF!</v>
      </c>
      <c r="F17" s="310" t="e">
        <f>SUM(F16:F16)</f>
        <v>#REF!</v>
      </c>
      <c r="G17" s="310" t="e">
        <f>SUM(G16:G16)</f>
        <v>#REF!</v>
      </c>
      <c r="H17" s="302" t="e">
        <f>G17-E17</f>
        <v>#REF!</v>
      </c>
      <c r="I17" s="310" t="e">
        <f>SUM(I16:I16)</f>
        <v>#REF!</v>
      </c>
      <c r="N17" s="646"/>
    </row>
    <row r="18" spans="1:14" s="293" customFormat="1" ht="16.5" thickBot="1">
      <c r="B18" s="616" t="s">
        <v>21</v>
      </c>
      <c r="C18" s="647" t="e">
        <f>C17+C13</f>
        <v>#REF!</v>
      </c>
      <c r="D18" s="647" t="e">
        <f>D13+D17</f>
        <v>#REF!</v>
      </c>
      <c r="E18" s="647" t="e">
        <f>E13+E17</f>
        <v>#REF!</v>
      </c>
      <c r="F18" s="647" t="e">
        <f>F13+F17</f>
        <v>#REF!</v>
      </c>
      <c r="G18" s="647" t="e">
        <f>G13+G17</f>
        <v>#REF!</v>
      </c>
      <c r="H18" s="648" t="e">
        <f>G18-E18</f>
        <v>#REF!</v>
      </c>
      <c r="I18" s="647" t="e">
        <f>I13+I17</f>
        <v>#REF!</v>
      </c>
      <c r="N18" s="646"/>
    </row>
    <row r="19" spans="1:14" s="293" customFormat="1" ht="16.5" thickTop="1">
      <c r="B19" s="316"/>
      <c r="C19" s="316"/>
      <c r="D19" s="304"/>
      <c r="E19" s="304"/>
      <c r="F19" s="304"/>
      <c r="G19" s="304"/>
      <c r="H19" s="304"/>
      <c r="I19" s="304"/>
      <c r="N19" s="646"/>
    </row>
    <row r="20" spans="1:14" s="293" customFormat="1" ht="15.75">
      <c r="B20" s="349" t="s">
        <v>10</v>
      </c>
      <c r="C20" s="349"/>
      <c r="D20" s="302"/>
      <c r="E20" s="304"/>
      <c r="F20" s="304"/>
      <c r="G20" s="304"/>
      <c r="H20" s="302"/>
      <c r="I20" s="302"/>
      <c r="N20" s="646"/>
    </row>
    <row r="21" spans="1:14" s="293" customFormat="1" ht="15.75">
      <c r="A21" s="621" t="s">
        <v>340</v>
      </c>
      <c r="B21" s="316" t="s">
        <v>11</v>
      </c>
      <c r="C21" s="303" t="e">
        <f>VLOOKUP(A21,#REF!,2,FALSE)</f>
        <v>#REF!</v>
      </c>
      <c r="D21" s="303" t="e">
        <f>VLOOKUP(A21,#REF!,3,FALSE)</f>
        <v>#REF!</v>
      </c>
      <c r="E21" s="303" t="e">
        <f>VLOOKUP(A21,#REF!,4,FALSE)</f>
        <v>#REF!</v>
      </c>
      <c r="F21" s="304">
        <v>8038202</v>
      </c>
      <c r="G21" s="304" t="e">
        <f>VLOOKUP(A21,#REF!,5,FALSE)</f>
        <v>#REF!</v>
      </c>
      <c r="H21" s="302" t="e">
        <f>G21-E21</f>
        <v>#REF!</v>
      </c>
      <c r="I21" s="303" t="e">
        <f>VLOOKUP(A21,#REF!,6,FALSE)</f>
        <v>#REF!</v>
      </c>
      <c r="N21" s="646"/>
    </row>
    <row r="22" spans="1:14" s="293" customFormat="1" ht="15.75">
      <c r="A22" s="621" t="s">
        <v>341</v>
      </c>
      <c r="B22" s="316" t="s">
        <v>12</v>
      </c>
      <c r="C22" s="303" t="e">
        <f>VLOOKUP(A22,#REF!,2,FALSE)</f>
        <v>#REF!</v>
      </c>
      <c r="D22" s="303" t="e">
        <f>VLOOKUP(A22,#REF!,3,FALSE)</f>
        <v>#REF!</v>
      </c>
      <c r="E22" s="303" t="e">
        <f>VLOOKUP(A22,#REF!,4,FALSE)</f>
        <v>#REF!</v>
      </c>
      <c r="F22" s="304">
        <v>8038202</v>
      </c>
      <c r="G22" s="304" t="e">
        <f>VLOOKUP(A22,#REF!,5,FALSE)</f>
        <v>#REF!</v>
      </c>
      <c r="H22" s="302" t="e">
        <f>G22-E22</f>
        <v>#REF!</v>
      </c>
      <c r="I22" s="303" t="e">
        <f>VLOOKUP(A22,#REF!,6,FALSE)</f>
        <v>#REF!</v>
      </c>
      <c r="N22" s="646"/>
    </row>
    <row r="23" spans="1:14" s="293" customFormat="1" ht="15.75">
      <c r="A23" s="621" t="s">
        <v>342</v>
      </c>
      <c r="B23" s="316" t="s">
        <v>13</v>
      </c>
      <c r="C23" s="303" t="e">
        <f>VLOOKUP(A23,#REF!,2,FALSE)</f>
        <v>#REF!</v>
      </c>
      <c r="D23" s="303" t="e">
        <f>VLOOKUP(A23,#REF!,3,FALSE)</f>
        <v>#REF!</v>
      </c>
      <c r="E23" s="303" t="e">
        <f>VLOOKUP(A23,#REF!,4,FALSE)</f>
        <v>#REF!</v>
      </c>
      <c r="F23" s="304">
        <v>8038202</v>
      </c>
      <c r="G23" s="304" t="e">
        <f>VLOOKUP(A23,#REF!,5,FALSE)</f>
        <v>#REF!</v>
      </c>
      <c r="H23" s="302" t="e">
        <f>G23-E23</f>
        <v>#REF!</v>
      </c>
      <c r="I23" s="303" t="e">
        <f>VLOOKUP(A23,#REF!,6,FALSE)</f>
        <v>#REF!</v>
      </c>
      <c r="N23" s="646"/>
    </row>
    <row r="24" spans="1:14" s="293" customFormat="1" ht="15.75">
      <c r="A24" s="621" t="s">
        <v>343</v>
      </c>
      <c r="B24" s="316" t="s">
        <v>14</v>
      </c>
      <c r="C24" s="303" t="e">
        <f>VLOOKUP(A24,#REF!,2,FALSE)</f>
        <v>#REF!</v>
      </c>
      <c r="D24" s="303" t="e">
        <f>VLOOKUP(A24,#REF!,3,FALSE)</f>
        <v>#REF!</v>
      </c>
      <c r="E24" s="303" t="e">
        <f>VLOOKUP(A24,#REF!,4,FALSE)</f>
        <v>#REF!</v>
      </c>
      <c r="F24" s="304">
        <v>8038202</v>
      </c>
      <c r="G24" s="304" t="e">
        <f>VLOOKUP(A24,#REF!,5,FALSE)</f>
        <v>#REF!</v>
      </c>
      <c r="H24" s="302" t="e">
        <f>G24-E24</f>
        <v>#REF!</v>
      </c>
      <c r="I24" s="303" t="e">
        <f>VLOOKUP(A24,#REF!,6,FALSE)</f>
        <v>#REF!</v>
      </c>
      <c r="N24" s="646"/>
    </row>
    <row r="25" spans="1:14" s="293" customFormat="1" ht="15.75">
      <c r="A25" s="621" t="s">
        <v>346</v>
      </c>
      <c r="B25" s="316" t="s">
        <v>38</v>
      </c>
      <c r="C25" s="303" t="e">
        <f>VLOOKUP(A25,#REF!,2,FALSE)</f>
        <v>#REF!</v>
      </c>
      <c r="D25" s="303" t="e">
        <f>VLOOKUP(A25,#REF!,3,FALSE)</f>
        <v>#REF!</v>
      </c>
      <c r="E25" s="303" t="e">
        <f>VLOOKUP(A25,#REF!,4,FALSE)</f>
        <v>#REF!</v>
      </c>
      <c r="F25" s="304">
        <v>8038202</v>
      </c>
      <c r="G25" s="304" t="e">
        <f>VLOOKUP(A25,#REF!,5,FALSE)</f>
        <v>#REF!</v>
      </c>
      <c r="H25" s="302" t="e">
        <f>G25-E25</f>
        <v>#REF!</v>
      </c>
      <c r="I25" s="303" t="e">
        <f>VLOOKUP(A25,#REF!,6,FALSE)</f>
        <v>#REF!</v>
      </c>
      <c r="N25" s="646"/>
    </row>
    <row r="26" spans="1:14" s="293" customFormat="1" ht="15.75">
      <c r="B26" s="622" t="s">
        <v>22</v>
      </c>
      <c r="C26" s="308" t="e">
        <f t="shared" ref="C26:I26" si="0">SUM(C21:C25)</f>
        <v>#REF!</v>
      </c>
      <c r="D26" s="308" t="e">
        <f t="shared" si="0"/>
        <v>#REF!</v>
      </c>
      <c r="E26" s="308" t="e">
        <f t="shared" si="0"/>
        <v>#REF!</v>
      </c>
      <c r="F26" s="308">
        <f t="shared" si="0"/>
        <v>40191010</v>
      </c>
      <c r="G26" s="308" t="e">
        <f t="shared" si="0"/>
        <v>#REF!</v>
      </c>
      <c r="H26" s="308" t="e">
        <f t="shared" si="0"/>
        <v>#REF!</v>
      </c>
      <c r="I26" s="308" t="e">
        <f t="shared" si="0"/>
        <v>#REF!</v>
      </c>
      <c r="J26" s="625"/>
      <c r="N26" s="646"/>
    </row>
    <row r="27" spans="1:14" s="293" customFormat="1" ht="15.75">
      <c r="B27" s="311"/>
      <c r="C27" s="311"/>
      <c r="D27" s="304"/>
      <c r="E27" s="304"/>
      <c r="F27" s="304"/>
      <c r="G27" s="304"/>
      <c r="H27" s="304"/>
      <c r="I27" s="304"/>
      <c r="N27" s="646"/>
    </row>
    <row r="28" spans="1:14" s="293" customFormat="1" ht="15.75">
      <c r="B28" s="313" t="s">
        <v>321</v>
      </c>
      <c r="C28" s="313"/>
      <c r="D28" s="311"/>
      <c r="E28" s="311"/>
      <c r="F28" s="311"/>
      <c r="G28" s="311"/>
      <c r="H28" s="311"/>
      <c r="I28" s="311"/>
      <c r="N28" s="646"/>
    </row>
    <row r="29" spans="1:14" s="293" customFormat="1" ht="15.75">
      <c r="B29" s="316" t="s">
        <v>322</v>
      </c>
      <c r="C29" s="304" t="e">
        <f>C17+C13-C26</f>
        <v>#REF!</v>
      </c>
      <c r="D29" s="304" t="e">
        <f>D17</f>
        <v>#REF!</v>
      </c>
      <c r="E29" s="304" t="e">
        <f>E17</f>
        <v>#REF!</v>
      </c>
      <c r="F29" s="304" t="e">
        <f>E29</f>
        <v>#REF!</v>
      </c>
      <c r="G29" s="304" t="e">
        <f>G17+G13-G26</f>
        <v>#REF!</v>
      </c>
      <c r="H29" s="302" t="e">
        <f>E29-G29</f>
        <v>#REF!</v>
      </c>
      <c r="I29" s="304" t="e">
        <f>I17</f>
        <v>#REF!</v>
      </c>
      <c r="N29" s="646"/>
    </row>
    <row r="30" spans="1:14" s="293" customFormat="1" ht="15.75">
      <c r="B30" s="624" t="s">
        <v>329</v>
      </c>
      <c r="C30" s="312"/>
      <c r="D30" s="304"/>
      <c r="E30" s="304"/>
      <c r="F30" s="304"/>
      <c r="G30" s="304"/>
      <c r="H30" s="302"/>
      <c r="I30" s="304"/>
      <c r="N30" s="646"/>
    </row>
    <row r="31" spans="1:14" s="625" customFormat="1" ht="15.75">
      <c r="B31" s="626" t="s">
        <v>323</v>
      </c>
      <c r="C31" s="309" t="e">
        <f>C29</f>
        <v>#REF!</v>
      </c>
      <c r="D31" s="308" t="e">
        <f>D29</f>
        <v>#REF!</v>
      </c>
      <c r="E31" s="308" t="e">
        <f>SUM(E29:E29)</f>
        <v>#REF!</v>
      </c>
      <c r="F31" s="308" t="e">
        <f>SUM(F29:F29)</f>
        <v>#REF!</v>
      </c>
      <c r="G31" s="308" t="e">
        <f>SUM(G29:G29)</f>
        <v>#REF!</v>
      </c>
      <c r="H31" s="308" t="e">
        <f>SUM(H29:H29)</f>
        <v>#REF!</v>
      </c>
      <c r="I31" s="308" t="e">
        <f>SUM(I29:I29)</f>
        <v>#REF!</v>
      </c>
      <c r="N31" s="651"/>
    </row>
    <row r="32" spans="1:14" s="293" customFormat="1" ht="16.5" thickBot="1">
      <c r="B32" s="616" t="s">
        <v>25</v>
      </c>
      <c r="C32" s="647" t="e">
        <f>C31+C26</f>
        <v>#REF!</v>
      </c>
      <c r="D32" s="652" t="e">
        <f>D26+D31</f>
        <v>#REF!</v>
      </c>
      <c r="E32" s="652" t="e">
        <f>E26+E31</f>
        <v>#REF!</v>
      </c>
      <c r="F32" s="652" t="e">
        <f>F26+F31</f>
        <v>#REF!</v>
      </c>
      <c r="G32" s="652" t="e">
        <f>G26+G31</f>
        <v>#REF!</v>
      </c>
      <c r="H32" s="647" t="e">
        <f>E32-G32</f>
        <v>#REF!</v>
      </c>
      <c r="I32" s="652" t="e">
        <f>I26+I31</f>
        <v>#REF!</v>
      </c>
      <c r="N32" s="646"/>
    </row>
    <row r="33" spans="2:9" s="293" customFormat="1" ht="16.5" thickTop="1">
      <c r="B33" s="313" t="s">
        <v>17</v>
      </c>
      <c r="C33" s="314" t="e">
        <f>C13-C26</f>
        <v>#REF!</v>
      </c>
      <c r="D33" s="314" t="e">
        <f>D18-D32</f>
        <v>#REF!</v>
      </c>
      <c r="E33" s="314" t="e">
        <f>E18-E32</f>
        <v>#REF!</v>
      </c>
      <c r="F33" s="314" t="e">
        <f>F18-F32</f>
        <v>#REF!</v>
      </c>
      <c r="G33" s="314" t="e">
        <f>G13-G26</f>
        <v>#REF!</v>
      </c>
      <c r="H33" s="704"/>
      <c r="I33" s="314" t="e">
        <f>I18-I32</f>
        <v>#REF!</v>
      </c>
    </row>
    <row r="34" spans="2:9" s="293" customFormat="1" ht="15.75">
      <c r="B34" s="313"/>
      <c r="C34" s="313"/>
      <c r="D34" s="316"/>
      <c r="E34" s="310"/>
      <c r="F34" s="310"/>
      <c r="G34" s="310"/>
      <c r="H34" s="311"/>
      <c r="I34" s="316"/>
    </row>
    <row r="35" spans="2:9" s="293" customFormat="1" ht="15.75" hidden="1">
      <c r="B35" s="311"/>
      <c r="C35" s="302"/>
      <c r="D35" s="311"/>
      <c r="E35" s="311"/>
      <c r="F35" s="311"/>
      <c r="G35" s="302"/>
      <c r="H35" s="311"/>
      <c r="I35" s="311"/>
    </row>
    <row r="36" spans="2:9" s="293" customFormat="1" ht="15.75" hidden="1">
      <c r="B36" s="311"/>
      <c r="C36" s="311"/>
      <c r="D36" s="311"/>
      <c r="E36" s="311"/>
      <c r="F36" s="311"/>
      <c r="G36" s="311"/>
      <c r="H36" s="311"/>
      <c r="I36" s="311"/>
    </row>
    <row r="37" spans="2:9" s="293" customFormat="1" ht="15.75" hidden="1">
      <c r="B37" s="311"/>
      <c r="C37" s="311"/>
      <c r="D37" s="311"/>
      <c r="E37" s="311"/>
      <c r="F37" s="311"/>
      <c r="G37" s="311"/>
      <c r="H37" s="311"/>
      <c r="I37" s="311"/>
    </row>
    <row r="38" spans="2:9" s="293" customFormat="1" ht="15.75">
      <c r="B38" s="349"/>
      <c r="C38" s="349"/>
      <c r="D38" s="311"/>
      <c r="E38" s="311"/>
      <c r="F38" s="311"/>
      <c r="G38" s="311"/>
      <c r="H38" s="311"/>
      <c r="I38" s="311"/>
    </row>
    <row r="39" spans="2:9" s="293" customFormat="1" ht="15.75">
      <c r="B39" s="311"/>
      <c r="C39" s="311"/>
      <c r="D39" s="311"/>
      <c r="E39" s="311"/>
      <c r="F39" s="311"/>
      <c r="G39" s="311"/>
      <c r="H39" s="311"/>
      <c r="I39" s="311"/>
    </row>
    <row r="40" spans="2:9" ht="15.75">
      <c r="B40" s="298"/>
      <c r="C40" s="298"/>
      <c r="D40" s="298"/>
      <c r="E40" s="298"/>
      <c r="F40" s="298"/>
      <c r="G40" s="298"/>
      <c r="H40" s="298"/>
      <c r="I40" s="311"/>
    </row>
    <row r="41" spans="2:9" ht="15.75">
      <c r="B41" s="298"/>
      <c r="C41" s="298"/>
      <c r="D41" s="298"/>
      <c r="E41" s="298"/>
      <c r="F41" s="298"/>
      <c r="G41" s="298"/>
      <c r="H41" s="298"/>
      <c r="I41" s="311"/>
    </row>
    <row r="42" spans="2:9" ht="15.75">
      <c r="B42" s="298"/>
      <c r="C42" s="298"/>
      <c r="D42" s="298"/>
      <c r="E42" s="298"/>
      <c r="F42" s="298"/>
      <c r="G42" s="298"/>
      <c r="H42" s="298"/>
      <c r="I42" s="311"/>
    </row>
    <row r="43" spans="2:9" ht="15.75">
      <c r="B43" s="298"/>
      <c r="C43" s="298"/>
      <c r="D43" s="298"/>
      <c r="E43" s="298"/>
      <c r="F43" s="298"/>
      <c r="G43" s="298"/>
      <c r="H43" s="298"/>
      <c r="I43" s="311"/>
    </row>
    <row r="44" spans="2:9" ht="15.75">
      <c r="B44" s="298"/>
      <c r="C44" s="298"/>
      <c r="D44" s="298"/>
      <c r="E44" s="298"/>
      <c r="F44" s="298"/>
      <c r="G44" s="298"/>
      <c r="H44" s="298"/>
      <c r="I44" s="311"/>
    </row>
    <row r="45" spans="2:9" ht="15.75">
      <c r="B45" s="298"/>
      <c r="C45" s="298"/>
      <c r="D45" s="298"/>
      <c r="E45" s="298"/>
      <c r="F45" s="298"/>
      <c r="G45" s="298"/>
      <c r="H45" s="298"/>
      <c r="I45" s="311"/>
    </row>
    <row r="46" spans="2:9" ht="15.75">
      <c r="B46" s="298"/>
      <c r="C46" s="298"/>
      <c r="D46" s="298"/>
      <c r="E46" s="298"/>
      <c r="F46" s="298"/>
      <c r="G46" s="298"/>
      <c r="H46" s="298"/>
      <c r="I46" s="311"/>
    </row>
    <row r="47" spans="2:9" ht="15.75">
      <c r="B47" s="298"/>
      <c r="C47" s="298"/>
      <c r="D47" s="298"/>
      <c r="E47" s="298"/>
      <c r="F47" s="298"/>
      <c r="G47" s="298"/>
      <c r="H47" s="298"/>
      <c r="I47" s="311"/>
    </row>
    <row r="48" spans="2:9" ht="15.75">
      <c r="B48" s="298"/>
      <c r="C48" s="298"/>
      <c r="D48" s="298"/>
      <c r="E48" s="298"/>
      <c r="F48" s="298"/>
      <c r="G48" s="298"/>
      <c r="H48" s="298"/>
      <c r="I48" s="311"/>
    </row>
    <row r="49" spans="2:9" ht="15.75">
      <c r="B49" s="298"/>
      <c r="C49" s="298"/>
      <c r="D49" s="298"/>
      <c r="E49" s="298"/>
      <c r="F49" s="298"/>
      <c r="G49" s="298"/>
      <c r="H49" s="298"/>
      <c r="I49" s="311"/>
    </row>
    <row r="50" spans="2:9" ht="15.75">
      <c r="B50" s="298"/>
      <c r="C50" s="298"/>
      <c r="D50" s="298"/>
      <c r="E50" s="298"/>
      <c r="F50" s="298"/>
      <c r="G50" s="298"/>
      <c r="H50" s="298"/>
      <c r="I50" s="311"/>
    </row>
    <row r="51" spans="2:9" ht="15.75">
      <c r="B51" s="298"/>
      <c r="C51" s="298"/>
      <c r="D51" s="298"/>
      <c r="E51" s="298"/>
      <c r="F51" s="298"/>
      <c r="G51" s="298"/>
      <c r="H51" s="298"/>
      <c r="I51" s="311"/>
    </row>
    <row r="52" spans="2:9" ht="15.75">
      <c r="B52" s="298"/>
      <c r="C52" s="298"/>
      <c r="D52" s="298"/>
      <c r="E52" s="298"/>
      <c r="F52" s="298"/>
      <c r="G52" s="298"/>
      <c r="H52" s="298"/>
      <c r="I52" s="311"/>
    </row>
    <row r="53" spans="2:9" ht="15.75">
      <c r="B53" s="298"/>
      <c r="C53" s="298"/>
      <c r="D53" s="298"/>
      <c r="E53" s="298"/>
      <c r="F53" s="298"/>
      <c r="G53" s="298"/>
      <c r="H53" s="298"/>
      <c r="I53" s="311"/>
    </row>
    <row r="54" spans="2:9" ht="15.75">
      <c r="B54" s="298"/>
      <c r="C54" s="298"/>
      <c r="D54" s="298"/>
      <c r="E54" s="298"/>
      <c r="F54" s="298"/>
      <c r="G54" s="298"/>
      <c r="H54" s="298"/>
      <c r="I54" s="311"/>
    </row>
    <row r="55" spans="2:9" ht="15.75">
      <c r="B55" s="298"/>
      <c r="C55" s="298"/>
      <c r="D55" s="298"/>
      <c r="E55" s="298"/>
      <c r="F55" s="298"/>
      <c r="G55" s="298"/>
      <c r="H55" s="298"/>
      <c r="I55" s="311"/>
    </row>
    <row r="56" spans="2:9" ht="15.75">
      <c r="B56" s="298"/>
      <c r="C56" s="298"/>
      <c r="D56" s="298"/>
      <c r="E56" s="298"/>
      <c r="F56" s="298"/>
      <c r="G56" s="298"/>
      <c r="H56" s="298"/>
      <c r="I56" s="311"/>
    </row>
    <row r="57" spans="2:9" ht="15.75">
      <c r="B57" s="298"/>
      <c r="C57" s="298"/>
      <c r="D57" s="298"/>
      <c r="E57" s="298"/>
      <c r="F57" s="298"/>
      <c r="G57" s="298"/>
      <c r="H57" s="298"/>
      <c r="I57" s="311"/>
    </row>
    <row r="58" spans="2:9" ht="15.75">
      <c r="B58" s="298"/>
      <c r="C58" s="298"/>
      <c r="D58" s="298"/>
      <c r="E58" s="298"/>
      <c r="F58" s="298"/>
      <c r="G58" s="298"/>
      <c r="H58" s="298"/>
      <c r="I58" s="311"/>
    </row>
    <row r="59" spans="2:9" ht="15.75">
      <c r="B59" s="298"/>
      <c r="C59" s="298"/>
      <c r="D59" s="298"/>
      <c r="E59" s="298"/>
      <c r="F59" s="298"/>
      <c r="G59" s="298"/>
      <c r="H59" s="298"/>
      <c r="I59" s="311"/>
    </row>
    <row r="60" spans="2:9" ht="15.75">
      <c r="B60" s="298"/>
      <c r="C60" s="298"/>
      <c r="D60" s="298"/>
      <c r="E60" s="298"/>
      <c r="F60" s="298"/>
      <c r="G60" s="298"/>
      <c r="H60" s="298"/>
      <c r="I60" s="311"/>
    </row>
    <row r="61" spans="2:9" ht="15.75">
      <c r="B61" s="298"/>
      <c r="C61" s="298"/>
      <c r="D61" s="298"/>
      <c r="E61" s="298"/>
      <c r="F61" s="298"/>
      <c r="G61" s="298"/>
      <c r="H61" s="298"/>
      <c r="I61" s="311"/>
    </row>
    <row r="62" spans="2:9" ht="15.75">
      <c r="B62" s="298"/>
      <c r="C62" s="298"/>
      <c r="D62" s="298"/>
      <c r="E62" s="298"/>
      <c r="F62" s="298"/>
      <c r="G62" s="298"/>
      <c r="H62" s="298"/>
      <c r="I62" s="311"/>
    </row>
    <row r="63" spans="2:9" ht="15.75">
      <c r="B63" s="298"/>
      <c r="C63" s="298"/>
      <c r="D63" s="298"/>
      <c r="E63" s="298"/>
      <c r="F63" s="298"/>
      <c r="G63" s="298"/>
      <c r="H63" s="298"/>
      <c r="I63" s="311"/>
    </row>
    <row r="64" spans="2:9" ht="15.75">
      <c r="B64" s="298"/>
      <c r="C64" s="298"/>
      <c r="D64" s="298"/>
      <c r="E64" s="298"/>
      <c r="F64" s="298"/>
      <c r="G64" s="298"/>
      <c r="H64" s="298"/>
      <c r="I64" s="311"/>
    </row>
    <row r="65" spans="2:9" ht="15.75">
      <c r="B65" s="298"/>
      <c r="C65" s="298"/>
      <c r="D65" s="298"/>
      <c r="E65" s="298"/>
      <c r="F65" s="298"/>
      <c r="G65" s="298"/>
      <c r="H65" s="298"/>
      <c r="I65" s="311"/>
    </row>
    <row r="66" spans="2:9" ht="15.75">
      <c r="B66" s="298"/>
      <c r="C66" s="298"/>
      <c r="D66" s="298"/>
      <c r="E66" s="298"/>
      <c r="F66" s="298"/>
      <c r="G66" s="298"/>
      <c r="H66" s="298"/>
      <c r="I66" s="311"/>
    </row>
    <row r="67" spans="2:9" ht="15.75">
      <c r="B67" s="298"/>
      <c r="C67" s="298"/>
      <c r="D67" s="298"/>
      <c r="E67" s="298"/>
      <c r="F67" s="298"/>
      <c r="G67" s="298"/>
      <c r="H67" s="298"/>
      <c r="I67" s="311"/>
    </row>
    <row r="68" spans="2:9" ht="15.75">
      <c r="B68" s="298"/>
      <c r="C68" s="298"/>
      <c r="D68" s="298"/>
      <c r="E68" s="298"/>
      <c r="F68" s="298"/>
      <c r="G68" s="298"/>
      <c r="H68" s="298"/>
      <c r="I68" s="311"/>
    </row>
    <row r="69" spans="2:9" ht="15.75">
      <c r="B69" s="298"/>
      <c r="C69" s="298"/>
      <c r="D69" s="298"/>
      <c r="E69" s="298"/>
      <c r="F69" s="298"/>
      <c r="G69" s="298"/>
      <c r="H69" s="298"/>
      <c r="I69" s="311"/>
    </row>
    <row r="70" spans="2:9" ht="15.75">
      <c r="B70" s="298"/>
      <c r="C70" s="298"/>
      <c r="D70" s="298"/>
      <c r="E70" s="298"/>
      <c r="F70" s="298"/>
      <c r="G70" s="298"/>
      <c r="H70" s="298"/>
      <c r="I70" s="311"/>
    </row>
    <row r="71" spans="2:9" ht="15.75">
      <c r="B71" s="298"/>
      <c r="C71" s="298"/>
      <c r="D71" s="298"/>
      <c r="E71" s="298"/>
      <c r="F71" s="298"/>
      <c r="G71" s="298"/>
      <c r="H71" s="298"/>
      <c r="I71" s="311"/>
    </row>
    <row r="72" spans="2:9" ht="15.75">
      <c r="B72" s="298"/>
      <c r="C72" s="298"/>
      <c r="D72" s="298"/>
      <c r="E72" s="298"/>
      <c r="F72" s="298"/>
      <c r="G72" s="298"/>
      <c r="H72" s="298"/>
      <c r="I72" s="311"/>
    </row>
    <row r="73" spans="2:9" ht="15.75">
      <c r="B73" s="298"/>
      <c r="C73" s="298"/>
      <c r="D73" s="298"/>
      <c r="E73" s="298"/>
      <c r="F73" s="298"/>
      <c r="G73" s="298"/>
      <c r="H73" s="298"/>
      <c r="I73" s="311"/>
    </row>
    <row r="74" spans="2:9" ht="15.75">
      <c r="B74" s="298"/>
      <c r="C74" s="298"/>
      <c r="D74" s="298"/>
      <c r="E74" s="298"/>
      <c r="F74" s="298"/>
      <c r="G74" s="298"/>
      <c r="H74" s="298"/>
      <c r="I74" s="311"/>
    </row>
    <row r="75" spans="2:9" ht="15.75">
      <c r="B75" s="298"/>
      <c r="C75" s="298"/>
      <c r="D75" s="298"/>
      <c r="E75" s="298"/>
      <c r="F75" s="298"/>
      <c r="G75" s="298"/>
      <c r="H75" s="298"/>
      <c r="I75" s="311"/>
    </row>
    <row r="76" spans="2:9" ht="15.75">
      <c r="B76" s="298"/>
      <c r="C76" s="298"/>
      <c r="D76" s="298"/>
      <c r="E76" s="298"/>
      <c r="F76" s="298"/>
      <c r="G76" s="298"/>
      <c r="H76" s="298"/>
      <c r="I76" s="311"/>
    </row>
    <row r="77" spans="2:9" ht="15.75">
      <c r="B77" s="298"/>
      <c r="C77" s="298"/>
      <c r="D77" s="298"/>
      <c r="E77" s="298"/>
      <c r="F77" s="298"/>
      <c r="G77" s="298"/>
      <c r="H77" s="298"/>
      <c r="I77" s="311"/>
    </row>
    <row r="78" spans="2:9" ht="15.75">
      <c r="B78" s="298"/>
      <c r="C78" s="298"/>
      <c r="D78" s="298"/>
      <c r="E78" s="298"/>
      <c r="F78" s="298"/>
      <c r="G78" s="298"/>
      <c r="H78" s="298"/>
      <c r="I78" s="311"/>
    </row>
    <row r="79" spans="2:9" ht="15.75">
      <c r="B79" s="298"/>
      <c r="C79" s="298"/>
      <c r="D79" s="298"/>
      <c r="E79" s="298"/>
      <c r="F79" s="298"/>
      <c r="G79" s="298"/>
      <c r="H79" s="298"/>
      <c r="I79" s="311"/>
    </row>
    <row r="80" spans="2:9" ht="15.75">
      <c r="B80" s="298"/>
      <c r="C80" s="298"/>
      <c r="D80" s="298"/>
      <c r="E80" s="298"/>
      <c r="F80" s="298"/>
      <c r="G80" s="298"/>
      <c r="H80" s="298"/>
      <c r="I80" s="311"/>
    </row>
    <row r="81" spans="2:9" ht="15.75">
      <c r="B81" s="298"/>
      <c r="C81" s="298"/>
      <c r="D81" s="298"/>
      <c r="E81" s="298"/>
      <c r="F81" s="298"/>
      <c r="G81" s="298"/>
      <c r="H81" s="298"/>
      <c r="I81" s="311"/>
    </row>
    <row r="82" spans="2:9" ht="15.75">
      <c r="B82" s="298"/>
      <c r="C82" s="298"/>
      <c r="D82" s="298"/>
      <c r="E82" s="298"/>
      <c r="F82" s="298"/>
      <c r="G82" s="298"/>
      <c r="H82" s="298"/>
      <c r="I82" s="311"/>
    </row>
    <row r="83" spans="2:9" ht="15.75">
      <c r="B83" s="298"/>
      <c r="C83" s="298"/>
      <c r="D83" s="298"/>
      <c r="E83" s="298"/>
      <c r="F83" s="298"/>
      <c r="G83" s="298"/>
      <c r="H83" s="298"/>
      <c r="I83" s="311"/>
    </row>
    <row r="84" spans="2:9" ht="15.75">
      <c r="B84" s="298"/>
      <c r="C84" s="298"/>
      <c r="D84" s="298"/>
      <c r="E84" s="298"/>
      <c r="F84" s="298"/>
      <c r="G84" s="298"/>
      <c r="H84" s="298"/>
      <c r="I84" s="311"/>
    </row>
    <row r="85" spans="2:9" ht="15.75">
      <c r="B85" s="298"/>
      <c r="C85" s="298"/>
      <c r="D85" s="298"/>
      <c r="E85" s="298"/>
      <c r="F85" s="298"/>
      <c r="G85" s="298"/>
      <c r="H85" s="298"/>
      <c r="I85" s="311"/>
    </row>
    <row r="86" spans="2:9" ht="15.75">
      <c r="B86" s="298"/>
      <c r="C86" s="298"/>
      <c r="D86" s="298"/>
      <c r="E86" s="298"/>
      <c r="F86" s="298"/>
      <c r="G86" s="298"/>
      <c r="H86" s="298"/>
      <c r="I86" s="311"/>
    </row>
    <row r="87" spans="2:9" ht="15.75">
      <c r="B87" s="298"/>
      <c r="C87" s="298"/>
      <c r="D87" s="298"/>
      <c r="E87" s="298"/>
      <c r="F87" s="298"/>
      <c r="G87" s="298"/>
      <c r="H87" s="298"/>
      <c r="I87" s="311"/>
    </row>
    <row r="88" spans="2:9" ht="15.75">
      <c r="B88" s="298"/>
      <c r="C88" s="298"/>
      <c r="D88" s="298"/>
      <c r="E88" s="298"/>
      <c r="F88" s="298"/>
      <c r="G88" s="298"/>
      <c r="H88" s="298"/>
      <c r="I88" s="311"/>
    </row>
    <row r="89" spans="2:9" ht="15.75">
      <c r="B89" s="298"/>
      <c r="C89" s="298"/>
      <c r="D89" s="298"/>
      <c r="E89" s="298"/>
      <c r="F89" s="298"/>
      <c r="G89" s="298"/>
      <c r="H89" s="298"/>
      <c r="I89" s="311"/>
    </row>
  </sheetData>
  <mergeCells count="3">
    <mergeCell ref="B1:I1"/>
    <mergeCell ref="B4:I4"/>
    <mergeCell ref="B3:N3"/>
  </mergeCells>
  <printOptions horizontalCentered="1"/>
  <pageMargins left="0.75" right="0.75" top="0.75" bottom="1" header="0.5" footer="0.5"/>
  <pageSetup scale="72" orientation="portrait" horizontalDpi="300" verticalDpi="300"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tabColor indexed="28"/>
    <pageSetUpPr fitToPage="1"/>
  </sheetPr>
  <dimension ref="A1:N124"/>
  <sheetViews>
    <sheetView showGridLines="0" showRuler="0" view="pageBreakPreview" zoomScale="75" zoomScaleNormal="8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41.28515625" style="1" hidden="1" customWidth="1"/>
    <col min="2" max="3" width="17.28515625" style="1" customWidth="1"/>
    <col min="4" max="4" width="12.7109375" style="1" bestFit="1" customWidth="1"/>
    <col min="5" max="6" width="14.7109375" style="1" customWidth="1"/>
    <col min="7" max="7" width="18.140625" style="1" customWidth="1"/>
    <col min="8" max="8" width="15.85546875" style="1" customWidth="1"/>
    <col min="9" max="9" width="27.85546875" style="1" customWidth="1"/>
    <col min="10" max="11" width="13.140625" style="1" bestFit="1" customWidth="1"/>
    <col min="12" max="12" width="15.42578125" style="1" customWidth="1"/>
    <col min="13" max="16384" width="6.85546875" style="1"/>
  </cols>
  <sheetData>
    <row r="1" spans="1:14" ht="44.25" hidden="1">
      <c r="A1" s="1742" t="s">
        <v>294</v>
      </c>
      <c r="B1" s="1742"/>
      <c r="C1" s="1742"/>
      <c r="D1" s="1742"/>
      <c r="E1" s="1742"/>
      <c r="F1" s="1742"/>
      <c r="G1" s="1742"/>
      <c r="H1" s="1742"/>
      <c r="N1" s="593" t="str">
        <f>PROPER(B1)</f>
        <v/>
      </c>
    </row>
    <row r="2" spans="1:14" ht="15" customHeight="1" thickBot="1">
      <c r="A2" s="1743" t="s">
        <v>318</v>
      </c>
      <c r="B2" s="1743"/>
      <c r="C2" s="1743"/>
      <c r="D2" s="1743"/>
      <c r="E2" s="1743"/>
      <c r="F2" s="1743"/>
      <c r="G2" s="1743"/>
      <c r="H2" s="167" t="s">
        <v>187</v>
      </c>
      <c r="I2" s="16" t="s">
        <v>203</v>
      </c>
    </row>
    <row r="3" spans="1:14" ht="15" customHeight="1">
      <c r="A3" s="592"/>
      <c r="B3" s="1749" t="str">
        <f>PROPER(B1)</f>
        <v/>
      </c>
      <c r="C3" s="1749"/>
      <c r="D3" s="1749"/>
      <c r="E3" s="1749"/>
      <c r="F3" s="1749"/>
      <c r="G3" s="1749"/>
      <c r="H3" s="1749"/>
      <c r="I3" s="1749"/>
      <c r="J3" s="1749"/>
      <c r="K3" s="1749"/>
      <c r="L3" s="1749"/>
      <c r="M3" s="1749"/>
      <c r="N3" s="1749"/>
    </row>
    <row r="4" spans="1:14" ht="12.75" customHeight="1">
      <c r="A4" s="86"/>
      <c r="B4" s="86"/>
      <c r="C4" s="86" t="s">
        <v>64</v>
      </c>
      <c r="D4" s="91" t="s">
        <v>64</v>
      </c>
      <c r="E4" s="86"/>
      <c r="F4" s="91" t="s">
        <v>86</v>
      </c>
      <c r="G4" s="86"/>
      <c r="H4" s="91" t="s">
        <v>110</v>
      </c>
      <c r="I4" s="86"/>
    </row>
    <row r="5" spans="1:14" ht="30" customHeight="1" thickBot="1">
      <c r="A5" s="3" t="s">
        <v>0</v>
      </c>
      <c r="B5" s="5" t="s">
        <v>314</v>
      </c>
      <c r="C5" s="4" t="s">
        <v>315</v>
      </c>
      <c r="D5" s="4" t="s">
        <v>217</v>
      </c>
      <c r="E5" s="5" t="s">
        <v>316</v>
      </c>
      <c r="F5" s="129" t="s">
        <v>1</v>
      </c>
      <c r="G5" s="5" t="s">
        <v>317</v>
      </c>
      <c r="H5" s="129" t="s">
        <v>1</v>
      </c>
      <c r="I5" s="6" t="s">
        <v>1</v>
      </c>
    </row>
    <row r="6" spans="1:14">
      <c r="A6" s="2"/>
      <c r="B6" s="9"/>
      <c r="C6" s="9"/>
      <c r="D6" s="2"/>
      <c r="E6" s="8"/>
      <c r="F6" s="8"/>
      <c r="G6" s="9"/>
      <c r="H6" s="10"/>
      <c r="I6" s="1">
        <v>0</v>
      </c>
    </row>
    <row r="7" spans="1:14">
      <c r="A7" s="11" t="s">
        <v>2</v>
      </c>
      <c r="B7" s="9"/>
      <c r="C7" s="9"/>
      <c r="D7" s="13"/>
      <c r="E7" s="15"/>
      <c r="F7" s="15"/>
      <c r="G7" s="9"/>
      <c r="H7" s="9"/>
    </row>
    <row r="8" spans="1:14">
      <c r="A8" s="16" t="s">
        <v>3</v>
      </c>
      <c r="B8" s="17">
        <v>0</v>
      </c>
      <c r="C8" s="17">
        <v>0</v>
      </c>
      <c r="D8" s="13">
        <v>0</v>
      </c>
      <c r="E8" s="17">
        <v>0</v>
      </c>
      <c r="F8" s="60">
        <f t="shared" ref="F8:F15" si="0">E8-C8</f>
        <v>0</v>
      </c>
      <c r="G8" s="17">
        <v>0</v>
      </c>
      <c r="H8" s="9">
        <f>G8-C8</f>
        <v>0</v>
      </c>
    </row>
    <row r="9" spans="1:14">
      <c r="A9" s="16" t="s">
        <v>4</v>
      </c>
      <c r="B9" s="17">
        <v>0</v>
      </c>
      <c r="C9" s="17">
        <v>0</v>
      </c>
      <c r="D9" s="17">
        <v>0</v>
      </c>
      <c r="E9" s="60">
        <v>0</v>
      </c>
      <c r="F9" s="60">
        <f t="shared" si="0"/>
        <v>0</v>
      </c>
      <c r="G9" s="17">
        <v>0</v>
      </c>
      <c r="H9" s="9">
        <f t="shared" ref="H9:H15" si="1">G9-C9</f>
        <v>0</v>
      </c>
      <c r="N9" s="601"/>
    </row>
    <row r="10" spans="1:14">
      <c r="A10" s="16" t="s">
        <v>5</v>
      </c>
      <c r="B10" s="45">
        <v>0</v>
      </c>
      <c r="C10" s="17">
        <v>0</v>
      </c>
      <c r="D10" s="17">
        <v>0</v>
      </c>
      <c r="E10" s="60">
        <v>0</v>
      </c>
      <c r="F10" s="60">
        <f t="shared" si="0"/>
        <v>0</v>
      </c>
      <c r="G10" s="45">
        <v>0</v>
      </c>
      <c r="H10" s="9">
        <f t="shared" si="1"/>
        <v>0</v>
      </c>
      <c r="N10" s="601"/>
    </row>
    <row r="11" spans="1:14">
      <c r="A11" s="16" t="s">
        <v>6</v>
      </c>
      <c r="B11" s="45">
        <v>0</v>
      </c>
      <c r="C11" s="17">
        <v>0</v>
      </c>
      <c r="D11" s="17">
        <v>0</v>
      </c>
      <c r="E11" s="60">
        <v>0</v>
      </c>
      <c r="F11" s="60">
        <f t="shared" si="0"/>
        <v>0</v>
      </c>
      <c r="G11" s="45">
        <v>0</v>
      </c>
      <c r="H11" s="9">
        <f t="shared" si="1"/>
        <v>0</v>
      </c>
      <c r="N11" s="601"/>
    </row>
    <row r="12" spans="1:14" s="89" customFormat="1">
      <c r="A12" s="66" t="s">
        <v>7</v>
      </c>
      <c r="B12" s="45">
        <v>0</v>
      </c>
      <c r="C12" s="45">
        <v>0</v>
      </c>
      <c r="D12" s="45">
        <v>0</v>
      </c>
      <c r="E12" s="60">
        <v>0</v>
      </c>
      <c r="F12" s="60">
        <f t="shared" si="0"/>
        <v>0</v>
      </c>
      <c r="G12" s="45">
        <v>0</v>
      </c>
      <c r="H12" s="49">
        <f t="shared" si="1"/>
        <v>0</v>
      </c>
      <c r="N12" s="602"/>
    </row>
    <row r="13" spans="1:14" s="89" customFormat="1">
      <c r="A13" s="66" t="s">
        <v>39</v>
      </c>
      <c r="B13" s="45">
        <v>0</v>
      </c>
      <c r="C13" s="45">
        <v>0</v>
      </c>
      <c r="D13" s="45">
        <v>0</v>
      </c>
      <c r="E13" s="60">
        <v>0</v>
      </c>
      <c r="F13" s="60">
        <f t="shared" si="0"/>
        <v>0</v>
      </c>
      <c r="G13" s="45">
        <v>0</v>
      </c>
      <c r="H13" s="49">
        <f t="shared" si="1"/>
        <v>0</v>
      </c>
      <c r="N13" s="602"/>
    </row>
    <row r="14" spans="1:14" s="89" customFormat="1">
      <c r="A14" s="93" t="s">
        <v>281</v>
      </c>
      <c r="B14" s="42">
        <v>0</v>
      </c>
      <c r="C14" s="42">
        <v>800</v>
      </c>
      <c r="D14" s="50">
        <v>0</v>
      </c>
      <c r="E14" s="60">
        <v>0</v>
      </c>
      <c r="F14" s="60">
        <f t="shared" si="0"/>
        <v>-800</v>
      </c>
      <c r="G14" s="42">
        <v>0</v>
      </c>
      <c r="H14" s="49">
        <f t="shared" si="1"/>
        <v>-800</v>
      </c>
      <c r="N14" s="602"/>
    </row>
    <row r="15" spans="1:14" s="89" customFormat="1">
      <c r="A15" s="93" t="s">
        <v>28</v>
      </c>
      <c r="B15" s="42">
        <v>0</v>
      </c>
      <c r="C15" s="42">
        <v>0</v>
      </c>
      <c r="D15" s="50">
        <v>0</v>
      </c>
      <c r="E15" s="60">
        <v>0</v>
      </c>
      <c r="F15" s="60">
        <f t="shared" si="0"/>
        <v>0</v>
      </c>
      <c r="G15" s="42">
        <v>0</v>
      </c>
      <c r="H15" s="49">
        <f t="shared" si="1"/>
        <v>0</v>
      </c>
      <c r="N15" s="602"/>
    </row>
    <row r="16" spans="1:14" s="89" customFormat="1">
      <c r="A16" s="95" t="s">
        <v>9</v>
      </c>
      <c r="B16" s="46">
        <f>SUM(B8:B15)</f>
        <v>0</v>
      </c>
      <c r="C16" s="46">
        <f t="shared" ref="C16:H16" si="2">SUM(C8:C15)</f>
        <v>800</v>
      </c>
      <c r="D16" s="46">
        <f t="shared" si="2"/>
        <v>0</v>
      </c>
      <c r="E16" s="46">
        <f t="shared" si="2"/>
        <v>0</v>
      </c>
      <c r="F16" s="46">
        <f t="shared" si="2"/>
        <v>-800</v>
      </c>
      <c r="G16" s="46">
        <f t="shared" si="2"/>
        <v>0</v>
      </c>
      <c r="H16" s="46">
        <f t="shared" si="2"/>
        <v>-800</v>
      </c>
      <c r="N16" s="602"/>
    </row>
    <row r="17" spans="1:14" s="89" customFormat="1">
      <c r="A17" s="26" t="s">
        <v>19</v>
      </c>
      <c r="B17" s="42"/>
      <c r="C17" s="42"/>
      <c r="D17" s="50"/>
      <c r="E17" s="42"/>
      <c r="F17" s="42"/>
      <c r="G17" s="42"/>
      <c r="H17" s="48"/>
      <c r="N17" s="602"/>
    </row>
    <row r="18" spans="1:14" s="89" customFormat="1" ht="38.25">
      <c r="A18" s="96" t="s">
        <v>280</v>
      </c>
      <c r="B18" s="42">
        <v>0</v>
      </c>
      <c r="C18" s="42">
        <v>2630045</v>
      </c>
      <c r="D18" s="42">
        <v>1149195</v>
      </c>
      <c r="E18" s="60">
        <v>2630045</v>
      </c>
      <c r="F18" s="60">
        <f t="shared" ref="F18:F25" si="3">E18-C18</f>
        <v>0</v>
      </c>
      <c r="G18" s="42">
        <v>0</v>
      </c>
      <c r="H18" s="49">
        <f t="shared" ref="H18:H24" si="4">G18-C18</f>
        <v>-2630045</v>
      </c>
      <c r="I18" s="220" t="s">
        <v>178</v>
      </c>
      <c r="N18" s="602"/>
    </row>
    <row r="19" spans="1:14" s="89" customFormat="1" ht="25.5">
      <c r="A19" s="96" t="s">
        <v>40</v>
      </c>
      <c r="B19" s="42">
        <v>0</v>
      </c>
      <c r="C19" s="42">
        <v>0</v>
      </c>
      <c r="D19" s="42">
        <v>0</v>
      </c>
      <c r="E19" s="60">
        <v>0</v>
      </c>
      <c r="F19" s="60">
        <f t="shared" si="3"/>
        <v>0</v>
      </c>
      <c r="G19" s="42">
        <v>0</v>
      </c>
      <c r="H19" s="49">
        <f t="shared" si="4"/>
        <v>0</v>
      </c>
      <c r="I19" s="220" t="s">
        <v>179</v>
      </c>
      <c r="N19" s="602"/>
    </row>
    <row r="20" spans="1:14" s="89" customFormat="1">
      <c r="A20" s="96" t="s">
        <v>41</v>
      </c>
      <c r="B20" s="42">
        <v>0</v>
      </c>
      <c r="C20" s="42">
        <v>0</v>
      </c>
      <c r="D20" s="42">
        <v>0</v>
      </c>
      <c r="E20" s="60">
        <v>0</v>
      </c>
      <c r="F20" s="60">
        <f t="shared" si="3"/>
        <v>0</v>
      </c>
      <c r="G20" s="42">
        <v>0</v>
      </c>
      <c r="H20" s="49">
        <f t="shared" si="4"/>
        <v>0</v>
      </c>
      <c r="N20" s="602"/>
    </row>
    <row r="21" spans="1:14" s="89" customFormat="1">
      <c r="A21" s="96" t="s">
        <v>42</v>
      </c>
      <c r="B21" s="42">
        <v>0</v>
      </c>
      <c r="C21" s="42">
        <v>0</v>
      </c>
      <c r="D21" s="42">
        <v>0</v>
      </c>
      <c r="E21" s="60">
        <v>0</v>
      </c>
      <c r="F21" s="60">
        <f t="shared" si="3"/>
        <v>0</v>
      </c>
      <c r="G21" s="42">
        <v>0</v>
      </c>
      <c r="H21" s="49">
        <f t="shared" si="4"/>
        <v>0</v>
      </c>
      <c r="N21" s="602"/>
    </row>
    <row r="22" spans="1:14" s="89" customFormat="1">
      <c r="A22" s="96" t="s">
        <v>43</v>
      </c>
      <c r="B22" s="42">
        <v>0</v>
      </c>
      <c r="C22" s="42">
        <v>0</v>
      </c>
      <c r="D22" s="42">
        <v>0</v>
      </c>
      <c r="E22" s="60">
        <v>0</v>
      </c>
      <c r="F22" s="60">
        <f t="shared" si="3"/>
        <v>0</v>
      </c>
      <c r="G22" s="42">
        <v>0</v>
      </c>
      <c r="H22" s="49">
        <f t="shared" si="4"/>
        <v>0</v>
      </c>
      <c r="N22" s="602"/>
    </row>
    <row r="23" spans="1:14" s="89" customFormat="1">
      <c r="A23" s="97" t="s">
        <v>44</v>
      </c>
      <c r="B23" s="42">
        <v>0</v>
      </c>
      <c r="C23" s="42">
        <v>0</v>
      </c>
      <c r="D23" s="42">
        <v>0</v>
      </c>
      <c r="E23" s="60">
        <v>0</v>
      </c>
      <c r="F23" s="60">
        <f t="shared" si="3"/>
        <v>0</v>
      </c>
      <c r="G23" s="42">
        <v>0</v>
      </c>
      <c r="H23" s="49">
        <f t="shared" si="4"/>
        <v>0</v>
      </c>
      <c r="N23" s="602"/>
    </row>
    <row r="24" spans="1:14" s="89" customFormat="1">
      <c r="A24" s="66" t="s">
        <v>69</v>
      </c>
      <c r="B24" s="42">
        <v>0</v>
      </c>
      <c r="C24" s="42">
        <v>0</v>
      </c>
      <c r="D24" s="42">
        <v>0</v>
      </c>
      <c r="E24" s="60">
        <v>0</v>
      </c>
      <c r="F24" s="60">
        <f t="shared" si="3"/>
        <v>0</v>
      </c>
      <c r="G24" s="42">
        <v>0</v>
      </c>
      <c r="H24" s="49">
        <f t="shared" si="4"/>
        <v>0</v>
      </c>
      <c r="I24" s="49"/>
      <c r="N24" s="602"/>
    </row>
    <row r="25" spans="1:14" s="89" customFormat="1">
      <c r="A25" s="66" t="s">
        <v>282</v>
      </c>
      <c r="B25" s="42">
        <v>0</v>
      </c>
      <c r="C25" s="42">
        <v>198628</v>
      </c>
      <c r="D25" s="50">
        <v>198628</v>
      </c>
      <c r="E25" s="60">
        <v>198628</v>
      </c>
      <c r="F25" s="60">
        <f t="shared" si="3"/>
        <v>0</v>
      </c>
      <c r="G25" s="42">
        <v>0</v>
      </c>
      <c r="H25" s="49">
        <f>G25-C25</f>
        <v>-198628</v>
      </c>
      <c r="N25" s="602"/>
    </row>
    <row r="26" spans="1:14" s="89" customFormat="1">
      <c r="A26" s="26" t="s">
        <v>20</v>
      </c>
      <c r="B26" s="28">
        <f t="shared" ref="B26:H26" si="5">SUM(B18:B25)</f>
        <v>0</v>
      </c>
      <c r="C26" s="28">
        <f t="shared" si="5"/>
        <v>2828673</v>
      </c>
      <c r="D26" s="28">
        <f t="shared" si="5"/>
        <v>1347823</v>
      </c>
      <c r="E26" s="28">
        <f t="shared" si="5"/>
        <v>2828673</v>
      </c>
      <c r="F26" s="28">
        <f t="shared" si="5"/>
        <v>0</v>
      </c>
      <c r="G26" s="28">
        <f t="shared" si="5"/>
        <v>0</v>
      </c>
      <c r="H26" s="28">
        <f t="shared" si="5"/>
        <v>-2828673</v>
      </c>
      <c r="N26" s="602"/>
    </row>
    <row r="27" spans="1:14" s="89" customFormat="1" ht="13.5" thickBot="1">
      <c r="A27" s="642" t="s">
        <v>21</v>
      </c>
      <c r="B27" s="643">
        <f t="shared" ref="B27:H27" si="6">B16+B26</f>
        <v>0</v>
      </c>
      <c r="C27" s="643">
        <f t="shared" si="6"/>
        <v>2829473</v>
      </c>
      <c r="D27" s="643">
        <f t="shared" si="6"/>
        <v>1347823</v>
      </c>
      <c r="E27" s="643">
        <f t="shared" si="6"/>
        <v>2828673</v>
      </c>
      <c r="F27" s="643">
        <f t="shared" si="6"/>
        <v>-800</v>
      </c>
      <c r="G27" s="643">
        <f t="shared" si="6"/>
        <v>0</v>
      </c>
      <c r="H27" s="643">
        <f t="shared" si="6"/>
        <v>-2829473</v>
      </c>
      <c r="N27" s="602"/>
    </row>
    <row r="28" spans="1:14" s="89" customFormat="1" ht="13.5" thickTop="1">
      <c r="A28" s="88"/>
      <c r="B28" s="48"/>
      <c r="C28" s="48"/>
      <c r="D28" s="48"/>
      <c r="E28" s="63"/>
      <c r="F28" s="63"/>
      <c r="G28" s="48"/>
      <c r="H28" s="48"/>
      <c r="N28" s="602"/>
    </row>
    <row r="29" spans="1:14" s="89" customFormat="1">
      <c r="A29" s="644" t="s">
        <v>10</v>
      </c>
      <c r="B29" s="49"/>
      <c r="C29" s="49"/>
      <c r="D29" s="48"/>
      <c r="E29" s="63"/>
      <c r="F29" s="63"/>
      <c r="G29" s="49"/>
      <c r="H29" s="49"/>
      <c r="L29" s="88"/>
      <c r="N29" s="602"/>
    </row>
    <row r="30" spans="1:14" s="89" customFormat="1">
      <c r="A30" s="93" t="s">
        <v>11</v>
      </c>
      <c r="B30" s="48">
        <v>0</v>
      </c>
      <c r="C30" s="48">
        <v>0</v>
      </c>
      <c r="D30" s="50"/>
      <c r="E30" s="60">
        <v>0</v>
      </c>
      <c r="F30" s="60">
        <f>C30-E30</f>
        <v>0</v>
      </c>
      <c r="G30" s="48">
        <v>0</v>
      </c>
      <c r="H30" s="49">
        <f>C30-G30</f>
        <v>0</v>
      </c>
      <c r="K30" s="88"/>
      <c r="L30" s="88"/>
      <c r="M30" s="88"/>
      <c r="N30" s="602"/>
    </row>
    <row r="31" spans="1:14" s="89" customFormat="1">
      <c r="A31" s="93" t="s">
        <v>12</v>
      </c>
      <c r="B31" s="48">
        <v>0</v>
      </c>
      <c r="C31" s="48">
        <v>0</v>
      </c>
      <c r="D31" s="50"/>
      <c r="E31" s="60">
        <v>0</v>
      </c>
      <c r="F31" s="60">
        <f t="shared" ref="F31:F36" si="7">C31-E31</f>
        <v>0</v>
      </c>
      <c r="G31" s="48">
        <v>0</v>
      </c>
      <c r="H31" s="49">
        <f t="shared" ref="H31:H36" si="8">C31-G31</f>
        <v>0</v>
      </c>
      <c r="K31" s="88"/>
      <c r="L31" s="88"/>
      <c r="M31" s="88"/>
      <c r="N31" s="602"/>
    </row>
    <row r="32" spans="1:14" s="89" customFormat="1">
      <c r="A32" s="93" t="s">
        <v>13</v>
      </c>
      <c r="B32" s="48">
        <v>0</v>
      </c>
      <c r="C32" s="48">
        <v>0</v>
      </c>
      <c r="D32" s="50"/>
      <c r="E32" s="60">
        <v>0</v>
      </c>
      <c r="F32" s="60">
        <f t="shared" si="7"/>
        <v>0</v>
      </c>
      <c r="G32" s="48">
        <v>0</v>
      </c>
      <c r="H32" s="49">
        <f t="shared" si="8"/>
        <v>0</v>
      </c>
      <c r="K32" s="88"/>
      <c r="L32" s="88"/>
      <c r="M32" s="88"/>
      <c r="N32" s="602"/>
    </row>
    <row r="33" spans="1:13" s="89" customFormat="1">
      <c r="A33" s="93" t="s">
        <v>14</v>
      </c>
      <c r="B33" s="48">
        <v>0</v>
      </c>
      <c r="C33" s="48">
        <v>0</v>
      </c>
      <c r="D33" s="50"/>
      <c r="E33" s="60">
        <v>0</v>
      </c>
      <c r="F33" s="60">
        <f t="shared" si="7"/>
        <v>0</v>
      </c>
      <c r="G33" s="48">
        <v>0</v>
      </c>
      <c r="H33" s="49">
        <f t="shared" si="8"/>
        <v>0</v>
      </c>
      <c r="K33" s="88"/>
      <c r="L33" s="88"/>
      <c r="M33" s="88"/>
    </row>
    <row r="34" spans="1:13" s="89" customFormat="1">
      <c r="A34" s="93" t="s">
        <v>26</v>
      </c>
      <c r="B34" s="48">
        <v>0</v>
      </c>
      <c r="C34" s="48">
        <v>0</v>
      </c>
      <c r="D34" s="50"/>
      <c r="E34" s="60">
        <v>0</v>
      </c>
      <c r="F34" s="60">
        <f t="shared" si="7"/>
        <v>0</v>
      </c>
      <c r="G34" s="48">
        <v>0</v>
      </c>
      <c r="H34" s="49">
        <f t="shared" si="8"/>
        <v>0</v>
      </c>
      <c r="K34" s="88"/>
      <c r="L34" s="88"/>
      <c r="M34" s="88"/>
    </row>
    <row r="35" spans="1:13" s="89" customFormat="1" hidden="1">
      <c r="A35" s="93" t="s">
        <v>15</v>
      </c>
      <c r="B35" s="48">
        <v>0</v>
      </c>
      <c r="C35" s="48">
        <v>0</v>
      </c>
      <c r="D35" s="50"/>
      <c r="E35" s="60">
        <v>0</v>
      </c>
      <c r="F35" s="60">
        <f t="shared" si="7"/>
        <v>0</v>
      </c>
      <c r="G35" s="48">
        <v>0</v>
      </c>
      <c r="H35" s="49">
        <f t="shared" si="8"/>
        <v>0</v>
      </c>
      <c r="K35" s="88"/>
      <c r="L35" s="88"/>
      <c r="M35" s="88"/>
    </row>
    <row r="36" spans="1:13" s="89" customFormat="1" hidden="1">
      <c r="A36" s="93" t="s">
        <v>16</v>
      </c>
      <c r="B36" s="83">
        <v>0</v>
      </c>
      <c r="C36" s="83">
        <v>2703485</v>
      </c>
      <c r="D36" s="50">
        <f>1040000+307823+2624</f>
        <v>1350447</v>
      </c>
      <c r="E36" s="83">
        <v>2703485</v>
      </c>
      <c r="F36" s="60">
        <f t="shared" si="7"/>
        <v>0</v>
      </c>
      <c r="G36" s="83">
        <v>0</v>
      </c>
      <c r="H36" s="49">
        <f t="shared" si="8"/>
        <v>2703485</v>
      </c>
      <c r="K36" s="88"/>
      <c r="L36" s="687"/>
      <c r="M36" s="88"/>
    </row>
    <row r="37" spans="1:13" s="89" customFormat="1" hidden="1">
      <c r="A37" s="95" t="s">
        <v>22</v>
      </c>
      <c r="B37" s="46">
        <f t="shared" ref="B37:H37" si="9">SUM(B30:B36)</f>
        <v>0</v>
      </c>
      <c r="C37" s="46">
        <f t="shared" si="9"/>
        <v>2703485</v>
      </c>
      <c r="D37" s="46">
        <f t="shared" si="9"/>
        <v>1350447</v>
      </c>
      <c r="E37" s="46">
        <f t="shared" si="9"/>
        <v>2703485</v>
      </c>
      <c r="F37" s="46">
        <f t="shared" si="9"/>
        <v>0</v>
      </c>
      <c r="G37" s="46">
        <f t="shared" si="9"/>
        <v>0</v>
      </c>
      <c r="H37" s="46">
        <f t="shared" si="9"/>
        <v>2703485</v>
      </c>
      <c r="K37" s="88"/>
      <c r="L37" s="687"/>
      <c r="M37" s="88"/>
    </row>
    <row r="38" spans="1:13" s="89" customFormat="1">
      <c r="A38" s="26" t="s">
        <v>23</v>
      </c>
      <c r="B38" s="50"/>
      <c r="C38" s="50"/>
      <c r="D38" s="50"/>
      <c r="E38" s="50"/>
      <c r="F38" s="50"/>
      <c r="G38" s="50"/>
      <c r="H38" s="48"/>
      <c r="K38" s="88"/>
      <c r="L38" s="687"/>
      <c r="M38" s="88"/>
    </row>
    <row r="39" spans="1:13" s="89" customFormat="1">
      <c r="A39" s="96"/>
      <c r="B39" s="50"/>
      <c r="C39" s="50"/>
      <c r="D39" s="50"/>
      <c r="E39" s="50"/>
      <c r="F39" s="50"/>
      <c r="G39" s="50"/>
      <c r="H39" s="49"/>
      <c r="K39" s="88"/>
      <c r="L39" s="88"/>
      <c r="M39" s="88"/>
    </row>
    <row r="40" spans="1:13">
      <c r="A40" s="41" t="s">
        <v>38</v>
      </c>
      <c r="B40" s="50">
        <v>0</v>
      </c>
      <c r="C40" s="13"/>
      <c r="D40" s="13"/>
      <c r="E40" s="13"/>
      <c r="F40" s="60">
        <f>C40-E40</f>
        <v>0</v>
      </c>
      <c r="G40" s="50">
        <v>0</v>
      </c>
      <c r="H40" s="9">
        <f>C40-G40</f>
        <v>0</v>
      </c>
      <c r="K40" s="2"/>
      <c r="L40" s="2"/>
      <c r="M40" s="2"/>
    </row>
    <row r="41" spans="1:13">
      <c r="A41" s="41" t="s">
        <v>283</v>
      </c>
      <c r="B41" s="50">
        <v>0</v>
      </c>
      <c r="C41" s="50">
        <v>100000</v>
      </c>
      <c r="D41" s="209">
        <v>-28792</v>
      </c>
      <c r="E41" s="60">
        <f>100000+25188</f>
        <v>125188</v>
      </c>
      <c r="F41" s="60">
        <f>C41-E41</f>
        <v>-25188</v>
      </c>
      <c r="G41" s="50">
        <v>0</v>
      </c>
      <c r="H41" s="9">
        <f>C41-G41</f>
        <v>100000</v>
      </c>
      <c r="I41" s="66" t="s">
        <v>183</v>
      </c>
      <c r="K41" s="2"/>
      <c r="L41" s="2"/>
      <c r="M41" s="2"/>
    </row>
    <row r="42" spans="1:13">
      <c r="A42" s="41"/>
      <c r="B42" s="50"/>
      <c r="C42" s="13"/>
      <c r="D42" s="13"/>
      <c r="E42" s="13"/>
      <c r="F42" s="13"/>
      <c r="G42" s="50"/>
      <c r="H42" s="10"/>
      <c r="L42" s="2"/>
    </row>
    <row r="43" spans="1:13">
      <c r="A43" s="37" t="s">
        <v>24</v>
      </c>
      <c r="B43" s="38">
        <f t="shared" ref="B43:H43" si="10">SUM(B39:B42)</f>
        <v>0</v>
      </c>
      <c r="C43" s="38">
        <f t="shared" si="10"/>
        <v>100000</v>
      </c>
      <c r="D43" s="38">
        <f t="shared" si="10"/>
        <v>-28792</v>
      </c>
      <c r="E43" s="38">
        <f t="shared" si="10"/>
        <v>125188</v>
      </c>
      <c r="F43" s="38">
        <f t="shared" si="10"/>
        <v>-25188</v>
      </c>
      <c r="G43" s="38">
        <f t="shared" si="10"/>
        <v>0</v>
      </c>
      <c r="H43" s="38">
        <f t="shared" si="10"/>
        <v>100000</v>
      </c>
    </row>
    <row r="44" spans="1:13" ht="12.75" customHeight="1" thickBot="1">
      <c r="A44" s="55" t="s">
        <v>25</v>
      </c>
      <c r="B44" s="59">
        <f t="shared" ref="B44:H44" si="11">B37+B43</f>
        <v>0</v>
      </c>
      <c r="C44" s="59">
        <f t="shared" si="11"/>
        <v>2803485</v>
      </c>
      <c r="D44" s="59">
        <f t="shared" si="11"/>
        <v>1321655</v>
      </c>
      <c r="E44" s="59">
        <f t="shared" si="11"/>
        <v>2828673</v>
      </c>
      <c r="F44" s="59">
        <f t="shared" si="11"/>
        <v>-25188</v>
      </c>
      <c r="G44" s="59">
        <f t="shared" si="11"/>
        <v>0</v>
      </c>
      <c r="H44" s="59">
        <f t="shared" si="11"/>
        <v>2803485</v>
      </c>
    </row>
    <row r="45" spans="1:13" ht="13.5" thickTop="1">
      <c r="A45" s="26" t="s">
        <v>17</v>
      </c>
      <c r="B45" s="202">
        <f t="shared" ref="B45:G45" si="12">B27-B44</f>
        <v>0</v>
      </c>
      <c r="C45" s="202">
        <f t="shared" si="12"/>
        <v>25988</v>
      </c>
      <c r="D45" s="202">
        <f t="shared" si="12"/>
        <v>26168</v>
      </c>
      <c r="E45" s="202">
        <f t="shared" si="12"/>
        <v>0</v>
      </c>
      <c r="F45" s="202"/>
      <c r="G45" s="202">
        <f t="shared" si="12"/>
        <v>0</v>
      </c>
      <c r="H45" s="202" t="s">
        <v>58</v>
      </c>
    </row>
    <row r="46" spans="1:13" ht="12.75" customHeight="1" thickBot="1">
      <c r="A46" s="26"/>
      <c r="B46" s="28"/>
      <c r="C46" s="28"/>
      <c r="D46" s="28"/>
      <c r="E46" s="28"/>
      <c r="F46" s="28"/>
      <c r="G46" s="2"/>
      <c r="H46" s="16"/>
    </row>
    <row r="47" spans="1:13" ht="12.75" customHeight="1">
      <c r="A47" s="30" t="s">
        <v>18</v>
      </c>
      <c r="C47" s="16"/>
      <c r="D47" s="16"/>
      <c r="E47" s="191" t="s">
        <v>176</v>
      </c>
      <c r="F47" s="163"/>
      <c r="G47" s="275" t="s">
        <v>177</v>
      </c>
      <c r="H47" s="276"/>
      <c r="I47" s="273">
        <v>40721</v>
      </c>
    </row>
    <row r="48" spans="1:13" ht="12.75" customHeight="1">
      <c r="A48" s="30" t="s">
        <v>201</v>
      </c>
      <c r="C48" s="16"/>
      <c r="D48" s="24"/>
      <c r="E48" s="207">
        <v>598485</v>
      </c>
      <c r="F48" s="51">
        <v>7201</v>
      </c>
      <c r="G48" s="277">
        <v>498064</v>
      </c>
      <c r="H48" s="278" t="s">
        <v>304</v>
      </c>
    </row>
    <row r="49" spans="1:10" ht="12.75" customHeight="1">
      <c r="D49" s="2"/>
      <c r="E49" s="207">
        <v>5000</v>
      </c>
      <c r="F49" s="51">
        <v>7305</v>
      </c>
      <c r="G49" s="277">
        <v>0</v>
      </c>
      <c r="H49" s="278" t="s">
        <v>304</v>
      </c>
    </row>
    <row r="50" spans="1:10" ht="12.75" customHeight="1">
      <c r="A50" s="33"/>
      <c r="D50" s="2"/>
      <c r="E50" s="208">
        <v>2100000</v>
      </c>
      <c r="F50" s="51">
        <v>7101</v>
      </c>
      <c r="G50" s="277">
        <f>2549475.94-498064</f>
        <v>2051411.94</v>
      </c>
      <c r="H50" s="278" t="s">
        <v>305</v>
      </c>
    </row>
    <row r="51" spans="1:10" ht="12.75" customHeight="1" thickBot="1">
      <c r="E51" s="121">
        <f>SUM(E48:E50)</f>
        <v>2703485</v>
      </c>
      <c r="F51" s="113"/>
      <c r="G51" s="279">
        <f>SUM(G48:G50)</f>
        <v>2549475.94</v>
      </c>
      <c r="H51" s="280"/>
      <c r="I51" s="88"/>
    </row>
    <row r="52" spans="1:10" ht="12.75" customHeight="1" thickTop="1">
      <c r="E52" s="2"/>
      <c r="F52" s="265" t="s">
        <v>298</v>
      </c>
      <c r="G52" s="281"/>
      <c r="H52" s="265"/>
      <c r="I52" s="26"/>
    </row>
    <row r="53" spans="1:10" ht="12.75" customHeight="1">
      <c r="E53" s="32"/>
      <c r="F53" s="32"/>
      <c r="I53" s="88"/>
      <c r="J53" s="1">
        <v>1</v>
      </c>
    </row>
    <row r="54" spans="1:10" ht="12.75" customHeight="1">
      <c r="E54" s="32"/>
      <c r="F54" s="32"/>
      <c r="I54" s="88"/>
    </row>
    <row r="55" spans="1:10" ht="12.75" customHeight="1">
      <c r="C55" s="1" t="s">
        <v>58</v>
      </c>
      <c r="E55" s="32"/>
      <c r="F55" s="32"/>
      <c r="G55" s="1">
        <f>528070/2703070</f>
        <v>0.19535935066424473</v>
      </c>
      <c r="H55" s="77">
        <f>G55*2549475.94</f>
        <v>498063.96417251497</v>
      </c>
      <c r="I55" s="2"/>
    </row>
    <row r="56" spans="1:10" ht="12.75" customHeight="1">
      <c r="E56" s="32"/>
      <c r="F56" s="32"/>
    </row>
    <row r="57" spans="1:10" ht="12.75" customHeight="1">
      <c r="E57" s="32"/>
      <c r="F57" s="32"/>
    </row>
    <row r="58" spans="1:10" ht="12.75" customHeight="1">
      <c r="E58" s="32"/>
      <c r="F58" s="32"/>
    </row>
    <row r="59" spans="1:10" ht="12.75" customHeight="1">
      <c r="E59" s="32"/>
      <c r="F59" s="32"/>
    </row>
    <row r="60" spans="1:10" ht="12.75" customHeight="1">
      <c r="E60" s="32"/>
      <c r="F60" s="32"/>
    </row>
    <row r="61" spans="1:10" ht="12.75" customHeight="1">
      <c r="E61" s="32"/>
      <c r="F61" s="32"/>
    </row>
    <row r="62" spans="1:10" ht="12.75" customHeight="1">
      <c r="E62" s="32"/>
      <c r="F62" s="32"/>
    </row>
    <row r="63" spans="1:10" ht="12.75" customHeight="1">
      <c r="E63" s="32"/>
      <c r="F63" s="32"/>
    </row>
    <row r="64" spans="1:10" ht="12.75" customHeight="1">
      <c r="E64" s="32"/>
      <c r="F64" s="32"/>
    </row>
    <row r="65" spans="5:6" ht="12.75" customHeight="1">
      <c r="E65" s="32"/>
      <c r="F65" s="32"/>
    </row>
    <row r="66" spans="5:6" ht="12.75" customHeight="1">
      <c r="E66" s="32"/>
      <c r="F66" s="32"/>
    </row>
    <row r="67" spans="5:6" ht="12.75" customHeight="1">
      <c r="E67" s="32"/>
      <c r="F67" s="32"/>
    </row>
    <row r="68" spans="5:6" ht="12.75" customHeight="1">
      <c r="E68" s="32"/>
      <c r="F68" s="32"/>
    </row>
    <row r="69" spans="5:6" ht="12.75" customHeight="1">
      <c r="E69" s="32"/>
      <c r="F69" s="32"/>
    </row>
    <row r="70" spans="5:6" ht="12.75" customHeight="1">
      <c r="E70" s="32"/>
      <c r="F70" s="32"/>
    </row>
    <row r="71" spans="5:6" ht="12.75" customHeight="1">
      <c r="E71" s="32"/>
      <c r="F71" s="32"/>
    </row>
    <row r="72" spans="5:6" ht="12.75" customHeight="1">
      <c r="E72" s="32"/>
      <c r="F72" s="32"/>
    </row>
    <row r="73" spans="5:6" ht="12.75" customHeight="1">
      <c r="E73" s="32"/>
      <c r="F73" s="32"/>
    </row>
    <row r="74" spans="5:6" ht="12.75" customHeight="1">
      <c r="E74" s="32"/>
      <c r="F74" s="32"/>
    </row>
    <row r="75" spans="5:6" ht="12.75" customHeight="1">
      <c r="E75" s="32"/>
      <c r="F75" s="32"/>
    </row>
    <row r="76" spans="5:6" ht="12.75" customHeight="1">
      <c r="E76" s="32"/>
      <c r="F76" s="32"/>
    </row>
    <row r="77" spans="5:6" ht="12.75" customHeight="1">
      <c r="E77" s="32"/>
      <c r="F77" s="32"/>
    </row>
    <row r="78" spans="5:6" ht="12.75" customHeight="1">
      <c r="E78" s="34"/>
      <c r="F78" s="34"/>
    </row>
    <row r="79" spans="5:6" ht="12.75" customHeight="1">
      <c r="E79" s="34"/>
      <c r="F79" s="34"/>
    </row>
    <row r="80" spans="5:6" ht="12.75" customHeight="1">
      <c r="E80" s="34"/>
      <c r="F80" s="34"/>
    </row>
    <row r="81" spans="5:6" ht="12.75" customHeight="1">
      <c r="E81" s="34"/>
      <c r="F81" s="34"/>
    </row>
    <row r="82" spans="5:6" ht="12.75" customHeight="1">
      <c r="E82" s="34"/>
      <c r="F82" s="34"/>
    </row>
    <row r="83" spans="5:6" ht="12.75" customHeight="1">
      <c r="E83" s="34"/>
      <c r="F83" s="34"/>
    </row>
    <row r="84" spans="5:6" ht="12.75" customHeight="1">
      <c r="E84" s="34"/>
      <c r="F84" s="34"/>
    </row>
    <row r="85" spans="5:6" ht="12.75" customHeight="1">
      <c r="E85" s="34"/>
      <c r="F85" s="34"/>
    </row>
    <row r="86" spans="5:6" ht="12.75" customHeight="1">
      <c r="E86" s="34"/>
      <c r="F86" s="34"/>
    </row>
    <row r="87" spans="5:6" ht="12.75" customHeight="1">
      <c r="E87" s="34"/>
      <c r="F87" s="34"/>
    </row>
    <row r="88" spans="5:6" ht="12.75" customHeight="1">
      <c r="E88" s="34"/>
      <c r="F88" s="34"/>
    </row>
    <row r="89" spans="5:6" ht="12.75" customHeight="1">
      <c r="E89" s="34"/>
      <c r="F89" s="34"/>
    </row>
    <row r="90" spans="5:6" ht="12.75" customHeight="1">
      <c r="E90" s="34"/>
      <c r="F90" s="34"/>
    </row>
    <row r="91" spans="5:6" ht="12.75" customHeight="1">
      <c r="E91" s="34"/>
      <c r="F91" s="34"/>
    </row>
    <row r="92" spans="5:6" ht="12.75" customHeight="1">
      <c r="E92" s="34"/>
      <c r="F92" s="34"/>
    </row>
    <row r="93" spans="5:6" ht="12.75" customHeight="1">
      <c r="E93" s="34"/>
      <c r="F93" s="34"/>
    </row>
    <row r="94" spans="5:6" ht="12.75" customHeight="1">
      <c r="E94" s="34"/>
      <c r="F94" s="34"/>
    </row>
    <row r="95" spans="5:6" ht="12.75" customHeight="1">
      <c r="E95" s="34"/>
      <c r="F95" s="34"/>
    </row>
    <row r="96" spans="5:6" ht="12.75" customHeight="1">
      <c r="E96" s="34"/>
      <c r="F96" s="34"/>
    </row>
    <row r="97" spans="5:6" ht="12.75" customHeight="1">
      <c r="E97" s="34"/>
      <c r="F97" s="34"/>
    </row>
    <row r="98" spans="5:6" ht="12.75" customHeight="1">
      <c r="E98" s="34"/>
      <c r="F98" s="34"/>
    </row>
    <row r="99" spans="5:6" ht="12.75" customHeight="1">
      <c r="E99" s="34"/>
      <c r="F99" s="34"/>
    </row>
    <row r="100" spans="5:6" ht="12.75" customHeight="1">
      <c r="E100" s="34"/>
      <c r="F100" s="34"/>
    </row>
    <row r="101" spans="5:6" ht="12.75" customHeight="1">
      <c r="E101" s="34"/>
      <c r="F101" s="34"/>
    </row>
    <row r="102" spans="5:6" ht="12.75" customHeight="1">
      <c r="E102" s="34"/>
      <c r="F102" s="34"/>
    </row>
    <row r="103" spans="5:6" ht="12.75" customHeight="1">
      <c r="E103" s="34"/>
      <c r="F103" s="34"/>
    </row>
    <row r="104" spans="5:6" ht="12.75" customHeight="1">
      <c r="E104" s="34"/>
      <c r="F104" s="34"/>
    </row>
    <row r="105" spans="5:6" ht="12.75" customHeight="1">
      <c r="E105" s="34"/>
      <c r="F105" s="34"/>
    </row>
    <row r="106" spans="5:6" ht="12.75" customHeight="1">
      <c r="E106" s="34"/>
      <c r="F106" s="34"/>
    </row>
    <row r="107" spans="5:6" ht="12.75" customHeight="1">
      <c r="E107" s="34"/>
      <c r="F107" s="34"/>
    </row>
    <row r="108" spans="5:6" ht="12.75" customHeight="1">
      <c r="E108" s="34"/>
      <c r="F108" s="34"/>
    </row>
    <row r="109" spans="5:6" ht="12.75" customHeight="1">
      <c r="E109" s="34"/>
      <c r="F109" s="34"/>
    </row>
    <row r="110" spans="5:6" ht="12.75" customHeight="1">
      <c r="E110" s="34"/>
      <c r="F110" s="34"/>
    </row>
    <row r="111" spans="5:6" ht="12.75" customHeight="1">
      <c r="E111" s="34"/>
      <c r="F111" s="34"/>
    </row>
    <row r="112" spans="5:6" ht="12.75" customHeight="1">
      <c r="E112" s="34"/>
      <c r="F112" s="34"/>
    </row>
    <row r="113" spans="5:6" ht="12.75" customHeight="1">
      <c r="E113" s="34"/>
      <c r="F113" s="34"/>
    </row>
    <row r="114" spans="5:6" ht="12.75" customHeight="1">
      <c r="E114" s="34"/>
      <c r="F114" s="34"/>
    </row>
    <row r="115" spans="5:6" ht="12.75" customHeight="1">
      <c r="E115" s="34"/>
      <c r="F115" s="34"/>
    </row>
    <row r="116" spans="5:6" ht="12.75" customHeight="1">
      <c r="E116" s="34"/>
      <c r="F116" s="34"/>
    </row>
    <row r="117" spans="5:6" ht="12.75" customHeight="1">
      <c r="E117" s="34"/>
      <c r="F117" s="34"/>
    </row>
    <row r="118" spans="5:6" ht="12.75" customHeight="1">
      <c r="E118" s="34"/>
      <c r="F118" s="34"/>
    </row>
    <row r="119" spans="5:6" ht="12.75" customHeight="1">
      <c r="E119" s="34"/>
      <c r="F119" s="34"/>
    </row>
    <row r="120" spans="5:6" ht="12.75" customHeight="1">
      <c r="E120" s="34"/>
      <c r="F120" s="34"/>
    </row>
    <row r="121" spans="5:6" ht="12.75" customHeight="1"/>
    <row r="122" spans="5:6" ht="12.75" customHeight="1"/>
    <row r="123" spans="5:6" ht="12.75" customHeight="1"/>
    <row r="124" spans="5:6" ht="12.75" customHeight="1"/>
  </sheetData>
  <customSheetViews>
    <customSheetView guid="{C8E99144-FF29-42D8-8D33-2038AA9D760E}" scale="75" showPageBreaks="1" fitToPage="1" view="pageBreakPreview" showRuler="0">
      <pane xSplit="1" ySplit="4" topLeftCell="B5" activePane="bottomRight" state="frozen"/>
      <selection pane="bottomRight" activeCell="G17" sqref="G17"/>
      <pageMargins left="0.75" right="0.75" top="1" bottom="1" header="0.5" footer="0.5"/>
      <pageSetup scale="63" orientation="landscape" horizontalDpi="300" verticalDpi="300" r:id="rId1"/>
      <headerFooter alignWithMargins="0"/>
    </customSheetView>
    <customSheetView guid="{6F41311F-2270-450A-A26B-FA887A989CC9}" scale="85" showPageBreaks="1" showRuler="0">
      <selection activeCell="E5" sqref="E5"/>
      <pageMargins left="0.75" right="0.75" top="1" bottom="1" header="0.5" footer="0.5"/>
      <pageSetup scale="60" orientation="landscape" horizontalDpi="300" verticalDpi="300" r:id="rId2"/>
      <headerFooter alignWithMargins="0"/>
    </customSheetView>
    <customSheetView guid="{9F62FB59-F471-497B-8464-A1F026EE1693}" scale="85" showPageBreaks="1" fitToPage="1" showRuler="0">
      <selection activeCell="F39" sqref="F39"/>
      <pageMargins left="0.75" right="0.75" top="1" bottom="1" header="0.5" footer="0.5"/>
      <pageSetup scale="41" orientation="portrait" horizontalDpi="300" verticalDpi="300" r:id="rId3"/>
      <headerFooter alignWithMargins="0"/>
    </customSheetView>
    <customSheetView guid="{20D5FB18-2FAE-4D83-BF94-A00B522BD190}" showPageBreaks="1" fitToPage="1" hiddenColumns="1" view="pageBreakPreview" showRuler="0" topLeftCell="A4">
      <selection activeCell="J22" sqref="J22"/>
      <pageMargins left="0.75" right="0.75" top="1" bottom="1" header="0.5" footer="0.5"/>
      <pageSetup scale="41" orientation="portrait" horizontalDpi="300" verticalDpi="300" r:id="rId4"/>
      <headerFooter alignWithMargins="0"/>
    </customSheetView>
    <customSheetView guid="{9456C1E9-89BB-4E93-9AFD-5A49DBF97574}" scale="75" showPageBreaks="1" fitToPage="1" view="pageBreakPreview" showRuler="0">
      <selection activeCell="H12" sqref="H12"/>
      <pageMargins left="0.75" right="0.75" top="1" bottom="1" header="0.5" footer="0.5"/>
      <pageSetup scale="40" orientation="portrait" horizontalDpi="300" verticalDpi="300" r:id="rId5"/>
      <headerFooter alignWithMargins="0"/>
    </customSheetView>
    <customSheetView guid="{7FD41845-6BD4-448F-810C-049EFA55EC1B}" scale="75" showPageBreaks="1" fitToPage="1" view="pageBreakPreview" showRuler="0">
      <pane xSplit="1" ySplit="4" topLeftCell="B23" activePane="bottomRight" state="frozen"/>
      <selection pane="bottomRight" activeCell="H47" sqref="H47:H49"/>
      <pageMargins left="0.75" right="0.75" top="1" bottom="1" header="0.5" footer="0.5"/>
      <pageSetup scale="63" orientation="landscape" r:id="rId6"/>
      <headerFooter alignWithMargins="0"/>
    </customSheetView>
    <customSheetView guid="{8B0AB125-4209-45BF-9ABD-74BE01FD7C48}" scale="85" showPageBreaks="1" fitToPage="1" showRuler="0">
      <pane xSplit="1" ySplit="4" topLeftCell="B26" activePane="bottomRight" state="frozen"/>
      <selection pane="bottomRight" activeCell="C54" sqref="C54"/>
      <pageMargins left="0.75" right="0.75" top="1" bottom="1" header="0.5" footer="0.5"/>
      <pageSetup scale="63" orientation="landscape" r:id="rId7"/>
      <headerFooter alignWithMargins="0"/>
    </customSheetView>
  </customSheetViews>
  <mergeCells count="3">
    <mergeCell ref="A1:H1"/>
    <mergeCell ref="A2:G2"/>
    <mergeCell ref="B3:N3"/>
  </mergeCells>
  <phoneticPr fontId="0" type="noConversion"/>
  <pageMargins left="0.75" right="0.75" top="1" bottom="1" header="0.5" footer="0.5"/>
  <pageSetup scale="63" orientation="landscape" r:id="rId8"/>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tabColor indexed="20"/>
    <pageSetUpPr fitToPage="1"/>
  </sheetPr>
  <dimension ref="A1:N125"/>
  <sheetViews>
    <sheetView showGridLines="0" showRuler="0" zoomScale="70" zoomScaleNormal="70"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42.42578125" style="1" hidden="1" customWidth="1"/>
    <col min="2" max="2" width="18.28515625" style="1" customWidth="1"/>
    <col min="3" max="3" width="16.42578125" style="1" customWidth="1"/>
    <col min="4" max="4" width="12.7109375" style="1" bestFit="1" customWidth="1"/>
    <col min="5" max="8" width="15.42578125" style="1" customWidth="1"/>
    <col min="9" max="9" width="5.42578125" style="1" customWidth="1"/>
    <col min="10" max="10" width="26" style="1" customWidth="1"/>
    <col min="11" max="11" width="13.5703125" style="1" customWidth="1"/>
    <col min="12" max="16384" width="6.85546875" style="1"/>
  </cols>
  <sheetData>
    <row r="1" spans="1:14" ht="44.25" hidden="1">
      <c r="A1" s="1742" t="s">
        <v>297</v>
      </c>
      <c r="B1" s="1742"/>
      <c r="C1" s="1742"/>
      <c r="D1" s="1742"/>
      <c r="E1" s="1742"/>
      <c r="F1" s="1742"/>
      <c r="G1" s="1742"/>
      <c r="N1" s="593" t="str">
        <f>PROPER(B1)</f>
        <v/>
      </c>
    </row>
    <row r="2" spans="1:14" ht="19.5" customHeight="1" thickBot="1">
      <c r="A2" s="1743" t="s">
        <v>318</v>
      </c>
      <c r="B2" s="1743"/>
      <c r="C2" s="1743"/>
      <c r="D2" s="1743"/>
      <c r="E2" s="1743"/>
      <c r="F2" s="1743"/>
      <c r="G2" s="1743"/>
      <c r="H2" s="167" t="s">
        <v>87</v>
      </c>
    </row>
    <row r="3" spans="1:14" ht="19.5" customHeight="1">
      <c r="A3" s="592"/>
      <c r="B3" s="1749" t="str">
        <f>PROPER(B1)</f>
        <v/>
      </c>
      <c r="C3" s="1749"/>
      <c r="D3" s="1749"/>
      <c r="E3" s="1749"/>
      <c r="F3" s="1749"/>
      <c r="G3" s="1749"/>
      <c r="H3" s="1749"/>
      <c r="I3" s="1749"/>
      <c r="J3" s="1749"/>
      <c r="K3" s="1749"/>
      <c r="L3" s="1749"/>
      <c r="M3" s="1749"/>
      <c r="N3" s="1749"/>
    </row>
    <row r="4" spans="1:14" ht="12.75" customHeight="1">
      <c r="A4" s="86"/>
      <c r="B4" s="86"/>
      <c r="C4" s="86" t="s">
        <v>64</v>
      </c>
      <c r="D4" s="91" t="s">
        <v>64</v>
      </c>
      <c r="E4" s="86"/>
      <c r="F4" s="91" t="s">
        <v>86</v>
      </c>
      <c r="G4" s="86"/>
      <c r="H4" s="91" t="s">
        <v>110</v>
      </c>
    </row>
    <row r="5" spans="1:14" ht="39" thickBot="1">
      <c r="A5" s="3" t="s">
        <v>0</v>
      </c>
      <c r="B5" s="5" t="s">
        <v>314</v>
      </c>
      <c r="C5" s="4" t="s">
        <v>315</v>
      </c>
      <c r="D5" s="4" t="s">
        <v>217</v>
      </c>
      <c r="E5" s="5" t="s">
        <v>316</v>
      </c>
      <c r="F5" s="129" t="s">
        <v>1</v>
      </c>
      <c r="G5" s="5" t="s">
        <v>317</v>
      </c>
      <c r="H5" s="129" t="s">
        <v>1</v>
      </c>
    </row>
    <row r="6" spans="1:14">
      <c r="A6" s="2"/>
      <c r="B6" s="9"/>
      <c r="C6" s="2"/>
      <c r="D6" s="2"/>
      <c r="E6" s="9"/>
      <c r="F6" s="9"/>
      <c r="G6" s="10"/>
      <c r="H6" s="10"/>
    </row>
    <row r="7" spans="1:14">
      <c r="A7" s="11" t="s">
        <v>2</v>
      </c>
      <c r="B7" s="9"/>
      <c r="C7" s="12"/>
      <c r="D7" s="13"/>
      <c r="E7" s="9"/>
      <c r="F7" s="9"/>
      <c r="G7" s="9"/>
      <c r="H7" s="9"/>
    </row>
    <row r="8" spans="1:14">
      <c r="A8" s="16" t="s">
        <v>3</v>
      </c>
      <c r="B8" s="17"/>
      <c r="C8" s="12"/>
      <c r="D8" s="13"/>
      <c r="E8" s="17"/>
      <c r="F8" s="17"/>
      <c r="G8" s="9"/>
      <c r="H8" s="9"/>
    </row>
    <row r="9" spans="1:14">
      <c r="A9" s="16" t="s">
        <v>4</v>
      </c>
      <c r="B9" s="9">
        <v>0</v>
      </c>
      <c r="C9" s="12">
        <v>0</v>
      </c>
      <c r="D9" s="13">
        <v>0</v>
      </c>
      <c r="E9" s="17">
        <v>0</v>
      </c>
      <c r="F9" s="17">
        <f t="shared" ref="F9:F15" si="0">E9-C9</f>
        <v>0</v>
      </c>
      <c r="G9" s="9">
        <v>0</v>
      </c>
      <c r="H9" s="9">
        <f t="shared" ref="H9:H15" si="1">G9-C9</f>
        <v>0</v>
      </c>
      <c r="N9" s="601"/>
    </row>
    <row r="10" spans="1:14">
      <c r="A10" s="16" t="s">
        <v>5</v>
      </c>
      <c r="B10" s="9">
        <v>0</v>
      </c>
      <c r="C10" s="12">
        <v>0</v>
      </c>
      <c r="D10" s="13">
        <v>0</v>
      </c>
      <c r="E10" s="17">
        <v>0</v>
      </c>
      <c r="F10" s="17">
        <f t="shared" si="0"/>
        <v>0</v>
      </c>
      <c r="G10" s="9">
        <v>0</v>
      </c>
      <c r="H10" s="9">
        <f t="shared" si="1"/>
        <v>0</v>
      </c>
      <c r="N10" s="601"/>
    </row>
    <row r="11" spans="1:14">
      <c r="A11" s="16" t="s">
        <v>6</v>
      </c>
      <c r="B11" s="9">
        <v>0</v>
      </c>
      <c r="C11" s="12">
        <v>0</v>
      </c>
      <c r="D11" s="13">
        <v>0</v>
      </c>
      <c r="E11" s="17">
        <v>0</v>
      </c>
      <c r="F11" s="17">
        <f t="shared" si="0"/>
        <v>0</v>
      </c>
      <c r="G11" s="9">
        <v>0</v>
      </c>
      <c r="H11" s="9">
        <f t="shared" si="1"/>
        <v>0</v>
      </c>
      <c r="N11" s="601"/>
    </row>
    <row r="12" spans="1:14" s="89" customFormat="1">
      <c r="A12" s="66" t="s">
        <v>7</v>
      </c>
      <c r="B12" s="49">
        <v>0</v>
      </c>
      <c r="C12" s="50">
        <v>0</v>
      </c>
      <c r="D12" s="50">
        <v>0</v>
      </c>
      <c r="E12" s="45">
        <v>0</v>
      </c>
      <c r="F12" s="45">
        <f t="shared" si="0"/>
        <v>0</v>
      </c>
      <c r="G12" s="49">
        <v>0</v>
      </c>
      <c r="H12" s="49">
        <f t="shared" si="1"/>
        <v>0</v>
      </c>
      <c r="N12" s="602"/>
    </row>
    <row r="13" spans="1:14" s="89" customFormat="1">
      <c r="A13" s="66" t="s">
        <v>39</v>
      </c>
      <c r="B13" s="49">
        <v>0</v>
      </c>
      <c r="C13" s="50">
        <v>0</v>
      </c>
      <c r="D13" s="50">
        <v>0</v>
      </c>
      <c r="E13" s="45">
        <v>0</v>
      </c>
      <c r="F13" s="45">
        <f t="shared" si="0"/>
        <v>0</v>
      </c>
      <c r="G13" s="49">
        <v>0</v>
      </c>
      <c r="H13" s="49">
        <f>G13-C13</f>
        <v>0</v>
      </c>
      <c r="N13" s="602"/>
    </row>
    <row r="14" spans="1:14" s="89" customFormat="1">
      <c r="A14" s="93" t="s">
        <v>281</v>
      </c>
      <c r="B14" s="50">
        <v>0</v>
      </c>
      <c r="C14" s="50">
        <v>300</v>
      </c>
      <c r="D14" s="50">
        <v>191</v>
      </c>
      <c r="E14" s="42">
        <v>191</v>
      </c>
      <c r="F14" s="45">
        <f t="shared" si="0"/>
        <v>-109</v>
      </c>
      <c r="G14" s="50">
        <v>0</v>
      </c>
      <c r="H14" s="50">
        <f t="shared" si="1"/>
        <v>-300</v>
      </c>
      <c r="N14" s="602"/>
    </row>
    <row r="15" spans="1:14" s="89" customFormat="1">
      <c r="A15" s="93" t="s">
        <v>28</v>
      </c>
      <c r="B15" s="42">
        <v>0</v>
      </c>
      <c r="C15" s="50">
        <v>0</v>
      </c>
      <c r="D15" s="50">
        <v>0</v>
      </c>
      <c r="E15" s="42">
        <v>0</v>
      </c>
      <c r="F15" s="45">
        <f t="shared" si="0"/>
        <v>0</v>
      </c>
      <c r="G15" s="48">
        <f>E15-C15</f>
        <v>0</v>
      </c>
      <c r="H15" s="48">
        <f t="shared" si="1"/>
        <v>0</v>
      </c>
      <c r="N15" s="602"/>
    </row>
    <row r="16" spans="1:14" s="89" customFormat="1">
      <c r="A16" s="95" t="s">
        <v>9</v>
      </c>
      <c r="B16" s="46">
        <f>SUM(B8:B15)</f>
        <v>0</v>
      </c>
      <c r="C16" s="46">
        <f>SUM(C8:C15)</f>
        <v>300</v>
      </c>
      <c r="D16" s="46">
        <f>SUM(D8:D14)</f>
        <v>191</v>
      </c>
      <c r="E16" s="46">
        <f>SUM(E8:E15)</f>
        <v>191</v>
      </c>
      <c r="F16" s="46">
        <f>SUM(F8:F15)</f>
        <v>-109</v>
      </c>
      <c r="G16" s="46">
        <f>SUM(G8:G14)</f>
        <v>0</v>
      </c>
      <c r="H16" s="46">
        <f>SUM(H9:H15)</f>
        <v>-300</v>
      </c>
      <c r="N16" s="602"/>
    </row>
    <row r="17" spans="1:14" s="89" customFormat="1">
      <c r="A17" s="26" t="s">
        <v>19</v>
      </c>
      <c r="B17" s="42"/>
      <c r="C17" s="50"/>
      <c r="D17" s="50"/>
      <c r="E17" s="42"/>
      <c r="F17" s="42"/>
      <c r="G17" s="48">
        <v>0</v>
      </c>
      <c r="H17" s="48"/>
      <c r="N17" s="602"/>
    </row>
    <row r="18" spans="1:14" s="89" customFormat="1" ht="38.25">
      <c r="A18" s="96" t="s">
        <v>280</v>
      </c>
      <c r="B18" s="42">
        <v>1277340.26</v>
      </c>
      <c r="C18" s="42">
        <v>1163951</v>
      </c>
      <c r="D18" s="50">
        <v>237601</v>
      </c>
      <c r="E18" s="42">
        <f>C18</f>
        <v>1163951</v>
      </c>
      <c r="F18" s="45">
        <f t="shared" ref="F18:F25" si="2">E18-C18</f>
        <v>0</v>
      </c>
      <c r="G18" s="50">
        <v>1277340.26</v>
      </c>
      <c r="H18" s="50">
        <f>G18-C18</f>
        <v>113389.26000000001</v>
      </c>
      <c r="I18" s="66" t="s">
        <v>58</v>
      </c>
      <c r="J18" s="220" t="s">
        <v>184</v>
      </c>
      <c r="N18" s="602"/>
    </row>
    <row r="19" spans="1:14" s="89" customFormat="1">
      <c r="A19" s="96" t="s">
        <v>40</v>
      </c>
      <c r="B19" s="50">
        <v>0</v>
      </c>
      <c r="C19" s="50">
        <v>0</v>
      </c>
      <c r="D19" s="50">
        <v>0</v>
      </c>
      <c r="E19" s="50">
        <v>0</v>
      </c>
      <c r="F19" s="45">
        <f t="shared" si="2"/>
        <v>0</v>
      </c>
      <c r="G19" s="48">
        <f t="shared" ref="G19:G24" si="3">E19-C19</f>
        <v>0</v>
      </c>
      <c r="H19" s="48">
        <f t="shared" ref="H19:H25" si="4">G19-C19</f>
        <v>0</v>
      </c>
      <c r="N19" s="602"/>
    </row>
    <row r="20" spans="1:14" s="89" customFormat="1">
      <c r="A20" s="96" t="s">
        <v>41</v>
      </c>
      <c r="B20" s="50">
        <v>0</v>
      </c>
      <c r="C20" s="50">
        <v>0</v>
      </c>
      <c r="D20" s="50">
        <v>0</v>
      </c>
      <c r="E20" s="50">
        <v>0</v>
      </c>
      <c r="F20" s="45">
        <f t="shared" si="2"/>
        <v>0</v>
      </c>
      <c r="G20" s="48">
        <f t="shared" si="3"/>
        <v>0</v>
      </c>
      <c r="H20" s="48">
        <f t="shared" si="4"/>
        <v>0</v>
      </c>
      <c r="N20" s="602"/>
    </row>
    <row r="21" spans="1:14" s="89" customFormat="1">
      <c r="A21" s="96" t="s">
        <v>42</v>
      </c>
      <c r="B21" s="50">
        <v>0</v>
      </c>
      <c r="C21" s="50">
        <v>0</v>
      </c>
      <c r="D21" s="50">
        <v>0</v>
      </c>
      <c r="E21" s="50">
        <v>0</v>
      </c>
      <c r="F21" s="45">
        <f t="shared" si="2"/>
        <v>0</v>
      </c>
      <c r="G21" s="48">
        <f t="shared" si="3"/>
        <v>0</v>
      </c>
      <c r="H21" s="48">
        <f t="shared" si="4"/>
        <v>0</v>
      </c>
      <c r="N21" s="602"/>
    </row>
    <row r="22" spans="1:14" s="89" customFormat="1">
      <c r="A22" s="96" t="s">
        <v>43</v>
      </c>
      <c r="B22" s="50">
        <v>0</v>
      </c>
      <c r="C22" s="50">
        <v>0</v>
      </c>
      <c r="D22" s="50">
        <v>0</v>
      </c>
      <c r="E22" s="50">
        <v>0</v>
      </c>
      <c r="F22" s="45">
        <f t="shared" si="2"/>
        <v>0</v>
      </c>
      <c r="G22" s="48">
        <f t="shared" si="3"/>
        <v>0</v>
      </c>
      <c r="H22" s="48">
        <f t="shared" si="4"/>
        <v>0</v>
      </c>
      <c r="N22" s="602"/>
    </row>
    <row r="23" spans="1:14" s="89" customFormat="1">
      <c r="A23" s="97" t="s">
        <v>44</v>
      </c>
      <c r="B23" s="50">
        <v>0</v>
      </c>
      <c r="C23" s="50">
        <v>0</v>
      </c>
      <c r="D23" s="50">
        <v>0</v>
      </c>
      <c r="E23" s="50">
        <v>0</v>
      </c>
      <c r="F23" s="45">
        <f t="shared" si="2"/>
        <v>0</v>
      </c>
      <c r="G23" s="48">
        <f t="shared" si="3"/>
        <v>0</v>
      </c>
      <c r="H23" s="48">
        <f t="shared" si="4"/>
        <v>0</v>
      </c>
      <c r="N23" s="602"/>
    </row>
    <row r="24" spans="1:14" s="89" customFormat="1">
      <c r="A24" s="66" t="s">
        <v>45</v>
      </c>
      <c r="B24" s="50">
        <v>0</v>
      </c>
      <c r="C24" s="50">
        <v>0</v>
      </c>
      <c r="D24" s="50">
        <v>0</v>
      </c>
      <c r="E24" s="50">
        <v>0</v>
      </c>
      <c r="F24" s="45">
        <f t="shared" si="2"/>
        <v>0</v>
      </c>
      <c r="G24" s="48">
        <f t="shared" si="3"/>
        <v>0</v>
      </c>
      <c r="H24" s="48">
        <f t="shared" si="4"/>
        <v>0</v>
      </c>
      <c r="N24" s="602"/>
    </row>
    <row r="25" spans="1:14" s="89" customFormat="1">
      <c r="A25" s="66" t="s">
        <v>282</v>
      </c>
      <c r="B25" s="42">
        <v>109130.74</v>
      </c>
      <c r="C25" s="42">
        <v>129810</v>
      </c>
      <c r="D25" s="50">
        <f>C25</f>
        <v>129810</v>
      </c>
      <c r="E25" s="42">
        <f>C25</f>
        <v>129810</v>
      </c>
      <c r="F25" s="45">
        <f t="shared" si="2"/>
        <v>0</v>
      </c>
      <c r="G25" s="48">
        <f>E41</f>
        <v>109130.74</v>
      </c>
      <c r="H25" s="48">
        <f t="shared" si="4"/>
        <v>-20679.259999999995</v>
      </c>
      <c r="J25" s="66" t="s">
        <v>181</v>
      </c>
      <c r="N25" s="602"/>
    </row>
    <row r="26" spans="1:14" s="89" customFormat="1">
      <c r="A26" s="26" t="s">
        <v>20</v>
      </c>
      <c r="B26" s="28">
        <f t="shared" ref="B26:H26" si="5">SUM(B18:B25)</f>
        <v>1386471</v>
      </c>
      <c r="C26" s="28">
        <f t="shared" si="5"/>
        <v>1293761</v>
      </c>
      <c r="D26" s="28">
        <f t="shared" si="5"/>
        <v>367411</v>
      </c>
      <c r="E26" s="28">
        <f t="shared" si="5"/>
        <v>1293761</v>
      </c>
      <c r="F26" s="28">
        <f t="shared" si="5"/>
        <v>0</v>
      </c>
      <c r="G26" s="28">
        <f t="shared" si="5"/>
        <v>1386471</v>
      </c>
      <c r="H26" s="28">
        <f t="shared" si="5"/>
        <v>92710.000000000015</v>
      </c>
      <c r="J26" s="66" t="s">
        <v>182</v>
      </c>
      <c r="N26" s="602"/>
    </row>
    <row r="27" spans="1:14" s="89" customFormat="1" ht="13.5" thickBot="1">
      <c r="A27" s="642" t="s">
        <v>21</v>
      </c>
      <c r="B27" s="643">
        <f t="shared" ref="B27:H27" si="6">B16+B26</f>
        <v>1386471</v>
      </c>
      <c r="C27" s="643">
        <f t="shared" si="6"/>
        <v>1294061</v>
      </c>
      <c r="D27" s="643">
        <f t="shared" si="6"/>
        <v>367602</v>
      </c>
      <c r="E27" s="643">
        <f t="shared" si="6"/>
        <v>1293952</v>
      </c>
      <c r="F27" s="643">
        <f t="shared" si="6"/>
        <v>-109</v>
      </c>
      <c r="G27" s="643">
        <f t="shared" si="6"/>
        <v>1386471</v>
      </c>
      <c r="H27" s="643">
        <f t="shared" si="6"/>
        <v>92410.000000000015</v>
      </c>
      <c r="N27" s="602"/>
    </row>
    <row r="28" spans="1:14" s="89" customFormat="1" ht="13.5" thickTop="1">
      <c r="A28" s="88"/>
      <c r="B28" s="48"/>
      <c r="C28" s="48"/>
      <c r="D28" s="48"/>
      <c r="E28" s="48"/>
      <c r="F28" s="48"/>
      <c r="G28" s="48"/>
      <c r="H28" s="48"/>
      <c r="N28" s="602"/>
    </row>
    <row r="29" spans="1:14" s="89" customFormat="1">
      <c r="A29" s="644" t="s">
        <v>10</v>
      </c>
      <c r="B29" s="49"/>
      <c r="C29" s="48"/>
      <c r="D29" s="48"/>
      <c r="E29" s="49"/>
      <c r="F29" s="49"/>
      <c r="G29" s="49"/>
      <c r="H29" s="49"/>
      <c r="N29" s="602"/>
    </row>
    <row r="30" spans="1:14" s="89" customFormat="1">
      <c r="A30" s="93" t="s">
        <v>11</v>
      </c>
      <c r="B30" s="48">
        <v>0</v>
      </c>
      <c r="C30" s="50">
        <v>0</v>
      </c>
      <c r="D30" s="50">
        <v>0</v>
      </c>
      <c r="E30" s="48">
        <v>0</v>
      </c>
      <c r="F30" s="45">
        <f>C30-E30</f>
        <v>0</v>
      </c>
      <c r="G30" s="49">
        <v>0</v>
      </c>
      <c r="H30" s="49">
        <f>C30-G30</f>
        <v>0</v>
      </c>
      <c r="N30" s="602"/>
    </row>
    <row r="31" spans="1:14" s="89" customFormat="1">
      <c r="A31" s="93" t="s">
        <v>12</v>
      </c>
      <c r="B31" s="48">
        <v>0</v>
      </c>
      <c r="C31" s="50">
        <v>0</v>
      </c>
      <c r="D31" s="50">
        <v>0</v>
      </c>
      <c r="E31" s="48">
        <v>0</v>
      </c>
      <c r="F31" s="45">
        <f t="shared" ref="F31:F36" si="7">C31-E31</f>
        <v>0</v>
      </c>
      <c r="G31" s="49">
        <v>0</v>
      </c>
      <c r="H31" s="49">
        <f t="shared" ref="H31:H36" si="8">C31-G31</f>
        <v>0</v>
      </c>
      <c r="N31" s="602"/>
    </row>
    <row r="32" spans="1:14" s="89" customFormat="1">
      <c r="A32" s="93" t="s">
        <v>13</v>
      </c>
      <c r="B32" s="48">
        <v>0</v>
      </c>
      <c r="C32" s="50">
        <v>0</v>
      </c>
      <c r="D32" s="50">
        <v>0</v>
      </c>
      <c r="E32" s="48">
        <v>0</v>
      </c>
      <c r="F32" s="45">
        <f t="shared" si="7"/>
        <v>0</v>
      </c>
      <c r="G32" s="49">
        <v>0</v>
      </c>
      <c r="H32" s="49">
        <f t="shared" si="8"/>
        <v>0</v>
      </c>
      <c r="N32" s="602"/>
    </row>
    <row r="33" spans="1:11" s="89" customFormat="1">
      <c r="A33" s="93" t="s">
        <v>14</v>
      </c>
      <c r="B33" s="48">
        <v>0</v>
      </c>
      <c r="C33" s="50">
        <v>0</v>
      </c>
      <c r="D33" s="50">
        <v>0</v>
      </c>
      <c r="E33" s="48">
        <v>0</v>
      </c>
      <c r="F33" s="45">
        <f t="shared" si="7"/>
        <v>0</v>
      </c>
      <c r="G33" s="49">
        <v>0</v>
      </c>
      <c r="H33" s="49">
        <f t="shared" si="8"/>
        <v>0</v>
      </c>
    </row>
    <row r="34" spans="1:11" s="89" customFormat="1">
      <c r="A34" s="93" t="s">
        <v>26</v>
      </c>
      <c r="B34" s="48">
        <v>0</v>
      </c>
      <c r="C34" s="50">
        <v>0</v>
      </c>
      <c r="D34" s="50">
        <v>0</v>
      </c>
      <c r="E34" s="48">
        <v>0</v>
      </c>
      <c r="F34" s="45">
        <f t="shared" si="7"/>
        <v>0</v>
      </c>
      <c r="G34" s="49">
        <v>0</v>
      </c>
      <c r="H34" s="49">
        <f t="shared" si="8"/>
        <v>0</v>
      </c>
    </row>
    <row r="35" spans="1:11" s="89" customFormat="1" hidden="1">
      <c r="A35" s="93" t="s">
        <v>15</v>
      </c>
      <c r="B35" s="48">
        <v>0</v>
      </c>
      <c r="C35" s="50">
        <v>0</v>
      </c>
      <c r="D35" s="50">
        <v>0</v>
      </c>
      <c r="E35" s="48">
        <v>0</v>
      </c>
      <c r="F35" s="45">
        <f t="shared" si="7"/>
        <v>0</v>
      </c>
      <c r="G35" s="49">
        <v>0</v>
      </c>
      <c r="H35" s="49">
        <f t="shared" si="8"/>
        <v>0</v>
      </c>
    </row>
    <row r="36" spans="1:11" s="89" customFormat="1" ht="25.5" hidden="1">
      <c r="A36" s="93" t="s">
        <v>16</v>
      </c>
      <c r="B36" s="48">
        <v>1186471</v>
      </c>
      <c r="C36" s="48">
        <v>1184821</v>
      </c>
      <c r="D36" s="50">
        <v>368653</v>
      </c>
      <c r="E36" s="48">
        <f>E51</f>
        <v>1184821.26</v>
      </c>
      <c r="F36" s="45">
        <f t="shared" si="7"/>
        <v>-0.26000000000931323</v>
      </c>
      <c r="G36" s="50">
        <f>G51</f>
        <v>1186471</v>
      </c>
      <c r="H36" s="49">
        <f t="shared" si="8"/>
        <v>-1650</v>
      </c>
      <c r="J36" s="220" t="s">
        <v>180</v>
      </c>
    </row>
    <row r="37" spans="1:11" s="89" customFormat="1" hidden="1">
      <c r="A37" s="95" t="s">
        <v>22</v>
      </c>
      <c r="B37" s="46">
        <f t="shared" ref="B37:G37" si="9">SUM(B30:B36)</f>
        <v>1186471</v>
      </c>
      <c r="C37" s="46">
        <f t="shared" si="9"/>
        <v>1184821</v>
      </c>
      <c r="D37" s="46">
        <f t="shared" si="9"/>
        <v>368653</v>
      </c>
      <c r="E37" s="46">
        <f t="shared" si="9"/>
        <v>1184821.26</v>
      </c>
      <c r="F37" s="46">
        <f t="shared" si="9"/>
        <v>-0.26000000000931323</v>
      </c>
      <c r="G37" s="46">
        <f t="shared" si="9"/>
        <v>1186471</v>
      </c>
      <c r="H37" s="46">
        <f>SUM(H30:H36)</f>
        <v>-1650</v>
      </c>
    </row>
    <row r="38" spans="1:11" s="89" customFormat="1">
      <c r="A38" s="26" t="s">
        <v>23</v>
      </c>
      <c r="B38" s="50"/>
      <c r="C38" s="50"/>
      <c r="D38" s="50"/>
      <c r="E38" s="50"/>
      <c r="F38" s="50"/>
      <c r="G38" s="48"/>
      <c r="H38" s="48"/>
    </row>
    <row r="39" spans="1:11" s="89" customFormat="1">
      <c r="A39" s="96"/>
      <c r="B39" s="50"/>
      <c r="C39" s="50"/>
      <c r="D39" s="50"/>
      <c r="E39" s="50"/>
      <c r="F39" s="50"/>
      <c r="G39" s="49"/>
      <c r="H39" s="49"/>
    </row>
    <row r="40" spans="1:11" s="89" customFormat="1">
      <c r="A40" s="96" t="s">
        <v>38</v>
      </c>
      <c r="B40" s="50">
        <v>0</v>
      </c>
      <c r="C40" s="50"/>
      <c r="D40" s="50"/>
      <c r="E40" s="50">
        <v>0</v>
      </c>
      <c r="F40" s="17">
        <f>C40-E40</f>
        <v>0</v>
      </c>
      <c r="G40" s="49">
        <f>C40-E40</f>
        <v>0</v>
      </c>
      <c r="H40" s="9">
        <f>C40-G40</f>
        <v>0</v>
      </c>
    </row>
    <row r="41" spans="1:11" s="89" customFormat="1">
      <c r="A41" s="96" t="s">
        <v>283</v>
      </c>
      <c r="B41" s="50">
        <v>200000</v>
      </c>
      <c r="C41" s="114">
        <v>109240</v>
      </c>
      <c r="D41" s="114">
        <v>0</v>
      </c>
      <c r="E41" s="114">
        <v>109130.74</v>
      </c>
      <c r="F41" s="17">
        <f>C41-E41</f>
        <v>109.25999999999476</v>
      </c>
      <c r="G41" s="114">
        <v>200000</v>
      </c>
      <c r="H41" s="9">
        <f>C41-G41</f>
        <v>-90760</v>
      </c>
      <c r="J41" s="66" t="s">
        <v>206</v>
      </c>
      <c r="K41" s="66"/>
    </row>
    <row r="42" spans="1:11">
      <c r="A42" s="41"/>
      <c r="B42" s="50"/>
      <c r="C42" s="50"/>
      <c r="D42" s="50" t="s">
        <v>58</v>
      </c>
      <c r="E42" s="50"/>
      <c r="F42" s="50"/>
      <c r="G42" s="10"/>
      <c r="H42" s="10"/>
    </row>
    <row r="43" spans="1:11">
      <c r="A43" s="37" t="s">
        <v>24</v>
      </c>
      <c r="B43" s="38">
        <f t="shared" ref="B43:G43" si="10">SUM(B39:B42)</f>
        <v>200000</v>
      </c>
      <c r="C43" s="38">
        <f t="shared" si="10"/>
        <v>109240</v>
      </c>
      <c r="D43" s="38">
        <f t="shared" si="10"/>
        <v>0</v>
      </c>
      <c r="E43" s="38">
        <f t="shared" si="10"/>
        <v>109130.74</v>
      </c>
      <c r="F43" s="38">
        <f t="shared" si="10"/>
        <v>109.25999999999476</v>
      </c>
      <c r="G43" s="38">
        <f t="shared" si="10"/>
        <v>200000</v>
      </c>
      <c r="H43" s="38">
        <f>SUM(H40:H42)</f>
        <v>-90760</v>
      </c>
    </row>
    <row r="44" spans="1:11" ht="12.75" customHeight="1" thickBot="1">
      <c r="A44" s="55" t="s">
        <v>25</v>
      </c>
      <c r="B44" s="59">
        <f t="shared" ref="B44:H44" si="11">B37+B43</f>
        <v>1386471</v>
      </c>
      <c r="C44" s="59">
        <f t="shared" si="11"/>
        <v>1294061</v>
      </c>
      <c r="D44" s="59">
        <f t="shared" si="11"/>
        <v>368653</v>
      </c>
      <c r="E44" s="59">
        <f t="shared" si="11"/>
        <v>1293952</v>
      </c>
      <c r="F44" s="59">
        <f t="shared" si="11"/>
        <v>108.99999999998545</v>
      </c>
      <c r="G44" s="59">
        <f t="shared" si="11"/>
        <v>1386471</v>
      </c>
      <c r="H44" s="59">
        <f t="shared" si="11"/>
        <v>-92410</v>
      </c>
    </row>
    <row r="45" spans="1:11" ht="13.5" thickTop="1">
      <c r="A45" s="26" t="s">
        <v>17</v>
      </c>
      <c r="B45" s="202">
        <f t="shared" ref="B45:G45" si="12">B27-B44</f>
        <v>0</v>
      </c>
      <c r="C45" s="202">
        <f t="shared" si="12"/>
        <v>0</v>
      </c>
      <c r="D45" s="202">
        <f t="shared" si="12"/>
        <v>-1051</v>
      </c>
      <c r="E45" s="202">
        <f t="shared" si="12"/>
        <v>0</v>
      </c>
      <c r="F45" s="202"/>
      <c r="G45" s="202">
        <f t="shared" si="12"/>
        <v>0</v>
      </c>
      <c r="H45" s="202" t="s">
        <v>58</v>
      </c>
    </row>
    <row r="46" spans="1:11" ht="12.75" customHeight="1" thickBot="1">
      <c r="A46" s="26"/>
      <c r="B46" s="26"/>
      <c r="C46" s="28"/>
      <c r="D46" s="28"/>
      <c r="E46" s="2"/>
      <c r="F46" s="2"/>
      <c r="H46" s="16"/>
    </row>
    <row r="47" spans="1:11" ht="12.75" customHeight="1">
      <c r="A47" s="30" t="s">
        <v>18</v>
      </c>
      <c r="B47" s="30"/>
      <c r="C47" s="16"/>
      <c r="D47" s="24"/>
      <c r="E47" s="122" t="s">
        <v>189</v>
      </c>
      <c r="F47" s="123" t="s">
        <v>205</v>
      </c>
      <c r="G47" s="123" t="s">
        <v>190</v>
      </c>
      <c r="H47" s="118"/>
    </row>
    <row r="48" spans="1:11" ht="12.75" customHeight="1">
      <c r="A48" s="30" t="s">
        <v>207</v>
      </c>
      <c r="B48" s="30"/>
      <c r="C48" s="16"/>
      <c r="D48" s="24"/>
      <c r="E48" s="210">
        <v>734821.26</v>
      </c>
      <c r="F48" s="218">
        <v>7201</v>
      </c>
      <c r="G48" s="51">
        <v>721471</v>
      </c>
      <c r="H48" s="119" t="s">
        <v>98</v>
      </c>
      <c r="I48" s="16" t="s">
        <v>204</v>
      </c>
      <c r="J48" s="221">
        <v>40704</v>
      </c>
    </row>
    <row r="49" spans="1:9" ht="12.75" customHeight="1">
      <c r="D49" s="2"/>
      <c r="E49" s="211">
        <v>5000</v>
      </c>
      <c r="F49" s="219">
        <v>7305</v>
      </c>
      <c r="G49" s="111">
        <v>5000</v>
      </c>
      <c r="H49" s="119" t="s">
        <v>100</v>
      </c>
      <c r="I49" s="2"/>
    </row>
    <row r="50" spans="1:9" ht="12.75" customHeight="1">
      <c r="A50" s="33"/>
      <c r="B50" s="33"/>
      <c r="D50" s="2"/>
      <c r="E50" s="212">
        <v>445000</v>
      </c>
      <c r="F50" s="219">
        <v>7101</v>
      </c>
      <c r="G50" s="111">
        <v>460000</v>
      </c>
      <c r="H50" s="119" t="s">
        <v>99</v>
      </c>
      <c r="I50" s="2"/>
    </row>
    <row r="51" spans="1:9" ht="12.75" customHeight="1" thickBot="1">
      <c r="E51" s="124">
        <f>SUM(E48:E50)</f>
        <v>1184821.26</v>
      </c>
      <c r="F51" s="112"/>
      <c r="G51" s="112">
        <f>SUM(G48:G50)</f>
        <v>1186471</v>
      </c>
      <c r="H51" s="126"/>
      <c r="I51" s="2"/>
    </row>
    <row r="52" spans="1:9" ht="12.75" customHeight="1" thickTop="1">
      <c r="H52" s="2"/>
      <c r="I52" s="2"/>
    </row>
    <row r="53" spans="1:9" ht="12.75" customHeight="1">
      <c r="I53" s="2"/>
    </row>
    <row r="54" spans="1:9" ht="12.75" customHeight="1">
      <c r="E54" s="88"/>
      <c r="F54" s="88"/>
      <c r="G54" s="88"/>
      <c r="H54" s="2"/>
    </row>
    <row r="55" spans="1:9" ht="12.75" customHeight="1"/>
    <row r="56" spans="1:9" ht="12.75" customHeight="1"/>
    <row r="57" spans="1:9" ht="12.75" customHeight="1"/>
    <row r="58" spans="1:9" ht="12.75" customHeight="1"/>
    <row r="59" spans="1:9" ht="12.75" customHeight="1"/>
    <row r="60" spans="1:9" ht="12.75" customHeight="1"/>
    <row r="61" spans="1:9" ht="12.75" customHeight="1"/>
    <row r="62" spans="1:9" ht="12.75" customHeight="1"/>
    <row r="63" spans="1:9" ht="12.75" customHeight="1"/>
    <row r="64" spans="1:9"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sheetData>
  <customSheetViews>
    <customSheetView guid="{C8E99144-FF29-42D8-8D33-2038AA9D760E}" scale="75" showPageBreaks="1" fitToPage="1" view="pageBreakPreview" showRuler="0">
      <pane xSplit="1" ySplit="4" topLeftCell="B5" activePane="bottomRight" state="frozen"/>
      <selection pane="bottomRight" activeCell="D45" sqref="D45"/>
      <pageMargins left="0.75" right="0.75" top="1" bottom="1" header="0.5" footer="0.5"/>
      <pageSetup scale="67" orientation="landscape" horizontalDpi="300" verticalDpi="300" r:id="rId1"/>
      <headerFooter alignWithMargins="0"/>
    </customSheetView>
    <customSheetView guid="{6F41311F-2270-450A-A26B-FA887A989CC9}" scale="75" showPageBreaks="1" view="pageBreakPreview" showRuler="0">
      <selection activeCell="H17" sqref="H17"/>
      <pageMargins left="0.75" right="0.75" top="1" bottom="1" header="0.5" footer="0.5"/>
      <pageSetup scale="60" orientation="landscape" horizontalDpi="300" verticalDpi="300" r:id="rId2"/>
      <headerFooter alignWithMargins="0"/>
    </customSheetView>
    <customSheetView guid="{9F62FB59-F471-497B-8464-A1F026EE1693}" scale="70" showPageBreaks="1" fitToPage="1" hiddenColumns="1" showRuler="0">
      <selection activeCell="F34" sqref="F34"/>
      <pageMargins left="0.75" right="0.75" top="1" bottom="1" header="0.5" footer="0.5"/>
      <pageSetup scale="41" orientation="portrait" horizontalDpi="300" verticalDpi="300" r:id="rId3"/>
      <headerFooter alignWithMargins="0"/>
    </customSheetView>
    <customSheetView guid="{20D5FB18-2FAE-4D83-BF94-A00B522BD190}" scale="75" showPageBreaks="1" fitToPage="1" hiddenColumns="1" view="pageBreakPreview" showRuler="0">
      <selection activeCell="I40" sqref="I40"/>
      <pageMargins left="0.75" right="0.75" top="1" bottom="1" header="0.5" footer="0.5"/>
      <pageSetup scale="41" orientation="portrait" horizontalDpi="300" verticalDpi="300" r:id="rId4"/>
      <headerFooter alignWithMargins="0"/>
    </customSheetView>
    <customSheetView guid="{9456C1E9-89BB-4E93-9AFD-5A49DBF97574}" scale="75" showPageBreaks="1" fitToPage="1" hiddenColumns="1" view="pageBreakPreview" showRuler="0">
      <selection activeCell="A50" sqref="A50:IV50"/>
      <pageMargins left="0.75" right="0.75" top="1" bottom="1" header="0.5" footer="0.5"/>
      <pageSetup scale="58" orientation="portrait" horizontalDpi="300" verticalDpi="300" r:id="rId5"/>
      <headerFooter alignWithMargins="0"/>
    </customSheetView>
    <customSheetView guid="{7FD41845-6BD4-448F-810C-049EFA55EC1B}" scale="75" showPageBreaks="1" fitToPage="1" view="pageBreakPreview" showRuler="0">
      <pane xSplit="1" ySplit="4" topLeftCell="B32" activePane="bottomRight" state="frozen"/>
      <selection pane="bottomRight" activeCell="I27" sqref="I27"/>
      <pageMargins left="0.75" right="0.75" top="1" bottom="1" header="0.5" footer="0.5"/>
      <pageSetup scale="67" orientation="landscape" r:id="rId6"/>
      <headerFooter alignWithMargins="0"/>
    </customSheetView>
    <customSheetView guid="{8B0AB125-4209-45BF-9ABD-74BE01FD7C48}" scale="70" showPageBreaks="1" fitToPage="1" showRuler="0">
      <pane xSplit="1" ySplit="4" topLeftCell="B26" activePane="bottomRight" state="frozen"/>
      <selection pane="bottomRight" activeCell="L31" sqref="L31"/>
      <pageMargins left="0.75" right="0.75" top="1" bottom="1" header="0.5" footer="0.5"/>
      <pageSetup scale="67" orientation="landscape" r:id="rId7"/>
      <headerFooter alignWithMargins="0"/>
    </customSheetView>
  </customSheetViews>
  <mergeCells count="3">
    <mergeCell ref="A1:G1"/>
    <mergeCell ref="A2:G2"/>
    <mergeCell ref="B3:N3"/>
  </mergeCells>
  <phoneticPr fontId="0" type="noConversion"/>
  <pageMargins left="0.75" right="0.75" top="1" bottom="1" header="0.5" footer="0.5"/>
  <pageSetup scale="72" orientation="landscape" r:id="rId8"/>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tabColor indexed="20"/>
    <pageSetUpPr fitToPage="1"/>
  </sheetPr>
  <dimension ref="A1:N126"/>
  <sheetViews>
    <sheetView showGridLines="0" showRuler="0" view="pageBreakPreview" zoomScale="75" zoomScaleNormal="7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38.140625" style="1" hidden="1" customWidth="1"/>
    <col min="2" max="2" width="21.42578125" style="1" customWidth="1"/>
    <col min="3" max="3" width="15.42578125" style="1" bestFit="1" customWidth="1"/>
    <col min="4" max="4" width="13.42578125" style="1" customWidth="1"/>
    <col min="5" max="5" width="15.7109375" style="31" customWidth="1"/>
    <col min="6" max="6" width="14.7109375" style="1" customWidth="1"/>
    <col min="7" max="7" width="13.28515625" style="1" bestFit="1" customWidth="1"/>
    <col min="8" max="8" width="11.5703125" style="1" bestFit="1" customWidth="1"/>
    <col min="9" max="9" width="6.85546875" style="1"/>
    <col min="10" max="10" width="10.28515625" style="1" customWidth="1"/>
    <col min="11" max="13" width="6.85546875" style="1"/>
    <col min="14" max="14" width="13.42578125" style="1" bestFit="1" customWidth="1"/>
    <col min="15" max="16384" width="6.85546875" style="1"/>
  </cols>
  <sheetData>
    <row r="1" spans="1:14" ht="44.25" hidden="1">
      <c r="A1" s="1750" t="s">
        <v>290</v>
      </c>
      <c r="B1" s="1750"/>
      <c r="C1" s="1750"/>
      <c r="D1" s="1750"/>
      <c r="E1" s="1750"/>
      <c r="F1" s="1750"/>
      <c r="G1" s="1750"/>
      <c r="H1" s="1750"/>
      <c r="N1" s="593" t="str">
        <f>PROPER(B1)</f>
        <v/>
      </c>
    </row>
    <row r="2" spans="1:14" ht="15" customHeight="1" thickBot="1">
      <c r="A2" s="1743" t="s">
        <v>318</v>
      </c>
      <c r="B2" s="1743"/>
      <c r="C2" s="1743"/>
      <c r="D2" s="1743"/>
      <c r="E2" s="1743"/>
      <c r="F2" s="1743"/>
      <c r="G2" s="1743"/>
      <c r="H2" s="167" t="s">
        <v>89</v>
      </c>
    </row>
    <row r="3" spans="1:14" ht="15" customHeight="1">
      <c r="A3" s="592"/>
      <c r="B3" s="1749" t="str">
        <f>PROPER(B1)</f>
        <v/>
      </c>
      <c r="C3" s="1749"/>
      <c r="D3" s="1749"/>
      <c r="E3" s="1749"/>
      <c r="F3" s="1749"/>
      <c r="G3" s="1749"/>
      <c r="H3" s="1749"/>
      <c r="I3" s="1749"/>
      <c r="J3" s="1749"/>
      <c r="K3" s="1749"/>
      <c r="L3" s="1749"/>
      <c r="M3" s="1749"/>
      <c r="N3" s="1749"/>
    </row>
    <row r="4" spans="1:14" ht="12.75" customHeight="1">
      <c r="A4" s="91" t="s">
        <v>88</v>
      </c>
      <c r="B4" s="86"/>
      <c r="C4" s="86" t="s">
        <v>64</v>
      </c>
      <c r="D4" s="91" t="s">
        <v>64</v>
      </c>
      <c r="E4" s="86"/>
      <c r="F4" s="91" t="s">
        <v>86</v>
      </c>
      <c r="G4" s="86"/>
      <c r="H4" s="91" t="s">
        <v>110</v>
      </c>
      <c r="I4" s="86"/>
    </row>
    <row r="5" spans="1:14" ht="39" thickBot="1">
      <c r="A5" s="3" t="s">
        <v>0</v>
      </c>
      <c r="B5" s="5" t="s">
        <v>314</v>
      </c>
      <c r="C5" s="4" t="s">
        <v>315</v>
      </c>
      <c r="D5" s="4" t="s">
        <v>217</v>
      </c>
      <c r="E5" s="5" t="s">
        <v>316</v>
      </c>
      <c r="F5" s="129" t="s">
        <v>1</v>
      </c>
      <c r="G5" s="5" t="s">
        <v>317</v>
      </c>
      <c r="H5" s="129" t="s">
        <v>1</v>
      </c>
    </row>
    <row r="6" spans="1:14">
      <c r="A6" s="110" t="s">
        <v>89</v>
      </c>
      <c r="B6" s="9"/>
      <c r="C6" s="2"/>
      <c r="D6" s="2"/>
      <c r="E6" s="7"/>
      <c r="F6" s="8"/>
      <c r="G6" s="9"/>
      <c r="H6" s="10"/>
    </row>
    <row r="7" spans="1:14">
      <c r="A7" s="11" t="s">
        <v>2</v>
      </c>
      <c r="B7" s="9"/>
      <c r="C7" s="12"/>
      <c r="D7" s="13"/>
      <c r="E7" s="14"/>
      <c r="F7" s="15"/>
      <c r="G7" s="9"/>
      <c r="H7" s="9"/>
    </row>
    <row r="8" spans="1:14">
      <c r="A8" s="16" t="s">
        <v>3</v>
      </c>
      <c r="B8" s="17">
        <v>0</v>
      </c>
      <c r="C8" s="12">
        <v>0</v>
      </c>
      <c r="D8" s="13">
        <v>0</v>
      </c>
      <c r="E8" s="14">
        <v>0</v>
      </c>
      <c r="F8" s="17">
        <f>E8-C8</f>
        <v>0</v>
      </c>
      <c r="G8" s="17">
        <v>0</v>
      </c>
      <c r="H8" s="9">
        <f t="shared" ref="H8:H16" si="0">G8-C8</f>
        <v>0</v>
      </c>
    </row>
    <row r="9" spans="1:14">
      <c r="A9" s="16" t="s">
        <v>4</v>
      </c>
      <c r="B9" s="17">
        <v>0</v>
      </c>
      <c r="C9" s="17">
        <v>0</v>
      </c>
      <c r="D9" s="17">
        <v>0</v>
      </c>
      <c r="E9" s="17">
        <v>0</v>
      </c>
      <c r="F9" s="17">
        <f>E9-C9</f>
        <v>0</v>
      </c>
      <c r="G9" s="17">
        <v>0</v>
      </c>
      <c r="H9" s="9">
        <f t="shared" si="0"/>
        <v>0</v>
      </c>
      <c r="N9" s="601"/>
    </row>
    <row r="10" spans="1:14">
      <c r="A10" s="16" t="s">
        <v>5</v>
      </c>
      <c r="B10" s="17">
        <v>0</v>
      </c>
      <c r="C10" s="17">
        <v>0</v>
      </c>
      <c r="D10" s="17">
        <v>0</v>
      </c>
      <c r="E10" s="17">
        <v>0</v>
      </c>
      <c r="F10" s="17">
        <f t="shared" ref="F10:F15" si="1">E10-C10</f>
        <v>0</v>
      </c>
      <c r="G10" s="17">
        <v>0</v>
      </c>
      <c r="H10" s="9">
        <f t="shared" si="0"/>
        <v>0</v>
      </c>
      <c r="N10" s="601"/>
    </row>
    <row r="11" spans="1:14">
      <c r="A11" s="16" t="s">
        <v>6</v>
      </c>
      <c r="B11" s="17">
        <v>0</v>
      </c>
      <c r="C11" s="17">
        <v>0</v>
      </c>
      <c r="D11" s="17">
        <v>0</v>
      </c>
      <c r="E11" s="17">
        <v>0</v>
      </c>
      <c r="F11" s="17">
        <f t="shared" si="1"/>
        <v>0</v>
      </c>
      <c r="G11" s="17">
        <v>0</v>
      </c>
      <c r="H11" s="9">
        <f t="shared" si="0"/>
        <v>0</v>
      </c>
      <c r="N11" s="601"/>
    </row>
    <row r="12" spans="1:14" s="89" customFormat="1">
      <c r="A12" s="66" t="s">
        <v>7</v>
      </c>
      <c r="B12" s="45">
        <v>0</v>
      </c>
      <c r="C12" s="45">
        <v>0</v>
      </c>
      <c r="D12" s="45">
        <v>0</v>
      </c>
      <c r="E12" s="45">
        <v>0</v>
      </c>
      <c r="F12" s="45">
        <f t="shared" si="1"/>
        <v>0</v>
      </c>
      <c r="G12" s="45">
        <v>0</v>
      </c>
      <c r="H12" s="49">
        <f t="shared" si="0"/>
        <v>0</v>
      </c>
      <c r="N12" s="602"/>
    </row>
    <row r="13" spans="1:14" s="89" customFormat="1">
      <c r="A13" s="93" t="s">
        <v>39</v>
      </c>
      <c r="B13" s="42">
        <v>0</v>
      </c>
      <c r="C13" s="42">
        <v>0</v>
      </c>
      <c r="D13" s="42">
        <v>0</v>
      </c>
      <c r="E13" s="42">
        <v>0</v>
      </c>
      <c r="F13" s="45">
        <f t="shared" si="1"/>
        <v>0</v>
      </c>
      <c r="G13" s="42">
        <v>0</v>
      </c>
      <c r="H13" s="49">
        <f t="shared" si="0"/>
        <v>0</v>
      </c>
      <c r="N13" s="602"/>
    </row>
    <row r="14" spans="1:14" s="89" customFormat="1">
      <c r="A14" s="93" t="s">
        <v>50</v>
      </c>
      <c r="B14" s="42">
        <v>0</v>
      </c>
      <c r="C14" s="42">
        <v>0</v>
      </c>
      <c r="D14" s="42">
        <v>0</v>
      </c>
      <c r="E14" s="42">
        <v>0</v>
      </c>
      <c r="F14" s="45">
        <f t="shared" si="1"/>
        <v>0</v>
      </c>
      <c r="G14" s="42">
        <v>0</v>
      </c>
      <c r="H14" s="49">
        <f t="shared" si="0"/>
        <v>0</v>
      </c>
      <c r="N14" s="602"/>
    </row>
    <row r="15" spans="1:14" s="89" customFormat="1">
      <c r="A15" s="93" t="s">
        <v>28</v>
      </c>
      <c r="B15" s="42">
        <v>0</v>
      </c>
      <c r="C15" s="42">
        <v>0</v>
      </c>
      <c r="D15" s="42">
        <v>0</v>
      </c>
      <c r="E15" s="42">
        <v>0</v>
      </c>
      <c r="F15" s="45">
        <f t="shared" si="1"/>
        <v>0</v>
      </c>
      <c r="G15" s="42">
        <v>0</v>
      </c>
      <c r="H15" s="49">
        <f t="shared" si="0"/>
        <v>0</v>
      </c>
      <c r="N15" s="602"/>
    </row>
    <row r="16" spans="1:14" s="89" customFormat="1">
      <c r="A16" s="95" t="s">
        <v>9</v>
      </c>
      <c r="B16" s="46">
        <f t="shared" ref="B16:G16" si="2">SUM(B8:B15)</f>
        <v>0</v>
      </c>
      <c r="C16" s="46">
        <f t="shared" si="2"/>
        <v>0</v>
      </c>
      <c r="D16" s="46">
        <f t="shared" si="2"/>
        <v>0</v>
      </c>
      <c r="E16" s="46">
        <f t="shared" si="2"/>
        <v>0</v>
      </c>
      <c r="F16" s="46">
        <f t="shared" si="2"/>
        <v>0</v>
      </c>
      <c r="G16" s="46">
        <f t="shared" si="2"/>
        <v>0</v>
      </c>
      <c r="H16" s="695">
        <f t="shared" si="0"/>
        <v>0</v>
      </c>
      <c r="N16" s="602"/>
    </row>
    <row r="17" spans="1:14" s="89" customFormat="1">
      <c r="A17" s="26" t="s">
        <v>19</v>
      </c>
      <c r="B17" s="42"/>
      <c r="C17" s="50"/>
      <c r="D17" s="50"/>
      <c r="E17" s="60"/>
      <c r="F17" s="42"/>
      <c r="G17" s="42"/>
      <c r="H17" s="48"/>
      <c r="N17" s="602"/>
    </row>
    <row r="18" spans="1:14" s="89" customFormat="1">
      <c r="A18" s="96" t="s">
        <v>280</v>
      </c>
      <c r="B18" s="42">
        <v>0</v>
      </c>
      <c r="C18" s="42">
        <f>582821+665000+50000</f>
        <v>1297821</v>
      </c>
      <c r="D18" s="42">
        <v>0</v>
      </c>
      <c r="E18" s="42">
        <v>1297821</v>
      </c>
      <c r="F18" s="45">
        <f t="shared" ref="F18:F25" si="3">E18-C18</f>
        <v>0</v>
      </c>
      <c r="G18" s="42">
        <v>0</v>
      </c>
      <c r="H18" s="49">
        <f t="shared" ref="H18:H25" si="4">G18-C18</f>
        <v>-1297821</v>
      </c>
      <c r="N18" s="602"/>
    </row>
    <row r="19" spans="1:14" s="89" customFormat="1">
      <c r="A19" s="96" t="s">
        <v>40</v>
      </c>
      <c r="B19" s="42">
        <v>0</v>
      </c>
      <c r="C19" s="42">
        <v>0</v>
      </c>
      <c r="D19" s="42">
        <v>0</v>
      </c>
      <c r="E19" s="60">
        <v>0</v>
      </c>
      <c r="F19" s="45">
        <f t="shared" si="3"/>
        <v>0</v>
      </c>
      <c r="G19" s="42">
        <v>0</v>
      </c>
      <c r="H19" s="49">
        <f t="shared" si="4"/>
        <v>0</v>
      </c>
      <c r="N19" s="602"/>
    </row>
    <row r="20" spans="1:14" s="89" customFormat="1">
      <c r="A20" s="96" t="s">
        <v>41</v>
      </c>
      <c r="B20" s="42">
        <v>0</v>
      </c>
      <c r="C20" s="42">
        <v>0</v>
      </c>
      <c r="D20" s="42">
        <v>0</v>
      </c>
      <c r="E20" s="60">
        <v>0</v>
      </c>
      <c r="F20" s="45">
        <f t="shared" si="3"/>
        <v>0</v>
      </c>
      <c r="G20" s="42">
        <v>0</v>
      </c>
      <c r="H20" s="49">
        <f t="shared" si="4"/>
        <v>0</v>
      </c>
      <c r="N20" s="602"/>
    </row>
    <row r="21" spans="1:14" s="89" customFormat="1">
      <c r="A21" s="96" t="s">
        <v>42</v>
      </c>
      <c r="B21" s="42">
        <v>0</v>
      </c>
      <c r="C21" s="42">
        <v>0</v>
      </c>
      <c r="D21" s="42">
        <v>0</v>
      </c>
      <c r="E21" s="60">
        <v>0</v>
      </c>
      <c r="F21" s="45">
        <f t="shared" si="3"/>
        <v>0</v>
      </c>
      <c r="G21" s="42">
        <v>0</v>
      </c>
      <c r="H21" s="49">
        <f t="shared" si="4"/>
        <v>0</v>
      </c>
      <c r="N21" s="602"/>
    </row>
    <row r="22" spans="1:14" s="89" customFormat="1">
      <c r="A22" s="96" t="s">
        <v>43</v>
      </c>
      <c r="B22" s="42">
        <v>0</v>
      </c>
      <c r="C22" s="42">
        <v>0</v>
      </c>
      <c r="D22" s="42">
        <v>0</v>
      </c>
      <c r="E22" s="60">
        <v>0</v>
      </c>
      <c r="F22" s="45">
        <f t="shared" si="3"/>
        <v>0</v>
      </c>
      <c r="G22" s="42">
        <v>0</v>
      </c>
      <c r="H22" s="49">
        <f t="shared" si="4"/>
        <v>0</v>
      </c>
      <c r="N22" s="602"/>
    </row>
    <row r="23" spans="1:14" s="89" customFormat="1">
      <c r="A23" s="97" t="s">
        <v>44</v>
      </c>
      <c r="B23" s="42">
        <v>0</v>
      </c>
      <c r="C23" s="42">
        <v>0</v>
      </c>
      <c r="D23" s="42">
        <v>0</v>
      </c>
      <c r="E23" s="60">
        <v>0</v>
      </c>
      <c r="F23" s="45">
        <f t="shared" si="3"/>
        <v>0</v>
      </c>
      <c r="G23" s="42">
        <v>0</v>
      </c>
      <c r="H23" s="49">
        <f t="shared" si="4"/>
        <v>0</v>
      </c>
      <c r="N23" s="602"/>
    </row>
    <row r="24" spans="1:14" s="89" customFormat="1">
      <c r="A24" s="66" t="s">
        <v>45</v>
      </c>
      <c r="B24" s="42">
        <v>0</v>
      </c>
      <c r="C24" s="42">
        <v>0</v>
      </c>
      <c r="D24" s="42">
        <v>0</v>
      </c>
      <c r="E24" s="60">
        <v>0</v>
      </c>
      <c r="F24" s="45">
        <f t="shared" si="3"/>
        <v>0</v>
      </c>
      <c r="G24" s="42">
        <v>0</v>
      </c>
      <c r="H24" s="49">
        <f t="shared" si="4"/>
        <v>0</v>
      </c>
      <c r="N24" s="602"/>
    </row>
    <row r="25" spans="1:14" s="89" customFormat="1">
      <c r="A25" s="66" t="s">
        <v>29</v>
      </c>
      <c r="B25" s="42">
        <v>0</v>
      </c>
      <c r="C25" s="42">
        <v>0</v>
      </c>
      <c r="D25" s="42">
        <v>0</v>
      </c>
      <c r="E25" s="60">
        <v>0</v>
      </c>
      <c r="F25" s="45">
        <f t="shared" si="3"/>
        <v>0</v>
      </c>
      <c r="G25" s="42">
        <v>0</v>
      </c>
      <c r="H25" s="49">
        <f t="shared" si="4"/>
        <v>0</v>
      </c>
      <c r="N25" s="602"/>
    </row>
    <row r="26" spans="1:14" s="89" customFormat="1">
      <c r="A26" s="26" t="s">
        <v>20</v>
      </c>
      <c r="B26" s="28">
        <f t="shared" ref="B26:G26" si="5">SUM(B18:B25)</f>
        <v>0</v>
      </c>
      <c r="C26" s="28">
        <f t="shared" si="5"/>
        <v>1297821</v>
      </c>
      <c r="D26" s="28">
        <f t="shared" si="5"/>
        <v>0</v>
      </c>
      <c r="E26" s="28">
        <f t="shared" si="5"/>
        <v>1297821</v>
      </c>
      <c r="F26" s="28">
        <f t="shared" si="5"/>
        <v>0</v>
      </c>
      <c r="G26" s="28">
        <f t="shared" si="5"/>
        <v>0</v>
      </c>
      <c r="H26" s="48">
        <f>G26-C26</f>
        <v>-1297821</v>
      </c>
      <c r="N26" s="602"/>
    </row>
    <row r="27" spans="1:14" s="89" customFormat="1" ht="13.5" thickBot="1">
      <c r="A27" s="642" t="s">
        <v>21</v>
      </c>
      <c r="B27" s="643">
        <f t="shared" ref="B27:G27" si="6">B16+B26</f>
        <v>0</v>
      </c>
      <c r="C27" s="643">
        <f t="shared" si="6"/>
        <v>1297821</v>
      </c>
      <c r="D27" s="643">
        <f t="shared" si="6"/>
        <v>0</v>
      </c>
      <c r="E27" s="643">
        <f t="shared" si="6"/>
        <v>1297821</v>
      </c>
      <c r="F27" s="643">
        <f t="shared" si="6"/>
        <v>0</v>
      </c>
      <c r="G27" s="643">
        <f t="shared" si="6"/>
        <v>0</v>
      </c>
      <c r="H27" s="645">
        <f>G27-C27</f>
        <v>-1297821</v>
      </c>
      <c r="N27" s="602"/>
    </row>
    <row r="28" spans="1:14" s="89" customFormat="1" ht="13.5" thickTop="1">
      <c r="A28" s="88"/>
      <c r="B28" s="48"/>
      <c r="C28" s="48"/>
      <c r="D28" s="48"/>
      <c r="E28" s="62"/>
      <c r="F28" s="63"/>
      <c r="G28" s="48"/>
      <c r="H28" s="48"/>
      <c r="N28" s="602"/>
    </row>
    <row r="29" spans="1:14" s="89" customFormat="1">
      <c r="A29" s="644" t="s">
        <v>10</v>
      </c>
      <c r="B29" s="49"/>
      <c r="C29" s="48"/>
      <c r="D29" s="48"/>
      <c r="E29" s="62"/>
      <c r="F29" s="63"/>
      <c r="G29" s="49"/>
      <c r="H29" s="49"/>
      <c r="N29" s="602"/>
    </row>
    <row r="30" spans="1:14" s="89" customFormat="1">
      <c r="A30" s="93" t="s">
        <v>11</v>
      </c>
      <c r="B30" s="48">
        <v>0</v>
      </c>
      <c r="C30" s="50">
        <v>0</v>
      </c>
      <c r="D30" s="50">
        <v>0</v>
      </c>
      <c r="E30" s="50">
        <v>0</v>
      </c>
      <c r="F30" s="45">
        <f>C30-E30</f>
        <v>0</v>
      </c>
      <c r="G30" s="48">
        <v>0</v>
      </c>
      <c r="H30" s="49">
        <f>C30-G30</f>
        <v>0</v>
      </c>
      <c r="N30" s="602"/>
    </row>
    <row r="31" spans="1:14" s="89" customFormat="1">
      <c r="A31" s="93" t="s">
        <v>12</v>
      </c>
      <c r="B31" s="48">
        <v>0</v>
      </c>
      <c r="C31" s="50">
        <v>0</v>
      </c>
      <c r="D31" s="50">
        <v>0</v>
      </c>
      <c r="E31" s="50">
        <v>0</v>
      </c>
      <c r="F31" s="45">
        <f t="shared" ref="F31:F36" si="7">C31-E31</f>
        <v>0</v>
      </c>
      <c r="G31" s="48">
        <v>0</v>
      </c>
      <c r="H31" s="49">
        <f t="shared" ref="H31:H36" si="8">C31-G31</f>
        <v>0</v>
      </c>
      <c r="N31" s="602">
        <v>157000</v>
      </c>
    </row>
    <row r="32" spans="1:14" s="89" customFormat="1">
      <c r="A32" s="93" t="s">
        <v>13</v>
      </c>
      <c r="B32" s="48">
        <v>0</v>
      </c>
      <c r="C32" s="50">
        <v>0</v>
      </c>
      <c r="D32" s="50">
        <v>0</v>
      </c>
      <c r="E32" s="50">
        <v>0</v>
      </c>
      <c r="F32" s="45">
        <f t="shared" si="7"/>
        <v>0</v>
      </c>
      <c r="G32" s="48">
        <v>0</v>
      </c>
      <c r="H32" s="49">
        <f t="shared" si="8"/>
        <v>0</v>
      </c>
      <c r="N32" s="702">
        <v>134000</v>
      </c>
    </row>
    <row r="33" spans="1:14" s="89" customFormat="1" ht="13.5" thickBot="1">
      <c r="A33" s="93" t="s">
        <v>14</v>
      </c>
      <c r="B33" s="48">
        <v>0</v>
      </c>
      <c r="C33" s="50">
        <v>0</v>
      </c>
      <c r="D33" s="50">
        <v>0</v>
      </c>
      <c r="E33" s="50">
        <v>0</v>
      </c>
      <c r="F33" s="45">
        <f t="shared" si="7"/>
        <v>0</v>
      </c>
      <c r="G33" s="48">
        <v>0</v>
      </c>
      <c r="H33" s="49">
        <f t="shared" si="8"/>
        <v>0</v>
      </c>
      <c r="N33" s="703">
        <f>SUM(N31:N32)</f>
        <v>291000</v>
      </c>
    </row>
    <row r="34" spans="1:14" s="89" customFormat="1" ht="13.5" thickTop="1">
      <c r="A34" s="93" t="s">
        <v>26</v>
      </c>
      <c r="B34" s="48">
        <v>0</v>
      </c>
      <c r="C34" s="50">
        <v>0</v>
      </c>
      <c r="D34" s="50">
        <v>0</v>
      </c>
      <c r="E34" s="50">
        <v>0</v>
      </c>
      <c r="F34" s="45">
        <f t="shared" si="7"/>
        <v>0</v>
      </c>
      <c r="G34" s="48">
        <v>0</v>
      </c>
      <c r="H34" s="49">
        <f t="shared" si="8"/>
        <v>0</v>
      </c>
      <c r="N34" s="88"/>
    </row>
    <row r="35" spans="1:14" s="89" customFormat="1" hidden="1">
      <c r="A35" s="93" t="s">
        <v>15</v>
      </c>
      <c r="B35" s="48">
        <v>0</v>
      </c>
      <c r="C35" s="50">
        <v>0</v>
      </c>
      <c r="D35" s="50">
        <v>0</v>
      </c>
      <c r="E35" s="50">
        <v>0</v>
      </c>
      <c r="F35" s="45">
        <f t="shared" si="7"/>
        <v>0</v>
      </c>
      <c r="G35" s="48">
        <v>0</v>
      </c>
      <c r="H35" s="49">
        <f t="shared" si="8"/>
        <v>0</v>
      </c>
    </row>
    <row r="36" spans="1:14" s="89" customFormat="1" hidden="1">
      <c r="A36" s="93" t="s">
        <v>16</v>
      </c>
      <c r="B36" s="48">
        <v>0</v>
      </c>
      <c r="C36" s="48">
        <f>582821+665000</f>
        <v>1247821</v>
      </c>
      <c r="D36" s="48">
        <v>0</v>
      </c>
      <c r="E36" s="48">
        <v>0</v>
      </c>
      <c r="F36" s="45">
        <f t="shared" si="7"/>
        <v>1247821</v>
      </c>
      <c r="G36" s="48">
        <v>0</v>
      </c>
      <c r="H36" s="49">
        <f t="shared" si="8"/>
        <v>1247821</v>
      </c>
    </row>
    <row r="37" spans="1:14" s="89" customFormat="1" hidden="1">
      <c r="A37" s="95" t="s">
        <v>22</v>
      </c>
      <c r="B37" s="46">
        <f t="shared" ref="B37:G37" si="9">SUM(B30:B36)</f>
        <v>0</v>
      </c>
      <c r="C37" s="46">
        <f t="shared" si="9"/>
        <v>1247821</v>
      </c>
      <c r="D37" s="46">
        <f t="shared" si="9"/>
        <v>0</v>
      </c>
      <c r="E37" s="46">
        <f t="shared" si="9"/>
        <v>0</v>
      </c>
      <c r="F37" s="46">
        <f t="shared" si="9"/>
        <v>1247821</v>
      </c>
      <c r="G37" s="46">
        <f t="shared" si="9"/>
        <v>0</v>
      </c>
      <c r="H37" s="695">
        <f>C37-G37</f>
        <v>1247821</v>
      </c>
    </row>
    <row r="38" spans="1:14" s="89" customFormat="1">
      <c r="A38" s="26" t="s">
        <v>23</v>
      </c>
      <c r="B38" s="50"/>
      <c r="C38" s="50"/>
      <c r="D38" s="50"/>
      <c r="E38" s="60"/>
      <c r="F38" s="50"/>
      <c r="G38" s="50"/>
      <c r="H38" s="48"/>
    </row>
    <row r="39" spans="1:14" s="89" customFormat="1">
      <c r="A39" s="96"/>
      <c r="B39" s="50"/>
      <c r="C39" s="50"/>
      <c r="D39" s="50"/>
      <c r="E39" s="60"/>
      <c r="F39" s="50"/>
      <c r="G39" s="50"/>
      <c r="H39" s="49"/>
    </row>
    <row r="40" spans="1:14">
      <c r="A40" s="41" t="s">
        <v>38</v>
      </c>
      <c r="B40" s="13">
        <v>0</v>
      </c>
      <c r="C40" s="13">
        <v>0</v>
      </c>
      <c r="D40" s="13">
        <v>0</v>
      </c>
      <c r="E40" s="14">
        <v>0</v>
      </c>
      <c r="F40" s="17">
        <f>C40-E40</f>
        <v>0</v>
      </c>
      <c r="G40" s="13">
        <v>0</v>
      </c>
      <c r="H40" s="9">
        <f>C40-G40</f>
        <v>0</v>
      </c>
    </row>
    <row r="41" spans="1:14">
      <c r="A41" s="41" t="s">
        <v>283</v>
      </c>
      <c r="B41" s="13">
        <v>0</v>
      </c>
      <c r="C41" s="13">
        <v>50000</v>
      </c>
      <c r="D41" s="13">
        <v>1227231</v>
      </c>
      <c r="E41" s="213">
        <v>1297821</v>
      </c>
      <c r="F41" s="17">
        <f>C41-E41</f>
        <v>-1247821</v>
      </c>
      <c r="G41" s="13">
        <v>0</v>
      </c>
      <c r="H41" s="9">
        <f>C41-G41</f>
        <v>50000</v>
      </c>
      <c r="I41" s="16" t="s">
        <v>191</v>
      </c>
    </row>
    <row r="42" spans="1:14">
      <c r="A42" s="41"/>
      <c r="B42" s="13"/>
      <c r="C42" s="13"/>
      <c r="D42" s="13"/>
      <c r="E42" s="14" t="s">
        <v>58</v>
      </c>
      <c r="F42" s="13"/>
      <c r="G42" s="13"/>
      <c r="H42" s="10"/>
    </row>
    <row r="43" spans="1:14">
      <c r="A43" s="37" t="s">
        <v>24</v>
      </c>
      <c r="B43" s="38">
        <f t="shared" ref="B43:G43" si="10">SUM(B39:B42)</f>
        <v>0</v>
      </c>
      <c r="C43" s="38">
        <f t="shared" si="10"/>
        <v>50000</v>
      </c>
      <c r="D43" s="38">
        <f t="shared" si="10"/>
        <v>1227231</v>
      </c>
      <c r="E43" s="38">
        <f t="shared" si="10"/>
        <v>1297821</v>
      </c>
      <c r="F43" s="38">
        <f t="shared" si="10"/>
        <v>-1247821</v>
      </c>
      <c r="G43" s="38">
        <f t="shared" si="10"/>
        <v>0</v>
      </c>
      <c r="H43" s="40">
        <f>C43-G43</f>
        <v>50000</v>
      </c>
    </row>
    <row r="44" spans="1:14" ht="12.75" customHeight="1" thickBot="1">
      <c r="A44" s="55" t="s">
        <v>25</v>
      </c>
      <c r="B44" s="59">
        <f t="shared" ref="B44:G44" si="11">B37+B43</f>
        <v>0</v>
      </c>
      <c r="C44" s="59">
        <f t="shared" si="11"/>
        <v>1297821</v>
      </c>
      <c r="D44" s="59">
        <f t="shared" si="11"/>
        <v>1227231</v>
      </c>
      <c r="E44" s="59">
        <f t="shared" si="11"/>
        <v>1297821</v>
      </c>
      <c r="F44" s="59">
        <f t="shared" si="11"/>
        <v>0</v>
      </c>
      <c r="G44" s="59">
        <f t="shared" si="11"/>
        <v>0</v>
      </c>
      <c r="H44" s="56">
        <f>C44-G44</f>
        <v>1297821</v>
      </c>
    </row>
    <row r="45" spans="1:14" ht="13.5" thickTop="1">
      <c r="A45" s="26" t="s">
        <v>17</v>
      </c>
      <c r="B45" s="202">
        <f t="shared" ref="B45:G45" si="12">B27-B44</f>
        <v>0</v>
      </c>
      <c r="C45" s="202">
        <f t="shared" si="12"/>
        <v>0</v>
      </c>
      <c r="D45" s="263">
        <f t="shared" si="12"/>
        <v>-1227231</v>
      </c>
      <c r="E45" s="202">
        <f t="shared" si="12"/>
        <v>0</v>
      </c>
      <c r="F45" s="202" t="s">
        <v>58</v>
      </c>
      <c r="G45" s="202">
        <f t="shared" si="12"/>
        <v>0</v>
      </c>
    </row>
    <row r="46" spans="1:14" ht="12.75" customHeight="1">
      <c r="A46" s="26" t="s">
        <v>90</v>
      </c>
      <c r="B46" s="26" t="s">
        <v>97</v>
      </c>
      <c r="C46" s="28"/>
      <c r="D46" s="28"/>
      <c r="E46" s="29"/>
      <c r="F46" s="28"/>
      <c r="G46" s="2"/>
    </row>
    <row r="47" spans="1:14" ht="12.75" customHeight="1" thickBot="1">
      <c r="A47" s="30" t="s">
        <v>18</v>
      </c>
      <c r="B47" s="30"/>
      <c r="C47" s="264" t="s">
        <v>291</v>
      </c>
      <c r="D47" s="264"/>
      <c r="F47" s="32"/>
    </row>
    <row r="48" spans="1:14" ht="12.75" customHeight="1">
      <c r="A48" s="30" t="s">
        <v>202</v>
      </c>
      <c r="B48" s="30"/>
      <c r="C48" s="264" t="s">
        <v>292</v>
      </c>
      <c r="D48" s="265"/>
      <c r="E48" s="191" t="s">
        <v>189</v>
      </c>
      <c r="F48" s="163" t="s">
        <v>205</v>
      </c>
      <c r="G48" s="163" t="s">
        <v>190</v>
      </c>
      <c r="H48" s="222"/>
    </row>
    <row r="49" spans="1:10" ht="12.75" customHeight="1">
      <c r="A49" s="16" t="s">
        <v>174</v>
      </c>
      <c r="C49" s="264" t="s">
        <v>295</v>
      </c>
      <c r="D49" s="265"/>
      <c r="E49" s="210">
        <v>0</v>
      </c>
      <c r="F49" s="218">
        <v>7201</v>
      </c>
      <c r="G49" s="51" t="s">
        <v>209</v>
      </c>
      <c r="H49" s="119" t="s">
        <v>98</v>
      </c>
      <c r="I49" s="215" t="s">
        <v>204</v>
      </c>
      <c r="J49" s="221">
        <v>40704</v>
      </c>
    </row>
    <row r="50" spans="1:10" ht="12.75" customHeight="1">
      <c r="A50" s="33" t="s">
        <v>175</v>
      </c>
      <c r="B50" s="33"/>
      <c r="C50" s="264" t="s">
        <v>293</v>
      </c>
      <c r="D50" s="265"/>
      <c r="E50" s="211">
        <v>0</v>
      </c>
      <c r="F50" s="219">
        <v>7305</v>
      </c>
      <c r="G50" s="111" t="s">
        <v>210</v>
      </c>
      <c r="H50" s="119" t="s">
        <v>100</v>
      </c>
      <c r="I50" s="2"/>
    </row>
    <row r="51" spans="1:10" ht="12.75" customHeight="1">
      <c r="D51" s="2"/>
      <c r="E51" s="212">
        <v>0</v>
      </c>
      <c r="F51" s="219">
        <v>7101</v>
      </c>
      <c r="G51" s="111">
        <v>0</v>
      </c>
      <c r="H51" s="119" t="s">
        <v>99</v>
      </c>
      <c r="I51" s="2"/>
    </row>
    <row r="52" spans="1:10" ht="12.75" customHeight="1" thickBot="1">
      <c r="E52" s="124">
        <f>SUM(E49:E51)</f>
        <v>0</v>
      </c>
      <c r="F52" s="112"/>
      <c r="G52" s="112">
        <f>SUM(G49:G51)</f>
        <v>0</v>
      </c>
      <c r="H52" s="126"/>
      <c r="I52" s="2"/>
    </row>
    <row r="53" spans="1:10" ht="12.75" customHeight="1" thickTop="1">
      <c r="E53" s="1"/>
      <c r="H53" s="2"/>
      <c r="I53" s="2"/>
    </row>
    <row r="54" spans="1:10" ht="12.75" customHeight="1">
      <c r="E54" s="1"/>
      <c r="I54" s="2"/>
    </row>
    <row r="55" spans="1:10" ht="12.75" customHeight="1">
      <c r="F55" s="32"/>
    </row>
    <row r="56" spans="1:10" ht="12.75" customHeight="1">
      <c r="F56" s="32"/>
    </row>
    <row r="57" spans="1:10" ht="12.75" customHeight="1">
      <c r="F57" s="32"/>
    </row>
    <row r="58" spans="1:10" ht="12.75" customHeight="1">
      <c r="F58" s="32"/>
    </row>
    <row r="59" spans="1:10" ht="12.75" customHeight="1">
      <c r="F59" s="32"/>
    </row>
    <row r="60" spans="1:10" ht="12.75" customHeight="1">
      <c r="F60" s="32"/>
    </row>
    <row r="61" spans="1:10" ht="12.75" customHeight="1">
      <c r="F61" s="32"/>
    </row>
    <row r="62" spans="1:10" ht="12.75" customHeight="1">
      <c r="F62" s="32"/>
    </row>
    <row r="63" spans="1:10" ht="12.75" customHeight="1">
      <c r="F63" s="32"/>
    </row>
    <row r="64" spans="1:10" ht="12.75" customHeight="1">
      <c r="F64" s="32"/>
    </row>
    <row r="65" spans="6:6" ht="12.75" customHeight="1">
      <c r="F65" s="32"/>
    </row>
    <row r="66" spans="6:6" ht="12.75" customHeight="1">
      <c r="F66" s="32"/>
    </row>
    <row r="67" spans="6:6" ht="12.75" customHeight="1">
      <c r="F67" s="32"/>
    </row>
    <row r="68" spans="6:6" ht="12.75" customHeight="1">
      <c r="F68" s="32"/>
    </row>
    <row r="69" spans="6:6" ht="12.75" customHeight="1">
      <c r="F69" s="32"/>
    </row>
    <row r="70" spans="6:6" ht="12.75" customHeight="1">
      <c r="F70" s="32"/>
    </row>
    <row r="71" spans="6:6" ht="12.75" customHeight="1">
      <c r="F71" s="32"/>
    </row>
    <row r="72" spans="6:6" ht="12.75" customHeight="1">
      <c r="F72" s="32"/>
    </row>
    <row r="73" spans="6:6" ht="12.75" customHeight="1">
      <c r="F73" s="32"/>
    </row>
    <row r="74" spans="6:6" ht="12.75" customHeight="1">
      <c r="F74" s="32"/>
    </row>
    <row r="75" spans="6:6" ht="12.75" customHeight="1">
      <c r="F75" s="32"/>
    </row>
    <row r="76" spans="6:6" ht="12.75" customHeight="1">
      <c r="F76" s="32"/>
    </row>
    <row r="77" spans="6:6" ht="12.75" customHeight="1">
      <c r="F77" s="32"/>
    </row>
    <row r="78" spans="6:6" ht="12.75" customHeight="1">
      <c r="F78" s="32"/>
    </row>
    <row r="79" spans="6:6" ht="12.75" customHeight="1">
      <c r="F79" s="32"/>
    </row>
    <row r="80" spans="6:6" ht="12.75" customHeight="1">
      <c r="F80" s="32"/>
    </row>
    <row r="81" spans="6:6" ht="12.75" customHeight="1">
      <c r="F81" s="32"/>
    </row>
    <row r="82" spans="6:6" ht="12.75" customHeight="1">
      <c r="F82" s="32"/>
    </row>
    <row r="83" spans="6:6" ht="12.75" customHeight="1">
      <c r="F83" s="32"/>
    </row>
    <row r="84" spans="6:6" ht="12.75" customHeight="1">
      <c r="F84" s="34"/>
    </row>
    <row r="85" spans="6:6" ht="12.75" customHeight="1">
      <c r="F85" s="34"/>
    </row>
    <row r="86" spans="6:6" ht="12.75" customHeight="1">
      <c r="F86" s="34"/>
    </row>
    <row r="87" spans="6:6" ht="12.75" customHeight="1">
      <c r="F87" s="34"/>
    </row>
    <row r="88" spans="6:6" ht="12.75" customHeight="1">
      <c r="F88" s="34"/>
    </row>
    <row r="89" spans="6:6" ht="12.75" customHeight="1">
      <c r="F89" s="34"/>
    </row>
    <row r="90" spans="6:6" ht="12.75" customHeight="1">
      <c r="F90" s="34"/>
    </row>
    <row r="91" spans="6:6" ht="12.75" customHeight="1">
      <c r="F91" s="34"/>
    </row>
    <row r="92" spans="6:6" ht="12.75" customHeight="1">
      <c r="F92" s="34"/>
    </row>
    <row r="93" spans="6:6" ht="12.75" customHeight="1">
      <c r="F93" s="34"/>
    </row>
    <row r="94" spans="6:6" ht="12.75" customHeight="1">
      <c r="F94" s="34"/>
    </row>
    <row r="95" spans="6:6" ht="12.75" customHeight="1">
      <c r="F95" s="34"/>
    </row>
    <row r="96" spans="6:6" ht="12.75" customHeight="1">
      <c r="F96" s="34"/>
    </row>
    <row r="97" spans="6:6" ht="12.75" customHeight="1">
      <c r="F97" s="34"/>
    </row>
    <row r="98" spans="6:6" ht="12.75" customHeight="1">
      <c r="F98" s="34"/>
    </row>
    <row r="99" spans="6:6" ht="12.75" customHeight="1">
      <c r="F99" s="34"/>
    </row>
    <row r="100" spans="6:6" ht="12.75" customHeight="1">
      <c r="F100" s="34"/>
    </row>
    <row r="101" spans="6:6" ht="12.75" customHeight="1">
      <c r="F101" s="34"/>
    </row>
    <row r="102" spans="6:6" ht="12.75" customHeight="1">
      <c r="F102" s="34"/>
    </row>
    <row r="103" spans="6:6" ht="12.75" customHeight="1">
      <c r="F103" s="34"/>
    </row>
    <row r="104" spans="6:6" ht="12.75" customHeight="1">
      <c r="F104" s="34"/>
    </row>
    <row r="105" spans="6:6" ht="12.75" customHeight="1">
      <c r="F105" s="34"/>
    </row>
    <row r="106" spans="6:6" ht="12.75" customHeight="1">
      <c r="F106" s="34"/>
    </row>
    <row r="107" spans="6:6" ht="12.75" customHeight="1">
      <c r="F107" s="34"/>
    </row>
    <row r="108" spans="6:6" ht="12.75" customHeight="1">
      <c r="F108" s="34"/>
    </row>
    <row r="109" spans="6:6" ht="12.75" customHeight="1">
      <c r="F109" s="34"/>
    </row>
    <row r="110" spans="6:6" ht="12.75" customHeight="1">
      <c r="F110" s="34"/>
    </row>
    <row r="111" spans="6:6" ht="12.75" customHeight="1">
      <c r="F111" s="34"/>
    </row>
    <row r="112" spans="6:6" ht="12.75" customHeight="1">
      <c r="F112" s="34"/>
    </row>
    <row r="113" spans="6:6" ht="12.75" customHeight="1">
      <c r="F113" s="34"/>
    </row>
    <row r="114" spans="6:6" ht="12.75" customHeight="1">
      <c r="F114" s="34"/>
    </row>
    <row r="115" spans="6:6" ht="12.75" customHeight="1">
      <c r="F115" s="34"/>
    </row>
    <row r="116" spans="6:6" ht="12.75" customHeight="1">
      <c r="F116" s="34"/>
    </row>
    <row r="117" spans="6:6" ht="12.75" customHeight="1">
      <c r="F117" s="34"/>
    </row>
    <row r="118" spans="6:6" ht="12.75" customHeight="1">
      <c r="F118" s="34"/>
    </row>
    <row r="119" spans="6:6" ht="12.75" customHeight="1">
      <c r="F119" s="34"/>
    </row>
    <row r="120" spans="6:6" ht="12.75" customHeight="1">
      <c r="F120" s="34"/>
    </row>
    <row r="121" spans="6:6" ht="12.75" customHeight="1">
      <c r="F121" s="34"/>
    </row>
    <row r="122" spans="6:6" ht="12.75" customHeight="1">
      <c r="F122" s="34"/>
    </row>
    <row r="123" spans="6:6" ht="12.75" customHeight="1">
      <c r="F123" s="34"/>
    </row>
    <row r="124" spans="6:6" ht="12.75" customHeight="1">
      <c r="F124" s="34"/>
    </row>
    <row r="125" spans="6:6" ht="12.75" customHeight="1">
      <c r="F125" s="34"/>
    </row>
    <row r="126" spans="6:6" ht="12.75" customHeight="1">
      <c r="F126" s="34"/>
    </row>
  </sheetData>
  <customSheetViews>
    <customSheetView guid="{C8E99144-FF29-42D8-8D33-2038AA9D760E}" scale="75" showPageBreaks="1" fitToPage="1" view="pageBreakPreview" showRuler="0">
      <pane xSplit="1" ySplit="4" topLeftCell="B5" activePane="bottomRight" state="frozen"/>
      <selection pane="bottomRight" activeCell="E40" sqref="E40"/>
      <pageMargins left="0.75" right="0.75" top="0.57999999999999996" bottom="0.56000000000000005" header="0.5" footer="0.5"/>
      <pageSetup scale="65" orientation="landscape" horizontalDpi="300" verticalDpi="300" r:id="rId1"/>
      <headerFooter alignWithMargins="0"/>
    </customSheetView>
    <customSheetView guid="{6F41311F-2270-450A-A26B-FA887A989CC9}" showPageBreaks="1" fitToPage="1" printArea="1" view="pageBreakPreview" showRuler="0">
      <selection activeCell="E21" sqref="E21"/>
      <pageMargins left="0.75" right="0.75" top="1" bottom="1" header="0.5" footer="0.5"/>
      <pageSetup scale="80" orientation="landscape" horizontalDpi="300" verticalDpi="300" r:id="rId2"/>
      <headerFooter alignWithMargins="0"/>
    </customSheetView>
    <customSheetView guid="{9456C1E9-89BB-4E93-9AFD-5A49DBF97574}" scale="80" showPageBreaks="1" fitToPage="1" printArea="1" hiddenColumns="1" view="pageBreakPreview" showRuler="0">
      <selection activeCell="H36" sqref="H36"/>
      <pageMargins left="0.75" right="0.75" top="1" bottom="1" header="0.5" footer="0.5"/>
      <pageSetup scale="83" orientation="landscape" horizontalDpi="300" verticalDpi="300" r:id="rId3"/>
      <headerFooter alignWithMargins="0"/>
    </customSheetView>
    <customSheetView guid="{7FD41845-6BD4-448F-810C-049EFA55EC1B}" scale="75" showPageBreaks="1" fitToPage="1" view="pageBreakPreview" showRuler="0">
      <pane xSplit="1" ySplit="4" topLeftCell="B32" activePane="bottomRight" state="frozen"/>
      <selection pane="bottomRight" activeCell="I27" sqref="I27"/>
      <pageMargins left="0.75" right="0.75" top="0.57999999999999996" bottom="0.56000000000000005" header="0.5" footer="0.5"/>
      <pageSetup scale="65" orientation="landscape" r:id="rId4"/>
      <headerFooter alignWithMargins="0"/>
    </customSheetView>
    <customSheetView guid="{8B0AB125-4209-45BF-9ABD-74BE01FD7C48}" scale="75" showPageBreaks="1" fitToPage="1" view="pageBreakPreview" showRuler="0">
      <pane xSplit="1" ySplit="4" topLeftCell="B26" activePane="bottomRight" state="frozen"/>
      <selection pane="bottomRight" activeCell="H48" sqref="H48"/>
      <pageMargins left="0.75" right="0.75" top="0.57999999999999996" bottom="0.56000000000000005" header="0.5" footer="0.5"/>
      <pageSetup scale="65" orientation="landscape" r:id="rId5"/>
      <headerFooter alignWithMargins="0"/>
    </customSheetView>
  </customSheetViews>
  <mergeCells count="3">
    <mergeCell ref="A1:H1"/>
    <mergeCell ref="A2:G2"/>
    <mergeCell ref="B3:N3"/>
  </mergeCells>
  <phoneticPr fontId="0" type="noConversion"/>
  <pageMargins left="0.75" right="0.75" top="0.57999999999999996" bottom="0.56000000000000005" header="0.5" footer="0.5"/>
  <pageSetup scale="78" orientation="landscape" r:id="rId6"/>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tabColor indexed="36"/>
  </sheetPr>
  <dimension ref="A1:N126"/>
  <sheetViews>
    <sheetView showGridLines="0" showRuler="0" view="pageBreakPreview" zoomScale="75" zoomScaleNormal="7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38.140625" style="1" hidden="1" customWidth="1"/>
    <col min="2" max="2" width="21.42578125" style="1" customWidth="1"/>
    <col min="3" max="3" width="13.85546875" style="1" customWidth="1"/>
    <col min="4" max="4" width="12.7109375" style="1" bestFit="1" customWidth="1"/>
    <col min="5" max="5" width="15.7109375" style="31" customWidth="1"/>
    <col min="6" max="6" width="13.28515625" style="1" customWidth="1"/>
    <col min="7" max="7" width="14.5703125" style="1" bestFit="1" customWidth="1"/>
    <col min="8" max="8" width="12.85546875" style="1" customWidth="1"/>
    <col min="9" max="9" width="18.7109375" style="1" customWidth="1"/>
    <col min="10" max="10" width="10.28515625" style="1" customWidth="1"/>
    <col min="11" max="13" width="6.85546875" style="1"/>
    <col min="14" max="14" width="8.140625" style="1" bestFit="1" customWidth="1"/>
    <col min="15" max="16384" width="6.85546875" style="1"/>
  </cols>
  <sheetData>
    <row r="1" spans="1:14" ht="44.25" hidden="1">
      <c r="A1" s="1742" t="s">
        <v>296</v>
      </c>
      <c r="B1" s="1742"/>
      <c r="C1" s="1742"/>
      <c r="D1" s="1742"/>
      <c r="E1" s="1742"/>
      <c r="F1" s="1742"/>
      <c r="G1" s="1742"/>
      <c r="H1" s="1742"/>
      <c r="N1" s="593" t="str">
        <f>PROPER(B1)</f>
        <v/>
      </c>
    </row>
    <row r="2" spans="1:14" ht="15" customHeight="1" thickBot="1">
      <c r="A2" s="1743" t="s">
        <v>318</v>
      </c>
      <c r="B2" s="1743"/>
      <c r="C2" s="1743"/>
      <c r="D2" s="1743"/>
      <c r="E2" s="1743"/>
      <c r="F2" s="1743"/>
      <c r="G2" s="1743"/>
      <c r="H2" s="167" t="s">
        <v>212</v>
      </c>
    </row>
    <row r="3" spans="1:14" ht="15" customHeight="1">
      <c r="A3" s="592"/>
      <c r="B3" s="1749" t="str">
        <f>PROPER(B1)</f>
        <v/>
      </c>
      <c r="C3" s="1749"/>
      <c r="D3" s="1749"/>
      <c r="E3" s="1749"/>
      <c r="F3" s="1749"/>
      <c r="G3" s="1749"/>
      <c r="H3" s="1749"/>
      <c r="I3" s="1749"/>
      <c r="J3" s="1749"/>
      <c r="K3" s="1749"/>
      <c r="L3" s="1749"/>
      <c r="M3" s="1749"/>
      <c r="N3" s="1749"/>
    </row>
    <row r="4" spans="1:14" ht="12.75" customHeight="1">
      <c r="A4" s="266" t="s">
        <v>211</v>
      </c>
      <c r="B4" s="86"/>
      <c r="C4" s="86" t="s">
        <v>64</v>
      </c>
      <c r="D4" s="91" t="s">
        <v>64</v>
      </c>
      <c r="E4" s="86"/>
      <c r="F4" s="91" t="s">
        <v>86</v>
      </c>
      <c r="G4" s="86"/>
      <c r="H4" s="91" t="s">
        <v>110</v>
      </c>
      <c r="I4" s="86"/>
    </row>
    <row r="5" spans="1:14" ht="39" thickBot="1">
      <c r="A5" s="3" t="s">
        <v>0</v>
      </c>
      <c r="B5" s="5" t="s">
        <v>314</v>
      </c>
      <c r="C5" s="4" t="s">
        <v>315</v>
      </c>
      <c r="D5" s="4" t="s">
        <v>217</v>
      </c>
      <c r="E5" s="5" t="s">
        <v>316</v>
      </c>
      <c r="F5" s="129" t="s">
        <v>1</v>
      </c>
      <c r="G5" s="5" t="s">
        <v>317</v>
      </c>
      <c r="H5" s="129" t="s">
        <v>1</v>
      </c>
    </row>
    <row r="6" spans="1:14">
      <c r="A6" s="110" t="s">
        <v>89</v>
      </c>
      <c r="B6" s="9"/>
      <c r="C6" s="2"/>
      <c r="D6" s="2"/>
      <c r="E6" s="7"/>
      <c r="F6" s="8"/>
      <c r="G6" s="9"/>
      <c r="H6" s="10"/>
    </row>
    <row r="7" spans="1:14">
      <c r="A7" s="11" t="s">
        <v>2</v>
      </c>
      <c r="B7" s="9"/>
      <c r="C7" s="12"/>
      <c r="D7" s="13"/>
      <c r="E7" s="14"/>
      <c r="F7" s="15"/>
      <c r="G7" s="9"/>
      <c r="H7" s="9"/>
    </row>
    <row r="8" spans="1:14">
      <c r="A8" s="16" t="s">
        <v>3</v>
      </c>
      <c r="B8" s="17">
        <v>0</v>
      </c>
      <c r="C8" s="12">
        <v>0</v>
      </c>
      <c r="D8" s="13">
        <v>0</v>
      </c>
      <c r="E8" s="14">
        <v>0</v>
      </c>
      <c r="F8" s="17">
        <f t="shared" ref="F8:F15" si="0">E8-C8</f>
        <v>0</v>
      </c>
      <c r="G8" s="17">
        <v>0</v>
      </c>
      <c r="H8" s="9">
        <f t="shared" ref="H8:H16" si="1">G8-C8</f>
        <v>0</v>
      </c>
    </row>
    <row r="9" spans="1:14">
      <c r="A9" s="16" t="s">
        <v>4</v>
      </c>
      <c r="B9" s="17">
        <v>0</v>
      </c>
      <c r="C9" s="17">
        <v>0</v>
      </c>
      <c r="D9" s="17">
        <v>0</v>
      </c>
      <c r="E9" s="17">
        <v>0</v>
      </c>
      <c r="F9" s="17">
        <f t="shared" si="0"/>
        <v>0</v>
      </c>
      <c r="G9" s="17">
        <v>0</v>
      </c>
      <c r="H9" s="9">
        <f t="shared" si="1"/>
        <v>0</v>
      </c>
      <c r="N9" s="601"/>
    </row>
    <row r="10" spans="1:14">
      <c r="A10" s="16" t="s">
        <v>5</v>
      </c>
      <c r="B10" s="17">
        <v>0</v>
      </c>
      <c r="C10" s="17">
        <v>0</v>
      </c>
      <c r="D10" s="17">
        <v>0</v>
      </c>
      <c r="E10" s="17">
        <v>0</v>
      </c>
      <c r="F10" s="17">
        <f t="shared" si="0"/>
        <v>0</v>
      </c>
      <c r="G10" s="17">
        <v>0</v>
      </c>
      <c r="H10" s="9">
        <f t="shared" si="1"/>
        <v>0</v>
      </c>
      <c r="N10" s="601"/>
    </row>
    <row r="11" spans="1:14">
      <c r="A11" s="16" t="s">
        <v>6</v>
      </c>
      <c r="B11" s="17">
        <v>0</v>
      </c>
      <c r="C11" s="17">
        <v>0</v>
      </c>
      <c r="D11" s="17">
        <v>0</v>
      </c>
      <c r="E11" s="17">
        <v>0</v>
      </c>
      <c r="F11" s="17">
        <f t="shared" si="0"/>
        <v>0</v>
      </c>
      <c r="G11" s="17">
        <v>0</v>
      </c>
      <c r="H11" s="9">
        <f t="shared" si="1"/>
        <v>0</v>
      </c>
      <c r="N11" s="601"/>
    </row>
    <row r="12" spans="1:14" s="89" customFormat="1">
      <c r="A12" s="66" t="s">
        <v>7</v>
      </c>
      <c r="B12" s="45">
        <v>0</v>
      </c>
      <c r="C12" s="45">
        <v>0</v>
      </c>
      <c r="D12" s="45">
        <v>0</v>
      </c>
      <c r="E12" s="45">
        <v>0</v>
      </c>
      <c r="F12" s="45">
        <f t="shared" si="0"/>
        <v>0</v>
      </c>
      <c r="G12" s="45">
        <v>0</v>
      </c>
      <c r="H12" s="49">
        <f t="shared" si="1"/>
        <v>0</v>
      </c>
      <c r="N12" s="602"/>
    </row>
    <row r="13" spans="1:14" s="89" customFormat="1">
      <c r="A13" s="93" t="s">
        <v>39</v>
      </c>
      <c r="B13" s="42">
        <v>0</v>
      </c>
      <c r="C13" s="42">
        <v>0</v>
      </c>
      <c r="D13" s="42">
        <v>0</v>
      </c>
      <c r="E13" s="42">
        <v>0</v>
      </c>
      <c r="F13" s="45">
        <f t="shared" si="0"/>
        <v>0</v>
      </c>
      <c r="G13" s="42">
        <v>0</v>
      </c>
      <c r="H13" s="49">
        <f t="shared" si="1"/>
        <v>0</v>
      </c>
      <c r="N13" s="602"/>
    </row>
    <row r="14" spans="1:14" s="89" customFormat="1">
      <c r="A14" s="93" t="s">
        <v>50</v>
      </c>
      <c r="B14" s="42">
        <v>0</v>
      </c>
      <c r="C14" s="42">
        <v>0</v>
      </c>
      <c r="D14" s="42">
        <v>0</v>
      </c>
      <c r="E14" s="42">
        <v>0</v>
      </c>
      <c r="F14" s="45">
        <f t="shared" si="0"/>
        <v>0</v>
      </c>
      <c r="G14" s="42">
        <v>0</v>
      </c>
      <c r="H14" s="49">
        <f t="shared" si="1"/>
        <v>0</v>
      </c>
      <c r="N14" s="602"/>
    </row>
    <row r="15" spans="1:14" s="89" customFormat="1">
      <c r="A15" s="93" t="s">
        <v>28</v>
      </c>
      <c r="B15" s="42">
        <v>0</v>
      </c>
      <c r="C15" s="42">
        <v>0</v>
      </c>
      <c r="D15" s="42">
        <v>0</v>
      </c>
      <c r="E15" s="42">
        <v>0</v>
      </c>
      <c r="F15" s="45">
        <f t="shared" si="0"/>
        <v>0</v>
      </c>
      <c r="G15" s="42">
        <v>0</v>
      </c>
      <c r="H15" s="49">
        <f t="shared" si="1"/>
        <v>0</v>
      </c>
      <c r="N15" s="602"/>
    </row>
    <row r="16" spans="1:14" s="89" customFormat="1">
      <c r="A16" s="95" t="s">
        <v>9</v>
      </c>
      <c r="B16" s="46">
        <f t="shared" ref="B16:G16" si="2">SUM(B8:B15)</f>
        <v>0</v>
      </c>
      <c r="C16" s="46">
        <f t="shared" si="2"/>
        <v>0</v>
      </c>
      <c r="D16" s="46">
        <f t="shared" si="2"/>
        <v>0</v>
      </c>
      <c r="E16" s="46">
        <f t="shared" si="2"/>
        <v>0</v>
      </c>
      <c r="F16" s="46">
        <f t="shared" si="2"/>
        <v>0</v>
      </c>
      <c r="G16" s="46">
        <f t="shared" si="2"/>
        <v>0</v>
      </c>
      <c r="H16" s="695">
        <f t="shared" si="1"/>
        <v>0</v>
      </c>
      <c r="N16" s="602"/>
    </row>
    <row r="17" spans="1:14" s="89" customFormat="1">
      <c r="A17" s="26" t="s">
        <v>19</v>
      </c>
      <c r="B17" s="42"/>
      <c r="C17" s="50"/>
      <c r="D17" s="50"/>
      <c r="E17" s="60"/>
      <c r="F17" s="42"/>
      <c r="G17" s="42"/>
      <c r="H17" s="48"/>
      <c r="N17" s="602"/>
    </row>
    <row r="18" spans="1:14" s="89" customFormat="1">
      <c r="A18" s="96" t="s">
        <v>280</v>
      </c>
      <c r="B18" s="42">
        <v>0</v>
      </c>
      <c r="C18" s="42">
        <v>0</v>
      </c>
      <c r="D18" s="42">
        <v>0</v>
      </c>
      <c r="E18" s="42">
        <v>0</v>
      </c>
      <c r="F18" s="45">
        <f t="shared" ref="F18:F25" si="3">E18-C18</f>
        <v>0</v>
      </c>
      <c r="G18" s="42">
        <v>0</v>
      </c>
      <c r="H18" s="49">
        <f t="shared" ref="H18:H27" si="4">G18-C18</f>
        <v>0</v>
      </c>
      <c r="N18" s="602"/>
    </row>
    <row r="19" spans="1:14" s="89" customFormat="1">
      <c r="A19" s="96" t="s">
        <v>40</v>
      </c>
      <c r="B19" s="42">
        <v>0</v>
      </c>
      <c r="C19" s="42">
        <v>0</v>
      </c>
      <c r="D19" s="42">
        <v>0</v>
      </c>
      <c r="E19" s="60">
        <v>0</v>
      </c>
      <c r="F19" s="45">
        <f t="shared" si="3"/>
        <v>0</v>
      </c>
      <c r="G19" s="42">
        <v>0</v>
      </c>
      <c r="H19" s="49">
        <f t="shared" si="4"/>
        <v>0</v>
      </c>
      <c r="N19" s="602"/>
    </row>
    <row r="20" spans="1:14" s="89" customFormat="1">
      <c r="A20" s="96" t="s">
        <v>41</v>
      </c>
      <c r="B20" s="42">
        <v>0</v>
      </c>
      <c r="C20" s="42">
        <v>0</v>
      </c>
      <c r="D20" s="42">
        <v>0</v>
      </c>
      <c r="E20" s="60">
        <v>0</v>
      </c>
      <c r="F20" s="45">
        <f t="shared" si="3"/>
        <v>0</v>
      </c>
      <c r="G20" s="42">
        <v>0</v>
      </c>
      <c r="H20" s="49">
        <f t="shared" si="4"/>
        <v>0</v>
      </c>
      <c r="N20" s="602"/>
    </row>
    <row r="21" spans="1:14" s="89" customFormat="1">
      <c r="A21" s="96" t="s">
        <v>42</v>
      </c>
      <c r="B21" s="42">
        <v>0</v>
      </c>
      <c r="C21" s="42">
        <v>0</v>
      </c>
      <c r="D21" s="42">
        <v>0</v>
      </c>
      <c r="E21" s="60">
        <v>0</v>
      </c>
      <c r="F21" s="45">
        <f t="shared" si="3"/>
        <v>0</v>
      </c>
      <c r="G21" s="42">
        <v>0</v>
      </c>
      <c r="H21" s="49">
        <f t="shared" si="4"/>
        <v>0</v>
      </c>
      <c r="N21" s="602"/>
    </row>
    <row r="22" spans="1:14" s="89" customFormat="1">
      <c r="A22" s="96" t="s">
        <v>43</v>
      </c>
      <c r="B22" s="42">
        <v>0</v>
      </c>
      <c r="C22" s="42">
        <v>0</v>
      </c>
      <c r="D22" s="42">
        <v>0</v>
      </c>
      <c r="E22" s="60">
        <v>0</v>
      </c>
      <c r="F22" s="45">
        <f t="shared" si="3"/>
        <v>0</v>
      </c>
      <c r="G22" s="42">
        <v>0</v>
      </c>
      <c r="H22" s="49">
        <f t="shared" si="4"/>
        <v>0</v>
      </c>
      <c r="N22" s="602"/>
    </row>
    <row r="23" spans="1:14" s="89" customFormat="1">
      <c r="A23" s="97" t="s">
        <v>44</v>
      </c>
      <c r="B23" s="42">
        <v>0</v>
      </c>
      <c r="C23" s="42">
        <v>0</v>
      </c>
      <c r="D23" s="42">
        <v>0</v>
      </c>
      <c r="E23" s="60">
        <v>0</v>
      </c>
      <c r="F23" s="45">
        <f t="shared" si="3"/>
        <v>0</v>
      </c>
      <c r="G23" s="42">
        <v>0</v>
      </c>
      <c r="H23" s="49">
        <f t="shared" si="4"/>
        <v>0</v>
      </c>
      <c r="N23" s="602"/>
    </row>
    <row r="24" spans="1:14" s="89" customFormat="1">
      <c r="A24" s="66" t="s">
        <v>45</v>
      </c>
      <c r="B24" s="42">
        <v>0</v>
      </c>
      <c r="C24" s="42">
        <v>0</v>
      </c>
      <c r="D24" s="42">
        <v>0</v>
      </c>
      <c r="E24" s="60">
        <v>0</v>
      </c>
      <c r="F24" s="45">
        <f t="shared" si="3"/>
        <v>0</v>
      </c>
      <c r="G24" s="42">
        <v>0</v>
      </c>
      <c r="H24" s="49">
        <f t="shared" si="4"/>
        <v>0</v>
      </c>
      <c r="N24" s="602"/>
    </row>
    <row r="25" spans="1:14" s="89" customFormat="1">
      <c r="A25" s="66" t="s">
        <v>29</v>
      </c>
      <c r="B25" s="42">
        <v>1297821</v>
      </c>
      <c r="C25" s="42">
        <v>0</v>
      </c>
      <c r="D25" s="42">
        <v>0</v>
      </c>
      <c r="E25" s="60">
        <v>0</v>
      </c>
      <c r="F25" s="45">
        <f t="shared" si="3"/>
        <v>0</v>
      </c>
      <c r="G25" s="42">
        <f>'236.06 old'!E41</f>
        <v>1297821</v>
      </c>
      <c r="H25" s="49">
        <f t="shared" si="4"/>
        <v>1297821</v>
      </c>
      <c r="N25" s="602"/>
    </row>
    <row r="26" spans="1:14" s="89" customFormat="1">
      <c r="A26" s="26" t="s">
        <v>20</v>
      </c>
      <c r="B26" s="28">
        <f t="shared" ref="B26:G26" si="5">SUM(B18:B25)</f>
        <v>1297821</v>
      </c>
      <c r="C26" s="28">
        <f t="shared" si="5"/>
        <v>0</v>
      </c>
      <c r="D26" s="28">
        <f t="shared" si="5"/>
        <v>0</v>
      </c>
      <c r="E26" s="28">
        <f t="shared" si="5"/>
        <v>0</v>
      </c>
      <c r="F26" s="28">
        <f t="shared" si="5"/>
        <v>0</v>
      </c>
      <c r="G26" s="28">
        <f t="shared" si="5"/>
        <v>1297821</v>
      </c>
      <c r="H26" s="48">
        <f t="shared" si="4"/>
        <v>1297821</v>
      </c>
      <c r="N26" s="602"/>
    </row>
    <row r="27" spans="1:14" s="89" customFormat="1" ht="13.5" thickBot="1">
      <c r="A27" s="642" t="s">
        <v>21</v>
      </c>
      <c r="B27" s="643">
        <f t="shared" ref="B27:G27" si="6">B16+B26</f>
        <v>1297821</v>
      </c>
      <c r="C27" s="643">
        <f t="shared" si="6"/>
        <v>0</v>
      </c>
      <c r="D27" s="643">
        <f t="shared" si="6"/>
        <v>0</v>
      </c>
      <c r="E27" s="643">
        <f t="shared" si="6"/>
        <v>0</v>
      </c>
      <c r="F27" s="643">
        <f t="shared" si="6"/>
        <v>0</v>
      </c>
      <c r="G27" s="643">
        <f t="shared" si="6"/>
        <v>1297821</v>
      </c>
      <c r="H27" s="645">
        <f t="shared" si="4"/>
        <v>1297821</v>
      </c>
      <c r="N27" s="602"/>
    </row>
    <row r="28" spans="1:14" s="89" customFormat="1" ht="13.5" thickTop="1">
      <c r="A28" s="88"/>
      <c r="B28" s="48"/>
      <c r="C28" s="48"/>
      <c r="D28" s="48"/>
      <c r="E28" s="62"/>
      <c r="F28" s="63"/>
      <c r="G28" s="48"/>
      <c r="H28" s="48"/>
      <c r="N28" s="602"/>
    </row>
    <row r="29" spans="1:14" s="89" customFormat="1">
      <c r="A29" s="644" t="s">
        <v>10</v>
      </c>
      <c r="B29" s="49"/>
      <c r="C29" s="48"/>
      <c r="D29" s="48"/>
      <c r="E29" s="62"/>
      <c r="F29" s="63"/>
      <c r="G29" s="49"/>
      <c r="H29" s="49"/>
      <c r="N29" s="602"/>
    </row>
    <row r="30" spans="1:14" s="89" customFormat="1">
      <c r="A30" s="93" t="s">
        <v>11</v>
      </c>
      <c r="B30" s="48">
        <v>0</v>
      </c>
      <c r="C30" s="50">
        <v>0</v>
      </c>
      <c r="D30" s="50">
        <v>0</v>
      </c>
      <c r="E30" s="50">
        <v>0</v>
      </c>
      <c r="F30" s="45">
        <f t="shared" ref="F30:F36" si="7">C30-E30</f>
        <v>0</v>
      </c>
      <c r="G30" s="48">
        <v>0</v>
      </c>
      <c r="H30" s="49">
        <f t="shared" ref="H30:H37" si="8">C30-G30</f>
        <v>0</v>
      </c>
      <c r="N30" s="602"/>
    </row>
    <row r="31" spans="1:14" s="89" customFormat="1">
      <c r="A31" s="93" t="s">
        <v>12</v>
      </c>
      <c r="B31" s="48">
        <v>0</v>
      </c>
      <c r="C31" s="50">
        <v>0</v>
      </c>
      <c r="D31" s="50">
        <v>0</v>
      </c>
      <c r="E31" s="50">
        <v>0</v>
      </c>
      <c r="F31" s="45">
        <f t="shared" si="7"/>
        <v>0</v>
      </c>
      <c r="G31" s="48">
        <v>0</v>
      </c>
      <c r="H31" s="49">
        <f t="shared" si="8"/>
        <v>0</v>
      </c>
      <c r="N31" s="602">
        <v>0</v>
      </c>
    </row>
    <row r="32" spans="1:14" s="89" customFormat="1">
      <c r="A32" s="93" t="s">
        <v>13</v>
      </c>
      <c r="B32" s="48">
        <v>0</v>
      </c>
      <c r="C32" s="50">
        <v>0</v>
      </c>
      <c r="D32" s="50">
        <v>0</v>
      </c>
      <c r="E32" s="50">
        <v>0</v>
      </c>
      <c r="F32" s="45">
        <f t="shared" si="7"/>
        <v>0</v>
      </c>
      <c r="G32" s="48">
        <v>0</v>
      </c>
      <c r="H32" s="49">
        <f t="shared" si="8"/>
        <v>0</v>
      </c>
      <c r="N32" s="702">
        <v>0</v>
      </c>
    </row>
    <row r="33" spans="1:14" s="89" customFormat="1" ht="13.5" thickBot="1">
      <c r="A33" s="93" t="s">
        <v>14</v>
      </c>
      <c r="B33" s="48">
        <v>0</v>
      </c>
      <c r="C33" s="50">
        <v>0</v>
      </c>
      <c r="D33" s="50">
        <v>0</v>
      </c>
      <c r="E33" s="50">
        <v>0</v>
      </c>
      <c r="F33" s="45">
        <f t="shared" si="7"/>
        <v>0</v>
      </c>
      <c r="G33" s="48">
        <v>0</v>
      </c>
      <c r="H33" s="49">
        <f t="shared" si="8"/>
        <v>0</v>
      </c>
      <c r="N33" s="703">
        <v>0</v>
      </c>
    </row>
    <row r="34" spans="1:14" s="89" customFormat="1" ht="13.5" thickTop="1">
      <c r="A34" s="93" t="s">
        <v>26</v>
      </c>
      <c r="B34" s="48">
        <v>0</v>
      </c>
      <c r="C34" s="50">
        <v>0</v>
      </c>
      <c r="D34" s="50">
        <v>0</v>
      </c>
      <c r="E34" s="50">
        <v>0</v>
      </c>
      <c r="F34" s="45">
        <f t="shared" si="7"/>
        <v>0</v>
      </c>
      <c r="G34" s="48">
        <v>0</v>
      </c>
      <c r="H34" s="49">
        <f t="shared" si="8"/>
        <v>0</v>
      </c>
      <c r="N34" s="88"/>
    </row>
    <row r="35" spans="1:14" s="89" customFormat="1" hidden="1">
      <c r="A35" s="93" t="s">
        <v>15</v>
      </c>
      <c r="B35" s="48">
        <v>0</v>
      </c>
      <c r="C35" s="50">
        <v>0</v>
      </c>
      <c r="D35" s="50">
        <v>0</v>
      </c>
      <c r="E35" s="50">
        <v>0</v>
      </c>
      <c r="F35" s="45">
        <f t="shared" si="7"/>
        <v>0</v>
      </c>
      <c r="G35" s="48">
        <v>0</v>
      </c>
      <c r="H35" s="49">
        <f t="shared" si="8"/>
        <v>0</v>
      </c>
    </row>
    <row r="36" spans="1:14" s="89" customFormat="1" hidden="1">
      <c r="A36" s="93" t="s">
        <v>16</v>
      </c>
      <c r="B36" s="48">
        <v>1283490.47</v>
      </c>
      <c r="C36" s="48">
        <v>0</v>
      </c>
      <c r="D36" s="48">
        <v>0</v>
      </c>
      <c r="E36" s="48">
        <v>0</v>
      </c>
      <c r="F36" s="45">
        <f t="shared" si="7"/>
        <v>0</v>
      </c>
      <c r="G36" s="48">
        <v>1283490.47</v>
      </c>
      <c r="H36" s="49">
        <f t="shared" si="8"/>
        <v>-1283490.47</v>
      </c>
    </row>
    <row r="37" spans="1:14" s="89" customFormat="1" hidden="1">
      <c r="A37" s="95" t="s">
        <v>22</v>
      </c>
      <c r="B37" s="46">
        <f t="shared" ref="B37:G37" si="9">SUM(B30:B36)</f>
        <v>1283490.47</v>
      </c>
      <c r="C37" s="46">
        <f t="shared" si="9"/>
        <v>0</v>
      </c>
      <c r="D37" s="46">
        <f t="shared" si="9"/>
        <v>0</v>
      </c>
      <c r="E37" s="46">
        <f t="shared" si="9"/>
        <v>0</v>
      </c>
      <c r="F37" s="46">
        <f t="shared" si="9"/>
        <v>0</v>
      </c>
      <c r="G37" s="46">
        <f t="shared" si="9"/>
        <v>1283490.47</v>
      </c>
      <c r="H37" s="695">
        <f t="shared" si="8"/>
        <v>-1283490.47</v>
      </c>
    </row>
    <row r="38" spans="1:14" s="89" customFormat="1">
      <c r="A38" s="26" t="s">
        <v>23</v>
      </c>
      <c r="B38" s="50"/>
      <c r="C38" s="50"/>
      <c r="D38" s="50"/>
      <c r="E38" s="60"/>
      <c r="F38" s="50"/>
      <c r="G38" s="50"/>
      <c r="H38" s="48"/>
    </row>
    <row r="39" spans="1:14" s="89" customFormat="1">
      <c r="A39" s="96"/>
      <c r="B39" s="50"/>
      <c r="C39" s="50"/>
      <c r="D39" s="50"/>
      <c r="E39" s="60"/>
      <c r="F39" s="50"/>
      <c r="G39" s="50"/>
      <c r="H39" s="49"/>
    </row>
    <row r="40" spans="1:14">
      <c r="A40" s="41" t="s">
        <v>38</v>
      </c>
      <c r="B40" s="13">
        <v>0</v>
      </c>
      <c r="C40" s="13">
        <v>0</v>
      </c>
      <c r="D40" s="13">
        <v>0</v>
      </c>
      <c r="E40" s="14">
        <v>0</v>
      </c>
      <c r="F40" s="17">
        <f>C40-E40</f>
        <v>0</v>
      </c>
      <c r="G40" s="13">
        <v>0</v>
      </c>
      <c r="H40" s="9">
        <f>C40-G40</f>
        <v>0</v>
      </c>
    </row>
    <row r="41" spans="1:14">
      <c r="A41" s="41" t="s">
        <v>283</v>
      </c>
      <c r="B41" s="13">
        <v>14330.53</v>
      </c>
      <c r="C41" s="13">
        <v>0</v>
      </c>
      <c r="D41" s="13">
        <v>0</v>
      </c>
      <c r="E41" s="60">
        <v>0</v>
      </c>
      <c r="F41" s="17">
        <f>C41-E41</f>
        <v>0</v>
      </c>
      <c r="G41" s="73">
        <f>14331-0.47</f>
        <v>14330.53</v>
      </c>
      <c r="H41" s="9">
        <f>C41-G41</f>
        <v>-14330.53</v>
      </c>
      <c r="I41" s="16" t="s">
        <v>191</v>
      </c>
    </row>
    <row r="42" spans="1:14">
      <c r="A42" s="41"/>
      <c r="B42" s="13"/>
      <c r="C42" s="13"/>
      <c r="D42" s="13"/>
      <c r="E42" s="14" t="s">
        <v>58</v>
      </c>
      <c r="F42" s="13"/>
      <c r="G42" s="13"/>
      <c r="H42" s="10"/>
    </row>
    <row r="43" spans="1:14">
      <c r="A43" s="37" t="s">
        <v>24</v>
      </c>
      <c r="B43" s="38">
        <f t="shared" ref="B43:G43" si="10">SUM(B39:B42)</f>
        <v>14330.53</v>
      </c>
      <c r="C43" s="38">
        <f t="shared" si="10"/>
        <v>0</v>
      </c>
      <c r="D43" s="38">
        <f t="shared" si="10"/>
        <v>0</v>
      </c>
      <c r="E43" s="38">
        <f t="shared" si="10"/>
        <v>0</v>
      </c>
      <c r="F43" s="38">
        <f t="shared" si="10"/>
        <v>0</v>
      </c>
      <c r="G43" s="38">
        <f t="shared" si="10"/>
        <v>14330.53</v>
      </c>
      <c r="H43" s="40">
        <f>C43-G43</f>
        <v>-14330.53</v>
      </c>
    </row>
    <row r="44" spans="1:14" ht="12.75" customHeight="1" thickBot="1">
      <c r="A44" s="55" t="s">
        <v>25</v>
      </c>
      <c r="B44" s="59">
        <f t="shared" ref="B44:G44" si="11">B37+B43</f>
        <v>1297821</v>
      </c>
      <c r="C44" s="59">
        <f t="shared" si="11"/>
        <v>0</v>
      </c>
      <c r="D44" s="59">
        <f t="shared" si="11"/>
        <v>0</v>
      </c>
      <c r="E44" s="59">
        <f t="shared" si="11"/>
        <v>0</v>
      </c>
      <c r="F44" s="59">
        <f t="shared" si="11"/>
        <v>0</v>
      </c>
      <c r="G44" s="59">
        <f t="shared" si="11"/>
        <v>1297821</v>
      </c>
      <c r="H44" s="56">
        <f>C44-G44</f>
        <v>-1297821</v>
      </c>
    </row>
    <row r="45" spans="1:14" ht="13.5" thickTop="1">
      <c r="A45" s="26" t="s">
        <v>17</v>
      </c>
      <c r="B45" s="202">
        <f t="shared" ref="B45:G45" si="12">B27-B44</f>
        <v>0</v>
      </c>
      <c r="C45" s="202">
        <f t="shared" si="12"/>
        <v>0</v>
      </c>
      <c r="D45" s="202">
        <f t="shared" si="12"/>
        <v>0</v>
      </c>
      <c r="E45" s="202">
        <f t="shared" si="12"/>
        <v>0</v>
      </c>
      <c r="F45" s="202">
        <f t="shared" si="12"/>
        <v>0</v>
      </c>
      <c r="G45" s="202">
        <f t="shared" si="12"/>
        <v>0</v>
      </c>
    </row>
    <row r="46" spans="1:14" ht="12.75" customHeight="1">
      <c r="A46" s="26" t="s">
        <v>213</v>
      </c>
      <c r="B46" s="26" t="s">
        <v>97</v>
      </c>
      <c r="C46" s="28"/>
      <c r="D46" s="28"/>
      <c r="E46" s="29"/>
      <c r="F46" s="28"/>
      <c r="G46" s="2"/>
    </row>
    <row r="47" spans="1:14" ht="12.75" customHeight="1" thickBot="1">
      <c r="A47" s="30" t="s">
        <v>18</v>
      </c>
      <c r="B47" s="30"/>
      <c r="C47" s="16"/>
      <c r="D47" s="16"/>
      <c r="F47" s="32"/>
    </row>
    <row r="48" spans="1:14" ht="12.75" customHeight="1">
      <c r="A48" s="30" t="s">
        <v>287</v>
      </c>
      <c r="B48" s="30"/>
      <c r="C48" s="16"/>
      <c r="D48" s="24"/>
      <c r="E48" s="191" t="s">
        <v>189</v>
      </c>
      <c r="F48" s="163" t="s">
        <v>205</v>
      </c>
      <c r="G48" s="163" t="s">
        <v>190</v>
      </c>
      <c r="H48" s="222"/>
    </row>
    <row r="49" spans="1:10" ht="12.75" customHeight="1">
      <c r="A49" s="16" t="s">
        <v>58</v>
      </c>
      <c r="D49" s="24"/>
      <c r="E49" s="210">
        <v>0</v>
      </c>
      <c r="F49" s="218">
        <v>7201</v>
      </c>
      <c r="G49" s="269">
        <v>309061</v>
      </c>
      <c r="H49" s="119" t="s">
        <v>302</v>
      </c>
      <c r="I49" s="226" t="s">
        <v>58</v>
      </c>
      <c r="J49" s="227" t="s">
        <v>58</v>
      </c>
    </row>
    <row r="50" spans="1:10" ht="12.75" customHeight="1">
      <c r="A50" s="33" t="s">
        <v>175</v>
      </c>
      <c r="B50" s="33"/>
      <c r="D50" s="2"/>
      <c r="E50" s="211">
        <v>0</v>
      </c>
      <c r="F50" s="219">
        <v>7101</v>
      </c>
      <c r="G50" s="270">
        <f>1283490.47-G49</f>
        <v>974429.47</v>
      </c>
      <c r="H50" s="119" t="s">
        <v>303</v>
      </c>
      <c r="I50" s="2"/>
    </row>
    <row r="51" spans="1:10" ht="12.75" customHeight="1">
      <c r="B51" s="16" t="s">
        <v>214</v>
      </c>
      <c r="D51" s="2"/>
      <c r="E51" s="212">
        <v>0</v>
      </c>
      <c r="F51" s="219">
        <v>7305</v>
      </c>
      <c r="G51" s="270">
        <v>0</v>
      </c>
      <c r="H51" s="119" t="s">
        <v>302</v>
      </c>
      <c r="I51" s="24"/>
      <c r="J51" s="1" t="s">
        <v>58</v>
      </c>
    </row>
    <row r="52" spans="1:10" ht="12.75" customHeight="1" thickBot="1">
      <c r="B52" s="217" t="s">
        <v>215</v>
      </c>
      <c r="C52" s="225"/>
      <c r="D52" s="225"/>
      <c r="E52" s="124">
        <f>SUM(E49:E51)</f>
        <v>0</v>
      </c>
      <c r="F52" s="112"/>
      <c r="G52" s="268">
        <f>SUM(G49:G51)</f>
        <v>1283490.47</v>
      </c>
      <c r="H52" s="126"/>
      <c r="I52" s="24"/>
    </row>
    <row r="53" spans="1:10" ht="12.75" customHeight="1" thickTop="1">
      <c r="B53" s="225"/>
      <c r="C53" s="225"/>
      <c r="D53" s="225"/>
      <c r="E53" s="1"/>
      <c r="H53" s="2"/>
      <c r="I53" s="2"/>
    </row>
    <row r="54" spans="1:10" ht="12.75" customHeight="1">
      <c r="E54" s="1"/>
      <c r="I54" s="2"/>
    </row>
    <row r="55" spans="1:10" ht="12.75" customHeight="1">
      <c r="F55" s="32"/>
    </row>
    <row r="56" spans="1:10" ht="12.75" customHeight="1">
      <c r="F56" s="32"/>
    </row>
    <row r="57" spans="1:10" ht="12.75" customHeight="1">
      <c r="F57" s="32"/>
    </row>
    <row r="58" spans="1:10" ht="12.75" customHeight="1">
      <c r="F58" s="32"/>
    </row>
    <row r="59" spans="1:10" ht="12.75" customHeight="1">
      <c r="F59" s="32"/>
    </row>
    <row r="60" spans="1:10" ht="12.75" customHeight="1">
      <c r="F60" s="32"/>
    </row>
    <row r="61" spans="1:10" ht="12.75" customHeight="1">
      <c r="F61" s="32"/>
    </row>
    <row r="62" spans="1:10" ht="12.75" customHeight="1">
      <c r="F62" s="32"/>
    </row>
    <row r="63" spans="1:10" ht="12.75" customHeight="1">
      <c r="F63" s="32"/>
    </row>
    <row r="64" spans="1:10" ht="12.75" customHeight="1">
      <c r="F64" s="32"/>
    </row>
    <row r="65" spans="6:6" ht="12.75" customHeight="1">
      <c r="F65" s="32"/>
    </row>
    <row r="66" spans="6:6" ht="12.75" customHeight="1">
      <c r="F66" s="32"/>
    </row>
    <row r="67" spans="6:6" ht="12.75" customHeight="1">
      <c r="F67" s="32"/>
    </row>
    <row r="68" spans="6:6" ht="12.75" customHeight="1">
      <c r="F68" s="32"/>
    </row>
    <row r="69" spans="6:6" ht="12.75" customHeight="1">
      <c r="F69" s="32"/>
    </row>
    <row r="70" spans="6:6" ht="12.75" customHeight="1">
      <c r="F70" s="32"/>
    </row>
    <row r="71" spans="6:6" ht="12.75" customHeight="1">
      <c r="F71" s="32"/>
    </row>
    <row r="72" spans="6:6" ht="12.75" customHeight="1">
      <c r="F72" s="32"/>
    </row>
    <row r="73" spans="6:6" ht="12.75" customHeight="1">
      <c r="F73" s="32"/>
    </row>
    <row r="74" spans="6:6" ht="12.75" customHeight="1">
      <c r="F74" s="32"/>
    </row>
    <row r="75" spans="6:6" ht="12.75" customHeight="1">
      <c r="F75" s="32"/>
    </row>
    <row r="76" spans="6:6" ht="12.75" customHeight="1">
      <c r="F76" s="32"/>
    </row>
    <row r="77" spans="6:6" ht="12.75" customHeight="1">
      <c r="F77" s="32"/>
    </row>
    <row r="78" spans="6:6" ht="12.75" customHeight="1">
      <c r="F78" s="32"/>
    </row>
    <row r="79" spans="6:6" ht="12.75" customHeight="1">
      <c r="F79" s="32"/>
    </row>
    <row r="80" spans="6:6" ht="12.75" customHeight="1">
      <c r="F80" s="32"/>
    </row>
    <row r="81" spans="6:6" ht="12.75" customHeight="1">
      <c r="F81" s="32"/>
    </row>
    <row r="82" spans="6:6" ht="12.75" customHeight="1">
      <c r="F82" s="32"/>
    </row>
    <row r="83" spans="6:6" ht="12.75" customHeight="1">
      <c r="F83" s="32"/>
    </row>
    <row r="84" spans="6:6" ht="12.75" customHeight="1">
      <c r="F84" s="34"/>
    </row>
    <row r="85" spans="6:6" ht="12.75" customHeight="1">
      <c r="F85" s="34"/>
    </row>
    <row r="86" spans="6:6" ht="12.75" customHeight="1">
      <c r="F86" s="34"/>
    </row>
    <row r="87" spans="6:6" ht="12.75" customHeight="1">
      <c r="F87" s="34"/>
    </row>
    <row r="88" spans="6:6" ht="12.75" customHeight="1">
      <c r="F88" s="34"/>
    </row>
    <row r="89" spans="6:6" ht="12.75" customHeight="1">
      <c r="F89" s="34"/>
    </row>
    <row r="90" spans="6:6" ht="12.75" customHeight="1">
      <c r="F90" s="34"/>
    </row>
    <row r="91" spans="6:6" ht="12.75" customHeight="1">
      <c r="F91" s="34"/>
    </row>
    <row r="92" spans="6:6" ht="12.75" customHeight="1">
      <c r="F92" s="34"/>
    </row>
    <row r="93" spans="6:6" ht="12.75" customHeight="1">
      <c r="F93" s="34"/>
    </row>
    <row r="94" spans="6:6" ht="12.75" customHeight="1">
      <c r="F94" s="34"/>
    </row>
    <row r="95" spans="6:6" ht="12.75" customHeight="1">
      <c r="F95" s="34"/>
    </row>
    <row r="96" spans="6:6" ht="12.75" customHeight="1">
      <c r="F96" s="34"/>
    </row>
    <row r="97" spans="6:6" ht="12.75" customHeight="1">
      <c r="F97" s="34"/>
    </row>
    <row r="98" spans="6:6" ht="12.75" customHeight="1">
      <c r="F98" s="34"/>
    </row>
    <row r="99" spans="6:6" ht="12.75" customHeight="1">
      <c r="F99" s="34"/>
    </row>
    <row r="100" spans="6:6" ht="12.75" customHeight="1">
      <c r="F100" s="34"/>
    </row>
    <row r="101" spans="6:6" ht="12.75" customHeight="1">
      <c r="F101" s="34"/>
    </row>
    <row r="102" spans="6:6" ht="12.75" customHeight="1">
      <c r="F102" s="34"/>
    </row>
    <row r="103" spans="6:6" ht="12.75" customHeight="1">
      <c r="F103" s="34"/>
    </row>
    <row r="104" spans="6:6" ht="12.75" customHeight="1">
      <c r="F104" s="34"/>
    </row>
    <row r="105" spans="6:6" ht="12.75" customHeight="1">
      <c r="F105" s="34"/>
    </row>
    <row r="106" spans="6:6" ht="12.75" customHeight="1">
      <c r="F106" s="34"/>
    </row>
    <row r="107" spans="6:6" ht="12.75" customHeight="1">
      <c r="F107" s="34"/>
    </row>
    <row r="108" spans="6:6" ht="12.75" customHeight="1">
      <c r="F108" s="34"/>
    </row>
    <row r="109" spans="6:6" ht="12.75" customHeight="1">
      <c r="F109" s="34"/>
    </row>
    <row r="110" spans="6:6" ht="12.75" customHeight="1">
      <c r="F110" s="34"/>
    </row>
    <row r="111" spans="6:6" ht="12.75" customHeight="1">
      <c r="F111" s="34"/>
    </row>
    <row r="112" spans="6:6" ht="12.75" customHeight="1">
      <c r="F112" s="34"/>
    </row>
    <row r="113" spans="6:6" ht="12.75" customHeight="1">
      <c r="F113" s="34"/>
    </row>
    <row r="114" spans="6:6" ht="12.75" customHeight="1">
      <c r="F114" s="34"/>
    </row>
    <row r="115" spans="6:6" ht="12.75" customHeight="1">
      <c r="F115" s="34"/>
    </row>
    <row r="116" spans="6:6" ht="12.75" customHeight="1">
      <c r="F116" s="34"/>
    </row>
    <row r="117" spans="6:6" ht="12.75" customHeight="1">
      <c r="F117" s="34"/>
    </row>
    <row r="118" spans="6:6" ht="12.75" customHeight="1">
      <c r="F118" s="34"/>
    </row>
    <row r="119" spans="6:6" ht="12.75" customHeight="1">
      <c r="F119" s="34"/>
    </row>
    <row r="120" spans="6:6" ht="12.75" customHeight="1">
      <c r="F120" s="34"/>
    </row>
    <row r="121" spans="6:6" ht="12.75" customHeight="1">
      <c r="F121" s="34"/>
    </row>
    <row r="122" spans="6:6" ht="12.75" customHeight="1">
      <c r="F122" s="34"/>
    </row>
    <row r="123" spans="6:6" ht="12.75" customHeight="1">
      <c r="F123" s="34"/>
    </row>
    <row r="124" spans="6:6" ht="12.75" customHeight="1">
      <c r="F124" s="34"/>
    </row>
    <row r="125" spans="6:6" ht="12.75" customHeight="1">
      <c r="F125" s="34"/>
    </row>
    <row r="126" spans="6:6" ht="12.75" customHeight="1">
      <c r="F126" s="34"/>
    </row>
  </sheetData>
  <customSheetViews>
    <customSheetView guid="{C8E99144-FF29-42D8-8D33-2038AA9D760E}" scale="75" showPageBreaks="1" view="pageBreakPreview" showRuler="0">
      <pane xSplit="1" ySplit="4" topLeftCell="C9" activePane="bottomRight" state="frozen"/>
      <selection pane="bottomRight" activeCell="G24" sqref="G24"/>
      <pageMargins left="0.75" right="0.75" top="0.49" bottom="0.48" header="0.5" footer="0.5"/>
      <pageSetup scale="75" orientation="landscape" horizontalDpi="300" verticalDpi="300" r:id="rId1"/>
      <headerFooter alignWithMargins="0"/>
    </customSheetView>
    <customSheetView guid="{7FD41845-6BD4-448F-810C-049EFA55EC1B}" scale="75" showPageBreaks="1" view="pageBreakPreview" showRuler="0">
      <pane xSplit="1" ySplit="4" topLeftCell="B23" activePane="bottomRight" state="frozen"/>
      <selection pane="bottomRight" activeCell="I27" sqref="I27"/>
      <colBreaks count="1" manualBreakCount="1">
        <brk id="8" max="1048575" man="1"/>
      </colBreaks>
      <pageMargins left="0.75" right="0.75" top="0.49" bottom="0.48" header="0.5" footer="0.5"/>
      <pageSetup scale="75" orientation="landscape" horizontalDpi="300" verticalDpi="300" r:id="rId2"/>
      <headerFooter alignWithMargins="0"/>
    </customSheetView>
    <customSheetView guid="{8B0AB125-4209-45BF-9ABD-74BE01FD7C48}" scale="75" showPageBreaks="1" view="pageBreakPreview" showRuler="0">
      <pane xSplit="1" ySplit="4" topLeftCell="B38" activePane="bottomRight" state="frozen"/>
      <selection pane="bottomRight" activeCell="A50" sqref="A50"/>
      <pageMargins left="0.75" right="0.75" top="0.49" bottom="0.48" header="0.5" footer="0.5"/>
      <pageSetup scale="75" orientation="landscape" horizontalDpi="300" verticalDpi="300" r:id="rId3"/>
      <headerFooter alignWithMargins="0"/>
    </customSheetView>
  </customSheetViews>
  <mergeCells count="3">
    <mergeCell ref="A1:H1"/>
    <mergeCell ref="A2:G2"/>
    <mergeCell ref="B3:N3"/>
  </mergeCells>
  <phoneticPr fontId="0" type="noConversion"/>
  <pageMargins left="0.75" right="0.75" top="0.49" bottom="0.48" header="0.5" footer="0.5"/>
  <pageSetup scale="75" orientation="landscape" horizontalDpi="300" verticalDpi="300" r:id="rId4"/>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tabColor indexed="20"/>
  </sheetPr>
  <dimension ref="A1:N126"/>
  <sheetViews>
    <sheetView showGridLines="0" showRuler="0" view="pageBreakPreview" zoomScale="75" zoomScaleNormal="7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38.140625" style="1" hidden="1" customWidth="1"/>
    <col min="2" max="2" width="21.42578125" style="1" customWidth="1"/>
    <col min="3" max="3" width="15.42578125" style="1" bestFit="1" customWidth="1"/>
    <col min="4" max="4" width="12" style="1" customWidth="1"/>
    <col min="5" max="5" width="15.7109375" style="31" customWidth="1"/>
    <col min="6" max="6" width="13.28515625" style="1" customWidth="1"/>
    <col min="7" max="7" width="14.5703125" style="1" bestFit="1" customWidth="1"/>
    <col min="8" max="8" width="12.85546875" style="1" customWidth="1"/>
    <col min="9" max="9" width="18.7109375" style="1" customWidth="1"/>
    <col min="10" max="10" width="10.28515625" style="1" customWidth="1"/>
    <col min="11" max="13" width="6.85546875" style="1"/>
    <col min="14" max="14" width="8.140625" style="1" bestFit="1" customWidth="1"/>
    <col min="15" max="16384" width="6.85546875" style="1"/>
  </cols>
  <sheetData>
    <row r="1" spans="1:14" ht="44.25" hidden="1">
      <c r="A1" s="1742" t="s">
        <v>300</v>
      </c>
      <c r="B1" s="1742"/>
      <c r="C1" s="1742"/>
      <c r="D1" s="1742"/>
      <c r="E1" s="1742"/>
      <c r="F1" s="1742"/>
      <c r="G1" s="1742"/>
      <c r="H1" s="1742"/>
      <c r="N1" s="593" t="str">
        <f>PROPER(B1)</f>
        <v/>
      </c>
    </row>
    <row r="2" spans="1:14" ht="15" customHeight="1" thickBot="1">
      <c r="A2" s="1743" t="s">
        <v>318</v>
      </c>
      <c r="B2" s="1743"/>
      <c r="C2" s="1743"/>
      <c r="D2" s="1743"/>
      <c r="E2" s="1743"/>
      <c r="F2" s="1743"/>
      <c r="G2" s="1743"/>
      <c r="H2" s="167" t="s">
        <v>299</v>
      </c>
    </row>
    <row r="3" spans="1:14" ht="15" customHeight="1">
      <c r="A3" s="592"/>
      <c r="B3" s="1749" t="str">
        <f>PROPER(B1)</f>
        <v/>
      </c>
      <c r="C3" s="1749"/>
      <c r="D3" s="1749"/>
      <c r="E3" s="1749"/>
      <c r="F3" s="1749"/>
      <c r="G3" s="1749"/>
      <c r="H3" s="1749"/>
      <c r="I3" s="1749"/>
      <c r="J3" s="1749"/>
      <c r="K3" s="1749"/>
      <c r="L3" s="1749"/>
      <c r="M3" s="1749"/>
      <c r="N3" s="1749"/>
    </row>
    <row r="4" spans="1:14" ht="12.75" customHeight="1">
      <c r="A4" s="266" t="s">
        <v>211</v>
      </c>
      <c r="B4" s="86"/>
      <c r="C4" s="86" t="s">
        <v>64</v>
      </c>
      <c r="D4" s="91" t="s">
        <v>64</v>
      </c>
      <c r="E4" s="86"/>
      <c r="F4" s="91" t="s">
        <v>86</v>
      </c>
      <c r="G4" s="86"/>
      <c r="H4" s="91" t="s">
        <v>110</v>
      </c>
      <c r="I4" s="86"/>
    </row>
    <row r="5" spans="1:14" ht="39" thickBot="1">
      <c r="A5" s="3" t="s">
        <v>0</v>
      </c>
      <c r="B5" s="5" t="s">
        <v>314</v>
      </c>
      <c r="C5" s="4" t="s">
        <v>315</v>
      </c>
      <c r="D5" s="4" t="s">
        <v>217</v>
      </c>
      <c r="E5" s="5" t="s">
        <v>316</v>
      </c>
      <c r="F5" s="129" t="s">
        <v>1</v>
      </c>
      <c r="G5" s="5" t="s">
        <v>317</v>
      </c>
      <c r="H5" s="129" t="s">
        <v>1</v>
      </c>
    </row>
    <row r="6" spans="1:14">
      <c r="A6" s="93" t="s">
        <v>58</v>
      </c>
      <c r="B6" s="9"/>
      <c r="C6" s="2"/>
      <c r="D6" s="2"/>
      <c r="E6" s="7"/>
      <c r="F6" s="8"/>
      <c r="G6" s="9"/>
      <c r="H6" s="10"/>
    </row>
    <row r="7" spans="1:14">
      <c r="A7" s="11" t="s">
        <v>2</v>
      </c>
      <c r="B7" s="9"/>
      <c r="C7" s="12"/>
      <c r="D7" s="13"/>
      <c r="E7" s="14"/>
      <c r="F7" s="15"/>
      <c r="G7" s="9"/>
      <c r="H7" s="9"/>
    </row>
    <row r="8" spans="1:14">
      <c r="A8" s="16" t="s">
        <v>3</v>
      </c>
      <c r="B8" s="17">
        <v>0</v>
      </c>
      <c r="C8" s="12">
        <v>0</v>
      </c>
      <c r="D8" s="13">
        <v>0</v>
      </c>
      <c r="E8" s="14">
        <v>0</v>
      </c>
      <c r="F8" s="17">
        <f t="shared" ref="F8:F15" si="0">E8-C8</f>
        <v>0</v>
      </c>
      <c r="G8" s="17">
        <v>0</v>
      </c>
      <c r="H8" s="9">
        <f t="shared" ref="H8:H16" si="1">G8-C8</f>
        <v>0</v>
      </c>
    </row>
    <row r="9" spans="1:14">
      <c r="A9" s="16" t="s">
        <v>4</v>
      </c>
      <c r="B9" s="17">
        <v>0</v>
      </c>
      <c r="C9" s="17">
        <v>0</v>
      </c>
      <c r="D9" s="17">
        <v>0</v>
      </c>
      <c r="E9" s="17">
        <v>0</v>
      </c>
      <c r="F9" s="17">
        <f t="shared" si="0"/>
        <v>0</v>
      </c>
      <c r="G9" s="17">
        <v>0</v>
      </c>
      <c r="H9" s="9">
        <f t="shared" si="1"/>
        <v>0</v>
      </c>
      <c r="N9" s="601"/>
    </row>
    <row r="10" spans="1:14">
      <c r="A10" s="16" t="s">
        <v>5</v>
      </c>
      <c r="B10" s="17">
        <v>0</v>
      </c>
      <c r="C10" s="17">
        <v>0</v>
      </c>
      <c r="D10" s="17">
        <v>0</v>
      </c>
      <c r="E10" s="17">
        <v>0</v>
      </c>
      <c r="F10" s="17">
        <f t="shared" si="0"/>
        <v>0</v>
      </c>
      <c r="G10" s="17">
        <v>0</v>
      </c>
      <c r="H10" s="9">
        <f t="shared" si="1"/>
        <v>0</v>
      </c>
      <c r="N10" s="601"/>
    </row>
    <row r="11" spans="1:14">
      <c r="A11" s="16" t="s">
        <v>6</v>
      </c>
      <c r="B11" s="17">
        <v>0</v>
      </c>
      <c r="C11" s="17">
        <v>0</v>
      </c>
      <c r="D11" s="17">
        <v>0</v>
      </c>
      <c r="E11" s="17">
        <v>0</v>
      </c>
      <c r="F11" s="17">
        <f t="shared" si="0"/>
        <v>0</v>
      </c>
      <c r="G11" s="17">
        <v>0</v>
      </c>
      <c r="H11" s="9">
        <f t="shared" si="1"/>
        <v>0</v>
      </c>
      <c r="N11" s="601"/>
    </row>
    <row r="12" spans="1:14" s="89" customFormat="1">
      <c r="A12" s="66" t="s">
        <v>7</v>
      </c>
      <c r="B12" s="45">
        <v>0</v>
      </c>
      <c r="C12" s="45">
        <v>0</v>
      </c>
      <c r="D12" s="45">
        <v>0</v>
      </c>
      <c r="E12" s="45">
        <v>0</v>
      </c>
      <c r="F12" s="45">
        <f t="shared" si="0"/>
        <v>0</v>
      </c>
      <c r="G12" s="45">
        <v>0</v>
      </c>
      <c r="H12" s="49">
        <f t="shared" si="1"/>
        <v>0</v>
      </c>
      <c r="N12" s="602"/>
    </row>
    <row r="13" spans="1:14" s="89" customFormat="1">
      <c r="A13" s="93" t="s">
        <v>39</v>
      </c>
      <c r="B13" s="42">
        <v>0</v>
      </c>
      <c r="C13" s="42">
        <v>0</v>
      </c>
      <c r="D13" s="42">
        <v>0</v>
      </c>
      <c r="E13" s="42">
        <v>0</v>
      </c>
      <c r="F13" s="45">
        <f t="shared" si="0"/>
        <v>0</v>
      </c>
      <c r="G13" s="42">
        <v>0</v>
      </c>
      <c r="H13" s="49">
        <f t="shared" si="1"/>
        <v>0</v>
      </c>
      <c r="N13" s="602"/>
    </row>
    <row r="14" spans="1:14" s="89" customFormat="1">
      <c r="A14" s="93" t="s">
        <v>50</v>
      </c>
      <c r="B14" s="42">
        <v>0</v>
      </c>
      <c r="C14" s="42">
        <v>0</v>
      </c>
      <c r="D14" s="42">
        <v>0</v>
      </c>
      <c r="E14" s="42">
        <v>0</v>
      </c>
      <c r="F14" s="45">
        <f t="shared" si="0"/>
        <v>0</v>
      </c>
      <c r="G14" s="42">
        <v>0</v>
      </c>
      <c r="H14" s="49">
        <f t="shared" si="1"/>
        <v>0</v>
      </c>
      <c r="N14" s="602"/>
    </row>
    <row r="15" spans="1:14" s="89" customFormat="1">
      <c r="A15" s="93" t="s">
        <v>28</v>
      </c>
      <c r="B15" s="42">
        <v>0</v>
      </c>
      <c r="C15" s="42">
        <v>0</v>
      </c>
      <c r="D15" s="42">
        <v>0</v>
      </c>
      <c r="E15" s="42">
        <v>0</v>
      </c>
      <c r="F15" s="45">
        <f t="shared" si="0"/>
        <v>0</v>
      </c>
      <c r="G15" s="42">
        <v>0</v>
      </c>
      <c r="H15" s="49">
        <f t="shared" si="1"/>
        <v>0</v>
      </c>
      <c r="N15" s="602"/>
    </row>
    <row r="16" spans="1:14" s="89" customFormat="1">
      <c r="A16" s="95" t="s">
        <v>9</v>
      </c>
      <c r="B16" s="46">
        <f t="shared" ref="B16:G16" si="2">SUM(B8:B15)</f>
        <v>0</v>
      </c>
      <c r="C16" s="46">
        <f t="shared" si="2"/>
        <v>0</v>
      </c>
      <c r="D16" s="46">
        <f t="shared" si="2"/>
        <v>0</v>
      </c>
      <c r="E16" s="46">
        <f t="shared" si="2"/>
        <v>0</v>
      </c>
      <c r="F16" s="46">
        <f t="shared" si="2"/>
        <v>0</v>
      </c>
      <c r="G16" s="46">
        <f t="shared" si="2"/>
        <v>0</v>
      </c>
      <c r="H16" s="695">
        <f t="shared" si="1"/>
        <v>0</v>
      </c>
      <c r="N16" s="602"/>
    </row>
    <row r="17" spans="1:14" s="89" customFormat="1">
      <c r="A17" s="26" t="s">
        <v>19</v>
      </c>
      <c r="B17" s="42"/>
      <c r="C17" s="50"/>
      <c r="D17" s="50"/>
      <c r="E17" s="60"/>
      <c r="F17" s="42"/>
      <c r="G17" s="42"/>
      <c r="H17" s="48"/>
      <c r="N17" s="602"/>
    </row>
    <row r="18" spans="1:14" s="89" customFormat="1">
      <c r="A18" s="96" t="s">
        <v>280</v>
      </c>
      <c r="B18" s="42">
        <v>2524288</v>
      </c>
      <c r="C18" s="42">
        <v>0</v>
      </c>
      <c r="D18" s="42">
        <v>0</v>
      </c>
      <c r="E18" s="42">
        <v>0</v>
      </c>
      <c r="F18" s="45">
        <f t="shared" ref="F18:F25" si="3">E18-C18</f>
        <v>0</v>
      </c>
      <c r="G18" s="42">
        <v>2524288</v>
      </c>
      <c r="H18" s="49">
        <f t="shared" ref="H18:H27" si="4">G18-C18</f>
        <v>2524288</v>
      </c>
      <c r="N18" s="602"/>
    </row>
    <row r="19" spans="1:14" s="89" customFormat="1">
      <c r="A19" s="96" t="s">
        <v>40</v>
      </c>
      <c r="B19" s="42">
        <v>0</v>
      </c>
      <c r="C19" s="42">
        <v>0</v>
      </c>
      <c r="D19" s="42">
        <v>0</v>
      </c>
      <c r="E19" s="60">
        <v>0</v>
      </c>
      <c r="F19" s="45">
        <f t="shared" si="3"/>
        <v>0</v>
      </c>
      <c r="G19" s="42">
        <v>0</v>
      </c>
      <c r="H19" s="49">
        <f t="shared" si="4"/>
        <v>0</v>
      </c>
      <c r="N19" s="602"/>
    </row>
    <row r="20" spans="1:14" s="89" customFormat="1">
      <c r="A20" s="96" t="s">
        <v>41</v>
      </c>
      <c r="B20" s="42">
        <v>0</v>
      </c>
      <c r="C20" s="42">
        <v>0</v>
      </c>
      <c r="D20" s="42">
        <v>0</v>
      </c>
      <c r="E20" s="60">
        <v>0</v>
      </c>
      <c r="F20" s="45">
        <f t="shared" si="3"/>
        <v>0</v>
      </c>
      <c r="G20" s="42">
        <v>0</v>
      </c>
      <c r="H20" s="49">
        <f t="shared" si="4"/>
        <v>0</v>
      </c>
      <c r="N20" s="602"/>
    </row>
    <row r="21" spans="1:14" s="89" customFormat="1">
      <c r="A21" s="96" t="s">
        <v>42</v>
      </c>
      <c r="B21" s="42">
        <v>0</v>
      </c>
      <c r="C21" s="42">
        <v>0</v>
      </c>
      <c r="D21" s="42">
        <v>0</v>
      </c>
      <c r="E21" s="60">
        <v>0</v>
      </c>
      <c r="F21" s="45">
        <f t="shared" si="3"/>
        <v>0</v>
      </c>
      <c r="G21" s="42">
        <v>0</v>
      </c>
      <c r="H21" s="49">
        <f t="shared" si="4"/>
        <v>0</v>
      </c>
      <c r="N21" s="602"/>
    </row>
    <row r="22" spans="1:14" s="89" customFormat="1">
      <c r="A22" s="96" t="s">
        <v>43</v>
      </c>
      <c r="B22" s="42">
        <v>0</v>
      </c>
      <c r="C22" s="42">
        <v>0</v>
      </c>
      <c r="D22" s="42">
        <v>0</v>
      </c>
      <c r="E22" s="60">
        <v>0</v>
      </c>
      <c r="F22" s="45">
        <f t="shared" si="3"/>
        <v>0</v>
      </c>
      <c r="G22" s="42">
        <v>0</v>
      </c>
      <c r="H22" s="49">
        <f t="shared" si="4"/>
        <v>0</v>
      </c>
      <c r="N22" s="602"/>
    </row>
    <row r="23" spans="1:14" s="89" customFormat="1">
      <c r="A23" s="97" t="s">
        <v>44</v>
      </c>
      <c r="B23" s="42">
        <v>0</v>
      </c>
      <c r="C23" s="42">
        <v>0</v>
      </c>
      <c r="D23" s="42">
        <v>0</v>
      </c>
      <c r="E23" s="60">
        <v>0</v>
      </c>
      <c r="F23" s="45">
        <f t="shared" si="3"/>
        <v>0</v>
      </c>
      <c r="G23" s="42">
        <v>0</v>
      </c>
      <c r="H23" s="49">
        <f t="shared" si="4"/>
        <v>0</v>
      </c>
      <c r="N23" s="602"/>
    </row>
    <row r="24" spans="1:14" s="89" customFormat="1">
      <c r="A24" s="66" t="s">
        <v>45</v>
      </c>
      <c r="B24" s="42">
        <v>0</v>
      </c>
      <c r="C24" s="42">
        <v>0</v>
      </c>
      <c r="D24" s="42">
        <v>0</v>
      </c>
      <c r="E24" s="60">
        <v>0</v>
      </c>
      <c r="F24" s="45">
        <f t="shared" si="3"/>
        <v>0</v>
      </c>
      <c r="G24" s="42">
        <v>0</v>
      </c>
      <c r="H24" s="49">
        <f t="shared" si="4"/>
        <v>0</v>
      </c>
      <c r="N24" s="602"/>
    </row>
    <row r="25" spans="1:14" s="89" customFormat="1">
      <c r="A25" s="66" t="s">
        <v>301</v>
      </c>
      <c r="B25" s="42">
        <v>125188</v>
      </c>
      <c r="C25" s="42">
        <v>0</v>
      </c>
      <c r="D25" s="42">
        <v>0</v>
      </c>
      <c r="E25" s="60">
        <v>0</v>
      </c>
      <c r="F25" s="45">
        <f t="shared" si="3"/>
        <v>0</v>
      </c>
      <c r="G25" s="42">
        <f>'236.04 OLD'!E41</f>
        <v>125188</v>
      </c>
      <c r="H25" s="49">
        <f t="shared" si="4"/>
        <v>125188</v>
      </c>
      <c r="N25" s="602"/>
    </row>
    <row r="26" spans="1:14" s="89" customFormat="1">
      <c r="A26" s="26" t="s">
        <v>20</v>
      </c>
      <c r="B26" s="28">
        <f t="shared" ref="B26:G26" si="5">SUM(B18:B25)</f>
        <v>2649476</v>
      </c>
      <c r="C26" s="28">
        <f t="shared" si="5"/>
        <v>0</v>
      </c>
      <c r="D26" s="28">
        <f t="shared" si="5"/>
        <v>0</v>
      </c>
      <c r="E26" s="28">
        <f t="shared" si="5"/>
        <v>0</v>
      </c>
      <c r="F26" s="28">
        <f t="shared" si="5"/>
        <v>0</v>
      </c>
      <c r="G26" s="28">
        <f t="shared" si="5"/>
        <v>2649476</v>
      </c>
      <c r="H26" s="48">
        <f t="shared" si="4"/>
        <v>2649476</v>
      </c>
      <c r="N26" s="602"/>
    </row>
    <row r="27" spans="1:14" s="89" customFormat="1" ht="13.5" thickBot="1">
      <c r="A27" s="642" t="s">
        <v>21</v>
      </c>
      <c r="B27" s="643">
        <f t="shared" ref="B27:G27" si="6">B16+B26</f>
        <v>2649476</v>
      </c>
      <c r="C27" s="643">
        <f t="shared" si="6"/>
        <v>0</v>
      </c>
      <c r="D27" s="643">
        <f t="shared" si="6"/>
        <v>0</v>
      </c>
      <c r="E27" s="643">
        <f t="shared" si="6"/>
        <v>0</v>
      </c>
      <c r="F27" s="643">
        <f t="shared" si="6"/>
        <v>0</v>
      </c>
      <c r="G27" s="643">
        <f t="shared" si="6"/>
        <v>2649476</v>
      </c>
      <c r="H27" s="645">
        <f t="shared" si="4"/>
        <v>2649476</v>
      </c>
      <c r="N27" s="602"/>
    </row>
    <row r="28" spans="1:14" s="89" customFormat="1" ht="13.5" thickTop="1">
      <c r="A28" s="88"/>
      <c r="B28" s="48"/>
      <c r="C28" s="48"/>
      <c r="D28" s="48"/>
      <c r="E28" s="62"/>
      <c r="F28" s="63"/>
      <c r="G28" s="48"/>
      <c r="H28" s="48"/>
      <c r="N28" s="602"/>
    </row>
    <row r="29" spans="1:14" s="89" customFormat="1">
      <c r="A29" s="644" t="s">
        <v>10</v>
      </c>
      <c r="B29" s="49"/>
      <c r="C29" s="48"/>
      <c r="D29" s="48"/>
      <c r="E29" s="62"/>
      <c r="F29" s="63"/>
      <c r="G29" s="49"/>
      <c r="H29" s="49"/>
      <c r="N29" s="602"/>
    </row>
    <row r="30" spans="1:14" s="89" customFormat="1">
      <c r="A30" s="93" t="s">
        <v>11</v>
      </c>
      <c r="B30" s="48">
        <v>0</v>
      </c>
      <c r="C30" s="50">
        <v>0</v>
      </c>
      <c r="D30" s="50">
        <v>0</v>
      </c>
      <c r="E30" s="50">
        <v>0</v>
      </c>
      <c r="F30" s="45">
        <f t="shared" ref="F30:F36" si="7">C30-E30</f>
        <v>0</v>
      </c>
      <c r="G30" s="48">
        <v>0</v>
      </c>
      <c r="H30" s="49">
        <f t="shared" ref="H30:H37" si="8">C30-G30</f>
        <v>0</v>
      </c>
      <c r="N30" s="602"/>
    </row>
    <row r="31" spans="1:14" s="89" customFormat="1">
      <c r="A31" s="93" t="s">
        <v>12</v>
      </c>
      <c r="B31" s="48">
        <v>0</v>
      </c>
      <c r="C31" s="50">
        <v>0</v>
      </c>
      <c r="D31" s="50">
        <v>0</v>
      </c>
      <c r="E31" s="50">
        <v>0</v>
      </c>
      <c r="F31" s="45">
        <f t="shared" si="7"/>
        <v>0</v>
      </c>
      <c r="G31" s="48">
        <v>0</v>
      </c>
      <c r="H31" s="49">
        <f t="shared" si="8"/>
        <v>0</v>
      </c>
      <c r="N31" s="602">
        <v>0</v>
      </c>
    </row>
    <row r="32" spans="1:14" s="89" customFormat="1">
      <c r="A32" s="93" t="s">
        <v>13</v>
      </c>
      <c r="B32" s="48">
        <v>0</v>
      </c>
      <c r="C32" s="50">
        <v>0</v>
      </c>
      <c r="D32" s="50">
        <v>0</v>
      </c>
      <c r="E32" s="50">
        <v>0</v>
      </c>
      <c r="F32" s="45">
        <f t="shared" si="7"/>
        <v>0</v>
      </c>
      <c r="G32" s="48">
        <v>0</v>
      </c>
      <c r="H32" s="49">
        <f t="shared" si="8"/>
        <v>0</v>
      </c>
      <c r="N32" s="702">
        <v>0</v>
      </c>
    </row>
    <row r="33" spans="1:14" s="89" customFormat="1" ht="13.5" thickBot="1">
      <c r="A33" s="93" t="s">
        <v>14</v>
      </c>
      <c r="B33" s="48">
        <v>0</v>
      </c>
      <c r="C33" s="50">
        <v>0</v>
      </c>
      <c r="D33" s="50">
        <v>0</v>
      </c>
      <c r="E33" s="50">
        <v>0</v>
      </c>
      <c r="F33" s="45">
        <f t="shared" si="7"/>
        <v>0</v>
      </c>
      <c r="G33" s="48">
        <v>0</v>
      </c>
      <c r="H33" s="49">
        <f t="shared" si="8"/>
        <v>0</v>
      </c>
      <c r="N33" s="703">
        <v>0</v>
      </c>
    </row>
    <row r="34" spans="1:14" s="89" customFormat="1" ht="13.5" thickTop="1">
      <c r="A34" s="93" t="s">
        <v>26</v>
      </c>
      <c r="B34" s="48">
        <v>0</v>
      </c>
      <c r="C34" s="50">
        <v>0</v>
      </c>
      <c r="D34" s="50">
        <v>0</v>
      </c>
      <c r="E34" s="50">
        <v>0</v>
      </c>
      <c r="F34" s="45">
        <f t="shared" si="7"/>
        <v>0</v>
      </c>
      <c r="G34" s="48">
        <v>0</v>
      </c>
      <c r="H34" s="49">
        <f t="shared" si="8"/>
        <v>0</v>
      </c>
      <c r="N34" s="88"/>
    </row>
    <row r="35" spans="1:14" s="89" customFormat="1" hidden="1">
      <c r="A35" s="93" t="s">
        <v>15</v>
      </c>
      <c r="B35" s="48">
        <v>0</v>
      </c>
      <c r="C35" s="50">
        <v>0</v>
      </c>
      <c r="D35" s="50">
        <v>0</v>
      </c>
      <c r="E35" s="50">
        <v>0</v>
      </c>
      <c r="F35" s="45">
        <f t="shared" si="7"/>
        <v>0</v>
      </c>
      <c r="G35" s="48">
        <v>0</v>
      </c>
      <c r="H35" s="49">
        <f t="shared" si="8"/>
        <v>0</v>
      </c>
    </row>
    <row r="36" spans="1:14" s="89" customFormat="1" hidden="1">
      <c r="A36" s="93" t="s">
        <v>16</v>
      </c>
      <c r="B36" s="48">
        <v>2549476</v>
      </c>
      <c r="C36" s="48">
        <v>0</v>
      </c>
      <c r="D36" s="48">
        <v>0</v>
      </c>
      <c r="E36" s="48">
        <v>0</v>
      </c>
      <c r="F36" s="45">
        <f t="shared" si="7"/>
        <v>0</v>
      </c>
      <c r="G36" s="48">
        <v>2549476</v>
      </c>
      <c r="H36" s="49">
        <f t="shared" si="8"/>
        <v>-2549476</v>
      </c>
    </row>
    <row r="37" spans="1:14" s="89" customFormat="1" hidden="1">
      <c r="A37" s="95" t="s">
        <v>22</v>
      </c>
      <c r="B37" s="46">
        <f t="shared" ref="B37:G37" si="9">SUM(B30:B36)</f>
        <v>2549476</v>
      </c>
      <c r="C37" s="46">
        <f t="shared" si="9"/>
        <v>0</v>
      </c>
      <c r="D37" s="46">
        <f t="shared" si="9"/>
        <v>0</v>
      </c>
      <c r="E37" s="46">
        <f t="shared" si="9"/>
        <v>0</v>
      </c>
      <c r="F37" s="46">
        <f t="shared" si="9"/>
        <v>0</v>
      </c>
      <c r="G37" s="46">
        <f t="shared" si="9"/>
        <v>2549476</v>
      </c>
      <c r="H37" s="695">
        <f t="shared" si="8"/>
        <v>-2549476</v>
      </c>
    </row>
    <row r="38" spans="1:14" s="89" customFormat="1">
      <c r="A38" s="26" t="s">
        <v>23</v>
      </c>
      <c r="B38" s="50"/>
      <c r="C38" s="50"/>
      <c r="D38" s="50"/>
      <c r="E38" s="60"/>
      <c r="F38" s="50"/>
      <c r="G38" s="50"/>
      <c r="H38" s="48"/>
    </row>
    <row r="39" spans="1:14" s="89" customFormat="1">
      <c r="A39" s="96"/>
      <c r="B39" s="50"/>
      <c r="C39" s="50"/>
      <c r="D39" s="50"/>
      <c r="E39" s="60"/>
      <c r="F39" s="50"/>
      <c r="G39" s="50"/>
      <c r="H39" s="49"/>
    </row>
    <row r="40" spans="1:14">
      <c r="A40" s="41" t="s">
        <v>38</v>
      </c>
      <c r="B40" s="13">
        <v>0</v>
      </c>
      <c r="C40" s="13">
        <v>0</v>
      </c>
      <c r="D40" s="13">
        <v>0</v>
      </c>
      <c r="E40" s="14">
        <v>0</v>
      </c>
      <c r="F40" s="17">
        <f>C40-E40</f>
        <v>0</v>
      </c>
      <c r="G40" s="13">
        <v>0</v>
      </c>
      <c r="H40" s="9">
        <f>C40-G40</f>
        <v>0</v>
      </c>
    </row>
    <row r="41" spans="1:14">
      <c r="A41" s="41" t="s">
        <v>283</v>
      </c>
      <c r="B41" s="13">
        <v>100000</v>
      </c>
      <c r="C41" s="13">
        <v>0</v>
      </c>
      <c r="D41" s="13">
        <v>0</v>
      </c>
      <c r="E41" s="60">
        <v>0</v>
      </c>
      <c r="F41" s="17">
        <f>C41-E41</f>
        <v>0</v>
      </c>
      <c r="G41" s="73">
        <v>100000</v>
      </c>
      <c r="H41" s="9">
        <f>C41-G41</f>
        <v>-100000</v>
      </c>
      <c r="I41" s="16" t="s">
        <v>191</v>
      </c>
    </row>
    <row r="42" spans="1:14">
      <c r="A42" s="41"/>
      <c r="B42" s="13"/>
      <c r="C42" s="13"/>
      <c r="D42" s="13"/>
      <c r="E42" s="14" t="s">
        <v>58</v>
      </c>
      <c r="F42" s="13"/>
      <c r="G42" s="13"/>
      <c r="H42" s="10"/>
    </row>
    <row r="43" spans="1:14">
      <c r="A43" s="37" t="s">
        <v>24</v>
      </c>
      <c r="B43" s="38">
        <f t="shared" ref="B43:G43" si="10">SUM(B39:B42)</f>
        <v>100000</v>
      </c>
      <c r="C43" s="38">
        <f t="shared" si="10"/>
        <v>0</v>
      </c>
      <c r="D43" s="38">
        <f t="shared" si="10"/>
        <v>0</v>
      </c>
      <c r="E43" s="38">
        <f t="shared" si="10"/>
        <v>0</v>
      </c>
      <c r="F43" s="38">
        <f t="shared" si="10"/>
        <v>0</v>
      </c>
      <c r="G43" s="38">
        <f t="shared" si="10"/>
        <v>100000</v>
      </c>
      <c r="H43" s="40">
        <f>C43-G43</f>
        <v>-100000</v>
      </c>
    </row>
    <row r="44" spans="1:14" ht="12.75" customHeight="1" thickBot="1">
      <c r="A44" s="55" t="s">
        <v>25</v>
      </c>
      <c r="B44" s="59">
        <f t="shared" ref="B44:G44" si="11">B37+B43</f>
        <v>2649476</v>
      </c>
      <c r="C44" s="59">
        <f t="shared" si="11"/>
        <v>0</v>
      </c>
      <c r="D44" s="59">
        <f t="shared" si="11"/>
        <v>0</v>
      </c>
      <c r="E44" s="59">
        <f t="shared" si="11"/>
        <v>0</v>
      </c>
      <c r="F44" s="59">
        <f t="shared" si="11"/>
        <v>0</v>
      </c>
      <c r="G44" s="59">
        <f t="shared" si="11"/>
        <v>2649476</v>
      </c>
      <c r="H44" s="56">
        <f>C44-G44</f>
        <v>-2649476</v>
      </c>
    </row>
    <row r="45" spans="1:14" ht="13.5" thickTop="1">
      <c r="A45" s="26" t="s">
        <v>17</v>
      </c>
      <c r="B45" s="202">
        <f t="shared" ref="B45:G45" si="12">B27-B44</f>
        <v>0</v>
      </c>
      <c r="C45" s="202">
        <f t="shared" si="12"/>
        <v>0</v>
      </c>
      <c r="D45" s="202">
        <f t="shared" si="12"/>
        <v>0</v>
      </c>
      <c r="E45" s="202">
        <f t="shared" si="12"/>
        <v>0</v>
      </c>
      <c r="F45" s="202">
        <f t="shared" si="12"/>
        <v>0</v>
      </c>
      <c r="G45" s="267">
        <f t="shared" si="12"/>
        <v>0</v>
      </c>
    </row>
    <row r="46" spans="1:14" ht="12.75" customHeight="1">
      <c r="A46" s="26" t="s">
        <v>213</v>
      </c>
      <c r="B46" s="26" t="s">
        <v>97</v>
      </c>
      <c r="C46" s="28"/>
      <c r="D46" s="28"/>
      <c r="E46" s="29"/>
      <c r="F46" s="28"/>
      <c r="G46" s="2"/>
    </row>
    <row r="47" spans="1:14" ht="12.75" customHeight="1" thickBot="1">
      <c r="A47" s="30" t="s">
        <v>18</v>
      </c>
      <c r="B47" s="30"/>
      <c r="C47" s="16"/>
      <c r="D47" s="16"/>
      <c r="F47" s="32"/>
      <c r="K47" s="16" t="s">
        <v>72</v>
      </c>
    </row>
    <row r="48" spans="1:14" ht="12.75" customHeight="1">
      <c r="A48" s="30" t="s">
        <v>287</v>
      </c>
      <c r="B48" s="30"/>
      <c r="C48" s="16"/>
      <c r="D48" s="24"/>
      <c r="E48" s="191" t="s">
        <v>189</v>
      </c>
      <c r="F48" s="163" t="s">
        <v>205</v>
      </c>
      <c r="G48" s="163" t="s">
        <v>190</v>
      </c>
      <c r="H48" s="222"/>
    </row>
    <row r="49" spans="1:10" ht="12.75" customHeight="1">
      <c r="A49" s="16" t="s">
        <v>58</v>
      </c>
      <c r="D49" s="24"/>
      <c r="E49" s="210">
        <v>0</v>
      </c>
      <c r="F49" s="218">
        <v>7201</v>
      </c>
      <c r="G49" s="269">
        <v>214475.94</v>
      </c>
      <c r="H49" s="119" t="s">
        <v>304</v>
      </c>
      <c r="I49" s="226" t="s">
        <v>58</v>
      </c>
      <c r="J49" s="227" t="s">
        <v>58</v>
      </c>
    </row>
    <row r="50" spans="1:10" ht="12.75" customHeight="1">
      <c r="A50" s="33" t="s">
        <v>175</v>
      </c>
      <c r="B50" s="33"/>
      <c r="D50" s="2"/>
      <c r="E50" s="211">
        <v>0</v>
      </c>
      <c r="F50" s="219">
        <v>7305</v>
      </c>
      <c r="G50" s="270">
        <v>0</v>
      </c>
      <c r="H50" s="119" t="s">
        <v>304</v>
      </c>
      <c r="I50" s="2"/>
    </row>
    <row r="51" spans="1:10" ht="12.75" customHeight="1">
      <c r="B51" s="16" t="s">
        <v>214</v>
      </c>
      <c r="D51" s="2"/>
      <c r="E51" s="212">
        <v>0</v>
      </c>
      <c r="F51" s="219">
        <v>7101</v>
      </c>
      <c r="G51" s="270">
        <v>2335000</v>
      </c>
      <c r="H51" s="119" t="s">
        <v>305</v>
      </c>
      <c r="I51" s="24" t="s">
        <v>306</v>
      </c>
      <c r="J51" s="1" t="s">
        <v>58</v>
      </c>
    </row>
    <row r="52" spans="1:10" ht="12.75" customHeight="1" thickBot="1">
      <c r="B52" s="217" t="s">
        <v>215</v>
      </c>
      <c r="C52" s="225"/>
      <c r="D52" s="225"/>
      <c r="E52" s="124">
        <f>SUM(E49:E51)</f>
        <v>0</v>
      </c>
      <c r="F52" s="112"/>
      <c r="G52" s="268">
        <f>SUM(G49:G51)</f>
        <v>2549475.94</v>
      </c>
      <c r="H52" s="126"/>
      <c r="I52" s="24"/>
    </row>
    <row r="53" spans="1:10" ht="12.75" customHeight="1" thickTop="1">
      <c r="B53" s="225"/>
      <c r="C53" s="225"/>
      <c r="D53" s="225"/>
      <c r="E53" s="1"/>
      <c r="H53" s="2"/>
      <c r="I53" s="2"/>
    </row>
    <row r="54" spans="1:10" ht="12.75" customHeight="1">
      <c r="E54" s="1"/>
      <c r="I54" s="2"/>
    </row>
    <row r="55" spans="1:10" ht="12.75" customHeight="1">
      <c r="F55" s="32"/>
    </row>
    <row r="56" spans="1:10" ht="12.75" customHeight="1">
      <c r="F56" s="32"/>
    </row>
    <row r="57" spans="1:10" ht="12.75" customHeight="1">
      <c r="F57" s="32"/>
    </row>
    <row r="58" spans="1:10" ht="12.75" customHeight="1">
      <c r="F58" s="32"/>
    </row>
    <row r="59" spans="1:10" ht="12.75" customHeight="1">
      <c r="F59" s="32"/>
    </row>
    <row r="60" spans="1:10" ht="12.75" customHeight="1">
      <c r="F60" s="32"/>
    </row>
    <row r="61" spans="1:10" ht="12.75" customHeight="1">
      <c r="F61" s="32"/>
    </row>
    <row r="62" spans="1:10" ht="12.75" customHeight="1">
      <c r="F62" s="32"/>
    </row>
    <row r="63" spans="1:10" ht="12.75" customHeight="1">
      <c r="F63" s="32"/>
    </row>
    <row r="64" spans="1:10" ht="12.75" customHeight="1">
      <c r="F64" s="32"/>
    </row>
    <row r="65" spans="6:6" ht="12.75" customHeight="1">
      <c r="F65" s="32"/>
    </row>
    <row r="66" spans="6:6" ht="12.75" customHeight="1">
      <c r="F66" s="32"/>
    </row>
    <row r="67" spans="6:6" ht="12.75" customHeight="1">
      <c r="F67" s="32"/>
    </row>
    <row r="68" spans="6:6" ht="12.75" customHeight="1">
      <c r="F68" s="32"/>
    </row>
    <row r="69" spans="6:6" ht="12.75" customHeight="1">
      <c r="F69" s="32"/>
    </row>
    <row r="70" spans="6:6" ht="12.75" customHeight="1">
      <c r="F70" s="32"/>
    </row>
    <row r="71" spans="6:6" ht="12.75" customHeight="1">
      <c r="F71" s="32"/>
    </row>
    <row r="72" spans="6:6" ht="12.75" customHeight="1">
      <c r="F72" s="32"/>
    </row>
    <row r="73" spans="6:6" ht="12.75" customHeight="1">
      <c r="F73" s="32"/>
    </row>
    <row r="74" spans="6:6" ht="12.75" customHeight="1">
      <c r="F74" s="32"/>
    </row>
    <row r="75" spans="6:6" ht="12.75" customHeight="1">
      <c r="F75" s="32"/>
    </row>
    <row r="76" spans="6:6" ht="12.75" customHeight="1">
      <c r="F76" s="32"/>
    </row>
    <row r="77" spans="6:6" ht="12.75" customHeight="1">
      <c r="F77" s="32"/>
    </row>
    <row r="78" spans="6:6" ht="12.75" customHeight="1">
      <c r="F78" s="32"/>
    </row>
    <row r="79" spans="6:6" ht="12.75" customHeight="1">
      <c r="F79" s="32"/>
    </row>
    <row r="80" spans="6:6" ht="12.75" customHeight="1">
      <c r="F80" s="32"/>
    </row>
    <row r="81" spans="6:6" ht="12.75" customHeight="1">
      <c r="F81" s="32"/>
    </row>
    <row r="82" spans="6:6" ht="12.75" customHeight="1">
      <c r="F82" s="32"/>
    </row>
    <row r="83" spans="6:6" ht="12.75" customHeight="1">
      <c r="F83" s="32"/>
    </row>
    <row r="84" spans="6:6" ht="12.75" customHeight="1">
      <c r="F84" s="34"/>
    </row>
    <row r="85" spans="6:6" ht="12.75" customHeight="1">
      <c r="F85" s="34"/>
    </row>
    <row r="86" spans="6:6" ht="12.75" customHeight="1">
      <c r="F86" s="34"/>
    </row>
    <row r="87" spans="6:6" ht="12.75" customHeight="1">
      <c r="F87" s="34"/>
    </row>
    <row r="88" spans="6:6" ht="12.75" customHeight="1">
      <c r="F88" s="34"/>
    </row>
    <row r="89" spans="6:6" ht="12.75" customHeight="1">
      <c r="F89" s="34"/>
    </row>
    <row r="90" spans="6:6" ht="12.75" customHeight="1">
      <c r="F90" s="34"/>
    </row>
    <row r="91" spans="6:6" ht="12.75" customHeight="1">
      <c r="F91" s="34"/>
    </row>
    <row r="92" spans="6:6" ht="12.75" customHeight="1">
      <c r="F92" s="34"/>
    </row>
    <row r="93" spans="6:6" ht="12.75" customHeight="1">
      <c r="F93" s="34"/>
    </row>
    <row r="94" spans="6:6" ht="12.75" customHeight="1">
      <c r="F94" s="34"/>
    </row>
    <row r="95" spans="6:6" ht="12.75" customHeight="1">
      <c r="F95" s="34"/>
    </row>
    <row r="96" spans="6:6" ht="12.75" customHeight="1">
      <c r="F96" s="34"/>
    </row>
    <row r="97" spans="6:6" ht="12.75" customHeight="1">
      <c r="F97" s="34"/>
    </row>
    <row r="98" spans="6:6" ht="12.75" customHeight="1">
      <c r="F98" s="34"/>
    </row>
    <row r="99" spans="6:6" ht="12.75" customHeight="1">
      <c r="F99" s="34"/>
    </row>
    <row r="100" spans="6:6" ht="12.75" customHeight="1">
      <c r="F100" s="34"/>
    </row>
    <row r="101" spans="6:6" ht="12.75" customHeight="1">
      <c r="F101" s="34"/>
    </row>
    <row r="102" spans="6:6" ht="12.75" customHeight="1">
      <c r="F102" s="34"/>
    </row>
    <row r="103" spans="6:6" ht="12.75" customHeight="1">
      <c r="F103" s="34"/>
    </row>
    <row r="104" spans="6:6" ht="12.75" customHeight="1">
      <c r="F104" s="34"/>
    </row>
    <row r="105" spans="6:6" ht="12.75" customHeight="1">
      <c r="F105" s="34"/>
    </row>
    <row r="106" spans="6:6" ht="12.75" customHeight="1">
      <c r="F106" s="34"/>
    </row>
    <row r="107" spans="6:6" ht="12.75" customHeight="1">
      <c r="F107" s="34"/>
    </row>
    <row r="108" spans="6:6" ht="12.75" customHeight="1">
      <c r="F108" s="34"/>
    </row>
    <row r="109" spans="6:6" ht="12.75" customHeight="1">
      <c r="F109" s="34"/>
    </row>
    <row r="110" spans="6:6" ht="12.75" customHeight="1">
      <c r="F110" s="34"/>
    </row>
    <row r="111" spans="6:6" ht="12.75" customHeight="1">
      <c r="F111" s="34"/>
    </row>
    <row r="112" spans="6:6" ht="12.75" customHeight="1">
      <c r="F112" s="34"/>
    </row>
    <row r="113" spans="6:6" ht="12.75" customHeight="1">
      <c r="F113" s="34"/>
    </row>
    <row r="114" spans="6:6" ht="12.75" customHeight="1">
      <c r="F114" s="34"/>
    </row>
    <row r="115" spans="6:6" ht="12.75" customHeight="1">
      <c r="F115" s="34"/>
    </row>
    <row r="116" spans="6:6" ht="12.75" customHeight="1">
      <c r="F116" s="34"/>
    </row>
    <row r="117" spans="6:6" ht="12.75" customHeight="1">
      <c r="F117" s="34"/>
    </row>
    <row r="118" spans="6:6" ht="12.75" customHeight="1">
      <c r="F118" s="34"/>
    </row>
    <row r="119" spans="6:6" ht="12.75" customHeight="1">
      <c r="F119" s="34"/>
    </row>
    <row r="120" spans="6:6" ht="12.75" customHeight="1">
      <c r="F120" s="34"/>
    </row>
    <row r="121" spans="6:6" ht="12.75" customHeight="1">
      <c r="F121" s="34"/>
    </row>
    <row r="122" spans="6:6" ht="12.75" customHeight="1">
      <c r="F122" s="34"/>
    </row>
    <row r="123" spans="6:6" ht="12.75" customHeight="1">
      <c r="F123" s="34"/>
    </row>
    <row r="124" spans="6:6" ht="12.75" customHeight="1">
      <c r="F124" s="34"/>
    </row>
    <row r="125" spans="6:6" ht="12.75" customHeight="1">
      <c r="F125" s="34"/>
    </row>
    <row r="126" spans="6:6" ht="12.75" customHeight="1">
      <c r="F126" s="34"/>
    </row>
  </sheetData>
  <customSheetViews>
    <customSheetView guid="{C8E99144-FF29-42D8-8D33-2038AA9D760E}" scale="75" showPageBreaks="1" view="pageBreakPreview" showRuler="0">
      <pane xSplit="1" ySplit="4" topLeftCell="B5" activePane="bottomRight" state="frozen"/>
      <selection pane="bottomRight" activeCell="G17" sqref="G17"/>
      <pageMargins left="0.75" right="0.75" top="0.49" bottom="0.48" header="0.5" footer="0.5"/>
      <pageSetup scale="75" orientation="landscape" horizontalDpi="300" verticalDpi="300" r:id="rId1"/>
      <headerFooter alignWithMargins="0"/>
    </customSheetView>
    <customSheetView guid="{7FD41845-6BD4-448F-810C-049EFA55EC1B}" scale="75" showPageBreaks="1" printArea="1" view="pageBreakPreview">
      <pane xSplit="1" ySplit="4" topLeftCell="C28" activePane="bottomRight" state="frozen"/>
      <selection pane="bottomRight" activeCell="K46" sqref="K46"/>
      <pageMargins left="0.75" right="0.75" top="0.49" bottom="0.48" header="0.5" footer="0.5"/>
      <pageSetup scale="75" orientation="landscape" horizontalDpi="300" verticalDpi="300" r:id="rId2"/>
      <headerFooter alignWithMargins="0"/>
    </customSheetView>
    <customSheetView guid="{8B0AB125-4209-45BF-9ABD-74BE01FD7C48}" scale="75" showPageBreaks="1" view="pageBreakPreview" showRuler="0">
      <pane xSplit="1" ySplit="4" topLeftCell="C5" activePane="bottomRight" state="frozen"/>
      <selection pane="bottomRight" activeCell="G18" sqref="G18"/>
      <pageMargins left="0.75" right="0.75" top="0.49" bottom="0.48" header="0.5" footer="0.5"/>
      <pageSetup scale="75" orientation="landscape" horizontalDpi="300" verticalDpi="300" r:id="rId3"/>
      <headerFooter alignWithMargins="0"/>
    </customSheetView>
  </customSheetViews>
  <mergeCells count="3">
    <mergeCell ref="A1:H1"/>
    <mergeCell ref="A2:G2"/>
    <mergeCell ref="B3:N3"/>
  </mergeCells>
  <phoneticPr fontId="0" type="noConversion"/>
  <pageMargins left="0.75" right="0.75" top="0.49" bottom="0.48" header="0.5" footer="0.5"/>
  <pageSetup scale="75" orientation="landscape" horizontalDpi="300" verticalDpi="300" r:id="rId4"/>
  <headerFooter alignWithMargins="0"/>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tabColor indexed="36"/>
    <pageSetUpPr fitToPage="1"/>
  </sheetPr>
  <dimension ref="A1:N126"/>
  <sheetViews>
    <sheetView showGridLines="0" showRuler="0" view="pageBreakPreview" zoomScale="75" zoomScaleNormal="8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42.42578125" style="1" hidden="1" customWidth="1"/>
    <col min="2" max="2" width="18.28515625" style="1" customWidth="1"/>
    <col min="3" max="3" width="16.42578125" style="1" customWidth="1"/>
    <col min="4" max="4" width="13.42578125" style="1" bestFit="1" customWidth="1"/>
    <col min="5" max="5" width="18.7109375" style="1" customWidth="1"/>
    <col min="6" max="6" width="16.42578125" style="1" customWidth="1"/>
    <col min="7" max="7" width="17.7109375" style="1" customWidth="1"/>
    <col min="8" max="8" width="18.42578125" style="1" customWidth="1"/>
    <col min="9" max="9" width="17.140625" style="1" customWidth="1"/>
    <col min="10" max="10" width="11.5703125" style="1" customWidth="1"/>
    <col min="11" max="11" width="14.28515625" style="1" customWidth="1"/>
    <col min="12" max="12" width="15.42578125" style="1" customWidth="1"/>
    <col min="13" max="16384" width="6.85546875" style="1"/>
  </cols>
  <sheetData>
    <row r="1" spans="1:14" ht="44.25" hidden="1">
      <c r="A1" s="1751" t="s">
        <v>284</v>
      </c>
      <c r="B1" s="1751"/>
      <c r="C1" s="1751"/>
      <c r="D1" s="1751"/>
      <c r="E1" s="1751"/>
      <c r="F1" s="1751"/>
      <c r="G1" s="1751"/>
      <c r="H1" s="1751"/>
      <c r="N1" s="593" t="str">
        <f>PROPER(B1)</f>
        <v/>
      </c>
    </row>
    <row r="2" spans="1:14" s="86" customFormat="1" ht="19.5" customHeight="1">
      <c r="A2" s="223" t="s">
        <v>58</v>
      </c>
      <c r="C2" s="1751" t="s">
        <v>318</v>
      </c>
      <c r="D2" s="1751"/>
      <c r="E2" s="1751"/>
      <c r="H2" s="258" t="s">
        <v>91</v>
      </c>
    </row>
    <row r="3" spans="1:14" s="86" customFormat="1" ht="19.5" customHeight="1">
      <c r="A3" s="223"/>
      <c r="B3" s="1754" t="str">
        <f>PROPER(B1)</f>
        <v/>
      </c>
      <c r="C3" s="1754"/>
      <c r="D3" s="1754"/>
      <c r="E3" s="1754"/>
      <c r="F3" s="1754"/>
      <c r="G3" s="1754"/>
      <c r="H3" s="1754"/>
      <c r="I3" s="1754"/>
      <c r="J3" s="1754"/>
      <c r="K3" s="1754"/>
      <c r="L3" s="1754"/>
      <c r="M3" s="1754"/>
      <c r="N3" s="1754"/>
    </row>
    <row r="4" spans="1:14" ht="12.75" customHeight="1">
      <c r="A4" s="86"/>
      <c r="B4" s="86"/>
      <c r="C4" s="86" t="s">
        <v>64</v>
      </c>
      <c r="D4" s="91" t="s">
        <v>64</v>
      </c>
      <c r="E4" s="86"/>
      <c r="F4" s="91" t="s">
        <v>86</v>
      </c>
      <c r="G4" s="86"/>
      <c r="H4" s="91" t="s">
        <v>110</v>
      </c>
    </row>
    <row r="5" spans="1:14" ht="39" thickBot="1">
      <c r="A5" s="3" t="s">
        <v>0</v>
      </c>
      <c r="B5" s="5" t="s">
        <v>314</v>
      </c>
      <c r="C5" s="4" t="s">
        <v>315</v>
      </c>
      <c r="D5" s="4" t="s">
        <v>217</v>
      </c>
      <c r="E5" s="5" t="s">
        <v>316</v>
      </c>
      <c r="F5" s="129" t="s">
        <v>1</v>
      </c>
      <c r="G5" s="5" t="s">
        <v>317</v>
      </c>
      <c r="H5" s="129" t="s">
        <v>1</v>
      </c>
    </row>
    <row r="6" spans="1:14">
      <c r="A6" s="2"/>
      <c r="B6" s="9"/>
      <c r="C6" s="2"/>
      <c r="D6" s="2"/>
      <c r="E6" s="9"/>
      <c r="F6" s="9"/>
      <c r="G6" s="10"/>
      <c r="H6" s="10"/>
    </row>
    <row r="7" spans="1:14">
      <c r="A7" s="11" t="s">
        <v>2</v>
      </c>
      <c r="B7" s="9"/>
      <c r="C7" s="12"/>
      <c r="D7" s="13"/>
      <c r="E7" s="9"/>
      <c r="F7" s="9"/>
      <c r="G7" s="9"/>
      <c r="H7" s="9"/>
    </row>
    <row r="8" spans="1:14">
      <c r="A8" s="16" t="s">
        <v>3</v>
      </c>
      <c r="B8" s="17"/>
      <c r="C8" s="12"/>
      <c r="D8" s="13"/>
      <c r="E8" s="17"/>
      <c r="F8" s="17"/>
      <c r="G8" s="9"/>
      <c r="H8" s="9">
        <f t="shared" ref="H8:H15" si="0">G8-C8</f>
        <v>0</v>
      </c>
    </row>
    <row r="9" spans="1:14">
      <c r="A9" s="16" t="s">
        <v>4</v>
      </c>
      <c r="B9" s="17">
        <v>0</v>
      </c>
      <c r="C9" s="12">
        <v>0</v>
      </c>
      <c r="D9" s="12">
        <v>0</v>
      </c>
      <c r="E9" s="17">
        <v>0</v>
      </c>
      <c r="F9" s="60">
        <f t="shared" ref="F9:F15" si="1">E9-C9</f>
        <v>0</v>
      </c>
      <c r="G9" s="9">
        <v>0</v>
      </c>
      <c r="H9" s="9">
        <f t="shared" si="0"/>
        <v>0</v>
      </c>
      <c r="N9" s="601"/>
    </row>
    <row r="10" spans="1:14">
      <c r="A10" s="16" t="s">
        <v>5</v>
      </c>
      <c r="B10" s="17">
        <v>0</v>
      </c>
      <c r="C10" s="12">
        <v>0</v>
      </c>
      <c r="D10" s="12">
        <v>0</v>
      </c>
      <c r="E10" s="17">
        <v>0</v>
      </c>
      <c r="F10" s="60">
        <f t="shared" si="1"/>
        <v>0</v>
      </c>
      <c r="G10" s="9">
        <v>0</v>
      </c>
      <c r="H10" s="9">
        <f t="shared" si="0"/>
        <v>0</v>
      </c>
      <c r="N10" s="601"/>
    </row>
    <row r="11" spans="1:14">
      <c r="A11" s="16" t="s">
        <v>6</v>
      </c>
      <c r="B11" s="17">
        <v>0</v>
      </c>
      <c r="C11" s="12">
        <v>0</v>
      </c>
      <c r="D11" s="12">
        <v>0</v>
      </c>
      <c r="E11" s="17">
        <v>0</v>
      </c>
      <c r="F11" s="60">
        <f t="shared" si="1"/>
        <v>0</v>
      </c>
      <c r="G11" s="9">
        <v>0</v>
      </c>
      <c r="H11" s="9">
        <f t="shared" si="0"/>
        <v>0</v>
      </c>
      <c r="N11" s="601"/>
    </row>
    <row r="12" spans="1:14" s="89" customFormat="1">
      <c r="A12" s="66" t="s">
        <v>7</v>
      </c>
      <c r="B12" s="45">
        <v>0</v>
      </c>
      <c r="C12" s="50">
        <v>0</v>
      </c>
      <c r="D12" s="50">
        <v>0</v>
      </c>
      <c r="E12" s="45">
        <v>0</v>
      </c>
      <c r="F12" s="60">
        <f t="shared" si="1"/>
        <v>0</v>
      </c>
      <c r="G12" s="49">
        <v>0</v>
      </c>
      <c r="H12" s="49">
        <f t="shared" si="0"/>
        <v>0</v>
      </c>
      <c r="N12" s="602"/>
    </row>
    <row r="13" spans="1:14" s="89" customFormat="1">
      <c r="A13" s="66" t="s">
        <v>39</v>
      </c>
      <c r="B13" s="45">
        <v>0</v>
      </c>
      <c r="C13" s="50">
        <v>0</v>
      </c>
      <c r="D13" s="50">
        <v>0</v>
      </c>
      <c r="E13" s="45">
        <v>0</v>
      </c>
      <c r="F13" s="60">
        <f t="shared" si="1"/>
        <v>0</v>
      </c>
      <c r="G13" s="49">
        <v>0</v>
      </c>
      <c r="H13" s="49">
        <f t="shared" si="0"/>
        <v>0</v>
      </c>
      <c r="N13" s="602"/>
    </row>
    <row r="14" spans="1:14" s="89" customFormat="1">
      <c r="A14" s="93" t="s">
        <v>50</v>
      </c>
      <c r="B14" s="42">
        <v>0</v>
      </c>
      <c r="C14" s="50">
        <v>0</v>
      </c>
      <c r="D14" s="50">
        <v>0</v>
      </c>
      <c r="E14" s="45">
        <v>132045</v>
      </c>
      <c r="F14" s="60">
        <f t="shared" si="1"/>
        <v>132045</v>
      </c>
      <c r="G14" s="48">
        <v>0</v>
      </c>
      <c r="H14" s="48">
        <f t="shared" si="0"/>
        <v>0</v>
      </c>
      <c r="J14" s="66"/>
      <c r="N14" s="602"/>
    </row>
    <row r="15" spans="1:14" s="89" customFormat="1">
      <c r="A15" s="93" t="s">
        <v>28</v>
      </c>
      <c r="B15" s="42">
        <v>0</v>
      </c>
      <c r="C15" s="50">
        <v>0</v>
      </c>
      <c r="D15" s="50">
        <v>24110000</v>
      </c>
      <c r="E15" s="42">
        <v>24110000</v>
      </c>
      <c r="F15" s="60">
        <f t="shared" si="1"/>
        <v>24110000</v>
      </c>
      <c r="G15" s="48">
        <v>0</v>
      </c>
      <c r="H15" s="48">
        <f t="shared" si="0"/>
        <v>0</v>
      </c>
      <c r="J15" s="66"/>
      <c r="N15" s="602"/>
    </row>
    <row r="16" spans="1:14" s="89" customFormat="1">
      <c r="A16" s="95" t="s">
        <v>9</v>
      </c>
      <c r="B16" s="46">
        <f t="shared" ref="B16:H16" si="2">SUM(B8:B15)</f>
        <v>0</v>
      </c>
      <c r="C16" s="46">
        <f t="shared" si="2"/>
        <v>0</v>
      </c>
      <c r="D16" s="46">
        <f t="shared" si="2"/>
        <v>24110000</v>
      </c>
      <c r="E16" s="46">
        <f t="shared" si="2"/>
        <v>24242045</v>
      </c>
      <c r="F16" s="46">
        <f t="shared" si="2"/>
        <v>24242045</v>
      </c>
      <c r="G16" s="46">
        <f t="shared" si="2"/>
        <v>0</v>
      </c>
      <c r="H16" s="46">
        <f t="shared" si="2"/>
        <v>0</v>
      </c>
      <c r="N16" s="602"/>
    </row>
    <row r="17" spans="1:14" s="89" customFormat="1">
      <c r="A17" s="26" t="s">
        <v>19</v>
      </c>
      <c r="B17" s="42"/>
      <c r="C17" s="50"/>
      <c r="D17" s="50"/>
      <c r="E17" s="42"/>
      <c r="F17" s="42"/>
      <c r="G17" s="48"/>
      <c r="H17" s="48"/>
      <c r="N17" s="602"/>
    </row>
    <row r="18" spans="1:14" s="89" customFormat="1">
      <c r="A18" s="96" t="s">
        <v>280</v>
      </c>
      <c r="B18" s="48">
        <v>2836054.3256999999</v>
      </c>
      <c r="C18" s="50">
        <f>B18</f>
        <v>2836054.3256999999</v>
      </c>
      <c r="D18" s="50">
        <v>2375842</v>
      </c>
      <c r="E18" s="42">
        <v>3167788</v>
      </c>
      <c r="F18" s="60">
        <f t="shared" ref="F18:F27" si="3">E18-C18</f>
        <v>331733.67430000007</v>
      </c>
      <c r="G18" s="48">
        <f>G73-G20-G22</f>
        <v>2836054.3256999999</v>
      </c>
      <c r="H18" s="48">
        <f t="shared" ref="H18:H27" si="4">G18-C18</f>
        <v>0</v>
      </c>
      <c r="N18" s="602"/>
    </row>
    <row r="19" spans="1:14" s="89" customFormat="1">
      <c r="A19" s="96" t="s">
        <v>40</v>
      </c>
      <c r="B19" s="48">
        <v>0</v>
      </c>
      <c r="C19" s="50">
        <v>0</v>
      </c>
      <c r="D19" s="50">
        <v>0</v>
      </c>
      <c r="E19" s="50">
        <v>0</v>
      </c>
      <c r="F19" s="60">
        <f t="shared" si="3"/>
        <v>0</v>
      </c>
      <c r="G19" s="48">
        <v>0</v>
      </c>
      <c r="H19" s="48">
        <f t="shared" si="4"/>
        <v>0</v>
      </c>
      <c r="N19" s="602"/>
    </row>
    <row r="20" spans="1:14" s="89" customFormat="1">
      <c r="A20" s="96" t="s">
        <v>285</v>
      </c>
      <c r="B20" s="48">
        <v>27966.355199999998</v>
      </c>
      <c r="C20" s="50">
        <f>B20</f>
        <v>27966.355199999998</v>
      </c>
      <c r="D20" s="50">
        <v>23288</v>
      </c>
      <c r="E20" s="50">
        <v>31052</v>
      </c>
      <c r="F20" s="60">
        <f t="shared" si="3"/>
        <v>3085.6448000000019</v>
      </c>
      <c r="G20" s="48">
        <f>B67</f>
        <v>27966.355199999998</v>
      </c>
      <c r="H20" s="48">
        <f t="shared" si="4"/>
        <v>0</v>
      </c>
      <c r="I20" s="66" t="s">
        <v>236</v>
      </c>
      <c r="L20" s="89">
        <f>1.5%*(673808.16+5000+1391332)</f>
        <v>31052.1024</v>
      </c>
      <c r="N20" s="602"/>
    </row>
    <row r="21" spans="1:14" s="89" customFormat="1">
      <c r="A21" s="96" t="s">
        <v>68</v>
      </c>
      <c r="B21" s="60">
        <v>0</v>
      </c>
      <c r="C21" s="50">
        <v>0</v>
      </c>
      <c r="D21" s="50">
        <v>0</v>
      </c>
      <c r="E21" s="50">
        <v>0</v>
      </c>
      <c r="F21" s="60">
        <f t="shared" si="3"/>
        <v>0</v>
      </c>
      <c r="G21" s="50">
        <v>0</v>
      </c>
      <c r="H21" s="89">
        <f t="shared" si="4"/>
        <v>0</v>
      </c>
      <c r="I21" s="66"/>
      <c r="N21" s="602"/>
    </row>
    <row r="22" spans="1:14" s="89" customFormat="1">
      <c r="A22" s="96" t="s">
        <v>230</v>
      </c>
      <c r="B22" s="60">
        <v>122599.31909999999</v>
      </c>
      <c r="C22" s="50">
        <f>B22</f>
        <v>122599.31909999999</v>
      </c>
      <c r="D22" s="50">
        <v>0</v>
      </c>
      <c r="E22" s="50">
        <v>0</v>
      </c>
      <c r="F22" s="60">
        <f t="shared" si="3"/>
        <v>-122599.31909999999</v>
      </c>
      <c r="G22" s="50">
        <f>B61</f>
        <v>122599.31909999999</v>
      </c>
      <c r="H22" s="79">
        <f t="shared" si="4"/>
        <v>0</v>
      </c>
      <c r="I22" s="66" t="s">
        <v>242</v>
      </c>
      <c r="J22" s="66" t="s">
        <v>240</v>
      </c>
      <c r="N22" s="602"/>
    </row>
    <row r="23" spans="1:14" s="89" customFormat="1">
      <c r="A23" s="96" t="s">
        <v>42</v>
      </c>
      <c r="B23" s="48">
        <v>0</v>
      </c>
      <c r="C23" s="50">
        <v>0</v>
      </c>
      <c r="D23" s="50">
        <v>0</v>
      </c>
      <c r="E23" s="50">
        <v>0</v>
      </c>
      <c r="F23" s="60">
        <f t="shared" si="3"/>
        <v>0</v>
      </c>
      <c r="G23" s="50">
        <v>0</v>
      </c>
      <c r="H23" s="48">
        <f t="shared" si="4"/>
        <v>0</v>
      </c>
      <c r="N23" s="602"/>
    </row>
    <row r="24" spans="1:14" s="89" customFormat="1">
      <c r="A24" s="96" t="s">
        <v>43</v>
      </c>
      <c r="B24" s="48">
        <v>0</v>
      </c>
      <c r="C24" s="50">
        <v>0</v>
      </c>
      <c r="D24" s="50">
        <v>0</v>
      </c>
      <c r="E24" s="50">
        <v>0</v>
      </c>
      <c r="F24" s="60">
        <f t="shared" si="3"/>
        <v>0</v>
      </c>
      <c r="G24" s="50">
        <v>0</v>
      </c>
      <c r="H24" s="48">
        <f t="shared" si="4"/>
        <v>0</v>
      </c>
      <c r="N24" s="602"/>
    </row>
    <row r="25" spans="1:14" s="89" customFormat="1">
      <c r="A25" s="97" t="s">
        <v>44</v>
      </c>
      <c r="B25" s="48">
        <v>0</v>
      </c>
      <c r="C25" s="50">
        <v>0</v>
      </c>
      <c r="D25" s="50">
        <v>0</v>
      </c>
      <c r="E25" s="50">
        <v>0</v>
      </c>
      <c r="F25" s="60">
        <f t="shared" si="3"/>
        <v>0</v>
      </c>
      <c r="G25" s="50">
        <v>0</v>
      </c>
      <c r="H25" s="48">
        <f t="shared" si="4"/>
        <v>0</v>
      </c>
      <c r="N25" s="602"/>
    </row>
    <row r="26" spans="1:14" s="89" customFormat="1">
      <c r="A26" s="66" t="s">
        <v>45</v>
      </c>
      <c r="B26" s="48">
        <v>0</v>
      </c>
      <c r="C26" s="50">
        <v>0</v>
      </c>
      <c r="D26" s="50">
        <v>0</v>
      </c>
      <c r="E26" s="50">
        <v>0</v>
      </c>
      <c r="F26" s="60">
        <f t="shared" si="3"/>
        <v>0</v>
      </c>
      <c r="G26" s="50">
        <v>0</v>
      </c>
      <c r="H26" s="48">
        <f t="shared" si="4"/>
        <v>0</v>
      </c>
      <c r="N26" s="602"/>
    </row>
    <row r="27" spans="1:14" s="89" customFormat="1">
      <c r="A27" s="66" t="s">
        <v>29</v>
      </c>
      <c r="B27" s="42">
        <v>0</v>
      </c>
      <c r="C27" s="50">
        <v>0</v>
      </c>
      <c r="D27" s="50">
        <v>0</v>
      </c>
      <c r="E27" s="50">
        <v>0</v>
      </c>
      <c r="F27" s="60">
        <f t="shared" si="3"/>
        <v>0</v>
      </c>
      <c r="G27" s="50">
        <v>0</v>
      </c>
      <c r="H27" s="48">
        <f t="shared" si="4"/>
        <v>0</v>
      </c>
      <c r="N27" s="602"/>
    </row>
    <row r="28" spans="1:14" s="89" customFormat="1">
      <c r="A28" s="26" t="s">
        <v>20</v>
      </c>
      <c r="B28" s="28">
        <f t="shared" ref="B28:H28" si="5">SUM(B18:B27)</f>
        <v>2986620</v>
      </c>
      <c r="C28" s="28">
        <f t="shared" si="5"/>
        <v>2986620</v>
      </c>
      <c r="D28" s="28">
        <f t="shared" si="5"/>
        <v>2399130</v>
      </c>
      <c r="E28" s="28">
        <f t="shared" si="5"/>
        <v>3198840</v>
      </c>
      <c r="F28" s="28">
        <f t="shared" si="5"/>
        <v>212220.00000000009</v>
      </c>
      <c r="G28" s="28">
        <f t="shared" si="5"/>
        <v>2986620</v>
      </c>
      <c r="H28" s="28">
        <f t="shared" si="5"/>
        <v>0</v>
      </c>
      <c r="N28" s="602"/>
    </row>
    <row r="29" spans="1:14" s="89" customFormat="1" ht="13.5" thickBot="1">
      <c r="A29" s="642" t="s">
        <v>21</v>
      </c>
      <c r="B29" s="643">
        <f t="shared" ref="B29:H29" si="6">B16+B28</f>
        <v>2986620</v>
      </c>
      <c r="C29" s="643">
        <f t="shared" si="6"/>
        <v>2986620</v>
      </c>
      <c r="D29" s="643">
        <f t="shared" si="6"/>
        <v>26509130</v>
      </c>
      <c r="E29" s="643">
        <f t="shared" si="6"/>
        <v>27440885</v>
      </c>
      <c r="F29" s="643">
        <f t="shared" si="6"/>
        <v>24454265</v>
      </c>
      <c r="G29" s="643">
        <f t="shared" si="6"/>
        <v>2986620</v>
      </c>
      <c r="H29" s="643">
        <f t="shared" si="6"/>
        <v>0</v>
      </c>
      <c r="N29" s="602"/>
    </row>
    <row r="30" spans="1:14" s="89" customFormat="1" ht="13.5" thickTop="1">
      <c r="A30" s="88"/>
      <c r="B30" s="48"/>
      <c r="C30" s="48"/>
      <c r="D30" s="48"/>
      <c r="E30" s="48"/>
      <c r="F30" s="63"/>
      <c r="G30" s="48"/>
      <c r="H30" s="48"/>
      <c r="N30" s="602"/>
    </row>
    <row r="31" spans="1:14" s="89" customFormat="1">
      <c r="A31" s="644" t="s">
        <v>10</v>
      </c>
      <c r="B31" s="49"/>
      <c r="C31" s="48"/>
      <c r="D31" s="48"/>
      <c r="E31" s="49"/>
      <c r="F31" s="63"/>
      <c r="G31" s="49"/>
      <c r="H31" s="49"/>
      <c r="N31" s="602"/>
    </row>
    <row r="32" spans="1:14" s="89" customFormat="1">
      <c r="A32" s="93" t="s">
        <v>11</v>
      </c>
      <c r="B32" s="48">
        <v>0</v>
      </c>
      <c r="C32" s="50">
        <v>0</v>
      </c>
      <c r="D32" s="50">
        <v>0</v>
      </c>
      <c r="E32" s="48">
        <v>0</v>
      </c>
      <c r="F32" s="60">
        <f>C32-E32</f>
        <v>0</v>
      </c>
      <c r="G32" s="49">
        <v>0</v>
      </c>
      <c r="H32" s="49">
        <f>C32-G32</f>
        <v>0</v>
      </c>
      <c r="N32" s="602"/>
    </row>
    <row r="33" spans="1:8" s="89" customFormat="1">
      <c r="A33" s="93" t="s">
        <v>12</v>
      </c>
      <c r="B33" s="48">
        <v>0</v>
      </c>
      <c r="C33" s="50">
        <v>0</v>
      </c>
      <c r="D33" s="50">
        <v>0</v>
      </c>
      <c r="E33" s="48">
        <v>0</v>
      </c>
      <c r="F33" s="60">
        <f t="shared" ref="F33:F38" si="7">C33-E33</f>
        <v>0</v>
      </c>
      <c r="G33" s="49">
        <v>0</v>
      </c>
      <c r="H33" s="49">
        <f t="shared" ref="H33:H38" si="8">C33-G33</f>
        <v>0</v>
      </c>
    </row>
    <row r="34" spans="1:8" s="89" customFormat="1">
      <c r="A34" s="93" t="s">
        <v>13</v>
      </c>
      <c r="B34" s="48">
        <v>0</v>
      </c>
      <c r="C34" s="50">
        <v>0</v>
      </c>
      <c r="D34" s="50">
        <v>0</v>
      </c>
      <c r="E34" s="48">
        <v>0</v>
      </c>
      <c r="F34" s="60">
        <f t="shared" si="7"/>
        <v>0</v>
      </c>
      <c r="G34" s="49">
        <v>0</v>
      </c>
      <c r="H34" s="49">
        <f t="shared" si="8"/>
        <v>0</v>
      </c>
    </row>
    <row r="35" spans="1:8" s="89" customFormat="1" hidden="1">
      <c r="A35" s="93" t="s">
        <v>14</v>
      </c>
      <c r="B35" s="48">
        <v>0</v>
      </c>
      <c r="C35" s="50">
        <v>0</v>
      </c>
      <c r="D35" s="50">
        <v>0</v>
      </c>
      <c r="E35" s="48">
        <v>0</v>
      </c>
      <c r="F35" s="60">
        <f t="shared" si="7"/>
        <v>0</v>
      </c>
      <c r="G35" s="49">
        <v>0</v>
      </c>
      <c r="H35" s="49">
        <f t="shared" si="8"/>
        <v>0</v>
      </c>
    </row>
    <row r="36" spans="1:8" s="89" customFormat="1" hidden="1">
      <c r="A36" s="93" t="s">
        <v>26</v>
      </c>
      <c r="B36" s="48">
        <v>0</v>
      </c>
      <c r="C36" s="50">
        <v>0</v>
      </c>
      <c r="D36" s="50">
        <v>0</v>
      </c>
      <c r="E36" s="48">
        <v>0</v>
      </c>
      <c r="F36" s="60">
        <f t="shared" si="7"/>
        <v>0</v>
      </c>
      <c r="G36" s="49">
        <v>0</v>
      </c>
      <c r="H36" s="49">
        <f t="shared" si="8"/>
        <v>0</v>
      </c>
    </row>
    <row r="37" spans="1:8" s="89" customFormat="1" hidden="1">
      <c r="A37" s="93" t="s">
        <v>15</v>
      </c>
      <c r="B37" s="48">
        <v>0</v>
      </c>
      <c r="C37" s="50">
        <v>0</v>
      </c>
      <c r="D37" s="50">
        <v>0</v>
      </c>
      <c r="E37" s="48">
        <v>0</v>
      </c>
      <c r="F37" s="60">
        <f t="shared" si="7"/>
        <v>0</v>
      </c>
      <c r="G37" s="49">
        <v>0</v>
      </c>
      <c r="H37" s="49">
        <f t="shared" si="8"/>
        <v>0</v>
      </c>
    </row>
    <row r="38" spans="1:8" s="89" customFormat="1">
      <c r="A38" s="93" t="s">
        <v>16</v>
      </c>
      <c r="B38" s="48">
        <v>2986620</v>
      </c>
      <c r="C38" s="48">
        <v>3198840.1</v>
      </c>
      <c r="D38" s="50">
        <f>557812+85978</f>
        <v>643790</v>
      </c>
      <c r="E38" s="48">
        <f>27440885-E60-E65</f>
        <v>3418558</v>
      </c>
      <c r="F38" s="60">
        <f t="shared" si="7"/>
        <v>-219717.89999999991</v>
      </c>
      <c r="G38" s="48">
        <f>G73</f>
        <v>2986620</v>
      </c>
      <c r="H38" s="49">
        <f t="shared" si="8"/>
        <v>212220.10000000009</v>
      </c>
    </row>
    <row r="39" spans="1:8" s="89" customFormat="1">
      <c r="A39" s="95" t="s">
        <v>22</v>
      </c>
      <c r="B39" s="46">
        <f t="shared" ref="B39:H39" si="9">SUM(B32:B38)</f>
        <v>2986620</v>
      </c>
      <c r="C39" s="46">
        <f t="shared" si="9"/>
        <v>3198840.1</v>
      </c>
      <c r="D39" s="46">
        <f t="shared" si="9"/>
        <v>643790</v>
      </c>
      <c r="E39" s="46">
        <f t="shared" si="9"/>
        <v>3418558</v>
      </c>
      <c r="F39" s="46">
        <f t="shared" si="9"/>
        <v>-219717.89999999991</v>
      </c>
      <c r="G39" s="46">
        <f t="shared" si="9"/>
        <v>2986620</v>
      </c>
      <c r="H39" s="46">
        <f t="shared" si="9"/>
        <v>212220.10000000009</v>
      </c>
    </row>
    <row r="40" spans="1:8">
      <c r="A40" s="18" t="s">
        <v>23</v>
      </c>
      <c r="B40" s="50"/>
      <c r="C40" s="50"/>
      <c r="D40" s="50"/>
      <c r="E40" s="50"/>
      <c r="F40" s="50"/>
      <c r="G40" s="48"/>
      <c r="H40" s="10"/>
    </row>
    <row r="41" spans="1:8">
      <c r="A41" s="41"/>
      <c r="B41" s="50"/>
      <c r="C41" s="50"/>
      <c r="D41" s="50"/>
      <c r="E41" s="50"/>
      <c r="F41" s="50"/>
      <c r="G41" s="49"/>
      <c r="H41" s="9"/>
    </row>
    <row r="42" spans="1:8">
      <c r="A42" s="41" t="s">
        <v>260</v>
      </c>
      <c r="B42" s="50">
        <v>0</v>
      </c>
      <c r="C42" s="50">
        <v>0</v>
      </c>
      <c r="D42" s="50">
        <f>24022327+1843013</f>
        <v>25865340</v>
      </c>
      <c r="E42" s="50">
        <f>24022327</f>
        <v>24022327</v>
      </c>
      <c r="F42" s="60">
        <f>C42-E42</f>
        <v>-24022327</v>
      </c>
      <c r="G42" s="49">
        <v>0</v>
      </c>
      <c r="H42" s="9">
        <f>C42-G42</f>
        <v>0</v>
      </c>
    </row>
    <row r="43" spans="1:8">
      <c r="A43" s="41" t="s">
        <v>29</v>
      </c>
      <c r="B43" s="50">
        <v>0</v>
      </c>
      <c r="C43" s="50">
        <v>0</v>
      </c>
      <c r="D43" s="114">
        <v>0</v>
      </c>
      <c r="E43" s="114">
        <v>0</v>
      </c>
      <c r="F43" s="60">
        <f>C43-E43</f>
        <v>0</v>
      </c>
      <c r="G43" s="48">
        <v>0</v>
      </c>
      <c r="H43" s="9">
        <f>C43-G43</f>
        <v>0</v>
      </c>
    </row>
    <row r="44" spans="1:8">
      <c r="A44" s="41"/>
      <c r="B44" s="50"/>
      <c r="C44" s="50"/>
      <c r="D44" s="50"/>
      <c r="E44" s="50"/>
      <c r="F44" s="60" t="s">
        <v>58</v>
      </c>
      <c r="G44" s="48"/>
      <c r="H44" s="13" t="s">
        <v>58</v>
      </c>
    </row>
    <row r="45" spans="1:8">
      <c r="A45" s="37" t="s">
        <v>24</v>
      </c>
      <c r="B45" s="38">
        <f t="shared" ref="B45:G45" si="10">SUM(B41:B44)</f>
        <v>0</v>
      </c>
      <c r="C45" s="38">
        <f t="shared" si="10"/>
        <v>0</v>
      </c>
      <c r="D45" s="38">
        <f t="shared" si="10"/>
        <v>25865340</v>
      </c>
      <c r="E45" s="38">
        <f t="shared" si="10"/>
        <v>24022327</v>
      </c>
      <c r="F45" s="38">
        <f t="shared" si="10"/>
        <v>-24022327</v>
      </c>
      <c r="G45" s="38">
        <f t="shared" si="10"/>
        <v>0</v>
      </c>
      <c r="H45" s="40"/>
    </row>
    <row r="46" spans="1:8" ht="12.75" customHeight="1" thickBot="1">
      <c r="A46" s="55" t="s">
        <v>25</v>
      </c>
      <c r="B46" s="59">
        <f t="shared" ref="B46:H46" si="11">B39+B45</f>
        <v>2986620</v>
      </c>
      <c r="C46" s="59">
        <f t="shared" si="11"/>
        <v>3198840.1</v>
      </c>
      <c r="D46" s="59">
        <f t="shared" si="11"/>
        <v>26509130</v>
      </c>
      <c r="E46" s="59">
        <f t="shared" si="11"/>
        <v>27440885</v>
      </c>
      <c r="F46" s="59">
        <f t="shared" si="11"/>
        <v>-24242044.899999999</v>
      </c>
      <c r="G46" s="59">
        <f t="shared" si="11"/>
        <v>2986620</v>
      </c>
      <c r="H46" s="59">
        <f t="shared" si="11"/>
        <v>212220.10000000009</v>
      </c>
    </row>
    <row r="47" spans="1:8" ht="13.5" thickTop="1">
      <c r="A47" s="26" t="s">
        <v>17</v>
      </c>
      <c r="B47" s="202">
        <f t="shared" ref="B47:G47" si="12">B29-B46</f>
        <v>0</v>
      </c>
      <c r="C47" s="202">
        <f t="shared" si="12"/>
        <v>-212220.10000000009</v>
      </c>
      <c r="D47" s="202">
        <f t="shared" si="12"/>
        <v>0</v>
      </c>
      <c r="E47" s="202">
        <f t="shared" si="12"/>
        <v>0</v>
      </c>
      <c r="F47" s="202" t="s">
        <v>58</v>
      </c>
      <c r="G47" s="202">
        <f t="shared" si="12"/>
        <v>0</v>
      </c>
      <c r="H47" s="274" t="s">
        <v>72</v>
      </c>
    </row>
    <row r="48" spans="1:8">
      <c r="A48" s="26"/>
      <c r="B48" s="202"/>
      <c r="C48" s="202"/>
      <c r="D48" s="202"/>
      <c r="E48" s="202"/>
      <c r="F48" s="202"/>
      <c r="G48" s="202"/>
      <c r="H48" s="204"/>
    </row>
    <row r="49" spans="1:11">
      <c r="A49" s="26" t="s">
        <v>237</v>
      </c>
      <c r="B49" s="202"/>
      <c r="C49" s="202"/>
      <c r="D49" s="202"/>
      <c r="E49" s="202"/>
      <c r="F49" s="202"/>
      <c r="G49" s="202" t="s">
        <v>47</v>
      </c>
      <c r="H49" s="204"/>
    </row>
    <row r="50" spans="1:11" ht="12.75" customHeight="1" thickBot="1">
      <c r="A50" s="26"/>
      <c r="B50" s="26"/>
      <c r="C50" s="28"/>
      <c r="D50" s="28"/>
      <c r="E50" s="2"/>
      <c r="F50" s="2"/>
      <c r="G50" s="2"/>
      <c r="H50" s="2"/>
    </row>
    <row r="51" spans="1:11" ht="12.75" customHeight="1">
      <c r="A51" s="30" t="s">
        <v>18</v>
      </c>
      <c r="B51" s="30"/>
      <c r="C51" s="16"/>
      <c r="D51" s="16"/>
      <c r="E51" s="191" t="s">
        <v>189</v>
      </c>
      <c r="F51" s="196"/>
      <c r="G51" s="224" t="s">
        <v>190</v>
      </c>
      <c r="H51" s="118"/>
      <c r="I51" s="2"/>
    </row>
    <row r="52" spans="1:11" ht="12.75" customHeight="1">
      <c r="A52" s="30" t="s">
        <v>228</v>
      </c>
      <c r="B52" s="30"/>
      <c r="C52" s="16"/>
      <c r="D52" s="16"/>
      <c r="E52" s="195">
        <v>115697</v>
      </c>
      <c r="F52" s="193" t="s">
        <v>94</v>
      </c>
      <c r="G52" s="195">
        <v>0</v>
      </c>
      <c r="H52" s="235" t="s">
        <v>255</v>
      </c>
      <c r="I52" s="2"/>
    </row>
    <row r="53" spans="1:11" ht="12.75" customHeight="1">
      <c r="A53" s="33" t="s">
        <v>220</v>
      </c>
      <c r="B53" s="33"/>
      <c r="D53" s="85" t="s">
        <v>176</v>
      </c>
      <c r="E53" s="195">
        <v>5000</v>
      </c>
      <c r="F53" s="193" t="s">
        <v>96</v>
      </c>
      <c r="G53" s="195">
        <v>0</v>
      </c>
      <c r="H53" s="235" t="s">
        <v>222</v>
      </c>
      <c r="I53" s="2"/>
    </row>
    <row r="54" spans="1:11" ht="12.75" customHeight="1">
      <c r="A54" s="1752" t="s">
        <v>229</v>
      </c>
      <c r="B54" s="1753"/>
      <c r="C54" s="1753"/>
      <c r="D54" s="232">
        <f>E52</f>
        <v>115697</v>
      </c>
      <c r="E54" s="195">
        <v>0</v>
      </c>
      <c r="F54" s="194" t="s">
        <v>95</v>
      </c>
      <c r="G54" s="195">
        <v>0</v>
      </c>
      <c r="H54" s="235" t="s">
        <v>256</v>
      </c>
      <c r="I54" s="2"/>
    </row>
    <row r="55" spans="1:11" ht="12.75" customHeight="1">
      <c r="A55" s="1753"/>
      <c r="B55" s="1753"/>
      <c r="C55" s="1753"/>
      <c r="D55" s="102" t="s">
        <v>231</v>
      </c>
      <c r="E55" s="195">
        <v>235701</v>
      </c>
      <c r="F55" s="193" t="s">
        <v>93</v>
      </c>
      <c r="G55" s="195">
        <v>0</v>
      </c>
      <c r="H55" s="235" t="s">
        <v>255</v>
      </c>
      <c r="I55" s="2"/>
    </row>
    <row r="56" spans="1:11" ht="12.75" customHeight="1" thickBot="1">
      <c r="A56" s="1753"/>
      <c r="B56" s="1753"/>
      <c r="C56" s="1753"/>
      <c r="D56" s="251">
        <f>D54*1.5%</f>
        <v>1735.4549999999999</v>
      </c>
      <c r="E56" s="216"/>
      <c r="F56" s="231"/>
      <c r="G56" s="216"/>
      <c r="H56" s="235"/>
      <c r="I56" s="2"/>
      <c r="J56" s="2"/>
    </row>
    <row r="57" spans="1:11" ht="14.25" customHeight="1">
      <c r="A57" s="238"/>
      <c r="B57" s="239" t="s">
        <v>186</v>
      </c>
      <c r="D57" s="79"/>
      <c r="E57" s="216">
        <v>285696</v>
      </c>
      <c r="F57" s="233" t="s">
        <v>221</v>
      </c>
      <c r="G57" s="216">
        <v>299223</v>
      </c>
      <c r="H57" s="235" t="s">
        <v>255</v>
      </c>
      <c r="I57" s="2"/>
      <c r="J57" s="80"/>
    </row>
    <row r="58" spans="1:11" ht="12.75" customHeight="1">
      <c r="A58" s="233" t="s">
        <v>221</v>
      </c>
      <c r="B58" s="241">
        <f>G57</f>
        <v>299223</v>
      </c>
      <c r="D58" s="79"/>
      <c r="E58" s="216">
        <v>42800</v>
      </c>
      <c r="F58" s="233" t="s">
        <v>96</v>
      </c>
      <c r="G58" s="216">
        <v>5000</v>
      </c>
      <c r="H58" s="235" t="s">
        <v>222</v>
      </c>
      <c r="I58" s="2"/>
      <c r="J58" s="80"/>
    </row>
    <row r="59" spans="1:11" ht="12.75" customHeight="1">
      <c r="A59" s="176"/>
      <c r="B59" s="241">
        <f>G59</f>
        <v>1687800</v>
      </c>
      <c r="D59" s="79"/>
      <c r="E59" s="216">
        <v>1701300</v>
      </c>
      <c r="F59" s="234" t="s">
        <v>223</v>
      </c>
      <c r="G59" s="216">
        <v>1687800</v>
      </c>
      <c r="H59" s="235" t="s">
        <v>256</v>
      </c>
      <c r="I59" s="2"/>
      <c r="J59" s="249"/>
    </row>
    <row r="60" spans="1:11" ht="12.75" customHeight="1" thickBot="1">
      <c r="A60" s="176"/>
      <c r="B60" s="242">
        <f>SUM(B58:B59)</f>
        <v>1987023</v>
      </c>
      <c r="E60" s="195">
        <v>13971127</v>
      </c>
      <c r="F60" s="236" t="s">
        <v>226</v>
      </c>
      <c r="G60" s="195">
        <v>0</v>
      </c>
      <c r="H60" s="235" t="s">
        <v>224</v>
      </c>
      <c r="I60" s="2"/>
      <c r="J60" s="80">
        <f>SUM(G57:G60)</f>
        <v>1992023</v>
      </c>
    </row>
    <row r="61" spans="1:11" ht="12.75" customHeight="1" thickTop="1" thickBot="1">
      <c r="A61" s="259" t="s">
        <v>232</v>
      </c>
      <c r="B61" s="244">
        <f>B60*6.17%</f>
        <v>122599.31909999999</v>
      </c>
      <c r="E61" s="195"/>
      <c r="F61" s="231"/>
      <c r="G61" s="195"/>
      <c r="H61" s="235"/>
      <c r="I61" s="2"/>
      <c r="J61" s="250"/>
      <c r="K61" s="237"/>
    </row>
    <row r="62" spans="1:11" ht="12.75" customHeight="1" thickBot="1">
      <c r="E62" s="195">
        <v>225264</v>
      </c>
      <c r="F62" s="233" t="s">
        <v>225</v>
      </c>
      <c r="G62" s="195">
        <v>248197</v>
      </c>
      <c r="H62" s="235" t="s">
        <v>255</v>
      </c>
      <c r="I62" s="2"/>
    </row>
    <row r="63" spans="1:11" ht="12.75" customHeight="1">
      <c r="A63" s="233" t="s">
        <v>221</v>
      </c>
      <c r="B63" s="246">
        <f>G57</f>
        <v>299223</v>
      </c>
      <c r="E63" s="195">
        <v>42800</v>
      </c>
      <c r="F63" s="236" t="s">
        <v>226</v>
      </c>
      <c r="G63" s="195">
        <v>5000</v>
      </c>
      <c r="H63" s="235" t="s">
        <v>222</v>
      </c>
      <c r="I63" s="2"/>
    </row>
    <row r="64" spans="1:11" ht="12.75" customHeight="1">
      <c r="A64" s="176"/>
      <c r="B64" s="245">
        <f>G59</f>
        <v>1687800</v>
      </c>
      <c r="E64" s="195">
        <v>764300</v>
      </c>
      <c r="F64" s="233" t="s">
        <v>227</v>
      </c>
      <c r="G64" s="195">
        <v>741400</v>
      </c>
      <c r="H64" s="235" t="s">
        <v>256</v>
      </c>
      <c r="I64" s="2"/>
    </row>
    <row r="65" spans="1:10" ht="12.75" customHeight="1">
      <c r="A65" s="240" t="s">
        <v>234</v>
      </c>
      <c r="B65" s="245">
        <v>-122599.32</v>
      </c>
      <c r="D65" s="77"/>
      <c r="E65" s="195">
        <v>10051200</v>
      </c>
      <c r="F65" s="236" t="s">
        <v>226</v>
      </c>
      <c r="G65" s="195">
        <v>0</v>
      </c>
      <c r="H65" s="119" t="s">
        <v>224</v>
      </c>
      <c r="I65" s="2"/>
      <c r="J65" s="77">
        <f>SUM(G62:G65)</f>
        <v>994597</v>
      </c>
    </row>
    <row r="66" spans="1:10" ht="12.75" customHeight="1">
      <c r="A66" s="176"/>
      <c r="B66" s="247">
        <f>SUM(B63:B65)</f>
        <v>1864423.68</v>
      </c>
      <c r="D66" s="77"/>
      <c r="E66" s="195"/>
      <c r="F66" s="255"/>
      <c r="G66" s="195"/>
      <c r="H66" s="119"/>
      <c r="I66" s="2"/>
    </row>
    <row r="67" spans="1:10" ht="12.75" customHeight="1" thickBot="1">
      <c r="A67" s="243" t="s">
        <v>233</v>
      </c>
      <c r="B67" s="248">
        <f>B66*1.5%</f>
        <v>27966.355199999998</v>
      </c>
      <c r="D67" s="77"/>
      <c r="E67" s="195">
        <v>0</v>
      </c>
      <c r="F67" s="254" t="s">
        <v>246</v>
      </c>
      <c r="G67" s="195">
        <f>298103-298103</f>
        <v>0</v>
      </c>
      <c r="H67" s="235" t="s">
        <v>288</v>
      </c>
      <c r="I67" s="272" t="s">
        <v>254</v>
      </c>
    </row>
    <row r="68" spans="1:10" ht="14.25" customHeight="1">
      <c r="D68" s="77"/>
      <c r="E68" s="195">
        <v>0</v>
      </c>
      <c r="F68" s="254" t="s">
        <v>226</v>
      </c>
      <c r="G68" s="195">
        <f>5000-5000</f>
        <v>0</v>
      </c>
      <c r="H68" s="235" t="s">
        <v>222</v>
      </c>
      <c r="I68" s="2"/>
    </row>
    <row r="69" spans="1:10" ht="12.75" customHeight="1">
      <c r="A69" s="16" t="s">
        <v>238</v>
      </c>
      <c r="E69" s="195">
        <v>0</v>
      </c>
      <c r="F69" s="254" t="s">
        <v>247</v>
      </c>
      <c r="G69" s="195">
        <f>346875-346875</f>
        <v>0</v>
      </c>
      <c r="H69" s="235" t="s">
        <v>289</v>
      </c>
      <c r="I69" s="2"/>
      <c r="J69" s="77">
        <f>SUM(G67:G69)</f>
        <v>0</v>
      </c>
    </row>
    <row r="70" spans="1:10" ht="12.75" customHeight="1">
      <c r="A70" s="16" t="s">
        <v>239</v>
      </c>
      <c r="C70" s="2"/>
      <c r="D70" s="2"/>
      <c r="E70" s="195">
        <v>0</v>
      </c>
      <c r="F70" s="254"/>
      <c r="G70" s="195"/>
      <c r="H70" s="235"/>
    </row>
    <row r="71" spans="1:10" ht="12.75" customHeight="1">
      <c r="C71" s="2"/>
      <c r="D71" s="51"/>
      <c r="E71" s="195">
        <v>0</v>
      </c>
      <c r="F71" s="254"/>
      <c r="G71" s="195"/>
      <c r="H71" s="119"/>
    </row>
    <row r="72" spans="1:10" ht="12.75" customHeight="1">
      <c r="A72" s="16" t="s">
        <v>235</v>
      </c>
      <c r="C72" s="2"/>
      <c r="D72" s="51"/>
      <c r="E72" s="195"/>
      <c r="F72" s="195"/>
      <c r="G72" s="195"/>
      <c r="H72" s="119"/>
    </row>
    <row r="73" spans="1:10" ht="12.75" customHeight="1" thickBot="1">
      <c r="C73" s="2"/>
      <c r="D73" s="51"/>
      <c r="E73" s="192">
        <f>SUM(E52:E72)</f>
        <v>27440885</v>
      </c>
      <c r="F73" s="197"/>
      <c r="G73" s="197">
        <f>SUM(G52:G72)</f>
        <v>2986620</v>
      </c>
      <c r="H73" s="183"/>
      <c r="J73" s="77">
        <f>SUM(J60:J72)</f>
        <v>2986620</v>
      </c>
    </row>
    <row r="74" spans="1:10" ht="12.75" customHeight="1">
      <c r="C74" s="2"/>
      <c r="D74" s="51"/>
      <c r="E74" s="2"/>
      <c r="F74" s="2"/>
      <c r="G74" s="2"/>
      <c r="H74" s="2"/>
    </row>
    <row r="75" spans="1:10" ht="12.75" customHeight="1">
      <c r="C75" s="2"/>
      <c r="D75" s="111"/>
    </row>
    <row r="76" spans="1:10" ht="12.75" customHeight="1">
      <c r="C76" s="2"/>
      <c r="D76" s="111"/>
      <c r="E76" s="2"/>
    </row>
    <row r="77" spans="1:10" ht="12.75" customHeight="1">
      <c r="C77" s="2"/>
      <c r="D77" s="111"/>
      <c r="E77" s="2"/>
    </row>
    <row r="78" spans="1:10" ht="12.75" customHeight="1">
      <c r="C78" s="2"/>
      <c r="D78" s="111"/>
      <c r="E78" s="2"/>
    </row>
    <row r="79" spans="1:10" ht="12.75" customHeight="1">
      <c r="C79" s="2"/>
      <c r="D79" s="51"/>
      <c r="E79" s="2"/>
    </row>
    <row r="80" spans="1:10" ht="12.75" customHeight="1">
      <c r="C80" s="2"/>
      <c r="D80" s="51"/>
      <c r="E80" s="2"/>
    </row>
    <row r="81" spans="3:5" ht="12.75" customHeight="1">
      <c r="C81" s="2"/>
      <c r="D81" s="51"/>
      <c r="E81" s="2"/>
    </row>
    <row r="82" spans="3:5" ht="12.75" customHeight="1">
      <c r="C82" s="2"/>
      <c r="D82" s="51"/>
      <c r="E82" s="2"/>
    </row>
    <row r="83" spans="3:5" ht="12.75" customHeight="1">
      <c r="C83" s="2"/>
      <c r="D83" s="51"/>
      <c r="E83" s="2"/>
    </row>
    <row r="84" spans="3:5" ht="12.75" customHeight="1">
      <c r="C84" s="2"/>
      <c r="D84" s="51"/>
      <c r="E84" s="2"/>
    </row>
    <row r="85" spans="3:5" ht="12.75" customHeight="1">
      <c r="C85" s="2"/>
      <c r="D85" s="51"/>
      <c r="E85" s="2"/>
    </row>
    <row r="86" spans="3:5" ht="12.75" customHeight="1">
      <c r="C86" s="2"/>
      <c r="D86" s="2"/>
      <c r="E86" s="2"/>
    </row>
    <row r="87" spans="3:5" ht="12.75" customHeight="1">
      <c r="C87" s="2"/>
      <c r="D87" s="2"/>
      <c r="E87" s="2"/>
    </row>
    <row r="88" spans="3:5" ht="12.75" customHeight="1">
      <c r="E88" s="2"/>
    </row>
    <row r="89" spans="3:5" ht="12.75" customHeight="1">
      <c r="E89" s="2"/>
    </row>
    <row r="90" spans="3:5" ht="12.75" customHeight="1">
      <c r="E90" s="2"/>
    </row>
    <row r="91" spans="3:5" ht="12.75" customHeight="1">
      <c r="E91" s="2"/>
    </row>
    <row r="92" spans="3:5" ht="12.75" customHeight="1">
      <c r="E92" s="2"/>
    </row>
    <row r="93" spans="3:5" ht="12.75" customHeight="1">
      <c r="E93" s="2"/>
    </row>
    <row r="94" spans="3:5" ht="12.75" customHeight="1"/>
    <row r="95" spans="3:5" ht="12.75" customHeight="1"/>
    <row r="96" spans="3:5"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sheetData>
  <customSheetViews>
    <customSheetView guid="{C8E99144-FF29-42D8-8D33-2038AA9D760E}" scale="75" showPageBreaks="1" fitToPage="1" view="pageBreakPreview" showRuler="0">
      <pane xSplit="1" ySplit="4" topLeftCell="B11" activePane="bottomRight" state="frozen"/>
      <selection pane="bottomRight" activeCell="H21" sqref="H21"/>
      <pageMargins left="0" right="0" top="0.5" bottom="0.5" header="0.5" footer="0.5"/>
      <printOptions horizontalCentered="1"/>
      <pageSetup scale="58" orientation="landscape" horizontalDpi="300" verticalDpi="300" r:id="rId1"/>
      <headerFooter alignWithMargins="0"/>
    </customSheetView>
    <customSheetView guid="{6F41311F-2270-450A-A26B-FA887A989CC9}" scale="75" showPageBreaks="1" fitToPage="1" view="pageBreakPreview" showRuler="0">
      <selection activeCell="H42" sqref="H42"/>
      <pageMargins left="0.75" right="0.75" top="1" bottom="1" header="0.5" footer="0.5"/>
      <pageSetup scale="40" orientation="portrait" horizontalDpi="300" verticalDpi="300" r:id="rId2"/>
      <headerFooter alignWithMargins="0"/>
    </customSheetView>
    <customSheetView guid="{9F62FB59-F471-497B-8464-A1F026EE1693}" showPageBreaks="1" fitToPage="1" hiddenColumns="1" showRuler="0" topLeftCell="A7">
      <selection activeCell="F39" sqref="F39"/>
      <pageMargins left="0.75" right="0.75" top="1" bottom="1" header="0.5" footer="0.5"/>
      <pageSetup scale="40" orientation="portrait" horizontalDpi="300" verticalDpi="300" r:id="rId3"/>
      <headerFooter alignWithMargins="0"/>
    </customSheetView>
    <customSheetView guid="{20D5FB18-2FAE-4D83-BF94-A00B522BD190}" scale="75" showPageBreaks="1" fitToPage="1" hiddenColumns="1" view="pageBreakPreview" showRuler="0">
      <selection activeCell="F37" sqref="F37"/>
      <pageMargins left="0.75" right="0.75" top="1" bottom="1" header="0.5" footer="0.5"/>
      <pageSetup scale="40" orientation="portrait" horizontalDpi="300" verticalDpi="300" r:id="rId4"/>
      <headerFooter alignWithMargins="0"/>
    </customSheetView>
    <customSheetView guid="{9456C1E9-89BB-4E93-9AFD-5A49DBF97574}" scale="75" showPageBreaks="1" fitToPage="1" hiddenColumns="1" view="pageBreakPreview" showRuler="0">
      <selection activeCell="A56" sqref="A56:IV56"/>
      <pageMargins left="0.75" right="0.75" top="1" bottom="1" header="0.5" footer="0.5"/>
      <pageSetup scale="50" orientation="portrait" horizontalDpi="300" verticalDpi="300" r:id="rId5"/>
      <headerFooter alignWithMargins="0"/>
    </customSheetView>
    <customSheetView guid="{7FD41845-6BD4-448F-810C-049EFA55EC1B}" scale="75" showPageBreaks="1" fitToPage="1" view="pageBreakPreview" showRuler="0">
      <pane xSplit="1" ySplit="4" topLeftCell="B16" activePane="bottomRight" state="frozen"/>
      <selection pane="bottomRight" activeCell="H46" sqref="A1:H46"/>
      <pageMargins left="0" right="0" top="0.5" bottom="0.5" header="0.5" footer="0.5"/>
      <printOptions horizontalCentered="1"/>
      <pageSetup scale="58" orientation="landscape" horizontalDpi="300" verticalDpi="300" r:id="rId6"/>
      <headerFooter alignWithMargins="0"/>
    </customSheetView>
    <customSheetView guid="{8B0AB125-4209-45BF-9ABD-74BE01FD7C48}" scale="75" showPageBreaks="1" fitToPage="1" view="pageBreakPreview" showRuler="0">
      <pane xSplit="1" ySplit="4" topLeftCell="B47" activePane="bottomRight" state="frozen"/>
      <selection pane="bottomRight" activeCell="C76" sqref="C76"/>
      <pageMargins left="0" right="0" top="0.5" bottom="0.5" header="0.5" footer="0.5"/>
      <printOptions horizontalCentered="1"/>
      <pageSetup scale="58" orientation="landscape" horizontalDpi="300" verticalDpi="300" r:id="rId7"/>
      <headerFooter alignWithMargins="0"/>
    </customSheetView>
  </customSheetViews>
  <mergeCells count="4">
    <mergeCell ref="A1:H1"/>
    <mergeCell ref="C2:E2"/>
    <mergeCell ref="A54:C56"/>
    <mergeCell ref="B3:N3"/>
  </mergeCells>
  <phoneticPr fontId="0" type="noConversion"/>
  <printOptions horizontalCentered="1"/>
  <pageMargins left="0" right="0" top="0.5" bottom="0.5" header="0.5" footer="0.5"/>
  <pageSetup scale="59" orientation="landscape" horizontalDpi="300" verticalDpi="300" r:id="rId8"/>
  <headerFooter alignWithMargins="0"/>
  <legacyDrawing r:id="rId9"/>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tabColor indexed="29"/>
    <pageSetUpPr fitToPage="1"/>
  </sheetPr>
  <dimension ref="A1:N125"/>
  <sheetViews>
    <sheetView showGridLines="0" showRuler="0" zoomScale="75" zoomScaleNormal="75" zoomScaleSheetLayoutView="75" workbookViewId="0">
      <pane xSplit="1" ySplit="5" topLeftCell="B6" activePane="bottomRight" state="frozen"/>
      <selection activeCell="U28" sqref="U28"/>
      <selection pane="topRight" activeCell="U28" sqref="U28"/>
      <selection pane="bottomLeft" activeCell="U28" sqref="U28"/>
      <selection pane="bottomRight" activeCell="U28" sqref="U28"/>
    </sheetView>
  </sheetViews>
  <sheetFormatPr defaultColWidth="6.85546875" defaultRowHeight="12.75"/>
  <cols>
    <col min="1" max="1" width="41.28515625" style="1" hidden="1" customWidth="1"/>
    <col min="2" max="2" width="16.140625" style="1" customWidth="1"/>
    <col min="3" max="3" width="15.42578125" style="1" bestFit="1" customWidth="1"/>
    <col min="4" max="4" width="12.7109375" style="1" bestFit="1" customWidth="1"/>
    <col min="5" max="5" width="13.85546875" style="31" bestFit="1" customWidth="1"/>
    <col min="6" max="6" width="9.7109375" style="1" customWidth="1"/>
    <col min="7" max="7" width="15.7109375" style="1" customWidth="1"/>
    <col min="8" max="8" width="15.85546875" style="1" customWidth="1"/>
    <col min="9" max="9" width="17.7109375" style="1" customWidth="1"/>
    <col min="10" max="10" width="12.7109375" style="1" customWidth="1"/>
    <col min="11" max="11" width="9.28515625" style="1" bestFit="1" customWidth="1"/>
    <col min="12" max="16384" width="6.85546875" style="1"/>
  </cols>
  <sheetData>
    <row r="1" spans="1:14" ht="44.25" hidden="1">
      <c r="A1" s="1742" t="s">
        <v>307</v>
      </c>
      <c r="B1" s="1742"/>
      <c r="C1" s="1742"/>
      <c r="D1" s="1742"/>
      <c r="E1" s="1742"/>
      <c r="F1" s="1742"/>
      <c r="G1" s="1742"/>
      <c r="H1" s="1742"/>
      <c r="I1" s="16" t="s">
        <v>259</v>
      </c>
      <c r="N1" s="593" t="str">
        <f>PROPER(B1)</f>
        <v/>
      </c>
    </row>
    <row r="2" spans="1:14" ht="15" customHeight="1" thickBot="1">
      <c r="A2" s="1743" t="s">
        <v>313</v>
      </c>
      <c r="B2" s="1743"/>
      <c r="C2" s="1743"/>
      <c r="D2" s="1743"/>
      <c r="E2" s="1743"/>
      <c r="F2" s="1743"/>
      <c r="G2" s="1743"/>
      <c r="H2" s="167" t="s">
        <v>188</v>
      </c>
    </row>
    <row r="3" spans="1:14" ht="15" customHeight="1">
      <c r="A3" s="592"/>
      <c r="B3" s="1749" t="str">
        <f>PROPER(B1)</f>
        <v/>
      </c>
      <c r="C3" s="1749"/>
      <c r="D3" s="1749"/>
      <c r="E3" s="1749"/>
      <c r="F3" s="1749"/>
      <c r="G3" s="1749"/>
      <c r="H3" s="1749"/>
      <c r="I3" s="1749"/>
      <c r="J3" s="1749"/>
      <c r="K3" s="1749"/>
      <c r="L3" s="1749"/>
      <c r="M3" s="1749"/>
      <c r="N3" s="1749"/>
    </row>
    <row r="4" spans="1:14" ht="12.75" customHeight="1">
      <c r="A4" s="86"/>
      <c r="B4" s="86"/>
      <c r="C4" s="86" t="s">
        <v>64</v>
      </c>
      <c r="D4" s="91" t="s">
        <v>64</v>
      </c>
      <c r="E4" s="86"/>
      <c r="F4" s="91" t="s">
        <v>86</v>
      </c>
      <c r="G4" s="86"/>
      <c r="H4" s="91" t="s">
        <v>110</v>
      </c>
      <c r="I4" s="91" t="s">
        <v>58</v>
      </c>
    </row>
    <row r="5" spans="1:14" ht="39" thickBot="1">
      <c r="A5" s="3" t="s">
        <v>0</v>
      </c>
      <c r="B5" s="5" t="s">
        <v>314</v>
      </c>
      <c r="C5" s="4" t="s">
        <v>315</v>
      </c>
      <c r="D5" s="4" t="s">
        <v>217</v>
      </c>
      <c r="E5" s="5" t="s">
        <v>316</v>
      </c>
      <c r="F5" s="129" t="s">
        <v>1</v>
      </c>
      <c r="G5" s="5" t="s">
        <v>317</v>
      </c>
      <c r="H5" s="129" t="s">
        <v>1</v>
      </c>
      <c r="I5" s="6"/>
    </row>
    <row r="6" spans="1:14">
      <c r="A6" s="2"/>
      <c r="B6" s="9"/>
      <c r="C6" s="2"/>
      <c r="D6" s="2"/>
      <c r="E6" s="7"/>
      <c r="F6" s="8"/>
      <c r="G6" s="9"/>
      <c r="H6" s="10"/>
    </row>
    <row r="7" spans="1:14">
      <c r="A7" s="11" t="s">
        <v>2</v>
      </c>
      <c r="B7" s="9"/>
      <c r="C7" s="12"/>
      <c r="D7" s="13"/>
      <c r="E7" s="14"/>
      <c r="F7" s="15"/>
      <c r="G7" s="9"/>
      <c r="H7" s="9"/>
    </row>
    <row r="8" spans="1:14">
      <c r="A8" s="16" t="s">
        <v>3</v>
      </c>
      <c r="B8" s="17"/>
      <c r="C8" s="12"/>
      <c r="D8" s="13"/>
      <c r="E8" s="14"/>
      <c r="F8" s="17"/>
      <c r="G8" s="17"/>
      <c r="H8" s="9">
        <f t="shared" ref="H8:H16" si="0">G8-C8</f>
        <v>0</v>
      </c>
    </row>
    <row r="9" spans="1:14">
      <c r="A9" s="16" t="s">
        <v>4</v>
      </c>
      <c r="B9" s="17">
        <v>0</v>
      </c>
      <c r="C9" s="12">
        <v>0</v>
      </c>
      <c r="D9" s="13">
        <v>0</v>
      </c>
      <c r="E9" s="14">
        <v>0</v>
      </c>
      <c r="F9" s="17">
        <f t="shared" ref="F9:F15" si="1">E9-C9</f>
        <v>0</v>
      </c>
      <c r="G9" s="17">
        <v>0</v>
      </c>
      <c r="H9" s="9">
        <f t="shared" si="0"/>
        <v>0</v>
      </c>
      <c r="N9" s="601"/>
    </row>
    <row r="10" spans="1:14">
      <c r="A10" s="16" t="s">
        <v>5</v>
      </c>
      <c r="B10" s="17">
        <v>0</v>
      </c>
      <c r="C10" s="12">
        <v>0</v>
      </c>
      <c r="D10" s="13">
        <v>0</v>
      </c>
      <c r="E10" s="14">
        <v>0</v>
      </c>
      <c r="F10" s="17">
        <f t="shared" si="1"/>
        <v>0</v>
      </c>
      <c r="G10" s="17">
        <v>0</v>
      </c>
      <c r="H10" s="9">
        <f t="shared" si="0"/>
        <v>0</v>
      </c>
      <c r="N10" s="601"/>
    </row>
    <row r="11" spans="1:14">
      <c r="A11" s="16" t="s">
        <v>6</v>
      </c>
      <c r="B11" s="17">
        <v>0</v>
      </c>
      <c r="C11" s="12">
        <v>0</v>
      </c>
      <c r="D11" s="13">
        <v>0</v>
      </c>
      <c r="E11" s="14">
        <v>0</v>
      </c>
      <c r="F11" s="17">
        <f t="shared" si="1"/>
        <v>0</v>
      </c>
      <c r="G11" s="17">
        <v>0</v>
      </c>
      <c r="H11" s="9">
        <f t="shared" si="0"/>
        <v>0</v>
      </c>
      <c r="N11" s="601"/>
    </row>
    <row r="12" spans="1:14" s="89" customFormat="1">
      <c r="A12" s="66" t="s">
        <v>7</v>
      </c>
      <c r="B12" s="45">
        <v>0</v>
      </c>
      <c r="C12" s="694">
        <v>0</v>
      </c>
      <c r="D12" s="50">
        <v>0</v>
      </c>
      <c r="E12" s="60">
        <v>0</v>
      </c>
      <c r="F12" s="45">
        <f t="shared" si="1"/>
        <v>0</v>
      </c>
      <c r="G12" s="45">
        <v>0</v>
      </c>
      <c r="H12" s="49">
        <f t="shared" si="0"/>
        <v>0</v>
      </c>
      <c r="N12" s="602"/>
    </row>
    <row r="13" spans="1:14" s="89" customFormat="1">
      <c r="A13" s="93" t="s">
        <v>39</v>
      </c>
      <c r="B13" s="42">
        <v>0</v>
      </c>
      <c r="C13" s="50">
        <v>0</v>
      </c>
      <c r="D13" s="50">
        <v>0</v>
      </c>
      <c r="E13" s="60">
        <v>0</v>
      </c>
      <c r="F13" s="42">
        <f t="shared" si="1"/>
        <v>0</v>
      </c>
      <c r="G13" s="42">
        <v>0</v>
      </c>
      <c r="H13" s="42">
        <f t="shared" si="0"/>
        <v>0</v>
      </c>
      <c r="N13" s="602"/>
    </row>
    <row r="14" spans="1:14" s="89" customFormat="1">
      <c r="A14" s="93" t="s">
        <v>71</v>
      </c>
      <c r="B14" s="42">
        <v>0</v>
      </c>
      <c r="C14" s="50">
        <v>0</v>
      </c>
      <c r="D14" s="50">
        <v>0</v>
      </c>
      <c r="E14" s="60">
        <v>0</v>
      </c>
      <c r="F14" s="42">
        <f t="shared" si="1"/>
        <v>0</v>
      </c>
      <c r="G14" s="42">
        <v>0</v>
      </c>
      <c r="H14" s="48">
        <f>G14-C14</f>
        <v>0</v>
      </c>
      <c r="I14" s="66" t="s">
        <v>58</v>
      </c>
      <c r="N14" s="602"/>
    </row>
    <row r="15" spans="1:14" s="89" customFormat="1">
      <c r="A15" s="93" t="s">
        <v>19</v>
      </c>
      <c r="B15" s="42">
        <v>0</v>
      </c>
      <c r="C15" s="50">
        <v>0</v>
      </c>
      <c r="D15" s="50">
        <v>0</v>
      </c>
      <c r="E15" s="60">
        <v>0</v>
      </c>
      <c r="F15" s="42">
        <f t="shared" si="1"/>
        <v>0</v>
      </c>
      <c r="G15" s="42">
        <v>0</v>
      </c>
      <c r="H15" s="48">
        <f t="shared" si="0"/>
        <v>0</v>
      </c>
      <c r="N15" s="602"/>
    </row>
    <row r="16" spans="1:14" s="89" customFormat="1">
      <c r="A16" s="95" t="s">
        <v>9</v>
      </c>
      <c r="B16" s="46">
        <f t="shared" ref="B16:G16" si="2">SUM(B8:B15)</f>
        <v>0</v>
      </c>
      <c r="C16" s="46">
        <f t="shared" si="2"/>
        <v>0</v>
      </c>
      <c r="D16" s="46">
        <f t="shared" si="2"/>
        <v>0</v>
      </c>
      <c r="E16" s="46">
        <f t="shared" si="2"/>
        <v>0</v>
      </c>
      <c r="F16" s="46">
        <f t="shared" si="2"/>
        <v>0</v>
      </c>
      <c r="G16" s="46">
        <f t="shared" si="2"/>
        <v>0</v>
      </c>
      <c r="H16" s="695">
        <f t="shared" si="0"/>
        <v>0</v>
      </c>
      <c r="N16" s="602"/>
    </row>
    <row r="17" spans="1:14" s="89" customFormat="1">
      <c r="A17" s="26" t="s">
        <v>19</v>
      </c>
      <c r="B17" s="42"/>
      <c r="C17" s="50"/>
      <c r="D17" s="50"/>
      <c r="E17" s="60"/>
      <c r="F17" s="42"/>
      <c r="G17" s="42"/>
      <c r="H17" s="48"/>
      <c r="N17" s="602"/>
    </row>
    <row r="18" spans="1:14" s="89" customFormat="1">
      <c r="A18" s="96" t="s">
        <v>32</v>
      </c>
      <c r="B18" s="42">
        <v>0</v>
      </c>
      <c r="C18" s="42">
        <v>0</v>
      </c>
      <c r="D18" s="42">
        <v>0</v>
      </c>
      <c r="E18" s="60">
        <v>0</v>
      </c>
      <c r="F18" s="42">
        <f t="shared" ref="F18:F25" si="3">E18-C18</f>
        <v>0</v>
      </c>
      <c r="G18" s="42">
        <v>0</v>
      </c>
      <c r="H18" s="48">
        <f t="shared" ref="H18:H25" si="4">G18-C18</f>
        <v>0</v>
      </c>
      <c r="N18" s="602"/>
    </row>
    <row r="19" spans="1:14" s="89" customFormat="1">
      <c r="A19" s="96" t="s">
        <v>40</v>
      </c>
      <c r="B19" s="42">
        <v>0</v>
      </c>
      <c r="C19" s="42">
        <v>0</v>
      </c>
      <c r="D19" s="42">
        <v>0</v>
      </c>
      <c r="E19" s="60">
        <v>0</v>
      </c>
      <c r="F19" s="42">
        <f t="shared" si="3"/>
        <v>0</v>
      </c>
      <c r="G19" s="42">
        <v>0</v>
      </c>
      <c r="H19" s="48">
        <f t="shared" si="4"/>
        <v>0</v>
      </c>
      <c r="N19" s="602"/>
    </row>
    <row r="20" spans="1:14" s="89" customFormat="1">
      <c r="A20" s="96" t="s">
        <v>41</v>
      </c>
      <c r="B20" s="42">
        <v>0</v>
      </c>
      <c r="C20" s="42">
        <v>0</v>
      </c>
      <c r="D20" s="42">
        <v>0</v>
      </c>
      <c r="E20" s="60">
        <v>0</v>
      </c>
      <c r="F20" s="42">
        <f t="shared" si="3"/>
        <v>0</v>
      </c>
      <c r="G20" s="42">
        <v>0</v>
      </c>
      <c r="H20" s="48">
        <f t="shared" si="4"/>
        <v>0</v>
      </c>
      <c r="I20" s="66" t="s">
        <v>58</v>
      </c>
      <c r="J20" s="66" t="s">
        <v>58</v>
      </c>
      <c r="K20" s="66" t="s">
        <v>58</v>
      </c>
      <c r="N20" s="602"/>
    </row>
    <row r="21" spans="1:14" s="89" customFormat="1">
      <c r="A21" s="96" t="s">
        <v>42</v>
      </c>
      <c r="B21" s="42">
        <v>0</v>
      </c>
      <c r="C21" s="42">
        <v>0</v>
      </c>
      <c r="D21" s="42">
        <v>0</v>
      </c>
      <c r="E21" s="60">
        <v>0</v>
      </c>
      <c r="F21" s="42">
        <f t="shared" si="3"/>
        <v>0</v>
      </c>
      <c r="G21" s="42">
        <v>0</v>
      </c>
      <c r="H21" s="48">
        <f t="shared" si="4"/>
        <v>0</v>
      </c>
      <c r="J21" s="66" t="s">
        <v>58</v>
      </c>
      <c r="N21" s="602"/>
    </row>
    <row r="22" spans="1:14" s="89" customFormat="1">
      <c r="A22" s="96" t="s">
        <v>286</v>
      </c>
      <c r="B22" s="42">
        <v>3358770.98</v>
      </c>
      <c r="C22" s="42">
        <v>1480142</v>
      </c>
      <c r="D22" s="50">
        <v>986758</v>
      </c>
      <c r="E22" s="50">
        <v>1503141.56</v>
      </c>
      <c r="F22" s="42">
        <f t="shared" si="3"/>
        <v>22999.560000000056</v>
      </c>
      <c r="G22" s="42">
        <f>G56</f>
        <v>3358770.98</v>
      </c>
      <c r="H22" s="42">
        <f t="shared" si="4"/>
        <v>1878628.98</v>
      </c>
      <c r="I22" s="66" t="s">
        <v>245</v>
      </c>
      <c r="N22" s="602"/>
    </row>
    <row r="23" spans="1:14" s="89" customFormat="1">
      <c r="A23" s="97" t="s">
        <v>44</v>
      </c>
      <c r="B23" s="42">
        <v>0</v>
      </c>
      <c r="C23" s="50">
        <v>0</v>
      </c>
      <c r="D23" s="50">
        <v>0</v>
      </c>
      <c r="E23" s="60">
        <v>0</v>
      </c>
      <c r="F23" s="42">
        <f t="shared" si="3"/>
        <v>0</v>
      </c>
      <c r="G23" s="42">
        <v>0</v>
      </c>
      <c r="H23" s="48">
        <f t="shared" si="4"/>
        <v>0</v>
      </c>
      <c r="N23" s="602"/>
    </row>
    <row r="24" spans="1:14" s="89" customFormat="1">
      <c r="A24" s="66" t="s">
        <v>45</v>
      </c>
      <c r="B24" s="42">
        <v>0</v>
      </c>
      <c r="C24" s="50">
        <v>0</v>
      </c>
      <c r="D24" s="50">
        <v>0</v>
      </c>
      <c r="E24" s="60">
        <v>0</v>
      </c>
      <c r="F24" s="42">
        <f t="shared" si="3"/>
        <v>0</v>
      </c>
      <c r="G24" s="42">
        <v>0</v>
      </c>
      <c r="H24" s="48">
        <f t="shared" si="4"/>
        <v>0</v>
      </c>
      <c r="N24" s="602"/>
    </row>
    <row r="25" spans="1:14" s="89" customFormat="1">
      <c r="A25" s="66" t="s">
        <v>29</v>
      </c>
      <c r="B25" s="42">
        <v>0</v>
      </c>
      <c r="C25" s="50">
        <v>0</v>
      </c>
      <c r="D25" s="50">
        <v>0</v>
      </c>
      <c r="E25" s="60">
        <v>0</v>
      </c>
      <c r="F25" s="42">
        <f t="shared" si="3"/>
        <v>0</v>
      </c>
      <c r="G25" s="42">
        <f>E41</f>
        <v>0</v>
      </c>
      <c r="H25" s="48">
        <f t="shared" si="4"/>
        <v>0</v>
      </c>
      <c r="N25" s="602"/>
    </row>
    <row r="26" spans="1:14" s="89" customFormat="1">
      <c r="A26" s="26" t="s">
        <v>20</v>
      </c>
      <c r="B26" s="28">
        <f t="shared" ref="B26:H26" si="5">SUM(B18:B25)</f>
        <v>3358770.98</v>
      </c>
      <c r="C26" s="28">
        <f t="shared" si="5"/>
        <v>1480142</v>
      </c>
      <c r="D26" s="28">
        <f t="shared" si="5"/>
        <v>986758</v>
      </c>
      <c r="E26" s="28">
        <f t="shared" si="5"/>
        <v>1503141.56</v>
      </c>
      <c r="F26" s="28">
        <f t="shared" si="5"/>
        <v>22999.560000000056</v>
      </c>
      <c r="G26" s="28">
        <f t="shared" si="5"/>
        <v>3358770.98</v>
      </c>
      <c r="H26" s="28">
        <f t="shared" si="5"/>
        <v>1878628.98</v>
      </c>
      <c r="N26" s="602"/>
    </row>
    <row r="27" spans="1:14" s="89" customFormat="1" ht="13.5" thickBot="1">
      <c r="A27" s="642" t="s">
        <v>21</v>
      </c>
      <c r="B27" s="643">
        <f t="shared" ref="B27:H27" si="6">B16+B26</f>
        <v>3358770.98</v>
      </c>
      <c r="C27" s="643">
        <f t="shared" si="6"/>
        <v>1480142</v>
      </c>
      <c r="D27" s="643">
        <f t="shared" si="6"/>
        <v>986758</v>
      </c>
      <c r="E27" s="643">
        <f t="shared" si="6"/>
        <v>1503141.56</v>
      </c>
      <c r="F27" s="643">
        <f t="shared" si="6"/>
        <v>22999.560000000056</v>
      </c>
      <c r="G27" s="643">
        <f t="shared" si="6"/>
        <v>3358770.98</v>
      </c>
      <c r="H27" s="643">
        <f t="shared" si="6"/>
        <v>1878628.98</v>
      </c>
      <c r="N27" s="602"/>
    </row>
    <row r="28" spans="1:14" s="89" customFormat="1" ht="13.5" thickTop="1">
      <c r="A28" s="88"/>
      <c r="B28" s="48"/>
      <c r="C28" s="48"/>
      <c r="D28" s="48"/>
      <c r="E28" s="62"/>
      <c r="F28" s="63"/>
      <c r="G28" s="48"/>
      <c r="H28" s="48"/>
      <c r="N28" s="602"/>
    </row>
    <row r="29" spans="1:14" s="89" customFormat="1">
      <c r="A29" s="644" t="s">
        <v>10</v>
      </c>
      <c r="B29" s="49"/>
      <c r="C29" s="48"/>
      <c r="D29" s="48"/>
      <c r="E29" s="62"/>
      <c r="F29" s="63"/>
      <c r="G29" s="49"/>
      <c r="H29" s="49"/>
      <c r="N29" s="602"/>
    </row>
    <row r="30" spans="1:14" s="89" customFormat="1">
      <c r="A30" s="93" t="s">
        <v>11</v>
      </c>
      <c r="B30" s="48">
        <v>0</v>
      </c>
      <c r="C30" s="50">
        <v>0</v>
      </c>
      <c r="D30" s="50">
        <v>0</v>
      </c>
      <c r="E30" s="50">
        <v>0</v>
      </c>
      <c r="F30" s="63">
        <f t="shared" ref="F30:F36" si="7">C30-E30</f>
        <v>0</v>
      </c>
      <c r="G30" s="48">
        <v>0</v>
      </c>
      <c r="H30" s="49">
        <f t="shared" ref="H30:H36" si="8">C30-G30</f>
        <v>0</v>
      </c>
      <c r="N30" s="602"/>
    </row>
    <row r="31" spans="1:14" s="89" customFormat="1">
      <c r="A31" s="93" t="s">
        <v>12</v>
      </c>
      <c r="B31" s="48">
        <v>0</v>
      </c>
      <c r="C31" s="50">
        <v>0</v>
      </c>
      <c r="D31" s="50">
        <v>0</v>
      </c>
      <c r="E31" s="50">
        <v>0</v>
      </c>
      <c r="F31" s="63">
        <f t="shared" si="7"/>
        <v>0</v>
      </c>
      <c r="G31" s="48">
        <v>0</v>
      </c>
      <c r="H31" s="49">
        <f t="shared" si="8"/>
        <v>0</v>
      </c>
      <c r="I31" s="88"/>
      <c r="J31" s="88"/>
      <c r="N31" s="602"/>
    </row>
    <row r="32" spans="1:14" s="89" customFormat="1">
      <c r="A32" s="93" t="s">
        <v>13</v>
      </c>
      <c r="B32" s="48">
        <v>0</v>
      </c>
      <c r="C32" s="50">
        <v>0</v>
      </c>
      <c r="D32" s="50">
        <v>0</v>
      </c>
      <c r="E32" s="50">
        <v>0</v>
      </c>
      <c r="F32" s="63">
        <f t="shared" si="7"/>
        <v>0</v>
      </c>
      <c r="G32" s="48">
        <v>0</v>
      </c>
      <c r="H32" s="48">
        <f t="shared" si="8"/>
        <v>0</v>
      </c>
      <c r="I32" s="88"/>
      <c r="J32" s="88"/>
      <c r="K32" s="88"/>
      <c r="N32" s="602"/>
    </row>
    <row r="33" spans="1:11" s="89" customFormat="1">
      <c r="A33" s="93" t="s">
        <v>14</v>
      </c>
      <c r="B33" s="48">
        <v>0</v>
      </c>
      <c r="C33" s="50">
        <v>0</v>
      </c>
      <c r="D33" s="50">
        <v>0</v>
      </c>
      <c r="E33" s="50">
        <v>0</v>
      </c>
      <c r="F33" s="63">
        <f t="shared" si="7"/>
        <v>0</v>
      </c>
      <c r="G33" s="48">
        <v>0</v>
      </c>
      <c r="H33" s="48">
        <f t="shared" si="8"/>
        <v>0</v>
      </c>
      <c r="I33" s="111"/>
      <c r="J33" s="111"/>
      <c r="K33" s="88"/>
    </row>
    <row r="34" spans="1:11" s="89" customFormat="1">
      <c r="A34" s="93" t="s">
        <v>26</v>
      </c>
      <c r="B34" s="48">
        <v>0</v>
      </c>
      <c r="C34" s="50">
        <v>0</v>
      </c>
      <c r="D34" s="50">
        <v>0</v>
      </c>
      <c r="E34" s="50">
        <v>0</v>
      </c>
      <c r="F34" s="63">
        <f t="shared" si="7"/>
        <v>0</v>
      </c>
      <c r="G34" s="48">
        <v>0</v>
      </c>
      <c r="H34" s="48">
        <f t="shared" si="8"/>
        <v>0</v>
      </c>
      <c r="I34" s="111"/>
      <c r="J34" s="111"/>
      <c r="K34" s="88"/>
    </row>
    <row r="35" spans="1:11" s="89" customFormat="1" hidden="1">
      <c r="A35" s="93" t="s">
        <v>15</v>
      </c>
      <c r="B35" s="48">
        <v>0</v>
      </c>
      <c r="C35" s="50">
        <v>0</v>
      </c>
      <c r="D35" s="50">
        <v>0</v>
      </c>
      <c r="E35" s="50">
        <v>0</v>
      </c>
      <c r="F35" s="63">
        <f t="shared" si="7"/>
        <v>0</v>
      </c>
      <c r="G35" s="48">
        <v>0</v>
      </c>
      <c r="H35" s="48">
        <f t="shared" si="8"/>
        <v>0</v>
      </c>
      <c r="I35" s="111"/>
      <c r="J35" s="111"/>
      <c r="K35" s="88"/>
    </row>
    <row r="36" spans="1:11" s="89" customFormat="1" hidden="1">
      <c r="A36" s="93" t="s">
        <v>16</v>
      </c>
      <c r="B36" s="48">
        <v>-96960.080000000307</v>
      </c>
      <c r="C36" s="48">
        <f>43141.56+1000+495000+157000+2000+782000.44</f>
        <v>1480142</v>
      </c>
      <c r="D36" s="50">
        <v>100452</v>
      </c>
      <c r="E36" s="60">
        <v>1503141.56</v>
      </c>
      <c r="F36" s="63">
        <f t="shared" si="7"/>
        <v>-22999.560000000056</v>
      </c>
      <c r="G36" s="48">
        <f>1577102.08+1756506+65900.14-1822406.14</f>
        <v>1577102.0800000003</v>
      </c>
      <c r="H36" s="48">
        <f t="shared" si="8"/>
        <v>-96960.080000000307</v>
      </c>
      <c r="I36" s="111"/>
      <c r="J36" s="111"/>
      <c r="K36" s="88"/>
    </row>
    <row r="37" spans="1:11" s="89" customFormat="1" hidden="1">
      <c r="A37" s="95" t="s">
        <v>22</v>
      </c>
      <c r="B37" s="46">
        <f t="shared" ref="B37:H37" si="9">SUM(B30:B36)</f>
        <v>-96960.080000000307</v>
      </c>
      <c r="C37" s="46">
        <f t="shared" si="9"/>
        <v>1480142</v>
      </c>
      <c r="D37" s="46">
        <f t="shared" si="9"/>
        <v>100452</v>
      </c>
      <c r="E37" s="46">
        <f t="shared" si="9"/>
        <v>1503141.56</v>
      </c>
      <c r="F37" s="46">
        <f t="shared" si="9"/>
        <v>-22999.560000000056</v>
      </c>
      <c r="G37" s="46">
        <f t="shared" si="9"/>
        <v>1577102.0800000003</v>
      </c>
      <c r="H37" s="46">
        <f t="shared" si="9"/>
        <v>-96960.080000000307</v>
      </c>
      <c r="I37" s="111"/>
      <c r="J37" s="111"/>
      <c r="K37" s="88"/>
    </row>
    <row r="38" spans="1:11" s="89" customFormat="1">
      <c r="A38" s="26" t="s">
        <v>23</v>
      </c>
      <c r="B38" s="50"/>
      <c r="C38" s="50"/>
      <c r="D38" s="50"/>
      <c r="E38" s="60"/>
      <c r="F38" s="50"/>
      <c r="G38" s="50"/>
      <c r="H38" s="48"/>
      <c r="I38" s="111"/>
      <c r="J38" s="111"/>
      <c r="K38" s="88"/>
    </row>
    <row r="39" spans="1:11" s="89" customFormat="1">
      <c r="A39" s="96"/>
      <c r="B39" s="50"/>
      <c r="C39" s="50"/>
      <c r="D39" s="50"/>
      <c r="E39" s="60"/>
      <c r="F39" s="50"/>
      <c r="G39" s="50"/>
      <c r="H39" s="48"/>
      <c r="I39" s="111"/>
      <c r="J39" s="111"/>
      <c r="K39" s="88"/>
    </row>
    <row r="40" spans="1:11">
      <c r="A40" s="41" t="s">
        <v>38</v>
      </c>
      <c r="B40" s="13">
        <v>0</v>
      </c>
      <c r="C40" s="13">
        <v>0</v>
      </c>
      <c r="D40" s="13">
        <v>0</v>
      </c>
      <c r="E40" s="14">
        <v>0</v>
      </c>
      <c r="F40" s="13">
        <f>C40-E40</f>
        <v>0</v>
      </c>
      <c r="G40" s="13">
        <v>0</v>
      </c>
      <c r="H40" s="10">
        <f>C40-G40</f>
        <v>0</v>
      </c>
      <c r="I40" s="2"/>
      <c r="J40" s="2"/>
      <c r="K40" s="2"/>
    </row>
    <row r="41" spans="1:11">
      <c r="A41" s="41" t="s">
        <v>29</v>
      </c>
      <c r="B41" s="13">
        <v>1781668.9</v>
      </c>
      <c r="C41" s="13">
        <v>0</v>
      </c>
      <c r="D41" s="209">
        <v>886306</v>
      </c>
      <c r="E41" s="14">
        <v>0</v>
      </c>
      <c r="F41" s="13">
        <f>C41-E41</f>
        <v>0</v>
      </c>
      <c r="G41" s="13">
        <v>1781668.9</v>
      </c>
      <c r="H41" s="10">
        <f>C41-G41</f>
        <v>-1781668.9</v>
      </c>
      <c r="I41" s="24" t="s">
        <v>192</v>
      </c>
      <c r="J41" s="2"/>
      <c r="K41" s="2"/>
    </row>
    <row r="42" spans="1:11">
      <c r="A42" s="41"/>
      <c r="B42" s="13"/>
      <c r="C42" s="13"/>
      <c r="D42" s="13"/>
      <c r="E42" s="14"/>
      <c r="F42" s="13" t="s">
        <v>58</v>
      </c>
      <c r="G42" s="13"/>
      <c r="H42" s="10"/>
      <c r="I42" s="2"/>
      <c r="J42" s="2"/>
      <c r="K42" s="2"/>
    </row>
    <row r="43" spans="1:11">
      <c r="A43" s="37" t="s">
        <v>24</v>
      </c>
      <c r="B43" s="38">
        <f t="shared" ref="B43:G43" si="10">SUM(B39:B42)</f>
        <v>1781668.9</v>
      </c>
      <c r="C43" s="38">
        <f t="shared" si="10"/>
        <v>0</v>
      </c>
      <c r="D43" s="38">
        <f t="shared" si="10"/>
        <v>886306</v>
      </c>
      <c r="E43" s="38">
        <f t="shared" si="10"/>
        <v>0</v>
      </c>
      <c r="F43" s="38">
        <f t="shared" si="10"/>
        <v>0</v>
      </c>
      <c r="G43" s="38">
        <f t="shared" si="10"/>
        <v>1781668.9</v>
      </c>
      <c r="H43" s="40">
        <f>C43-G43</f>
        <v>-1781668.9</v>
      </c>
      <c r="I43" s="2"/>
      <c r="J43" s="2"/>
      <c r="K43" s="2"/>
    </row>
    <row r="44" spans="1:11" ht="12.75" customHeight="1" thickBot="1">
      <c r="A44" s="55" t="s">
        <v>25</v>
      </c>
      <c r="B44" s="59">
        <f t="shared" ref="B44:H44" si="11">B37+B43</f>
        <v>1684708.8199999996</v>
      </c>
      <c r="C44" s="59">
        <f t="shared" si="11"/>
        <v>1480142</v>
      </c>
      <c r="D44" s="59">
        <f t="shared" si="11"/>
        <v>986758</v>
      </c>
      <c r="E44" s="59">
        <f t="shared" si="11"/>
        <v>1503141.56</v>
      </c>
      <c r="F44" s="59">
        <f t="shared" si="11"/>
        <v>-22999.560000000056</v>
      </c>
      <c r="G44" s="59">
        <f t="shared" si="11"/>
        <v>3358770.9800000004</v>
      </c>
      <c r="H44" s="59">
        <f t="shared" si="11"/>
        <v>-1878628.9800000002</v>
      </c>
      <c r="I44" s="2"/>
      <c r="J44" s="2"/>
      <c r="K44" s="2"/>
    </row>
    <row r="45" spans="1:11" ht="13.5" thickTop="1">
      <c r="A45" s="26" t="s">
        <v>17</v>
      </c>
      <c r="B45" s="202">
        <f t="shared" ref="B45:G45" si="12">B27-B44</f>
        <v>1674062.1600000004</v>
      </c>
      <c r="C45" s="202">
        <f t="shared" si="12"/>
        <v>0</v>
      </c>
      <c r="D45" s="202">
        <f t="shared" si="12"/>
        <v>0</v>
      </c>
      <c r="E45" s="202">
        <f t="shared" si="12"/>
        <v>0</v>
      </c>
      <c r="F45" s="202" t="s">
        <v>58</v>
      </c>
      <c r="G45" s="202">
        <f t="shared" si="12"/>
        <v>0</v>
      </c>
      <c r="H45" s="202" t="s">
        <v>58</v>
      </c>
      <c r="I45" s="2"/>
      <c r="J45" s="2"/>
    </row>
    <row r="46" spans="1:11" ht="12.75" customHeight="1">
      <c r="A46" s="26"/>
      <c r="B46" s="26"/>
      <c r="C46" s="28"/>
      <c r="D46" s="28"/>
      <c r="E46" s="29"/>
      <c r="F46" s="28"/>
      <c r="G46" s="2"/>
    </row>
    <row r="47" spans="1:11" ht="12.75" customHeight="1">
      <c r="A47" s="30" t="s">
        <v>18</v>
      </c>
      <c r="B47" s="30"/>
      <c r="F47" s="32"/>
    </row>
    <row r="48" spans="1:11" ht="12.75" customHeight="1" thickBot="1">
      <c r="A48" s="30" t="s">
        <v>201</v>
      </c>
      <c r="B48" s="30"/>
      <c r="C48" s="2"/>
      <c r="D48" s="2"/>
      <c r="E48" s="22"/>
      <c r="F48" s="120"/>
      <c r="G48" s="2"/>
      <c r="H48" s="2"/>
    </row>
    <row r="49" spans="1:10" ht="12.75" customHeight="1">
      <c r="B49" s="2"/>
      <c r="C49" s="174"/>
      <c r="D49" s="175"/>
      <c r="E49" s="123" t="s">
        <v>189</v>
      </c>
      <c r="F49" s="187"/>
      <c r="G49" s="184" t="s">
        <v>190</v>
      </c>
      <c r="H49" s="131"/>
    </row>
    <row r="50" spans="1:10" ht="12.75" customHeight="1">
      <c r="A50" s="33"/>
      <c r="B50" s="173"/>
      <c r="C50" s="176"/>
      <c r="D50" s="2"/>
      <c r="E50" s="51">
        <v>43142</v>
      </c>
      <c r="F50" s="188" t="s">
        <v>104</v>
      </c>
      <c r="G50" s="51">
        <v>22102.080000000002</v>
      </c>
      <c r="H50" s="119"/>
    </row>
    <row r="51" spans="1:10" ht="12.75" customHeight="1">
      <c r="B51" s="2"/>
      <c r="C51" s="176"/>
      <c r="D51" s="2"/>
      <c r="E51" s="51">
        <v>1000</v>
      </c>
      <c r="F51" s="188" t="s">
        <v>106</v>
      </c>
      <c r="G51" s="51">
        <v>1000</v>
      </c>
      <c r="H51" s="119"/>
    </row>
    <row r="52" spans="1:10" ht="12.75" customHeight="1">
      <c r="B52" s="2"/>
      <c r="C52" s="177">
        <v>106.01</v>
      </c>
      <c r="D52" s="169">
        <f>SUM(E50:E52)</f>
        <v>539142</v>
      </c>
      <c r="E52" s="185">
        <v>495000</v>
      </c>
      <c r="F52" s="189" t="s">
        <v>105</v>
      </c>
      <c r="G52" s="185">
        <v>520000</v>
      </c>
      <c r="H52" s="170">
        <f>SUM(G50:G52)</f>
        <v>543102.07999999996</v>
      </c>
      <c r="I52" s="253" t="s">
        <v>243</v>
      </c>
    </row>
    <row r="53" spans="1:10" ht="12.75" customHeight="1">
      <c r="B53" s="229" t="s">
        <v>216</v>
      </c>
      <c r="C53" s="176"/>
      <c r="D53" s="2"/>
      <c r="E53" s="228">
        <v>180000</v>
      </c>
      <c r="F53" s="188" t="s">
        <v>102</v>
      </c>
      <c r="G53" s="51">
        <v>170000</v>
      </c>
      <c r="H53" s="119"/>
    </row>
    <row r="54" spans="1:10" ht="12.75" customHeight="1">
      <c r="B54" s="2"/>
      <c r="C54" s="176"/>
      <c r="D54" s="2"/>
      <c r="E54" s="51">
        <v>2000</v>
      </c>
      <c r="F54" s="188" t="s">
        <v>103</v>
      </c>
      <c r="G54" s="51">
        <f>2000+1756506+65900.14-40737.24</f>
        <v>1783668.9</v>
      </c>
      <c r="H54" s="132"/>
    </row>
    <row r="55" spans="1:10" ht="12.75" customHeight="1" thickBot="1">
      <c r="B55" s="2"/>
      <c r="C55" s="178">
        <v>106.02</v>
      </c>
      <c r="D55" s="171">
        <f>SUM(E53:E55)</f>
        <v>964000</v>
      </c>
      <c r="E55" s="186">
        <v>782000</v>
      </c>
      <c r="F55" s="190" t="s">
        <v>101</v>
      </c>
      <c r="G55" s="186">
        <v>862000</v>
      </c>
      <c r="H55" s="172">
        <f>SUM(G53:G55)</f>
        <v>2815668.9</v>
      </c>
      <c r="I55" s="16" t="s">
        <v>244</v>
      </c>
    </row>
    <row r="56" spans="1:10" ht="12.75" customHeight="1" thickBot="1">
      <c r="B56" s="2"/>
      <c r="C56" s="179"/>
      <c r="D56" s="180"/>
      <c r="E56" s="181">
        <f>SUM(E50:E55)</f>
        <v>1503142</v>
      </c>
      <c r="F56" s="180"/>
      <c r="G56" s="182">
        <f>SUM(G50:G55)</f>
        <v>3358770.98</v>
      </c>
      <c r="H56" s="183"/>
    </row>
    <row r="57" spans="1:10" ht="12.75" customHeight="1">
      <c r="C57" s="2"/>
      <c r="D57" s="2"/>
      <c r="E57" s="22"/>
      <c r="F57" s="120"/>
      <c r="G57" s="2"/>
      <c r="H57" s="2"/>
      <c r="J57" s="1">
        <f>1756506+65900.14</f>
        <v>1822406.14</v>
      </c>
    </row>
    <row r="58" spans="1:10" ht="12.75" customHeight="1">
      <c r="D58" s="16" t="s">
        <v>308</v>
      </c>
      <c r="F58" s="32"/>
    </row>
    <row r="59" spans="1:10" ht="12.75" customHeight="1">
      <c r="F59" s="32"/>
    </row>
    <row r="60" spans="1:10" ht="12.75" customHeight="1">
      <c r="F60" s="32"/>
    </row>
    <row r="61" spans="1:10" ht="12.75" customHeight="1">
      <c r="B61" s="230"/>
      <c r="F61" s="32"/>
    </row>
    <row r="62" spans="1:10" ht="12.75" customHeight="1">
      <c r="F62" s="32"/>
    </row>
    <row r="63" spans="1:10" ht="12.75" customHeight="1">
      <c r="F63" s="32"/>
    </row>
    <row r="64" spans="1:10" ht="12.75" customHeight="1">
      <c r="F64" s="32"/>
    </row>
    <row r="65" spans="6:6" ht="12.75" customHeight="1">
      <c r="F65" s="32"/>
    </row>
    <row r="66" spans="6:6" ht="12.75" customHeight="1">
      <c r="F66" s="32"/>
    </row>
    <row r="67" spans="6:6" ht="12.75" customHeight="1">
      <c r="F67" s="32"/>
    </row>
    <row r="68" spans="6:6" ht="12.75" customHeight="1">
      <c r="F68" s="32"/>
    </row>
    <row r="69" spans="6:6" ht="12.75" customHeight="1">
      <c r="F69" s="32"/>
    </row>
    <row r="70" spans="6:6" ht="12.75" customHeight="1">
      <c r="F70" s="32"/>
    </row>
    <row r="71" spans="6:6" ht="12.75" customHeight="1">
      <c r="F71" s="32"/>
    </row>
    <row r="72" spans="6:6" ht="12.75" customHeight="1">
      <c r="F72" s="32"/>
    </row>
    <row r="73" spans="6:6" ht="12.75" customHeight="1">
      <c r="F73" s="32"/>
    </row>
    <row r="74" spans="6:6" ht="12.75" customHeight="1">
      <c r="F74" s="32"/>
    </row>
    <row r="75" spans="6:6" ht="12.75" customHeight="1">
      <c r="F75" s="32"/>
    </row>
    <row r="76" spans="6:6" ht="12.75" customHeight="1">
      <c r="F76" s="32"/>
    </row>
    <row r="77" spans="6:6" ht="12.75" customHeight="1">
      <c r="F77" s="32"/>
    </row>
    <row r="78" spans="6:6" ht="12.75" customHeight="1">
      <c r="F78" s="32"/>
    </row>
    <row r="79" spans="6:6" ht="12.75" customHeight="1">
      <c r="F79" s="32"/>
    </row>
    <row r="80" spans="6:6" ht="12.75" customHeight="1">
      <c r="F80" s="32"/>
    </row>
    <row r="81" spans="6:6" ht="12.75" customHeight="1">
      <c r="F81" s="32"/>
    </row>
    <row r="82" spans="6:6" ht="12.75" customHeight="1">
      <c r="F82" s="32"/>
    </row>
    <row r="83" spans="6:6" ht="12.75" customHeight="1">
      <c r="F83" s="34"/>
    </row>
    <row r="84" spans="6:6" ht="12.75" customHeight="1">
      <c r="F84" s="34"/>
    </row>
    <row r="85" spans="6:6" ht="12.75" customHeight="1">
      <c r="F85" s="34"/>
    </row>
    <row r="86" spans="6:6" ht="12.75" customHeight="1">
      <c r="F86" s="34"/>
    </row>
    <row r="87" spans="6:6" ht="12.75" customHeight="1">
      <c r="F87" s="34"/>
    </row>
    <row r="88" spans="6:6" ht="12.75" customHeight="1">
      <c r="F88" s="34"/>
    </row>
    <row r="89" spans="6:6" ht="12.75" customHeight="1">
      <c r="F89" s="34"/>
    </row>
    <row r="90" spans="6:6" ht="12.75" customHeight="1">
      <c r="F90" s="34"/>
    </row>
    <row r="91" spans="6:6" ht="12.75" customHeight="1">
      <c r="F91" s="34"/>
    </row>
    <row r="92" spans="6:6" ht="12.75" customHeight="1">
      <c r="F92" s="34"/>
    </row>
    <row r="93" spans="6:6" ht="12.75" customHeight="1">
      <c r="F93" s="34"/>
    </row>
    <row r="94" spans="6:6" ht="12.75" customHeight="1">
      <c r="F94" s="34"/>
    </row>
    <row r="95" spans="6:6" ht="12.75" customHeight="1">
      <c r="F95" s="34"/>
    </row>
    <row r="96" spans="6:6" ht="12.75" customHeight="1">
      <c r="F96" s="34"/>
    </row>
    <row r="97" spans="6:6" ht="12.75" customHeight="1">
      <c r="F97" s="34"/>
    </row>
    <row r="98" spans="6:6" ht="12.75" customHeight="1">
      <c r="F98" s="34"/>
    </row>
    <row r="99" spans="6:6" ht="12.75" customHeight="1">
      <c r="F99" s="34"/>
    </row>
    <row r="100" spans="6:6" ht="12.75" customHeight="1">
      <c r="F100" s="34"/>
    </row>
    <row r="101" spans="6:6" ht="12.75" customHeight="1">
      <c r="F101" s="34"/>
    </row>
    <row r="102" spans="6:6" ht="12.75" customHeight="1">
      <c r="F102" s="34"/>
    </row>
    <row r="103" spans="6:6" ht="12.75" customHeight="1">
      <c r="F103" s="34"/>
    </row>
    <row r="104" spans="6:6" ht="12.75" customHeight="1">
      <c r="F104" s="34"/>
    </row>
    <row r="105" spans="6:6" ht="12.75" customHeight="1">
      <c r="F105" s="34"/>
    </row>
    <row r="106" spans="6:6" ht="12.75" customHeight="1">
      <c r="F106" s="34"/>
    </row>
    <row r="107" spans="6:6" ht="12.75" customHeight="1">
      <c r="F107" s="34"/>
    </row>
    <row r="108" spans="6:6" ht="12.75" customHeight="1">
      <c r="F108" s="34"/>
    </row>
    <row r="109" spans="6:6" ht="12.75" customHeight="1">
      <c r="F109" s="34"/>
    </row>
    <row r="110" spans="6:6" ht="12.75" customHeight="1">
      <c r="F110" s="34"/>
    </row>
    <row r="111" spans="6:6" ht="12.75" customHeight="1">
      <c r="F111" s="34"/>
    </row>
    <row r="112" spans="6:6" ht="12.75" customHeight="1">
      <c r="F112" s="34"/>
    </row>
    <row r="113" spans="6:6" ht="12.75" customHeight="1">
      <c r="F113" s="34"/>
    </row>
    <row r="114" spans="6:6" ht="12.75" customHeight="1">
      <c r="F114" s="34"/>
    </row>
    <row r="115" spans="6:6" ht="12.75" customHeight="1">
      <c r="F115" s="34"/>
    </row>
    <row r="116" spans="6:6" ht="12.75" customHeight="1">
      <c r="F116" s="34"/>
    </row>
    <row r="117" spans="6:6" ht="12.75" customHeight="1">
      <c r="F117" s="34"/>
    </row>
    <row r="118" spans="6:6" ht="12.75" customHeight="1">
      <c r="F118" s="34"/>
    </row>
    <row r="119" spans="6:6" ht="12.75" customHeight="1">
      <c r="F119" s="34"/>
    </row>
    <row r="120" spans="6:6" ht="12.75" customHeight="1">
      <c r="F120" s="34"/>
    </row>
    <row r="121" spans="6:6" ht="12.75" customHeight="1">
      <c r="F121" s="34"/>
    </row>
    <row r="122" spans="6:6" ht="12.75" customHeight="1">
      <c r="F122" s="34"/>
    </row>
    <row r="123" spans="6:6" ht="12.75" customHeight="1">
      <c r="F123" s="34"/>
    </row>
    <row r="124" spans="6:6" ht="12.75" customHeight="1">
      <c r="F124" s="34"/>
    </row>
    <row r="125" spans="6:6" ht="12.75" customHeight="1">
      <c r="F125" s="34"/>
    </row>
  </sheetData>
  <customSheetViews>
    <customSheetView guid="{C8E99144-FF29-42D8-8D33-2038AA9D760E}" scale="75" showPageBreaks="1" fitToPage="1" view="pageBreakPreview" showRuler="0">
      <pane xSplit="1" ySplit="4" topLeftCell="B37" activePane="bottomRight" state="frozen"/>
      <selection pane="bottomRight" activeCell="G40" sqref="G40"/>
      <pageMargins left="0" right="0" top="0.5" bottom="0.5" header="0.5" footer="0.5"/>
      <printOptions horizontalCentered="1"/>
      <pageSetup scale="71" orientation="landscape" horizontalDpi="300" verticalDpi="300" r:id="rId1"/>
      <headerFooter alignWithMargins="0"/>
    </customSheetView>
    <customSheetView guid="{6F41311F-2270-450A-A26B-FA887A989CC9}" showPageBreaks="1" fitToPage="1" view="pageBreakPreview" showRuler="0" topLeftCell="A4">
      <selection activeCell="H20" sqref="H20"/>
      <pageMargins left="0.75" right="0.75" top="1" bottom="1" header="0.5" footer="0.5"/>
      <pageSetup scale="40" orientation="portrait" horizontalDpi="300" verticalDpi="300" r:id="rId2"/>
      <headerFooter alignWithMargins="0"/>
    </customSheetView>
    <customSheetView guid="{9F62FB59-F471-497B-8464-A1F026EE1693}" scale="85" showPageBreaks="1" printArea="1" hiddenColumns="1" showRuler="0">
      <pane xSplit="1" ySplit="4" topLeftCell="B11" activePane="bottomRight" state="frozen"/>
      <selection pane="bottomRight" activeCell="F39" sqref="F39"/>
      <pageMargins left="0.75" right="0.75" top="1" bottom="1" header="0.5" footer="0.5"/>
      <pageSetup scale="41" orientation="portrait" horizontalDpi="300" verticalDpi="300" r:id="rId3"/>
      <headerFooter alignWithMargins="0"/>
    </customSheetView>
    <customSheetView guid="{20D5FB18-2FAE-4D83-BF94-A00B522BD190}" showPageBreaks="1" fitToPage="1" hiddenColumns="1" view="pageBreakPreview" showRuler="0">
      <selection activeCell="H29" sqref="H29"/>
      <pageMargins left="0.75" right="0.75" top="1" bottom="1" header="0.5" footer="0.5"/>
      <pageSetup scale="41" orientation="portrait" horizontalDpi="300" verticalDpi="300" r:id="rId4"/>
      <headerFooter alignWithMargins="0"/>
    </customSheetView>
    <customSheetView guid="{9456C1E9-89BB-4E93-9AFD-5A49DBF97574}" showPageBreaks="1" fitToPage="1" hiddenColumns="1" view="pageBreakPreview" showRuler="0">
      <selection activeCell="E3" sqref="E1:F65536"/>
      <pageMargins left="0.75" right="0.75" top="1" bottom="1" header="0.5" footer="0.5"/>
      <pageSetup scale="41" orientation="portrait" horizontalDpi="300" verticalDpi="300" r:id="rId5"/>
      <headerFooter alignWithMargins="0"/>
    </customSheetView>
    <customSheetView guid="{7FD41845-6BD4-448F-810C-049EFA55EC1B}" scale="75" fitToPage="1" showRuler="0">
      <pane xSplit="1" ySplit="4" topLeftCell="B28" activePane="bottomRight" state="frozen"/>
      <selection pane="bottomRight" activeCell="D40" sqref="D40"/>
      <pageMargins left="0" right="0" top="0.5" bottom="0.5" header="0.5" footer="0.5"/>
      <printOptions horizontalCentered="1"/>
      <pageSetup scale="71" orientation="landscape" horizontalDpi="300" verticalDpi="300" r:id="rId6"/>
      <headerFooter alignWithMargins="0"/>
    </customSheetView>
    <customSheetView guid="{8B0AB125-4209-45BF-9ABD-74BE01FD7C48}" scale="75" showPageBreaks="1" fitToPage="1" showRuler="0">
      <pane xSplit="1" ySplit="4" topLeftCell="B25" activePane="bottomRight" state="frozen"/>
      <selection pane="bottomRight" activeCell="G40" sqref="G40"/>
      <pageMargins left="0" right="0" top="0.5" bottom="0.5" header="0.5" footer="0.5"/>
      <printOptions horizontalCentered="1"/>
      <pageSetup scale="71" orientation="landscape" horizontalDpi="300" verticalDpi="300" r:id="rId7"/>
      <headerFooter alignWithMargins="0"/>
    </customSheetView>
  </customSheetViews>
  <mergeCells count="3">
    <mergeCell ref="A1:H1"/>
    <mergeCell ref="A2:G2"/>
    <mergeCell ref="B3:N3"/>
  </mergeCells>
  <phoneticPr fontId="0" type="noConversion"/>
  <printOptions horizontalCentered="1"/>
  <pageMargins left="0" right="0" top="0.5" bottom="0.5" header="0.5" footer="0.5"/>
  <pageSetup scale="53" orientation="landscape" horizontalDpi="300" verticalDpi="300" r:id="rId8"/>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tabColor indexed="61"/>
    <pageSetUpPr fitToPage="1"/>
  </sheetPr>
  <dimension ref="A1:N39"/>
  <sheetViews>
    <sheetView showGridLines="0" showRuler="0" topLeftCell="B2" workbookViewId="0">
      <selection activeCell="U28" sqref="U28"/>
    </sheetView>
  </sheetViews>
  <sheetFormatPr defaultRowHeight="12.75"/>
  <cols>
    <col min="1" max="1" width="0" hidden="1" customWidth="1"/>
    <col min="2" max="9" width="12.7109375" customWidth="1"/>
    <col min="10" max="10" width="11.5703125" bestFit="1" customWidth="1"/>
  </cols>
  <sheetData>
    <row r="1" spans="1:14" s="1" customFormat="1" ht="44.25" hidden="1">
      <c r="A1" s="26"/>
      <c r="B1" s="593" t="e">
        <f>PROPER(#REF!)</f>
        <v>#REF!</v>
      </c>
      <c r="C1" s="593" t="e">
        <f>PROPER(#REF!)</f>
        <v>#REF!</v>
      </c>
      <c r="D1" s="593" t="e">
        <f>PROPER(#REF!)</f>
        <v>#REF!</v>
      </c>
      <c r="E1" s="593" t="e">
        <f>PROPER(#REF!)</f>
        <v>#REF!</v>
      </c>
      <c r="F1" s="593" t="e">
        <f>PROPER(#REF!)</f>
        <v>#REF!</v>
      </c>
      <c r="G1" s="593" t="e">
        <f>PROPER(#REF!)</f>
        <v>#REF!</v>
      </c>
      <c r="H1" s="593" t="e">
        <f>PROPER(#REF!)</f>
        <v>#REF!</v>
      </c>
      <c r="I1" s="593" t="e">
        <f>PROPER(#REF!)</f>
        <v>#REF!</v>
      </c>
      <c r="J1" s="593" t="e">
        <f>PROPER(#REF!)</f>
        <v>#REF!</v>
      </c>
      <c r="K1" s="593" t="e">
        <f>PROPER(#REF!)</f>
        <v>#REF!</v>
      </c>
      <c r="L1" s="593" t="e">
        <f>PROPER(#REF!)</f>
        <v>#REF!</v>
      </c>
      <c r="M1" s="593" t="str">
        <f>PROPER(A1)</f>
        <v/>
      </c>
      <c r="N1" s="593" t="e">
        <f>PROPER(B1)</f>
        <v>#REF!</v>
      </c>
    </row>
    <row r="2" spans="1:14" s="1" customFormat="1">
      <c r="A2" s="26" t="s">
        <v>237</v>
      </c>
      <c r="B2" s="202"/>
      <c r="C2" s="202"/>
      <c r="D2" s="202"/>
      <c r="E2" s="202"/>
      <c r="F2" s="202"/>
      <c r="G2" s="202" t="s">
        <v>47</v>
      </c>
      <c r="H2" s="204"/>
    </row>
    <row r="3" spans="1:14" s="1" customFormat="1" ht="41.25">
      <c r="A3" s="26"/>
      <c r="B3" s="1755" t="e">
        <f>PROPER(B1)</f>
        <v>#REF!</v>
      </c>
      <c r="C3" s="1755"/>
      <c r="D3" s="1755"/>
      <c r="E3" s="1755"/>
      <c r="F3" s="1755"/>
      <c r="G3" s="1755"/>
      <c r="H3" s="1755"/>
      <c r="I3" s="1755"/>
      <c r="J3" s="1755"/>
      <c r="K3" s="1755"/>
      <c r="L3" s="1755"/>
      <c r="M3" s="1755"/>
      <c r="N3" s="1755"/>
    </row>
    <row r="4" spans="1:14" s="1" customFormat="1" ht="12.75" customHeight="1" thickBot="1">
      <c r="A4" s="26"/>
      <c r="B4" s="26"/>
      <c r="C4" s="28"/>
      <c r="D4" s="28"/>
      <c r="E4" s="2"/>
      <c r="F4" s="2"/>
      <c r="G4" s="2"/>
      <c r="H4" s="2"/>
    </row>
    <row r="5" spans="1:14" s="1" customFormat="1" ht="12.75" customHeight="1">
      <c r="A5" s="30" t="s">
        <v>18</v>
      </c>
      <c r="B5" s="30"/>
      <c r="C5" s="16"/>
      <c r="D5" s="16"/>
      <c r="E5" s="191" t="s">
        <v>189</v>
      </c>
      <c r="F5" s="196"/>
      <c r="G5" s="224" t="s">
        <v>190</v>
      </c>
      <c r="H5" s="118"/>
      <c r="I5" s="2"/>
    </row>
    <row r="6" spans="1:14" s="1" customFormat="1" ht="12.75" customHeight="1">
      <c r="A6" s="30" t="s">
        <v>228</v>
      </c>
      <c r="B6" s="30"/>
      <c r="C6" s="16"/>
      <c r="D6" s="16"/>
      <c r="E6" s="195">
        <v>115697</v>
      </c>
      <c r="F6" s="193" t="s">
        <v>94</v>
      </c>
      <c r="G6" s="195">
        <v>0</v>
      </c>
      <c r="H6" s="235" t="s">
        <v>255</v>
      </c>
      <c r="I6" s="2"/>
    </row>
    <row r="7" spans="1:14" s="1" customFormat="1" ht="12.75" customHeight="1">
      <c r="A7" s="33" t="s">
        <v>220</v>
      </c>
      <c r="B7" s="33"/>
      <c r="D7" s="85" t="s">
        <v>176</v>
      </c>
      <c r="E7" s="195">
        <v>5000</v>
      </c>
      <c r="F7" s="193" t="s">
        <v>96</v>
      </c>
      <c r="G7" s="195">
        <v>0</v>
      </c>
      <c r="H7" s="235" t="s">
        <v>222</v>
      </c>
      <c r="I7" s="2"/>
    </row>
    <row r="8" spans="1:14" s="1" customFormat="1" ht="12.75" customHeight="1">
      <c r="A8" s="257" t="s">
        <v>229</v>
      </c>
      <c r="B8"/>
      <c r="C8"/>
      <c r="D8" s="232">
        <f>E6</f>
        <v>115697</v>
      </c>
      <c r="E8" s="195">
        <v>0</v>
      </c>
      <c r="F8" s="194" t="s">
        <v>95</v>
      </c>
      <c r="G8" s="195">
        <v>0</v>
      </c>
      <c r="H8" s="235" t="s">
        <v>256</v>
      </c>
      <c r="I8" s="2"/>
    </row>
    <row r="9" spans="1:14" s="1" customFormat="1" ht="12.75" customHeight="1">
      <c r="A9"/>
      <c r="B9"/>
      <c r="C9"/>
      <c r="D9" s="102" t="s">
        <v>231</v>
      </c>
      <c r="E9" s="195">
        <v>235701</v>
      </c>
      <c r="F9" s="193" t="s">
        <v>93</v>
      </c>
      <c r="G9" s="195">
        <v>0</v>
      </c>
      <c r="H9" s="235" t="s">
        <v>255</v>
      </c>
      <c r="I9" s="2"/>
      <c r="N9" s="601"/>
    </row>
    <row r="10" spans="1:14" s="1" customFormat="1" ht="12.75" customHeight="1" thickBot="1">
      <c r="A10"/>
      <c r="B10"/>
      <c r="C10"/>
      <c r="D10" s="251">
        <f>D8*1.5%</f>
        <v>1735.4549999999999</v>
      </c>
      <c r="E10" s="216"/>
      <c r="F10" s="231"/>
      <c r="G10" s="216"/>
      <c r="H10" s="235"/>
      <c r="I10" s="2"/>
      <c r="J10" s="2"/>
      <c r="N10" s="601"/>
    </row>
    <row r="11" spans="1:14" s="1" customFormat="1" ht="14.25" customHeight="1">
      <c r="A11" s="238"/>
      <c r="B11" s="239" t="s">
        <v>186</v>
      </c>
      <c r="D11" s="79"/>
      <c r="E11" s="216">
        <v>285696</v>
      </c>
      <c r="F11" s="233" t="s">
        <v>221</v>
      </c>
      <c r="G11" s="216">
        <v>299223</v>
      </c>
      <c r="H11" s="235" t="s">
        <v>255</v>
      </c>
      <c r="I11" s="2"/>
      <c r="J11" s="80"/>
      <c r="N11" s="601"/>
    </row>
    <row r="12" spans="1:14" s="89" customFormat="1" ht="12.75" customHeight="1">
      <c r="A12" s="628" t="s">
        <v>221</v>
      </c>
      <c r="B12" s="686">
        <f>G11</f>
        <v>299223</v>
      </c>
      <c r="D12" s="79"/>
      <c r="E12" s="216">
        <v>42800</v>
      </c>
      <c r="F12" s="231" t="s">
        <v>96</v>
      </c>
      <c r="G12" s="216">
        <v>5000</v>
      </c>
      <c r="H12" s="235" t="s">
        <v>222</v>
      </c>
      <c r="I12" s="88"/>
      <c r="J12" s="687"/>
      <c r="N12" s="602"/>
    </row>
    <row r="13" spans="1:14" s="89" customFormat="1" ht="12.75" customHeight="1">
      <c r="A13" s="630"/>
      <c r="B13" s="686">
        <f>G13</f>
        <v>1687800</v>
      </c>
      <c r="D13" s="79"/>
      <c r="E13" s="216">
        <v>1701300</v>
      </c>
      <c r="F13" s="688" t="s">
        <v>223</v>
      </c>
      <c r="G13" s="216">
        <v>1687800</v>
      </c>
      <c r="H13" s="235" t="s">
        <v>256</v>
      </c>
      <c r="I13" s="88"/>
      <c r="J13" s="689"/>
      <c r="N13" s="602"/>
    </row>
    <row r="14" spans="1:14" s="89" customFormat="1" ht="12.75" customHeight="1" thickBot="1">
      <c r="A14" s="630"/>
      <c r="B14" s="690">
        <f>SUM(B12:B13)</f>
        <v>1987023</v>
      </c>
      <c r="E14" s="216">
        <v>13971127</v>
      </c>
      <c r="F14" s="255" t="s">
        <v>226</v>
      </c>
      <c r="G14" s="216">
        <v>0</v>
      </c>
      <c r="H14" s="235" t="s">
        <v>224</v>
      </c>
      <c r="I14" s="88"/>
      <c r="J14" s="687">
        <f>SUM(G11:G14)</f>
        <v>1992023</v>
      </c>
      <c r="N14" s="602"/>
    </row>
    <row r="15" spans="1:14" s="89" customFormat="1" ht="12.75" customHeight="1" thickTop="1" thickBot="1">
      <c r="A15" s="634" t="s">
        <v>232</v>
      </c>
      <c r="B15" s="691">
        <f>B14*6.17%</f>
        <v>122599.31909999999</v>
      </c>
      <c r="E15" s="216"/>
      <c r="F15" s="231"/>
      <c r="G15" s="216"/>
      <c r="H15" s="235"/>
      <c r="I15" s="88"/>
      <c r="J15" s="692"/>
      <c r="K15" s="66"/>
      <c r="N15" s="602"/>
    </row>
    <row r="16" spans="1:14" s="89" customFormat="1" ht="12.75" customHeight="1" thickBot="1">
      <c r="A16" s="693"/>
      <c r="E16" s="216">
        <v>225264</v>
      </c>
      <c r="F16" s="231" t="s">
        <v>225</v>
      </c>
      <c r="G16" s="216">
        <v>248197</v>
      </c>
      <c r="H16" s="235" t="s">
        <v>255</v>
      </c>
      <c r="I16" s="88"/>
      <c r="N16" s="602"/>
    </row>
    <row r="17" spans="1:14" s="89" customFormat="1" ht="12.75" customHeight="1">
      <c r="A17" s="628" t="s">
        <v>221</v>
      </c>
      <c r="B17" s="629">
        <f>G11</f>
        <v>299223</v>
      </c>
      <c r="E17" s="216">
        <v>42800</v>
      </c>
      <c r="F17" s="255" t="s">
        <v>226</v>
      </c>
      <c r="G17" s="216">
        <v>5000</v>
      </c>
      <c r="H17" s="235" t="s">
        <v>222</v>
      </c>
      <c r="I17" s="88"/>
      <c r="N17" s="602"/>
    </row>
    <row r="18" spans="1:14" s="89" customFormat="1" ht="12.75" customHeight="1">
      <c r="A18" s="630"/>
      <c r="B18" s="631">
        <f>G13</f>
        <v>1687800</v>
      </c>
      <c r="E18" s="216">
        <v>764300</v>
      </c>
      <c r="F18" s="231" t="s">
        <v>227</v>
      </c>
      <c r="G18" s="216">
        <v>741400</v>
      </c>
      <c r="H18" s="235" t="s">
        <v>256</v>
      </c>
      <c r="I18" s="88"/>
      <c r="N18" s="602"/>
    </row>
    <row r="19" spans="1:14" s="89" customFormat="1" ht="12.75" customHeight="1">
      <c r="A19" s="630" t="s">
        <v>234</v>
      </c>
      <c r="B19" s="631">
        <v>-122599.32</v>
      </c>
      <c r="D19" s="79"/>
      <c r="E19" s="216">
        <v>10051200</v>
      </c>
      <c r="F19" s="255" t="s">
        <v>226</v>
      </c>
      <c r="G19" s="216">
        <v>0</v>
      </c>
      <c r="H19" s="632" t="s">
        <v>224</v>
      </c>
      <c r="I19" s="88"/>
      <c r="J19" s="79">
        <f>SUM(G16:G19)</f>
        <v>994597</v>
      </c>
      <c r="N19" s="602"/>
    </row>
    <row r="20" spans="1:14" s="89" customFormat="1" ht="12.75" customHeight="1">
      <c r="A20" s="630"/>
      <c r="B20" s="633">
        <f>SUM(B17:B19)</f>
        <v>1864423.68</v>
      </c>
      <c r="D20" s="79"/>
      <c r="E20" s="216"/>
      <c r="F20" s="255"/>
      <c r="G20" s="216"/>
      <c r="H20" s="632"/>
      <c r="I20" s="88"/>
      <c r="N20" s="602"/>
    </row>
    <row r="21" spans="1:14" s="89" customFormat="1" ht="12.75" customHeight="1" thickBot="1">
      <c r="A21" s="634" t="s">
        <v>233</v>
      </c>
      <c r="B21" s="635">
        <f>B20*1.5%</f>
        <v>27966.355199999998</v>
      </c>
      <c r="D21" s="79"/>
      <c r="E21" s="216">
        <v>0</v>
      </c>
      <c r="F21" s="255" t="s">
        <v>246</v>
      </c>
      <c r="G21" s="216"/>
      <c r="H21" s="235" t="s">
        <v>255</v>
      </c>
      <c r="I21" s="88"/>
      <c r="J21" s="66"/>
      <c r="N21" s="602"/>
    </row>
    <row r="22" spans="1:14" s="89" customFormat="1" ht="14.25" customHeight="1">
      <c r="D22" s="79"/>
      <c r="E22" s="216">
        <v>0</v>
      </c>
      <c r="F22" s="255" t="s">
        <v>226</v>
      </c>
      <c r="G22" s="216"/>
      <c r="H22" s="235" t="s">
        <v>222</v>
      </c>
      <c r="I22" s="88"/>
      <c r="N22" s="602"/>
    </row>
    <row r="23" spans="1:14" s="89" customFormat="1" ht="12.75" customHeight="1">
      <c r="A23" s="66" t="s">
        <v>58</v>
      </c>
      <c r="E23" s="216">
        <v>0</v>
      </c>
      <c r="F23" s="255" t="s">
        <v>247</v>
      </c>
      <c r="G23" s="216"/>
      <c r="H23" s="235" t="s">
        <v>256</v>
      </c>
      <c r="I23" s="88"/>
      <c r="J23" s="79">
        <f>SUM(G21:G23)</f>
        <v>0</v>
      </c>
      <c r="N23" s="602"/>
    </row>
    <row r="24" spans="1:14" s="89" customFormat="1" ht="12.75" customHeight="1">
      <c r="A24" s="66" t="s">
        <v>58</v>
      </c>
      <c r="C24" s="88"/>
      <c r="D24" s="88"/>
      <c r="E24" s="216">
        <v>0</v>
      </c>
      <c r="F24" s="255"/>
      <c r="G24" s="216"/>
      <c r="H24" s="235"/>
      <c r="N24" s="602"/>
    </row>
    <row r="25" spans="1:14" s="89" customFormat="1" ht="12.75" customHeight="1">
      <c r="C25" s="88"/>
      <c r="D25" s="111"/>
      <c r="E25" s="216">
        <v>0</v>
      </c>
      <c r="F25" s="255"/>
      <c r="G25" s="216"/>
      <c r="H25" s="632"/>
      <c r="N25" s="602"/>
    </row>
    <row r="26" spans="1:14" s="89" customFormat="1" ht="12.75" customHeight="1">
      <c r="B26" s="636"/>
      <c r="C26" s="637"/>
      <c r="E26" s="88"/>
      <c r="F26" s="111"/>
      <c r="H26" s="632"/>
      <c r="N26" s="602"/>
    </row>
    <row r="27" spans="1:14" s="89" customFormat="1" ht="12.75" customHeight="1" thickBot="1">
      <c r="A27" s="638"/>
      <c r="B27" s="638"/>
      <c r="C27" s="636"/>
      <c r="D27" s="111"/>
      <c r="E27" s="639">
        <f>SUM(E6:E26)</f>
        <v>27440885</v>
      </c>
      <c r="F27" s="640"/>
      <c r="G27" s="640">
        <f>SUM(G6:G26)</f>
        <v>2986620</v>
      </c>
      <c r="H27" s="641"/>
      <c r="J27" s="79">
        <f>SUM(J14:J26)</f>
        <v>2986620</v>
      </c>
      <c r="N27" s="602"/>
    </row>
    <row r="28" spans="1:14" s="89" customFormat="1" ht="12.75" customHeight="1">
      <c r="A28" s="638"/>
      <c r="B28" s="638"/>
      <c r="C28" s="636"/>
      <c r="D28" s="111"/>
      <c r="E28" s="88"/>
      <c r="F28" s="88"/>
      <c r="G28" s="88"/>
      <c r="H28" s="88"/>
      <c r="N28" s="602"/>
    </row>
    <row r="29" spans="1:14" s="89" customFormat="1" ht="12.75" customHeight="1">
      <c r="C29" s="88"/>
      <c r="D29" s="111"/>
      <c r="N29" s="602"/>
    </row>
    <row r="30" spans="1:14" s="89" customFormat="1" ht="12.75" customHeight="1">
      <c r="C30" s="88"/>
      <c r="D30" s="111"/>
      <c r="E30" s="88"/>
      <c r="N30" s="602"/>
    </row>
    <row r="31" spans="1:14" s="89" customFormat="1" ht="12.75" customHeight="1">
      <c r="C31" s="88"/>
      <c r="D31" s="111"/>
      <c r="E31" s="88"/>
      <c r="N31" s="602"/>
    </row>
    <row r="32" spans="1:14" s="89" customFormat="1" ht="12.75" customHeight="1">
      <c r="C32" s="88"/>
      <c r="D32" s="111"/>
      <c r="E32" s="88"/>
      <c r="N32" s="602"/>
    </row>
    <row r="33" spans="3:5" s="89" customFormat="1" ht="12.75" customHeight="1">
      <c r="C33" s="88"/>
      <c r="D33" s="111"/>
      <c r="E33" s="88"/>
    </row>
    <row r="34" spans="3:5" s="89" customFormat="1" ht="12.75" customHeight="1">
      <c r="C34" s="88"/>
      <c r="D34" s="111"/>
      <c r="E34" s="88"/>
    </row>
    <row r="35" spans="3:5" s="89" customFormat="1" ht="12.75" hidden="1" customHeight="1">
      <c r="C35" s="88"/>
      <c r="D35" s="111"/>
      <c r="E35" s="88"/>
    </row>
    <row r="36" spans="3:5" s="89" customFormat="1" ht="12.75" hidden="1" customHeight="1">
      <c r="C36" s="88"/>
      <c r="D36" s="111"/>
      <c r="E36" s="88"/>
    </row>
    <row r="37" spans="3:5" s="89" customFormat="1" ht="12.75" hidden="1" customHeight="1">
      <c r="C37" s="88"/>
      <c r="D37" s="111"/>
      <c r="E37" s="88"/>
    </row>
    <row r="38" spans="3:5" s="148" customFormat="1"/>
    <row r="39" spans="3:5" s="148" customFormat="1"/>
  </sheetData>
  <customSheetViews>
    <customSheetView guid="{C8E99144-FF29-42D8-8D33-2038AA9D760E}" showRuler="0">
      <selection activeCell="A37" sqref="A37"/>
      <pageMargins left="0.75" right="0.75" top="1" bottom="1" header="0.5" footer="0.5"/>
      <pageSetup orientation="portrait" horizontalDpi="4294967293" r:id="rId1"/>
      <headerFooter alignWithMargins="0"/>
    </customSheetView>
    <customSheetView guid="{6F41311F-2270-450A-A26B-FA887A989CC9}" showPageBreaks="1" showRuler="0">
      <pageMargins left="0.75" right="0.75" top="1" bottom="1" header="0.5" footer="0.5"/>
      <pageSetup orientation="portrait" r:id="rId2"/>
      <headerFooter alignWithMargins="0"/>
    </customSheetView>
    <customSheetView guid="{9F62FB59-F471-497B-8464-A1F026EE1693}" showPageBreaks="1" showRuler="0">
      <pageMargins left="0.75" right="0.75" top="1" bottom="1" header="0.5" footer="0.5"/>
      <pageSetup orientation="portrait" horizontalDpi="4294967293" r:id="rId3"/>
      <headerFooter alignWithMargins="0"/>
    </customSheetView>
    <customSheetView guid="{20D5FB18-2FAE-4D83-BF94-A00B522BD190}" showPageBreaks="1" showRuler="0">
      <pageMargins left="0.75" right="0.75" top="1" bottom="1" header="0.5" footer="0.5"/>
      <pageSetup orientation="portrait" horizontalDpi="4294967293" r:id="rId4"/>
      <headerFooter alignWithMargins="0"/>
    </customSheetView>
    <customSheetView guid="{9456C1E9-89BB-4E93-9AFD-5A49DBF97574}" showRuler="0">
      <pageMargins left="0.75" right="0.75" top="1" bottom="1" header="0.5" footer="0.5"/>
      <pageSetup orientation="portrait" r:id="rId5"/>
      <headerFooter alignWithMargins="0"/>
    </customSheetView>
    <customSheetView guid="{7FD41845-6BD4-448F-810C-049EFA55EC1B}" fitToPage="1" showRuler="0">
      <selection activeCell="L14" sqref="L14"/>
      <pageMargins left="0.75" right="0.75" top="1" bottom="1" header="0.5" footer="0.5"/>
      <printOptions gridLines="1"/>
      <pageSetup scale="93" orientation="landscape" horizontalDpi="4294967293" r:id="rId6"/>
      <headerFooter alignWithMargins="0"/>
    </customSheetView>
    <customSheetView guid="{8B0AB125-4209-45BF-9ABD-74BE01FD7C48}" showPageBreaks="1" fitToPage="1" showRuler="0">
      <selection activeCell="L14" sqref="L14"/>
      <pageMargins left="0.75" right="0.75" top="1" bottom="1" header="0.5" footer="0.5"/>
      <printOptions gridLines="1"/>
      <pageSetup scale="93" orientation="landscape" horizontalDpi="4294967293" r:id="rId7"/>
      <headerFooter alignWithMargins="0"/>
    </customSheetView>
  </customSheetViews>
  <mergeCells count="1">
    <mergeCell ref="B3:N3"/>
  </mergeCells>
  <phoneticPr fontId="0" type="noConversion"/>
  <printOptions gridLines="1"/>
  <pageMargins left="0.75" right="0.75" top="1" bottom="1" header="0.5" footer="0.5"/>
  <pageSetup scale="85" orientation="landscape" horizontalDpi="4294967293" r:id="rId8"/>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82</vt:i4>
      </vt:variant>
      <vt:variant>
        <vt:lpstr>Named Ranges</vt:lpstr>
      </vt:variant>
      <vt:variant>
        <vt:i4>56</vt:i4>
      </vt:variant>
    </vt:vector>
  </HeadingPairs>
  <TitlesOfParts>
    <vt:vector size="138" baseType="lpstr">
      <vt:lpstr>Proposed All Funds Summary</vt:lpstr>
      <vt:lpstr>Program by Fund Type</vt:lpstr>
      <vt:lpstr>All Funds Sch A Left</vt:lpstr>
      <vt:lpstr>All Funds Sch A Right</vt:lpstr>
      <vt:lpstr>All Funds Sch A</vt:lpstr>
      <vt:lpstr>All Funds Sch A Page</vt:lpstr>
      <vt:lpstr>Budget Summary Ad-Fort Lauderda</vt:lpstr>
      <vt:lpstr>Ad Cognos File</vt:lpstr>
      <vt:lpstr>All Funds SchA Adopted 2014 1pg</vt:lpstr>
      <vt:lpstr>All Funds Sch A Tentative 2 (2</vt:lpstr>
      <vt:lpstr>FY 2015 Proposed All Funds -pg1</vt:lpstr>
      <vt:lpstr>FY2015 Proposed All Funds-pg2</vt:lpstr>
      <vt:lpstr>Changes</vt:lpstr>
      <vt:lpstr>All Funds Sch A 2014 Page (1)</vt:lpstr>
      <vt:lpstr>All Funds Sch A Comparison</vt:lpstr>
      <vt:lpstr>GF Comparison</vt:lpstr>
      <vt:lpstr>All Funds Sch A 2014 Page (2)</vt:lpstr>
      <vt:lpstr>All Funds Sch A 2013 Page -1</vt:lpstr>
      <vt:lpstr>All Funds Sch A 2013 Page (2)</vt:lpstr>
      <vt:lpstr>Internal Service</vt:lpstr>
      <vt:lpstr>All Funds Sch A 2013 Page - 2</vt:lpstr>
      <vt:lpstr>FY2014 Adopted pg1</vt:lpstr>
      <vt:lpstr>FY2014 Adopted pg2</vt:lpstr>
      <vt:lpstr>All Funds Summary1</vt:lpstr>
      <vt:lpstr>All Funds Summary2</vt:lpstr>
      <vt:lpstr>General Fund Revenue</vt:lpstr>
      <vt:lpstr>General Fund Expenses</vt:lpstr>
      <vt:lpstr>Where Money Goes &amp; Comes Pie</vt:lpstr>
      <vt:lpstr>All Funds Pie Chart - No Pie</vt:lpstr>
      <vt:lpstr>General Fund Transfers</vt:lpstr>
      <vt:lpstr>001 General Fund</vt:lpstr>
      <vt:lpstr>Airport</vt:lpstr>
      <vt:lpstr>Arts Science District Garage</vt:lpstr>
      <vt:lpstr>Beach Bus Improv District</vt:lpstr>
      <vt:lpstr>Building Funds</vt:lpstr>
      <vt:lpstr>Cemtery</vt:lpstr>
      <vt:lpstr>Central Region</vt:lpstr>
      <vt:lpstr>Central Service</vt:lpstr>
      <vt:lpstr>City Insurance</vt:lpstr>
      <vt:lpstr>CRA-Beach</vt:lpstr>
      <vt:lpstr>CRA-Central City</vt:lpstr>
      <vt:lpstr>CRA-NW Progresso</vt:lpstr>
      <vt:lpstr>Drug Enforcement Agency</vt:lpstr>
      <vt:lpstr>Housing and Community Dev</vt:lpstr>
      <vt:lpstr>Nuisance Abatement</vt:lpstr>
      <vt:lpstr>Parking System</vt:lpstr>
      <vt:lpstr>Police</vt:lpstr>
      <vt:lpstr>Sanitation</vt:lpstr>
      <vt:lpstr>School Crossing Guard</vt:lpstr>
      <vt:lpstr>Self-Insured Health</vt:lpstr>
      <vt:lpstr>State Housing Imp Program</vt:lpstr>
      <vt:lpstr>Stormwater</vt:lpstr>
      <vt:lpstr>Sunrise Key</vt:lpstr>
      <vt:lpstr>Vehicle Rental</vt:lpstr>
      <vt:lpstr>Water and Sewer</vt:lpstr>
      <vt:lpstr>Transfers</vt:lpstr>
      <vt:lpstr>Budget Balancing I&amp;O</vt:lpstr>
      <vt:lpstr>Dept</vt:lpstr>
      <vt:lpstr>Sheet1</vt:lpstr>
      <vt:lpstr>454 Water Sewer</vt:lpstr>
      <vt:lpstr>331 GF Capital</vt:lpstr>
      <vt:lpstr>346 Community Redv Cap</vt:lpstr>
      <vt:lpstr>106.01 old</vt:lpstr>
      <vt:lpstr>106.02 old</vt:lpstr>
      <vt:lpstr>108 old</vt:lpstr>
      <vt:lpstr>135 OLD</vt:lpstr>
      <vt:lpstr>141 old</vt:lpstr>
      <vt:lpstr>142 OLD</vt:lpstr>
      <vt:lpstr>Special Revenue Funds</vt:lpstr>
      <vt:lpstr>Total Debt Service</vt:lpstr>
      <vt:lpstr>112 old</vt:lpstr>
      <vt:lpstr>130 old</vt:lpstr>
      <vt:lpstr>140 OLD</vt:lpstr>
      <vt:lpstr>130 No Data</vt:lpstr>
      <vt:lpstr>236.04 OLD</vt:lpstr>
      <vt:lpstr>236.05 old</vt:lpstr>
      <vt:lpstr>236.06 old</vt:lpstr>
      <vt:lpstr>236.07 old</vt:lpstr>
      <vt:lpstr>236.08 old</vt:lpstr>
      <vt:lpstr>243 OLD</vt:lpstr>
      <vt:lpstr>288 old</vt:lpstr>
      <vt:lpstr>List of all debt Types</vt:lpstr>
      <vt:lpstr>'001 General Fund'!Print_Area</vt:lpstr>
      <vt:lpstr>'130 No Data'!Print_Area</vt:lpstr>
      <vt:lpstr>Airport!Print_Area</vt:lpstr>
      <vt:lpstr>'All Funds Pie Chart - No Pie'!Print_Area</vt:lpstr>
      <vt:lpstr>'All Funds Sch A'!Print_Area</vt:lpstr>
      <vt:lpstr>'All Funds Sch A 2013 Page - 2'!Print_Area</vt:lpstr>
      <vt:lpstr>'All Funds Sch A 2013 Page (2)'!Print_Area</vt:lpstr>
      <vt:lpstr>'All Funds Sch A 2013 Page -1'!Print_Area</vt:lpstr>
      <vt:lpstr>'All Funds Sch A 2014 Page (1)'!Print_Area</vt:lpstr>
      <vt:lpstr>'All Funds Sch A 2014 Page (2)'!Print_Area</vt:lpstr>
      <vt:lpstr>'All Funds Sch A Comparison'!Print_Area</vt:lpstr>
      <vt:lpstr>'All Funds Sch A Left'!Print_Area</vt:lpstr>
      <vt:lpstr>'All Funds Sch A Page'!Print_Area</vt:lpstr>
      <vt:lpstr>'All Funds Sch A Right'!Print_Area</vt:lpstr>
      <vt:lpstr>'All Funds Sch A Tentative 2 (2'!Print_Area</vt:lpstr>
      <vt:lpstr>'All Funds SchA Adopted 2014 1pg'!Print_Area</vt:lpstr>
      <vt:lpstr>'All Funds Summary1'!Print_Area</vt:lpstr>
      <vt:lpstr>'All Funds Summary2'!Print_Area</vt:lpstr>
      <vt:lpstr>'Arts Science District Garage'!Print_Area</vt:lpstr>
      <vt:lpstr>'Beach Bus Improv District'!Print_Area</vt:lpstr>
      <vt:lpstr>'Budget Summary Ad-Fort Lauderda'!Print_Area</vt:lpstr>
      <vt:lpstr>'Building Funds'!Print_Area</vt:lpstr>
      <vt:lpstr>Cemtery!Print_Area</vt:lpstr>
      <vt:lpstr>'Central Region'!Print_Area</vt:lpstr>
      <vt:lpstr>'Central Service'!Print_Area</vt:lpstr>
      <vt:lpstr>Changes!Print_Area</vt:lpstr>
      <vt:lpstr>'City Insurance'!Print_Area</vt:lpstr>
      <vt:lpstr>'CRA-Beach'!Print_Area</vt:lpstr>
      <vt:lpstr>'CRA-Central City'!Print_Area</vt:lpstr>
      <vt:lpstr>'CRA-NW Progresso'!Print_Area</vt:lpstr>
      <vt:lpstr>'Drug Enforcement Agency'!Print_Area</vt:lpstr>
      <vt:lpstr>'FY 2015 Proposed All Funds -pg1'!Print_Area</vt:lpstr>
      <vt:lpstr>'FY2014 Adopted pg1'!Print_Area</vt:lpstr>
      <vt:lpstr>'FY2014 Adopted pg2'!Print_Area</vt:lpstr>
      <vt:lpstr>'FY2015 Proposed All Funds-pg2'!Print_Area</vt:lpstr>
      <vt:lpstr>'General Fund Expenses'!Print_Area</vt:lpstr>
      <vt:lpstr>'General Fund Revenue'!Print_Area</vt:lpstr>
      <vt:lpstr>'General Fund Transfers'!Print_Area</vt:lpstr>
      <vt:lpstr>'GF Comparison'!Print_Area</vt:lpstr>
      <vt:lpstr>'Housing and Community Dev'!Print_Area</vt:lpstr>
      <vt:lpstr>'Internal Service'!Print_Area</vt:lpstr>
      <vt:lpstr>'Nuisance Abatement'!Print_Area</vt:lpstr>
      <vt:lpstr>'Parking System'!Print_Area</vt:lpstr>
      <vt:lpstr>Police!Print_Area</vt:lpstr>
      <vt:lpstr>'Program by Fund Type'!Print_Area</vt:lpstr>
      <vt:lpstr>'Proposed All Funds Summary'!Print_Area</vt:lpstr>
      <vt:lpstr>Sanitation!Print_Area</vt:lpstr>
      <vt:lpstr>'School Crossing Guard'!Print_Area</vt:lpstr>
      <vt:lpstr>'Self-Insured Health'!Print_Area</vt:lpstr>
      <vt:lpstr>'State Housing Imp Program'!Print_Area</vt:lpstr>
      <vt:lpstr>Stormwater!Print_Area</vt:lpstr>
      <vt:lpstr>'Sunrise Key'!Print_Area</vt:lpstr>
      <vt:lpstr>Transfers!Print_Area</vt:lpstr>
      <vt:lpstr>'Vehicle Rental'!Print_Area</vt:lpstr>
      <vt:lpstr>'Water and Sewer'!Print_Area</vt:lpstr>
      <vt:lpstr>'Where Money Goes &amp; Comes Pie'!Print_Area</vt:lpstr>
    </vt:vector>
  </TitlesOfParts>
  <Company>City of Fort Lauderdale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ShondaS</dc:creator>
  <cp:lastModifiedBy>Bobbi Williams</cp:lastModifiedBy>
  <cp:lastPrinted>2014-08-05T21:11:14Z</cp:lastPrinted>
  <dcterms:created xsi:type="dcterms:W3CDTF">2005-06-23T11:57:33Z</dcterms:created>
  <dcterms:modified xsi:type="dcterms:W3CDTF">2014-08-27T12:37:32Z</dcterms:modified>
</cp:coreProperties>
</file>